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y Drive\KauffmanLab_PIing\PAPER_INPREP_2026_AS_glucanases\"/>
    </mc:Choice>
  </mc:AlternateContent>
  <xr:revisionPtr revIDLastSave="0" documentId="13_ncr:1_{23C7EA47-E989-4DCF-A160-07416B9A4F7F}" xr6:coauthVersionLast="47" xr6:coauthVersionMax="47" xr10:uidLastSave="{00000000-0000-0000-0000-000000000000}"/>
  <bookViews>
    <workbookView xWindow="57480" yWindow="-120" windowWidth="29040" windowHeight="15720" tabRatio="883" xr2:uid="{5AE9897A-B885-41A4-996A-9A21C43939EB}"/>
  </bookViews>
  <sheets>
    <sheet name="00.readme" sheetId="2" r:id="rId1"/>
    <sheet name="01.dbcan_GH16_3_HOMD.ALL" sheetId="1" r:id="rId2"/>
    <sheet name="02.dbcan_GH16_3_HOMD.TREE_543" sheetId="4" r:id="rId3"/>
    <sheet name="03.signalp6_annos" sheetId="17" r:id="rId4"/>
    <sheet name="04.REF.GCA_ID_info" sheetId="5" r:id="rId5"/>
    <sheet name="05.REF.HOMD_taxon_table" sheetId="18" r:id="rId6"/>
  </sheets>
  <definedNames>
    <definedName name="_xlnm._FilterDatabase" localSheetId="1" hidden="1">'01.dbcan_GH16_3_HOMD.ALL'!$A$2:$AH$1098</definedName>
    <definedName name="_xlnm._FilterDatabase" localSheetId="2" hidden="1">'02.dbcan_GH16_3_HOMD.TREE_543'!$A$2:$BK$545</definedName>
    <definedName name="_xlnm._FilterDatabase" localSheetId="4" hidden="1">'04.REF.GCA_ID_info'!$A$2:$M$8179</definedName>
    <definedName name="_xlnm._FilterDatabase" localSheetId="5" hidden="1">'05.REF.HOMD_taxon_table'!$A$2:$U$838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9" i="4" l="1"/>
  <c r="G168" i="4"/>
  <c r="G167" i="4"/>
  <c r="G80" i="4"/>
  <c r="G43" i="4"/>
  <c r="G350" i="4"/>
  <c r="G390" i="4"/>
  <c r="G249" i="4"/>
  <c r="G248" i="4"/>
  <c r="G247" i="4"/>
  <c r="G246" i="4"/>
  <c r="G465" i="4"/>
  <c r="G466" i="4"/>
  <c r="G543" i="4"/>
  <c r="G488" i="4"/>
  <c r="G485" i="4"/>
  <c r="G490" i="4"/>
  <c r="G491" i="4"/>
  <c r="G484" i="4"/>
  <c r="G486" i="4"/>
  <c r="G453" i="4"/>
  <c r="G454" i="4"/>
  <c r="G462" i="4"/>
  <c r="G463" i="4"/>
  <c r="G464" i="4"/>
  <c r="G455" i="4"/>
  <c r="G456" i="4"/>
  <c r="G457" i="4"/>
  <c r="G458" i="4"/>
  <c r="G459" i="4"/>
  <c r="G516" i="4"/>
  <c r="G513" i="4"/>
  <c r="G515" i="4"/>
  <c r="G512" i="4"/>
  <c r="G514" i="4"/>
  <c r="G518" i="4"/>
  <c r="G517" i="4"/>
  <c r="G476" i="4"/>
  <c r="G472" i="4"/>
  <c r="G536" i="4"/>
  <c r="G475" i="4"/>
  <c r="G540" i="4"/>
  <c r="G541" i="4"/>
  <c r="G538" i="4"/>
  <c r="G542" i="4"/>
  <c r="G544" i="4"/>
  <c r="G487" i="4"/>
  <c r="G522" i="4"/>
  <c r="G524" i="4"/>
  <c r="G523" i="4"/>
  <c r="G525" i="4"/>
  <c r="G528" i="4"/>
  <c r="G527" i="4"/>
  <c r="G529" i="4"/>
  <c r="G532" i="4"/>
  <c r="G489" i="4"/>
  <c r="G545" i="4"/>
  <c r="G245" i="4"/>
  <c r="G250" i="4"/>
  <c r="G142" i="4"/>
  <c r="G381" i="4"/>
  <c r="G508" i="4"/>
  <c r="G507" i="4"/>
  <c r="G530" i="4"/>
  <c r="G28" i="4"/>
  <c r="G145" i="4"/>
  <c r="G30" i="4"/>
  <c r="G16" i="4"/>
  <c r="G35" i="4"/>
  <c r="G23" i="4"/>
  <c r="G20" i="4"/>
  <c r="G264" i="4"/>
  <c r="G125" i="4"/>
  <c r="G411" i="4"/>
  <c r="G495" i="4"/>
  <c r="G494" i="4"/>
  <c r="G520" i="4"/>
  <c r="G493" i="4"/>
  <c r="G492" i="4"/>
  <c r="G534" i="4"/>
  <c r="G501" i="4"/>
  <c r="G500" i="4"/>
  <c r="G499" i="4"/>
  <c r="G506" i="4"/>
  <c r="G505" i="4"/>
  <c r="G461" i="4"/>
  <c r="G504" i="4"/>
  <c r="G502" i="4"/>
  <c r="G503" i="4"/>
  <c r="G509" i="4"/>
  <c r="G510" i="4"/>
  <c r="G526" i="4"/>
  <c r="G531" i="4"/>
  <c r="G533" i="4"/>
  <c r="G408" i="4"/>
  <c r="G481" i="4"/>
  <c r="G480" i="4"/>
  <c r="G467" i="4"/>
  <c r="G535" i="4"/>
  <c r="G174" i="4"/>
  <c r="G419" i="4"/>
  <c r="G440" i="4"/>
  <c r="G359" i="4"/>
  <c r="G452" i="4"/>
  <c r="G460" i="4"/>
  <c r="G305" i="4"/>
  <c r="G87" i="4"/>
  <c r="G81" i="4"/>
  <c r="G434" i="4"/>
  <c r="G86" i="4"/>
  <c r="G175" i="4"/>
  <c r="G479" i="4"/>
  <c r="G477" i="4"/>
  <c r="G172" i="4"/>
  <c r="G482" i="4"/>
  <c r="G422" i="4"/>
  <c r="G367" i="4"/>
  <c r="G170" i="4"/>
  <c r="G177" i="4"/>
  <c r="G37" i="4"/>
  <c r="G364" i="4"/>
  <c r="G228" i="4"/>
  <c r="G263" i="4"/>
  <c r="G128" i="4"/>
  <c r="G421" i="4"/>
  <c r="G415" i="4"/>
  <c r="G171" i="4"/>
  <c r="G176" i="4"/>
  <c r="G173" i="4"/>
  <c r="G40" i="4"/>
  <c r="G127" i="4"/>
  <c r="G420" i="4"/>
  <c r="G423" i="4"/>
  <c r="G416" i="4"/>
  <c r="G417" i="4"/>
  <c r="G418" i="4"/>
  <c r="G360" i="4"/>
  <c r="G222" i="4"/>
  <c r="G368" i="4"/>
  <c r="G179" i="4"/>
  <c r="G226" i="4"/>
  <c r="G223" i="4"/>
  <c r="G351" i="4"/>
  <c r="G358" i="4"/>
  <c r="G444" i="4"/>
  <c r="G366" i="4"/>
  <c r="G225" i="4"/>
  <c r="G185" i="4"/>
  <c r="G184" i="4"/>
  <c r="G182" i="4"/>
  <c r="G124" i="4"/>
  <c r="G407" i="4"/>
  <c r="G252" i="4"/>
  <c r="G12" i="4"/>
  <c r="G13" i="4"/>
  <c r="G9" i="4"/>
  <c r="G8" i="4"/>
  <c r="G10" i="4"/>
  <c r="G3" i="4"/>
  <c r="G4" i="4"/>
  <c r="G5" i="4"/>
  <c r="G6" i="4"/>
  <c r="G15" i="4"/>
  <c r="G14" i="4"/>
  <c r="G7" i="4"/>
  <c r="G11" i="4"/>
  <c r="G398" i="4"/>
  <c r="G229" i="4"/>
  <c r="G217" i="4"/>
  <c r="G216" i="4"/>
  <c r="G95" i="4"/>
  <c r="G496" i="4"/>
  <c r="G17" i="4"/>
  <c r="G468" i="4"/>
  <c r="G469" i="4"/>
  <c r="G471" i="4"/>
  <c r="G470" i="4"/>
  <c r="G257" i="4"/>
  <c r="G253" i="4"/>
  <c r="G255" i="4"/>
  <c r="G260" i="4"/>
  <c r="G83" i="4"/>
  <c r="G395" i="4"/>
  <c r="G403" i="4"/>
  <c r="G449" i="4"/>
  <c r="G354" i="4"/>
  <c r="G357" i="4"/>
  <c r="G402" i="4"/>
  <c r="G244" i="4"/>
  <c r="G258" i="4"/>
  <c r="G254" i="4"/>
  <c r="G256" i="4"/>
  <c r="G259" i="4"/>
  <c r="G84" i="4"/>
  <c r="G394" i="4"/>
  <c r="G181" i="4"/>
  <c r="G183" i="4"/>
  <c r="G370" i="4"/>
  <c r="G227" i="4"/>
  <c r="G237" i="4"/>
  <c r="G236" i="4"/>
  <c r="G224" i="4"/>
  <c r="G234" i="4"/>
  <c r="G270" i="4"/>
  <c r="G271" i="4"/>
  <c r="G267" i="4"/>
  <c r="G274" i="4"/>
  <c r="G279" i="4"/>
  <c r="G268" i="4"/>
  <c r="G276" i="4"/>
  <c r="G52" i="4"/>
  <c r="G281" i="4"/>
  <c r="G309" i="4"/>
  <c r="G347" i="4"/>
  <c r="G348" i="4"/>
  <c r="G342" i="4"/>
  <c r="G64" i="4"/>
  <c r="G445" i="4"/>
  <c r="G238" i="4"/>
  <c r="G365" i="4"/>
  <c r="G376" i="4"/>
  <c r="G235" i="4"/>
  <c r="G275" i="4"/>
  <c r="G278" i="4"/>
  <c r="G269" i="4"/>
  <c r="G277" i="4"/>
  <c r="G51" i="4"/>
  <c r="G280" i="4"/>
  <c r="G341" i="4"/>
  <c r="G63" i="4"/>
  <c r="G393" i="4"/>
  <c r="G273" i="4"/>
  <c r="G266" i="4"/>
  <c r="G55" i="4"/>
  <c r="G54" i="4"/>
  <c r="G57" i="4"/>
  <c r="G107" i="4"/>
  <c r="G447" i="4"/>
  <c r="G143" i="4"/>
  <c r="G438" i="4"/>
  <c r="G27" i="4"/>
  <c r="G215" i="4"/>
  <c r="G220" i="4"/>
  <c r="G214" i="4"/>
  <c r="G205" i="4"/>
  <c r="G211" i="4"/>
  <c r="G210" i="4"/>
  <c r="G218" i="4"/>
  <c r="G209" i="4"/>
  <c r="G208" i="4"/>
  <c r="G207" i="4"/>
  <c r="G73" i="4"/>
  <c r="G22" i="4"/>
  <c r="G285" i="4"/>
  <c r="G284" i="4"/>
  <c r="G290" i="4"/>
  <c r="G289" i="4"/>
  <c r="G292" i="4"/>
  <c r="G301" i="4"/>
  <c r="G294" i="4"/>
  <c r="G300" i="4"/>
  <c r="G298" i="4"/>
  <c r="G296" i="4"/>
  <c r="G299" i="4"/>
  <c r="G90" i="4"/>
  <c r="G92" i="4"/>
  <c r="G206" i="4"/>
  <c r="G94" i="4"/>
  <c r="G93" i="4"/>
  <c r="G96" i="4"/>
  <c r="G24" i="4"/>
  <c r="G97" i="4"/>
  <c r="G25" i="4"/>
  <c r="G100" i="4"/>
  <c r="G335" i="4"/>
  <c r="G330" i="4"/>
  <c r="G329" i="4"/>
  <c r="G327" i="4"/>
  <c r="G18" i="4"/>
  <c r="G325" i="4"/>
  <c r="G324" i="4"/>
  <c r="G323" i="4"/>
  <c r="G345" i="4"/>
  <c r="G355" i="4"/>
  <c r="G356" i="4"/>
  <c r="G105" i="4"/>
  <c r="G424" i="4"/>
  <c r="G110" i="4"/>
  <c r="G428" i="4"/>
  <c r="G437" i="4"/>
  <c r="G446" i="4"/>
  <c r="G195" i="4"/>
  <c r="G219" i="4"/>
  <c r="G369" i="4"/>
  <c r="G221" i="4"/>
  <c r="G392" i="4"/>
  <c r="G406" i="4"/>
  <c r="G410" i="4"/>
  <c r="G26" i="4"/>
  <c r="G136" i="4"/>
  <c r="G137" i="4"/>
  <c r="G135" i="4"/>
  <c r="G134" i="4"/>
  <c r="G133" i="4"/>
  <c r="G132" i="4"/>
  <c r="G131" i="4"/>
  <c r="G130" i="4"/>
  <c r="G303" i="4"/>
  <c r="G308" i="4"/>
  <c r="G349" i="4"/>
  <c r="G111" i="4"/>
  <c r="G371" i="4"/>
  <c r="G389" i="4"/>
  <c r="G72" i="4"/>
  <c r="G74" i="4"/>
  <c r="G511" i="4"/>
  <c r="G474" i="4"/>
  <c r="G441" i="4"/>
  <c r="G498" i="4"/>
  <c r="G521" i="4"/>
  <c r="G497" i="4"/>
  <c r="G146" i="4"/>
  <c r="G233" i="4"/>
  <c r="G232" i="4"/>
  <c r="G36" i="4"/>
  <c r="G352" i="4"/>
  <c r="G82" i="4"/>
  <c r="G231" i="4"/>
  <c r="G483" i="4"/>
  <c r="G149" i="4"/>
  <c r="G148" i="4"/>
  <c r="G262" i="4"/>
  <c r="G230" i="4"/>
  <c r="G473" i="4"/>
  <c r="G539" i="4"/>
  <c r="G519" i="4"/>
  <c r="G141" i="4"/>
  <c r="G140" i="4"/>
  <c r="G139" i="4"/>
  <c r="G39" i="4"/>
  <c r="G261" i="4"/>
  <c r="G265" i="4"/>
  <c r="G414" i="4"/>
  <c r="G101" i="4"/>
  <c r="G102" i="4"/>
  <c r="G108" i="4"/>
  <c r="G112" i="4"/>
  <c r="G122" i="4"/>
  <c r="G121" i="4"/>
  <c r="G123" i="4"/>
  <c r="G138" i="4"/>
  <c r="G19" i="4"/>
  <c r="G212" i="4"/>
  <c r="G200" i="4"/>
  <c r="G198" i="4"/>
  <c r="G197" i="4"/>
  <c r="G204" i="4"/>
  <c r="G213" i="4"/>
  <c r="G38" i="4"/>
  <c r="G282" i="4"/>
  <c r="G288" i="4"/>
  <c r="G291" i="4"/>
  <c r="G295" i="4"/>
  <c r="G297" i="4"/>
  <c r="G304" i="4"/>
  <c r="G306" i="4"/>
  <c r="G91" i="4"/>
  <c r="G98" i="4"/>
  <c r="G99" i="4"/>
  <c r="G334" i="4"/>
  <c r="G336" i="4"/>
  <c r="G333" i="4"/>
  <c r="G331" i="4"/>
  <c r="G332" i="4"/>
  <c r="G328" i="4"/>
  <c r="G326" i="4"/>
  <c r="G344" i="4"/>
  <c r="G362" i="4"/>
  <c r="G196" i="4"/>
  <c r="G363" i="4"/>
  <c r="G391" i="4"/>
  <c r="G154" i="4"/>
  <c r="G152" i="4"/>
  <c r="G162" i="4"/>
  <c r="G151" i="4"/>
  <c r="G45" i="4"/>
  <c r="G68" i="4"/>
  <c r="G69" i="4"/>
  <c r="G48" i="4"/>
  <c r="G49" i="4"/>
  <c r="G59" i="4"/>
  <c r="G61" i="4"/>
  <c r="G103" i="4"/>
  <c r="G427" i="4"/>
  <c r="G442" i="4"/>
  <c r="G157" i="4"/>
  <c r="G372" i="4"/>
  <c r="G375" i="4"/>
  <c r="G379" i="4"/>
  <c r="G386" i="4"/>
  <c r="G384" i="4"/>
  <c r="G388" i="4"/>
  <c r="G396" i="4"/>
  <c r="G400" i="4"/>
  <c r="G450" i="4"/>
  <c r="G199" i="4"/>
  <c r="G191" i="4"/>
  <c r="G190" i="4"/>
  <c r="G189" i="4"/>
  <c r="G188" i="4"/>
  <c r="G66" i="4"/>
  <c r="G194" i="4"/>
  <c r="G272" i="4"/>
  <c r="G56" i="4"/>
  <c r="G53" i="4"/>
  <c r="G58" i="4"/>
  <c r="G283" i="4"/>
  <c r="G287" i="4"/>
  <c r="G193" i="4"/>
  <c r="G302" i="4"/>
  <c r="G293" i="4"/>
  <c r="G85" i="4"/>
  <c r="G88" i="4"/>
  <c r="G192" i="4"/>
  <c r="G89" i="4"/>
  <c r="G340" i="4"/>
  <c r="G339" i="4"/>
  <c r="G338" i="4"/>
  <c r="G337" i="4"/>
  <c r="G425" i="4"/>
  <c r="G361" i="4"/>
  <c r="G187" i="4"/>
  <c r="G186" i="4"/>
  <c r="G448" i="4"/>
  <c r="G397" i="4"/>
  <c r="G537" i="4"/>
  <c r="G478" i="4"/>
  <c r="G160" i="4"/>
  <c r="G163" i="4"/>
  <c r="G41" i="4"/>
  <c r="G71" i="4"/>
  <c r="G318" i="4"/>
  <c r="G310" i="4"/>
  <c r="G314" i="4"/>
  <c r="G319" i="4"/>
  <c r="G118" i="4"/>
  <c r="G431" i="4"/>
  <c r="G433" i="4"/>
  <c r="G430" i="4"/>
  <c r="G435" i="4"/>
  <c r="G377" i="4"/>
  <c r="G413" i="4"/>
  <c r="G147" i="4"/>
  <c r="G251" i="4"/>
  <c r="G343" i="4"/>
  <c r="G429" i="4"/>
  <c r="G412" i="4"/>
  <c r="G166" i="4"/>
  <c r="G312" i="4"/>
  <c r="G322" i="4"/>
  <c r="G346" i="4"/>
  <c r="G159" i="4"/>
  <c r="G153" i="4"/>
  <c r="G150" i="4"/>
  <c r="G44" i="4"/>
  <c r="G67" i="4"/>
  <c r="G70" i="4"/>
  <c r="G46" i="4"/>
  <c r="G47" i="4"/>
  <c r="G50" i="4"/>
  <c r="G62" i="4"/>
  <c r="G104" i="4"/>
  <c r="G106" i="4"/>
  <c r="G158" i="4"/>
  <c r="G32" i="4"/>
  <c r="G34" i="4"/>
  <c r="G378" i="4"/>
  <c r="G380" i="4"/>
  <c r="G385" i="4"/>
  <c r="G387" i="4"/>
  <c r="G451" i="4"/>
  <c r="G115" i="4"/>
  <c r="G29" i="4"/>
  <c r="G114" i="4"/>
  <c r="G76" i="4"/>
  <c r="G77" i="4"/>
  <c r="G75" i="4"/>
  <c r="G65" i="4"/>
  <c r="G78" i="4"/>
  <c r="G79" i="4"/>
  <c r="G113" i="4"/>
  <c r="G120" i="4"/>
  <c r="G119" i="4"/>
  <c r="G116" i="4"/>
  <c r="G33" i="4"/>
  <c r="G21" i="4"/>
  <c r="G129" i="4"/>
  <c r="G60" i="4"/>
  <c r="G126" i="4"/>
  <c r="G426" i="4"/>
  <c r="G443" i="4"/>
  <c r="G373" i="4"/>
  <c r="G383" i="4"/>
  <c r="G401" i="4"/>
  <c r="G180" i="4"/>
  <c r="G42" i="4"/>
  <c r="G313" i="4"/>
  <c r="G316" i="4"/>
  <c r="G109" i="4"/>
  <c r="G117" i="4"/>
  <c r="G404" i="4"/>
  <c r="G161" i="4"/>
  <c r="G165" i="4"/>
  <c r="G164" i="4"/>
  <c r="G317" i="4"/>
  <c r="G311" i="4"/>
  <c r="G315" i="4"/>
  <c r="G321" i="4"/>
  <c r="G320" i="4"/>
  <c r="G432" i="4"/>
  <c r="G436" i="4"/>
  <c r="G374" i="4"/>
  <c r="G144" i="4"/>
  <c r="G439" i="4"/>
  <c r="G178" i="4"/>
  <c r="G241" i="4"/>
  <c r="G240" i="4"/>
  <c r="G239" i="4"/>
  <c r="G242" i="4"/>
  <c r="G243" i="4"/>
  <c r="G155" i="4"/>
  <c r="G286" i="4"/>
  <c r="G307" i="4"/>
  <c r="G156" i="4"/>
  <c r="G382" i="4"/>
  <c r="G399" i="4"/>
  <c r="G405" i="4"/>
  <c r="G353" i="4"/>
  <c r="G31" i="4"/>
  <c r="G409" i="4"/>
  <c r="G203" i="4"/>
  <c r="G202" i="4"/>
  <c r="G201" i="4"/>
  <c r="G74" i="1" l="1"/>
  <c r="G75" i="1"/>
  <c r="G76" i="1"/>
  <c r="G77" i="1"/>
  <c r="G78" i="1"/>
  <c r="G992" i="1"/>
  <c r="G566" i="1"/>
  <c r="G642" i="1"/>
  <c r="G862" i="1"/>
  <c r="G3" i="1"/>
  <c r="G748" i="1"/>
  <c r="G79" i="1"/>
  <c r="G80" i="1"/>
  <c r="G81" i="1"/>
  <c r="G4" i="1"/>
  <c r="G5" i="1"/>
  <c r="G1049" i="1"/>
  <c r="G973" i="1"/>
  <c r="G1050" i="1"/>
  <c r="G953" i="1"/>
  <c r="G510" i="1"/>
  <c r="G895" i="1"/>
  <c r="G749" i="1"/>
  <c r="G507" i="1"/>
  <c r="G750" i="1"/>
  <c r="G967" i="1"/>
  <c r="G536" i="1"/>
  <c r="G993" i="1"/>
  <c r="G595" i="1"/>
  <c r="G590" i="1"/>
  <c r="G952" i="1"/>
  <c r="G859" i="1"/>
  <c r="G863" i="1"/>
  <c r="G696" i="1"/>
  <c r="G543" i="1"/>
  <c r="G643" i="1"/>
  <c r="G994" i="1"/>
  <c r="G511" i="1"/>
  <c r="G954" i="1"/>
  <c r="G82" i="1"/>
  <c r="G880" i="1"/>
  <c r="G612" i="1"/>
  <c r="G644" i="1"/>
  <c r="G613" i="1"/>
  <c r="G6" i="1"/>
  <c r="G7" i="1"/>
  <c r="G8" i="1"/>
  <c r="G711" i="1"/>
  <c r="G864" i="1"/>
  <c r="G852" i="1"/>
  <c r="G816" i="1"/>
  <c r="G751" i="1"/>
  <c r="G666" i="1"/>
  <c r="G1042" i="1"/>
  <c r="G881" i="1"/>
  <c r="G550" i="1"/>
  <c r="G1051" i="1"/>
  <c r="G1052" i="1"/>
  <c r="G1053" i="1"/>
  <c r="G734" i="1"/>
  <c r="G983" i="1"/>
  <c r="G567" i="1"/>
  <c r="G645" i="1"/>
  <c r="G995" i="1"/>
  <c r="G996" i="1"/>
  <c r="G544" i="1"/>
  <c r="G646" i="1"/>
  <c r="G568" i="1"/>
  <c r="G997" i="1"/>
  <c r="G647" i="1"/>
  <c r="G1081" i="1"/>
  <c r="G1082" i="1"/>
  <c r="G1083" i="1"/>
  <c r="G1084" i="1"/>
  <c r="G512" i="1"/>
  <c r="G955" i="1"/>
  <c r="G825" i="1"/>
  <c r="G551" i="1"/>
  <c r="G9" i="1"/>
  <c r="G10" i="1"/>
  <c r="G988" i="1"/>
  <c r="G998" i="1"/>
  <c r="G648" i="1"/>
  <c r="G569" i="1"/>
  <c r="G525" i="1"/>
  <c r="G596" i="1"/>
  <c r="G999" i="1"/>
  <c r="G649" i="1"/>
  <c r="G570" i="1"/>
  <c r="G1000" i="1"/>
  <c r="G826" i="1"/>
  <c r="G920" i="1"/>
  <c r="G83" i="1"/>
  <c r="G907" i="1"/>
  <c r="G752" i="1"/>
  <c r="G968" i="1"/>
  <c r="G984" i="1"/>
  <c r="G84" i="1"/>
  <c r="G650" i="1"/>
  <c r="G1001" i="1"/>
  <c r="G545" i="1"/>
  <c r="G85" i="1"/>
  <c r="G86" i="1"/>
  <c r="G87" i="1"/>
  <c r="G614" i="1"/>
  <c r="G726" i="1"/>
  <c r="G571" i="1"/>
  <c r="G466" i="1"/>
  <c r="G467" i="1"/>
  <c r="G468" i="1"/>
  <c r="G469" i="1"/>
  <c r="G470" i="1"/>
  <c r="G929" i="1"/>
  <c r="G719" i="1"/>
  <c r="G552" i="1"/>
  <c r="G849" i="1"/>
  <c r="G735" i="1"/>
  <c r="G753" i="1"/>
  <c r="G572" i="1"/>
  <c r="G727" i="1"/>
  <c r="G930" i="1"/>
  <c r="G908" i="1"/>
  <c r="G901" i="1"/>
  <c r="G827" i="1"/>
  <c r="G926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909" i="1"/>
  <c r="G667" i="1"/>
  <c r="G11" i="1"/>
  <c r="G12" i="1"/>
  <c r="G754" i="1"/>
  <c r="G969" i="1"/>
  <c r="G728" i="1"/>
  <c r="G508" i="1"/>
  <c r="G615" i="1"/>
  <c r="G668" i="1"/>
  <c r="G985" i="1"/>
  <c r="G755" i="1"/>
  <c r="G13" i="1"/>
  <c r="G14" i="1"/>
  <c r="G970" i="1"/>
  <c r="G15" i="1"/>
  <c r="G16" i="1"/>
  <c r="G1085" i="1"/>
  <c r="G669" i="1"/>
  <c r="G616" i="1"/>
  <c r="G1086" i="1"/>
  <c r="G809" i="1"/>
  <c r="G1087" i="1"/>
  <c r="G553" i="1"/>
  <c r="G882" i="1"/>
  <c r="G1088" i="1"/>
  <c r="G651" i="1"/>
  <c r="G573" i="1"/>
  <c r="G1002" i="1"/>
  <c r="G1048" i="1"/>
  <c r="G1054" i="1"/>
  <c r="G1046" i="1"/>
  <c r="G1055" i="1"/>
  <c r="G1047" i="1"/>
  <c r="G828" i="1"/>
  <c r="G756" i="1"/>
  <c r="G902" i="1"/>
  <c r="G829" i="1"/>
  <c r="G546" i="1"/>
  <c r="G652" i="1"/>
  <c r="G1003" i="1"/>
  <c r="G88" i="1"/>
  <c r="G89" i="1"/>
  <c r="G90" i="1"/>
  <c r="G91" i="1"/>
  <c r="G92" i="1"/>
  <c r="G93" i="1"/>
  <c r="G94" i="1"/>
  <c r="G95" i="1"/>
  <c r="G883" i="1"/>
  <c r="G554" i="1"/>
  <c r="G884" i="1"/>
  <c r="G555" i="1"/>
  <c r="G944" i="1"/>
  <c r="G910" i="1"/>
  <c r="G729" i="1"/>
  <c r="G1035" i="1"/>
  <c r="G945" i="1"/>
  <c r="G450" i="1"/>
  <c r="G17" i="1"/>
  <c r="G18" i="1"/>
  <c r="G19" i="1"/>
  <c r="G20" i="1"/>
  <c r="G21" i="1"/>
  <c r="G96" i="1"/>
  <c r="G97" i="1"/>
  <c r="G974" i="1"/>
  <c r="G896" i="1"/>
  <c r="G98" i="1"/>
  <c r="G99" i="1"/>
  <c r="G100" i="1"/>
  <c r="G523" i="1"/>
  <c r="G807" i="1"/>
  <c r="G22" i="1"/>
  <c r="G697" i="1"/>
  <c r="G698" i="1"/>
  <c r="G699" i="1"/>
  <c r="G556" i="1"/>
  <c r="G885" i="1"/>
  <c r="G23" i="1"/>
  <c r="G24" i="1"/>
  <c r="G25" i="1"/>
  <c r="G757" i="1"/>
  <c r="G526" i="1"/>
  <c r="G597" i="1"/>
  <c r="G1004" i="1"/>
  <c r="G101" i="1"/>
  <c r="G102" i="1"/>
  <c r="G103" i="1"/>
  <c r="G104" i="1"/>
  <c r="G105" i="1"/>
  <c r="G106" i="1"/>
  <c r="G107" i="1"/>
  <c r="G108" i="1"/>
  <c r="G109" i="1"/>
  <c r="G938" i="1"/>
  <c r="G26" i="1"/>
  <c r="G1005" i="1"/>
  <c r="G598" i="1"/>
  <c r="G591" i="1"/>
  <c r="G1006" i="1"/>
  <c r="G599" i="1"/>
  <c r="G527" i="1"/>
  <c r="G1007" i="1"/>
  <c r="G600" i="1"/>
  <c r="G712" i="1"/>
  <c r="G601" i="1"/>
  <c r="G1008" i="1"/>
  <c r="G537" i="1"/>
  <c r="G557" i="1"/>
  <c r="G886" i="1"/>
  <c r="G558" i="1"/>
  <c r="G887" i="1"/>
  <c r="G700" i="1"/>
  <c r="G758" i="1"/>
  <c r="G736" i="1"/>
  <c r="G451" i="1"/>
  <c r="G1089" i="1"/>
  <c r="G1090" i="1"/>
  <c r="G110" i="1"/>
  <c r="G111" i="1"/>
  <c r="G112" i="1"/>
  <c r="G113" i="1"/>
  <c r="G114" i="1"/>
  <c r="G115" i="1"/>
  <c r="G116" i="1"/>
  <c r="G117" i="1"/>
  <c r="G118" i="1"/>
  <c r="G119" i="1"/>
  <c r="G120" i="1"/>
  <c r="G1056" i="1"/>
  <c r="G1057" i="1"/>
  <c r="G948" i="1"/>
  <c r="G1009" i="1"/>
  <c r="G653" i="1"/>
  <c r="G547" i="1"/>
  <c r="G611" i="1"/>
  <c r="G27" i="1"/>
  <c r="G28" i="1"/>
  <c r="G730" i="1"/>
  <c r="G759" i="1"/>
  <c r="G538" i="1"/>
  <c r="G29" i="1"/>
  <c r="G30" i="1"/>
  <c r="G31" i="1"/>
  <c r="G32" i="1"/>
  <c r="G121" i="1"/>
  <c r="G122" i="1"/>
  <c r="G123" i="1"/>
  <c r="G124" i="1"/>
  <c r="G125" i="1"/>
  <c r="G126" i="1"/>
  <c r="G127" i="1"/>
  <c r="G128" i="1"/>
  <c r="G865" i="1"/>
  <c r="G853" i="1"/>
  <c r="G129" i="1"/>
  <c r="G130" i="1"/>
  <c r="G131" i="1"/>
  <c r="G132" i="1"/>
  <c r="G133" i="1"/>
  <c r="G134" i="1"/>
  <c r="G617" i="1"/>
  <c r="G760" i="1"/>
  <c r="G939" i="1"/>
  <c r="G720" i="1"/>
  <c r="G1058" i="1"/>
  <c r="G949" i="1"/>
  <c r="G33" i="1"/>
  <c r="G135" i="1"/>
  <c r="G136" i="1"/>
  <c r="G137" i="1"/>
  <c r="G452" i="1"/>
  <c r="G138" i="1"/>
  <c r="G139" i="1"/>
  <c r="G140" i="1"/>
  <c r="G1059" i="1"/>
  <c r="G942" i="1"/>
  <c r="G453" i="1"/>
  <c r="G454" i="1"/>
  <c r="G34" i="1"/>
  <c r="G35" i="1"/>
  <c r="G701" i="1"/>
  <c r="G810" i="1"/>
  <c r="G574" i="1"/>
  <c r="G897" i="1"/>
  <c r="G141" i="1"/>
  <c r="G559" i="1"/>
  <c r="G888" i="1"/>
  <c r="G455" i="1"/>
  <c r="G142" i="1"/>
  <c r="G143" i="1"/>
  <c r="G36" i="1"/>
  <c r="G37" i="1"/>
  <c r="G1060" i="1"/>
  <c r="G830" i="1"/>
  <c r="G817" i="1"/>
  <c r="G946" i="1"/>
  <c r="G911" i="1"/>
  <c r="G912" i="1"/>
  <c r="G913" i="1"/>
  <c r="G914" i="1"/>
  <c r="G931" i="1"/>
  <c r="G915" i="1"/>
  <c r="G921" i="1"/>
  <c r="G38" i="1"/>
  <c r="G39" i="1"/>
  <c r="G40" i="1"/>
  <c r="G41" i="1"/>
  <c r="G42" i="1"/>
  <c r="G144" i="1"/>
  <c r="G145" i="1"/>
  <c r="G146" i="1"/>
  <c r="G485" i="1"/>
  <c r="G486" i="1"/>
  <c r="G487" i="1"/>
  <c r="G922" i="1"/>
  <c r="G147" i="1"/>
  <c r="G148" i="1"/>
  <c r="G43" i="1"/>
  <c r="G44" i="1"/>
  <c r="G149" i="1"/>
  <c r="G150" i="1"/>
  <c r="G866" i="1"/>
  <c r="G854" i="1"/>
  <c r="G855" i="1"/>
  <c r="G867" i="1"/>
  <c r="G856" i="1"/>
  <c r="G868" i="1"/>
  <c r="G857" i="1"/>
  <c r="G869" i="1"/>
  <c r="G713" i="1"/>
  <c r="G151" i="1"/>
  <c r="G152" i="1"/>
  <c r="G153" i="1"/>
  <c r="G45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456" i="1"/>
  <c r="G761" i="1"/>
  <c r="G175" i="1"/>
  <c r="G903" i="1"/>
  <c r="G860" i="1"/>
  <c r="G695" i="1"/>
  <c r="G762" i="1"/>
  <c r="G721" i="1"/>
  <c r="G976" i="1"/>
  <c r="G763" i="1"/>
  <c r="G861" i="1"/>
  <c r="G509" i="1"/>
  <c r="G904" i="1"/>
  <c r="G702" i="1"/>
  <c r="G1010" i="1"/>
  <c r="G575" i="1"/>
  <c r="G654" i="1"/>
  <c r="G1011" i="1"/>
  <c r="G548" i="1"/>
  <c r="G513" i="1"/>
  <c r="G923" i="1"/>
  <c r="G916" i="1"/>
  <c r="G176" i="1"/>
  <c r="G177" i="1"/>
  <c r="G178" i="1"/>
  <c r="G179" i="1"/>
  <c r="G1043" i="1"/>
  <c r="G46" i="1"/>
  <c r="G488" i="1"/>
  <c r="G489" i="1"/>
  <c r="G490" i="1"/>
  <c r="G180" i="1"/>
  <c r="G181" i="1"/>
  <c r="G47" i="1"/>
  <c r="G457" i="1"/>
  <c r="G48" i="1"/>
  <c r="G831" i="1"/>
  <c r="G818" i="1"/>
  <c r="G586" i="1"/>
  <c r="G764" i="1"/>
  <c r="G670" i="1"/>
  <c r="G592" i="1"/>
  <c r="G1061" i="1"/>
  <c r="G1062" i="1"/>
  <c r="G1063" i="1"/>
  <c r="G832" i="1"/>
  <c r="G833" i="1"/>
  <c r="G737" i="1"/>
  <c r="G714" i="1"/>
  <c r="G765" i="1"/>
  <c r="G766" i="1"/>
  <c r="G767" i="1"/>
  <c r="G768" i="1"/>
  <c r="G671" i="1"/>
  <c r="G672" i="1"/>
  <c r="G769" i="1"/>
  <c r="G770" i="1"/>
  <c r="G771" i="1"/>
  <c r="G673" i="1"/>
  <c r="G674" i="1"/>
  <c r="G675" i="1"/>
  <c r="G618" i="1"/>
  <c r="G619" i="1"/>
  <c r="G676" i="1"/>
  <c r="G772" i="1"/>
  <c r="G677" i="1"/>
  <c r="G620" i="1"/>
  <c r="G621" i="1"/>
  <c r="G458" i="1"/>
  <c r="G1091" i="1"/>
  <c r="G182" i="1"/>
  <c r="G183" i="1"/>
  <c r="G184" i="1"/>
  <c r="G185" i="1"/>
  <c r="G186" i="1"/>
  <c r="G187" i="1"/>
  <c r="G528" i="1"/>
  <c r="G1012" i="1"/>
  <c r="G602" i="1"/>
  <c r="G1013" i="1"/>
  <c r="G587" i="1"/>
  <c r="G529" i="1"/>
  <c r="G49" i="1"/>
  <c r="G703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530" i="1"/>
  <c r="G603" i="1"/>
  <c r="G1014" i="1"/>
  <c r="G531" i="1"/>
  <c r="G1015" i="1"/>
  <c r="G604" i="1"/>
  <c r="G1016" i="1"/>
  <c r="G539" i="1"/>
  <c r="G1017" i="1"/>
  <c r="G540" i="1"/>
  <c r="G588" i="1"/>
  <c r="G605" i="1"/>
  <c r="G532" i="1"/>
  <c r="G1018" i="1"/>
  <c r="G200" i="1"/>
  <c r="G5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731" i="1"/>
  <c r="G215" i="1"/>
  <c r="G216" i="1"/>
  <c r="G217" i="1"/>
  <c r="G218" i="1"/>
  <c r="G219" i="1"/>
  <c r="G220" i="1"/>
  <c r="G773" i="1"/>
  <c r="G678" i="1"/>
  <c r="G679" i="1"/>
  <c r="G774" i="1"/>
  <c r="G775" i="1"/>
  <c r="G870" i="1"/>
  <c r="G871" i="1"/>
  <c r="G776" i="1"/>
  <c r="G876" i="1"/>
  <c r="G872" i="1"/>
  <c r="G777" i="1"/>
  <c r="G778" i="1"/>
  <c r="G873" i="1"/>
  <c r="G779" i="1"/>
  <c r="G780" i="1"/>
  <c r="G781" i="1"/>
  <c r="G680" i="1"/>
  <c r="G782" i="1"/>
  <c r="G622" i="1"/>
  <c r="G623" i="1"/>
  <c r="G624" i="1"/>
  <c r="G940" i="1"/>
  <c r="G937" i="1"/>
  <c r="G459" i="1"/>
  <c r="G977" i="1"/>
  <c r="G625" i="1"/>
  <c r="G491" i="1"/>
  <c r="G492" i="1"/>
  <c r="G493" i="1"/>
  <c r="G494" i="1"/>
  <c r="G495" i="1"/>
  <c r="G496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51" i="1"/>
  <c r="G52" i="1"/>
  <c r="G834" i="1"/>
  <c r="G738" i="1"/>
  <c r="G514" i="1"/>
  <c r="G956" i="1"/>
  <c r="G681" i="1"/>
  <c r="G941" i="1"/>
  <c r="G522" i="1"/>
  <c r="G739" i="1"/>
  <c r="G682" i="1"/>
  <c r="G240" i="1"/>
  <c r="G241" i="1"/>
  <c r="G242" i="1"/>
  <c r="G243" i="1"/>
  <c r="G244" i="1"/>
  <c r="G783" i="1"/>
  <c r="G784" i="1"/>
  <c r="G504" i="1"/>
  <c r="G785" i="1"/>
  <c r="G683" i="1"/>
  <c r="G626" i="1"/>
  <c r="G684" i="1"/>
  <c r="G786" i="1"/>
  <c r="G627" i="1"/>
  <c r="G787" i="1"/>
  <c r="G788" i="1"/>
  <c r="G789" i="1"/>
  <c r="G685" i="1"/>
  <c r="G790" i="1"/>
  <c r="G628" i="1"/>
  <c r="G629" i="1"/>
  <c r="G791" i="1"/>
  <c r="G686" i="1"/>
  <c r="G687" i="1"/>
  <c r="G957" i="1"/>
  <c r="G515" i="1"/>
  <c r="G792" i="1"/>
  <c r="G793" i="1"/>
  <c r="G630" i="1"/>
  <c r="G505" i="1"/>
  <c r="G506" i="1"/>
  <c r="G245" i="1"/>
  <c r="G246" i="1"/>
  <c r="G247" i="1"/>
  <c r="G248" i="1"/>
  <c r="G53" i="1"/>
  <c r="G54" i="1"/>
  <c r="G55" i="1"/>
  <c r="G56" i="1"/>
  <c r="G57" i="1"/>
  <c r="G1019" i="1"/>
  <c r="G576" i="1"/>
  <c r="G655" i="1"/>
  <c r="G97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460" i="1"/>
  <c r="G461" i="1"/>
  <c r="G272" i="1"/>
  <c r="G794" i="1"/>
  <c r="G273" i="1"/>
  <c r="G549" i="1"/>
  <c r="G656" i="1"/>
  <c r="G1020" i="1"/>
  <c r="G835" i="1"/>
  <c r="G819" i="1"/>
  <c r="G631" i="1"/>
  <c r="G811" i="1"/>
  <c r="G497" i="1"/>
  <c r="G498" i="1"/>
  <c r="G499" i="1"/>
  <c r="G500" i="1"/>
  <c r="G1064" i="1"/>
  <c r="G836" i="1"/>
  <c r="G820" i="1"/>
  <c r="G812" i="1"/>
  <c r="G632" i="1"/>
  <c r="G633" i="1"/>
  <c r="G813" i="1"/>
  <c r="G821" i="1"/>
  <c r="G837" i="1"/>
  <c r="G822" i="1"/>
  <c r="G838" i="1"/>
  <c r="G839" i="1"/>
  <c r="G823" i="1"/>
  <c r="G824" i="1"/>
  <c r="G840" i="1"/>
  <c r="G841" i="1"/>
  <c r="G814" i="1"/>
  <c r="G842" i="1"/>
  <c r="G843" i="1"/>
  <c r="G815" i="1"/>
  <c r="G634" i="1"/>
  <c r="G274" i="1"/>
  <c r="G275" i="1"/>
  <c r="G276" i="1"/>
  <c r="G704" i="1"/>
  <c r="G1065" i="1"/>
  <c r="G932" i="1"/>
  <c r="G951" i="1"/>
  <c r="G1066" i="1"/>
  <c r="G1092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62" i="1"/>
  <c r="G58" i="1"/>
  <c r="G59" i="1"/>
  <c r="G577" i="1"/>
  <c r="G1021" i="1"/>
  <c r="G657" i="1"/>
  <c r="G1022" i="1"/>
  <c r="G658" i="1"/>
  <c r="G578" i="1"/>
  <c r="G1023" i="1"/>
  <c r="G516" i="1"/>
  <c r="G579" i="1"/>
  <c r="G60" i="1"/>
  <c r="G61" i="1"/>
  <c r="G411" i="1"/>
  <c r="G874" i="1"/>
  <c r="G858" i="1"/>
  <c r="G62" i="1"/>
  <c r="G63" i="1"/>
  <c r="G635" i="1"/>
  <c r="G412" i="1"/>
  <c r="G413" i="1"/>
  <c r="G414" i="1"/>
  <c r="G415" i="1"/>
  <c r="G416" i="1"/>
  <c r="G417" i="1"/>
  <c r="G418" i="1"/>
  <c r="G419" i="1"/>
  <c r="G420" i="1"/>
  <c r="G421" i="1"/>
  <c r="G422" i="1"/>
  <c r="G958" i="1"/>
  <c r="G517" i="1"/>
  <c r="G959" i="1"/>
  <c r="G518" i="1"/>
  <c r="G64" i="1"/>
  <c r="G65" i="1"/>
  <c r="G423" i="1"/>
  <c r="G424" i="1"/>
  <c r="G425" i="1"/>
  <c r="G426" i="1"/>
  <c r="G427" i="1"/>
  <c r="G428" i="1"/>
  <c r="G66" i="1"/>
  <c r="G67" i="1"/>
  <c r="G429" i="1"/>
  <c r="G430" i="1"/>
  <c r="G705" i="1"/>
  <c r="G975" i="1"/>
  <c r="G924" i="1"/>
  <c r="G979" i="1"/>
  <c r="G715" i="1"/>
  <c r="G927" i="1"/>
  <c r="G722" i="1"/>
  <c r="G960" i="1"/>
  <c r="G431" i="1"/>
  <c r="G432" i="1"/>
  <c r="G433" i="1"/>
  <c r="G434" i="1"/>
  <c r="G706" i="1"/>
  <c r="G1067" i="1"/>
  <c r="G1045" i="1"/>
  <c r="G435" i="1"/>
  <c r="G436" i="1"/>
  <c r="G437" i="1"/>
  <c r="G1038" i="1"/>
  <c r="G889" i="1"/>
  <c r="G560" i="1"/>
  <c r="G890" i="1"/>
  <c r="G561" i="1"/>
  <c r="G891" i="1"/>
  <c r="G562" i="1"/>
  <c r="G68" i="1"/>
  <c r="G69" i="1"/>
  <c r="G70" i="1"/>
  <c r="G71" i="1"/>
  <c r="G72" i="1"/>
  <c r="G928" i="1"/>
  <c r="G1036" i="1"/>
  <c r="G732" i="1"/>
  <c r="G463" i="1"/>
  <c r="G733" i="1"/>
  <c r="G1037" i="1"/>
  <c r="G795" i="1"/>
  <c r="G438" i="1"/>
  <c r="G501" i="1"/>
  <c r="G502" i="1"/>
  <c r="G503" i="1"/>
  <c r="G606" i="1"/>
  <c r="G1024" i="1"/>
  <c r="G1025" i="1"/>
  <c r="G580" i="1"/>
  <c r="G659" i="1"/>
  <c r="G73" i="1"/>
  <c r="G636" i="1"/>
  <c r="G961" i="1"/>
  <c r="G1026" i="1"/>
  <c r="G660" i="1"/>
  <c r="G581" i="1"/>
  <c r="G1068" i="1"/>
  <c r="G1069" i="1"/>
  <c r="G1070" i="1"/>
  <c r="G1027" i="1"/>
  <c r="G582" i="1"/>
  <c r="G661" i="1"/>
  <c r="G1044" i="1"/>
  <c r="G1071" i="1"/>
  <c r="G541" i="1"/>
  <c r="G1028" i="1"/>
  <c r="G607" i="1"/>
  <c r="G943" i="1"/>
  <c r="G1072" i="1"/>
  <c r="G439" i="1"/>
  <c r="G917" i="1"/>
  <c r="G707" i="1"/>
  <c r="G688" i="1"/>
  <c r="G440" i="1"/>
  <c r="G441" i="1"/>
  <c r="G844" i="1"/>
  <c r="G1039" i="1"/>
  <c r="G1073" i="1"/>
  <c r="G1074" i="1"/>
  <c r="G1075" i="1"/>
  <c r="G519" i="1"/>
  <c r="G962" i="1"/>
  <c r="G464" i="1"/>
  <c r="G465" i="1"/>
  <c r="G740" i="1"/>
  <c r="G741" i="1"/>
  <c r="G1029" i="1"/>
  <c r="G583" i="1"/>
  <c r="G662" i="1"/>
  <c r="G637" i="1"/>
  <c r="G796" i="1"/>
  <c r="G989" i="1"/>
  <c r="G797" i="1"/>
  <c r="G742" i="1"/>
  <c r="G798" i="1"/>
  <c r="G663" i="1"/>
  <c r="G1030" i="1"/>
  <c r="G664" i="1"/>
  <c r="G584" i="1"/>
  <c r="G808" i="1"/>
  <c r="G524" i="1"/>
  <c r="G638" i="1"/>
  <c r="G986" i="1"/>
  <c r="G980" i="1"/>
  <c r="G542" i="1"/>
  <c r="G716" i="1"/>
  <c r="G593" i="1"/>
  <c r="G850" i="1"/>
  <c r="G723" i="1"/>
  <c r="G608" i="1"/>
  <c r="G533" i="1"/>
  <c r="G1031" i="1"/>
  <c r="G708" i="1"/>
  <c r="G639" i="1"/>
  <c r="G799" i="1"/>
  <c r="G875" i="1"/>
  <c r="G905" i="1"/>
  <c r="G845" i="1"/>
  <c r="G892" i="1"/>
  <c r="G563" i="1"/>
  <c r="G971" i="1"/>
  <c r="G564" i="1"/>
  <c r="G717" i="1"/>
  <c r="G800" i="1"/>
  <c r="G846" i="1"/>
  <c r="G743" i="1"/>
  <c r="G801" i="1"/>
  <c r="G689" i="1"/>
  <c r="G933" i="1"/>
  <c r="G690" i="1"/>
  <c r="G900" i="1"/>
  <c r="G709" i="1"/>
  <c r="G879" i="1"/>
  <c r="G744" i="1"/>
  <c r="G918" i="1"/>
  <c r="G691" i="1"/>
  <c r="G1040" i="1"/>
  <c r="G442" i="1"/>
  <c r="G443" i="1"/>
  <c r="G444" i="1"/>
  <c r="G445" i="1"/>
  <c r="G446" i="1"/>
  <c r="G447" i="1"/>
  <c r="G448" i="1"/>
  <c r="G449" i="1"/>
  <c r="G692" i="1"/>
  <c r="G981" i="1"/>
  <c r="G745" i="1"/>
  <c r="G898" i="1"/>
  <c r="G534" i="1"/>
  <c r="G1032" i="1"/>
  <c r="G589" i="1"/>
  <c r="G1041" i="1"/>
  <c r="G725" i="1"/>
  <c r="G894" i="1"/>
  <c r="G847" i="1"/>
  <c r="G972" i="1"/>
  <c r="G1076" i="1"/>
  <c r="G724" i="1"/>
  <c r="G947" i="1"/>
  <c r="G936" i="1"/>
  <c r="G585" i="1"/>
  <c r="G1033" i="1"/>
  <c r="G665" i="1"/>
  <c r="G899" i="1"/>
  <c r="G987" i="1"/>
  <c r="G982" i="1"/>
  <c r="G710" i="1"/>
  <c r="G640" i="1"/>
  <c r="G906" i="1"/>
  <c r="G925" i="1"/>
  <c r="G848" i="1"/>
  <c r="G641" i="1"/>
  <c r="G746" i="1"/>
  <c r="G802" i="1"/>
  <c r="G520" i="1"/>
  <c r="G963" i="1"/>
  <c r="G718" i="1"/>
  <c r="G877" i="1"/>
  <c r="G990" i="1"/>
  <c r="G803" i="1"/>
  <c r="G893" i="1"/>
  <c r="G565" i="1"/>
  <c r="G804" i="1"/>
  <c r="G1077" i="1"/>
  <c r="G919" i="1"/>
  <c r="G805" i="1"/>
  <c r="G747" i="1"/>
  <c r="G851" i="1"/>
  <c r="G609" i="1"/>
  <c r="G1034" i="1"/>
  <c r="G535" i="1"/>
  <c r="G1093" i="1"/>
  <c r="G1078" i="1"/>
  <c r="G934" i="1"/>
  <c r="G610" i="1"/>
  <c r="G1079" i="1"/>
  <c r="G935" i="1"/>
  <c r="G1080" i="1"/>
  <c r="G950" i="1"/>
  <c r="G806" i="1"/>
  <c r="G1094" i="1"/>
  <c r="G1095" i="1"/>
  <c r="G878" i="1"/>
  <c r="G594" i="1"/>
  <c r="G991" i="1"/>
  <c r="G1096" i="1"/>
  <c r="G1097" i="1"/>
  <c r="G1098" i="1"/>
  <c r="G693" i="1"/>
  <c r="G694" i="1"/>
  <c r="G964" i="1"/>
  <c r="G965" i="1"/>
  <c r="G966" i="1"/>
  <c r="G521" i="1"/>
</calcChain>
</file>

<file path=xl/sharedStrings.xml><?xml version="1.0" encoding="utf-8"?>
<sst xmlns="http://schemas.openxmlformats.org/spreadsheetml/2006/main" count="135918" uniqueCount="37705">
  <si>
    <t>gca</t>
  </si>
  <si>
    <t>body_site</t>
  </si>
  <si>
    <t>hmt</t>
  </si>
  <si>
    <t>genus_species</t>
  </si>
  <si>
    <t>contig</t>
  </si>
  <si>
    <t>jbrowse_url</t>
  </si>
  <si>
    <t>gene_start</t>
  </si>
  <si>
    <t>gene_end</t>
  </si>
  <si>
    <t>dbcan_gene_id</t>
  </si>
  <si>
    <t>EC#</t>
  </si>
  <si>
    <t>dbCAN_hmm</t>
  </si>
  <si>
    <t>dbCAN_sub</t>
  </si>
  <si>
    <t>DIAMOND</t>
  </si>
  <si>
    <t>#ofTools</t>
  </si>
  <si>
    <t>Recommend Results</t>
  </si>
  <si>
    <t>Substrate</t>
  </si>
  <si>
    <t>source_file</t>
  </si>
  <si>
    <t>dbCAN_hmm_GH16_3_only</t>
  </si>
  <si>
    <t>GH16_3_family</t>
  </si>
  <si>
    <t>GH16_3_start</t>
  </si>
  <si>
    <t>GH16_3_end</t>
  </si>
  <si>
    <t>GH16_3_length</t>
  </si>
  <si>
    <t>dbCAN_sub_family</t>
  </si>
  <si>
    <t>uniq_cgc</t>
  </si>
  <si>
    <t>cgc_num</t>
  </si>
  <si>
    <t>cgc_anno</t>
  </si>
  <si>
    <t>SUBSTRATEpred.cgcid</t>
  </si>
  <si>
    <t>SUBSTRATEpred.PULID</t>
  </si>
  <si>
    <t>SUBSTRATEpred.dbCAN-PUL_substrate</t>
  </si>
  <si>
    <t>SUBSTRATEpred.bitscore</t>
  </si>
  <si>
    <t>SUBSTRATEpred.signature_pairs</t>
  </si>
  <si>
    <t>SUBSTRATEpred.dbCAN-sub_substrate</t>
  </si>
  <si>
    <t>SUBSTRATEpred.dbCAN-sub_substrate_score</t>
  </si>
  <si>
    <t>GCA_000012825.1</t>
  </si>
  <si>
    <t>Gastrointestinal</t>
  </si>
  <si>
    <t>HMT-978</t>
  </si>
  <si>
    <t>Phocaeicola_vulgatus</t>
  </si>
  <si>
    <t>CP000139.1</t>
  </si>
  <si>
    <t>CP000139.1_47</t>
  </si>
  <si>
    <t>3.2.1.-:1</t>
  </si>
  <si>
    <t>GH16_3(34-260)</t>
  </si>
  <si>
    <t>GH16_e321(36-261)</t>
  </si>
  <si>
    <t>GH16_3</t>
  </si>
  <si>
    <t>host</t>
  </si>
  <si>
    <t>GCA_000012825.1.overview.tsv</t>
  </si>
  <si>
    <t>GH16_e321</t>
  </si>
  <si>
    <t>GCA_000012825.1_CGC3</t>
  </si>
  <si>
    <t>CGC3</t>
  </si>
  <si>
    <t>TC|1.B.14.6.1; CAZyme|GH43_12|CBM91_e46; CAZyme|GH43_1+Sulfatase|S1_7; CAZyme|GH10_e83+Sulfatase|S1_7; null; TC|2.A.2.3.4; CAZyme|GH16_3</t>
  </si>
  <si>
    <t>CP000139.1|CGC3</t>
  </si>
  <si>
    <t>PUL0346</t>
  </si>
  <si>
    <t>xylan</t>
  </si>
  <si>
    <t>TC-TC;CAZyme-CAZyme;CAZyme-CAZyme;CAZyme-CAZyme;null-null;TC-TC;CAZyme-CAZyme</t>
  </si>
  <si>
    <t>xylan;xylan</t>
  </si>
  <si>
    <t>GCA_000012845.1</t>
  </si>
  <si>
    <t>HMT-973</t>
  </si>
  <si>
    <t>Parabacteroides_distasonis</t>
  </si>
  <si>
    <t>CP000140.1</t>
  </si>
  <si>
    <t>CP000140.1_3079</t>
  </si>
  <si>
    <t>-</t>
  </si>
  <si>
    <t>GH16_3(41-274)</t>
  </si>
  <si>
    <t>GH16_e128(42-275)</t>
  </si>
  <si>
    <t>GCA_000012845.1.overview.tsv</t>
  </si>
  <si>
    <t>GH16_e128</t>
  </si>
  <si>
    <t>GCA_000012845.1_CGC82</t>
  </si>
  <si>
    <t>CGC82</t>
  </si>
  <si>
    <t>CAZyme|GH16_3+Sulfatase|S1_19; STP|Y_Y_Y; null; TC|1.B.14.6.17; TC|8.A.46.1.6; CAZyme|GH144_e1; CAZyme|GH43_28|CBM32_e176; CAZyme|GH144_e1; CAZyme|GH3_e1+Sulfatase|S1_7; CAZyme|GH3_e1+Sulfatase|S1_7; CAZyme|GH43_28|CBM32_e188</t>
  </si>
  <si>
    <t>CP000140.1|CGC82</t>
  </si>
  <si>
    <t>PUL0654</t>
  </si>
  <si>
    <t>alginate</t>
  </si>
  <si>
    <t>STP-TF;TC-TC;TC-null;CAZyme-CAZyme;CAZyme-CAZyme;CAZyme-CAZyme;CAZyme-CAZyme;CAZyme-CAZyme;CAZyme-CAZyme</t>
  </si>
  <si>
    <t>beta-glucan;beta-glucan,hostglycan,beta-glucan;xyloglucan</t>
  </si>
  <si>
    <t>GCA_000020225.1</t>
  </si>
  <si>
    <t>HMT-963</t>
  </si>
  <si>
    <t>Akkermansia_muciniphila</t>
  </si>
  <si>
    <t>CP001071.1</t>
  </si>
  <si>
    <t>CP001071.1_2118</t>
  </si>
  <si>
    <t>3.2.1.-:2</t>
  </si>
  <si>
    <t>GH16_3(17-266)</t>
  </si>
  <si>
    <t>GH16_e147(18-267)</t>
  </si>
  <si>
    <t>GCA_000020225.1.overview.tsv</t>
  </si>
  <si>
    <t>GH16_e147</t>
  </si>
  <si>
    <t>GCA_000020225.1_CGC58</t>
  </si>
  <si>
    <t>CGC58</t>
  </si>
  <si>
    <t>CAZyme|GH16_3; CAZyme|GH3_e83; STP|Pribosyltran</t>
  </si>
  <si>
    <t>CP001071.1_729</t>
  </si>
  <si>
    <t>GH16_3(36-282)</t>
  </si>
  <si>
    <t>GH16_e2(37-283)</t>
  </si>
  <si>
    <t>GH16_e2</t>
  </si>
  <si>
    <t>GCA_000020225.1_CGC18</t>
  </si>
  <si>
    <t>CGC18</t>
  </si>
  <si>
    <t>CAZyme|GH16_3; null; STP|FHA; null; TC|9.A.8.1.21</t>
  </si>
  <si>
    <t>CP001071.1_878</t>
  </si>
  <si>
    <t>GH16_3(51-296)</t>
  </si>
  <si>
    <t>GH16_e54(52-297)</t>
  </si>
  <si>
    <t>GH16_e54</t>
  </si>
  <si>
    <t>GCA_000020225.1_CGC26</t>
  </si>
  <si>
    <t>CGC26</t>
  </si>
  <si>
    <t>CAZyme|GH16_3+Sulfatase|S1_19; TC|3.A.3.5.15; null; Sulfatase|S4; CAZyme|GT26_e41</t>
  </si>
  <si>
    <t>CP001071.1|CGC26</t>
  </si>
  <si>
    <t>PUL0406</t>
  </si>
  <si>
    <t>beta-glucan</t>
  </si>
  <si>
    <t>CAZyme-CAZyme;TC-TC</t>
  </si>
  <si>
    <t>GCA_000023285.1</t>
  </si>
  <si>
    <t>Oral</t>
  </si>
  <si>
    <t>HMT-700</t>
  </si>
  <si>
    <t>Capnocytophaga_ochracea</t>
  </si>
  <si>
    <t>CP001632.1</t>
  </si>
  <si>
    <t>CP001632.1_1126</t>
  </si>
  <si>
    <t>3.2.1.39:1</t>
  </si>
  <si>
    <t>CBM103(129-310)+GH16_3(322-546)</t>
  </si>
  <si>
    <t>GH16_e121(324-547)</t>
  </si>
  <si>
    <t>CBM103+GH16_3</t>
  </si>
  <si>
    <t>CBM103|GH16_3</t>
  </si>
  <si>
    <t>GCA_000023285.1.overview.tsv</t>
  </si>
  <si>
    <t>GH16_3(322-546)</t>
  </si>
  <si>
    <t>GH16_e121</t>
  </si>
  <si>
    <t>GCA_000023285.1_CGC27</t>
  </si>
  <si>
    <t>CGC27</t>
  </si>
  <si>
    <t>CAZyme|GT51_e154; TC|1.B.14.6.17; TC|8.A.46.1.3; null; Peptidase|S09.UPW; CAZyme|GH144_e1; STP|Y_Y_Y+STP|GerE; TC|1.B.14.6.17; TC|1.B.38.1.10; CAZyme|CBM102; CAZyme|CBM103|GH16_3+Sulfatase|S1_19; CAZyme|GH3_e1+Sulfatase|S1_7; null; null; STP|GerE; Peptidase|G05.UPW; TC|2.A.53.3.8; Peptidase|I39.UPW; TC|8.A.46.3.4</t>
  </si>
  <si>
    <t>CP001632.1|CGC27</t>
  </si>
  <si>
    <t>TC-TC;TC-TC;Peptidase-PEPTIDASE;CAZyme-CAZyme;CAZyme-CAZyme;STP-TF;TC-TC;CAZyme-CAZyme;Peptidase-TC</t>
  </si>
  <si>
    <t>CP001632.1_561</t>
  </si>
  <si>
    <t>GH16_3(35-261)</t>
  </si>
  <si>
    <t>GH16_e321(36-262)</t>
  </si>
  <si>
    <t>GCA_000023285.1_CGC16</t>
  </si>
  <si>
    <t>CGC16</t>
  </si>
  <si>
    <t>TC|3.A.1.10.3; null; null; TC|2.A.1.2.7; null; CAZyme|GH16_3</t>
  </si>
  <si>
    <t>CP001632.1_587</t>
  </si>
  <si>
    <t>GH16_3(43-275)</t>
  </si>
  <si>
    <t>GH16_e321(44-276)</t>
  </si>
  <si>
    <t>GCA_000023285.1_CGC17</t>
  </si>
  <si>
    <t>CGC17</t>
  </si>
  <si>
    <t>STP|cNMP_binding; null; CAZyme|GH16_3</t>
  </si>
  <si>
    <t>GCA_000023905.1</t>
  </si>
  <si>
    <t>HMT-563</t>
  </si>
  <si>
    <t>Leptotrichia_buccalis</t>
  </si>
  <si>
    <t>CP001685.1</t>
  </si>
  <si>
    <t>CP001685.1_2144</t>
  </si>
  <si>
    <t>GH16_3(66-321)</t>
  </si>
  <si>
    <t>GH16_e50(67-322)</t>
  </si>
  <si>
    <t>GCA_000023905.1.overview.tsv</t>
  </si>
  <si>
    <t>GH16_e50</t>
  </si>
  <si>
    <t>GCA_000023925.1</t>
  </si>
  <si>
    <t>Environmental</t>
  </si>
  <si>
    <t>HMT-855</t>
  </si>
  <si>
    <t>Kytococcus_sedentarius</t>
  </si>
  <si>
    <t>CP001686.1</t>
  </si>
  <si>
    <t>CP001686.1_2591</t>
  </si>
  <si>
    <t>GCA_000023925.1.overview.tsv</t>
  </si>
  <si>
    <t>GCA_000023925.1_CGC27</t>
  </si>
  <si>
    <t>CAZyme|GT4_e52; null; null; CAZyme|GT2; null; CAZyme|GT2; TC|9.B.97.5.4; CAZyme|GT4_e3183; TC|9.B.97.5.4; CAZyme|GT2; null; CAZyme|GT2|GT4_e3617</t>
  </si>
  <si>
    <t>GCA_000144405.1</t>
  </si>
  <si>
    <t>HMT-469</t>
  </si>
  <si>
    <t>Prevotella_melaninogenica</t>
  </si>
  <si>
    <t>CP002122.1</t>
  </si>
  <si>
    <t>CP002122.1_1389</t>
  </si>
  <si>
    <t>GH16_3(53-279)</t>
  </si>
  <si>
    <t>GH16_e144(54-280)</t>
  </si>
  <si>
    <t>GCA_000144405.1.overview.tsv</t>
  </si>
  <si>
    <t>GH16_e144</t>
  </si>
  <si>
    <t>GCA_000144405.1_CGC26</t>
  </si>
  <si>
    <t>STP|Sigma70_r2+STP|Sigma70_r4_2; STP|LytTR; null; null; CAZyme|GH16_3; null; CAZyme|GT2+TC|4.D.1.1.14; null; CAZyme|GT4_e2089; null; CAZyme|GT32_e169; CAZyme|GT2; CAZyme|GT2+TC|4.D.1.3.2; null; CAZyme|GT11_e30; null; TC|3.A.1.106.2</t>
  </si>
  <si>
    <t>CP002122.1|CGC26</t>
  </si>
  <si>
    <t>PUL0337</t>
  </si>
  <si>
    <t>CAZyme-CAZyme;CAZyme-CAZyme</t>
  </si>
  <si>
    <t>GCA_000154525.1</t>
  </si>
  <si>
    <t>HMT-969</t>
  </si>
  <si>
    <t>Bacteroides_stercoris</t>
  </si>
  <si>
    <t>DS499673.1</t>
  </si>
  <si>
    <t>DS499673.1_156</t>
  </si>
  <si>
    <t>3.2.1.51:3;3.2.1.111:8|-|3.2.1.-:2</t>
  </si>
  <si>
    <t>GH29(43-370)+CBM32(502-617)+GH16_3(691-909)</t>
  </si>
  <si>
    <t>GH29_e30(50-368)+CBM32_e126(504-604)+GH16_e147(689-909)</t>
  </si>
  <si>
    <t>GH29</t>
  </si>
  <si>
    <t>GH29_e30|CBM32_e126|GH16_3</t>
  </si>
  <si>
    <t>GCA_000154525.1.overview.tsv</t>
  </si>
  <si>
    <t>GH16_3(691-909)</t>
  </si>
  <si>
    <t>GH29_e30</t>
  </si>
  <si>
    <t>GCA_000154525.1_CGC26</t>
  </si>
  <si>
    <t>STP|TPR_2; null; null; STP|HhH-GPD; TC|2.A.1.46.5; null; STP|Y_Y_Y+STP|HisKA+STP|HATPase_c+STP|Response_reg+STP|HTH_18; CAZyme|GH2_10+Sulfatase|S1_19; CAZyme|GH20_e106; CAZyme|GH18_e13; null; CAZyme|GH95_e0+Sulfatase|S1_7; TC|1.B.14.6.1; null; Sulfatase|S1_11; CAZyme|GH20_e135+Sulfatase|S1_16; CAZyme|GH29_e30|CBM32_e126|GH16_3+Sulfatase|S1_16</t>
  </si>
  <si>
    <t>DS499673.1|CGC26</t>
  </si>
  <si>
    <t>PUL0467</t>
  </si>
  <si>
    <t>host glycan</t>
  </si>
  <si>
    <t>STP-TF;CAZyme-CAZyme;CAZyme-CAZyme;CAZyme-CAZyme;Sulfatase-SULFATLAS;Sulfatase-SULFATLAS;CAZyme-CAZyme;CAZyme-CAZyme;CAZyme-null</t>
  </si>
  <si>
    <t>hostglycan</t>
  </si>
  <si>
    <t>DS499673.1_240</t>
  </si>
  <si>
    <t>DS499674.1</t>
  </si>
  <si>
    <t>DS499674.1_445</t>
  </si>
  <si>
    <t>GH29(41-371)+CBM32(504-603)+GH16_3(692-910)</t>
  </si>
  <si>
    <t>GH29_e30(51-368)+CBM32_e126(504-605)+GH16_e147(682-910)</t>
  </si>
  <si>
    <t>GH16_3(692-910)</t>
  </si>
  <si>
    <t>GCA_000154525.1_CGC45</t>
  </si>
  <si>
    <t>CGC45</t>
  </si>
  <si>
    <t>CAZyme|GH20_e135+Sulfatase|S1_16; CAZyme|GH2_10+Sulfatase|S1_19; CAZyme|GH29_e30|CBM32_e126|GH16_3+Sulfatase|S1_16; Sulfatase|S1_16; STP|Sigma70_r2+STP|Sigma70_r4_2; null; null; STP|HD; null; STP|TPR_2</t>
  </si>
  <si>
    <t>DS499674.1|CGC45</t>
  </si>
  <si>
    <t>CAZyme-CAZyme;CAZyme-CAZyme;CAZyme-CAZyme;CAZyme-null;Sulfatase-SULFATLAS</t>
  </si>
  <si>
    <t>GCA_000159955.1</t>
  </si>
  <si>
    <t>HMT-786</t>
  </si>
  <si>
    <t>Paenibacillus_phoenicis</t>
  </si>
  <si>
    <t>GG695970.1</t>
  </si>
  <si>
    <t>GG695970.1_174</t>
  </si>
  <si>
    <t>3.2.1.6:1;3.2.1.39:1;3.2.1.73:1|3.2.1.6:1;3.2.1.39:1;3.2.1.73:1</t>
  </si>
  <si>
    <t>GH16_3(38-263)+CBM13(342-415)</t>
  </si>
  <si>
    <t>GH16_e342(39-264)+CBM13_e342(278-415)</t>
  </si>
  <si>
    <t>CBM13+GH16_3</t>
  </si>
  <si>
    <t>GH16_3|CBM13_e342</t>
  </si>
  <si>
    <t>beta-glucan;host</t>
  </si>
  <si>
    <t>GCA_000159955.1.overview.tsv</t>
  </si>
  <si>
    <t>GH16_3(38-263)</t>
  </si>
  <si>
    <t>GH16_e342</t>
  </si>
  <si>
    <t>GG695971.1</t>
  </si>
  <si>
    <t>GG695971.1_90</t>
  </si>
  <si>
    <t>3.2.1.39:1|3.2.1.39:1|3.2.1.39:4|3.2.1.39:1</t>
  </si>
  <si>
    <t>GH16_3(427-679)+CBM56(711-794)</t>
  </si>
  <si>
    <t>CBM56_e2(35-127)+CBM56_e2(141-242)+GH16_e317(428-680)+CBM56_e2(699-794)</t>
  </si>
  <si>
    <t>CBM56+GH16_3</t>
  </si>
  <si>
    <t>CBM56_e2|CBM56_e2|GH16_3|CBM56_e2</t>
  </si>
  <si>
    <t>GH16_3(427-679)</t>
  </si>
  <si>
    <t>CBM56_e2</t>
  </si>
  <si>
    <t>GCA_000159955.1_CGC18</t>
  </si>
  <si>
    <t>STP|GntR+STP|Peripla_BP_3; STP|SBP_bac_1; TC|3.A.1.1.16; TC|3.A.1.11.8; Sulfatase|S1_14; TC|9.B.20.1.4; null; TC|2.A.17.1.7; STP|HTH_11; STP|GyrI-like; null; CAZyme|CBM56_e2|CBM56_e2|GH16_3|CBM56_e2; STP|Sigma70_r2+STP|Sigma70_r4_2; TC|2.A.66.1.28; null; TC|1.A.115.1.5; STP|MerR; null; STP|HTH_18+STP|Peripla_BP_2; STP|Peripla_BP_2; Peptidase|S09.UNB; null; STP|HTH_3; TC|9.B.223.1.1</t>
  </si>
  <si>
    <t>GCA_000160655.1</t>
  </si>
  <si>
    <t>HMT-633</t>
  </si>
  <si>
    <t>Cardiobacterium_hominis</t>
  </si>
  <si>
    <t>GG694031.1</t>
  </si>
  <si>
    <t>GG694031.1_1</t>
  </si>
  <si>
    <t>GH135+GH16_3</t>
  </si>
  <si>
    <t>GCA_000160655.1.overview.tsv</t>
  </si>
  <si>
    <t>GG694032.1</t>
  </si>
  <si>
    <t>GG694032.1_1</t>
  </si>
  <si>
    <t>-|-|-</t>
  </si>
  <si>
    <t>GH16_3(149-405)+GH135(1162-1374)</t>
  </si>
  <si>
    <t>GH16_e218(150-406)+GH16_e218(626-794)+GH135_e1(1163-1378)</t>
  </si>
  <si>
    <t>GH16_3|GH16_e218|GH135_e1</t>
  </si>
  <si>
    <t>galactosaminogalactan</t>
  </si>
  <si>
    <t>GH16_3(149-405)</t>
  </si>
  <si>
    <t>GH16_e218</t>
  </si>
  <si>
    <t>GG694048.1</t>
  </si>
  <si>
    <t>GG694048.1_1</t>
  </si>
  <si>
    <t>GCA_000162455.1</t>
  </si>
  <si>
    <t>HMT-560</t>
  </si>
  <si>
    <t>Segatella_buccae</t>
  </si>
  <si>
    <t>GG739929.1</t>
  </si>
  <si>
    <t>GG739929.1_126</t>
  </si>
  <si>
    <t>GH16_3(138-366)</t>
  </si>
  <si>
    <t>GH16_e240(139-367)</t>
  </si>
  <si>
    <t>GCA_000162455.1.overview.tsv</t>
  </si>
  <si>
    <t>GH16_e240</t>
  </si>
  <si>
    <t>GCA_000162455.1_CGC27</t>
  </si>
  <si>
    <t>CAZyme|GH3_e1+Sulfatase|S1_7; CAZyme|GH16_3+Sulfatase|S1_19; CAZyme|CBM103; null; TC|1.B.14.6.17</t>
  </si>
  <si>
    <t>GG739929.1|CGC27</t>
  </si>
  <si>
    <t>PUL0551</t>
  </si>
  <si>
    <t>CAZyme-CAZyme;CAZyme-CAZyme;CAZyme-CAZyme;null-null;TC-TC</t>
  </si>
  <si>
    <t>GG739939.1</t>
  </si>
  <si>
    <t>GG739939.1_6</t>
  </si>
  <si>
    <t>GH16_3(3-214)</t>
  </si>
  <si>
    <t>GH16_e110(5-215)</t>
  </si>
  <si>
    <t>GH16_e110</t>
  </si>
  <si>
    <t>GCA_000162455.1_CGC51</t>
  </si>
  <si>
    <t>CGC51</t>
  </si>
  <si>
    <t>CAZyme|GH5_21; CAZyme|GT26_e12; CAZyme|GT26_e51; CAZyme|GH16_3; CAZyme|GT4_e3415; null; CAZyme|GT2; null; CAZyme|GT32_e128; null; null; TC|2.A.40.1.4; TC|2.A.40.4.2; null; TC|2.A.40.7.8; null; null; CAZyme|CBM48_e32|GH13_8; null; null; TC|2.A.7.3.36; STP|Rhodanese</t>
  </si>
  <si>
    <t>GG739939.1|CGC51</t>
  </si>
  <si>
    <t>alpha-glucan</t>
  </si>
  <si>
    <t>GCA_000162895.1</t>
  </si>
  <si>
    <t>HMT-848</t>
  </si>
  <si>
    <t>Peptidiphaga_gingivicola</t>
  </si>
  <si>
    <t>GG703879.1</t>
  </si>
  <si>
    <t>GG703879.1_802</t>
  </si>
  <si>
    <t>3.2.1.35:2</t>
  </si>
  <si>
    <t>GH16_3(74-322)</t>
  </si>
  <si>
    <t>GH16_e341(75-322)</t>
  </si>
  <si>
    <t>GCA_000162895.1.overview.tsv</t>
  </si>
  <si>
    <t>GH16_e341</t>
  </si>
  <si>
    <t>GCA_000162935.1</t>
  </si>
  <si>
    <t>HMT-572</t>
  </si>
  <si>
    <t>Prevotella_veroralis</t>
  </si>
  <si>
    <t>GG698713.1</t>
  </si>
  <si>
    <t>GG698713.1_272</t>
  </si>
  <si>
    <t>GCA_000162935.1.overview.tsv</t>
  </si>
  <si>
    <t>GCA_000162935.1_CGC20</t>
  </si>
  <si>
    <t>CGC20</t>
  </si>
  <si>
    <t>TC|3.A.1.106.2; null; CAZyme|GH16_3; null; null; STP|LytTR</t>
  </si>
  <si>
    <t>GCA_000162955.1</t>
  </si>
  <si>
    <t>HMT-224</t>
  </si>
  <si>
    <t>Leptotrichia_hofstadii</t>
  </si>
  <si>
    <t>GG700633.1</t>
  </si>
  <si>
    <t>GG700633.1_126</t>
  </si>
  <si>
    <t>GH16_3(2-257)</t>
  </si>
  <si>
    <t>GH16_e50(3-258)</t>
  </si>
  <si>
    <t>GCA_000162955.1.overview.tsv</t>
  </si>
  <si>
    <t>GCA_000162955.1_CGC15</t>
  </si>
  <si>
    <t>CGC15</t>
  </si>
  <si>
    <t>CAZyme|CE9_e0+Peptidase|M38.UNW; CAZyme|CE9_e0+Peptidase|M38.UNW; Sulfatase|S1_9; TC|9.B.18.2.4; null; null; CAZyme|GH16_3+Sulfatase|S1_19; null; null; CAZyme|GT2</t>
  </si>
  <si>
    <t>GG700633.1|CGC15</t>
  </si>
  <si>
    <t>PUL0093</t>
  </si>
  <si>
    <t>CAZyme-CAZyme;Sulfatase-SULFATLAS;Sulfatase-SULFATLAS</t>
  </si>
  <si>
    <t>GCA_000163035.1</t>
  </si>
  <si>
    <t>GG740010.1</t>
  </si>
  <si>
    <t>GG740010.1_332</t>
  </si>
  <si>
    <t>GCA_000163035.1.overview.tsv</t>
  </si>
  <si>
    <t>GCA_000163035.1_CGC11</t>
  </si>
  <si>
    <t>CGC11</t>
  </si>
  <si>
    <t>CAZyme|GT2; CAZyme|GT2+TC|4.D.1.3.2; CAZyme|GT32_e169; null; CAZyme|GT4_e2089; null; CAZyme|GT2+TC|4.D.1.1.14; CAZyme|CE4_e267; CAZyme|GH16_3; null; null; STP|LytTR</t>
  </si>
  <si>
    <t>GG740010.1|CGC11</t>
  </si>
  <si>
    <t>GCA_000163495.1</t>
  </si>
  <si>
    <t>HMT-658</t>
  </si>
  <si>
    <t>Hoylesella_loescheii</t>
  </si>
  <si>
    <t>GG704824.1</t>
  </si>
  <si>
    <t>GG704824.1_693</t>
  </si>
  <si>
    <t>GH16_3(142-370)</t>
  </si>
  <si>
    <t>GH16_e240(142-371)</t>
  </si>
  <si>
    <t>GCA_000163495.1.overview.tsv</t>
  </si>
  <si>
    <t>GCA_000163495.1_CGC15</t>
  </si>
  <si>
    <t>TC|1.B.14.6.17; null; CAZyme|CBM103; CAZyme|GH16_3; CAZyme|GH3_e1+Sulfatase|S1_7</t>
  </si>
  <si>
    <t>GG704824.1|CGC15</t>
  </si>
  <si>
    <t>PUL0118</t>
  </si>
  <si>
    <t>TC-TC;null-null;CAZyme-STP;CAZyme-CAZyme;CAZyme-CAZyme</t>
  </si>
  <si>
    <t>GCA_000163695.1</t>
  </si>
  <si>
    <t>HMT-274</t>
  </si>
  <si>
    <t>Paludibacteraceae_[G1]</t>
  </si>
  <si>
    <t>GG774890.1</t>
  </si>
  <si>
    <t>GG774890.1_10</t>
  </si>
  <si>
    <t>GH16_3(29-256)</t>
  </si>
  <si>
    <t>GH16_e321(30-257)</t>
  </si>
  <si>
    <t>GCA_000163695.1.overview.tsv</t>
  </si>
  <si>
    <t>GCA_000163695.1_CGC15</t>
  </si>
  <si>
    <t>TC|3.A.5.1.1; null; null; TC|3.A.1.140.2; null; CAZyme|GH16_3; null; null; TC|9.B.14.3.3; null; TC|5.A.3.5.3; null; null; TC|9.B.18.2.4; TC|2.A.53.3.11</t>
  </si>
  <si>
    <t>GCA_000173675.1</t>
  </si>
  <si>
    <t>HMT-775</t>
  </si>
  <si>
    <t>Capnocytophaga_sputigena</t>
  </si>
  <si>
    <t>ABZV01000002.1</t>
  </si>
  <si>
    <t>ABZV01000002.1_115</t>
  </si>
  <si>
    <t>GH16_e121(323-547)</t>
  </si>
  <si>
    <t>GCA_000173675.1.overview.tsv</t>
  </si>
  <si>
    <t>GCA_000173675.1_CGC12</t>
  </si>
  <si>
    <t>CGC12</t>
  </si>
  <si>
    <t>STP|Y_Y_Y; TC|1.B.14.6.17; TC|8.A.46.1.3; null; Peptidase|S09.UPW; CAZyme|GH144_e1; STP|Y_Y_Y; TC|1.B.14.6.17; TC|1.B.38.1.10; CAZyme|CBM102; CAZyme|CBM103|GH16_3+Sulfatase|S1_19; CAZyme|GH3_e1+Sulfatase|S1_7; null; null; TC|3.A.1.132.3</t>
  </si>
  <si>
    <t>ABZV01000002.1|CGC12</t>
  </si>
  <si>
    <t>PUL0234</t>
  </si>
  <si>
    <t>TC-TC;STP-TF;TC-TC;TC-TC;CAZyme-CAZyme;CAZyme-CAZyme;CAZyme-CAZyme</t>
  </si>
  <si>
    <t>ABZV01000007.1</t>
  </si>
  <si>
    <t>ABZV01000007.1_151</t>
  </si>
  <si>
    <t>GH16_3(38-270)</t>
  </si>
  <si>
    <t>GH16_e321(40-271)</t>
  </si>
  <si>
    <t>GCA_000173675.1_CGC22</t>
  </si>
  <si>
    <t>CGC22</t>
  </si>
  <si>
    <t>STP|Nitroreductase; null; Peptidase|G05.UPW; STP|GerE; null; TC|8.A.5.1.4; null; CAZyme|GH16_3; TC|1.A.115.1.5; null; null; STP|TPR_2</t>
  </si>
  <si>
    <t>GCA_000174755.1</t>
  </si>
  <si>
    <t>HMT-337</t>
  </si>
  <si>
    <t>Capnocytophaga_gingivalis</t>
  </si>
  <si>
    <t>ACLQ01000010.1</t>
  </si>
  <si>
    <t>ACLQ01000010.1_54</t>
  </si>
  <si>
    <t>GH16_3(37-269)</t>
  </si>
  <si>
    <t>GH16_e321(38-270)</t>
  </si>
  <si>
    <t>GCA_000174755.1.overview.tsv</t>
  </si>
  <si>
    <t>GCA_000174755.1_CGC9</t>
  </si>
  <si>
    <t>CGC9</t>
  </si>
  <si>
    <t>CAZyme|GH16_3; null; TC|8.A.5.1.4; null; null; STP|GerE; Peptidase|G05.UPW; STP|Nitroreductase</t>
  </si>
  <si>
    <t>GCA_000176335.1</t>
  </si>
  <si>
    <t>HMT-845</t>
  </si>
  <si>
    <t>Pseudoleptotrichia_goodfellowii</t>
  </si>
  <si>
    <t>ADAD01000002.1</t>
  </si>
  <si>
    <t>ADAD01000002.1_7</t>
  </si>
  <si>
    <t>GH16_3(137-390)</t>
  </si>
  <si>
    <t>GH16_e50(138-391)</t>
  </si>
  <si>
    <t>GCA_000176335.1.overview.tsv</t>
  </si>
  <si>
    <t>GCA_000176335.1_CGC1</t>
  </si>
  <si>
    <t>CGC1</t>
  </si>
  <si>
    <t>CAZyme|GT2; null; TC|2.A.129.1.11; null; CAZyme|GT2; CAZyme|GT2; CAZyme|GH16_3; TC|9.B.18.2.4</t>
  </si>
  <si>
    <t>GCA_000180035.1</t>
  </si>
  <si>
    <t>HMT-411</t>
  </si>
  <si>
    <t>Streptococcus_parasanguinis</t>
  </si>
  <si>
    <t>AEKM01000012.1</t>
  </si>
  <si>
    <t>AEKM01000012.1_170</t>
  </si>
  <si>
    <t>3.2.1.6:1;3.2.1.39:1</t>
  </si>
  <si>
    <t>GH16_3(64-345)</t>
  </si>
  <si>
    <t>GH16_e193(65-346)</t>
  </si>
  <si>
    <t>GCA_000180035.1.overview.tsv</t>
  </si>
  <si>
    <t>GH16_e193</t>
  </si>
  <si>
    <t>GCA_000180035.1_CGC30</t>
  </si>
  <si>
    <t>CGC30</t>
  </si>
  <si>
    <t>TC|3.A.1.1.28; CAZyme|GH13_31+TC|8.A.9.1.2; null; CAZyme|GH16_3; null; null; CAZyme|GH16_3</t>
  </si>
  <si>
    <t>AEKM01000012.1|CGC30</t>
  </si>
  <si>
    <t>PUL0088</t>
  </si>
  <si>
    <t>raffinose</t>
  </si>
  <si>
    <t>TC-TC;CAZyme-CAZyme</t>
  </si>
  <si>
    <t>AEKM01000012.1_173</t>
  </si>
  <si>
    <t>GH16_3(66-346)</t>
  </si>
  <si>
    <t>GH16_e113(68-347)</t>
  </si>
  <si>
    <t>GH16_e113</t>
  </si>
  <si>
    <t>GCA_000180155.1</t>
  </si>
  <si>
    <t>HMT-043</t>
  </si>
  <si>
    <t>Actinomyces_oris</t>
  </si>
  <si>
    <t>BABV01000514.1</t>
  </si>
  <si>
    <t>BABV01000514.1_8</t>
  </si>
  <si>
    <t>GH16_3(46-282)</t>
  </si>
  <si>
    <t>GH16_e278(47-283)</t>
  </si>
  <si>
    <t>GH16</t>
  </si>
  <si>
    <t>GCA_000180155.1.overview.tsv</t>
  </si>
  <si>
    <t>GH16_e278</t>
  </si>
  <si>
    <t>GCA_000180155.1_CGC17</t>
  </si>
  <si>
    <t>STP|HTH_3; null; TC|2.A.36.3.3; CAZyme|GH16_3; STP|HTH_3</t>
  </si>
  <si>
    <t>GCA_000183985.1</t>
  </si>
  <si>
    <t>GL573160.1</t>
  </si>
  <si>
    <t>GL573160.1_1402</t>
  </si>
  <si>
    <t>GH16_3(33-259)</t>
  </si>
  <si>
    <t>GH16_e321(34-260)</t>
  </si>
  <si>
    <t>GCA_000183985.1.overview.tsv</t>
  </si>
  <si>
    <t>GCA_000183985.1_CGC31</t>
  </si>
  <si>
    <t>CGC31</t>
  </si>
  <si>
    <t>TC|3.A.1.10.3; null; null; TC|2.A.1.2.7; null; null; CAZyme|GH16_3</t>
  </si>
  <si>
    <t>GL573160.1_1406</t>
  </si>
  <si>
    <t>GH16_3(43-273)</t>
  </si>
  <si>
    <t>GH16_e321(44-274)</t>
  </si>
  <si>
    <t>GCA_000183985.1_CGC32</t>
  </si>
  <si>
    <t>CGC32</t>
  </si>
  <si>
    <t>CAZyme|GH16_3; null; STP|cNMP_binding</t>
  </si>
  <si>
    <t>GL573160.1_1911</t>
  </si>
  <si>
    <t>GCA_000183985.1_CGC42</t>
  </si>
  <si>
    <t>CGC42</t>
  </si>
  <si>
    <t>CAZyme|GT2+TC|4.D.1.1.2; null; CAZyme|GH163_e10; null; null; CAZyme|GT51_e154; TC|1.B.14.6.17; TC|8.A.46.1.3; null; Peptidase|S09.UPW; CAZyme|GH144_e1; STP|Y_Y_Y+STP|GerE; TC|1.B.14.6.17; TC|1.B.38.1.10; CAZyme|CBM102; CAZyme|CBM103|GH16_3+Sulfatase|S1_19; CAZyme|GH3_e1+Sulfatase|S1_7; null; TC|2.A.53.3.8; Peptidase|I39.UPW; TC|8.A.46.3.4</t>
  </si>
  <si>
    <t>GL573160.1|CGC42</t>
  </si>
  <si>
    <t>STP-TF;TC-TC;TC-TC;CAZyme-CAZyme;CAZyme-CAZyme;CAZyme-CAZyme;Peptidase-TC</t>
  </si>
  <si>
    <t>GCA_000184945.1</t>
  </si>
  <si>
    <t>GL586311.1</t>
  </si>
  <si>
    <t>GL586311.1_2531</t>
  </si>
  <si>
    <t>GCA_000184945.1.overview.tsv</t>
  </si>
  <si>
    <t>GCA_000184945.1_CGC64</t>
  </si>
  <si>
    <t>CGC64</t>
  </si>
  <si>
    <t>CAZyme|GH5_21; null; CAZyme|GT26_e51; CAZyme|GH16_3; CAZyme|GT4_e3415; null; CAZyme|GT2; null; CAZyme|GT32_e128; null; null; TC|2.A.40.1.4; TC|2.A.40.4.2; null; TC|2.A.40.7.8; null; null; CAZyme|CBM48_e32|GH13_8; null; null; TC|2.A.7.3.36; STP|Rhodanese</t>
  </si>
  <si>
    <t>GL586311.1|CGC64</t>
  </si>
  <si>
    <t>GL586311.1_558</t>
  </si>
  <si>
    <t>GCA_000184945.1_CGC16</t>
  </si>
  <si>
    <t>GL586311.1|CGC16</t>
  </si>
  <si>
    <t>GCA_000187895.1</t>
  </si>
  <si>
    <t>HMT-977</t>
  </si>
  <si>
    <t>Phocaeicola_plebeius</t>
  </si>
  <si>
    <t>DS990134.1</t>
  </si>
  <si>
    <t>DS990134.1_519</t>
  </si>
  <si>
    <t>GH16_3(41-276)</t>
  </si>
  <si>
    <t>GH16_e240(42-277)</t>
  </si>
  <si>
    <t>GCA_000187895.1.overview.tsv</t>
  </si>
  <si>
    <t>GCA_000187895.1_CGC81</t>
  </si>
  <si>
    <t>CGC81</t>
  </si>
  <si>
    <t>CAZyme|GH3_e1+Sulfatase|S1_7; CAZyme|GH16_3+Sulfatase|S1_19; null; TC|1.B.14.6.17; null; CAZyme|GH109_e3; null; STP|HTH_3; TC|2.A.1.42.2; CAZyme|PL8_2+Sulfatase|S1_27</t>
  </si>
  <si>
    <t>DS990134.1|CGC81</t>
  </si>
  <si>
    <t>PUL0537</t>
  </si>
  <si>
    <t>CAZyme-CAZyme;null-null;TC-TC</t>
  </si>
  <si>
    <t>GCA_000191065.1</t>
  </si>
  <si>
    <t>HMT-685</t>
  </si>
  <si>
    <t>Prevotella_multiformis</t>
  </si>
  <si>
    <t>GL872283.1</t>
  </si>
  <si>
    <t>GL872283.1_214</t>
  </si>
  <si>
    <t>GH16_3(71-296)</t>
  </si>
  <si>
    <t>GH16_e144(71-297)</t>
  </si>
  <si>
    <t>GCA_000191065.1.overview.tsv</t>
  </si>
  <si>
    <t>GCA_000191065.1_CGC24</t>
  </si>
  <si>
    <t>CGC24</t>
  </si>
  <si>
    <t>TC|3.A.1.106.2; TC|2.A.127.1.11; null; null; CAZyme|GT4_e110; CAZyme|GT2; CAZyme|GT4_e2325; null; CAZyme|GT4_e2089; null; CAZyme|GT2+TC|4.D.1.1.14; CAZyme|CE4_e54; null; CAZyme|GH16_3; null; null; STP|LytTR; null; STP|Pribosyltran</t>
  </si>
  <si>
    <t>GL872283.1|CGC24</t>
  </si>
  <si>
    <t>GCA_000191765.2</t>
  </si>
  <si>
    <t>HMT-291</t>
  </si>
  <si>
    <t>Prevotella_denticola</t>
  </si>
  <si>
    <t>AEXO01000095.1</t>
  </si>
  <si>
    <t>AEXO01000095.1_68</t>
  </si>
  <si>
    <t>GH16_3(41-267)</t>
  </si>
  <si>
    <t>GH16_e144(42-268)</t>
  </si>
  <si>
    <t>GCA_000191765.2.overview.tsv</t>
  </si>
  <si>
    <t>GCA_000191765.2_CGC38</t>
  </si>
  <si>
    <t>CGC38</t>
  </si>
  <si>
    <t>CAZyme|GH16_3; TC|2.A.127.1.3</t>
  </si>
  <si>
    <t>GCA_000192225.1</t>
  </si>
  <si>
    <t>HMT-338</t>
  </si>
  <si>
    <t>Capnocytophaga_sp.</t>
  </si>
  <si>
    <t>GL872413.1</t>
  </si>
  <si>
    <t>GL872413.1_246</t>
  </si>
  <si>
    <t>GCA_000192225.1.overview.tsv</t>
  </si>
  <si>
    <t>GCA_000192225.1_CGC3</t>
  </si>
  <si>
    <t>CAZyme|GH16_3; null; null; STP|Citrate_synt; TC|2.A.66.1.48; null; TC|1.A.35.3.2; null; null; TC|2.A.76.3.1</t>
  </si>
  <si>
    <t>GCA_000193395.1</t>
  </si>
  <si>
    <t>CP002589.1</t>
  </si>
  <si>
    <t>CP002589.1_506</t>
  </si>
  <si>
    <t>GCA_000193395.1.overview.tsv</t>
  </si>
  <si>
    <t>GCA_000193395.1_CGC12</t>
  </si>
  <si>
    <t>GCA_000193415.2</t>
  </si>
  <si>
    <t>HMT-921</t>
  </si>
  <si>
    <t>Paenibacillus_glucanolyticus</t>
  </si>
  <si>
    <t>ADHJ01000023.1</t>
  </si>
  <si>
    <t>ADHJ01000023.1_180</t>
  </si>
  <si>
    <t>3.2.1.6:1;3.2.1.39:1;3.2.1.73:1</t>
  </si>
  <si>
    <t>GH16_3(34-259)</t>
  </si>
  <si>
    <t>GH16_e342(35-260)</t>
  </si>
  <si>
    <t>GCA_000193415.2.overview.tsv</t>
  </si>
  <si>
    <t>ADHJ01000025.1</t>
  </si>
  <si>
    <t>ADHJ01000025.1_310</t>
  </si>
  <si>
    <t>3.2.1.39:4|3.2.1.39:1</t>
  </si>
  <si>
    <t>GH16_3(5-230)+CBM56(235-421)</t>
  </si>
  <si>
    <t>GH16_e317(4-231)+CBM56_e2(237-421)</t>
  </si>
  <si>
    <t>GH16_3|CBM56_e2</t>
  </si>
  <si>
    <t>GH16_3(5-230)</t>
  </si>
  <si>
    <t>GH16_e317</t>
  </si>
  <si>
    <t>GCA_000193415.2_CGC77</t>
  </si>
  <si>
    <t>CGC77</t>
  </si>
  <si>
    <t>STP|dCache_1+STP|MCPsignal; null; null; CAZyme|GH16_3|CBM56_e2; null; CAZyme|CBM56_e2|CBM56_e2</t>
  </si>
  <si>
    <t>ADHJ01000025.1|CGC77</t>
  </si>
  <si>
    <t>PUL0443</t>
  </si>
  <si>
    <t>glucomannan</t>
  </si>
  <si>
    <t>CAZyme-CAZyme;CAZyme-CAZyme;null-CAZyme</t>
  </si>
  <si>
    <t>ADHJ01000025.1_312</t>
  </si>
  <si>
    <t>3.2.1.39:1|3.2.1.39:1</t>
  </si>
  <si>
    <t>CBM56_e2(29-131)+CBM56_e2(141-245)</t>
  </si>
  <si>
    <t>CBM56_e2|CBM56_e2</t>
  </si>
  <si>
    <t>GCA_000213295.2</t>
  </si>
  <si>
    <t>HMT-329</t>
  </si>
  <si>
    <t>Capnocytophaga_leadbetteri</t>
  </si>
  <si>
    <t>KN390011.1</t>
  </si>
  <si>
    <t>KN390011.1_9</t>
  </si>
  <si>
    <t>GH16_3(47-274)</t>
  </si>
  <si>
    <t>GH16_e321(48-275)</t>
  </si>
  <si>
    <t>GCA_000213295.2.overview.tsv</t>
  </si>
  <si>
    <t>GCA_000213295.2_CGC27</t>
  </si>
  <si>
    <t>TC|1.B.14.6.17; TC|8.A.46.3.4; null; null; CAZyme|GH16_3+Sulfatase|S1_19; null; STP|Pribosyltran; null; null; TC|9.B.18.2.4; null; TC|2.A.23.2.11; CAZyme|GH2_10|CBM32_e167+Sulfatase|S1_19; null; null; TC|3.A.2.1.2; TC|1.C.12.2.2</t>
  </si>
  <si>
    <t>KN390011.1|CGC27</t>
  </si>
  <si>
    <t>TC-TC;TC-TC;CAZyme-CAZyme</t>
  </si>
  <si>
    <t>GCA_000222725.2</t>
  </si>
  <si>
    <t>AFUC01000015.1</t>
  </si>
  <si>
    <t>AFUC01000015.1_31</t>
  </si>
  <si>
    <t>GCA_000222725.2.overview.tsv</t>
  </si>
  <si>
    <t>GCA_000222725.2_CGC33</t>
  </si>
  <si>
    <t>CGC33</t>
  </si>
  <si>
    <t>CAZyme|GH16_3; null; null; CAZyme|GH16_3; CAZyme|GH13_31+TC|8.A.9.1.2; TC|3.A.1.1.28</t>
  </si>
  <si>
    <t>AFUC01000015.1|CGC33</t>
  </si>
  <si>
    <t>AFUC01000015.1_34</t>
  </si>
  <si>
    <t>GH16_3(62-343)</t>
  </si>
  <si>
    <t>GH16_e193(63-344)</t>
  </si>
  <si>
    <t>GCA_000223255.2</t>
  </si>
  <si>
    <t>HMT-638</t>
  </si>
  <si>
    <t>Streptococcus_infantis</t>
  </si>
  <si>
    <t>AFUT01000003.1</t>
  </si>
  <si>
    <t>AFUT01000003.1_98</t>
  </si>
  <si>
    <t>3.2.1.39:5;3.2.1.58:1</t>
  </si>
  <si>
    <t>GH16_3(58-337)</t>
  </si>
  <si>
    <t>GH16_e168(60-338)</t>
  </si>
  <si>
    <t>GCA_000223255.2.overview.tsv</t>
  </si>
  <si>
    <t>GH16_e168</t>
  </si>
  <si>
    <t>GCA_000223255.2_CGC7</t>
  </si>
  <si>
    <t>CGC7</t>
  </si>
  <si>
    <t>TC|2.A.66.1.41; Peptidase|M38.UNW; STP|NUDIX; null; null; CAZyme|GH16_3+Sulfatase|S1_11; CAZyme|GH73_e2</t>
  </si>
  <si>
    <t>GCA_000224595.1</t>
  </si>
  <si>
    <t>HMT-313</t>
  </si>
  <si>
    <t>Prevotella_jejuni</t>
  </si>
  <si>
    <t>JH114157.1</t>
  </si>
  <si>
    <t>JH114157.1_41</t>
  </si>
  <si>
    <t>GCA_000224595.1.overview.tsv</t>
  </si>
  <si>
    <t>GCA_000224595.1_CGC52</t>
  </si>
  <si>
    <t>CGC52</t>
  </si>
  <si>
    <t>STP|LytTR; null; null; CAZyme|GH16_3; null; CAZyme|GT9_e65</t>
  </si>
  <si>
    <t>GCA_000234055.1</t>
  </si>
  <si>
    <t>HMT-298</t>
  </si>
  <si>
    <t>Prevotella_histicola</t>
  </si>
  <si>
    <t>JH376764.1</t>
  </si>
  <si>
    <t>JH376764.1_47</t>
  </si>
  <si>
    <t>GH16_3(44-270)</t>
  </si>
  <si>
    <t>GH16_e144(45-271)</t>
  </si>
  <si>
    <t>GCA_000234055.1.overview.tsv</t>
  </si>
  <si>
    <t>GCA_000234115.1</t>
  </si>
  <si>
    <t>HMT-302</t>
  </si>
  <si>
    <t>Alloprevotella_rava</t>
  </si>
  <si>
    <t>JH376829.1</t>
  </si>
  <si>
    <t>JH376829.1_128</t>
  </si>
  <si>
    <t>GH16_3(793-1025)</t>
  </si>
  <si>
    <t>GH16_e144(794-1026)</t>
  </si>
  <si>
    <t>GH36</t>
  </si>
  <si>
    <t>GCA_000234115.1.overview.tsv</t>
  </si>
  <si>
    <t>GCA_000234115.1_CGC24</t>
  </si>
  <si>
    <t>STP|PadR; null; TC|2.A.114.1.4; null; TC|9.B.273.1.1; TC|3.A.29.1.1; null; null; CAZyme|GH16_3; CAZyme|GH29_e30|CBM32_e126+Sulfatase|S1_14</t>
  </si>
  <si>
    <t>GCA_000238215.1</t>
  </si>
  <si>
    <t>HMT-613</t>
  </si>
  <si>
    <t>Tannerella_forsythia</t>
  </si>
  <si>
    <t>CP003191.1</t>
  </si>
  <si>
    <t>CP003191.1_173</t>
  </si>
  <si>
    <t>GH16_3(71-304)</t>
  </si>
  <si>
    <t>GH16_e128(73-305)</t>
  </si>
  <si>
    <t>GCA_000238215.1.overview.tsv</t>
  </si>
  <si>
    <t>GCA_000238215.1_CGC6</t>
  </si>
  <si>
    <t>CGC6</t>
  </si>
  <si>
    <t>CAZyme|GH16_3+Sulfatase|S1_19; TC|8.A.46.2.1; TC|1.B.14.6.2; STP|FecR; STP|Sigma70_r2+STP|Sigma70_r4_2</t>
  </si>
  <si>
    <t>CP003191.1|CGC6</t>
  </si>
  <si>
    <t>PUL0435</t>
  </si>
  <si>
    <t>CAZyme-CAZyme;TC-TC;STP-STP;STP-STP</t>
  </si>
  <si>
    <t>CP003191.1_2351</t>
  </si>
  <si>
    <t>GH16_e321(35-260)</t>
  </si>
  <si>
    <t>GCA_000238215.1_CGC56</t>
  </si>
  <si>
    <t>CGC56</t>
  </si>
  <si>
    <t>TC|2.A.40.7.8; null; CAZyme|GH16_3</t>
  </si>
  <si>
    <t>GCA_000239355.1</t>
  </si>
  <si>
    <t>HMT-540</t>
  </si>
  <si>
    <t>Cardiobacterium_valvarum</t>
  </si>
  <si>
    <t>JH417927.1</t>
  </si>
  <si>
    <t>JH417927.1_51</t>
  </si>
  <si>
    <t>GH135_e1(9-117)</t>
  </si>
  <si>
    <t>GH135_e1</t>
  </si>
  <si>
    <t>GCA_000239355.1.overview.tsv</t>
  </si>
  <si>
    <t>JH417927.1_52</t>
  </si>
  <si>
    <t>GH135(663-769)</t>
  </si>
  <si>
    <t>GH135_e1(664-769)</t>
  </si>
  <si>
    <t>JH417949.1</t>
  </si>
  <si>
    <t>JH417949.1_1</t>
  </si>
  <si>
    <t>GCA_000239695.1</t>
  </si>
  <si>
    <t>HMT-866</t>
  </si>
  <si>
    <t>Actinomyces_graevenitzii</t>
  </si>
  <si>
    <t>JH470339.1</t>
  </si>
  <si>
    <t>JH470339.1_212</t>
  </si>
  <si>
    <t>3.2.1.39:2</t>
  </si>
  <si>
    <t>GH16_3(52-311)</t>
  </si>
  <si>
    <t>GH16_e252(53-312)</t>
  </si>
  <si>
    <t>GCA_000239695.1.overview.tsv</t>
  </si>
  <si>
    <t>GH16_e252</t>
  </si>
  <si>
    <t>GCA_000239695.1_CGC23</t>
  </si>
  <si>
    <t>CGC23</t>
  </si>
  <si>
    <t>TC|3.A.1.122.20; TC|3.A.1.122.20; null; CAZyme|GH16_3; null; STP|HTH_3; null; STP|HTH_DeoR+STP|DeoRC</t>
  </si>
  <si>
    <t>GCA_000243015.1</t>
  </si>
  <si>
    <t>HMT-289</t>
  </si>
  <si>
    <t>Segatella_maculosa</t>
  </si>
  <si>
    <t>JH594501.1</t>
  </si>
  <si>
    <t>JH594501.1_223</t>
  </si>
  <si>
    <t>-|-</t>
  </si>
  <si>
    <t>CBM32(145-280)+GH16_3(305-564)</t>
  </si>
  <si>
    <t>CBM32_e83(151-279)+GH16_e45(307-565)</t>
  </si>
  <si>
    <t>CBM32_e83|GH16_3</t>
  </si>
  <si>
    <t>GCA_000243015.1.overview.tsv</t>
  </si>
  <si>
    <t>GH16_3(305-564)</t>
  </si>
  <si>
    <t>CBM32_e83</t>
  </si>
  <si>
    <t>GCA_000243015.1_CGC12</t>
  </si>
  <si>
    <t>STP|HTH_18; null; STP|HATPase_c; TC|3.A.1.156.4; null; Peptidase|M03.UPA; CAZyme|GH105_e39+Sulfatase|S1_16; null; CAZyme|GH154_e2+Sulfatase|S1_14; CAZyme|PL33_1; CAZyme|GH43_24+Sulfatase|S1_6; CAZyme|CBM32_e83|GH16_3+Sulfatase|S1_19; null; TC|1.B.14.6.17; null; TC|1.B.14.6.17; STP|HD</t>
  </si>
  <si>
    <t>JH594501.1|CGC12</t>
  </si>
  <si>
    <t>PUL0535</t>
  </si>
  <si>
    <t>arabinogalactan</t>
  </si>
  <si>
    <t>CAZyme-CAZyme;CAZyme-CAZyme;CAZyme-CAZyme;CAZyme-CAZyme;null-TC;TC-TC;null-null;TC-TC</t>
  </si>
  <si>
    <t>GCA_000271925.1</t>
  </si>
  <si>
    <t>AJZR01000002.1</t>
  </si>
  <si>
    <t>AJZR01000002.1_35</t>
  </si>
  <si>
    <t>GCA_000271925.1.overview.tsv</t>
  </si>
  <si>
    <t>GCA_000271925.1_CGC2</t>
  </si>
  <si>
    <t>CGC2</t>
  </si>
  <si>
    <t>AJZR01000023.1</t>
  </si>
  <si>
    <t>AJZR01000023.1_2</t>
  </si>
  <si>
    <t>GCA_000271925.1_CGC22</t>
  </si>
  <si>
    <t>AJZR01000053.1</t>
  </si>
  <si>
    <t>AJZR01000053.1_34</t>
  </si>
  <si>
    <t>CBM103(129-309)+GH16_3(322-546)</t>
  </si>
  <si>
    <t>GCA_000271925.1_CGC36</t>
  </si>
  <si>
    <t>CGC36</t>
  </si>
  <si>
    <t>CAZyme|GT51_e154; TC|1.B.14.6.17; TC|8.A.46.1.3; null; Peptidase|S09.UPW; CAZyme|GH144_e1; STP|Y_Y_Y+STP|GerE; TC|1.B.14.6.17; TC|1.B.38.1.10; CAZyme|CBM102; CAZyme|CBM103|GH16_3+Sulfatase|S1_19; CAZyme|GH3_e1+Sulfatase|S1_7; null; null; STP|GerE; null; Peptidase|G05.UPW; TC|2.A.53.3.8</t>
  </si>
  <si>
    <t>AJZR01000053.1|CGC36</t>
  </si>
  <si>
    <t>STP-TF;TC-TC;TC-TC;CAZyme-CAZyme;CAZyme-CAZyme;CAZyme-CAZyme</t>
  </si>
  <si>
    <t>GCA_000277585.1</t>
  </si>
  <si>
    <t>AKFV01000021.1</t>
  </si>
  <si>
    <t>AKFV01000021.1_32</t>
  </si>
  <si>
    <t>GCA_000277585.1.overview.tsv</t>
  </si>
  <si>
    <t>GCA_000277585.1_CGC30</t>
  </si>
  <si>
    <t>TC|1.B.14.6.17; TC|8.A.46.1.3; null; Peptidase|S09.UPW; CAZyme|GH144_e1; STP|Y_Y_Y+STP|GerE; TC|1.B.14.6.17; TC|1.B.38.1.10; CAZyme|CBM102; CAZyme|CBM103|GH16_3+Sulfatase|S1_19; CAZyme|GH3_e1+Sulfatase|S1_7; null; TC|2.A.53.3.8; Peptidase|I39.UPW; TC|8.A.46.3.4</t>
  </si>
  <si>
    <t>AKFV01000021.1|CGC30</t>
  </si>
  <si>
    <t>AKFV01000025.1</t>
  </si>
  <si>
    <t>AKFV01000025.1_22</t>
  </si>
  <si>
    <t>GCA_000277585.1_CGC35</t>
  </si>
  <si>
    <t>CGC35</t>
  </si>
  <si>
    <t>AKFV01000025.1_26</t>
  </si>
  <si>
    <t>GCA_000277585.1_CGC36</t>
  </si>
  <si>
    <t>GCA_000277665.1</t>
  </si>
  <si>
    <t>AKFR01000012.1</t>
  </si>
  <si>
    <t>AKFR01000012.1_12</t>
  </si>
  <si>
    <t>GCA_000277665.1.overview.tsv</t>
  </si>
  <si>
    <t>GCA_000277665.1_CGC9</t>
  </si>
  <si>
    <t>CAZyme|GH16_3; null; null; TC|2.A.1.2.7</t>
  </si>
  <si>
    <t>AKFR01000015.1</t>
  </si>
  <si>
    <t>AKFR01000015.1_107</t>
  </si>
  <si>
    <t>GCA_000277665.1_CGC15</t>
  </si>
  <si>
    <t>TC|8.A.46.3.4; TC|1.B.14.6.17; TC|2.A.53.3.8; null; CAZyme|GH3_e1+Sulfatase|S1_7; CAZyme|CBM103|GH16_3+Sulfatase|S1_19; CAZyme|CBM102; TC|1.B.38.1.10; TC|1.B.14.6.17; STP|Y_Y_Y+STP|GerE; CAZyme|GH144_e1</t>
  </si>
  <si>
    <t>AKFR01000015.1|CGC15</t>
  </si>
  <si>
    <t>CAZyme-CAZyme;CAZyme-CAZyme;CAZyme-CAZyme;TC-TC;TC-TC;STP-TF</t>
  </si>
  <si>
    <t>AKFR01000037.1</t>
  </si>
  <si>
    <t>AKFR01000037.1_73</t>
  </si>
  <si>
    <t>GCA_000277665.1_CGC42</t>
  </si>
  <si>
    <t>GCA_000279145.1</t>
  </si>
  <si>
    <t>Taxonomic</t>
  </si>
  <si>
    <t>HMT-983</t>
  </si>
  <si>
    <t>Melioribacter_roseus</t>
  </si>
  <si>
    <t>CP003557.1</t>
  </si>
  <si>
    <t>CP003557.1_115</t>
  </si>
  <si>
    <t>GH16_3(29-261)</t>
  </si>
  <si>
    <t>GH16_e193(30-262)</t>
  </si>
  <si>
    <t>GCA_000279145.1.overview.tsv</t>
  </si>
  <si>
    <t>GCA_000279145.1_CGC2</t>
  </si>
  <si>
    <t>CAZyme|GH55_3; null; Peptidase|M14.UNB; CAZyme|GH149_e1; CAZyme|GH16_3+Sulfatase|S1_19; TC|2.A.2.3.6; null; CAZyme|GH30_1; STP|Reg_prop+STP|Y_Y_Y+STP|HisKA+STP|HATPase_c+STP|Response_reg+STP|HTH_18</t>
  </si>
  <si>
    <t>CP003557.1|CGC2</t>
  </si>
  <si>
    <t>PUL0220</t>
  </si>
  <si>
    <t>CP003557.1_995</t>
  </si>
  <si>
    <t>GH16_3(34-237)+CBM88(250-331)</t>
  </si>
  <si>
    <t>GH16_e240(35-238)</t>
  </si>
  <si>
    <t>CBM88+GH16</t>
  </si>
  <si>
    <t>GH16_3|CBM88</t>
  </si>
  <si>
    <t>GH16_3(34-237)</t>
  </si>
  <si>
    <t>GCA_000279145.1_CGC20</t>
  </si>
  <si>
    <t>CAZyme|GH16_3|CBM88+Sulfatase|S1_30; CAZyme|GH105_e14+Sulfatase|S1_16; CAZyme|GH2_1+Sulfatase|S1_20; CAZyme|PL42_e7; CAZyme|GH51_1+Sulfatase|S1_20; CAZyme|GH30_4; Sulfatase|S1_29; Peptidase|M14.UNB; CAZyme|GH2_10+Sulfatase|S1_19; null; TC|8.A.5.1.4</t>
  </si>
  <si>
    <t>CP003557.1|CGC20</t>
  </si>
  <si>
    <t>PUL0225</t>
  </si>
  <si>
    <t>agarose</t>
  </si>
  <si>
    <t>CAZyme-CAZyme;CAZyme-CAZyme;CAZyme-CAZyme;Peptidase-TC;CAZyme-CAZyme</t>
  </si>
  <si>
    <t>beta-galactan</t>
  </si>
  <si>
    <t>GCA_000281175.1</t>
  </si>
  <si>
    <t>HMT-994</t>
  </si>
  <si>
    <t>Caldilinea_aerophila</t>
  </si>
  <si>
    <t>AP012337.1</t>
  </si>
  <si>
    <t>AP012337.1_2490</t>
  </si>
  <si>
    <t>3.2.1.39:7</t>
  </si>
  <si>
    <t>GH16_3(68-294)</t>
  </si>
  <si>
    <t>GH16_e103(69-294)</t>
  </si>
  <si>
    <t>GCA_000281175.1.overview.tsv</t>
  </si>
  <si>
    <t>GH16_e103</t>
  </si>
  <si>
    <t>GCA_000281175.1_CGC67</t>
  </si>
  <si>
    <t>CGC67</t>
  </si>
  <si>
    <t>TC|2.A.47.4.1; null; TC|3.D.7.1.5; TC|3.D.7.2.5; TC|2.A.7.3.4; null; null; STP|Peripla_BP_3+STP|HisKA+STP|HATPase_c+STP|Response_reg+STP|HTH_18; null; STP|SBP_bac_1; TC|3.A.1.1.11; TC|3.A.1.1.11; CAZyme|GH16_3+Sulfatase|S1_11; CAZyme|CBM11_e4|CBM11_e4|CBM11_e4|CBM11_e4|GH16_3|CBM11_e4; CAZyme|GH161_e1; TC|2.A.72.1.1</t>
  </si>
  <si>
    <t>AP012337.1|CGC67</t>
  </si>
  <si>
    <t>CAZyme-CAZyme;CAZyme-CAZyme;CAZyme-CAZyme;CAZyme-CAZyme</t>
  </si>
  <si>
    <t>AP012337.1_2491</t>
  </si>
  <si>
    <t>-|-|-|-|-|-</t>
  </si>
  <si>
    <t>CBM11(75-204)+CBM11(247-377)+GH16_3(922-1167)</t>
  </si>
  <si>
    <t>CBM11_e4(71-204)+CBM11_e4(240-377)+CBM11_e4(541-691)+CBM11_e4(840-909)+GH16_e211(923-1167)+CBM11_e4(1168-1240)</t>
  </si>
  <si>
    <t>CBM11+GH16_3</t>
  </si>
  <si>
    <t>CBM11_e4|CBM11_e4|CBM11_e4|CBM11_e4|GH16_3|CBM11_e4</t>
  </si>
  <si>
    <t>GH16_3(922-1167)</t>
  </si>
  <si>
    <t>CBM11_e4</t>
  </si>
  <si>
    <t>GCA_000287635.1</t>
  </si>
  <si>
    <t>ALJQ01000015.1</t>
  </si>
  <si>
    <t>ALJQ01000015.1_69</t>
  </si>
  <si>
    <t>GCA_000287635.1.overview.tsv</t>
  </si>
  <si>
    <t>GCA_000287635.1_CGC16</t>
  </si>
  <si>
    <t>STP|Rhodanese; TC|2.A.7.3.36; null; null; CAZyme|CBM48_e32|GH13_8; null; null; TC|2.A.40.7.8; null; TC|2.A.40.4.2; TC|2.A.40.1.4; null; CAZyme|GT32_e128; null; CAZyme|GT2; null; CAZyme|GT4_e3415; CAZyme|GH16_3; CAZyme|GT26_e51</t>
  </si>
  <si>
    <t>ALJQ01000024.1</t>
  </si>
  <si>
    <t>ALJQ01000024.1_142</t>
  </si>
  <si>
    <t>GCA_000287635.1_CGC28</t>
  </si>
  <si>
    <t>CGC28</t>
  </si>
  <si>
    <t>ALJQ01000024.1|CGC28</t>
  </si>
  <si>
    <t>GCA_000308055.1</t>
  </si>
  <si>
    <t>HMT-181</t>
  </si>
  <si>
    <t>Schaalia_lingnae</t>
  </si>
  <si>
    <t>CAGY01000001.1</t>
  </si>
  <si>
    <t>CAGY01000001.1_73</t>
  </si>
  <si>
    <t>GH16_3(59-334)</t>
  </si>
  <si>
    <t>GH16_e168(59-335)</t>
  </si>
  <si>
    <t>GCA_000308055.1.overview.tsv</t>
  </si>
  <si>
    <t>GCA_000308055.1_CGC3</t>
  </si>
  <si>
    <t>TC|2.A.26.1.3; null; CAZyme|GH16_3</t>
  </si>
  <si>
    <t>GCA_000312445.1</t>
  </si>
  <si>
    <t>HMT-272</t>
  </si>
  <si>
    <t>Phocaeicola_abscessus</t>
  </si>
  <si>
    <t>HE997182.1</t>
  </si>
  <si>
    <t>HE997182.1_416</t>
  </si>
  <si>
    <t>GCA_000312445.1.overview.tsv</t>
  </si>
  <si>
    <t>GCA_000312445.1_CGC9</t>
  </si>
  <si>
    <t>TC|9.B.14.3.8; STP|FecR; TC|1.B.14.6.13; TC|8.A.46.2.1; Sulfatase|S1_6; STP|Sigma70_r2+STP|Sigma70_r4_2; null; null; CAZyme|GH109_e5; CAZyme|GH16_3; CAZyme|CE19_e1+Peptidase|S09.UPW; CAZyme|CE14_e44+STP|PIG-L; Peptidase|S41.005; STP|TPR_1; prodoric|NAGC_ECOLI; TC|3.A.11.1.3</t>
  </si>
  <si>
    <t>HE997182.1|CGC9</t>
  </si>
  <si>
    <t>GCA_000317305.3</t>
  </si>
  <si>
    <t>HMT-692</t>
  </si>
  <si>
    <t>Mycolicibacterium_neoaurum</t>
  </si>
  <si>
    <t>CP006936.2</t>
  </si>
  <si>
    <t>CP006936.2_2598</t>
  </si>
  <si>
    <t>GH16_e83(44-271)</t>
  </si>
  <si>
    <t>GCA_000317305.3.overview.tsv</t>
  </si>
  <si>
    <t>GH16_e83</t>
  </si>
  <si>
    <t>GCA_000317305.3_CGC47</t>
  </si>
  <si>
    <t>CGC47</t>
  </si>
  <si>
    <t>CAZyme|GT2; CAZyme|GH16_3; CAZyme|GT2; null; TC|2.A.1.3.34; TC|9.B.138.1.3</t>
  </si>
  <si>
    <t>CP006936.2_2659</t>
  </si>
  <si>
    <t>GH16_3(322-571)</t>
  </si>
  <si>
    <t>GH16_e328(323-572)</t>
  </si>
  <si>
    <t>GH16_e328</t>
  </si>
  <si>
    <t>GCA_000317305.3_CGC48</t>
  </si>
  <si>
    <t>CGC48</t>
  </si>
  <si>
    <t>CAZyme|GH16_3; TC|8.A.88.2.7; Sulfatase|S1_8; TC|3.A.1.120.8; null; STP|TetR_N</t>
  </si>
  <si>
    <t>GCA_000318095.2</t>
  </si>
  <si>
    <t>HMT-473</t>
  </si>
  <si>
    <t>Alloprevotella_sp.</t>
  </si>
  <si>
    <t>KB290702.1</t>
  </si>
  <si>
    <t>KB290702.1_52</t>
  </si>
  <si>
    <t>GH16_3(316-551)</t>
  </si>
  <si>
    <t>GH16_e144(317-552)</t>
  </si>
  <si>
    <t>GCA_000318095.2.overview.tsv</t>
  </si>
  <si>
    <t>GCA_000318095.2_CGC2</t>
  </si>
  <si>
    <t>TC|3.A.1.105.28; TC|2.A.6.2.5; CAZyme|GH95_e0+Sulfatase|S1_11; CAZyme|GH95_e0+Sulfatase|S1_11; CAZyme|GH16_3</t>
  </si>
  <si>
    <t>KB290702.1|CGC2</t>
  </si>
  <si>
    <t>PUL0776</t>
  </si>
  <si>
    <t>fucoidan</t>
  </si>
  <si>
    <t>CAZyme-CAZyme;CAZyme-CAZyme;CAZyme-CAZyme</t>
  </si>
  <si>
    <t>hostglycan;beta-fucosides</t>
  </si>
  <si>
    <t>GCA_000318255.2</t>
  </si>
  <si>
    <t>KB291185.1</t>
  </si>
  <si>
    <t>KB291185.1_76</t>
  </si>
  <si>
    <t>GCA_000318255.2.overview.tsv</t>
  </si>
  <si>
    <t>GCA_000318255.2_CGC12</t>
  </si>
  <si>
    <t>STP|CBS; null; null; CAZyme|GH92_e13; CAZyme|GT2; null; null; CAZyme|GT2; TC|9.B.14.3.3; null; TC|5.A.3.5.3; null; null; TC|1.B.14.6.17; TC|8.A.46.1.3; null; Peptidase|S09.UPW; CAZyme|GH144_e1; STP|Y_Y_Y+STP|GerE; TC|1.B.14.6.17; TC|1.B.38.1.10; CAZyme|CBM102; CAZyme|CBM103|GH16_3+Sulfatase|S1_19; CAZyme|GH3_e1+Sulfatase|S1_7; null; TC|2.A.53.3.8; TC|1.B.14.6.1; TC|1.B.14.6.17; TC|8.A.46.3.4</t>
  </si>
  <si>
    <t>KB291185.1|CGC12</t>
  </si>
  <si>
    <t>TC-TC;TC-TC;Peptidase-PEPTIDASE;CAZyme-CAZyme;CAZyme-CAZyme;STP-TF;TC-TC;CAZyme-CAZyme;TC-TC</t>
  </si>
  <si>
    <t>KB291225.1</t>
  </si>
  <si>
    <t>KB291225.1_1</t>
  </si>
  <si>
    <t>GCA_000318255.2_CGC31</t>
  </si>
  <si>
    <t>KB291243.1</t>
  </si>
  <si>
    <t>KB291243.1_16</t>
  </si>
  <si>
    <t>GCA_000318255.2_CGC41</t>
  </si>
  <si>
    <t>CGC41</t>
  </si>
  <si>
    <t>STP|NTP_transf_2; TC|8.A.1.3.4; null; null; TC|3.A.1.10.3; null; null; TC|2.A.1.2.7; null; CAZyme|GH16_3</t>
  </si>
  <si>
    <t>GCA_000318295.1</t>
  </si>
  <si>
    <t>HMT-326</t>
  </si>
  <si>
    <t>Capnocytophaga_periodontitidis</t>
  </si>
  <si>
    <t>KB291387.1</t>
  </si>
  <si>
    <t>KB291387.1_32</t>
  </si>
  <si>
    <t>GH16_3(28-256)</t>
  </si>
  <si>
    <t>GH16_e321(29-257)</t>
  </si>
  <si>
    <t>GCA_000318295.1.overview.tsv</t>
  </si>
  <si>
    <t>KB291425.1</t>
  </si>
  <si>
    <t>KB291425.1_13</t>
  </si>
  <si>
    <t>GCA_000318295.1_CGC34</t>
  </si>
  <si>
    <t>CGC34</t>
  </si>
  <si>
    <t>STP|AraC_binding+STP|HTH_18; null; TC|1.A.115.1.5; null; STP|MerR; CAZyme|GH16_3</t>
  </si>
  <si>
    <t>KB291470.1</t>
  </si>
  <si>
    <t>KB291470.1_77</t>
  </si>
  <si>
    <t>GCA_000318295.1_CGC47</t>
  </si>
  <si>
    <t>TC|3.A.1.132.3; null; null; CAZyme|GH3_e1+Sulfatase|S1_7; CAZyme|CBM103|GH16_3+Sulfatase|S1_19; CAZyme|CBM102; TC|1.B.38.1.10; TC|1.B.14.6.17; STP|Y_Y_Y</t>
  </si>
  <si>
    <t>KB291470.1|CGC47</t>
  </si>
  <si>
    <t>GCA_000318315.2</t>
  </si>
  <si>
    <t>KB291492.1</t>
  </si>
  <si>
    <t>KB291492.1_10</t>
  </si>
  <si>
    <t>GCA_000318315.2.overview.tsv</t>
  </si>
  <si>
    <t>GCA_000318315.2_CGC10</t>
  </si>
  <si>
    <t>CGC10</t>
  </si>
  <si>
    <t>KB291531.1</t>
  </si>
  <si>
    <t>KB291531.1_17</t>
  </si>
  <si>
    <t>GCA_000318315.2_CGC40</t>
  </si>
  <si>
    <t>CGC40</t>
  </si>
  <si>
    <t>CAZyme|GH16_3; null; TC|2.A.1.2.7</t>
  </si>
  <si>
    <t>KB291533.1</t>
  </si>
  <si>
    <t>KB291533.1_10</t>
  </si>
  <si>
    <t>GCA_000318315.2_CGC42</t>
  </si>
  <si>
    <t>KB291533.1|CGC42</t>
  </si>
  <si>
    <t>GCA_000318335.2</t>
  </si>
  <si>
    <t>KB291553.1</t>
  </si>
  <si>
    <t>KB291553.1_679</t>
  </si>
  <si>
    <t>GCA_000318335.2.overview.tsv</t>
  </si>
  <si>
    <t>GCA_000318335.2_CGC26</t>
  </si>
  <si>
    <t>CAZyme|GH16_3; null; TC|2.A.26.1.3</t>
  </si>
  <si>
    <t>GCA_000373045.1</t>
  </si>
  <si>
    <t>HMT-214</t>
  </si>
  <si>
    <t>Leptotrichia_shahii</t>
  </si>
  <si>
    <t>KB890278.1</t>
  </si>
  <si>
    <t>KB890278.1_41</t>
  </si>
  <si>
    <t>GH16_3(80-336)</t>
  </si>
  <si>
    <t>GH16_e50(81-337)</t>
  </si>
  <si>
    <t>GCA_000373045.1.overview.tsv</t>
  </si>
  <si>
    <t>GCA_000373045.1_CGC27</t>
  </si>
  <si>
    <t>TC|9.B.18.2.4; null; CAZyme|GH16_3+Sulfatase|S1_19; CAZyme|GT2</t>
  </si>
  <si>
    <t>GCA_000373085.1</t>
  </si>
  <si>
    <t>HMT-976</t>
  </si>
  <si>
    <t>Phocaeicola_massiliensis</t>
  </si>
  <si>
    <t>KB890342.1</t>
  </si>
  <si>
    <t>KB890342.1_13</t>
  </si>
  <si>
    <t>GH16_e321(35-261)</t>
  </si>
  <si>
    <t>GCA_000373085.1.overview.tsv</t>
  </si>
  <si>
    <t>GCA_000373085.1_CGC43</t>
  </si>
  <si>
    <t>CGC43</t>
  </si>
  <si>
    <t>CAZyme|GH16_3; null; null; STP|HisKA+STP|HATPase_c</t>
  </si>
  <si>
    <t>GCA_000373345.1</t>
  </si>
  <si>
    <t>HMT-222</t>
  </si>
  <si>
    <t>Leptotrichia_wadei</t>
  </si>
  <si>
    <t>KB891079.1</t>
  </si>
  <si>
    <t>KB891079.1_4</t>
  </si>
  <si>
    <t>GH16_3(79-335)</t>
  </si>
  <si>
    <t>GH16_e50(80-336)</t>
  </si>
  <si>
    <t>GCA_000373345.1.overview.tsv</t>
  </si>
  <si>
    <t>GCA_000373345.1_CGC22</t>
  </si>
  <si>
    <t>GCA_000377625.1</t>
  </si>
  <si>
    <t>KB898331.1</t>
  </si>
  <si>
    <t>KB898331.1_113</t>
  </si>
  <si>
    <t>GCA_000377625.1.overview.tsv</t>
  </si>
  <si>
    <t>GCA_000377625.1_CGC35</t>
  </si>
  <si>
    <t>TC|3.A.1.106.2; null; null; CAZyme|GH16_3</t>
  </si>
  <si>
    <t>GCA_000378085.1</t>
  </si>
  <si>
    <t>KB899214.1</t>
  </si>
  <si>
    <t>KB899214.1_244</t>
  </si>
  <si>
    <t>GCA_000378085.1.overview.tsv</t>
  </si>
  <si>
    <t>GCA_000378085.1_CGC29</t>
  </si>
  <si>
    <t>CGC29</t>
  </si>
  <si>
    <t>STP|HD; null; CAZyme|CE11_e18; null; null; CAZyme|GH3_e1+Sulfatase|S1_7; CAZyme|GH16_3; CAZyme|CBM103; null; TC|1.B.14.6.17</t>
  </si>
  <si>
    <t>KB899214.1|CGC29</t>
  </si>
  <si>
    <t>CAZyme-CAZyme;CAZyme-CAZyme;CAZyme-STP;null-null;TC-TC</t>
  </si>
  <si>
    <t>GCA_000382385.1</t>
  </si>
  <si>
    <t>KB908322.1</t>
  </si>
  <si>
    <t>KB908322.1_76</t>
  </si>
  <si>
    <t>CBM32(145-280)+GH16_3(305-417)</t>
  </si>
  <si>
    <t>CBM32_e83(151-279)+GH16_e45(307-417)</t>
  </si>
  <si>
    <t>GCA_000382385.1.overview.tsv</t>
  </si>
  <si>
    <t>GH16_3(305-417)</t>
  </si>
  <si>
    <t>GCA_000382385.1_CGC25</t>
  </si>
  <si>
    <t>CGC25</t>
  </si>
  <si>
    <t>CAZyme|GH105_e39+Sulfatase|S1_16; null; CAZyme|GH154_e2+Sulfatase|S1_14; CAZyme|PL33_1; CAZyme|GH43_24+Sulfatase|S1_6; CAZyme|CBM32_e83|GH16_3+Sulfatase|S1_19; null; TC|1.B.14.6.17; null; TC|1.B.14.6.17; null; STP|HD</t>
  </si>
  <si>
    <t>KB908322.1|CGC25</t>
  </si>
  <si>
    <t>CAZyme-CAZyme;CAZyme-CAZyme;CAZyme-CAZyme;null-TC;TC-TC;null-null;TC-TC</t>
  </si>
  <si>
    <t>GCA_000382445.1</t>
  </si>
  <si>
    <t>KB905472.1</t>
  </si>
  <si>
    <t>KB905472.1_2074</t>
  </si>
  <si>
    <t>GCA_000382445.1.overview.tsv</t>
  </si>
  <si>
    <t>GCA_000382445.1_CGC38</t>
  </si>
  <si>
    <t>STP|HisKA+STP|HATPase_c; null; null; CAZyme|GH16_3</t>
  </si>
  <si>
    <t>GCA_000411575.1</t>
  </si>
  <si>
    <t>KE150488.1</t>
  </si>
  <si>
    <t>KE150488.1_12</t>
  </si>
  <si>
    <t>GCA_000411575.1.overview.tsv</t>
  </si>
  <si>
    <t>GCA_000411575.1_CGC1</t>
  </si>
  <si>
    <t>STP|cNMP_binding; null; CAZyme|GH16_3; null; null; CAZyme|GH2_1</t>
  </si>
  <si>
    <t>KE150488.1_512</t>
  </si>
  <si>
    <t>GCA_000411575.1_CGC11</t>
  </si>
  <si>
    <t>CAZyme|GT4_e2685; CAZyme|GT2; null; TC|2.A.66.2.6; TC|9.B.14.3.3; null; TC|5.A.3.5.3; null; null; TC|1.B.14.6.17; TC|8.A.46.1.3; null; Peptidase|S09.UPW; CAZyme|GH144_e1; STP|Y_Y_Y+STP|GerE; null; TC|1.B.14.6.17; TC|1.B.38.1.10; CAZyme|CBM102; CAZyme|CBM103|GH16_3+Sulfatase|S1_19; CAZyme|GH3_e1+Sulfatase|S1_7; null; TC|2.A.53.3.8; Peptidase|I39.UPW; TC|8.A.46.3.4</t>
  </si>
  <si>
    <t>KE150488.1|CGC11</t>
  </si>
  <si>
    <t>KE150494.1</t>
  </si>
  <si>
    <t>KE150494.1_73</t>
  </si>
  <si>
    <t>GCA_000411575.1_CGC43</t>
  </si>
  <si>
    <t>GCA_000413395.1</t>
  </si>
  <si>
    <t>KE340309.1</t>
  </si>
  <si>
    <t>KE340309.1_571</t>
  </si>
  <si>
    <t>GCA_000413395.1.overview.tsv</t>
  </si>
  <si>
    <t>GCA_000413395.1_CGC14</t>
  </si>
  <si>
    <t>CGC14</t>
  </si>
  <si>
    <t>KE340309.1|CGC14</t>
  </si>
  <si>
    <t>KE340311.1</t>
  </si>
  <si>
    <t>KE340311.1_181</t>
  </si>
  <si>
    <t>KE340311.1_318</t>
  </si>
  <si>
    <t>GH29(43-370)+GH16_3(691-909)</t>
  </si>
  <si>
    <t>GCA_000413395.1_CGC27</t>
  </si>
  <si>
    <t>TC|1.A.23.4.5; TC|9.B.105.1.10; TC|2.A.127.1.5; null; TC|3.A.1.131.2; CAZyme|CBM48_e14|GH13_14; null; null; CAZyme|GH29_e30|CBM32_e126|GH16_3+Sulfatase|S1_16; CAZyme|GH20_e135+Sulfatase|S1_16; Sulfatase|S1_11; null; TC|1.B.14.6.1; CAZyme|GH95_e0+Sulfatase|S1_11; CAZyme|GH18_e13; CAZyme|GH20_e106; CAZyme|GH2_10+Sulfatase|S1_19; STP|Y_Y_Y+STP|HisKA+STP|HATPase_c+STP|Response_reg+STP|HTH_18; null; TC|2.A.1.46.5; STP|HhH-GPD; null; null; STP|TPR_2</t>
  </si>
  <si>
    <t>KE340311.1|CGC27</t>
  </si>
  <si>
    <t>TC-TC;CAZyme-CAZyme;CAZyme-null;CAZyme-CAZyme;Sulfatase-SULFATLAS;Sulfatase-SULFATLAS;CAZyme-CAZyme;CAZyme-CAZyme;CAZyme-CAZyme;STP-TF</t>
  </si>
  <si>
    <t>GCA_000421205.1</t>
  </si>
  <si>
    <t>ATWK01000006.1</t>
  </si>
  <si>
    <t>ATWK01000006.1_77</t>
  </si>
  <si>
    <t>GCA_000421205.1.overview.tsv</t>
  </si>
  <si>
    <t>GCA_000421205.1_CGC20</t>
  </si>
  <si>
    <t>GCA_000426585.1</t>
  </si>
  <si>
    <t>HMT-553</t>
  </si>
  <si>
    <t>Segatella_baroniae</t>
  </si>
  <si>
    <t>AUFQ01000005.1</t>
  </si>
  <si>
    <t>AUFQ01000005.1_122</t>
  </si>
  <si>
    <t>GH16_3(51-284)</t>
  </si>
  <si>
    <t>GH16_e128(53-285)</t>
  </si>
  <si>
    <t>GCA_000426585.1.overview.tsv</t>
  </si>
  <si>
    <t>GCA_000426585.1_CGC30</t>
  </si>
  <si>
    <t>TC|2.A.40.1.4; null; TC|1.B.14.6.2; null; CAZyme|GH16_3+Sulfatase|S1_19; null; TC|2.A.50.2.3</t>
  </si>
  <si>
    <t>AUFQ01000005.1|CGC30</t>
  </si>
  <si>
    <t>AUFQ01000014.1</t>
  </si>
  <si>
    <t>AUFQ01000014.1_19</t>
  </si>
  <si>
    <t>GH16_3(35-260)</t>
  </si>
  <si>
    <t>GH16_e321(36-260)</t>
  </si>
  <si>
    <t>GCA_000428105.1</t>
  </si>
  <si>
    <t>Opportunistic</t>
  </si>
  <si>
    <t>HMT-787</t>
  </si>
  <si>
    <t>Bacteroides_pyogenes</t>
  </si>
  <si>
    <t>ATZH01000009.1</t>
  </si>
  <si>
    <t>ATZH01000009.1_53</t>
  </si>
  <si>
    <t>GH16_3(134-363)</t>
  </si>
  <si>
    <t>GH16_e59(135-364)</t>
  </si>
  <si>
    <t>GCA_000428105.1.overview.tsv</t>
  </si>
  <si>
    <t>GH16_e59</t>
  </si>
  <si>
    <t>GCA_000428105.1_CGC6</t>
  </si>
  <si>
    <t>CAZyme|GH16_3; null; TC|1.B.14.6.17; CAZyme|GH171_e3; TC|2.A.21.3.7; null; null; TC|3.A.1.125.1</t>
  </si>
  <si>
    <t>ATZH01000023.1</t>
  </si>
  <si>
    <t>ATZH01000023.1_6</t>
  </si>
  <si>
    <t>GH16_3(48-278)+CBM13(301-431)</t>
  </si>
  <si>
    <t>GH16_e4(49-277)+CBM13_e195(293-427)</t>
  </si>
  <si>
    <t>GH16_3|CBM13_e195</t>
  </si>
  <si>
    <t>GH16_3(48-278)</t>
  </si>
  <si>
    <t>GH16_e4</t>
  </si>
  <si>
    <t>GCA_000428105.1_CGC25</t>
  </si>
  <si>
    <t>TC|2.A.53.3.9; null; null; CAZyme|GH16_3|CBM13_e195; STP|Reg_prop+STP|HisKA+STP|HATPase_c+STP|Response_reg+STP|HTH_18; null; Sulfatase|S1_27; TC|1.B.14.6.17; null; TC|3.A.1.27.4; TC|3.A.1.27.2; null; TC|3.D.10.1.4</t>
  </si>
  <si>
    <t>ATZH01000023.1|CGC25</t>
  </si>
  <si>
    <t>PUL0376</t>
  </si>
  <si>
    <t>mucin</t>
  </si>
  <si>
    <t>CAZyme-CAZyme;STP-TF</t>
  </si>
  <si>
    <t>ATZH01000047.1</t>
  </si>
  <si>
    <t>ATZH01000047.1_14</t>
  </si>
  <si>
    <t>GH16_3(156-386)</t>
  </si>
  <si>
    <t>GH16_e240(157-387)</t>
  </si>
  <si>
    <t>GCA_000428105.1_CGC41</t>
  </si>
  <si>
    <t>TC|1.B.14.6.17; null; CAZyme|CBM103; CAZyme|GH16_3+Sulfatase|S1_19; CAZyme|GH3_e1+Sulfatase|S1_7</t>
  </si>
  <si>
    <t>ATZH01000047.1|CGC41</t>
  </si>
  <si>
    <t>ATZH01000055.1</t>
  </si>
  <si>
    <t>ATZH01000055.1_5</t>
  </si>
  <si>
    <t>3.2.1.6:2</t>
  </si>
  <si>
    <t>GH16_3(39-271)</t>
  </si>
  <si>
    <t>GH16_e6(40-272)</t>
  </si>
  <si>
    <t>GH16_e6</t>
  </si>
  <si>
    <t>GCA_000428105.1_CGC43</t>
  </si>
  <si>
    <t>CAZyme|GH3_e208+Sulfatase|S1_7; null; TC|8.A.46.2.1; TC|1.B.14.6.2; CAZyme|GH16_3</t>
  </si>
  <si>
    <t>ATZH01000055.1|CGC43</t>
  </si>
  <si>
    <t>PUL0528</t>
  </si>
  <si>
    <t>CAZyme-CAZyme;null-null;TC-TC;TC-TC;CAZyme-CAZyme</t>
  </si>
  <si>
    <t>KE386623.1</t>
  </si>
  <si>
    <t>KE386623.1_18</t>
  </si>
  <si>
    <t>GCA_000428105.1_CGC44</t>
  </si>
  <si>
    <t>CGC44</t>
  </si>
  <si>
    <t>TC|3.A.1.120.8; null; null; STP|Aminotran_1_2; null; CAZyme|GT2+TC|4.D.1.1.15</t>
  </si>
  <si>
    <t>GCA_000428965.1</t>
  </si>
  <si>
    <t>AUAY01000020.1</t>
  </si>
  <si>
    <t>AUAY01000020.1_4</t>
  </si>
  <si>
    <t>GH16_3(83-338)</t>
  </si>
  <si>
    <t>GH16_e50(84-339)</t>
  </si>
  <si>
    <t>GCA_000428965.1.overview.tsv</t>
  </si>
  <si>
    <t>GCA_000428965.1_CGC9</t>
  </si>
  <si>
    <t>CAZyme|GT2; null; CAZyme|GH16_3+Sulfatase|S1_19; null; TC|9.B.18.2.4; Sulfatase|S1_9; CAZyme|CE9_e0+Peptidase|M38.UNW</t>
  </si>
  <si>
    <t>AUAY01000020.1|CGC9</t>
  </si>
  <si>
    <t>Sulfatase-SULFATLAS;Sulfatase-SULFATLAS;CAZyme-CAZyme</t>
  </si>
  <si>
    <t>GCA_000429245.1</t>
  </si>
  <si>
    <t>HMT-617</t>
  </si>
  <si>
    <t>Schaalia_georgiae</t>
  </si>
  <si>
    <t>KE386870.1</t>
  </si>
  <si>
    <t>KE386870.1_246</t>
  </si>
  <si>
    <t>GH16_3(48-301)</t>
  </si>
  <si>
    <t>GH16_e193(49-302)</t>
  </si>
  <si>
    <t>GCA_000429245.1.overview.tsv</t>
  </si>
  <si>
    <t>GCA_000442105.1</t>
  </si>
  <si>
    <t>AUTU01000019.1</t>
  </si>
  <si>
    <t>AUTU01000019.1_17</t>
  </si>
  <si>
    <t>GCA_000442105.1.overview.tsv</t>
  </si>
  <si>
    <t>GCA_000442105.1_CGC29</t>
  </si>
  <si>
    <t>TC|9.B.14.3.8; STP|FecR; TC|1.B.14.6.13; TC|8.A.46.2.1; Sulfatase|S1_6; STP|Sigma70_r2+STP|Sigma70_r4_2; null; null; CAZyme|GH109_e0; CAZyme|GH16_3; CAZyme|CE19_e1+Peptidase|S09.UPW; CAZyme|CE14_e44+STP|PIG-L; Peptidase|S41.005; STP|TPR_1; prodoric|NAGC_ECOLI; TC|3.A.11.1.3</t>
  </si>
  <si>
    <t>GCA_000466165.1</t>
  </si>
  <si>
    <t>HMT-183</t>
  </si>
  <si>
    <t>Peptidiphaga_sp.</t>
  </si>
  <si>
    <t>KE951428.1</t>
  </si>
  <si>
    <t>KE951428.1_85</t>
  </si>
  <si>
    <t>GH16_3(61-300)</t>
  </si>
  <si>
    <t>GH16_e341(61-301)</t>
  </si>
  <si>
    <t>GCA_000466165.1.overview.tsv</t>
  </si>
  <si>
    <t>GCA_000466165.1_CGC18</t>
  </si>
  <si>
    <t>CAZyme|GH16_3; prodoric|NARP_ECOLI; TC|9.B.238.3.5+STP|HATPase_c; TC|2.A.1.3.77</t>
  </si>
  <si>
    <t>GCA_000466185.1</t>
  </si>
  <si>
    <t>KE951502.1</t>
  </si>
  <si>
    <t>KE951502.1_204</t>
  </si>
  <si>
    <t>GCA_000466185.1.overview.tsv</t>
  </si>
  <si>
    <t>GCA_000466185.1_CGC22</t>
  </si>
  <si>
    <t>CAZyme|GH2_10+Sulfatase|S1_19; TC|2.A.2.2.3; TC|3.A.1.122.20; TC|3.A.1.122.20; null; CAZyme|GH16_3</t>
  </si>
  <si>
    <t>KE951502.1|CGC22</t>
  </si>
  <si>
    <t>PUL0368</t>
  </si>
  <si>
    <t>human milk oligosaccharide</t>
  </si>
  <si>
    <t>GCA_000467895.1</t>
  </si>
  <si>
    <t>HMT-314</t>
  </si>
  <si>
    <t>Prevotella_sp.</t>
  </si>
  <si>
    <t>KI259594.1</t>
  </si>
  <si>
    <t>KI259594.1_3</t>
  </si>
  <si>
    <t>GCA_000467895.1.overview.tsv</t>
  </si>
  <si>
    <t>GCA_000468635.1</t>
  </si>
  <si>
    <t>AWEY01000008.1</t>
  </si>
  <si>
    <t>AWEY01000008.1_368</t>
  </si>
  <si>
    <t>GCA_000468635.1.overview.tsv</t>
  </si>
  <si>
    <t>AWEY01000008.1_70</t>
  </si>
  <si>
    <t>GCA_000468635.1_CGC17</t>
  </si>
  <si>
    <t>TC|2.A.50.2.3; null; CAZyme|GH16_3+Sulfatase|S1_19; null; TC|1.B.14.6.2; null; TC|2.A.40.1.4</t>
  </si>
  <si>
    <t>AWEY01000008.1|CGC17</t>
  </si>
  <si>
    <t>GCA_000469385.1</t>
  </si>
  <si>
    <t>HMT-879</t>
  </si>
  <si>
    <t>Leptotrichia_sp.</t>
  </si>
  <si>
    <t>KI271337.1</t>
  </si>
  <si>
    <t>KI271337.1_7</t>
  </si>
  <si>
    <t>GH16_3(83-339)</t>
  </si>
  <si>
    <t>GH16_e50(85-340)</t>
  </si>
  <si>
    <t>GCA_000469385.1.overview.tsv</t>
  </si>
  <si>
    <t>GCA_000469385.1_CGC14</t>
  </si>
  <si>
    <t>CAZyme|CE9_e0+Peptidase|M38.UNW; Sulfatase|S1_9; TC|9.B.18.2.4; null; CAZyme|GH16_3+Sulfatase|S1_19; CAZyme|GT2</t>
  </si>
  <si>
    <t>KI271337.1|CGC14</t>
  </si>
  <si>
    <t>GCA_000469405.1</t>
  </si>
  <si>
    <t>KI271431.1</t>
  </si>
  <si>
    <t>KI271431.1_2</t>
  </si>
  <si>
    <t>GCA_000469405.1.overview.tsv</t>
  </si>
  <si>
    <t>GCA_000469405.1_CGC33</t>
  </si>
  <si>
    <t>CAZyme|GT2; CAZyme|GH16_3+Sulfatase|S1_19; null; TC|9.B.18.2.4</t>
  </si>
  <si>
    <t>GCA_000469505.1</t>
  </si>
  <si>
    <t>HMT-215</t>
  </si>
  <si>
    <t>Pseudoleptotrichia_sp.</t>
  </si>
  <si>
    <t>KI272827.1</t>
  </si>
  <si>
    <t>KI272827.1_86</t>
  </si>
  <si>
    <t>GH16_3(78-332)</t>
  </si>
  <si>
    <t>GH16_e50(79-333)</t>
  </si>
  <si>
    <t>GCA_000469505.1.overview.tsv</t>
  </si>
  <si>
    <t>GCA_000469505.1_CGC9</t>
  </si>
  <si>
    <t>STP|Pribosyltran; CAZyme|GT2; null; TC|9.B.18.2.4; CAZyme|GH16_3; null; STP|HTH_3</t>
  </si>
  <si>
    <t>KI272830.1</t>
  </si>
  <si>
    <t>KI272830.1_30</t>
  </si>
  <si>
    <t>3.2.1.21:1</t>
  </si>
  <si>
    <t>GH16_3(59-324)</t>
  </si>
  <si>
    <t>GH16_e107(58-325)</t>
  </si>
  <si>
    <t>GH16_e107</t>
  </si>
  <si>
    <t>GCA_000469505.1_CGC10</t>
  </si>
  <si>
    <t>STP|HTH_11; null; STP|GyrI-like; STP|GyrI-like; CAZyme|GH16_3; null; STP|HATPase_c</t>
  </si>
  <si>
    <t>GCA_000469525.1</t>
  </si>
  <si>
    <t>HMT-225</t>
  </si>
  <si>
    <t>KI272920.1</t>
  </si>
  <si>
    <t>KI272920.1_1</t>
  </si>
  <si>
    <t>GH16_3(81-337)</t>
  </si>
  <si>
    <t>GH16_e50(82-338)</t>
  </si>
  <si>
    <t>GCA_000469525.1.overview.tsv</t>
  </si>
  <si>
    <t>GCA_000469525.1_CGC9</t>
  </si>
  <si>
    <t>CAZyme|GH16_3+Sulfatase|S1_19; null; TC|9.B.18.2.4; Sulfatase|S1_9; CAZyme|CE9_e0+Peptidase|M38.UNW</t>
  </si>
  <si>
    <t>KI272920.1|CGC9</t>
  </si>
  <si>
    <t>GCA_000511735.1</t>
  </si>
  <si>
    <t>BAIQ01000001.1</t>
  </si>
  <si>
    <t>BAIQ01000001.1_196</t>
  </si>
  <si>
    <t>GCA_000511735.1.overview.tsv</t>
  </si>
  <si>
    <t>BAIQ01000002.1</t>
  </si>
  <si>
    <t>BAIQ01000002.1_66</t>
  </si>
  <si>
    <t>GH16_3(54-283)</t>
  </si>
  <si>
    <t>GH16_e59(55-284)</t>
  </si>
  <si>
    <t>GCA_000511735.1_CGC7</t>
  </si>
  <si>
    <t>CAZyme|GH16_3; null; null; TC|1.B.14.6.17; null; CAZyme|GH171_e3; TC|2.A.21.3.7</t>
  </si>
  <si>
    <t>BAIQ01000039.1</t>
  </si>
  <si>
    <t>BAIQ01000039.1_5</t>
  </si>
  <si>
    <t>GCA_000511735.1_CGC42</t>
  </si>
  <si>
    <t>TC|2.A.53.3.9; null; null; CAZyme|GH16_3|CBM13_e195; STP|Reg_prop+STP|HisKA+STP|HATPase_c+STP|Response_reg+STP|HTH_18</t>
  </si>
  <si>
    <t>BAIQ01000039.1|CGC42</t>
  </si>
  <si>
    <t>BAIQ01000048.1</t>
  </si>
  <si>
    <t>BAIQ01000048.1_2</t>
  </si>
  <si>
    <t>GCA_000511735.1_CGC48</t>
  </si>
  <si>
    <t>CAZyme|GH3_e1+Sulfatase|S1_7; CAZyme|GH16_3+Sulfatase|S1_19; CAZyme|CBM103; null; TC|1.B.14.6.17; TC|1.B.14.6.17; TC|1.B.14.6.17</t>
  </si>
  <si>
    <t>BAIQ01000048.1|CGC48</t>
  </si>
  <si>
    <t>PUL0749</t>
  </si>
  <si>
    <t>CAZyme-CAZyme;CAZyme-CAZyme;CAZyme-null;null-null</t>
  </si>
  <si>
    <t>BAIQ01000062.1</t>
  </si>
  <si>
    <t>BAIQ01000062.1_6</t>
  </si>
  <si>
    <t>GCA_000511735.1_CGC51</t>
  </si>
  <si>
    <t>CAZyme|GH3_e208+Sulfatase|S1_7; null; TC|8.A.46.2.1; TC|1.B.14.6.13; Peptidase|I39.UPW; CAZyme|GH16_3</t>
  </si>
  <si>
    <t>BAIQ01000062.1|CGC51</t>
  </si>
  <si>
    <t>PUL0674</t>
  </si>
  <si>
    <t>CAZyme-CAZyme;null-null;TC-TC;TC-TC;Peptidase-TC;CAZyme-CAZyme</t>
  </si>
  <si>
    <t>GCA_000511755.1</t>
  </si>
  <si>
    <t>BAIR01000001.1</t>
  </si>
  <si>
    <t>BAIR01000001.1_4</t>
  </si>
  <si>
    <t>GCA_000511755.1.overview.tsv</t>
  </si>
  <si>
    <t>GCA_000511755.1_CGC1</t>
  </si>
  <si>
    <t>BAIR01000004.1</t>
  </si>
  <si>
    <t>BAIR01000004.1_57</t>
  </si>
  <si>
    <t>GCA_000511755.1_CGC12</t>
  </si>
  <si>
    <t>CAZyme|GH16_3; null; TC|1.B.14.6.17; null; CAZyme|GH171_e3; TC|2.A.21.3.7</t>
  </si>
  <si>
    <t>BAIR01000017.1</t>
  </si>
  <si>
    <t>BAIR01000017.1_9</t>
  </si>
  <si>
    <t>GCA_000511755.1_CGC29</t>
  </si>
  <si>
    <t>CAZyme|GH16_3|CBM13_e195; STP|Reg_prop+STP|HisKA+STP|HATPase_c+STP|Response_reg; STP|Response_reg+STP|HTH_18</t>
  </si>
  <si>
    <t>BAIR01000017.1|CGC29</t>
  </si>
  <si>
    <t>CAZyme-CAZyme;STP-TF;STP-TF</t>
  </si>
  <si>
    <t>BAIR01000046.1</t>
  </si>
  <si>
    <t>BAIR01000046.1_17</t>
  </si>
  <si>
    <t>GCA_000511755.1_CGC50</t>
  </si>
  <si>
    <t>CGC50</t>
  </si>
  <si>
    <t>TC|1.B.14.6.17; TC|1.B.14.6.17; null; null; CAZyme|CBM103; CAZyme|GH16_3+Sulfatase|S1_19; CAZyme|GH3_e1+Sulfatase|S1_7</t>
  </si>
  <si>
    <t>BAIR01000046.1|CGC50</t>
  </si>
  <si>
    <t>TC-TC;TC-TC;null-null;null-null;CAZyme-CAZyme;CAZyme-CAZyme;CAZyme-CAZyme</t>
  </si>
  <si>
    <t>BAIR01000062.1</t>
  </si>
  <si>
    <t>BAIR01000062.1_2</t>
  </si>
  <si>
    <t>GCA_000511755.1_CGC53</t>
  </si>
  <si>
    <t>CGC53</t>
  </si>
  <si>
    <t>CAZyme|GH16_3; null; TC|1.B.14.6.2; null; TC|8.A.46.2.1</t>
  </si>
  <si>
    <t>BAIR01000062.1|CGC53</t>
  </si>
  <si>
    <t>CAZyme-CAZyme;null-TC;TC-TC;null-TC;TC-TC</t>
  </si>
  <si>
    <t>GCA_000511775.1</t>
  </si>
  <si>
    <t>BAIU01000001.1</t>
  </si>
  <si>
    <t>BAIU01000001.1_113</t>
  </si>
  <si>
    <t>GH16_3(156-259)</t>
  </si>
  <si>
    <t>GH16_e240(157-266)</t>
  </si>
  <si>
    <t>GCA_000511775.1.overview.tsv</t>
  </si>
  <si>
    <t>GCA_000511775.1_CGC3</t>
  </si>
  <si>
    <t>TC|1.B.14.6.17; TC|1.B.14.6.17; null; CAZyme|CBM103; CAZyme|GH16_3+Sulfatase|S1_19; CAZyme|GH16_3+Sulfatase|S1_19; CAZyme|GH3_e1+Sulfatase|S1_7</t>
  </si>
  <si>
    <t>BAIU01000001.1|CGC3</t>
  </si>
  <si>
    <t>TC-TC;TC-TC;null-null;CAZyme-STP;CAZyme-CAZyme;CAZyme-CAZyme;CAZyme-CAZyme</t>
  </si>
  <si>
    <t>BAIU01000001.1_114</t>
  </si>
  <si>
    <t>GH16_3(6-95)</t>
  </si>
  <si>
    <t>GH16_e240(2-96)</t>
  </si>
  <si>
    <t>BAIU01000014.1</t>
  </si>
  <si>
    <t>BAIU01000014.1_33</t>
  </si>
  <si>
    <t>BAIU01000028.1</t>
  </si>
  <si>
    <t>BAIU01000028.1_4</t>
  </si>
  <si>
    <t>GCA_000516535.1</t>
  </si>
  <si>
    <t>KI911785.1</t>
  </si>
  <si>
    <t>KI911785.1_2206</t>
  </si>
  <si>
    <t>GH16_3(79-332)</t>
  </si>
  <si>
    <t>GH16_e50(80-333)</t>
  </si>
  <si>
    <t>GCA_000516535.1.overview.tsv</t>
  </si>
  <si>
    <t>GCA_000516535.1_CGC34</t>
  </si>
  <si>
    <t>TC|9.B.18.2.4; null; CAZyme|GH16_3+Sulfatase|S1_19; Sulfatase|S1_4; null; CAZyme|GT4_e1377; CAZyme|GT4_e2401; CAZyme|GT4_e3643; null; TC|2.A.50.2.3; null; null; TC|3.A.1.103.1; null; CAZyme|GT4_e1839</t>
  </si>
  <si>
    <t>GCA_000517825.1</t>
  </si>
  <si>
    <t>JACD01000054.1</t>
  </si>
  <si>
    <t>JACD01000054.1_33</t>
  </si>
  <si>
    <t>GCA_000517825.1.overview.tsv</t>
  </si>
  <si>
    <t>GCA_000517825.1_CGC27</t>
  </si>
  <si>
    <t>TC|3.A.1.106.2; null; CAZyme|GT11_e30; null; CAZyme|GT2+TC|4.D.1.3.2; CAZyme|GT2; CAZyme|GT32_e169; null; CAZyme|GT4_e2089; null; CAZyme|GT2+TC|4.D.1.1.14; null; CAZyme|GH16_3; null; null; STP|LytTR</t>
  </si>
  <si>
    <t>JACD01000054.1|CGC27</t>
  </si>
  <si>
    <t>GCA_000517885.1</t>
  </si>
  <si>
    <t>ASPT01000005.1</t>
  </si>
  <si>
    <t>ASPT01000005.1_7</t>
  </si>
  <si>
    <t>GH16_3(430-682)+CBM56(687-873)</t>
  </si>
  <si>
    <t>CBM56_e2(26-131)+CBM56_e2(141-245)+GH16_e317(431-683)+CBM56_e2(689-873)</t>
  </si>
  <si>
    <t>GCA_000517885.1.overview.tsv</t>
  </si>
  <si>
    <t>GH16_3(430-682)</t>
  </si>
  <si>
    <t>GCA_000517885.1_CGC20</t>
  </si>
  <si>
    <t>CAZyme|CBM56_e2|CBM56_e2|GH16_3|CBM56_e2; null; STP|dCache_1+STP|MCPsignal</t>
  </si>
  <si>
    <t>ASPT01000005.1|CGC20</t>
  </si>
  <si>
    <t>PUL0458</t>
  </si>
  <si>
    <t>carrageenan</t>
  </si>
  <si>
    <t>CAZyme-CAZyme;STP-STP</t>
  </si>
  <si>
    <t>ASPT01000036.1</t>
  </si>
  <si>
    <t>ASPT01000036.1_39</t>
  </si>
  <si>
    <t>GH16_3(34-259)+CBM13(270-409)</t>
  </si>
  <si>
    <t>GH16_e342(35-260)+CBM13_e342(272-409)</t>
  </si>
  <si>
    <t>GCA_000517885.1_CGC96</t>
  </si>
  <si>
    <t>CGC96</t>
  </si>
  <si>
    <t>CAZyme|GH16_3|CBM13_e342+Sulfatase|S1_19; null; Peptidase|S09.UPW; CAZyme|GH2_1|CBM6_e77|CBM6_e77+Sulfatase|S1_20; TC|3.A.1.139.4; TC|3.A.1.139.2; STP|Peripla_BP_2; TC|3.A.1.14.15; TC|3.A.1.14.7; null; null; STP|TetR_N; TC|2.A.66.1.34; null; null; STP|SBP_bac_1; null; null; TC|3.A.1.1.57; TC|3.A.1.1.20; null; null; STP|HATPase_c; prodoric|PHOP_BACSU; STP|HATPase_c</t>
  </si>
  <si>
    <t>ASPT01000036.1|CGC96</t>
  </si>
  <si>
    <t>PUL0067</t>
  </si>
  <si>
    <t>xyloglucan</t>
  </si>
  <si>
    <t>CAZyme-CAZyme;prodoric-TC</t>
  </si>
  <si>
    <t>GCA_000613325.1</t>
  </si>
  <si>
    <t>BAIP01000010.1</t>
  </si>
  <si>
    <t>BAIP01000010.1_60</t>
  </si>
  <si>
    <t>GCA_000613325.1.overview.tsv</t>
  </si>
  <si>
    <t>GCA_000613325.1_CGC25</t>
  </si>
  <si>
    <t>GCA_000613485.1</t>
  </si>
  <si>
    <t>BAJB01000012.1</t>
  </si>
  <si>
    <t>BAJB01000012.1_49</t>
  </si>
  <si>
    <t>GCA_000613485.1.overview.tsv</t>
  </si>
  <si>
    <t>GCA_000613485.1_CGC39</t>
  </si>
  <si>
    <t>CGC39</t>
  </si>
  <si>
    <t>CAZyme|GH3_e1+Sulfatase|S1_7; null; CAZyme|GH16_3; CAZyme|CBM103; null; null; TC|1.B.14.6.17; TC|1.B.14.6.17</t>
  </si>
  <si>
    <t>BAJB01000012.1|CGC39</t>
  </si>
  <si>
    <t>CAZyme-CAZyme;null-CAZyme;CAZyme-CAZyme;CAZyme-STP;null-null;TC-TC;TC-TC</t>
  </si>
  <si>
    <t>GCA_000613565.1</t>
  </si>
  <si>
    <t>BAJF01000020.1</t>
  </si>
  <si>
    <t>BAJF01000020.1_49</t>
  </si>
  <si>
    <t>GCA_000613565.1.overview.tsv</t>
  </si>
  <si>
    <t>GCA_000613565.1_CGC35</t>
  </si>
  <si>
    <t>TC|2.A.40.1.4; null; null; TC|1.B.14.6.2; null; CAZyme|GH16_3+Sulfatase|S1_19; null; null; TC|2.A.50.2.3; TC|2.A.50.2.3</t>
  </si>
  <si>
    <t>BAJF01000020.1|CGC35</t>
  </si>
  <si>
    <t>BAJF01000022.1</t>
  </si>
  <si>
    <t>BAJF01000022.1_22</t>
  </si>
  <si>
    <t>GH16_3(2-130)</t>
  </si>
  <si>
    <t>GH16_e88(2-130)</t>
  </si>
  <si>
    <t>GH16_e88</t>
  </si>
  <si>
    <t>GCA_000613585.1</t>
  </si>
  <si>
    <t>BAJG01000001.1</t>
  </si>
  <si>
    <t>BAJG01000001.1_85</t>
  </si>
  <si>
    <t>GCA_000613585.1.overview.tsv</t>
  </si>
  <si>
    <t>GCA_000613585.1_CGC4</t>
  </si>
  <si>
    <t>CGC4</t>
  </si>
  <si>
    <t>GCA_000613925.1</t>
  </si>
  <si>
    <t>BAJX01000018.1</t>
  </si>
  <si>
    <t>BAJX01000018.1_20</t>
  </si>
  <si>
    <t>GCA_000613925.1.overview.tsv</t>
  </si>
  <si>
    <t>GCA_000613925.1_CGC52</t>
  </si>
  <si>
    <t>TC|3.A.1.106.1; TC|2.A.127.1.11; null; CAZyme|GT11_e30; CAZyme|GT2+TC|4.D.1.3.2; CAZyme|GT2; CAZyme|GT32_e169; null; null; CAZyme|GT4_e2089; null; CAZyme|GT2+TC|4.D.1.1.14; null; null; CAZyme|GH16_3</t>
  </si>
  <si>
    <t>GCA_000613965.1</t>
  </si>
  <si>
    <t>BAJZ01000001.1</t>
  </si>
  <si>
    <t>BAJZ01000001.1_56</t>
  </si>
  <si>
    <t>GCA_000613965.1.overview.tsv</t>
  </si>
  <si>
    <t>GCA_000613965.1_CGC1</t>
  </si>
  <si>
    <t>CAZyme|GH105_e39+Sulfatase|S1_16; null; Sulfatase|S1_14; CAZyme|GH154_e2; CAZyme|PL33_1; CAZyme|GH43_24+Sulfatase|S1_6; CAZyme|CBM32_e83|GH16_3+Sulfatase|S1_19; null; null; TC|1.B.14.6.17; null; null; TC|1.B.14.6.17; null; null; STP|HD</t>
  </si>
  <si>
    <t>BAJZ01000001.1|CGC1</t>
  </si>
  <si>
    <t>CAZyme-CAZyme;CAZyme-CAZyme;CAZyme-CAZyme;null-TC;null-TC;TC-TC;null-null;null-null;TC-TC</t>
  </si>
  <si>
    <t>GCA_000614245.1</t>
  </si>
  <si>
    <t>HMT-782</t>
  </si>
  <si>
    <t>Prevotella_fusca</t>
  </si>
  <si>
    <t>BAKO01000029.1</t>
  </si>
  <si>
    <t>BAKO01000029.1_14</t>
  </si>
  <si>
    <t>GCA_000614245.1.overview.tsv</t>
  </si>
  <si>
    <t>GCA_000614245.1_CGC34</t>
  </si>
  <si>
    <t>CAZyme|GT2+TC|4.D.1.1.14; CAZyme|GT2; null; CAZyme|CE4_e54; null; CAZyme|GH16_3; null; null; STP|LytTR</t>
  </si>
  <si>
    <t>BAKO01000029.1|CGC34</t>
  </si>
  <si>
    <t>GCA_000691525.1</t>
  </si>
  <si>
    <t>JMDW01000009.1</t>
  </si>
  <si>
    <t>JMDW01000009.1_378</t>
  </si>
  <si>
    <t>GCA_000691525.1.overview.tsv</t>
  </si>
  <si>
    <t>GCA_000691525.1_CGC38</t>
  </si>
  <si>
    <t>JMDW01000010.1</t>
  </si>
  <si>
    <t>JMDW01000010.1_359</t>
  </si>
  <si>
    <t>GH16_3(334-583)</t>
  </si>
  <si>
    <t>GH16_e328(335-584)</t>
  </si>
  <si>
    <t>GCA_000691525.1_CGC46</t>
  </si>
  <si>
    <t>CGC46</t>
  </si>
  <si>
    <t>STP|TetR_N; null; TC|3.A.1.120.8; Sulfatase|S1_8; TC|8.A.88.2.7; CAZyme|GH16_3</t>
  </si>
  <si>
    <t>GCA_000698925.1</t>
  </si>
  <si>
    <t>KL205535.1</t>
  </si>
  <si>
    <t>KL205535.1_22</t>
  </si>
  <si>
    <t>GCA_000698925.1.overview.tsv</t>
  </si>
  <si>
    <t>GCA_000698925.1_CGC36</t>
  </si>
  <si>
    <t>TC|1.B.14.6.17; null; CAZyme|CBM103; CAZyme|GH16_3; CAZyme|GH3_e1+Sulfatase|S1_7; null; null; CAZyme|CE11_e18; null; STP|HD</t>
  </si>
  <si>
    <t>KL205535.1|CGC36</t>
  </si>
  <si>
    <t>GCA_000724065.1</t>
  </si>
  <si>
    <t>LK021338.1</t>
  </si>
  <si>
    <t>LK021338.1_315</t>
  </si>
  <si>
    <t>GCA_000724065.1.overview.tsv</t>
  </si>
  <si>
    <t>GCA_000724065.1_CGC31</t>
  </si>
  <si>
    <t>LK021338.1_374</t>
  </si>
  <si>
    <t>GCA_000724065.1_CGC32</t>
  </si>
  <si>
    <t>GCA_000741405.1</t>
  </si>
  <si>
    <t>Vaginal</t>
  </si>
  <si>
    <t>HMT-891</t>
  </si>
  <si>
    <t>Bifidobacterium_scardovii</t>
  </si>
  <si>
    <t>JGZO01000004.1</t>
  </si>
  <si>
    <t>JGZO01000004.1_130</t>
  </si>
  <si>
    <t>3.2.1.39:1;3.2.1.-:2</t>
  </si>
  <si>
    <t>GH16_3(7-212)</t>
  </si>
  <si>
    <t>GH16_e27(39-181)</t>
  </si>
  <si>
    <t>GCA_000741405.1.overview.tsv</t>
  </si>
  <si>
    <t>GH16_e27</t>
  </si>
  <si>
    <t>GCA_000741405.1_CGC16</t>
  </si>
  <si>
    <t>TC|4.C.1.1.4; TC|1.E.24.1.5; CAZyme|GH25_e47|CBM50_e433|CBM50_e872; null; CAZyme|GH16_3</t>
  </si>
  <si>
    <t>JGZO01000004.1|CGC16</t>
  </si>
  <si>
    <t>chitin</t>
  </si>
  <si>
    <t>GCA_000759075.1</t>
  </si>
  <si>
    <t>JRNJ01000055.1</t>
  </si>
  <si>
    <t>JRNJ01000055.1_34</t>
  </si>
  <si>
    <t>GCA_000759075.1.overview.tsv</t>
  </si>
  <si>
    <t>GCA_000759075.1_CGC21</t>
  </si>
  <si>
    <t>CGC21</t>
  </si>
  <si>
    <t>STP|Pribosyltran; null; null; STP|LytTR; null; null; CAZyme|GH16_3</t>
  </si>
  <si>
    <t>GCA_000759205.1</t>
  </si>
  <si>
    <t>JRNO01000001.1</t>
  </si>
  <si>
    <t>JRNO01000001.1_147</t>
  </si>
  <si>
    <t>GCA_000759205.1.overview.tsv</t>
  </si>
  <si>
    <t>GCA_000759205.1_CGC5</t>
  </si>
  <si>
    <t>CGC5</t>
  </si>
  <si>
    <t>TC|2.A.127.1.3; CAZyme|GH16_3</t>
  </si>
  <si>
    <t>GCA_000770985.1</t>
  </si>
  <si>
    <t>JDTN01000092.1</t>
  </si>
  <si>
    <t>JDTN01000092.1_2</t>
  </si>
  <si>
    <t>GH16_3(18-260)</t>
  </si>
  <si>
    <t>GH16_e193(20-261)</t>
  </si>
  <si>
    <t>GCA_000770985.1.overview.tsv</t>
  </si>
  <si>
    <t>GCA_000803625.1</t>
  </si>
  <si>
    <t>HMT-952</t>
  </si>
  <si>
    <t>Nanosynbacter_lyticus</t>
  </si>
  <si>
    <t>CP007496.1</t>
  </si>
  <si>
    <t>CP007496.1_681</t>
  </si>
  <si>
    <t>GH16_3(55-297)</t>
  </si>
  <si>
    <t>GH16_e218(56-298)</t>
  </si>
  <si>
    <t>GCA_000803625.1.overview.tsv</t>
  </si>
  <si>
    <t>GCA_000803625.1_CGC10</t>
  </si>
  <si>
    <t>CAZyme|GH16_3; STP|LexA_DNA_bind; null; TC|9.B.18.1.2; CAZyme|GT4_e4002; CAZyme|GT4_e128; null; TC|9.B.18.2.4</t>
  </si>
  <si>
    <t>GCA_001005065.1</t>
  </si>
  <si>
    <t>LBIB01000034.1</t>
  </si>
  <si>
    <t>LBIB01000034.1_161</t>
  </si>
  <si>
    <t>GCA_001005065.1.overview.tsv</t>
  </si>
  <si>
    <t>GCA_001005065.1_CGC57</t>
  </si>
  <si>
    <t>CGC57</t>
  </si>
  <si>
    <t>LBIB01000034.1|CGC57</t>
  </si>
  <si>
    <t>GCA_001006485.1</t>
  </si>
  <si>
    <t>JUET01000076.1</t>
  </si>
  <si>
    <t>JUET01000076.1_79</t>
  </si>
  <si>
    <t>GCA_001006485.1.overview.tsv</t>
  </si>
  <si>
    <t>GCA_001006485.1_CGC34</t>
  </si>
  <si>
    <t>JUET01000092.1</t>
  </si>
  <si>
    <t>JUET01000092.1_53</t>
  </si>
  <si>
    <t>GCA_001006485.1_CGC45</t>
  </si>
  <si>
    <t>STP|Sigma70_r2+STP|Sigma70_r4_2; STP|FecR; TC|1.B.14.6.2; TC|8.A.46.2.1; CAZyme|GH16_3+Sulfatase|S1_19</t>
  </si>
  <si>
    <t>JUET01000092.1|CGC45</t>
  </si>
  <si>
    <t>STP-STP;STP-STP;TC-TC;CAZyme-CAZyme</t>
  </si>
  <si>
    <t>GCA_001042635.1</t>
  </si>
  <si>
    <t>AP012331.1</t>
  </si>
  <si>
    <t>AP012331.1_1461</t>
  </si>
  <si>
    <t>GCA_001042635.1.overview.tsv</t>
  </si>
  <si>
    <t>GCA_001042635.1_CGC26</t>
  </si>
  <si>
    <t>AP012331.1|CGC26</t>
  </si>
  <si>
    <t>GCA_001057035.1</t>
  </si>
  <si>
    <t>JVFB01000004.1</t>
  </si>
  <si>
    <t>JVFB01000004.1_1</t>
  </si>
  <si>
    <t>GH16_3(43-270)</t>
  </si>
  <si>
    <t>GH16_e321(44-271)</t>
  </si>
  <si>
    <t>GCA_001057035.1.overview.tsv</t>
  </si>
  <si>
    <t>GCA_001057035.1_CGC2</t>
  </si>
  <si>
    <t>JVFB01000033.1</t>
  </si>
  <si>
    <t>JVFB01000033.1_4</t>
  </si>
  <si>
    <t>GCA_001057035.1_CGC14</t>
  </si>
  <si>
    <t>CAZyme|GH16_3; null; null; TC|2.A.1.2.7; null; null; TC|3.A.1.10.3</t>
  </si>
  <si>
    <t>JVFB01000068.1</t>
  </si>
  <si>
    <t>JVFB01000068.1_62</t>
  </si>
  <si>
    <t>GCA_001057035.1_CGC35</t>
  </si>
  <si>
    <t>CAZyme|GT51_e154; null; TC|1.B.14.6.17; TC|8.A.46.1.3; null; Peptidase|S09.UPW; CAZyme|GH144_e1; STP|Y_Y_Y+STP|GerE; null; TC|1.B.14.6.17; TC|1.B.38.1.10; CAZyme|CBM102; CAZyme|CBM103|GH16_3+Sulfatase|S1_19; CAZyme|GH3_e1+Sulfatase|S1_7; null; TC|2.A.53.3.8; TC|1.B.14.6.1; TC|1.B.14.6.17; TC|8.A.46.3.4</t>
  </si>
  <si>
    <t>JVFB01000068.1|CGC35</t>
  </si>
  <si>
    <t>GCA_001057485.1</t>
  </si>
  <si>
    <t>JVAR01000153.1</t>
  </si>
  <si>
    <t>JVAR01000153.1_1</t>
  </si>
  <si>
    <t>GH16_3(2132-2388)</t>
  </si>
  <si>
    <t>GH16_e218(1722-1890)+GH16_e218(2133-2389)</t>
  </si>
  <si>
    <t>GH16_e218|GH16_3</t>
  </si>
  <si>
    <t>GCA_001057485.1.overview.tsv</t>
  </si>
  <si>
    <t>GCA_001057555.1</t>
  </si>
  <si>
    <t>JVAB01000174.1</t>
  </si>
  <si>
    <t>JVAB01000174.1_1</t>
  </si>
  <si>
    <t>GCA_001057555.1.overview.tsv</t>
  </si>
  <si>
    <t>JVAB01000175.1</t>
  </si>
  <si>
    <t>JVAB01000175.1_1</t>
  </si>
  <si>
    <t>GH16_3(2061-2317)</t>
  </si>
  <si>
    <t>GH16_e218(1651-1819)+GH16_e218(2062-2318)</t>
  </si>
  <si>
    <t>GCA_001063785.1</t>
  </si>
  <si>
    <t>JVAQ01000069.1</t>
  </si>
  <si>
    <t>JVAQ01000069.1_1</t>
  </si>
  <si>
    <t>GCA_001063785.1.overview.tsv</t>
  </si>
  <si>
    <t>JVAQ01000123.1</t>
  </si>
  <si>
    <t>JVAQ01000123.1_1</t>
  </si>
  <si>
    <t>GH16_3(2099-2355)</t>
  </si>
  <si>
    <t>GH16_e218(1689-1857)+GH16_e218(2100-2356)</t>
  </si>
  <si>
    <t>GCA_001070095.1</t>
  </si>
  <si>
    <t>JWDF01000007.1</t>
  </si>
  <si>
    <t>JWDF01000007.1_78</t>
  </si>
  <si>
    <t>GCA_001070095.1.overview.tsv</t>
  </si>
  <si>
    <t>GCA_001070095.1_CGC5</t>
  </si>
  <si>
    <t>GCA_001262015.1</t>
  </si>
  <si>
    <t>CP012074.1</t>
  </si>
  <si>
    <t>CP012074.1_1401</t>
  </si>
  <si>
    <t>GCA_001262015.1.overview.tsv</t>
  </si>
  <si>
    <t>GCA_001262015.1_CGC30</t>
  </si>
  <si>
    <t>STP|LytTR; null; null; CAZyme|GH16_3; null; CAZyme|CE4_e54; CAZyme|GT2+TC|4.D.1.1.14</t>
  </si>
  <si>
    <t>CP012074.1|CGC30</t>
  </si>
  <si>
    <t>GCA_001274535.1</t>
  </si>
  <si>
    <t>HMT-212</t>
  </si>
  <si>
    <t>CP012410.1</t>
  </si>
  <si>
    <t>CP012410.1_2172</t>
  </si>
  <si>
    <t>GH16_3(78-331)</t>
  </si>
  <si>
    <t>GH16_e50(79-332)</t>
  </si>
  <si>
    <t>GCA_001274535.1.overview.tsv</t>
  </si>
  <si>
    <t>GCA_001274535.1_CGC28</t>
  </si>
  <si>
    <t>STP|Pribosyltran; CAZyme|GT2; null; TC|9.B.18.2.4; null; CAZyme|GH16_3; null; STP|HTH_3</t>
  </si>
  <si>
    <t>CP012410.1_743</t>
  </si>
  <si>
    <t>GCA_001274535.1_CGC7</t>
  </si>
  <si>
    <t>STP|HTH_11; null; null; STP|GyrI-like; STP|GyrI-like; STP|GyrI-like; CAZyme|GH16_3; TC|9.B.238.3.6</t>
  </si>
  <si>
    <t>GCA_001278825.1</t>
  </si>
  <si>
    <t>CP012589.1</t>
  </si>
  <si>
    <t>CP012589.1_1260</t>
  </si>
  <si>
    <t>GCA_001278825.1.overview.tsv</t>
  </si>
  <si>
    <t>GCA_001278825.1_CGC25</t>
  </si>
  <si>
    <t>STP|NTP_transf_2; null; null; TC|3.A.1.10.3; null; null; TC|2.A.1.2.7; null; null; CAZyme|GH16_3</t>
  </si>
  <si>
    <t>CP012589.1_1282</t>
  </si>
  <si>
    <t>GCA_001278825.1_CGC26</t>
  </si>
  <si>
    <t>STP|cNMP_binding; null; CAZyme|GH16_3; null; null; CAZyme|GH2_1; null; null; TC|1.B.14.3.6</t>
  </si>
  <si>
    <t>CP012589.1_1887</t>
  </si>
  <si>
    <t>GCA_001278825.1_CGC37</t>
  </si>
  <si>
    <t>CGC37</t>
  </si>
  <si>
    <t>TC|1.B.14.6.17; TC|8.A.46.1.3; null; Peptidase|S09.UPW; CAZyme|GH144_e1; STP|Y_Y_Y+STP|GerE; TC|1.B.14.6.17; TC|1.B.38.1.10; CAZyme|CBM102; CAZyme|CBM103|GH16_3+Sulfatase|S1_19; CAZyme|GH3_e1+Sulfatase|S1_7; null; TC|2.A.53.3.8; null; TC|1.B.14.6.1; Peptidase|I39.UPW; TC|8.A.46.3.4</t>
  </si>
  <si>
    <t>CP012589.1|CGC37</t>
  </si>
  <si>
    <t>GCA_001314975.1</t>
  </si>
  <si>
    <t>HMT-970</t>
  </si>
  <si>
    <t>Bacteroides_thetaiotaomicron</t>
  </si>
  <si>
    <t>CP012937.1</t>
  </si>
  <si>
    <t>CP012937.1_1704</t>
  </si>
  <si>
    <t>GCA_001314975.1.overview.tsv</t>
  </si>
  <si>
    <t>CP012937.1_245</t>
  </si>
  <si>
    <t>GH16_3(138-367)</t>
  </si>
  <si>
    <t>GH16_e59(139-368)</t>
  </si>
  <si>
    <t>GCA_001314975.1_CGC8</t>
  </si>
  <si>
    <t>CGC8</t>
  </si>
  <si>
    <t>STP|Reg_prop+STP|Y_Y_Y+STP|HisKA+STP|HATPase_c+STP|Response_reg+STP|HTH_18; CAZyme|GH18_e33; CAZyme|GH16_3+Sulfatase|S1_19</t>
  </si>
  <si>
    <t>CP012937.1|CGC8</t>
  </si>
  <si>
    <t>STP-TF;CAZyme-CAZyme;CAZyme-CAZyme</t>
  </si>
  <si>
    <t>CP012937.1_4300</t>
  </si>
  <si>
    <t>GH16_3(133-361)</t>
  </si>
  <si>
    <t>GH16_e240(134-362)</t>
  </si>
  <si>
    <t>GCA_001314975.1_CGC93</t>
  </si>
  <si>
    <t>CGC93</t>
  </si>
  <si>
    <t>STP|Y_Y_Y; TC|1.B.14.6.17; null; null; CAZyme|GH16_3+Sulfatase|S1_19; CAZyme|GH3_e1+Sulfatase|S1_7; null; null; TC|3.A.3.6.5</t>
  </si>
  <si>
    <t>CP012937.1|CGC93</t>
  </si>
  <si>
    <t>STP-TF;TC-TC;null-null;null-STP;CAZyme-CAZyme;CAZyme-CAZyme</t>
  </si>
  <si>
    <t>CP012937.1_4342</t>
  </si>
  <si>
    <t>GH16_3(36-262)</t>
  </si>
  <si>
    <t>GH16_e321(37-263)</t>
  </si>
  <si>
    <t>CP012937.1_4533</t>
  </si>
  <si>
    <t>GH16_3(29-280)+GH43_24(308-599)</t>
  </si>
  <si>
    <t>GH16_e36(30-281)+GH43_e236(310-600)</t>
  </si>
  <si>
    <t>GH16_3+GH43_24</t>
  </si>
  <si>
    <t>GH16_3|GH43_24</t>
  </si>
  <si>
    <t>GH16_3(29-280)</t>
  </si>
  <si>
    <t>GH16_e36</t>
  </si>
  <si>
    <t>GCA_001314975.1_CGC101</t>
  </si>
  <si>
    <t>CGC101</t>
  </si>
  <si>
    <t>CAZyme|GT2+TC|4.D.3.1.3; null; null; TC|1.E.14.1.13; TC|2.A.122.1.1; null; null; CAZyme|GH105_e39; CAZyme|PL42_e0; CAZyme|GH43_24+Sulfatase|S1_6; CAZyme|GH16_3|GH43_24+Sulfatase|S1_19; null; TC|8.A.46.1.3; TC|1.B.14.6.17; null; STP|Y_Y_Y+STP|HisKA+STP|HATPase_c+STP|Response_reg+STP|HTH_18; CAZyme|GH154_e20; null; CAZyme|GH43_34; CAZyme|GH127_e4+Sulfatase|S1_7; TC|2.C.1.4.1; CAZyme|GH97_e16+Sulfatase|S1_8; CAZyme|GH43_10|CBM91_e38+Sulfatase|S1_7; CAZyme|GH43_34|CBM32_e40; CAZyme|GH97_e18; STP|Y_Y_Y+STP|HTH_18; CAZyme|GH31_4; null; CAZyme|GH51_2; CAZyme|GH43_9|CBM91_e36|GH43_19; CAZyme|GH43_19; CAZyme|GH35_e43|CBM32_e42+Sulfatase|S1_20</t>
  </si>
  <si>
    <t>CP012937.1|CGC101</t>
  </si>
  <si>
    <t>PUL0563</t>
  </si>
  <si>
    <t>null-null;CAZyme-CAZyme;CAZyme-CAZyme;CAZyme-CAZyme;CAZyme-CAZyme;CAZyme-CAZyme;CAZyme-CAZyme;null-null;TC-TC;TC-TC;null-null;STP-TC;CAZyme-CAZyme;null-null;CAZyme-CAZyme;CAZyme-CAZyme</t>
  </si>
  <si>
    <t>GCA_001314995.1</t>
  </si>
  <si>
    <t>HMT-968</t>
  </si>
  <si>
    <t>Bacteroides_ovatus</t>
  </si>
  <si>
    <t>CP012938.1</t>
  </si>
  <si>
    <t>CP012938.1_1536</t>
  </si>
  <si>
    <t>GCA_001314995.1.overview.tsv</t>
  </si>
  <si>
    <t>CP012938.1_2645</t>
  </si>
  <si>
    <t>GCA_001314995.1_CGC68</t>
  </si>
  <si>
    <t>CGC68</t>
  </si>
  <si>
    <t>CAZyme|GH16_3; null; null; CAZyme|GH92_e18; null; STP|HTH_3</t>
  </si>
  <si>
    <t>CP012938.1_3088</t>
  </si>
  <si>
    <t>GH16_e6(39-271)</t>
  </si>
  <si>
    <t>GCA_001314995.1_CGC81</t>
  </si>
  <si>
    <t>CAZyme|GH3_e98+Sulfatase|S1_7; null; STP|Y_Y_Y+STP|HisKA+STP|HATPase_c+STP|Response_reg+STP|HTH_18; CAZyme|GH16_3; TC|1.B.14.6.2; TC|8.A.46.2.1; null; CAZyme|GH3_e208+Sulfatase|S1_7; CAZyme|CE20_e34+Sulfatase|S1_7</t>
  </si>
  <si>
    <t>CP012938.1|CGC81</t>
  </si>
  <si>
    <t>CAZyme-CAZyme;STP-TC;CAZyme-CAZyme;TC-TC;TC-TC;null-null;CAZyme-CAZyme</t>
  </si>
  <si>
    <t>GCA_001547855.1</t>
  </si>
  <si>
    <t>AP013045.1</t>
  </si>
  <si>
    <t>AP013045.1_217</t>
  </si>
  <si>
    <t>GH16_e128(73-304)</t>
  </si>
  <si>
    <t>GCA_001547855.1.overview.tsv</t>
  </si>
  <si>
    <t>GCA_001547855.1_CGC6</t>
  </si>
  <si>
    <t>CAZyme|GH16_3+Sulfatase|S1_19; TC|8.A.46.2.1; TC|1.B.14.6.2; null; STP|FecR; STP|Sigma70_r2+STP|Sigma70_r4_2</t>
  </si>
  <si>
    <t>AP013045.1|CGC6</t>
  </si>
  <si>
    <t>AP013045.1_2419</t>
  </si>
  <si>
    <t>GCA_001547855.1_CGC56</t>
  </si>
  <si>
    <t>GCA_001547875.1</t>
  </si>
  <si>
    <t>AP013044.1</t>
  </si>
  <si>
    <t>AP013044.1_155</t>
  </si>
  <si>
    <t>GCA_001547875.1.overview.tsv</t>
  </si>
  <si>
    <t>GCA_001547875.1_CGC6</t>
  </si>
  <si>
    <t>AP013044.1|CGC6</t>
  </si>
  <si>
    <t>AP013044.1_2347</t>
  </si>
  <si>
    <t>GCA_001547875.1_CGC56</t>
  </si>
  <si>
    <t>GCA_001553045.1</t>
  </si>
  <si>
    <t>KQ960074.1</t>
  </si>
  <si>
    <t>KQ960074.1_1</t>
  </si>
  <si>
    <t>GH16_3(120-375)</t>
  </si>
  <si>
    <t>GH16_e50(121-376)</t>
  </si>
  <si>
    <t>GCA_001553045.1.overview.tsv</t>
  </si>
  <si>
    <t>KQ960105.1</t>
  </si>
  <si>
    <t>KQ960105.1_1</t>
  </si>
  <si>
    <t>GCA_001553545.1</t>
  </si>
  <si>
    <t>HMT-627</t>
  </si>
  <si>
    <t>Capnocytophaga_haemolytica</t>
  </si>
  <si>
    <t>CP014227.1</t>
  </si>
  <si>
    <t>CP014227.1_2338</t>
  </si>
  <si>
    <t>GH16_3(51-314)</t>
  </si>
  <si>
    <t>GH16_e346(52-315)</t>
  </si>
  <si>
    <t>GCA_001553545.1.overview.tsv</t>
  </si>
  <si>
    <t>GH16_e346</t>
  </si>
  <si>
    <t>GCA_001553545.1_CGC45</t>
  </si>
  <si>
    <t>TC|8.A.192.1.5; null; TC|2.A.64.1.6; Peptidase|M23.UPB; STP|MerR; null; TC|1.A.112.2.13; null; STP|HhH-GPD; TC|2.A.64.3.2; CAZyme|GH109_e5; TC|2.A.62.1.3; CAZyme|GH16_3; TC|3.D.1.8.1</t>
  </si>
  <si>
    <t>CP014227.1_789</t>
  </si>
  <si>
    <t>CBM103(133-315)+GH16_3(332-554)</t>
  </si>
  <si>
    <t>GH16_e121(333-555)</t>
  </si>
  <si>
    <t>GH16_3(332-554)</t>
  </si>
  <si>
    <t>GCA_001553545.1_CGC15</t>
  </si>
  <si>
    <t>STP|HD; CAZyme|GH158_e0; CAZyme|CBM103|GH16_3+Sulfatase|S1_19; CAZyme|CBM102; TC|1.B.38.1.10; TC|1.B.14.6.17; STP|Y_Y_Y+STP|GerE</t>
  </si>
  <si>
    <t>CP014227.1|CGC15</t>
  </si>
  <si>
    <t>PUL0477</t>
  </si>
  <si>
    <t>CAZyme-CAZyme;CAZyme-CAZyme;TC-TC;TC-TC;STP-TF</t>
  </si>
  <si>
    <t>GCA_001553645.1</t>
  </si>
  <si>
    <t>HMT-847</t>
  </si>
  <si>
    <t>CP014231.1</t>
  </si>
  <si>
    <t>CP014231.1_1168</t>
  </si>
  <si>
    <t>GH16_3(120-376)</t>
  </si>
  <si>
    <t>GH16_e50(121-377)</t>
  </si>
  <si>
    <t>GCA_001553645.1.overview.tsv</t>
  </si>
  <si>
    <t>GCA_001553645.1_CGC16</t>
  </si>
  <si>
    <t>CAZyme|GH16_3+Sulfatase|S1_19; STP|Pribosyltran</t>
  </si>
  <si>
    <t>GCA_001570825.1</t>
  </si>
  <si>
    <t>Human-Associated,</t>
  </si>
  <si>
    <t>HMT-374</t>
  </si>
  <si>
    <t>Cellulosimicrobium_funkei</t>
  </si>
  <si>
    <t>BCSK01000056.1</t>
  </si>
  <si>
    <t>BCSK01000056.1_22</t>
  </si>
  <si>
    <t>3.2.1.39:7|3.2.1.14:1;3.2.1.39:5</t>
  </si>
  <si>
    <t>GH16_3(59-290)+CBM13(313-434)</t>
  </si>
  <si>
    <t>GH16_e103(60-290)+CBM13_e183(312-435)</t>
  </si>
  <si>
    <t>GH16_3|CBM13_e183</t>
  </si>
  <si>
    <t>GCA_001570825.1.overview.tsv</t>
  </si>
  <si>
    <t>GH16_3(59-290)</t>
  </si>
  <si>
    <t>GCA_001570825.1_CGC50</t>
  </si>
  <si>
    <t>TC|2.A.5.5.6; null; TC|2.A.3.1.12; TC|2.A.40.3.1; null; Peptidase|M38.UNW; TC|2.A.37.4.2; CAZyme|GH16_3|CBM13_e183; STP|TetR_N; Peptidase|S33.UPW; null; TC|2.A.1.2.93; CAZyme|GH3_e99+Sulfatase|S1_7; STP|TetR_N; null; null; STP|TetR_N; null; TC|2.A.114.1.1</t>
  </si>
  <si>
    <t>BCSK01000056.1|CGC50</t>
  </si>
  <si>
    <t>CAZyme-CAZyme;TC-SULFATLAS</t>
  </si>
  <si>
    <t>GCA_001580405.1</t>
  </si>
  <si>
    <t>CP011022.1</t>
  </si>
  <si>
    <t>CP011022.1_2599</t>
  </si>
  <si>
    <t>GCA_001580405.1.overview.tsv</t>
  </si>
  <si>
    <t>GCA_001580405.1_CGC47</t>
  </si>
  <si>
    <t>CP011022.1_2660</t>
  </si>
  <si>
    <t>GCA_001580405.1_CGC48</t>
  </si>
  <si>
    <t>GCA_001632305.1</t>
  </si>
  <si>
    <t>CP015286.1</t>
  </si>
  <si>
    <t>CP015286.1_4428</t>
  </si>
  <si>
    <t>GCA_001632305.1.overview.tsv</t>
  </si>
  <si>
    <t>GCA_001632305.1_CGC96</t>
  </si>
  <si>
    <t>STP|HATPase_c; prodoric|PHOP_BACSU; STP|HATPase_c; null; null; TC|3.A.1.1.20; TC|3.A.1.1.57; null; null; STP|SBP_bac_1; null; null; TC|2.A.66.1.34; STP|TetR_N; null; null; TC|3.A.1.14.7; TC|3.A.1.14.15; STP|Peripla_BP_2; TC|3.A.1.139.2; TC|3.A.1.139.4; CAZyme|GH2_1|CBM6_e77|CBM6_e77+Sulfatase|S1_20; Peptidase|S09.UPW; null; CAZyme|GH16_3|CBM13_e342+Sulfatase|S1_19</t>
  </si>
  <si>
    <t>CP015286.1|CGC96</t>
  </si>
  <si>
    <t>prodoric-TC;CAZyme-CAZyme</t>
  </si>
  <si>
    <t>GCA_001633025.1</t>
  </si>
  <si>
    <t>LWMH01000001.1</t>
  </si>
  <si>
    <t>LWMH01000001.1_4272</t>
  </si>
  <si>
    <t>GCA_001633025.1.overview.tsv</t>
  </si>
  <si>
    <t>LWMH01000003.1</t>
  </si>
  <si>
    <t>LWMH01000003.1_158</t>
  </si>
  <si>
    <t>GCA_001633025.1_CGC129</t>
  </si>
  <si>
    <t>CGC129</t>
  </si>
  <si>
    <t>LWMH01000003.1|CGC129</t>
  </si>
  <si>
    <t>CAZyme-CAZyme;CAZyme-CAZyme;STP-STP</t>
  </si>
  <si>
    <t>GCA_001640865.1</t>
  </si>
  <si>
    <t>HMT-975</t>
  </si>
  <si>
    <t>Phocaeicola_dorei</t>
  </si>
  <si>
    <t>CP011531.1</t>
  </si>
  <si>
    <t>CP011531.1_2420</t>
  </si>
  <si>
    <t>GH16_3(27-255)</t>
  </si>
  <si>
    <t>GH16_e321(28-256)</t>
  </si>
  <si>
    <t>GCA_001640865.1.overview.tsv</t>
  </si>
  <si>
    <t>GCA_001640865.1_CGC61</t>
  </si>
  <si>
    <t>CGC61</t>
  </si>
  <si>
    <t>STP|Y_Y_Y+STP|HTH_18; CAZyme|GH16_3; TC|1.B.14.6.17; TC|1.B.38.1.10; null; STP|ATPase_2</t>
  </si>
  <si>
    <t>CP011531.1|CGC61</t>
  </si>
  <si>
    <t>CP011531.1_43</t>
  </si>
  <si>
    <t>GCA_001640865.1_CGC2</t>
  </si>
  <si>
    <t>TC|1.B.14.6.12; null; STP|Sigma70_r2+STP|Sigma70_r4_2; null; STP|FecR; TC|1.B.14.6.12; null; CAZyme|CE20_e6+Sulfatase|S1_16; CAZyme|GH67_e0; CAZyme|GH115_e0; CAZyme|GH43_10|CBM91_e4+Sulfatase|S1_7; null; STP|Reg_prop+STP|Y_Y_Y+STP|HisKA+STP|HATPase_c+STP|Response_reg+STP|HTH_18; null; TC|1.B.14.6.1; CAZyme|GH43_12|CBM91_e46; CAZyme|GH43_1+Sulfatase|S1_7; CAZyme|GH10_e83+Sulfatase|S1_7; TC|2.A.2.3.4; CAZyme|GH16_3</t>
  </si>
  <si>
    <t>CP011531.1|CGC2</t>
  </si>
  <si>
    <t>null-CAZyme;STP-TC;null-TC;TC-TC;CAZyme-CAZyme;CAZyme-CAZyme;CAZyme-CAZyme;TC-TC;CAZyme-CAZyme</t>
  </si>
  <si>
    <t>GCA_001648265.1</t>
  </si>
  <si>
    <t>HMT-577</t>
  </si>
  <si>
    <t>Eikenella_corrodens</t>
  </si>
  <si>
    <t>LXSH01000028.1</t>
  </si>
  <si>
    <t>LXSH01000028.1_32</t>
  </si>
  <si>
    <t>GH16_3(161-435)</t>
  </si>
  <si>
    <t>GH16_e25(158-433)</t>
  </si>
  <si>
    <t>GH39</t>
  </si>
  <si>
    <t>GCA_001648265.1.overview.tsv</t>
  </si>
  <si>
    <t>GH16_e25</t>
  </si>
  <si>
    <t>GCA_001652275.1</t>
  </si>
  <si>
    <t>LVZK01000001.1</t>
  </si>
  <si>
    <t>LVZK01000001.1_1526</t>
  </si>
  <si>
    <t>GCA_001652275.1.overview.tsv</t>
  </si>
  <si>
    <t>GCA_001688765.2</t>
  </si>
  <si>
    <t>CP015409.2</t>
  </si>
  <si>
    <t>CP015409.2_1222</t>
  </si>
  <si>
    <t>GCA_001688765.2.overview.tsv</t>
  </si>
  <si>
    <t>GCA_001688765.2_CGC31</t>
  </si>
  <si>
    <t>CP015409.2_2068</t>
  </si>
  <si>
    <t>GCA_001688765.2_CGC52</t>
  </si>
  <si>
    <t>CP015409.2_2272</t>
  </si>
  <si>
    <t>GCA_001688765.2_CGC60</t>
  </si>
  <si>
    <t>CGC60</t>
  </si>
  <si>
    <t>CAZyme|GH16_3+Sulfatase|S1_19; TC|3.A.3.5.15; null; null; CAZyme|GT26_e41</t>
  </si>
  <si>
    <t>CP015409.2|CGC60</t>
  </si>
  <si>
    <t>GCA_001717545.1</t>
  </si>
  <si>
    <t>HMT-439</t>
  </si>
  <si>
    <t>Anaerolineae_[G1]</t>
  </si>
  <si>
    <t>CP017039.1</t>
  </si>
  <si>
    <t>CP017039.1_2062</t>
  </si>
  <si>
    <t>GH16_3(11-260)</t>
  </si>
  <si>
    <t>GH16_e70(12-261)</t>
  </si>
  <si>
    <t>GCA_001717545.1.overview.tsv</t>
  </si>
  <si>
    <t>GH16_e70</t>
  </si>
  <si>
    <t>GCA_001717545.1_CGC39</t>
  </si>
  <si>
    <t>CAZyme|GH27_e10; CAZyme|GH16_3; CAZyme|GH16_3; TC|3.A.1.1.42; TC|3.A.1.1.53; STP|SBP_bac_1; STP|Peripla_BP_3+STP|HATPase_c+STP|Response_reg+STP|HTH_18; null; TC|2.A.1.24.4; null; TC|3.A.1.2.12; TC|3.A.1.2.12; TC|3.A.1.2.17; TC|3.A.1.2.30; STP|GntR; null; null; TC|3.A.1.103.4; TC|3.A.1.103.1; CAZyme|GT2; CAZyme|GT2; null; CAZyme|GT111_e16|GT8_e198; null; null; TC|9.B.18.2.4</t>
  </si>
  <si>
    <t>CP017039.1|CGC39</t>
  </si>
  <si>
    <t>PUL0030</t>
  </si>
  <si>
    <t>galactomannan</t>
  </si>
  <si>
    <t>CAZyme-CAZyme;TC-TC;STP-TF</t>
  </si>
  <si>
    <t>CP017039.1_2063</t>
  </si>
  <si>
    <t>GH16_3(54-281)</t>
  </si>
  <si>
    <t>GH16_e325(55-282)</t>
  </si>
  <si>
    <t>GH16_e325</t>
  </si>
  <si>
    <t>GCA_001889125.1</t>
  </si>
  <si>
    <t>HMT-339</t>
  </si>
  <si>
    <t>Janibacter_indicus</t>
  </si>
  <si>
    <t>CP013290.1</t>
  </si>
  <si>
    <t>CP013290.1_245</t>
  </si>
  <si>
    <t>GCA_001889125.1.overview.tsv</t>
  </si>
  <si>
    <t>GCA_001889125.1_CGC3</t>
  </si>
  <si>
    <t>CAZyme|GT2; null; TC|9.B.97.5.4; CAZyme|GT4_e722; CAZyme|GT2; null; null; STP|CBS</t>
  </si>
  <si>
    <t>GCA_001929365.1</t>
  </si>
  <si>
    <t>HMT-169</t>
  </si>
  <si>
    <t>MSQE01000004.1</t>
  </si>
  <si>
    <t>MSQE01000004.1_19</t>
  </si>
  <si>
    <t>GCA_001929365.1.overview.tsv</t>
  </si>
  <si>
    <t>GCA_001929365.1_CGC4</t>
  </si>
  <si>
    <t>STP|Aminotran_1_2; Peptidase|S33.UPW; CAZyme|GH33_e129; null; null; STP|HTH_3; CAZyme|GH16_3; TC|2.A.36.3.3; null; STP|HTH_3</t>
  </si>
  <si>
    <t>GCA_001937545.1</t>
  </si>
  <si>
    <t>MSKV01000004.1</t>
  </si>
  <si>
    <t>MSKV01000004.1_53</t>
  </si>
  <si>
    <t>GCA_001937545.1.overview.tsv</t>
  </si>
  <si>
    <t>GCA_001937545.1_CGC11</t>
  </si>
  <si>
    <t>STP|HTH_3; null; TC|2.A.36.3.3; CAZyme|GH16_3; CAZyme|GH33_e129; STP|HxlR</t>
  </si>
  <si>
    <t>GCA_001937675.1</t>
  </si>
  <si>
    <t>HMT-171</t>
  </si>
  <si>
    <t>MSKJ01000001.1</t>
  </si>
  <si>
    <t>MSKJ01000001.1_28</t>
  </si>
  <si>
    <t>GCA_001937675.1.overview.tsv</t>
  </si>
  <si>
    <t>GCA_001937675.1_CGC1</t>
  </si>
  <si>
    <t>STP|HxlR; CAZyme|GH33_e129+Sulfatase|S1_7; CAZyme|GH16_3; TC|2.A.36.3.3; null; STP|HTH_3; TC|9.B.354.2.6</t>
  </si>
  <si>
    <t>GCA_001938785.1</t>
  </si>
  <si>
    <t>MEHX01000001.1</t>
  </si>
  <si>
    <t>MEHX01000001.1_32</t>
  </si>
  <si>
    <t>GCA_001938785.1.overview.tsv</t>
  </si>
  <si>
    <t>GCA_001938785.1_CGC2</t>
  </si>
  <si>
    <t>MEHX01000002.1</t>
  </si>
  <si>
    <t>MEHX01000002.1_19</t>
  </si>
  <si>
    <t>GCA_001938785.1_CGC5</t>
  </si>
  <si>
    <t>MEHX01000002.1|CGC5</t>
  </si>
  <si>
    <t>GCA_001955865.1</t>
  </si>
  <si>
    <t>MRTT01000004.1</t>
  </si>
  <si>
    <t>MRTT01000004.1_36</t>
  </si>
  <si>
    <t>GCA_001955865.1.overview.tsv</t>
  </si>
  <si>
    <t>MRTT01000007.1</t>
  </si>
  <si>
    <t>MRTT01000007.1_149</t>
  </si>
  <si>
    <t>CBM56_e2(29-131)+CBM56_e2(141-245)+GH16_e317(431-683)+CBM56_e2(689-873)</t>
  </si>
  <si>
    <t>GCA_001955865.1_CGC54</t>
  </si>
  <si>
    <t>CGC54</t>
  </si>
  <si>
    <t>MRTT01000007.1|CGC54</t>
  </si>
  <si>
    <t>GCA_002155695.1</t>
  </si>
  <si>
    <t>HMT-007</t>
  </si>
  <si>
    <t>Erythrobacter_tepidarius</t>
  </si>
  <si>
    <t>MUYJ01000012.1</t>
  </si>
  <si>
    <t>MUYJ01000012.1_45</t>
  </si>
  <si>
    <t>GH16_3(43-312)</t>
  </si>
  <si>
    <t>GH16_e256(44-312)</t>
  </si>
  <si>
    <t>GCA_002155695.1.overview.tsv</t>
  </si>
  <si>
    <t>GH16_e256</t>
  </si>
  <si>
    <t>GCA_002155695.1_CGC26</t>
  </si>
  <si>
    <t>CAZyme|GH16_3; prodoric|CCPA_PRIMG; TC|2.A.1.2.93; CAZyme|GH3_e227+Sulfatase|S1_7</t>
  </si>
  <si>
    <t>MUYJ01000012.1|CGC26</t>
  </si>
  <si>
    <t>PUL0401</t>
  </si>
  <si>
    <t>CAZyme-CAZyme;prodoric-TF;CAZyme-CAZyme</t>
  </si>
  <si>
    <t>GCA_002208725.2</t>
  </si>
  <si>
    <t>CP022040.2</t>
  </si>
  <si>
    <t>CP022040.2_4</t>
  </si>
  <si>
    <t>GCA_002208725.2.overview.tsv</t>
  </si>
  <si>
    <t>GCA_002208725.2_CGC1</t>
  </si>
  <si>
    <t>STP|LytTR; null; null; CAZyme|GH16_3; null; CAZyme|GT2+TC|4.D.1.1.14; null; CAZyme|GT4_e2089; null; CAZyme|GT32_e169; CAZyme|GT2; CAZyme|GT2+TC|4.D.1.3.2; null; CAZyme|GT11_e30; null; TC|3.A.1.106.2</t>
  </si>
  <si>
    <t>CP022040.2|CGC1</t>
  </si>
  <si>
    <t>GCA_002209445.1</t>
  </si>
  <si>
    <t>CP022022.1</t>
  </si>
  <si>
    <t>CP022022.1_227</t>
  </si>
  <si>
    <t>GCA_002209445.1.overview.tsv</t>
  </si>
  <si>
    <t>CP022022.1_3039</t>
  </si>
  <si>
    <t>GCA_002209445.1_CGC48</t>
  </si>
  <si>
    <t>CAZyme|GH16_3; null; null; STP|MerR; TC|1.A.115.1.5; null; STP|AraC_binding+STP|HTH_18</t>
  </si>
  <si>
    <t>CP022022.1_47</t>
  </si>
  <si>
    <t>GCA_002209445.1_CGC1</t>
  </si>
  <si>
    <t>CAZyme|GH3_e1+Sulfatase|S1_7; CAZyme|CBM103|GH16_3+Sulfatase|S1_19; CAZyme|CBM102; TC|1.B.38.1.10; TC|1.B.14.6.17; STP|Y_Y_Y</t>
  </si>
  <si>
    <t>CP022022.1|CGC1</t>
  </si>
  <si>
    <t>GCA_002222615.2</t>
  </si>
  <si>
    <t>HMT-967</t>
  </si>
  <si>
    <t>Bacteroides_caccae</t>
  </si>
  <si>
    <t>CP022412.2</t>
  </si>
  <si>
    <t>CP022412.2_1041</t>
  </si>
  <si>
    <t>GH16_3(230-508)</t>
  </si>
  <si>
    <t>GH16_e45(230-509)</t>
  </si>
  <si>
    <t>GCA_002222615.2.overview.tsv</t>
  </si>
  <si>
    <t>GH16_e45</t>
  </si>
  <si>
    <t>GCA_002222615.2_CGC31</t>
  </si>
  <si>
    <t>TC|2.A.37.2.5; TC|3.A.16.1.3; TC|3.A.1.122.20; null; TC|2.A.22.5.3; null; null; STP|HisKA+STP|HATPase_c; null; null; CAZyme|GH35_e43|CBM32_e42+Sulfatase|S1_20; CAZyme|GH43_19; CAZyme|GH51_2; CAZyme|GH97_e18; CAZyme|GH43_34; STP|Y_Y_Y+STP|HisKA+STP|HATPase_c+STP|Response_reg+STP|HTH_18; TC|1.B.14.6.17; null; TC|1.B.14.6.1; TC|8.A.46.1.3; CAZyme|CBM32_e83; CAZyme|GH16_3+Sulfatase|S1_19; CAZyme|GH16_3|GH43_24+Sulfatase|S1_19; CAZyme|GH154_e2+Sulfatase|S1_14; CAZyme|GH43_24+Sulfatase|S1_6; CAZyme|PL42_e0; CAZyme|GH105_e39; null; TC|2.C.1.4.1; null; null; TC|2.A.122.1.1; TC|1.E.14.1.13; null; null; CAZyme|GT2+TC|4.D.1.3.3</t>
  </si>
  <si>
    <t>CP022412.2|CGC31</t>
  </si>
  <si>
    <t>STP-TC;TC-TC;null-null;TC-TC;TC-TC;TC-TC;CAZyme-CAZyme;CAZyme-CAZyme;CAZyme-CAZyme;CAZyme-CAZyme;CAZyme-CAZyme;CAZyme-CAZyme</t>
  </si>
  <si>
    <t>hostglycan,xylan</t>
  </si>
  <si>
    <t>CP022412.2_1042</t>
  </si>
  <si>
    <t>GH16_3(32-283)+GH43_24(311-603)</t>
  </si>
  <si>
    <t>GH16_e36(33-284)+GH43_e236(312-604)</t>
  </si>
  <si>
    <t>GH16_3(32-283)</t>
  </si>
  <si>
    <t>CP022412.2_135</t>
  </si>
  <si>
    <t>GH16_3(39-270)</t>
  </si>
  <si>
    <t>GH16_e21(40-271)</t>
  </si>
  <si>
    <t>GH16_e21</t>
  </si>
  <si>
    <t>GCA_002222615.2_CGC2</t>
  </si>
  <si>
    <t>TC|2.A.1.60.3; null; null; STP|GerE; null; null; STP|HATPase_c+STP|Response_reg; prodoric|ZRAR_ECOLI; null; STP|HTH_18; null; CAZyme|GH16_3; CAZyme|GH16_3; TC|8.A.46.1.4; TC|1.B.14.6.17; STP|Y_Y_Y+STP|HisKA+STP|HATPase_c+STP|Response_reg+STP|HTH_18</t>
  </si>
  <si>
    <t>CP022412.2|CGC2</t>
  </si>
  <si>
    <t>CP022412.2_136</t>
  </si>
  <si>
    <t>3.2.1.103:1</t>
  </si>
  <si>
    <t>GH16_3(48-271)</t>
  </si>
  <si>
    <t>GH16_e72(48-272)</t>
  </si>
  <si>
    <t>GH16_e72</t>
  </si>
  <si>
    <t>CP022412.2_261</t>
  </si>
  <si>
    <t>CP022412.2_3092</t>
  </si>
  <si>
    <t>GCA_002222615.2_CGC71</t>
  </si>
  <si>
    <t>CGC71</t>
  </si>
  <si>
    <t>CAZyme|GH33_e33+Sulfatase|S1_7; TC|8.A.46.3.4; TC|1.B.14.6.17; CAZyme|CE20_e34+Sulfatase|S1_7; TC|2.A.1.14.14; CAZyme|GH33_e14+Sulfatase|S1_8; null; null; STP|GntR; null; null; TC|3.A.1.122.20; null; TC|2.A.6.2.41; null; prodoric|ZRAR_ECOLI; STP|HATPase_c; null; CAZyme|GT2; null; STP|Aminotran_1_2; null; CAZyme|PL8_3; null; TC|3.A.1.120.8</t>
  </si>
  <si>
    <t>CP022412.2|CGC71</t>
  </si>
  <si>
    <t>PUL0102</t>
  </si>
  <si>
    <t>TC-TC;CAZyme-CAZyme;TC-TC;CAZyme-CAZyme;null-null</t>
  </si>
  <si>
    <t>CP022412.2_3467</t>
  </si>
  <si>
    <t>GCA_002222615.2_CGC83</t>
  </si>
  <si>
    <t>CGC83</t>
  </si>
  <si>
    <t>TC|3.B.1.1.2; TC|2.A.98.1.3; STP|HTH_18; CAZyme|GH16_3+Sulfatase|S1_19; TC|1.B.14.6.17; TC|8.A.46.1.2</t>
  </si>
  <si>
    <t>CP022412.2_486</t>
  </si>
  <si>
    <t>GH16_3(139-369)</t>
  </si>
  <si>
    <t>GH16_e59(140-370)</t>
  </si>
  <si>
    <t>GCA_002222615.2_CGC12</t>
  </si>
  <si>
    <t>CAZyme|GH16_3; STP|Reg_prop+STP|Y_Y_Y+STP|HisKA+STP|HATPase_c+STP|Response_reg+STP|HTH_18</t>
  </si>
  <si>
    <t>CP022412.2|CGC12</t>
  </si>
  <si>
    <t>CP022412.2_693</t>
  </si>
  <si>
    <t>GCA_002240055.1</t>
  </si>
  <si>
    <t>HMT-498</t>
  </si>
  <si>
    <t>CP016753.1</t>
  </si>
  <si>
    <t>CP016753.1_720</t>
  </si>
  <si>
    <t>GH16_3(105-361)</t>
  </si>
  <si>
    <t>GH16_e50(106-362)</t>
  </si>
  <si>
    <t>GCA_002240055.1.overview.tsv</t>
  </si>
  <si>
    <t>GCA_002240055.1_CGC14</t>
  </si>
  <si>
    <t>CAZyme|GH16_3+Sulfatase|S1_19; STP|Pribosyltran; null; Sulfatase|S1_14; STP|HTH_5+STP|Rhodanese; TC|8.A.88.2.2; STP|Pyr_redox_2</t>
  </si>
  <si>
    <t>CP016753.1|CGC14</t>
  </si>
  <si>
    <t>PUL0339</t>
  </si>
  <si>
    <t>GCA_002250115.1</t>
  </si>
  <si>
    <t>HMT-045</t>
  </si>
  <si>
    <t>Alkalihalobacillus_clausii</t>
  </si>
  <si>
    <t>CP019985.1</t>
  </si>
  <si>
    <t>CP019985.1_568</t>
  </si>
  <si>
    <t>GH16_3(38-278)</t>
  </si>
  <si>
    <t>GH16_e193(39-279)</t>
  </si>
  <si>
    <t>GCA_002250115.1.overview.tsv</t>
  </si>
  <si>
    <t>GCA_002302395.1</t>
  </si>
  <si>
    <t>CP022385.1</t>
  </si>
  <si>
    <t>CP022385.1_1747</t>
  </si>
  <si>
    <t>GCA_002302395.1.overview.tsv</t>
  </si>
  <si>
    <t>GCA_002302395.1_CGC34</t>
  </si>
  <si>
    <t>CP022385.1|CGC34</t>
  </si>
  <si>
    <t>CP022385.1_1838</t>
  </si>
  <si>
    <t>GCA_002302395.1_CGC35</t>
  </si>
  <si>
    <t>STP|TPR_2; null; null; TC|1.A.115.1.5; CAZyme|GH16_3; null; TC|8.A.5.1.4; null; STP|GerE; Peptidase|G05.UPW; null; STP|Nitroreductase</t>
  </si>
  <si>
    <t>GCA_002302415.1</t>
  </si>
  <si>
    <t>CP022386.1</t>
  </si>
  <si>
    <t>CP022386.1_1507</t>
  </si>
  <si>
    <t>GCA_002302415.1.overview.tsv</t>
  </si>
  <si>
    <t>GCA_002302495.1</t>
  </si>
  <si>
    <t>CP022379.1</t>
  </si>
  <si>
    <t>CP022379.1_1672</t>
  </si>
  <si>
    <t>GCA_002302495.1.overview.tsv</t>
  </si>
  <si>
    <t>GCA_002302495.1_CGC34</t>
  </si>
  <si>
    <t>TC|3.A.1.10.4; null; CAZyme|GH97_e22; TC|1.B.14.6.1; TC|8.A.46.3.2; TC|1.B.38.4.5; CAZyme|GH2_10|CBM32_e167+Sulfatase|S1_19; STP|TPR_1; null; STP|Y_Y_Y; TC|1.B.14.6.17; TC|8.A.46.1.5; null; Peptidase|S09.UPW; CAZyme|GH144_e1; STP|Y_Y_Y+STP|GerE; TC|1.B.14.6.17; TC|1.B.38.1.10; CAZyme|CBM102; CAZyme|CBM103|GH16_3+Sulfatase|S1_19; CAZyme|GH3_e1+Sulfatase|S1_7; null; null; TC|3.A.1.132.3</t>
  </si>
  <si>
    <t>CP022379.1|CGC34</t>
  </si>
  <si>
    <t>CP022379.1_1762</t>
  </si>
  <si>
    <t>GH16_e321(39-271)</t>
  </si>
  <si>
    <t>GCA_002302495.1_CGC35</t>
  </si>
  <si>
    <t>TC|1.A.115.1.5; STP|MerR; null; CAZyme|GH16_3</t>
  </si>
  <si>
    <t>GCA_002302595.1</t>
  </si>
  <si>
    <t>CP022383.1</t>
  </si>
  <si>
    <t>CP022383.1_1795</t>
  </si>
  <si>
    <t>GCA_002302595.1.overview.tsv</t>
  </si>
  <si>
    <t>CP022383.1_1885</t>
  </si>
  <si>
    <t>GCA_002302595.1_CGC35</t>
  </si>
  <si>
    <t>TC|3.A.1.10.4; null; CAZyme|GH97_e22; TC|1.B.14.6.1; TC|8.A.46.3.2; TC|1.B.38.4.5; CAZyme|GH2_10|CBM32_e167+Sulfatase|S1_19; STP|TPR_1; STP|TPR_1; null; STP|Y_Y_Y; TC|1.B.14.6.17; TC|8.A.46.1.3; null; Peptidase|S09.UPW; CAZyme|GH144_e1; STP|Y_Y_Y; TC|1.B.14.6.17; TC|1.B.38.1.10; CAZyme|CBM102; CAZyme|CBM103|GH16_3+Sulfatase|S1_19; CAZyme|GH3_e1+Sulfatase|S1_7; null; TC|3.A.1.132.3</t>
  </si>
  <si>
    <t>CP022383.1|CGC35</t>
  </si>
  <si>
    <t>CP022383.1_1982</t>
  </si>
  <si>
    <t>GCA_002302595.1_CGC36</t>
  </si>
  <si>
    <t>TC|1.A.115.1.5; CAZyme|GH16_3; null; TC|8.A.5.1.4; STP|GerE; Peptidase|G05.UPW; STP|Nitroreductase</t>
  </si>
  <si>
    <t>GCA_002302615.1</t>
  </si>
  <si>
    <t>CP022384.1</t>
  </si>
  <si>
    <t>CP022384.1_1071</t>
  </si>
  <si>
    <t>GCA_002302615.1.overview.tsv</t>
  </si>
  <si>
    <t>GCA_002302615.1_CGC20</t>
  </si>
  <si>
    <t>CAZyme|GH16_3+Sulfatase|S1_19; TC|8.A.46.3.4; TC|1.B.14.6.17; TC|8.A.46.3.4; TC|1.B.14.6.17</t>
  </si>
  <si>
    <t>CP022384.1|CGC20</t>
  </si>
  <si>
    <t>GCA_002312885.1</t>
  </si>
  <si>
    <t>NIBW01000001.1</t>
  </si>
  <si>
    <t>NIBW01000001.1_339</t>
  </si>
  <si>
    <t>GCA_002312885.1.overview.tsv</t>
  </si>
  <si>
    <t>GCA_002312885.1_CGC5</t>
  </si>
  <si>
    <t>STP|Nitroreductase; Peptidase|G05.UPW; STP|GerE; TC|8.A.5.1.4; null; TC|2.A.37.1.1; CAZyme|GH16_3; null; STP|MerR; null; TC|1.A.115.1.5</t>
  </si>
  <si>
    <t>NIBW01000001.1_445</t>
  </si>
  <si>
    <t>GCA_002312885.1_CGC6</t>
  </si>
  <si>
    <t>CAZyme|GH3_e1+Sulfatase|S1_7; CAZyme|CBM103|GH16_3+Sulfatase|S1_19; CAZyme|CBM102; TC|1.B.38.1.10; TC|1.B.14.6.17; STP|Y_Y_Y+STP|GerE; CAZyme|GH144_e1; Peptidase|S09.UPW; null; TC|8.A.46.1.3; TC|1.B.14.6.17; STP|Y_Y_Y; null; STP|TPR_1; CAZyme|GH2_10|CBM32_e167+Sulfatase|S1_19; CAZyme|GH13_7; TC|1.B.38.4.5; TC|8.A.46.1.1; TC|1.B.14.6.1; CAZyme|GH97_e22; null; TC|3.A.1.10.4</t>
  </si>
  <si>
    <t>NIBW01000001.1|CGC6</t>
  </si>
  <si>
    <t>CAZyme-CAZyme;CAZyme-CAZyme;CAZyme-CAZyme;TC-TC;TC-TC;STP-TF;TC-TC</t>
  </si>
  <si>
    <t>NIBW01000001.1_530</t>
  </si>
  <si>
    <t>GH16_3(29-257)</t>
  </si>
  <si>
    <t>GH16_e321(30-258)</t>
  </si>
  <si>
    <t>GCA_002529085.1</t>
  </si>
  <si>
    <t>NSLJ01000005.1</t>
  </si>
  <si>
    <t>NSLJ01000005.1_4</t>
  </si>
  <si>
    <t>GCA_002529085.1.overview.tsv</t>
  </si>
  <si>
    <t>GCA_002529085.1_CGC12</t>
  </si>
  <si>
    <t>NSLJ01000012.1</t>
  </si>
  <si>
    <t>NSLJ01000012.1_71</t>
  </si>
  <si>
    <t>GCA_002529085.1_CGC29</t>
  </si>
  <si>
    <t>NSLJ01000012.1|CGC29</t>
  </si>
  <si>
    <t>GCA_002529295.1</t>
  </si>
  <si>
    <t>NSLK01000002.1</t>
  </si>
  <si>
    <t>NSLK01000002.1_173</t>
  </si>
  <si>
    <t>GCA_002529295.1.overview.tsv</t>
  </si>
  <si>
    <t>GCA_002529295.1_CGC11</t>
  </si>
  <si>
    <t>CAZyme|GH16_3; null; TC|2.A.40.7.8</t>
  </si>
  <si>
    <t>NSLK01000017.1</t>
  </si>
  <si>
    <t>NSLK01000017.1_49</t>
  </si>
  <si>
    <t>GCA_002529295.1_CGC44</t>
  </si>
  <si>
    <t>NSLK01000017.1|CGC44</t>
  </si>
  <si>
    <t>GCA_002847555.1</t>
  </si>
  <si>
    <t>HMT-893</t>
  </si>
  <si>
    <t>PKKL01000003.1</t>
  </si>
  <si>
    <t>PKKL01000003.1_28</t>
  </si>
  <si>
    <t>GCA_002847555.1.overview.tsv</t>
  </si>
  <si>
    <t>GCA_002847555.1_CGC20</t>
  </si>
  <si>
    <t>CAZyme|GH33_e129; null; STP|HTH_3; CAZyme|GH16_3; TC|2.A.36.3.3; null; STP|HTH_3</t>
  </si>
  <si>
    <t>GCA_002849795.1</t>
  </si>
  <si>
    <t>CP023863.1</t>
  </si>
  <si>
    <t>CP023863.1_1626</t>
  </si>
  <si>
    <t>GCA_002849795.1.overview.tsv</t>
  </si>
  <si>
    <t>GCA_002849795.1_CGC24</t>
  </si>
  <si>
    <t>GCA_002871975.1</t>
  </si>
  <si>
    <t>PNHV01000005.1</t>
  </si>
  <si>
    <t>PNHV01000005.1_49</t>
  </si>
  <si>
    <t>GCA_002871975.1.overview.tsv</t>
  </si>
  <si>
    <t>GCA_002871975.1_CGC20</t>
  </si>
  <si>
    <t>STP|HTH_DeoR+STP|DeoRC; null; STP|HTH_3; null; CAZyme|GH16_3; null; TC|3.A.1.122.20; TC|3.A.1.122.20</t>
  </si>
  <si>
    <t>GCA_002884635.1</t>
  </si>
  <si>
    <t>HMT-562</t>
  </si>
  <si>
    <t>Hoylesella_buccalis</t>
  </si>
  <si>
    <t>PNGJ01000006.1</t>
  </si>
  <si>
    <t>PNGJ01000006.1_170</t>
  </si>
  <si>
    <t>GH16_3(67-289)</t>
  </si>
  <si>
    <t>GH16_e240(68-290)</t>
  </si>
  <si>
    <t>GCA_002884635.1.overview.tsv</t>
  </si>
  <si>
    <t>GCA_002884635.1_CGC39</t>
  </si>
  <si>
    <t>CAZyme|GH97_e1+Sulfatase|S1_8; CAZyme|GH16_3+Sulfatase|S1_19; TC|1.B.38.1.10; TC|1.B.14.6.17; null; TC|2.A.1.33.2; CAZyme|GH130_4; STP|Reg_prop+STP|Response_reg+STP|HTH_18</t>
  </si>
  <si>
    <t>PNGJ01000006.1|CGC39</t>
  </si>
  <si>
    <t>PUL0680</t>
  </si>
  <si>
    <t>CAZyme-CAZyme;TC-TC;STP-TC</t>
  </si>
  <si>
    <t>GCA_002894165.1</t>
  </si>
  <si>
    <t>HMT-798</t>
  </si>
  <si>
    <t>Prevotella_timonensis</t>
  </si>
  <si>
    <t>NBAX01000001.1</t>
  </si>
  <si>
    <t>NBAX01000001.1_311</t>
  </si>
  <si>
    <t>GH16_3(802-1034)</t>
  </si>
  <si>
    <t>GH16_e144(803-1035)</t>
  </si>
  <si>
    <t>GCA_002894165.1.overview.tsv</t>
  </si>
  <si>
    <t>GCA_002894165.1_CGC6</t>
  </si>
  <si>
    <t>CAZyme|GH20_e51+Sulfatase|S1_16; CAZyme|GH16_3; CAZyme|GH29_e30|CBM32_e126+Sulfatase|S1_14; null; TC|3.D.10.1.5; null; TC|3.D.10.1.5</t>
  </si>
  <si>
    <t>NBAX01000001.1|CGC6</t>
  </si>
  <si>
    <t>PUL0747</t>
  </si>
  <si>
    <t>Fuzhuan brick tea polysaccharide-3 (FBTPS-3) consist of rhamnose and galacturonic acid (can group to rhamnogalacturonan/pectic polysaccharide)</t>
  </si>
  <si>
    <t>NBAX01000004.1</t>
  </si>
  <si>
    <t>NBAX01000004.1_146</t>
  </si>
  <si>
    <t>GH16_3(40-270)</t>
  </si>
  <si>
    <t>GH16_e144(41-271)</t>
  </si>
  <si>
    <t>GCA_002894165.1_CGC20</t>
  </si>
  <si>
    <t>CAZyme|GT4_e1733; null; CAZyme|GT4_e2936; null; CAZyme|GH16_3; null; CAZyme|GT2+TC|4.D.1.1.13</t>
  </si>
  <si>
    <t>GCA_002959715.1</t>
  </si>
  <si>
    <t>PUEQ01000002.1</t>
  </si>
  <si>
    <t>PUEQ01000002.1_298</t>
  </si>
  <si>
    <t>GCA_002959715.1.overview.tsv</t>
  </si>
  <si>
    <t>GCA_002959715.1_CGC10</t>
  </si>
  <si>
    <t>TC|3.A.1.120.8; null; CAZyme|PL8_3; null; STP|Aminotran_1_2; null; CAZyme|GT2; null; STP|HATPase_c; prodoric|ZRAR_ECOLI; null; TC|2.A.6.2.41; null; TC|3.A.1.122.20; null; null; STP|GntR; null; null; CAZyme|GH33_e14+Sulfatase|S1_8; TC|2.A.1.14.14; CAZyme|CE20_e34+Sulfatase|S1_7; TC|1.B.14.6.17; TC|8.A.46.3.4; CAZyme|GH33_e33+Sulfatase|S1_7</t>
  </si>
  <si>
    <t>PUEQ01000002.1|CGC10</t>
  </si>
  <si>
    <t>null-null;CAZyme-CAZyme;TC-TC;CAZyme-CAZyme;TC-TC</t>
  </si>
  <si>
    <t>PUEQ01000003.1</t>
  </si>
  <si>
    <t>PUEQ01000003.1_157</t>
  </si>
  <si>
    <t>GCA_002959715.1_CGC19</t>
  </si>
  <si>
    <t>CGC19</t>
  </si>
  <si>
    <t>STP|Y_Y_Y+STP|HisKA+STP|HATPase_c+STP|Response_reg+STP|HTH_18; TC|1.B.14.6.17; TC|8.A.46.1.4; CAZyme|GH16_3; CAZyme|GH16_3; null; STP|HTH_18; null; prodoric|ZRAR_ECOLI; STP|HATPase_c+STP|Response_reg; null; null; STP|GerE; null; null; TC|2.A.1.60.3</t>
  </si>
  <si>
    <t>PUEQ01000003.1|CGC19</t>
  </si>
  <si>
    <t>STP-TF;CAZyme-CAZyme</t>
  </si>
  <si>
    <t>PUEQ01000003.1_158</t>
  </si>
  <si>
    <t>PUEQ01000003.1_2433</t>
  </si>
  <si>
    <t>GCA_002959715.1_CGC64</t>
  </si>
  <si>
    <t>CAZyme|GT2+TC|4.D.1.3.3; null; null; TC|1.E.14.1.13; TC|2.A.122.1.1; null; null; TC|2.C.1.4.1; null; CAZyme|GH105_e39; CAZyme|PL42_e0; CAZyme|GH43_24+Sulfatase|S1_6; CAZyme|GH154_e2+Sulfatase|S1_14; CAZyme|GH16_3|GH43_24+Sulfatase|S1_19; CAZyme|GH16_3+Sulfatase|S1_19; CAZyme|CBM32_e83; TC|8.A.46.1.3; TC|1.B.14.6.1; null; TC|1.B.14.6.17; STP|Y_Y_Y+STP|HisKA+STP|HATPase_c+STP|Response_reg+STP|HTH_18; CAZyme|GH43_34; CAZyme|GH97_e18; CAZyme|GH51_2; CAZyme|GH43_19; CAZyme|GH35_e43|CBM32_e42+Sulfatase|S1_20; null; null; STP|HisKA+STP|HATPase_c; null; null; TC|2.A.22.5.3; null; TC|3.A.1.122.20; TC|3.A.16.1.3; TC|2.A.37.2.5</t>
  </si>
  <si>
    <t>PUEQ01000003.1|CGC64</t>
  </si>
  <si>
    <t>CAZyme-CAZyme;CAZyme-CAZyme;CAZyme-CAZyme;CAZyme-CAZyme;CAZyme-CAZyme;CAZyme-CAZyme;TC-TC;TC-TC;TC-TC;null-null;TC-TC;STP-TC</t>
  </si>
  <si>
    <t>PUEQ01000003.1_2434</t>
  </si>
  <si>
    <t>PUEQ01000003.1_2782</t>
  </si>
  <si>
    <t>PUEQ01000003.1_2989</t>
  </si>
  <si>
    <t>GCA_002959715.1_CGC83</t>
  </si>
  <si>
    <t>STP|Reg_prop+STP|Y_Y_Y+STP|HisKA+STP|HATPase_c+STP|Response_reg+STP|HTH_18; CAZyme|GH16_3</t>
  </si>
  <si>
    <t>PUEQ01000003.1|CGC83</t>
  </si>
  <si>
    <t>PUEQ01000003.1_31</t>
  </si>
  <si>
    <t>PUEQ01000003.1_502</t>
  </si>
  <si>
    <t>GCA_002959715.1_CGC24</t>
  </si>
  <si>
    <t>TC|8.A.46.1.2; TC|1.B.14.6.17; CAZyme|GH16_3+Sulfatase|S1_19; STP|HTH_18; TC|2.A.98.1.3; TC|3.B.1.1.2</t>
  </si>
  <si>
    <t>GCA_002998355.1</t>
  </si>
  <si>
    <t>HMT-998</t>
  </si>
  <si>
    <t>Victivallis_lenta</t>
  </si>
  <si>
    <t>CP027227.1</t>
  </si>
  <si>
    <t>CP027227.1_1801</t>
  </si>
  <si>
    <t>GH16_3(37-287)</t>
  </si>
  <si>
    <t>GH16_e210(38-288)</t>
  </si>
  <si>
    <t>GCA_002998355.1.overview.tsv</t>
  </si>
  <si>
    <t>GH16_e210</t>
  </si>
  <si>
    <t>GCA_002998355.1_CGC71</t>
  </si>
  <si>
    <t>TC|2.A.21.3.7; CAZyme|GH33_e10+Sulfatase|S1_7; STP|GntR; STP|Peripla_BP_3; null; CAZyme|GH16_3+Sulfatase|S1_19; CAZyme|GH39_e74; Sulfatase|S1_19; STP|GntR+STP|Peripla_BP_3; null; CAZyme|GH51_1; TC|2.A.6.2.22; TC|2.A.6.2.44; STP|MarR; TC|2.A.7.3.57; TC|9.B.325.1.1; STP|LacI+STP|Peripla_BP_3; Sulfatase|S1_20; CAZyme|GH39_e32; CAZyme|GH78_e74; null; CAZyme|GH39_e101</t>
  </si>
  <si>
    <t>CP027227.1|CGC71</t>
  </si>
  <si>
    <t>PUL0723</t>
  </si>
  <si>
    <t>pectin</t>
  </si>
  <si>
    <t>CP027227.1_2121</t>
  </si>
  <si>
    <t>GH16_3(38-277)</t>
  </si>
  <si>
    <t>GH16_e305(40-278)</t>
  </si>
  <si>
    <t>GH16_e305</t>
  </si>
  <si>
    <t>GCA_002998355.1_CGC87</t>
  </si>
  <si>
    <t>CGC87</t>
  </si>
  <si>
    <t>STP|Sigma70_r2+STP|Sigma70_r4_2; STP|NUDIX; CAZyme|CE17_e0; STP|GntR+STP|Peripla_BP_3; CAZyme|GH39_e95; null; null; STP|GntR+STP|Peripla_BP_3; CAZyme|GH5_e250+Sulfatase|S1_7; Sulfatase|S1_20; CAZyme|GH151_e0; STP|AraC_binding+STP|HTH_18; STP|HTH_IclR+STP|IclR; STP|LacI; null; CAZyme|GH16_3+Sulfatase|S1_19</t>
  </si>
  <si>
    <t>CP027227.1|CGC87</t>
  </si>
  <si>
    <t>STP-TC;CAZyme-CAZyme</t>
  </si>
  <si>
    <t>GCA_002998435.1</t>
  </si>
  <si>
    <t>HMT-465</t>
  </si>
  <si>
    <t>Bacteroides_zoogleoformans</t>
  </si>
  <si>
    <t>CP027231.1</t>
  </si>
  <si>
    <t>CP027231.1_710</t>
  </si>
  <si>
    <t>GCA_002998435.1.overview.tsv</t>
  </si>
  <si>
    <t>GCA_002998535.1</t>
  </si>
  <si>
    <t>HMT-630</t>
  </si>
  <si>
    <t>Bacteroides_heparinolyticus</t>
  </si>
  <si>
    <t>CP027234.1</t>
  </si>
  <si>
    <t>CP027234.1_445</t>
  </si>
  <si>
    <t>GCA_002998535.1.overview.tsv</t>
  </si>
  <si>
    <t>CP027234.1_465</t>
  </si>
  <si>
    <t>GH16_3(123-359)</t>
  </si>
  <si>
    <t>GH16_e240(124-360)</t>
  </si>
  <si>
    <t>GCA_002998535.1_CGC13</t>
  </si>
  <si>
    <t>CGC13</t>
  </si>
  <si>
    <t>TC|1.B.14.6.17; null; CAZyme|CBM103; CAZyme|GH16_3+Sulfatase|S1_19; CAZyme|GH3_e1+Sulfatase|S1_7; null; TC|1.A.43.1.6; null; null; TC|9.B.238.3.6</t>
  </si>
  <si>
    <t>CP027234.1|CGC13</t>
  </si>
  <si>
    <t>PUL0646</t>
  </si>
  <si>
    <t>TC-TC;null-null;CAZyme-CAZyme;CAZyme-CAZyme</t>
  </si>
  <si>
    <t>GCA_002998835.1</t>
  </si>
  <si>
    <t>CP027232.1</t>
  </si>
  <si>
    <t>CP027232.1_1319</t>
  </si>
  <si>
    <t>GCA_002998835.1.overview.tsv</t>
  </si>
  <si>
    <t>GCA_002998835.1_CGC26</t>
  </si>
  <si>
    <t>TC|8.A.46.3.4; Peptidase|I39.UPW; TC|2.A.53.3.8; null; CAZyme|GH3_e1+Sulfatase|S1_7; CAZyme|CBM103|GH16_3+Sulfatase|S1_19; CAZyme|CBM102; TC|1.B.38.1.10; TC|1.B.14.6.17; STP|Y_Y_Y+STP|GerE; CAZyme|GH144_e1; Peptidase|S09.UPW; null; TC|8.A.46.1.3; TC|1.B.14.6.17; null; null; TC|5.A.3.5.3; null; TC|9.B.14.3.3; TC|2.A.66.2.6; null; CAZyme|GT2+TC|4.D.1.1.15; CAZyme|GT4_e2685; CAZyme|GH92_e13; null; null; STP|CBS</t>
  </si>
  <si>
    <t>CP027232.1|CGC26</t>
  </si>
  <si>
    <t>CP027232.1_1840</t>
  </si>
  <si>
    <t>GCA_002998835.1_CGC38</t>
  </si>
  <si>
    <t>CP027232.1_1863</t>
  </si>
  <si>
    <t>GCA_002998835.1_CGC39</t>
  </si>
  <si>
    <t>CAZyme|GH16_3; null; TC|2.A.1.2.7; null; null; TC|3.A.1.10.3</t>
  </si>
  <si>
    <t>GCA_002999135.1</t>
  </si>
  <si>
    <t>HMT-878</t>
  </si>
  <si>
    <t>CP027229.1</t>
  </si>
  <si>
    <t>CP027229.1_1515</t>
  </si>
  <si>
    <t>GH16_3(40-266)</t>
  </si>
  <si>
    <t>GH16_e321(41-267)</t>
  </si>
  <si>
    <t>GCA_002999135.1.overview.tsv</t>
  </si>
  <si>
    <t>GCA_002999135.1_CGC22</t>
  </si>
  <si>
    <t>TC|3.A.2.1.7; null; TC|3.A.2.1.5; null; null; TC|3.A.2.1.3; Sulfatase|S1_5; null; CAZyme|GH16_3; TC|8.A.46.3.4; TC|1.B.14.6.17; CAZyme|GT51_e13</t>
  </si>
  <si>
    <t>CP027229.1|CGC22</t>
  </si>
  <si>
    <t>PUL0796</t>
  </si>
  <si>
    <t>null-TF;CAZyme-CAZyme</t>
  </si>
  <si>
    <t>GCA_003033945.1</t>
  </si>
  <si>
    <t>CP028366.1</t>
  </si>
  <si>
    <t>CP028366.1_4018</t>
  </si>
  <si>
    <t>GCA_003033945.1.overview.tsv</t>
  </si>
  <si>
    <t>GCA_003033945.1_CGC76</t>
  </si>
  <si>
    <t>CGC76</t>
  </si>
  <si>
    <t>CP028366.1|CGC76</t>
  </si>
  <si>
    <t>CP028366.1_4614</t>
  </si>
  <si>
    <t>GCA_003033945.1_CGC89</t>
  </si>
  <si>
    <t>CGC89</t>
  </si>
  <si>
    <t>CP028366.1|CGC89</t>
  </si>
  <si>
    <t>GCA_003043925.1</t>
  </si>
  <si>
    <t>HMT-820</t>
  </si>
  <si>
    <t>Prevotella_illustrans</t>
  </si>
  <si>
    <t>PYXD01000001.1</t>
  </si>
  <si>
    <t>PYXD01000001.1_530</t>
  </si>
  <si>
    <t>GCA_003043925.1.overview.tsv</t>
  </si>
  <si>
    <t>GCA_003043925.1_CGC8</t>
  </si>
  <si>
    <t>TC|2.A.40.1.4; TC|1.B.14.6.2; null; CAZyme|GH16_3+Sulfatase|S1_19; null; TC|2.A.50.2.3</t>
  </si>
  <si>
    <t>PYXD01000001.1|CGC8</t>
  </si>
  <si>
    <t>GCA_003043935.1</t>
  </si>
  <si>
    <t>PYXE01000001.1</t>
  </si>
  <si>
    <t>PYXE01000001.1_2038</t>
  </si>
  <si>
    <t>GCA_003043935.1.overview.tsv</t>
  </si>
  <si>
    <t>GCA_003043935.1_CGC35</t>
  </si>
  <si>
    <t>CAZyme|GT9_e65; null; CAZyme|GH16_3; null; null; STP|LytTR</t>
  </si>
  <si>
    <t>GCA_003054025.1</t>
  </si>
  <si>
    <t>QBKG01000008.1</t>
  </si>
  <si>
    <t>QBKG01000008.1_19</t>
  </si>
  <si>
    <t>GH16_3(29-262)</t>
  </si>
  <si>
    <t>GH16_e321(30-263)</t>
  </si>
  <si>
    <t>GCA_003054025.1.overview.tsv</t>
  </si>
  <si>
    <t>GCA_003054025.1_CGC30</t>
  </si>
  <si>
    <t>CAZyme|GH16_3; null; null; TC|8.A.5.1.4; null; null; STP|HTH_18+STP|GyrI-like</t>
  </si>
  <si>
    <t>GCA_003184205.1</t>
  </si>
  <si>
    <t>CP020866.1</t>
  </si>
  <si>
    <t>CP020866.1_2231</t>
  </si>
  <si>
    <t>GCA_003184205.1.overview.tsv</t>
  </si>
  <si>
    <t>GCA_003184205.1_CGC45</t>
  </si>
  <si>
    <t>CP020866.1|CGC45</t>
  </si>
  <si>
    <t>CP020866.1_2848</t>
  </si>
  <si>
    <t>GCA_003367335.1</t>
  </si>
  <si>
    <t>CP031414.1</t>
  </si>
  <si>
    <t>CP031414.1_2350</t>
  </si>
  <si>
    <t>GCA_003367335.1.overview.tsv</t>
  </si>
  <si>
    <t>GCA_003367335.1_CGC37</t>
  </si>
  <si>
    <t>CP031414.1_2412</t>
  </si>
  <si>
    <t>GCA_003367335.1_CGC38</t>
  </si>
  <si>
    <t>TC|9.B.138.1.3; TC|2.A.1.3.34; null; CAZyme|GT2; CAZyme|GH16_3; CAZyme|GT2</t>
  </si>
  <si>
    <t>GCA_003435685.1</t>
  </si>
  <si>
    <t>QTUN01000004.1</t>
  </si>
  <si>
    <t>QTUN01000004.1_123</t>
  </si>
  <si>
    <t>GCA_003435685.1.overview.tsv</t>
  </si>
  <si>
    <t>GCA_003435685.1_CGC14</t>
  </si>
  <si>
    <t>GCA_003438305.1</t>
  </si>
  <si>
    <t>QSTW01000022.1</t>
  </si>
  <si>
    <t>QSTW01000022.1_37</t>
  </si>
  <si>
    <t>GCA_003438305.1.overview.tsv</t>
  </si>
  <si>
    <t>GCA_003438305.1_CGC46</t>
  </si>
  <si>
    <t>TC|2.A.1.42.2; STP|HTH_3; null; CAZyme|GH109_e3; null; TC|1.B.14.6.17; null; CAZyme|GH16_3+Sulfatase|S1_19; CAZyme|GH3_e1+Sulfatase|S1_7</t>
  </si>
  <si>
    <t>QSTW01000022.1|CGC46</t>
  </si>
  <si>
    <t>TC-TC;null-null;CAZyme-CAZyme</t>
  </si>
  <si>
    <t>GCA_003462285.1</t>
  </si>
  <si>
    <t>QTYS01000002.1</t>
  </si>
  <si>
    <t>QTYS01000002.1_213</t>
  </si>
  <si>
    <t>GCA_003462285.1.overview.tsv</t>
  </si>
  <si>
    <t>GCA_003462285.1_CGC9</t>
  </si>
  <si>
    <t>GCA_003464965.1</t>
  </si>
  <si>
    <t>QSAF01000007.1</t>
  </si>
  <si>
    <t>QSAF01000007.1_141</t>
  </si>
  <si>
    <t>GCA_003464965.1.overview.tsv</t>
  </si>
  <si>
    <t>QSAF01000009.1</t>
  </si>
  <si>
    <t>QSAF01000009.1_90</t>
  </si>
  <si>
    <t>GCA_003464965.1_CGC49</t>
  </si>
  <si>
    <t>CGC49</t>
  </si>
  <si>
    <t>STP|TPR_2; null; STP|HD; null; null; STP|Sigma70_r2+STP|Sigma70_r4_2; Sulfatase|S1_16; CAZyme|GH29_e30|CBM32_e126|GH16_3+Sulfatase|S1_16; CAZyme|GH2_10+Sulfatase|S1_19; CAZyme|GH20_e135+Sulfatase|S1_16</t>
  </si>
  <si>
    <t>QSAF01000009.1|CGC49</t>
  </si>
  <si>
    <t>Sulfatase-SULFATLAS;CAZyme-CAZyme;CAZyme-null;CAZyme-CAZyme;CAZyme-CAZyme</t>
  </si>
  <si>
    <t>QSAF01000009.1_95</t>
  </si>
  <si>
    <t>GH16_3(355-630)</t>
  </si>
  <si>
    <t>GCA_003468065.1</t>
  </si>
  <si>
    <t>HMT-960</t>
  </si>
  <si>
    <t>Agathobacter_rectalis</t>
  </si>
  <si>
    <t>QSGF01000001.1</t>
  </si>
  <si>
    <t>QSGF01000001.1_401</t>
  </si>
  <si>
    <t>GH16_3(37-139)</t>
  </si>
  <si>
    <t>GH16_e336(39-140)</t>
  </si>
  <si>
    <t>GCA_003468065.1.overview.tsv</t>
  </si>
  <si>
    <t>GH16_e336</t>
  </si>
  <si>
    <t>GCA_003468065.1_CGC6</t>
  </si>
  <si>
    <t>CAZyme|GH3_e165+Sulfatase|S1_15; STP|AraC_binding+STP|HTH_18; CAZyme|GH16_3; null; CAZyme|GH94_e8; CAZyme|GH94_e3; STP|HTH_18; TC|3.A.1.1.57</t>
  </si>
  <si>
    <t>QSGF01000001.1|CGC6</t>
  </si>
  <si>
    <t>PUL0050</t>
  </si>
  <si>
    <t>cellulose</t>
  </si>
  <si>
    <t>GCA_003469295.1</t>
  </si>
  <si>
    <t>QSJG01000010.1</t>
  </si>
  <si>
    <t>QSJG01000010.1_20</t>
  </si>
  <si>
    <t>GH16_3(35-266)</t>
  </si>
  <si>
    <t>GH16_e21(37-266)</t>
  </si>
  <si>
    <t>GCA_003469295.1.overview.tsv</t>
  </si>
  <si>
    <t>GCA_003469295.1_CGC25</t>
  </si>
  <si>
    <t>CAZyme|GT1_e137; null; null; CAZyme|GH16_3; TC|8.A.46.1.3; TC|1.B.14.6.17</t>
  </si>
  <si>
    <t>QSJG01000010.1|CGC25</t>
  </si>
  <si>
    <t>GCA_003469565.1</t>
  </si>
  <si>
    <t>QSKM01000011.1</t>
  </si>
  <si>
    <t>QSKM01000011.1_1</t>
  </si>
  <si>
    <t>GCA_003469565.1.overview.tsv</t>
  </si>
  <si>
    <t>QSKM01000035.1</t>
  </si>
  <si>
    <t>QSKM01000035.1_1</t>
  </si>
  <si>
    <t>GCA_003470675.1</t>
  </si>
  <si>
    <t>HMT-974</t>
  </si>
  <si>
    <t>Parabacteroides_merdae</t>
  </si>
  <si>
    <t>QRKC01000001.1</t>
  </si>
  <si>
    <t>QRKC01000001.1_55</t>
  </si>
  <si>
    <t>GH16_3(31-258)</t>
  </si>
  <si>
    <t>GH16_e88(33-258)</t>
  </si>
  <si>
    <t>GCA_003470675.1.overview.tsv</t>
  </si>
  <si>
    <t>GCA_003470675.1_CGC3</t>
  </si>
  <si>
    <t>STP|Aminotran_1_2; CAZyme|GH16_3; CAZyme|GH2_6+Sulfatase|S1_20; CAZyme|GH20_e29+Sulfatase|S1_16; TC|8.A.46.1.3; TC|1.B.14.6.17; STP|FecR; null; null; STP|Sigma70_r2+STP|Sigma70_r4_2; STP|FecR; TC|1.B.14.6.17; null; CAZyme|GH2_11; TC|1.B.14.6.17; TC|8.A.46.1.3; CAZyme|GH92_e23; STP|Sigma70_r2+STP|Sigma70_r4_2; STP|Glyoxalase; null; TC|9.B.29.2.12</t>
  </si>
  <si>
    <t>QRKC01000001.1|CGC3</t>
  </si>
  <si>
    <t>PUL0558</t>
  </si>
  <si>
    <t>GCA_003471645.1</t>
  </si>
  <si>
    <t>QRJS01000038.1</t>
  </si>
  <si>
    <t>QRJS01000038.1_19</t>
  </si>
  <si>
    <t>GCA_003471645.1.overview.tsv</t>
  </si>
  <si>
    <t>GCA_003471645.1_CGC60</t>
  </si>
  <si>
    <t>QRJS01000038.1|CGC60</t>
  </si>
  <si>
    <t>GCA_003474305.1</t>
  </si>
  <si>
    <t>QROI01000014.1</t>
  </si>
  <si>
    <t>QROI01000014.1_62</t>
  </si>
  <si>
    <t>GH16_3(212-473)</t>
  </si>
  <si>
    <t>GH16_e45(213-474)</t>
  </si>
  <si>
    <t>GCA_003474305.1.overview.tsv</t>
  </si>
  <si>
    <t>GCA_003474305.1_CGC45</t>
  </si>
  <si>
    <t>CAZyme|PL42_e0; CAZyme|GH105_e39|GH154_e2+Sulfatase|S1_14; null; TC|1.B.14.6.17; null; TC|1.B.14.6.17; null; CAZyme|CBM32_e83; CAZyme|GH16_3+Sulfatase|S1_19; CAZyme|GH16_3+Sulfatase|S1_19; CAZyme|GH43_24+Sulfatase|S1_6; STP|Reg_prop+STP|Y_Y_Y+STP|HisKA+STP|HATPase_c+STP|Response_reg+STP|HTH_18; null; TC|2.A.37.2.5; TC|3.A.25.1.1; TC|3.A.1.125.1</t>
  </si>
  <si>
    <t>QROI01000014.1|CGC45</t>
  </si>
  <si>
    <t>TC-TC;null-null;TC-TC;null-TC;CAZyme-CAZyme;CAZyme-CAZyme;CAZyme-CAZyme;CAZyme-CAZyme;CAZyme-CAZyme;STP-TC</t>
  </si>
  <si>
    <t>QROI01000014.1_63</t>
  </si>
  <si>
    <t>GH16_3(42-292)</t>
  </si>
  <si>
    <t>GH16_e36(43-293)</t>
  </si>
  <si>
    <t>GCA_003474535.1</t>
  </si>
  <si>
    <t>QROD01000014.1</t>
  </si>
  <si>
    <t>QROD01000014.1_61</t>
  </si>
  <si>
    <t>GCA_003474535.1.overview.tsv</t>
  </si>
  <si>
    <t>GCA_003474535.1_CGC45</t>
  </si>
  <si>
    <t>QROD01000014.1|CGC45</t>
  </si>
  <si>
    <t>QROD01000014.1_62</t>
  </si>
  <si>
    <t>GCA_003515045.1</t>
  </si>
  <si>
    <t>CP032056.1</t>
  </si>
  <si>
    <t>CP032056.1_965</t>
  </si>
  <si>
    <t>GCA_003515045.1.overview.tsv</t>
  </si>
  <si>
    <t>GCA_003515045.1_CGC20</t>
  </si>
  <si>
    <t>GCA_003609775.1</t>
  </si>
  <si>
    <t>AP018049.1</t>
  </si>
  <si>
    <t>AP018049.1_1341</t>
  </si>
  <si>
    <t>GCA_003609775.1.overview.tsv</t>
  </si>
  <si>
    <t>GCA_003638725.1</t>
  </si>
  <si>
    <t>RBKD01000048.1</t>
  </si>
  <si>
    <t>RBKD01000048.1_1</t>
  </si>
  <si>
    <t>GCA_003638725.1.overview.tsv</t>
  </si>
  <si>
    <t>GCA_003638725.1_CGC8</t>
  </si>
  <si>
    <t>CAZyme|GH16_3+Sulfatase|S1_19; STP|Pribosyltran; null; Sulfatase|S1_14; STP|HTH_5+STP|Rhodanese; null; STP|Pyr_redox_2</t>
  </si>
  <si>
    <t>RBKD01000048.1|CGC8</t>
  </si>
  <si>
    <t>GCA_003639045.1</t>
  </si>
  <si>
    <t>HMT-178</t>
  </si>
  <si>
    <t>Schaalia_hongkongensis</t>
  </si>
  <si>
    <t>RBJH01000131.1</t>
  </si>
  <si>
    <t>RBJH01000131.1_2</t>
  </si>
  <si>
    <t>GCA_003639045.1.overview.tsv</t>
  </si>
  <si>
    <t>GCA_003932775.1</t>
  </si>
  <si>
    <t>RQYF01000005.1</t>
  </si>
  <si>
    <t>RQYF01000005.1_67</t>
  </si>
  <si>
    <t>GCA_003932775.1.overview.tsv</t>
  </si>
  <si>
    <t>RQYF01000021.1</t>
  </si>
  <si>
    <t>RQYF01000021.1_6</t>
  </si>
  <si>
    <t>GCA_003932775.1_CGC31</t>
  </si>
  <si>
    <t>RQYF01000021.1|CGC31</t>
  </si>
  <si>
    <t>GCA_004000885.1</t>
  </si>
  <si>
    <t>BIMC01000010.1</t>
  </si>
  <si>
    <t>BIMC01000010.1_39</t>
  </si>
  <si>
    <t>GCA_004000885.1.overview.tsv</t>
  </si>
  <si>
    <t>GCA_004000885.1_CGC67</t>
  </si>
  <si>
    <t>BIMC01000010.1|CGC67</t>
  </si>
  <si>
    <t>GCA_004015025.1</t>
  </si>
  <si>
    <t>CP025826.1</t>
  </si>
  <si>
    <t>CP025826.1_2208</t>
  </si>
  <si>
    <t>GCA_004015025.1.overview.tsv</t>
  </si>
  <si>
    <t>GCA_004015025.1_CGC58</t>
  </si>
  <si>
    <t>CP025826.1_823</t>
  </si>
  <si>
    <t>GH16_3(37-283)</t>
  </si>
  <si>
    <t>GH16_e2(38-284)</t>
  </si>
  <si>
    <t>GCA_004015025.1_CGC19</t>
  </si>
  <si>
    <t>CP025826.1_986</t>
  </si>
  <si>
    <t>GCA_004015025.1_CGC26</t>
  </si>
  <si>
    <t>CP025826.1|CGC26</t>
  </si>
  <si>
    <t>GCA_004114655.2</t>
  </si>
  <si>
    <t>SDBQ02000004.1</t>
  </si>
  <si>
    <t>SDBQ02000004.1_94</t>
  </si>
  <si>
    <t>GCA_004114655.2.overview.tsv</t>
  </si>
  <si>
    <t>GCA_004114655.2_CGC24</t>
  </si>
  <si>
    <t>SDBQ02000004.1|CGC24</t>
  </si>
  <si>
    <t>GCA_004328515.1</t>
  </si>
  <si>
    <t>HMT-971</t>
  </si>
  <si>
    <t>Bacteroides_uniformis</t>
  </si>
  <si>
    <t>CP036491.1</t>
  </si>
  <si>
    <t>CP036491.1_1190</t>
  </si>
  <si>
    <t>GH29(47-370)+CBM32(501-617)+GH16_3(691-909)</t>
  </si>
  <si>
    <t>GH29_e30(50-368)+CBM32_e126(503-603)+GH16_e147(687-909)</t>
  </si>
  <si>
    <t>GCA_004328515.1.overview.tsv</t>
  </si>
  <si>
    <t>GCA_004328515.1_CGC31</t>
  </si>
  <si>
    <t>CAZyme|GH29_e30|CBM32_e126|GH16_3+Sulfatase|S1_16; CAZyme|GH20_e135+Sulfatase|S1_16; CAZyme|GH20_e135+Sulfatase|S1_16; Sulfatase|S1_11; null; TC|1.B.14.6.1; null; CAZyme|GH95_e0+Sulfatase|S1_7; null; null; CAZyme|GH18_e13; null; CAZyme|GH20_e106; CAZyme|GH2_10+Sulfatase|S1_19; STP|HisKA+STP|HATPase_c+STP|Response_reg+STP|HTH_18; CAZyme|GH110_e1</t>
  </si>
  <si>
    <t>CP036491.1|CGC31</t>
  </si>
  <si>
    <t>CAZyme-CAZyme;CAZyme-CAZyme;CAZyme-CAZyme;Sulfatase-SULFATLAS;null-null;TC-TC;CAZyme-CAZyme;CAZyme-CAZyme</t>
  </si>
  <si>
    <t>hostglycan;hostglycan,hostglycan</t>
  </si>
  <si>
    <t>CP036491.1_2951</t>
  </si>
  <si>
    <t>GH16_3(222-456)</t>
  </si>
  <si>
    <t>GH16_e240(223-457)</t>
  </si>
  <si>
    <t>GCA_004328515.1_CGC78</t>
  </si>
  <si>
    <t>CGC78</t>
  </si>
  <si>
    <t>TC|2.A.7.34.3; null; TC|2.A.107.1.2; null; null; CAZyme|GT2+TC|4.D.1.1.13; null; STP|Y_Y_Y; TC|1.B.14.6.17; null; null; CAZyme|GH16_3; CAZyme|GH158_e5; CAZyme|GH3_e1+Sulfatase|S1_7; null; null; TC|1.A.43.1.1; null; CAZyme|GH97_e22; STP|Fer4; STP|HTH_18</t>
  </si>
  <si>
    <t>CP036491.1|CGC78</t>
  </si>
  <si>
    <t>PUL0338</t>
  </si>
  <si>
    <t>TC-TC;null-null;TC-TC;null-null;null-null;CAZyme-CAZyme;null-null;STP-TF;TC-TC;null-null;CAZyme-CAZyme;CAZyme-CAZyme;CAZyme-CAZyme;null-null;null-null;TC-TC;null-null;CAZyme-CAZyme;STP-STP;STP-TF</t>
  </si>
  <si>
    <t>CP036491.1_3002</t>
  </si>
  <si>
    <t>GCA_004342845.1</t>
  </si>
  <si>
    <t>SLXB01000019.1</t>
  </si>
  <si>
    <t>SLXB01000019.1_63</t>
  </si>
  <si>
    <t>GCA_004342845.1.overview.tsv</t>
  </si>
  <si>
    <t>SLXB01000040.1</t>
  </si>
  <si>
    <t>SLXB01000040.1_3</t>
  </si>
  <si>
    <t>GH16_3(109-345)</t>
  </si>
  <si>
    <t>GH16_e240(110-346)</t>
  </si>
  <si>
    <t>GCA_004342845.1_CGC64</t>
  </si>
  <si>
    <t>SLXB01000040.1|CGC64</t>
  </si>
  <si>
    <t>CAZyme-CAZyme;CAZyme-CAZyme;null-null;TC-TC</t>
  </si>
  <si>
    <t>GCA_004354345.1</t>
  </si>
  <si>
    <t>HMT-003</t>
  </si>
  <si>
    <t>Sphingomonas_glacialis</t>
  </si>
  <si>
    <t>CP037913.1</t>
  </si>
  <si>
    <t>CP037913.1_1026</t>
  </si>
  <si>
    <t>GH16_3(34-267)</t>
  </si>
  <si>
    <t>GH16_e161(36-268)</t>
  </si>
  <si>
    <t>GCA_004354345.1.overview.tsv</t>
  </si>
  <si>
    <t>GH16_e161</t>
  </si>
  <si>
    <t>GCA_004354345.1_CGC17</t>
  </si>
  <si>
    <t>CAZyme|GH16_3; null; CAZyme|GH3_e92+Sulfatase|S1_15; TC|1.B.14.12.2</t>
  </si>
  <si>
    <t>CP037913.1|CGC17</t>
  </si>
  <si>
    <t>GCA_004519295.1</t>
  </si>
  <si>
    <t>SOZH01000001.1</t>
  </si>
  <si>
    <t>SOZH01000001.1_269</t>
  </si>
  <si>
    <t>GCA_004519295.1.overview.tsv</t>
  </si>
  <si>
    <t>GCA_004519295.1_CGC7</t>
  </si>
  <si>
    <t>TC|2.A.114.1.1; null; STP|TetR_N; null; null; STP|TetR_N; CAZyme|GH3_e99+Sulfatase|S1_7; TC|2.A.1.2.93; null; Peptidase|S33.UPW; STP|TetR_N; CAZyme|GH16_3|CBM13_e183; TC|2.A.37.4.2; Peptidase|M38.UNW; null; TC|2.A.40.3.1; TC|2.A.3.1.12; null; TC|2.A.5.5.6</t>
  </si>
  <si>
    <t>SOZH01000001.1|CGC7</t>
  </si>
  <si>
    <t>TC-SULFATLAS;CAZyme-CAZyme</t>
  </si>
  <si>
    <t>GCA_005670605.1</t>
  </si>
  <si>
    <t>POTO01000002.1</t>
  </si>
  <si>
    <t>POTO01000002.1_8</t>
  </si>
  <si>
    <t>GCA_005670605.1.overview.tsv</t>
  </si>
  <si>
    <t>GCA_005670605.1_CGC1</t>
  </si>
  <si>
    <t>POTO01000017.1</t>
  </si>
  <si>
    <t>POTO01000017.1_9</t>
  </si>
  <si>
    <t>GCA_005670605.1_CGC73</t>
  </si>
  <si>
    <t>CGC73</t>
  </si>
  <si>
    <t>GCA_005696555.1</t>
  </si>
  <si>
    <t>CP040005.1</t>
  </si>
  <si>
    <t>CP040005.1_469</t>
  </si>
  <si>
    <t>GCA_005696555.1.overview.tsv</t>
  </si>
  <si>
    <t>GCA_005696555.1_CGC10</t>
  </si>
  <si>
    <t>TC|9.B.354.2.6; STP|HTH_3; null; TC|2.A.36.3.3; CAZyme|GH16_3; CAZyme|GH33_e129+Sulfatase|S1_7; STP|HxlR</t>
  </si>
  <si>
    <t>GCA_005697395.1</t>
  </si>
  <si>
    <t>CP040011.1</t>
  </si>
  <si>
    <t>CP040011.1_687</t>
  </si>
  <si>
    <t>GCA_005697395.1.overview.tsv</t>
  </si>
  <si>
    <t>GCA_005697395.1_CGC10</t>
  </si>
  <si>
    <t>GCA_005697565.1</t>
  </si>
  <si>
    <t>HMT-957</t>
  </si>
  <si>
    <t>Nanosynbacter_featherlites</t>
  </si>
  <si>
    <t>CP040004.1</t>
  </si>
  <si>
    <t>CP040004.1_641</t>
  </si>
  <si>
    <t>GH16_3(35-329)</t>
  </si>
  <si>
    <t>GH16_e25(47-328)</t>
  </si>
  <si>
    <t>GH0</t>
  </si>
  <si>
    <t>GCA_005697565.1.overview.tsv</t>
  </si>
  <si>
    <t>GCA_005697565.1_CGC9</t>
  </si>
  <si>
    <t>TC|8.A.192.1.4; null; STP|Pkinase; TC|1.A.33.1.2; CAZyme|GH16_3; null; null; STP|HTH_11</t>
  </si>
  <si>
    <t>GCA_005886335.1</t>
  </si>
  <si>
    <t>CP040503.1</t>
  </si>
  <si>
    <t>CP040503.1_133</t>
  </si>
  <si>
    <t>GCA_005886335.1.overview.tsv</t>
  </si>
  <si>
    <t>GCA_006149185.1</t>
  </si>
  <si>
    <t>CP040468.1</t>
  </si>
  <si>
    <t>CP040468.1_3750</t>
  </si>
  <si>
    <t>GCA_006149185.1.overview.tsv</t>
  </si>
  <si>
    <t>GCA_006149185.1_CGC96</t>
  </si>
  <si>
    <t>STP|Sigma70_r4_2; STP|FecR; CAZyme|GH116_e0; TC|1.B.14.6.1; null; CAZyme|GH16_3+Sulfatase|S1_19; STP|Y_Y_Y; TC|1.B.14.6.17; TC|1.B.38.1.10; CAZyme|GH144_e1; CAZyme|GH43_28|CBM32_e176; CAZyme|GH144_e1; CAZyme|GH3_e1+Sulfatase|S1_7; CAZyme|GH3_e1+Sulfatase|S1_7; CAZyme|GH43_28|CBM32_e188; null; Peptidase|S09.UPC; STP|Sigma70_r2+STP|Sigma70_r4_2; STP|FecR; TC|1.B.14.6.1; TC|8.A.46.1.4; CAZyme|GH31_4</t>
  </si>
  <si>
    <t>CP040468.1|CGC96</t>
  </si>
  <si>
    <t>TC-TC;STP-TF;TC-TC;TC-null;TC-TC;CAZyme-CAZyme;CAZyme-CAZyme;CAZyme-CAZyme;CAZyme-CAZyme;CAZyme-CAZyme;CAZyme-CAZyme;Peptidase-PEPTIDASE;TC-TC;TC-TC</t>
  </si>
  <si>
    <t>GCA_006385365.1</t>
  </si>
  <si>
    <t>VFJI01000001.1</t>
  </si>
  <si>
    <t>VFJI01000001.1_1178</t>
  </si>
  <si>
    <t>GCA_006385365.1.overview.tsv</t>
  </si>
  <si>
    <t>GCA_006385365.1_CGC36</t>
  </si>
  <si>
    <t>VFJI01000001.1_264</t>
  </si>
  <si>
    <t>GCA_006385365.1_CGC9</t>
  </si>
  <si>
    <t>VFJI01000001.1|CGC9</t>
  </si>
  <si>
    <t>GCA_006439055.1</t>
  </si>
  <si>
    <t>RCZC01000001.1</t>
  </si>
  <si>
    <t>RCZC01000001.1_532</t>
  </si>
  <si>
    <t>GH16_3(35-267)</t>
  </si>
  <si>
    <t>GCA_006439055.1.overview.tsv</t>
  </si>
  <si>
    <t>GCA_006439055.1_CGC11</t>
  </si>
  <si>
    <t>TC|1.B.14.12.2; CAZyme|GH3_e92+Sulfatase|S1_15; null; CAZyme|GH16_3; null; TC|3.A.3.30.4; null; null; TC|2.A.6.2.39; TC|2.A.6.2.12; TC|2.A.6.2.12; TC|8.A.1.6.2; STP|HisKA+STP|HATPase_c</t>
  </si>
  <si>
    <t>RCZC01000001.1|CGC11</t>
  </si>
  <si>
    <t>CAZyme-CAZyme;CAZyme-CAZyme;TC-TC</t>
  </si>
  <si>
    <t>GCA_006546965.1</t>
  </si>
  <si>
    <t>HMT-972</t>
  </si>
  <si>
    <t>Bacteroides_xylanisolvens</t>
  </si>
  <si>
    <t>CP041230.1</t>
  </si>
  <si>
    <t>CP041230.1_4533</t>
  </si>
  <si>
    <t>GCA_006546965.1.overview.tsv</t>
  </si>
  <si>
    <t>CP041230.1_830</t>
  </si>
  <si>
    <t>GCA_006546965.1_CGC23</t>
  </si>
  <si>
    <t>STP|Y_Y_Y+STP|HisKA+STP|HATPase_c+STP|Response_reg+STP|HTH_18; CAZyme|GH16_3; TC|1.B.14.6.2; TC|8.A.46.2.1; null; CAZyme|GH3_e208+Sulfatase|S1_7; STP|PALP</t>
  </si>
  <si>
    <t>CP041230.1|CGC23</t>
  </si>
  <si>
    <t>STP-TC;CAZyme-CAZyme;TC-TC;TC-TC;null-null;CAZyme-CAZyme</t>
  </si>
  <si>
    <t>GCA_006715585.1</t>
  </si>
  <si>
    <t>VFNN01000001.1</t>
  </si>
  <si>
    <t>VFNN01000001.1_4876</t>
  </si>
  <si>
    <t>GCA_006715585.1.overview.tsv</t>
  </si>
  <si>
    <t>GCA_006715585.1_CGC77</t>
  </si>
  <si>
    <t>VFNN01000001.1_4936</t>
  </si>
  <si>
    <t>GH16_3(339-588)</t>
  </si>
  <si>
    <t>GH16_e328(340-589)</t>
  </si>
  <si>
    <t>GCA_006715585.1_CGC78</t>
  </si>
  <si>
    <t>GCA_007830715.1</t>
  </si>
  <si>
    <t>VLLM01000022.1</t>
  </si>
  <si>
    <t>VLLM01000022.1_25</t>
  </si>
  <si>
    <t>GCA_007830715.1.overview.tsv</t>
  </si>
  <si>
    <t>GCA_007845265.1</t>
  </si>
  <si>
    <t>HMT-352</t>
  </si>
  <si>
    <t>Nanosynbacter_sp.</t>
  </si>
  <si>
    <t>SDRM01000007.1</t>
  </si>
  <si>
    <t>SDRM01000007.1_29</t>
  </si>
  <si>
    <t>GH16_3(59-310)</t>
  </si>
  <si>
    <t>GH16_e218(61-311)</t>
  </si>
  <si>
    <t>GCA_007845265.1.overview.tsv</t>
  </si>
  <si>
    <t>GCA_007845265.1_CGC9</t>
  </si>
  <si>
    <t>CAZyme|GH16_3; CAZyme|GH16_3; STP|LexA_DNA_bind</t>
  </si>
  <si>
    <t>SDRM01000007.1|CGC9</t>
  </si>
  <si>
    <t>SDRM01000007.1_30</t>
  </si>
  <si>
    <t>GH16_3(58-315)</t>
  </si>
  <si>
    <t>GH16_e218(60-316)</t>
  </si>
  <si>
    <t>GCA_007990385.1</t>
  </si>
  <si>
    <t>AP019834.1</t>
  </si>
  <si>
    <t>AP019834.1_149</t>
  </si>
  <si>
    <t>GCA_007990385.1.overview.tsv</t>
  </si>
  <si>
    <t>GCA_007990385.1_CGC3</t>
  </si>
  <si>
    <t>CAZyme|GT2; CAZyme|GT2+TC|4.D.1.1.2; null; CAZyme|GH16_3+Sulfatase|S1_11</t>
  </si>
  <si>
    <t>AP019834.1_2071</t>
  </si>
  <si>
    <t>GCA_007990385.1_CGC28</t>
  </si>
  <si>
    <t>TC|9.B.18.2.4; null; CAZyme|GH16_3+Sulfatase|S1_19; CAZyme|GT2; null; TC|2.A.114.1.4; null; TC|9.B.105.1.10</t>
  </si>
  <si>
    <t>GCA_007990405.1</t>
  </si>
  <si>
    <t>AP019835.1</t>
  </si>
  <si>
    <t>AP019835.1_2159</t>
  </si>
  <si>
    <t>GCA_007990405.1.overview.tsv</t>
  </si>
  <si>
    <t>GCA_007990405.1_CGC27</t>
  </si>
  <si>
    <t>TC|9.B.18.2.4; null; CAZyme|GH16_3+Sulfatase|S1_19; CAZyme|GT2; TC|2.A.114.1.4</t>
  </si>
  <si>
    <t>GCA_007990445.1</t>
  </si>
  <si>
    <t>HMT-417</t>
  </si>
  <si>
    <t>AP019841.1</t>
  </si>
  <si>
    <t>AP019841.1_2093</t>
  </si>
  <si>
    <t>GCA_007990445.1.overview.tsv</t>
  </si>
  <si>
    <t>GCA_007990505.1</t>
  </si>
  <si>
    <t>AP019822.1</t>
  </si>
  <si>
    <t>AP019822.1_2182</t>
  </si>
  <si>
    <t>GCA_007990505.1.overview.tsv</t>
  </si>
  <si>
    <t>GCA_007990505.1_CGC34</t>
  </si>
  <si>
    <t>GCA_007990525.1</t>
  </si>
  <si>
    <t>AP019823.1</t>
  </si>
  <si>
    <t>AP019823.1_2220</t>
  </si>
  <si>
    <t>GCA_007990525.1.overview.tsv</t>
  </si>
  <si>
    <t>GCA_007990525.1_CGC28</t>
  </si>
  <si>
    <t>CAZyme|CE9_e0+Peptidase|M38.UNW; Sulfatase|S1_9; TC|9.B.18.2.4; null; CAZyme|GH16_3+Sulfatase|S1_19; null; CAZyme|GT2</t>
  </si>
  <si>
    <t>AP019823.1|CGC28</t>
  </si>
  <si>
    <t>GCA_007990545.2</t>
  </si>
  <si>
    <t>AP019829.2</t>
  </si>
  <si>
    <t>AP019829.2_2003</t>
  </si>
  <si>
    <t>GCA_007990545.2.overview.tsv</t>
  </si>
  <si>
    <t>GCA_007990545.2_CGC25</t>
  </si>
  <si>
    <t>GCA_007990635.1</t>
  </si>
  <si>
    <t>HMT-213</t>
  </si>
  <si>
    <t>Leptotrichia_hongkongensis</t>
  </si>
  <si>
    <t>AP019846.1</t>
  </si>
  <si>
    <t>AP019846.1_68</t>
  </si>
  <si>
    <t>GH16_3(80-335)</t>
  </si>
  <si>
    <t>GH16_e50(81-336)</t>
  </si>
  <si>
    <t>GCA_007990635.1.overview.tsv</t>
  </si>
  <si>
    <t>GCA_007990635.1_CGC2</t>
  </si>
  <si>
    <t>TC|1.S.2.1.1; TC|9.A.28.1.1; null; null; TC|3.A.1.5.3; TC|3.A.1.5.43; TC|3.A.1.5.40; TC|3.A.1.5.3; TC|3.A.1.5.3; TC|3.A.23.6.1; null; null; STP|Pyr_redox_2; null; null; STP|HxlR; null; CAZyme|GT2; CAZyme|GH16_3+Sulfatase|S1_19; null; TC|9.B.18.2.4</t>
  </si>
  <si>
    <t>GCA_007991655.1</t>
  </si>
  <si>
    <t>HMT-261</t>
  </si>
  <si>
    <t>Segetibacter_aerophilus</t>
  </si>
  <si>
    <t>BJYT01000004.1</t>
  </si>
  <si>
    <t>BJYT01000004.1_172</t>
  </si>
  <si>
    <t>3.2.1.39:1;3.2.1.73:1</t>
  </si>
  <si>
    <t>GH16_e279(36-267)</t>
  </si>
  <si>
    <t>GCA_007991655.1.overview.tsv</t>
  </si>
  <si>
    <t>GH16_e279</t>
  </si>
  <si>
    <t>GCA_007991655.1_CGC30</t>
  </si>
  <si>
    <t>TC|1.B.14.17.1; Sulfatase|S1_65; null; TC|9.B.393.2.3; null; null; CAZyme|CBM20_e36|CE1_e22+Peptidase|S09.UNW; Peptidase|M28.UPF; CAZyme|GH2_1|GH2_e16+Sulfatase|S1_20; STP|Response_reg; null; CAZyme|GT2+TC|4.D.1.1.15; TC|2.A.127.1.6; null; null; CAZyme|GH16_3+Sulfatase|S1_19</t>
  </si>
  <si>
    <t>BJYT01000004.1|CGC30</t>
  </si>
  <si>
    <t>PUL0527</t>
  </si>
  <si>
    <t>CAZyme-CAZyme;STP-TC</t>
  </si>
  <si>
    <t>BJYT01000004.1_228</t>
  </si>
  <si>
    <t>GH16_3(34-278)</t>
  </si>
  <si>
    <t>GH16_e156(35-279)</t>
  </si>
  <si>
    <t>GH16_e156</t>
  </si>
  <si>
    <t>BJYT01000011.1</t>
  </si>
  <si>
    <t>BJYT01000011.1_51</t>
  </si>
  <si>
    <t>GH16_3(43-293)</t>
  </si>
  <si>
    <t>GH16_e292(44-293)</t>
  </si>
  <si>
    <t>GH16_e292</t>
  </si>
  <si>
    <t>GCA_007991655.1_CGC64</t>
  </si>
  <si>
    <t>STP|Pribosyltran; null; CAZyme|GH16_3; TC|1.B.38.1.10; TC|1.B.14.6.17; TC|9.B.238.3.7</t>
  </si>
  <si>
    <t>BJYT01000011.1|CGC64</t>
  </si>
  <si>
    <t>BJYT01000013.1</t>
  </si>
  <si>
    <t>BJYT01000013.1_63</t>
  </si>
  <si>
    <t>GH16_3(150-380)</t>
  </si>
  <si>
    <t>GH16_e342(151-381)</t>
  </si>
  <si>
    <t>BJYT01000018.1</t>
  </si>
  <si>
    <t>BJYT01000018.1_68</t>
  </si>
  <si>
    <t>GH16_3(40-282)</t>
  </si>
  <si>
    <t>GH16_e210(41-283)</t>
  </si>
  <si>
    <t>GCA_007991655.1_CGC84</t>
  </si>
  <si>
    <t>CGC84</t>
  </si>
  <si>
    <t>TC|9.B.169.4.6; CAZyme|CE19_e4+Peptidase|S09.UPW; null; null; TC|1.B.93.2.8; CAZyme|GH16_3+Sulfatase|S1_19; CAZyme|GH13_38+TC|8.A.9.1.2; null; TC|8.A.11.1.3</t>
  </si>
  <si>
    <t>GCA_008000975.1</t>
  </si>
  <si>
    <t>CP042830.1</t>
  </si>
  <si>
    <t>CP042830.1_2120</t>
  </si>
  <si>
    <t>GCA_008000975.1.overview.tsv</t>
  </si>
  <si>
    <t>GCA_008000975.1_CGC58</t>
  </si>
  <si>
    <t>CP042830.1_729</t>
  </si>
  <si>
    <t>GCA_008000975.1_CGC18</t>
  </si>
  <si>
    <t>CP042830.1_879</t>
  </si>
  <si>
    <t>GCA_008000975.1_CGC26</t>
  </si>
  <si>
    <t>CP042830.1|CGC26</t>
  </si>
  <si>
    <t>GCA_008121405.1</t>
  </si>
  <si>
    <t>VKLY01000001.1</t>
  </si>
  <si>
    <t>VKLY01000001.1_77</t>
  </si>
  <si>
    <t>GCA_008121405.1.overview.tsv</t>
  </si>
  <si>
    <t>GCA_008121405.1_CGC1</t>
  </si>
  <si>
    <t>VKLY01000008.1</t>
  </si>
  <si>
    <t>VKLY01000008.1_50</t>
  </si>
  <si>
    <t>GH16_3(48-278)+CBM13(300-431)</t>
  </si>
  <si>
    <t>GH16_e4(49-277)+CBM13_e226(293-430)</t>
  </si>
  <si>
    <t>GH16_3|CBM13_e226</t>
  </si>
  <si>
    <t>GCA_008121405.1_CGC16</t>
  </si>
  <si>
    <t>TC|3.D.10.1.4; null; TC|3.A.1.27.2; TC|3.A.1.27.4; null; TC|1.B.14.6.17; Sulfatase|S1_27; STP|Reg_prop+STP|HisKA+STP|HATPase_c+STP|Response_reg+STP|HTH_18; CAZyme|GH16_3|CBM13_e226; null; null; TC|2.A.53.3.9</t>
  </si>
  <si>
    <t>VKLY01000008.1|CGC16</t>
  </si>
  <si>
    <t>VKLY01000012.1</t>
  </si>
  <si>
    <t>VKLY01000012.1_32</t>
  </si>
  <si>
    <t>GCA_008121405.1_CGC24</t>
  </si>
  <si>
    <t>GCA_008327825.1</t>
  </si>
  <si>
    <t>AP019827.1</t>
  </si>
  <si>
    <t>AP019827.1_92</t>
  </si>
  <si>
    <t>GCA_008327825.1.overview.tsv</t>
  </si>
  <si>
    <t>GCA_008327825.1_CGC3</t>
  </si>
  <si>
    <t>GCA_008728395.1</t>
  </si>
  <si>
    <t>CP043529.1</t>
  </si>
  <si>
    <t>CP043529.1_1177</t>
  </si>
  <si>
    <t>GCA_008728395.1.overview.tsv</t>
  </si>
  <si>
    <t>CP043529.1_3111</t>
  </si>
  <si>
    <t>GH16_3(29-250)</t>
  </si>
  <si>
    <t>GH16_e305(30-251)</t>
  </si>
  <si>
    <t>GCA_008728395.1_CGC67</t>
  </si>
  <si>
    <t>TC|1.D.194.1.1; null; TC|9.B.18.1.1; null; CAZyme|GT26_e51; CAZyme|GT4_e734; CAZyme|GH16_3+Sulfatase|S1_16; null; null; CAZyme|GT2; CAZyme|GT32_e128</t>
  </si>
  <si>
    <t>GCA_009377295.1</t>
  </si>
  <si>
    <t>VXLF01000004.1</t>
  </si>
  <si>
    <t>VXLF01000004.1_180</t>
  </si>
  <si>
    <t>GCA_009377295.1.overview.tsv</t>
  </si>
  <si>
    <t>VXLF01000005.1</t>
  </si>
  <si>
    <t>VXLF01000005.1_168</t>
  </si>
  <si>
    <t>GCA_009377295.1_CGC61</t>
  </si>
  <si>
    <t>STP|dCache_1+STP|MCPsignal; null; CAZyme|CBM56_e2|CBM56_e2|GH16_3|CBM56_e2</t>
  </si>
  <si>
    <t>VXLF01000005.1|CGC61</t>
  </si>
  <si>
    <t>STP-STP;CAZyme-CAZyme;CAZyme-CAZyme</t>
  </si>
  <si>
    <t>GCA_009494375.1</t>
  </si>
  <si>
    <t>HMT-979</t>
  </si>
  <si>
    <t>Prevotella_copri</t>
  </si>
  <si>
    <t>VZCD01000123.1</t>
  </si>
  <si>
    <t>VZCD01000123.1_28</t>
  </si>
  <si>
    <t>GH16_3(33-285)</t>
  </si>
  <si>
    <t>GH16_e36(34-286)</t>
  </si>
  <si>
    <t>GCA_009494375.1.overview.tsv</t>
  </si>
  <si>
    <t>GCA_009494375.1_CGC53</t>
  </si>
  <si>
    <t>CAZyme|GH16_3+Sulfatase|S1_19; TC|2.A.109.1.7</t>
  </si>
  <si>
    <t>GCA_009495335.1</t>
  </si>
  <si>
    <t>VZAH01000028.1</t>
  </si>
  <si>
    <t>VZAH01000028.1_28</t>
  </si>
  <si>
    <t>GCA_009495335.1.overview.tsv</t>
  </si>
  <si>
    <t>GCA_009495335.1_CGC15</t>
  </si>
  <si>
    <t>GCA_009717635.1</t>
  </si>
  <si>
    <t>WMYY01000005.1</t>
  </si>
  <si>
    <t>WMYY01000005.1_223</t>
  </si>
  <si>
    <t>GCA_009717635.1.overview.tsv</t>
  </si>
  <si>
    <t>GCA_009717635.1_CGC23</t>
  </si>
  <si>
    <t>TC|3.A.1.1.28; CAZyme|GH13_31+TC|8.A.9.1.2; null; CAZyme|GH16_3</t>
  </si>
  <si>
    <t>WMYY01000005.1|CGC23</t>
  </si>
  <si>
    <t>WMYY01000021.1</t>
  </si>
  <si>
    <t>WMYY01000021.1_3</t>
  </si>
  <si>
    <t>GH16_e168(63-344)</t>
  </si>
  <si>
    <t>GCA_009717765.1</t>
  </si>
  <si>
    <t>WMZE01000005.1</t>
  </si>
  <si>
    <t>WMZE01000005.1_1</t>
  </si>
  <si>
    <t>GCA_009717765.1.overview.tsv</t>
  </si>
  <si>
    <t>WMZE01000005.1_4</t>
  </si>
  <si>
    <t>GCA_009717805.1</t>
  </si>
  <si>
    <t>WMZG01000003.1</t>
  </si>
  <si>
    <t>WMZG01000003.1_173</t>
  </si>
  <si>
    <t>GCA_009717805.1.overview.tsv</t>
  </si>
  <si>
    <t>GCA_009717805.1_CGC30</t>
  </si>
  <si>
    <t>WMZG01000003.1|CGC30</t>
  </si>
  <si>
    <t>WMZG01000008.1</t>
  </si>
  <si>
    <t>WMZG01000008.1_1</t>
  </si>
  <si>
    <t>GCA_009717845.1</t>
  </si>
  <si>
    <t>WMZI01000003.1</t>
  </si>
  <si>
    <t>WMZI01000003.1_173</t>
  </si>
  <si>
    <t>GCA_009717845.1.overview.tsv</t>
  </si>
  <si>
    <t>GCA_009717845.1_CGC28</t>
  </si>
  <si>
    <t>WMZI01000003.1|CGC28</t>
  </si>
  <si>
    <t>WMZI01000010.1</t>
  </si>
  <si>
    <t>WMZI01000010.1_1</t>
  </si>
  <si>
    <t>GCA_009730375.1</t>
  </si>
  <si>
    <t>CP046316.1</t>
  </si>
  <si>
    <t>CP046316.1_2236</t>
  </si>
  <si>
    <t>GCA_009730375.1.overview.tsv</t>
  </si>
  <si>
    <t>GCA_009730375.1_CGC41</t>
  </si>
  <si>
    <t>TC|1.C.12.2.2; TC|3.A.2.1.2; null; null; CAZyme|GH2_10|CBM32_e167+Sulfatase|S1_19; TC|2.A.23.2.11; null; TC|9.B.18.2.4; null; null; STP|Pribosyltran; null; CAZyme|GH16_3+Sulfatase|S1_19; null; null; TC|8.A.46.3.4; TC|1.B.14.6.17; TC|1.B.14.6.2</t>
  </si>
  <si>
    <t>CP046316.1|CGC41</t>
  </si>
  <si>
    <t>CAZyme-CAZyme;TC-TC;TC-TC;TC-TC</t>
  </si>
  <si>
    <t>GCA_009734165.1</t>
  </si>
  <si>
    <t>CP046397.1</t>
  </si>
  <si>
    <t>CP046397.1_1968</t>
  </si>
  <si>
    <t>GCA_009734165.1.overview.tsv</t>
  </si>
  <si>
    <t>CP046397.1_2956</t>
  </si>
  <si>
    <t>GCA_009734165.1_CGC62</t>
  </si>
  <si>
    <t>CGC62</t>
  </si>
  <si>
    <t>CP046397.1_3411</t>
  </si>
  <si>
    <t>GCA_009734165.1_CGC76</t>
  </si>
  <si>
    <t>CAZyme|GH3_e98+Sulfatase|S1_7; CAZyme|GH3_e1+Sulfatase|S1_7; CAZyme|GH144_e1; CAZyme|GH43_28|CBM32_e176; TC|1.B.38.1.10; TC|1.B.14.6.17; null; STP|Y_Y_Y+STP|HisKA+STP|HATPase_c+STP|Response_reg+STP|HTH_18; CAZyme|GH16_3; TC|1.B.14.6.2; TC|8.A.46.2.1; null; CAZyme|GH3_e208+Sulfatase|S1_7; STP|PALP; null; Peptidase|S09.UPW; CAZyme|GH26_e35+Sulfatase|S1_17; CAZyme|GH173_e2; CAZyme|GH173_e1; null; null; TC|1.B.14.6.1; CAZyme|GH130_5; TC|2.A.21.3.19; STP|HTH_18; CAZyme|GH2_13; CAZyme|GH31_e40; CAZyme|GH66_e1; null; TC|1.B.38.1.10; TC|1.B.14.6.17</t>
  </si>
  <si>
    <t>CP046397.1|CGC76</t>
  </si>
  <si>
    <t>CAZyme-CAZyme;CAZyme-CAZyme;STP-TC;CAZyme-CAZyme;TC-TC;TC-TC;null-null;CAZyme-CAZyme</t>
  </si>
  <si>
    <t>beta-glucan,pectin,beta-mannan</t>
  </si>
  <si>
    <t>GCA_009828055.1</t>
  </si>
  <si>
    <t>HMT-747</t>
  </si>
  <si>
    <t>Erythrobacter_ramosus</t>
  </si>
  <si>
    <t>WTYB01000002.1</t>
  </si>
  <si>
    <t>WTYB01000002.1_1029</t>
  </si>
  <si>
    <t>GH16_3(42-311)</t>
  </si>
  <si>
    <t>GH16_e256(43-311)</t>
  </si>
  <si>
    <t>GCA_009828055.1.overview.tsv</t>
  </si>
  <si>
    <t>GCA_009828055.1_CGC21</t>
  </si>
  <si>
    <t>CAZyme|GH3_e227+Sulfatase|S1_7; TC|2.A.1.2.93; prodoric|CCPA_PRIMG; CAZyme|GH16_3+Sulfatase|S1_19; TC|1.B.14.12.2</t>
  </si>
  <si>
    <t>WTYB01000002.1|CGC21</t>
  </si>
  <si>
    <t>GCA_010223175.1</t>
  </si>
  <si>
    <t>CP027009.1</t>
  </si>
  <si>
    <t>CP027009.1_2159</t>
  </si>
  <si>
    <t>GCA_010223175.1.overview.tsv</t>
  </si>
  <si>
    <t>GCA_010223175.1_CGC57</t>
  </si>
  <si>
    <t>CP027009.1_785</t>
  </si>
  <si>
    <t>GCA_010223175.1_CGC18</t>
  </si>
  <si>
    <t>CP027009.1_947</t>
  </si>
  <si>
    <t>GCA_010223175.1_CGC25</t>
  </si>
  <si>
    <t>CP027009.1|CGC25</t>
  </si>
  <si>
    <t>GCA_010223255.1</t>
  </si>
  <si>
    <t>CP027011.1</t>
  </si>
  <si>
    <t>CP027011.1_2173</t>
  </si>
  <si>
    <t>GCA_010223255.1.overview.tsv</t>
  </si>
  <si>
    <t>GCA_010223255.1_CGC57</t>
  </si>
  <si>
    <t>CP027011.1_789</t>
  </si>
  <si>
    <t>GH16_3(22-268)</t>
  </si>
  <si>
    <t>GH16_e2(23-269)</t>
  </si>
  <si>
    <t>GCA_010223255.1_CGC18</t>
  </si>
  <si>
    <t>CP027011.1_953</t>
  </si>
  <si>
    <t>GH16_3(13-258)</t>
  </si>
  <si>
    <t>GH16_e54(14-259)</t>
  </si>
  <si>
    <t>GCA_010223255.1_CGC25</t>
  </si>
  <si>
    <t>CP027011.1|CGC25</t>
  </si>
  <si>
    <t>GCA_012844205.1</t>
  </si>
  <si>
    <t>HMT-966</t>
  </si>
  <si>
    <t>Alistipes_shahii</t>
  </si>
  <si>
    <t>JABAGP010000004.1</t>
  </si>
  <si>
    <t>JABAGP010000004.1_102</t>
  </si>
  <si>
    <t>GH16_3(309-535)</t>
  </si>
  <si>
    <t>GH16_e321(310-535)</t>
  </si>
  <si>
    <t>GCA_012844205.1.overview.tsv</t>
  </si>
  <si>
    <t>GCA_012844205.1_CGC28</t>
  </si>
  <si>
    <t>TC|1.A.35.1.2; CAZyme|GH20_e12|CE15_e10+Sulfatase|S1_16+Peptidase|S09.UPW; CAZyme|GH16_3; CAZyme|GH16_3; null; TC|8.A.46.1.3; TC|1.B.14.6.17; null; null; CAZyme|GH3_e98+Sulfatase|S1_7; STP|LacI+STP|Peripla_BP_1; STP|HTH_11+STP|AsnC_trans_reg; STP|Aminotran_1_2; TC|9.B.18.2.4</t>
  </si>
  <si>
    <t>JABAGP010000004.1|CGC28</t>
  </si>
  <si>
    <t>JABAGP010000004.1_103</t>
  </si>
  <si>
    <t>GH16_3(30-256)</t>
  </si>
  <si>
    <t>GH16_e321(31-256)</t>
  </si>
  <si>
    <t>GCA_012851305.1</t>
  </si>
  <si>
    <t>CP051672.1</t>
  </si>
  <si>
    <t>CP051672.1_3241</t>
  </si>
  <si>
    <t>GCA_012851305.1.overview.tsv</t>
  </si>
  <si>
    <t>GCA_012851305.1_CGC80</t>
  </si>
  <si>
    <t>CGC80</t>
  </si>
  <si>
    <t>STP|Sigma70_r4_2; STP|FecR; CAZyme|GH116_e0; TC|1.B.14.6.1; null; CAZyme|GH16_3+Sulfatase|S1_19; STP|Y_Y_Y; TC|1.B.14.6.17; TC|8.A.46.1.6; CAZyme|GH144_e1; CAZyme|GH43_28|CBM32_e176; CAZyme|GH144_e1; CAZyme|GH3_e1+Sulfatase|S1_7; CAZyme|GH3_e1+Sulfatase|S1_7; CAZyme|GH43_28|CBM32_e188</t>
  </si>
  <si>
    <t>CP051672.1|CGC80</t>
  </si>
  <si>
    <t>TC-TC;STP-TF;TC-TC;TC-null;TC-TC;CAZyme-CAZyme;CAZyme-CAZyme;CAZyme-CAZyme;CAZyme-CAZyme;CAZyme-CAZyme;CAZyme-CAZyme</t>
  </si>
  <si>
    <t>GCA_013009555.1</t>
  </si>
  <si>
    <t>CP046176.1</t>
  </si>
  <si>
    <t>CP046176.1_1056</t>
  </si>
  <si>
    <t>GCA_013009555.1.overview.tsv</t>
  </si>
  <si>
    <t>GCA_013009555.1_CGC27</t>
  </si>
  <si>
    <t>CP046176.1|CGC27</t>
  </si>
  <si>
    <t>CP046176.1_3280</t>
  </si>
  <si>
    <t>GCA_013009555.1_CGC67</t>
  </si>
  <si>
    <t>CP046176.1|CGC67</t>
  </si>
  <si>
    <t>GCA_013009675.1</t>
  </si>
  <si>
    <t>CP046424.1</t>
  </si>
  <si>
    <t>CP046424.1_1465</t>
  </si>
  <si>
    <t>GCA_013009675.1.overview.tsv</t>
  </si>
  <si>
    <t>GCA_013009675.1_CGC31</t>
  </si>
  <si>
    <t>CP046424.1|CGC31</t>
  </si>
  <si>
    <t>CP046424.1_3424</t>
  </si>
  <si>
    <t>GCA_013009675.1_CGC66</t>
  </si>
  <si>
    <t>CGC66</t>
  </si>
  <si>
    <t>CP046424.1|CGC66</t>
  </si>
  <si>
    <t>GCA_013009875.1</t>
  </si>
  <si>
    <t>CP046425.1</t>
  </si>
  <si>
    <t>CP046425.1_1385</t>
  </si>
  <si>
    <t>GCA_013009875.1.overview.tsv</t>
  </si>
  <si>
    <t>GCA_013009875.1_CGC30</t>
  </si>
  <si>
    <t>CP046425.1|CGC30</t>
  </si>
  <si>
    <t>CP046425.1_3345</t>
  </si>
  <si>
    <t>GCA_013009875.1_CGC65</t>
  </si>
  <si>
    <t>CGC65</t>
  </si>
  <si>
    <t>CP046425.1|CGC65</t>
  </si>
  <si>
    <t>GCA_013010095.1</t>
  </si>
  <si>
    <t>CP046426.1</t>
  </si>
  <si>
    <t>CP046426.1_1385</t>
  </si>
  <si>
    <t>GCA_013010095.1.overview.tsv</t>
  </si>
  <si>
    <t>GCA_013010095.1_CGC30</t>
  </si>
  <si>
    <t>CP046426.1|CGC30</t>
  </si>
  <si>
    <t>CP046426.1_3343</t>
  </si>
  <si>
    <t>GCA_013010095.1_CGC65</t>
  </si>
  <si>
    <t>CP046426.1|CGC65</t>
  </si>
  <si>
    <t>GCA_013010255.1</t>
  </si>
  <si>
    <t>CP046427.1</t>
  </si>
  <si>
    <t>CP046427.1_1400</t>
  </si>
  <si>
    <t>GCA_013010255.1.overview.tsv</t>
  </si>
  <si>
    <t>GCA_013010255.1_CGC29</t>
  </si>
  <si>
    <t>CP046427.1|CGC29</t>
  </si>
  <si>
    <t>CP046427.1_3584</t>
  </si>
  <si>
    <t>GCA_013010255.1_CGC63</t>
  </si>
  <si>
    <t>CGC63</t>
  </si>
  <si>
    <t>CP046427.1|CGC63</t>
  </si>
  <si>
    <t>GCA_013010365.1</t>
  </si>
  <si>
    <t>CP046428.1</t>
  </si>
  <si>
    <t>CP046428.1_1043</t>
  </si>
  <si>
    <t>GCA_013010365.1.overview.tsv</t>
  </si>
  <si>
    <t>GCA_013010365.1_CGC29</t>
  </si>
  <si>
    <t>CAZyme|GH16_3; TC|2.A.2.3.4; CAZyme|GH10_e83+Sulfatase|S1_7; CAZyme|GH43_1+Sulfatase|S1_7; CAZyme|GH43_12|CBM91_e46; TC|1.B.14.6.1; null; STP|Reg_prop+STP|Y_Y_Y+STP|HisKA+STP|HATPase_c+STP|Response_reg+STP|HTH_18; null; CAZyme|GH43_10|CBM91_e4+Sulfatase|S1_7; CAZyme|GH115_e0; CAZyme|GH67_e0; CAZyme|CE20_e6+Sulfatase|S1_16; null; TC|1.B.14.6.12; STP|FecR; null; STP|Sigma70_r2+STP|Sigma70_r4_2; null; TC|1.B.14.6.12</t>
  </si>
  <si>
    <t>CP046428.1|CGC29</t>
  </si>
  <si>
    <t>CAZyme-CAZyme;TC-TC;CAZyme-CAZyme;CAZyme-CAZyme;CAZyme-CAZyme;TC-TC;null-TC;STP-TC;null-CAZyme</t>
  </si>
  <si>
    <t>CP046428.1_3230</t>
  </si>
  <si>
    <t>GCA_013010365.1_CGC63</t>
  </si>
  <si>
    <t>STP|ATPase_2; null; TC|1.B.38.1.10; TC|1.B.14.6.17; CAZyme|GH16_3; STP|Y_Y_Y+STP|HTH_18</t>
  </si>
  <si>
    <t>CP046428.1|CGC63</t>
  </si>
  <si>
    <t>GCA_013127315.1</t>
  </si>
  <si>
    <t>CP053419.1</t>
  </si>
  <si>
    <t>CP053419.1_3573</t>
  </si>
  <si>
    <t>GCA_013127315.1.overview.tsv</t>
  </si>
  <si>
    <t>GCA_013127315.1_CGC62</t>
  </si>
  <si>
    <t>TC|2.A.5.5.6; null; TC|2.A.3.1.12; TC|2.A.40.3.1; Peptidase|M38.UNW; TC|2.A.37.4.2; CAZyme|GH16_3|CBM13_e183; STP|TetR_N</t>
  </si>
  <si>
    <t>GCA_013267595.1</t>
  </si>
  <si>
    <t>CP054011.1</t>
  </si>
  <si>
    <t>CP054011.1_1341</t>
  </si>
  <si>
    <t>GCA_013267595.1.overview.tsv</t>
  </si>
  <si>
    <t>GCA_013267595.1_CGC43</t>
  </si>
  <si>
    <t>STP|LytTR; null; null; CAZyme|GH16_3; CAZyme|CE4_e267; CAZyme|GT2+TC|4.D.1.1.14; null; CAZyme|GT4_e2089; null; CAZyme|GT32_e169; CAZyme|GT2+TC|4.D.1.3.2; CAZyme|GT2</t>
  </si>
  <si>
    <t>CP054011.1|CGC43</t>
  </si>
  <si>
    <t>GCA_013267615.1</t>
  </si>
  <si>
    <t>CP054012.1</t>
  </si>
  <si>
    <t>CP054012.1_3483</t>
  </si>
  <si>
    <t>GCA_013267615.1.overview.tsv</t>
  </si>
  <si>
    <t>GCA_013267615.1_CGC90</t>
  </si>
  <si>
    <t>CGC90</t>
  </si>
  <si>
    <t>CAZyme|GH16_3+Sulfatase|S1_19; STP|Y_Y_Y; TC|1.B.14.6.17; TC|1.B.38.1.10; CAZyme|GH144_e1; CAZyme|GH43_28|CBM32_e176; CAZyme|GH144_e1; CAZyme|GH3_e1+Sulfatase|S1_7; CAZyme|GH3_e1+Sulfatase|S1_7; CAZyme|GH43_28|CBM32_e188</t>
  </si>
  <si>
    <t>CP054012.1|CGC90</t>
  </si>
  <si>
    <t>STP-TF;TC-TC;TC-null;TC-TC;CAZyme-CAZyme;CAZyme-CAZyme;CAZyme-CAZyme;CAZyme-CAZyme;CAZyme-CAZyme;CAZyme-CAZyme</t>
  </si>
  <si>
    <t>GCA_013333605.2</t>
  </si>
  <si>
    <t>HMT-874</t>
  </si>
  <si>
    <t>Absconditicoccaceae_[G1]</t>
  </si>
  <si>
    <t>JABCOM020000035.1</t>
  </si>
  <si>
    <t>JABCOM020000035.1_21</t>
  </si>
  <si>
    <t>GH16_3(78-307)</t>
  </si>
  <si>
    <t>GH16_e321(80-308)</t>
  </si>
  <si>
    <t>GCA_013333605.2.overview.tsv</t>
  </si>
  <si>
    <t>GCA_013333605.2_CGC2</t>
  </si>
  <si>
    <t>TC|3.A.9.1.1; TC|1.A.33.1.2; null; CAZyme|GH16_3</t>
  </si>
  <si>
    <t>GCA_013333645.2</t>
  </si>
  <si>
    <t>HMT-394</t>
  </si>
  <si>
    <t>Saccharimonas_sp.</t>
  </si>
  <si>
    <t>JABCOK020000001.1</t>
  </si>
  <si>
    <t>JABCOK020000001.1_35</t>
  </si>
  <si>
    <t>GH16_3(64-358)</t>
  </si>
  <si>
    <t>GH16_e25(77-357)</t>
  </si>
  <si>
    <t>GCA_013333645.2.overview.tsv</t>
  </si>
  <si>
    <t>GCA_013333645.2_CGC3</t>
  </si>
  <si>
    <t>STP|NUDIX; STP|Pribosyltran; null; null; CAZyme|GH16_3</t>
  </si>
  <si>
    <t>JABCOK020000016.1</t>
  </si>
  <si>
    <t>JABCOK020000016.1_84</t>
  </si>
  <si>
    <t>GH16_3(45-323)</t>
  </si>
  <si>
    <t>GH16_e25(47-322)</t>
  </si>
  <si>
    <t>JABCOK020000017.1</t>
  </si>
  <si>
    <t>JABCOK020000017.1_24</t>
  </si>
  <si>
    <t>GH16_3(53-307)</t>
  </si>
  <si>
    <t>GH16_e193(55-308)</t>
  </si>
  <si>
    <t>GCA_013333705.2</t>
  </si>
  <si>
    <t>JABCOI020000012.1</t>
  </si>
  <si>
    <t>JABCOI020000012.1_5</t>
  </si>
  <si>
    <t>GH16_3(48-275)</t>
  </si>
  <si>
    <t>GH16_e321(49-276)</t>
  </si>
  <si>
    <t>GCA_013333705.2.overview.tsv</t>
  </si>
  <si>
    <t>GCA_013333705.2_CGC4</t>
  </si>
  <si>
    <t>STP|Pribosyltran; null; CAZyme|GH16_3+Sulfatase|S1_19; TC|8.A.46.3.4</t>
  </si>
  <si>
    <t>GCA_013333735.2</t>
  </si>
  <si>
    <t>HMT-194</t>
  </si>
  <si>
    <t>Arachnia_rubra</t>
  </si>
  <si>
    <t>JABCOF020000067.1</t>
  </si>
  <si>
    <t>JABCOF020000067.1_15</t>
  </si>
  <si>
    <t>GH16_3(245-506)</t>
  </si>
  <si>
    <t>GH16_e341(247-507)</t>
  </si>
  <si>
    <t>GCA_013333735.2.overview.tsv</t>
  </si>
  <si>
    <t>GCA_013333765.2</t>
  </si>
  <si>
    <t>JABCOG020000031.1</t>
  </si>
  <si>
    <t>JABCOG020000031.1_3</t>
  </si>
  <si>
    <t>GCA_013333765.2.overview.tsv</t>
  </si>
  <si>
    <t>JABCOG020000079.1</t>
  </si>
  <si>
    <t>JABCOG020000079.1_3</t>
  </si>
  <si>
    <t>JABCOG020000121.1</t>
  </si>
  <si>
    <t>JABCOG020000121.1_3</t>
  </si>
  <si>
    <t>GH16_3(2-190)</t>
  </si>
  <si>
    <t>GH16_e25(8-189)</t>
  </si>
  <si>
    <t>GCA_013333915.2</t>
  </si>
  <si>
    <t>JABCNX020000014.1</t>
  </si>
  <si>
    <t>JABCNX020000014.1_25</t>
  </si>
  <si>
    <t>GCA_013333915.2.overview.tsv</t>
  </si>
  <si>
    <t>GCA_013333915.2_CGC1</t>
  </si>
  <si>
    <t>CAZyme|GH16_3; null; TC|1.A.33.1.2; TC|3.A.9.1.1</t>
  </si>
  <si>
    <t>GCA_013394715.1</t>
  </si>
  <si>
    <t>CP058259.1</t>
  </si>
  <si>
    <t>CP058259.1_421</t>
  </si>
  <si>
    <t>GCA_013394715.1.overview.tsv</t>
  </si>
  <si>
    <t>GCA_013394715.1_CGC9</t>
  </si>
  <si>
    <t>STP|HTH_3; null; TC|2.A.36.3.3; CAZyme|GH16_3; STP|HTH_3; null; null; CAZyme|GH33_e129; Peptidase|S33.UPW; STP|Aminotran_1_2</t>
  </si>
  <si>
    <t>GCA_013394735.1</t>
  </si>
  <si>
    <t>CP058261.1</t>
  </si>
  <si>
    <t>CP058261.1_1509</t>
  </si>
  <si>
    <t>GCA_013394735.1.overview.tsv</t>
  </si>
  <si>
    <t>GCA_013394735.1_CGC34</t>
  </si>
  <si>
    <t>STP|Y_Y_Y+STP|GerE; TC|1.B.14.6.17; TC|1.B.38.1.10; CAZyme|CBM102; CAZyme|CBM103|GH16_3+Sulfatase|S1_19; CAZyme|GH3_e1+Sulfatase|S1_7; null; TC|2.A.53.3.8; TC|1.B.14.6.1; TC|1.B.14.6.17; TC|8.A.46.3.4</t>
  </si>
  <si>
    <t>CP058261.1|CGC34</t>
  </si>
  <si>
    <t>STP-TF;TC-TC;TC-TC;CAZyme-CAZyme;CAZyme-CAZyme;CAZyme-CAZyme;CAZyme-CAZyme</t>
  </si>
  <si>
    <t>CP058261.1_832</t>
  </si>
  <si>
    <t>GCA_013394735.1_CGC20</t>
  </si>
  <si>
    <t>TC|2.A.1.2.7; null; CAZyme|GH16_3</t>
  </si>
  <si>
    <t>CP058261.1_860</t>
  </si>
  <si>
    <t>GCA_013394735.1_CGC21</t>
  </si>
  <si>
    <t>GCA_013394785.1</t>
  </si>
  <si>
    <t>JABXYW010000002.1</t>
  </si>
  <si>
    <t>JABXYW010000002.1_1030</t>
  </si>
  <si>
    <t>GCA_013394785.1.overview.tsv</t>
  </si>
  <si>
    <t>GCA_013394785.1_CGC27</t>
  </si>
  <si>
    <t>CAZyme|GT51_e154; CAZyme|GT51_e154; null; TC|1.B.14.6.17; TC|8.A.46.1.3; null; Peptidase|S09.UPW; CAZyme|GH144_e1; STP|Y_Y_Y+STP|GerE; TC|1.B.14.6.17; TC|1.B.38.1.10; CAZyme|CBM102; CAZyme|CBM103|GH16_3+Sulfatase|S1_19; CAZyme|GH3_e1+Sulfatase|S1_7; null; TC|2.A.53.3.8; TC|1.B.14.6.17; TC|8.A.46.3.4</t>
  </si>
  <si>
    <t>JABXYW010000002.1|CGC27</t>
  </si>
  <si>
    <t>JABXYW010000002.1_538</t>
  </si>
  <si>
    <t>GCA_013394785.1_CGC16</t>
  </si>
  <si>
    <t>TC|8.A.1.3.4; null; null; TC|3.A.1.10.3; null; null; TC|2.A.1.2.7; null; CAZyme|GH16_3</t>
  </si>
  <si>
    <t>JABXYW010000002.1_562</t>
  </si>
  <si>
    <t>GH16_3(3-196)</t>
  </si>
  <si>
    <t>GH16_e321(1-197)</t>
  </si>
  <si>
    <t>GCA_013394785.1_CGC17</t>
  </si>
  <si>
    <t>GCA_013394795.1</t>
  </si>
  <si>
    <t>HMT-223</t>
  </si>
  <si>
    <t>JABXYU010000001.1</t>
  </si>
  <si>
    <t>JABXYU010000001.1_1156</t>
  </si>
  <si>
    <t>GCA_013394795.1.overview.tsv</t>
  </si>
  <si>
    <t>GCA_013394795.1_CGC12</t>
  </si>
  <si>
    <t>CAZyme|CBM48_e52|GH13_20+TC|8.A.9.1.3; Peptidase|M18.UPW; null; CAZyme|CE9_e0+Peptidase|M38.UNW; Sulfatase|S1_9; TC|9.B.18.2.4; null; CAZyme|GH16_3+Sulfatase|S1_19; CAZyme|GT2; null; STP|Pyr_redox_2; null; STP|AraC_binding; TC|3.A.23.6.1</t>
  </si>
  <si>
    <t>JABXYU010000001.1|CGC12</t>
  </si>
  <si>
    <t>PUL0591</t>
  </si>
  <si>
    <t>glycosaminoglycan</t>
  </si>
  <si>
    <t>CAZyme-CAZyme;Sulfatase-SULFATLAS</t>
  </si>
  <si>
    <t>GCA_013394865.1</t>
  </si>
  <si>
    <t>JABXYV010000001.1</t>
  </si>
  <si>
    <t>JABXYV010000001.1_2150</t>
  </si>
  <si>
    <t>GCA_013394865.1.overview.tsv</t>
  </si>
  <si>
    <t>GCA_014131755.1</t>
  </si>
  <si>
    <t>CP040530.1</t>
  </si>
  <si>
    <t>CP040530.1_1571</t>
  </si>
  <si>
    <t>GCA_014131755.1.overview.tsv</t>
  </si>
  <si>
    <t>GCA_014131755.1_CGC44</t>
  </si>
  <si>
    <t>CAZyme|GH35_e43|CBM32_e42+Sulfatase|S1_20; CAZyme|GH43_19; CAZyme|GH43_9|CBM91_e36|GH43_19; CAZyme|GH51_2; CAZyme|GH31_4; STP|Y_Y_Y+STP|HTH_18; CAZyme|GH97_e18; CAZyme|GH43_34|CBM32_e40; null; null; CAZyme|GH43_10|CBM91_e38+Sulfatase|S1_7; CAZyme|GH97_e16+Sulfatase|S1_8; CAZyme|GH29_e82+Sulfatase|S1_14; null; STP|HTH_18; null; TC|1.B.14.6.17; null; null; TC|2.C.1.4.1; CAZyme|GH127_e4+Sulfatase|S1_7; CAZyme|GH43_34; null; CAZyme|GH154_e20; STP|Y_Y_Y+STP|HisKA+STP|HATPase_c+STP|Response_reg+STP|HTH_18; null; TC|1.B.14.6.17; TC|8.A.46.1.3; null; CAZyme|GH16_3|GH43_24+Sulfatase|S1_19; CAZyme|GH43_24+Sulfatase|S1_6; CAZyme|PL42_e0; CAZyme|GH105_e39; null; null; TC|2.A.122.1.1; TC|1.E.14.1.13; null; null; CAZyme|GT2+TC|4.D.3.1.3</t>
  </si>
  <si>
    <t>CP040530.1|CGC44</t>
  </si>
  <si>
    <t>TC-TC;null-TC;CAZyme-CAZyme;CAZyme-CAZyme;null-null;CAZyme-CAZyme;STP-TC;null-null;TC-TC;TC-TC;null-null;CAZyme-CAZyme;CAZyme-CAZyme;CAZyme-CAZyme;CAZyme-CAZyme;CAZyme-CAZyme;CAZyme-CAZyme;null-null</t>
  </si>
  <si>
    <t>CP040530.1_408</t>
  </si>
  <si>
    <t>CP040530.1_4213</t>
  </si>
  <si>
    <t>CP040530.1_689</t>
  </si>
  <si>
    <t>GCA_014131755.1_CGC12</t>
  </si>
  <si>
    <t>CAZyme|GH16_3+Sulfatase|S1_19; CAZyme|GH18_e33; STP|Reg_prop+STP|Y_Y_Y+STP|HisKA+STP|HATPase_c+STP|Response_reg+STP|HTH_18</t>
  </si>
  <si>
    <t>CP040530.1|CGC12</t>
  </si>
  <si>
    <t>CAZyme-CAZyme;CAZyme-CAZyme;STP-TF</t>
  </si>
  <si>
    <t>GCA_014195585.1</t>
  </si>
  <si>
    <t>JACICA010000001.1</t>
  </si>
  <si>
    <t>JACICA010000001.1_232</t>
  </si>
  <si>
    <t>GCA_014195585.1.overview.tsv</t>
  </si>
  <si>
    <t>GCA_014195585.1_CGC6</t>
  </si>
  <si>
    <t>STP|PadR; null; TC|2.A.114.1.4; null; null; TC|3.A.29.1.1; null; null; CAZyme|GH16_3; CAZyme|GH29_e30|CBM32_e126+Sulfatase|S1_14</t>
  </si>
  <si>
    <t>GCA_014195675.1</t>
  </si>
  <si>
    <t>JACICE010000002.1</t>
  </si>
  <si>
    <t>JACICE010000002.1_234</t>
  </si>
  <si>
    <t>GCA_014195675.1.overview.tsv</t>
  </si>
  <si>
    <t>GCA_014195675.1_CGC15</t>
  </si>
  <si>
    <t>TC|1.B.14.12.2; CAZyme|GH16_3+Sulfatase|S1_19; prodoric|CCPA_PRIMG; TC|2.A.1.2.93; CAZyme|GH3_e227+Sulfatase|S1_7</t>
  </si>
  <si>
    <t>JACICE010000002.1|CGC15</t>
  </si>
  <si>
    <t>GCA_014196225.1</t>
  </si>
  <si>
    <t>JACIDI010000001.1</t>
  </si>
  <si>
    <t>JACIDI010000001.1_190</t>
  </si>
  <si>
    <t>GCA_014196225.1.overview.tsv</t>
  </si>
  <si>
    <t>GCA_014196225.1_CGC4</t>
  </si>
  <si>
    <t>TC|3.A.1.120.8; null; null; STP|Aminotran_1_2; null; CAZyme|GT2+TC|4.D.1.1.15; TC|2.A.86.1.11</t>
  </si>
  <si>
    <t>JACIDI010000002.1</t>
  </si>
  <si>
    <t>JACIDI010000002.1_131</t>
  </si>
  <si>
    <t>GCA_014196225.1_CGC9</t>
  </si>
  <si>
    <t>JACIDI010000002.1|CGC9</t>
  </si>
  <si>
    <t>JACIDI010000007.1</t>
  </si>
  <si>
    <t>JACIDI010000007.1_109</t>
  </si>
  <si>
    <t>GCA_014196225.1_CGC28</t>
  </si>
  <si>
    <t>GCA_014287575.1</t>
  </si>
  <si>
    <t>JACOOG010000001.1</t>
  </si>
  <si>
    <t>JACOOG010000001.1_1864</t>
  </si>
  <si>
    <t>GCA_014287575.1.overview.tsv</t>
  </si>
  <si>
    <t>GCA_014287575.1_CGC52</t>
  </si>
  <si>
    <t>TC|2.A.7.34.3; null; TC|2.A.107.1.2; null; null; CAZyme|GT2+TC|4.D.1.1.13; null; STP|Y_Y_Y; TC|1.B.14.6.17; null; null; CAZyme|GH16_3; CAZyme|GH158_e5; CAZyme|GH3_e1+Sulfatase|S1_7; null; TC|1.A.43.1.1; CAZyme|GH97_e22; null; STP|HTH_18</t>
  </si>
  <si>
    <t>JACOOG010000001.1|CGC52</t>
  </si>
  <si>
    <t>TC-TC;null-null;TC-TC;null-null;null-null;CAZyme-CAZyme;null-null;STP-TF;TC-TC;null-null;CAZyme-CAZyme;CAZyme-CAZyme;CAZyme-CAZyme;null-null;TC-TC;CAZyme-CAZyme;null-STP;STP-TF</t>
  </si>
  <si>
    <t>JACOOG010000001.1_1914</t>
  </si>
  <si>
    <t>GCA_014338545.1</t>
  </si>
  <si>
    <t>CP031128.1</t>
  </si>
  <si>
    <t>CP031128.1_4455</t>
  </si>
  <si>
    <t>GCA_014338545.1.overview.tsv</t>
  </si>
  <si>
    <t>GCA_014653575.1</t>
  </si>
  <si>
    <t>BNAQ01000006.1</t>
  </si>
  <si>
    <t>BNAQ01000006.1_111</t>
  </si>
  <si>
    <t>GCA_014653575.1.overview.tsv</t>
  </si>
  <si>
    <t>GCA_014653575.1_CGC58</t>
  </si>
  <si>
    <t>TC|1.B.14.12.2; CAZyme|GH3_e92+Sulfatase|S1_15; null; CAZyme|GH16_3</t>
  </si>
  <si>
    <t>BNAQ01000006.1|CGC58</t>
  </si>
  <si>
    <t>GCA_014883915.1</t>
  </si>
  <si>
    <t>CP062789.1</t>
  </si>
  <si>
    <t>CP062789.1_243</t>
  </si>
  <si>
    <t>GCA_014883915.1.overview.tsv</t>
  </si>
  <si>
    <t>GCA_014883915.1_CGC3</t>
  </si>
  <si>
    <t>CAZyme|GT2; null; TC|9.B.97.5.4; CAZyme|GT4_e722; CAZyme|GT2; null; null; STP|CBS; null; STP|HTH_7</t>
  </si>
  <si>
    <t>GCA_015257495.1</t>
  </si>
  <si>
    <t>JABZKA010000003.1</t>
  </si>
  <si>
    <t>JABZKA010000003.1_158</t>
  </si>
  <si>
    <t>GCA_015257495.1.overview.tsv</t>
  </si>
  <si>
    <t>GCA_015257495.1_CGC10</t>
  </si>
  <si>
    <t>CAZyme|GH16_3; CAZyme|GH16_3+Sulfatase|S1_19; null; CAZyme|GT2|GT83_e5+TC|9.B.142.2.5</t>
  </si>
  <si>
    <t>JABZKA010000003.1|CGC10</t>
  </si>
  <si>
    <t>JABZKA010000003.1_159</t>
  </si>
  <si>
    <t>GH16_3(58-320)</t>
  </si>
  <si>
    <t>GH16_e218(60-321)</t>
  </si>
  <si>
    <t>GCA_015257665.1</t>
  </si>
  <si>
    <t>JABZJS010000001.1</t>
  </si>
  <si>
    <t>JABZJS010000001.1_81</t>
  </si>
  <si>
    <t>GH16_3(36-331)</t>
  </si>
  <si>
    <t>GH16_e25(48-330)</t>
  </si>
  <si>
    <t>GCA_015257665.1.overview.tsv</t>
  </si>
  <si>
    <t>GCA_015257665.1_CGC1</t>
  </si>
  <si>
    <t>CAZyme|GH16_3; null; null; STP|Pribosyltran; STP|NUDIX</t>
  </si>
  <si>
    <t>JABZJS010000005.1</t>
  </si>
  <si>
    <t>JABZJS010000005.1_22</t>
  </si>
  <si>
    <t>JABZJS010000022.1</t>
  </si>
  <si>
    <t>JABZJS010000022.1_2</t>
  </si>
  <si>
    <t>GH16_3(44-323)</t>
  </si>
  <si>
    <t>JABZJS010000025.1</t>
  </si>
  <si>
    <t>JABZJS010000025.1_5</t>
  </si>
  <si>
    <t>GH16_3(37-331)</t>
  </si>
  <si>
    <t>GH16_e25(49-330)</t>
  </si>
  <si>
    <t>GCA_015257665.1_CGC14</t>
  </si>
  <si>
    <t>STP|HTH_11; null; null; CAZyme|GH16_3</t>
  </si>
  <si>
    <t>GCA_015257785.3</t>
  </si>
  <si>
    <t>HMT-399</t>
  </si>
  <si>
    <t>Nanogingivalis_sp.</t>
  </si>
  <si>
    <t>CP076102.2</t>
  </si>
  <si>
    <t>CP076102.2_294</t>
  </si>
  <si>
    <t>GCA_015257785.3.overview.tsv</t>
  </si>
  <si>
    <t>GCA_015257795.3</t>
  </si>
  <si>
    <t>CP072208.2</t>
  </si>
  <si>
    <t>CP072208.2_293</t>
  </si>
  <si>
    <t>GCA_015257795.3.overview.tsv</t>
  </si>
  <si>
    <t>GCA_015257815.1</t>
  </si>
  <si>
    <t>JABZJL010000006.1</t>
  </si>
  <si>
    <t>JABZJL010000006.1_10</t>
  </si>
  <si>
    <t>GCA_015257815.1.overview.tsv</t>
  </si>
  <si>
    <t>GCA_015259385.1</t>
  </si>
  <si>
    <t>JABZGJ010000083.1</t>
  </si>
  <si>
    <t>JABZGJ010000083.1_3</t>
  </si>
  <si>
    <t>GCA_015259385.1.overview.tsv</t>
  </si>
  <si>
    <t>GCA_015259385.1_CGC21</t>
  </si>
  <si>
    <t>GCA_015259405.1</t>
  </si>
  <si>
    <t>JABZGH010000001.1</t>
  </si>
  <si>
    <t>JABZGH010000001.1_48</t>
  </si>
  <si>
    <t>GCA_015259405.1.overview.tsv</t>
  </si>
  <si>
    <t>GCA_015259405.1_CGC3</t>
  </si>
  <si>
    <t>GCA_015259495.1</t>
  </si>
  <si>
    <t>JABZGB010000026.1</t>
  </si>
  <si>
    <t>JABZGB010000026.1_1</t>
  </si>
  <si>
    <t>GCA_015259495.1.overview.tsv</t>
  </si>
  <si>
    <t>GCA_015259495.1_CGC16</t>
  </si>
  <si>
    <t>CAZyme|GH16_3; null; TC|3.A.1.122.20; TC|3.A.1.122.20</t>
  </si>
  <si>
    <t>GCA_015259835.1</t>
  </si>
  <si>
    <t>HMT-681</t>
  </si>
  <si>
    <t>Rothia_mucilaginosa</t>
  </si>
  <si>
    <t>JABZXR010000050.1</t>
  </si>
  <si>
    <t>JABZXR010000050.1_16</t>
  </si>
  <si>
    <t>GH16_3(47-324)</t>
  </si>
  <si>
    <t>GH16_e168(48-325)</t>
  </si>
  <si>
    <t>GCA_015259835.1.overview.tsv</t>
  </si>
  <si>
    <t>GCA_015260265.1</t>
  </si>
  <si>
    <t>JABZWZ010000007.1</t>
  </si>
  <si>
    <t>JABZWZ010000007.1_11</t>
  </si>
  <si>
    <t>GCA_015260265.1.overview.tsv</t>
  </si>
  <si>
    <t>GCA_015260265.1_CGC16</t>
  </si>
  <si>
    <t>TC|3.A.1.132.1; null; STP|LytTR; null; null; CAZyme|GH16_3</t>
  </si>
  <si>
    <t>GCA_015260355.1</t>
  </si>
  <si>
    <t>JABZWU010000008.1</t>
  </si>
  <si>
    <t>JABZWU010000008.1_31</t>
  </si>
  <si>
    <t>GCA_015260355.1.overview.tsv</t>
  </si>
  <si>
    <t>GCA_015260355.1_CGC10</t>
  </si>
  <si>
    <t>STP|LytTR; null; null; CAZyme|GH16_3</t>
  </si>
  <si>
    <t>GCA_015260375.1</t>
  </si>
  <si>
    <t>JABZWV010000007.1</t>
  </si>
  <si>
    <t>JABZWV010000007.1_6</t>
  </si>
  <si>
    <t>GCA_015260375.1.overview.tsv</t>
  </si>
  <si>
    <t>GCA_015260375.1_CGC13</t>
  </si>
  <si>
    <t>JABZWV010000007.1|CGC13</t>
  </si>
  <si>
    <t>GCA_015260395.1</t>
  </si>
  <si>
    <t>JABZWT010000004.1</t>
  </si>
  <si>
    <t>JABZWT010000004.1_35</t>
  </si>
  <si>
    <t>GCA_015260395.1.overview.tsv</t>
  </si>
  <si>
    <t>GCA_015260395.1_CGC7</t>
  </si>
  <si>
    <t>STP|Sigma70_r2+STP|Sigma70_r4_2; null; STP|LytTR; null; null; CAZyme|GH16_3</t>
  </si>
  <si>
    <t>GCA_015260405.1</t>
  </si>
  <si>
    <t>JABZWS010000070.1</t>
  </si>
  <si>
    <t>JABZWS010000070.1_3</t>
  </si>
  <si>
    <t>GCA_015260405.1.overview.tsv</t>
  </si>
  <si>
    <t>GCA_015260455.1</t>
  </si>
  <si>
    <t>JABZWR010000010.1</t>
  </si>
  <si>
    <t>JABZWR010000010.1_44</t>
  </si>
  <si>
    <t>GCA_015260455.1.overview.tsv</t>
  </si>
  <si>
    <t>GCA_015260455.1_CGC24</t>
  </si>
  <si>
    <t>JABZWR010000010.1|CGC24</t>
  </si>
  <si>
    <t>GCA_015260465.1</t>
  </si>
  <si>
    <t>JABZWP010000004.1</t>
  </si>
  <si>
    <t>JABZWP010000004.1_115</t>
  </si>
  <si>
    <t>GCA_015260465.1.overview.tsv</t>
  </si>
  <si>
    <t>GCA_015260465.1_CGC15</t>
  </si>
  <si>
    <t>TC|3.A.1.106.2; null; CAZyme|GT11_e30; null; CAZyme|GT2+TC|4.D.1.3.2; CAZyme|GT2; CAZyme|GT32_e169; null; CAZyme|GT4_e2089; null; CAZyme|GT2+TC|4.D.1.1.14; null; CAZyme|GH16_3</t>
  </si>
  <si>
    <t>JABZWP010000004.1|CGC15</t>
  </si>
  <si>
    <t>GCA_015260495.1</t>
  </si>
  <si>
    <t>JABZWL010000006.1</t>
  </si>
  <si>
    <t>JABZWL010000006.1_35</t>
  </si>
  <si>
    <t>GCA_015260495.1.overview.tsv</t>
  </si>
  <si>
    <t>GCA_015260495.1_CGC19</t>
  </si>
  <si>
    <t>STP|LytTR; null; null; CAZyme|GH16_3; null; null; CAZyme|GT2+TC|4.D.1.1.14; null; CAZyme|GT4_e2089; null; CAZyme|GT32_e169; CAZyme|GT2; CAZyme|GT2+TC|4.D.1.3.2; null; CAZyme|GT11_e30; null; TC|3.A.1.106.2</t>
  </si>
  <si>
    <t>JABZWL010000006.1|CGC19</t>
  </si>
  <si>
    <t>GCA_015260605.1</t>
  </si>
  <si>
    <t>JABZWH010000010.1</t>
  </si>
  <si>
    <t>JABZWH010000010.1_30</t>
  </si>
  <si>
    <t>GCA_015260605.1.overview.tsv</t>
  </si>
  <si>
    <t>GCA_015260605.1_CGC19</t>
  </si>
  <si>
    <t>JABZWH010000010.1|CGC19</t>
  </si>
  <si>
    <t>GCA_015262355.1</t>
  </si>
  <si>
    <t>JABZSY010000004.1</t>
  </si>
  <si>
    <t>JABZSY010000004.1_58</t>
  </si>
  <si>
    <t>GCA_015262355.1.overview.tsv</t>
  </si>
  <si>
    <t>GCA_015262355.1_CGC13</t>
  </si>
  <si>
    <t>TC|3.A.1.106.1; TC|2.A.127.1.11; null; CAZyme|GT11_e30; CAZyme|GT2+TC|4.D.1.3.2; CAZyme|GT2; CAZyme|GT32_e169; null; CAZyme|GT4_e2089; null; CAZyme|GT2+TC|4.D.1.1.14; null; null; CAZyme|GH16_3</t>
  </si>
  <si>
    <t>GCA_015262365.1</t>
  </si>
  <si>
    <t>JABZSZ010000090.1</t>
  </si>
  <si>
    <t>JABZSZ010000090.1_4</t>
  </si>
  <si>
    <t>GCA_015262365.1.overview.tsv</t>
  </si>
  <si>
    <t>GCA_015262395.1</t>
  </si>
  <si>
    <t>JABZSX010000003.1</t>
  </si>
  <si>
    <t>JABZSX010000003.1_82</t>
  </si>
  <si>
    <t>GCA_015262395.1.overview.tsv</t>
  </si>
  <si>
    <t>GCA_015262395.1_CGC17</t>
  </si>
  <si>
    <t>GCA_015262435.1</t>
  </si>
  <si>
    <t>JABZSV010000019.1</t>
  </si>
  <si>
    <t>JABZSV010000019.1_18</t>
  </si>
  <si>
    <t>GCA_015262435.1.overview.tsv</t>
  </si>
  <si>
    <t>GCA_015262435.1_CGC46</t>
  </si>
  <si>
    <t>CAZyme|GH16_3; null; null; CAZyme|GT2+TC|4.D.1.1.14; null; CAZyme|GT4_e2089; null; CAZyme|GT32_e169; CAZyme|GT2; CAZyme|GT2+TC|4.D.1.3.2; CAZyme|GT11_e30; null; TC|2.A.127.1.11; TC|3.A.1.106.1</t>
  </si>
  <si>
    <t>GCA_015262445.1</t>
  </si>
  <si>
    <t>JABZST010000031.1</t>
  </si>
  <si>
    <t>JABZST010000031.1_7</t>
  </si>
  <si>
    <t>GCA_015262445.1.overview.tsv</t>
  </si>
  <si>
    <t>GCA_015262505.1</t>
  </si>
  <si>
    <t>JABZSR010000010.1</t>
  </si>
  <si>
    <t>JABZSR010000010.1_39</t>
  </si>
  <si>
    <t>GCA_015262505.1.overview.tsv</t>
  </si>
  <si>
    <t>JABZSR010000081.1</t>
  </si>
  <si>
    <t>JABZSR010000081.1_1</t>
  </si>
  <si>
    <t>GCA_015262545.1</t>
  </si>
  <si>
    <t>JABZSO010000009.1</t>
  </si>
  <si>
    <t>JABZSO010000009.1_61</t>
  </si>
  <si>
    <t>GCA_015262545.1.overview.tsv</t>
  </si>
  <si>
    <t>GCA_015262625.1</t>
  </si>
  <si>
    <t>JABZSL010000001.1</t>
  </si>
  <si>
    <t>JABZSL010000001.1_230</t>
  </si>
  <si>
    <t>GCA_015262625.1.overview.tsv</t>
  </si>
  <si>
    <t>GCA_015262675.1</t>
  </si>
  <si>
    <t>JABZSK010000002.1</t>
  </si>
  <si>
    <t>JABZSK010000002.1_42</t>
  </si>
  <si>
    <t>GCA_015262675.1.overview.tsv</t>
  </si>
  <si>
    <t>GCA_015262675.1_CGC7</t>
  </si>
  <si>
    <t>GCA_015327065.1</t>
  </si>
  <si>
    <t>CP017660.1</t>
  </si>
  <si>
    <t>CP017660.1_3279</t>
  </si>
  <si>
    <t>GH16_3(59-290)+CBM13(316-437)</t>
  </si>
  <si>
    <t>GH16_e103(60-290)+CBM13_e183(316-438)</t>
  </si>
  <si>
    <t>GCA_015327065.1.overview.tsv</t>
  </si>
  <si>
    <t>GCA_015327065.1_CGC56</t>
  </si>
  <si>
    <t>TC|2.A.5.5.6; null; TC|2.A.3.1.12; TC|2.A.40.3.1; null; Peptidase|M38.UNW; TC|2.A.37.4.2; CAZyme|GH16_3|CBM13_e183; STP|TetR_N; Peptidase|S33.UPW; null; TC|2.A.1.2.93; CAZyme|GH3_e99+Sulfatase|S1_7; STP|TetR_N; null; null; STP|TetR_N; null; null; TC|2.A.114.1.1</t>
  </si>
  <si>
    <t>CP017660.1|CGC56</t>
  </si>
  <si>
    <t>GCA_015548615.1</t>
  </si>
  <si>
    <t>JADMXI010000044.1</t>
  </si>
  <si>
    <t>JADMXI010000044.1_14</t>
  </si>
  <si>
    <t>GCA_015548615.1.overview.tsv</t>
  </si>
  <si>
    <t>GCA_015548615.1_CGC37</t>
  </si>
  <si>
    <t>CAZyme|GH20_e51+Sulfatase|S1_16; CAZyme|GH16_3; CAZyme|GH29_e30|CBM32_e126+Sulfatase|S1_14; TC|3.D.10.1.5; null; TC|3.D.10.1.5</t>
  </si>
  <si>
    <t>JADMXI010000044.1|CGC37</t>
  </si>
  <si>
    <t>GCA_015557515.1</t>
  </si>
  <si>
    <t>JADNON010000004.1</t>
  </si>
  <si>
    <t>JADNON010000004.1_244</t>
  </si>
  <si>
    <t>GH16_3(37-281)</t>
  </si>
  <si>
    <t>GH16_e336(39-282)</t>
  </si>
  <si>
    <t>CBM4+GH16_3</t>
  </si>
  <si>
    <t>GCA_015557515.1.overview.tsv</t>
  </si>
  <si>
    <t>GCA_015557515.1_CGC24</t>
  </si>
  <si>
    <t>TC|2.A.38.1.1; TC|2.A.38.1.1; null; null; TC|9.B.325.1.7; TC|3.A.1.211.25; null; TC|3.A.1.1.57; TC|3.A.1.1.57; null; STP|HTH_18; CAZyme|GH94_e3; CAZyme|GH94_e8; CAZyme|GH16_3; STP|AraC_binding+STP|HTH_18; CAZyme|GH3_e165+Sulfatase|S1_15</t>
  </si>
  <si>
    <t>JADNON010000004.1|CGC24</t>
  </si>
  <si>
    <t>PUL0017</t>
  </si>
  <si>
    <t>cellobiose</t>
  </si>
  <si>
    <t>TC-TC;CAZyme-CAZyme;STP-TF</t>
  </si>
  <si>
    <t>GCA_015560925.1</t>
  </si>
  <si>
    <t>JADMST010000005.1</t>
  </si>
  <si>
    <t>JADMST010000005.1_34</t>
  </si>
  <si>
    <t>GCA_015560925.1.overview.tsv</t>
  </si>
  <si>
    <t>GCA_015560925.1_CGC27</t>
  </si>
  <si>
    <t>GCA_015679285.1</t>
  </si>
  <si>
    <t>CP064937.1</t>
  </si>
  <si>
    <t>CP064937.1_1956</t>
  </si>
  <si>
    <t>GH16_3(239-474)</t>
  </si>
  <si>
    <t>GH16_e240(240-475)</t>
  </si>
  <si>
    <t>GCA_015679285.1.overview.tsv</t>
  </si>
  <si>
    <t>GCA_015679285.1_CGC52</t>
  </si>
  <si>
    <t>TC|2.A.7.34.3; null; TC|2.A.107.1.2; null; null; CAZyme|GT2+TC|4.D.1.1.13; null; STP|Y_Y_Y; TC|1.B.14.6.17; null; null; CAZyme|GH16_3+Sulfatase|S1_19; CAZyme|GH158_e5; CAZyme|GH3_e1+Sulfatase|S1_7; null; TC|1.A.43.1.1; CAZyme|GH97_e22; STP|Fer4; STP|HTH_18</t>
  </si>
  <si>
    <t>CP064937.1|CGC52</t>
  </si>
  <si>
    <t>TC-TC;null-null;TC-TC;null-null;null-null;CAZyme-CAZyme;null-null;STP-TF;TC-TC;null-null;CAZyme-CAZyme;CAZyme-CAZyme;CAZyme-CAZyme;null-null;TC-TC;CAZyme-CAZyme;STP-STP;STP-TF</t>
  </si>
  <si>
    <t>CP064937.1_2005</t>
  </si>
  <si>
    <t>GCA_016117815.1</t>
  </si>
  <si>
    <t>CP065889.1</t>
  </si>
  <si>
    <t>CP065889.1_2586</t>
  </si>
  <si>
    <t>GCA_016117815.1.overview.tsv</t>
  </si>
  <si>
    <t>CP065889.1_2638</t>
  </si>
  <si>
    <t>GH16_3(240-475)</t>
  </si>
  <si>
    <t>GH16_e240(241-476)</t>
  </si>
  <si>
    <t>GCA_016117815.1_CGC67</t>
  </si>
  <si>
    <t>STP|HTH_18; null; CAZyme|GH97_e22; null; null; TC|1.A.43.1.1; null; null; CAZyme|GH3_e1+Sulfatase|S1_7; CAZyme|GH158_e5; CAZyme|GH16_3+Sulfatase|S1_19; null; null; TC|1.B.14.6.17; STP|Y_Y_Y; null; CAZyme|GT2+TC|4.D.1.1.13; null; null; TC|2.A.107.1.2; null; TC|2.A.7.34.3</t>
  </si>
  <si>
    <t>CP065889.1|CGC67</t>
  </si>
  <si>
    <t>STP-TF;null-STP;CAZyme-CAZyme;null-null;null-null;TC-TC;null-null;null-null;CAZyme-CAZyme;CAZyme-CAZyme;CAZyme-CAZyme;null-null;TC-TC;STP-TF;null-null;CAZyme-CAZyme;null-null;null-null;TC-TC;null-null;TC-TC</t>
  </si>
  <si>
    <t>GCA_016126015.1</t>
  </si>
  <si>
    <t>JAEFDB010000002.1</t>
  </si>
  <si>
    <t>JAEFDB010000002.1_148</t>
  </si>
  <si>
    <t>GCA_016126015.1.overview.tsv</t>
  </si>
  <si>
    <t>GCA_016126015.1_CGC19</t>
  </si>
  <si>
    <t>CAZyme|GH16_3; null; STP|Guanylate_cyc</t>
  </si>
  <si>
    <t>JAEFDB010000002.1_311</t>
  </si>
  <si>
    <t>GCA_016126015.1_CGC23</t>
  </si>
  <si>
    <t>STP|Y_Y_Y; TC|1.B.14.6.17; TC|8.A.46.1.3; null; Peptidase|S09.UPW; CAZyme|GH144_e1; null; null; STP|Y_Y_Y; TC|1.B.14.6.17; TC|1.B.38.1.10; CAZyme|CBM102; CAZyme|CBM103|GH16_3+Sulfatase|S1_19; CAZyme|GH3_e1+Sulfatase|S1_7</t>
  </si>
  <si>
    <t>JAEFDB010000002.1|CGC23</t>
  </si>
  <si>
    <t>JAEFDB010000003.1</t>
  </si>
  <si>
    <t>JAEFDB010000003.1_72</t>
  </si>
  <si>
    <t>GCA_016126015.1_CGC24</t>
  </si>
  <si>
    <t>CAZyme|GH16_3; null; TC|8.A.5.1.4; STP|GerE; Peptidase|G05.UPW; STP|Nitroreductase</t>
  </si>
  <si>
    <t>GCA_016126035.1</t>
  </si>
  <si>
    <t>JAEFDC010000001.1</t>
  </si>
  <si>
    <t>JAEFDC010000001.1_122</t>
  </si>
  <si>
    <t>GCA_016126035.1.overview.tsv</t>
  </si>
  <si>
    <t>GCA_016126035.1_CGC2</t>
  </si>
  <si>
    <t>JAEFDC010000001.1|CGC2</t>
  </si>
  <si>
    <t>JAEFDC010000001.1_17</t>
  </si>
  <si>
    <t>GH16_3(36-268)</t>
  </si>
  <si>
    <t>GH16_e321(38-269)</t>
  </si>
  <si>
    <t>GCA_016126035.1_CGC1</t>
  </si>
  <si>
    <t>TC|2.A.37.1.1; CAZyme|GH16_3; null; STP|MerR; null; TC|1.A.115.1.5; null; STP|AraC_binding+STP|HTH_18</t>
  </si>
  <si>
    <t>JAEFDC010000001.1_298</t>
  </si>
  <si>
    <t>GCA_016127495.1</t>
  </si>
  <si>
    <t>CP066015.1</t>
  </si>
  <si>
    <t>CP066015.1_2179</t>
  </si>
  <si>
    <t>GCA_016127495.1.overview.tsv</t>
  </si>
  <si>
    <t>GCA_016127495.1_CGC25</t>
  </si>
  <si>
    <t>CAZyme|GT4_e52; null; null; CAZyme|GT2; null; null; CAZyme|GT2; TC|9.B.97.5.4; CAZyme|GT4_e3183; TC|9.B.97.5.4; CAZyme|GT2; null; CAZyme|GT2|GT4_e3617</t>
  </si>
  <si>
    <t>GCA_016694895.1</t>
  </si>
  <si>
    <t>CP068012.1</t>
  </si>
  <si>
    <t>CP068012.1_432</t>
  </si>
  <si>
    <t>GCA_016694895.1.overview.tsv</t>
  </si>
  <si>
    <t>GCA_016694895.1_CGC9</t>
  </si>
  <si>
    <t>STP|HTH_3; null; TC|2.A.36.3.3; CAZyme|GH16_3; STP|HTH_3; null; CAZyme|GH33_e129+Sulfatase|S1_7</t>
  </si>
  <si>
    <t>GCA_016726305.1</t>
  </si>
  <si>
    <t>CP068174.1</t>
  </si>
  <si>
    <t>CP068174.1_1078</t>
  </si>
  <si>
    <t>GCA_016726305.1.overview.tsv</t>
  </si>
  <si>
    <t>GCA_016726305.1_CGC29</t>
  </si>
  <si>
    <t>CP068174.1_1454</t>
  </si>
  <si>
    <t>GCA_016726305.1_CGC41</t>
  </si>
  <si>
    <t>CP068174.1|CGC41</t>
  </si>
  <si>
    <t>CP068174.1_179</t>
  </si>
  <si>
    <t>CP068174.1_3503</t>
  </si>
  <si>
    <t>GCA_016726305.1_CGC81</t>
  </si>
  <si>
    <t>CP068174.1|CGC81</t>
  </si>
  <si>
    <t>CP068174.1_3504</t>
  </si>
  <si>
    <t>CP068174.1_385</t>
  </si>
  <si>
    <t>GCA_016726305.1_CGC14</t>
  </si>
  <si>
    <t>CP068174.1|CGC14</t>
  </si>
  <si>
    <t>CP068174.1_608</t>
  </si>
  <si>
    <t>CP068174.1_733</t>
  </si>
  <si>
    <t>GCA_016726305.1_CGC24</t>
  </si>
  <si>
    <t>CP068174.1|CGC24</t>
  </si>
  <si>
    <t>CP068174.1_734</t>
  </si>
  <si>
    <t>GCA_016766915.1</t>
  </si>
  <si>
    <t>CP068488.1</t>
  </si>
  <si>
    <t>CP068488.1_1519</t>
  </si>
  <si>
    <t>GCA_016766915.1.overview.tsv</t>
  </si>
  <si>
    <t>GCA_016766915.1_CGC45</t>
  </si>
  <si>
    <t>CAZyme|GH16_3; TC|2.A.2.3.4; null; CAZyme|GH10_e83+Sulfatase|S1_7; CAZyme|GH43_1+Sulfatase|S1_7; CAZyme|GH43_12|CBM91_e46; TC|1.B.14.6.1</t>
  </si>
  <si>
    <t>CP068488.1|CGC45</t>
  </si>
  <si>
    <t>CAZyme-CAZyme;TC-TC;null-null;CAZyme-CAZyme;CAZyme-CAZyme;CAZyme-CAZyme;TC-TC</t>
  </si>
  <si>
    <t>GCA_016766935.1</t>
  </si>
  <si>
    <t>CP068489.1</t>
  </si>
  <si>
    <t>CP068489.1_2908</t>
  </si>
  <si>
    <t>GCA_016766935.1.overview.tsv</t>
  </si>
  <si>
    <t>GCA_016766935.1_CGC52</t>
  </si>
  <si>
    <t>TC|1.D.194.1.1; TC|9.B.18.1.1; null; CAZyme|GT26_e51; CAZyme|GT4_e734; null; null; CAZyme|GH16_3+Sulfatase|S1_16</t>
  </si>
  <si>
    <t>CP068489.1_679</t>
  </si>
  <si>
    <t>GCA_016766935.1_CGC19</t>
  </si>
  <si>
    <t>CP068489.1|CGC19</t>
  </si>
  <si>
    <t>GCA_016806945.1</t>
  </si>
  <si>
    <t>JAESPJ010000006.1</t>
  </si>
  <si>
    <t>JAESPJ010000006.1_196</t>
  </si>
  <si>
    <t>GCA_016806945.1.overview.tsv</t>
  </si>
  <si>
    <t>JAESPJ010000026.1</t>
  </si>
  <si>
    <t>JAESPJ010000026.1_59</t>
  </si>
  <si>
    <t>GCA_016806945.1_CGC36</t>
  </si>
  <si>
    <t>STP|AraC_binding+STP|HTH_18; null; TC|1.A.115.1.5; STP|MerR; null; CAZyme|GH16_3; null; null; STP|AraC_binding</t>
  </si>
  <si>
    <t>JAESPJ010000027.1</t>
  </si>
  <si>
    <t>JAESPJ010000027.1_5</t>
  </si>
  <si>
    <t>GCA_016806945.1_CGC39</t>
  </si>
  <si>
    <t>STP|Y_Y_Y; TC|1.B.14.6.17; TC|1.B.38.1.10; CAZyme|CBM102; CAZyme|CBM103|GH16_3+Sulfatase|S1_19; CAZyme|GH3_e1+Sulfatase|S1_7</t>
  </si>
  <si>
    <t>JAESPJ010000027.1|CGC39</t>
  </si>
  <si>
    <t>GCA_016806965.1</t>
  </si>
  <si>
    <t>JAESPH010000002.1</t>
  </si>
  <si>
    <t>JAESPH010000002.1_214</t>
  </si>
  <si>
    <t>GCA_016806965.1.overview.tsv</t>
  </si>
  <si>
    <t>JAESPH010000002.1_376</t>
  </si>
  <si>
    <t>GCA_016806965.1_CGC9</t>
  </si>
  <si>
    <t>JAESPH010000002.1|CGC9</t>
  </si>
  <si>
    <t>JAESPH010000003.1</t>
  </si>
  <si>
    <t>JAESPH010000003.1_420</t>
  </si>
  <si>
    <t>GCA_016806965.1_CGC17</t>
  </si>
  <si>
    <t>CAZyme|GH16_3; STP|MerR; null; TC|1.A.115.1.5; null; STP|AraC_binding+STP|HTH_18</t>
  </si>
  <si>
    <t>GCA_016806985.1</t>
  </si>
  <si>
    <t>JAESPI010000045.1</t>
  </si>
  <si>
    <t>JAESPI010000045.1_4</t>
  </si>
  <si>
    <t>GCA_016806985.1.overview.tsv</t>
  </si>
  <si>
    <t>GCA_016806985.1_CGC42</t>
  </si>
  <si>
    <t>CAZyme|GH3_e1+Sulfatase|S1_7; CAZyme|CBM103|GH16_3+Sulfatase|S1_19; CAZyme|CBM102; TC|1.B.38.1.10; TC|1.B.14.6.17; STP|Y_Y_Y+STP|GerE</t>
  </si>
  <si>
    <t>JAESPI010000045.1|CGC42</t>
  </si>
  <si>
    <t>JAESPI010000055.1</t>
  </si>
  <si>
    <t>JAESPI010000055.1_11</t>
  </si>
  <si>
    <t>GCA_016806995.1</t>
  </si>
  <si>
    <t>JAESPK010000015.1</t>
  </si>
  <si>
    <t>JAESPK010000015.1_29</t>
  </si>
  <si>
    <t>GCA_016806995.1.overview.tsv</t>
  </si>
  <si>
    <t>GCA_016806995.1_CGC21</t>
  </si>
  <si>
    <t>JAESPK010000015.1|CGC21</t>
  </si>
  <si>
    <t>JAESPK010000025.1</t>
  </si>
  <si>
    <t>JAESPK010000025.1_2</t>
  </si>
  <si>
    <t>JAESPK010000027.1</t>
  </si>
  <si>
    <t>JAESPK010000027.1_13</t>
  </si>
  <si>
    <t>GCA_016806995.1_CGC33</t>
  </si>
  <si>
    <t>STP|AraC_binding+STP|HTH_18; null; TC|1.A.115.1.5; STP|MerR; null; CAZyme|GH16_3; TC|2.A.37.1.1; null; TC|8.A.5.1.4; null; null; STP|GerE</t>
  </si>
  <si>
    <t>GCA_016807025.1</t>
  </si>
  <si>
    <t>JAEUAH010000001.1</t>
  </si>
  <si>
    <t>JAEUAH010000001.1_59</t>
  </si>
  <si>
    <t>GCA_016807025.1.overview.tsv</t>
  </si>
  <si>
    <t>GCA_016807025.1_CGC1</t>
  </si>
  <si>
    <t>JAEUAH010000004.1</t>
  </si>
  <si>
    <t>JAEUAH010000004.1_8</t>
  </si>
  <si>
    <t>JAEUAH010000007.1</t>
  </si>
  <si>
    <t>JAEUAH010000007.1_44</t>
  </si>
  <si>
    <t>GCA_016807025.1_CGC21</t>
  </si>
  <si>
    <t>JAEUAH010000007.1|CGC21</t>
  </si>
  <si>
    <t>GCA_016888905.1</t>
  </si>
  <si>
    <t>CP069431.1</t>
  </si>
  <si>
    <t>CP069431.1_2583</t>
  </si>
  <si>
    <t>GCA_016888905.1.overview.tsv</t>
  </si>
  <si>
    <t>GCA_016888905.1_CGC62</t>
  </si>
  <si>
    <t>CAZyme|GH43_28|CBM32_e188; CAZyme|GH3_e1+Sulfatase|S1_7; CAZyme|GH3_e1+Sulfatase|S1_7; CAZyme|GH144_e1; CAZyme|GH43_28|CBM32_e176; CAZyme|GH144_e1; TC|8.A.46.1.6; TC|1.B.14.6.17; null; STP|Y_Y_Y; CAZyme|GH16_3+Sulfatase|S1_19</t>
  </si>
  <si>
    <t>CP069431.1|CGC62</t>
  </si>
  <si>
    <t>CAZyme-CAZyme;CAZyme-CAZyme;CAZyme-CAZyme;CAZyme-CAZyme;CAZyme-CAZyme;CAZyme-CAZyme;TC-null;TC-TC;STP-TF</t>
  </si>
  <si>
    <t>hostglycan,beta-glucan;xyloglucan,beta-glucan;beta-glucan</t>
  </si>
  <si>
    <t>GCA_016889285.1</t>
  </si>
  <si>
    <t>CP069495.1</t>
  </si>
  <si>
    <t>CP069495.1_2107</t>
  </si>
  <si>
    <t>GCA_016889285.1.overview.tsv</t>
  </si>
  <si>
    <t>GCA_016889285.1_CGC23</t>
  </si>
  <si>
    <t>GCA_016889745.1</t>
  </si>
  <si>
    <t>CP069532.1</t>
  </si>
  <si>
    <t>CP069532.1_1044</t>
  </si>
  <si>
    <t>GCA_016889745.1.overview.tsv</t>
  </si>
  <si>
    <t>GCA_016889745.1_CGC24</t>
  </si>
  <si>
    <t>CP069532.1_1388</t>
  </si>
  <si>
    <t>GCA_016889745.1_CGC29</t>
  </si>
  <si>
    <t>CP069532.1|CGC29</t>
  </si>
  <si>
    <t>CP069532.1_1389</t>
  </si>
  <si>
    <t>CP069532.1_1514</t>
  </si>
  <si>
    <t>CP069532.1_1739</t>
  </si>
  <si>
    <t>GCA_016889745.1_CGC39</t>
  </si>
  <si>
    <t>CP069532.1|CGC39</t>
  </si>
  <si>
    <t>CP069532.1_1946</t>
  </si>
  <si>
    <t>CP069532.1_2294</t>
  </si>
  <si>
    <t>GCA_016889745.1_CGC58</t>
  </si>
  <si>
    <t>CP069532.1|CGC58</t>
  </si>
  <si>
    <t>CP069532.1_2295</t>
  </si>
  <si>
    <t>CP069532.1_668</t>
  </si>
  <si>
    <t>GCA_016889745.1_CGC12</t>
  </si>
  <si>
    <t>CP069532.1|CGC12</t>
  </si>
  <si>
    <t>GCA_016894185.1</t>
  </si>
  <si>
    <t>CP069790.1</t>
  </si>
  <si>
    <t>CP069790.1_1228</t>
  </si>
  <si>
    <t>GCA_016894185.1.overview.tsv</t>
  </si>
  <si>
    <t>CP069790.1_2337</t>
  </si>
  <si>
    <t>GCA_016894185.1_CGC54</t>
  </si>
  <si>
    <t>CP069790.1_2780</t>
  </si>
  <si>
    <t>GCA_016894185.1_CGC67</t>
  </si>
  <si>
    <t>CP069790.1|CGC67</t>
  </si>
  <si>
    <t>GCA_017309675.2</t>
  </si>
  <si>
    <t>CP084680.1</t>
  </si>
  <si>
    <t>CP084680.1_1910</t>
  </si>
  <si>
    <t>GCA_017309675.2.overview.tsv</t>
  </si>
  <si>
    <t>GCA_017309675.2_CGC50</t>
  </si>
  <si>
    <t>TC|2.A.7.34.3; null; TC|2.A.107.1.2; null; null; CAZyme|GT2+TC|4.D.1.1.13; null; STP|Y_Y_Y; TC|1.B.14.6.17; null; null; CAZyme|GH16_3+Sulfatase|S1_19; CAZyme|GH158_e5; CAZyme|GH3_e1+Sulfatase|S1_7; null; TC|1.A.43.1.1; CAZyme|GH97_e22; null; STP|HTH_18</t>
  </si>
  <si>
    <t>CP084680.1|CGC50</t>
  </si>
  <si>
    <t>CP084680.1_1959</t>
  </si>
  <si>
    <t>GCA_017426725.1</t>
  </si>
  <si>
    <t>JAERMS010000038.1</t>
  </si>
  <si>
    <t>JAERMS010000038.1_9</t>
  </si>
  <si>
    <t>GCA_017426725.1.overview.tsv</t>
  </si>
  <si>
    <t>GCA_017426725.1_CGC50</t>
  </si>
  <si>
    <t>JAERMS010000038.1|CGC50</t>
  </si>
  <si>
    <t>GCA_017504145.1</t>
  </si>
  <si>
    <t>CP071807.1</t>
  </si>
  <si>
    <t>CP071807.1_2116</t>
  </si>
  <si>
    <t>GCA_017504145.1.overview.tsv</t>
  </si>
  <si>
    <t>GCA_017504145.1_CGC58</t>
  </si>
  <si>
    <t>CP071807.1_727</t>
  </si>
  <si>
    <t>GCA_017504145.1_CGC18</t>
  </si>
  <si>
    <t>CP071807.1_876</t>
  </si>
  <si>
    <t>GCA_017504145.1_CGC26</t>
  </si>
  <si>
    <t>CP071807.1|CGC26</t>
  </si>
  <si>
    <t>GCA_017570505.1</t>
  </si>
  <si>
    <t>CP071886.1</t>
  </si>
  <si>
    <t>CP071886.1_2289</t>
  </si>
  <si>
    <t>GCA_017570505.1.overview.tsv</t>
  </si>
  <si>
    <t>GCA_017570505.1_CGC58</t>
  </si>
  <si>
    <t>CP071886.1_790</t>
  </si>
  <si>
    <t>GCA_017570505.1_CGC19</t>
  </si>
  <si>
    <t>CP071886.1_952</t>
  </si>
  <si>
    <t>GCA_017570505.1_CGC26</t>
  </si>
  <si>
    <t>CP071886.1|CGC26</t>
  </si>
  <si>
    <t>GCA_018127765.1</t>
  </si>
  <si>
    <t>CP072330.1</t>
  </si>
  <si>
    <t>CP072330.1_27</t>
  </si>
  <si>
    <t>GCA_018127765.1.overview.tsv</t>
  </si>
  <si>
    <t>GCA_018127765.1_CGC1</t>
  </si>
  <si>
    <t>GCA_018127885.1</t>
  </si>
  <si>
    <t>CP072343.1</t>
  </si>
  <si>
    <t>CP072343.1_1413</t>
  </si>
  <si>
    <t>GCA_018127885.1.overview.tsv</t>
  </si>
  <si>
    <t>GCA_018127885.1_CGC25</t>
  </si>
  <si>
    <t>GCA_018127905.1</t>
  </si>
  <si>
    <t>CP072345.1</t>
  </si>
  <si>
    <t>CP072345.1_286</t>
  </si>
  <si>
    <t>GCA_018127905.1.overview.tsv</t>
  </si>
  <si>
    <t>GCA_018127905.1_CGC5</t>
  </si>
  <si>
    <t>GCA_018127925.1</t>
  </si>
  <si>
    <t>CP072348.1</t>
  </si>
  <si>
    <t>CP072348.1_1325</t>
  </si>
  <si>
    <t>GCA_018127925.1.overview.tsv</t>
  </si>
  <si>
    <t>GCA_018127925.1_CGC45</t>
  </si>
  <si>
    <t>CAZyme|GT2+TC|4.D.1.1.14; null; CAZyme|GH16_3; null; null; STP|LytTR; null; STP|Sigma70_r2+STP|Sigma70_r4_2</t>
  </si>
  <si>
    <t>CP072348.1|CGC45</t>
  </si>
  <si>
    <t>GCA_018127945.1</t>
  </si>
  <si>
    <t>CP072351.1</t>
  </si>
  <si>
    <t>CP072351.1_1564</t>
  </si>
  <si>
    <t>GCA_018127945.1.overview.tsv</t>
  </si>
  <si>
    <t>GCA_018127945.1_CGC27</t>
  </si>
  <si>
    <t>CP072351.1_325</t>
  </si>
  <si>
    <t>GH16_3(66-320)</t>
  </si>
  <si>
    <t>GH16_e326(67-321)</t>
  </si>
  <si>
    <t>GH16_e326</t>
  </si>
  <si>
    <t>GCA_018127945.1_CGC9</t>
  </si>
  <si>
    <t>CAZyme|GH53_e2; TC|1.B.14.6.17; TC|8.A.46.1.3; CAZyme|GH16_3+Sulfatase|S1_19; STP|Y_Y_Y+STP|HTH_18; null; null; TC|1.B.44.1.2; STP|Fer4; null; TC|3.A.1.152.8; null; STP|Aminotran_1_2</t>
  </si>
  <si>
    <t>CP072351.1|CGC9</t>
  </si>
  <si>
    <t>GCA_018127965.1</t>
  </si>
  <si>
    <t>CP072349.1</t>
  </si>
  <si>
    <t>CP072349.1_1255</t>
  </si>
  <si>
    <t>GCA_018127965.1.overview.tsv</t>
  </si>
  <si>
    <t>GCA_018127965.1_CGC20</t>
  </si>
  <si>
    <t>STP|Aminotran_1_2; null; null; TC|3.A.1.152.8; null; STP|Fer4; TC|1.B.44.1.2; null; STP|Y_Y_Y+STP|HTH_18; CAZyme|GH16_3+Sulfatase|S1_19; TC|8.A.46.1.3; TC|1.B.14.6.17; CAZyme|GH53_e2</t>
  </si>
  <si>
    <t>CP072349.1|CGC20</t>
  </si>
  <si>
    <t>CP072349.1_147</t>
  </si>
  <si>
    <t>GCA_018127965.1_CGC4</t>
  </si>
  <si>
    <t>CAZyme|GH16_3; null; null; STP|LytTR; STP|Sigma70_r2+STP|Sigma70_r4_2</t>
  </si>
  <si>
    <t>GCA_018127985.1</t>
  </si>
  <si>
    <t>CP072357.1</t>
  </si>
  <si>
    <t>CP072357.1_1163</t>
  </si>
  <si>
    <t>GH16_3(68-293)</t>
  </si>
  <si>
    <t>GH16_e144(68-294)</t>
  </si>
  <si>
    <t>GCA_018127985.1.overview.tsv</t>
  </si>
  <si>
    <t>GCA_018127985.1_CGC22</t>
  </si>
  <si>
    <t>STP|Pribosyltran; null; STP|LytTR; null; null; CAZyme|GH16_3</t>
  </si>
  <si>
    <t>GCA_018128005.1</t>
  </si>
  <si>
    <t>CP072354.1</t>
  </si>
  <si>
    <t>CP072354.1_1397</t>
  </si>
  <si>
    <t>GCA_018128005.1.overview.tsv</t>
  </si>
  <si>
    <t>GCA_018128005.1_CGC24</t>
  </si>
  <si>
    <t>TC|3.A.1.152.8; null; null; STP|Fer4; TC|1.B.44.1.2; null; STP|Y_Y_Y+STP|HTH_18; CAZyme|GH16_3+Sulfatase|S1_19; TC|8.A.46.1.3; TC|1.B.14.6.17; CAZyme|GH53_e2</t>
  </si>
  <si>
    <t>CP072354.1|CGC24</t>
  </si>
  <si>
    <t>CP072354.1_45</t>
  </si>
  <si>
    <t>GCA_018128005.1_CGC4</t>
  </si>
  <si>
    <t>CAZyme|GH16_3; null; null; STP|LytTR</t>
  </si>
  <si>
    <t>GCA_018128045.1</t>
  </si>
  <si>
    <t>CP072361.1</t>
  </si>
  <si>
    <t>CP072361.1_127</t>
  </si>
  <si>
    <t>GCA_018128045.1.overview.tsv</t>
  </si>
  <si>
    <t>CP072361.1_485</t>
  </si>
  <si>
    <t>GCA_018128045.1_CGC9</t>
  </si>
  <si>
    <t>STP|TrkA_C; TC|2.A.38.1.3; null; TC|1.A.33.1.2; null; null; STP|Y_Y_Y+STP|HTH_18; CAZyme|GH16_3+Sulfatase|S1_19; null; TC|1.B.14.6.17; CAZyme|GH53_e2</t>
  </si>
  <si>
    <t>CP072361.1|CGC9</t>
  </si>
  <si>
    <t>GCA_018128065.1</t>
  </si>
  <si>
    <t>CP072360.1</t>
  </si>
  <si>
    <t>CP072360.1_265</t>
  </si>
  <si>
    <t>GCA_018128065.1.overview.tsv</t>
  </si>
  <si>
    <t>GCA_018128085.1</t>
  </si>
  <si>
    <t>CP072363.1</t>
  </si>
  <si>
    <t>CP072363.1_1066</t>
  </si>
  <si>
    <t>GCA_018128085.1.overview.tsv</t>
  </si>
  <si>
    <t>GCA_018128085.1_CGC17</t>
  </si>
  <si>
    <t>GCA_018128105.1</t>
  </si>
  <si>
    <t>CP072365.1</t>
  </si>
  <si>
    <t>CP072365.1_625</t>
  </si>
  <si>
    <t>GCA_018128105.1.overview.tsv</t>
  </si>
  <si>
    <t>GCA_018128105.1_CGC9</t>
  </si>
  <si>
    <t>GCA_018128125.1</t>
  </si>
  <si>
    <t>CP072367.1</t>
  </si>
  <si>
    <t>CP072367.1_63</t>
  </si>
  <si>
    <t>GCA_018128125.1.overview.tsv</t>
  </si>
  <si>
    <t>GCA_018128145.1</t>
  </si>
  <si>
    <t>CP072370.1</t>
  </si>
  <si>
    <t>CP072370.1_190</t>
  </si>
  <si>
    <t>GCA_018128145.1.overview.tsv</t>
  </si>
  <si>
    <t>GCA_018128145.1_CGC23</t>
  </si>
  <si>
    <t>CP072370.1|CGC23</t>
  </si>
  <si>
    <t>GCA_018128165.1</t>
  </si>
  <si>
    <t>CP072371.1</t>
  </si>
  <si>
    <t>CP072371.1_1398</t>
  </si>
  <si>
    <t>GCA_018128165.1.overview.tsv</t>
  </si>
  <si>
    <t>GCA_018128165.1_CGC28</t>
  </si>
  <si>
    <t>GCA_018128185.1</t>
  </si>
  <si>
    <t>CP072373.1</t>
  </si>
  <si>
    <t>CP072373.1_5</t>
  </si>
  <si>
    <t>GCA_018128185.1.overview.tsv</t>
  </si>
  <si>
    <t>GCA_018128185.1_CGC1</t>
  </si>
  <si>
    <t>TC|2.A.127.1.3; null; CAZyme|GH16_3</t>
  </si>
  <si>
    <t>GCA_018128205.1</t>
  </si>
  <si>
    <t>CP072374.1</t>
  </si>
  <si>
    <t>CP072374.1_1487</t>
  </si>
  <si>
    <t>GCA_018128205.1.overview.tsv</t>
  </si>
  <si>
    <t>GCA_018128205.1_CGC27</t>
  </si>
  <si>
    <t>GCA_018128225.1</t>
  </si>
  <si>
    <t>HMT-218</t>
  </si>
  <si>
    <t>CP072377.1</t>
  </si>
  <si>
    <t>CP072377.1_1974</t>
  </si>
  <si>
    <t>GH16_3(105-360)</t>
  </si>
  <si>
    <t>GH16_e50(106-361)</t>
  </si>
  <si>
    <t>GCA_018128225.1.overview.tsv</t>
  </si>
  <si>
    <t>GCA_018128225.1_CGC21</t>
  </si>
  <si>
    <t>CAZyme|GT2; TC|2.A.129.1.11; CAZyme|GT2; null; CAZyme|GH16_3+Sulfatase|S1_19; STP|Pribosyltran</t>
  </si>
  <si>
    <t>GCA_018128245.1</t>
  </si>
  <si>
    <t>HMT-221</t>
  </si>
  <si>
    <t>CP072378.1</t>
  </si>
  <si>
    <t>CP072378.1_1731</t>
  </si>
  <si>
    <t>GH16_3(104-360)</t>
  </si>
  <si>
    <t>GH16_e50(105-361)</t>
  </si>
  <si>
    <t>GCA_018128245.1.overview.tsv</t>
  </si>
  <si>
    <t>GCA_018128245.1_CGC20</t>
  </si>
  <si>
    <t>TC|9.B.18.2.4; CAZyme|GT2; STP|Pribosyltran; CAZyme|GH16_3+Sulfatase|S1_19</t>
  </si>
  <si>
    <t>GCA_018128265.1</t>
  </si>
  <si>
    <t>CP072387.1</t>
  </si>
  <si>
    <t>CP072387.1_3290</t>
  </si>
  <si>
    <t>GH16_3(63-294)+CBM13(320-441)</t>
  </si>
  <si>
    <t>GH16_e103(64-294)+CBM13_e183(320-442)</t>
  </si>
  <si>
    <t>GCA_018128265.1.overview.tsv</t>
  </si>
  <si>
    <t>GH16_3(63-294)</t>
  </si>
  <si>
    <t>GCA_018128265.1_CGC52</t>
  </si>
  <si>
    <t>STP|TetR_N; CAZyme|GH16_3|CBM13_e183; TC|2.A.37.4.2; Peptidase|M38.UNW; null; TC|2.A.40.3.1; TC|2.A.3.1.12; null; TC|2.A.5.5.6</t>
  </si>
  <si>
    <t>GCA_018128325.1</t>
  </si>
  <si>
    <t>CP072384.1</t>
  </si>
  <si>
    <t>CP072384.1_2380</t>
  </si>
  <si>
    <t>GCA_018128325.1.overview.tsv</t>
  </si>
  <si>
    <t>GCA_018141825.1</t>
  </si>
  <si>
    <t>CP073339.1</t>
  </si>
  <si>
    <t>CP073339.1_268</t>
  </si>
  <si>
    <t>GCA_018141825.1.overview.tsv</t>
  </si>
  <si>
    <t>GCA_018141825.1_CGC8</t>
  </si>
  <si>
    <t>GCA_018206015.1</t>
  </si>
  <si>
    <t>JADRGS010000003.1</t>
  </si>
  <si>
    <t>JADRGS010000003.1_76</t>
  </si>
  <si>
    <t>GCA_018206015.1.overview.tsv</t>
  </si>
  <si>
    <t>GCA_018206015.1_CGC4</t>
  </si>
  <si>
    <t>TC|3.D.10.1.4; null; TC|3.A.1.27.2; TC|3.A.1.27.4; null; TC|1.B.14.6.17; Sulfatase|S1_27; null; STP|Reg_prop+STP|HisKA+STP|HATPase_c+STP|Response_reg+STP|HTH_18; CAZyme|GH16_3|CBM13_e226</t>
  </si>
  <si>
    <t>JADRGS010000003.1|CGC4</t>
  </si>
  <si>
    <t>JADRGS010000009.1</t>
  </si>
  <si>
    <t>JADRGS010000009.1_59</t>
  </si>
  <si>
    <t>GCA_018206015.1_CGC16</t>
  </si>
  <si>
    <t>CAZyme|GT2+TC|4.D.1.1.15; null; STP|Aminotran_1_2; null; null; TC|3.A.1.120.8</t>
  </si>
  <si>
    <t>JADRGS010000025.1</t>
  </si>
  <si>
    <t>JADRGS010000025.1_34</t>
  </si>
  <si>
    <t>GCA_018206295.1</t>
  </si>
  <si>
    <t>JADRGH010000003.1</t>
  </si>
  <si>
    <t>JADRGH010000003.1_29</t>
  </si>
  <si>
    <t>GCA_018206295.1.overview.tsv</t>
  </si>
  <si>
    <t>GCA_018206295.1_CGC5</t>
  </si>
  <si>
    <t>CAZyme|GH16_3|CBM13_e226; STP|Reg_prop+STP|HisKA+STP|HATPase_c+STP|Response_reg+STP|HTH_18; null; Sulfatase|S1_27; TC|1.B.14.6.17; null; TC|3.A.1.27.4; TC|3.A.1.27.2; null; TC|3.D.10.1.4</t>
  </si>
  <si>
    <t>JADRGH010000003.1|CGC5</t>
  </si>
  <si>
    <t>JADRGH010000009.1</t>
  </si>
  <si>
    <t>JADRGH010000009.1_20</t>
  </si>
  <si>
    <t>GCA_018206295.1_CGC14</t>
  </si>
  <si>
    <t>JADRGH010000025.1</t>
  </si>
  <si>
    <t>JADRGH010000025.1_34</t>
  </si>
  <si>
    <t>GCA_018279805.1</t>
  </si>
  <si>
    <t>CP042282.1</t>
  </si>
  <si>
    <t>CP042282.1_312</t>
  </si>
  <si>
    <t>GH16_3(51-274)</t>
  </si>
  <si>
    <t>GH16_e72(52-275)</t>
  </si>
  <si>
    <t>GCA_018279805.1.overview.tsv</t>
  </si>
  <si>
    <t>GCA_018279805.1_CGC8</t>
  </si>
  <si>
    <t>STP|HisKA+STP|HATPase_c+STP|Response_reg; STP|HisKA+STP|HATPase_c+STP|Response_reg+STP|HTH_18; CAZyme|CBM93|GH33_e121+Sulfatase|S1_8; CAZyme|GH20_e112+Sulfatase|S1_63; Sulfatase|S1_16; CAZyme|CE3|CE20_e16+Sulfatase|S1_8; null; null; TC|2.A.1.14.14; null; null; TC|1.B.14.6.17; TC|8.A.46.1.4; CAZyme|GH16_3; CAZyme|GH20_e12+Sulfatase|S1_16; CAZyme|GH16_3; CAZyme|GH35_e43; null; null; TC|1.B.14.6.1</t>
  </si>
  <si>
    <t>CP042282.1|CGC8</t>
  </si>
  <si>
    <t>PUL0244</t>
  </si>
  <si>
    <t>CAZyme-CAZyme;CAZyme-CAZyme;CAZyme-CAZyme;null-null;null-null;TC-TC;null-null;TC-TC;TC-TC</t>
  </si>
  <si>
    <t>CP042282.1_314</t>
  </si>
  <si>
    <t>GH16_3(41-272)</t>
  </si>
  <si>
    <t>GH16_e21(42-273)</t>
  </si>
  <si>
    <t>CP042282.1_4128</t>
  </si>
  <si>
    <t>GCA_018279805.1_CGC98</t>
  </si>
  <si>
    <t>CGC98</t>
  </si>
  <si>
    <t>STP|PALP; CAZyme|GH3_e208+Sulfatase|S1_7; null; TC|8.A.46.2.1; TC|1.B.14.6.2; CAZyme|GH16_3; STP|Y_Y_Y+STP|HisKA+STP|HATPase_c+STP|Response_reg+STP|HTH_18; null; CAZyme|GH3_e98+Sulfatase|S1_7</t>
  </si>
  <si>
    <t>CP042282.1|CGC98</t>
  </si>
  <si>
    <t>CAZyme-CAZyme;null-null;TC-TC;TC-TC;CAZyme-CAZyme;STP-TC;CAZyme-CAZyme</t>
  </si>
  <si>
    <t>CP042282.1_600</t>
  </si>
  <si>
    <t>GCA_018289035.1</t>
  </si>
  <si>
    <t>CP072212.1</t>
  </si>
  <si>
    <t>CP072212.1_180</t>
  </si>
  <si>
    <t>GH16_3(162-416)</t>
  </si>
  <si>
    <t>GH16_e326(163-417)</t>
  </si>
  <si>
    <t>GCA_018289035.1.overview.tsv</t>
  </si>
  <si>
    <t>GCA_018289035.1_CGC5</t>
  </si>
  <si>
    <t>TC|2.A.1.4.4; null; STP|Reg_prop+STP|Y_Y_Y+STP|HisKA+STP|HATPase_c+STP|Response_reg+STP|HTH_18; TC|1.B.14.6.17; null; TC|1.B.38.1.10; CAZyme|GH16_3+Sulfatase|S1_19; null; null; STP|HTH_3</t>
  </si>
  <si>
    <t>CP072212.1|CGC5</t>
  </si>
  <si>
    <t>CP072212.1_2145</t>
  </si>
  <si>
    <t>CP072212.1_3771</t>
  </si>
  <si>
    <t>GCA_018289035.1_CGC75</t>
  </si>
  <si>
    <t>CGC75</t>
  </si>
  <si>
    <t>CP072212.1|CGC75</t>
  </si>
  <si>
    <t>GCA_018289135.1</t>
  </si>
  <si>
    <t>CP072216.1</t>
  </si>
  <si>
    <t>CP072216.1_2080</t>
  </si>
  <si>
    <t>GCA_018289135.1.overview.tsv</t>
  </si>
  <si>
    <t>CP072216.1_3496</t>
  </si>
  <si>
    <t>GH16_3(48-163)</t>
  </si>
  <si>
    <t>GH16_e110(49-168)+GH16_e110(340-426)</t>
  </si>
  <si>
    <t>GH16_3|GH16_e110</t>
  </si>
  <si>
    <t>GCA_018289135.1_CGC70</t>
  </si>
  <si>
    <t>CGC70</t>
  </si>
  <si>
    <t>CAZyme|GH16_3|GH16_e110; CAZyme|GH3_e27+Sulfatase|S1_7; null; CAZyme|GH36_e36; CAZyme|CE7_e10+Peptidase|S09.UPW; null; null; STP|HTH_8</t>
  </si>
  <si>
    <t>CP072216.1|CGC70</t>
  </si>
  <si>
    <t>PUL0239</t>
  </si>
  <si>
    <t>CP072216.1_3737</t>
  </si>
  <si>
    <t>GCA_018289135.1_CGC76</t>
  </si>
  <si>
    <t>CAZyme|GH3_e98+Sulfatase|S1_7; CAZyme|GH3_e1+Sulfatase|S1_7; CAZyme|GH144_e1; CAZyme|GH43_28|CBM32_e176; TC|1.B.38.1.10; TC|1.B.14.6.17; null; STP|Y_Y_Y+STP|HisKA+STP|HATPase_c+STP|Response_reg+STP|HTH_18; CAZyme|GH16_3; TC|1.B.14.6.2; TC|8.A.46.2.1; null; CAZyme|GH3_e208+Sulfatase|S1_7; STP|PALP; null; Peptidase|S09.UPW; CAZyme|GH26_e35+Sulfatase|S1_17; CAZyme|GH173_e2; CAZyme|GH173_e1; null; null; TC|1.B.14.6.1; CAZyme|GH130_5; TC|2.A.21.3.19; STP|HTH_18; CAZyme|GH2_13; CAZyme|GH31_e40; CAZyme|GH66_e1; null; TC|1.B.38.1.10; TC|1.B.14.6.17; null; null; STP|Glyoxalase; CAZyme|GH2_18+Sulfatase|S1_22; Sulfatase|S1_4; CAZyme|GH43_e30+Sulfatase|S1_7; Sulfatase|S1_67; CAZyme|GH51_2; STP|Reg_prop+STP|Y_Y_Y+STP|HisKA+STP|HATPase_c+STP|Response_reg+STP|HTH_18; null; null; TC|1.B.14.6.17; null; TC|1.B.14.6.17; CAZyme|GH43_31</t>
  </si>
  <si>
    <t>CP072216.1|CGC76</t>
  </si>
  <si>
    <t>GCA_018289315.1</t>
  </si>
  <si>
    <t>CP072229.1</t>
  </si>
  <si>
    <t>CP072229.1_2122</t>
  </si>
  <si>
    <t>GCA_018289315.1.overview.tsv</t>
  </si>
  <si>
    <t>GCA_018289315.1_CGC49</t>
  </si>
  <si>
    <t>CAZyme|GH16_3; CAZyme|GH2_6+Sulfatase|S1_20; null; null; CAZyme|GH20_e29+Sulfatase|S1_16; TC|8.A.46.1.3; TC|1.B.14.6.17; STP|FecR; null; null; STP|Sigma70_r2+STP|Sigma70_r4_2; null; STP|FecR; TC|1.B.14.6.17; null; CAZyme|GH2_11; TC|1.B.14.6.17; TC|8.A.46.1.3; CAZyme|GH92_e23; STP|Sigma70_r2+STP|Sigma70_r4_2; STP|Glyoxalase; null; TC|9.B.29.2.12</t>
  </si>
  <si>
    <t>CP072229.1|CGC49</t>
  </si>
  <si>
    <t>GCA_018289355.1</t>
  </si>
  <si>
    <t>CP072234.1</t>
  </si>
  <si>
    <t>CP072234.1_981</t>
  </si>
  <si>
    <t>GCA_018289355.1.overview.tsv</t>
  </si>
  <si>
    <t>GCA_018289355.1_CGC26</t>
  </si>
  <si>
    <t>CP072234.1|CGC26</t>
  </si>
  <si>
    <t>GCA_018291825.1</t>
  </si>
  <si>
    <t>CP072242.1</t>
  </si>
  <si>
    <t>CP072242.1_151</t>
  </si>
  <si>
    <t>GCA_018291825.1.overview.tsv</t>
  </si>
  <si>
    <t>GCA_018291825.1_CGC5</t>
  </si>
  <si>
    <t>CAZyme|GH35_e43|CBM32_e42+Sulfatase|S1_20; CAZyme|GH43_19; CAZyme|GH43_9|CBM91_e36|GH43_19; CAZyme|GH51_2; CAZyme|GH31_4; STP|Y_Y_Y+STP|HTH_18; CAZyme|GH97_e18; CAZyme|GH43_34|CBM32_e40; CAZyme|GH29_e82+Sulfatase|S1_14; null; STP|HTH_18; CAZyme|GH43_10|CBM91_e38+Sulfatase|S1_7; CAZyme|GH97_e16+Sulfatase|S1_8; TC|2.C.1.4.1; CAZyme|GH127_e4+Sulfatase|S1_7; CAZyme|GH43_34; null; CAZyme|GH154_e20; STP|Y_Y_Y+STP|HisKA+STP|HATPase_c+STP|Response_reg+STP|HTH_18; null; TC|1.B.14.6.17; null; null; CAZyme|GH16_3|GH43_24+Sulfatase|S1_19; CAZyme|GH43_24+Sulfatase|S1_6; CAZyme|PL42_e0; CAZyme|GH105_e39; null; null; TC|2.A.122.1.1; TC|1.E.14.1.13; null; null; CAZyme|GT2+TC|4.D.3.1.3</t>
  </si>
  <si>
    <t>CP072242.1|CGC5</t>
  </si>
  <si>
    <t>CAZyme-CAZyme;CAZyme-CAZyme;null-null;CAZyme-CAZyme;STP-TC;null-null;TC-TC;null-TC;null-null;CAZyme-CAZyme;CAZyme-CAZyme;CAZyme-CAZyme;CAZyme-CAZyme;CAZyme-CAZyme;CAZyme-CAZyme;null-null</t>
  </si>
  <si>
    <t>CP072242.1_2531</t>
  </si>
  <si>
    <t>CP072242.1_3574</t>
  </si>
  <si>
    <t>CP072242.1_3792</t>
  </si>
  <si>
    <t>GCA_018291825.1_CGC97</t>
  </si>
  <si>
    <t>CGC97</t>
  </si>
  <si>
    <t>CP072242.1|CGC97</t>
  </si>
  <si>
    <t>GCA_018292145.1</t>
  </si>
  <si>
    <t>CP072254.1</t>
  </si>
  <si>
    <t>CP072254.1_3932</t>
  </si>
  <si>
    <t>GCA_018292145.1.overview.tsv</t>
  </si>
  <si>
    <t>GCA_018292145.1_CGC96</t>
  </si>
  <si>
    <t>CAZyme|GH43_28|CBM32_e188; CAZyme|GH3_e1+Sulfatase|S1_7; CAZyme|GH3_e1+Sulfatase|S1_7; CAZyme|GH144_e1; CAZyme|GH43_28|CBM32_e176; CAZyme|GH144_e1; TC|1.B.38.1.10; TC|1.B.14.6.17; null; STP|Y_Y_Y; CAZyme|GH16_3+Sulfatase|S1_19</t>
  </si>
  <si>
    <t>CP072254.1|CGC96</t>
  </si>
  <si>
    <t>CAZyme-CAZyme;CAZyme-CAZyme;CAZyme-CAZyme;CAZyme-CAZyme;CAZyme-CAZyme;CAZyme-CAZyme;TC-null;TC-TC;TC-TC;STP-TF</t>
  </si>
  <si>
    <t>GCA_018292165.1</t>
  </si>
  <si>
    <t>CP072255.1</t>
  </si>
  <si>
    <t>CP072255.1_624</t>
  </si>
  <si>
    <t>GCA_018292165.1.overview.tsv</t>
  </si>
  <si>
    <t>GCA_018292165.1_CGC21</t>
  </si>
  <si>
    <t>TC|2.A.7.34.3; null; TC|2.A.107.1.2; null; null; CAZyme|GT2+TC|4.D.1.1.13; null; STP|Y_Y_Y; TC|1.B.14.6.17; null; null; TC|1.B.14.6.17; null; null; CAZyme|GH16_3+Sulfatase|S1_19; CAZyme|GH158_e5; CAZyme|GH3_e1+Sulfatase|S1_7; null; null; TC|1.A.43.1.1; null; CAZyme|GH97_e22; null; STP|HTH_18</t>
  </si>
  <si>
    <t>CP072255.1|CGC21</t>
  </si>
  <si>
    <t>TC-TC;null-null;TC-TC;null-null;null-null;CAZyme-CAZyme;null-null;STP-TF;TC-TC;TC-TC;null-null;CAZyme-CAZyme;CAZyme-CAZyme;CAZyme-CAZyme;null-null;null-null;TC-TC;null-null;CAZyme-CAZyme;null-STP;STP-TF</t>
  </si>
  <si>
    <t>CP072255.1_678</t>
  </si>
  <si>
    <t>GCA_018363015.1</t>
  </si>
  <si>
    <t>CP074376.1</t>
  </si>
  <si>
    <t>CP074376.1_3453</t>
  </si>
  <si>
    <t>GH16_3(330-579)</t>
  </si>
  <si>
    <t>GH16_e328(331-580)</t>
  </si>
  <si>
    <t>GCA_018363015.1.overview.tsv</t>
  </si>
  <si>
    <t>GCA_018363015.1_CGC57</t>
  </si>
  <si>
    <t>CP074376.1_3513</t>
  </si>
  <si>
    <t>GCA_018363015.1_CGC58</t>
  </si>
  <si>
    <t>GCA_018363635.1</t>
  </si>
  <si>
    <t>JAGZNM010000023.1</t>
  </si>
  <si>
    <t>JAGZNM010000023.1_8</t>
  </si>
  <si>
    <t>GCA_018363635.1.overview.tsv</t>
  </si>
  <si>
    <t>GCA_018363635.1_CGC16</t>
  </si>
  <si>
    <t>GCA_018366775.1</t>
  </si>
  <si>
    <t>JAGZHL010000008.1</t>
  </si>
  <si>
    <t>JAGZHL010000008.1_64</t>
  </si>
  <si>
    <t>GCA_018366775.1.overview.tsv</t>
  </si>
  <si>
    <t>GCA_018366775.1_CGC10</t>
  </si>
  <si>
    <t>TC|3.A.1.122.20; TC|3.A.1.122.20; null; CAZyme|GH16_3</t>
  </si>
  <si>
    <t>GCA_018372275.1</t>
  </si>
  <si>
    <t>JAHAJI010000002.1</t>
  </si>
  <si>
    <t>JAHAJI010000002.1_94</t>
  </si>
  <si>
    <t>GCA_018372275.1.overview.tsv</t>
  </si>
  <si>
    <t>GCA_018372275.1_CGC6</t>
  </si>
  <si>
    <t>CAZyme|GH5_21; CAZyme|GT26_e12; CAZyme|GT26_e51; CAZyme|GH16_3; CAZyme|GT4_e3415; null; CAZyme|GT2; null; CAZyme|GT32_e128; null; TC|2.A.40.1.4; TC|2.A.40.4.2; null; TC|2.A.40.7.8; null; null; CAZyme|CBM48_e32|GH13_8; null; null; TC|2.A.7.3.36; STP|Rhodanese</t>
  </si>
  <si>
    <t>JAHAJI010000002.1|CGC6</t>
  </si>
  <si>
    <t>JAHAJI010000009.1</t>
  </si>
  <si>
    <t>JAHAJI010000009.1_47</t>
  </si>
  <si>
    <t>GCA_018372275.1_CGC32</t>
  </si>
  <si>
    <t>JAHAJI010000009.1|CGC32</t>
  </si>
  <si>
    <t>GCA_018372295.1</t>
  </si>
  <si>
    <t>JAHAJH010000013.1</t>
  </si>
  <si>
    <t>JAHAJH010000013.1_12</t>
  </si>
  <si>
    <t>GCA_018372295.1.overview.tsv</t>
  </si>
  <si>
    <t>GCA_018372295.1_CGC31</t>
  </si>
  <si>
    <t>CAZyme|GH16_3; null; null; STP|LytTR; null; null; STP|Pribosyltran; null; null; TC|2.A.130.1.1</t>
  </si>
  <si>
    <t>GCA_018373565.1</t>
  </si>
  <si>
    <t>JAHAGV010000025.1</t>
  </si>
  <si>
    <t>JAHAGV010000025.1_8</t>
  </si>
  <si>
    <t>GCA_018373565.1.overview.tsv</t>
  </si>
  <si>
    <t>GCA_018373565.1_CGC19</t>
  </si>
  <si>
    <t>CAZyme|GT2; TC|2.A.129.1.11; null; null; CAZyme|GT2; CAZyme|GT2; CAZyme|GH16_3+Sulfatase|S1_11</t>
  </si>
  <si>
    <t>JAHAGV010000099.1</t>
  </si>
  <si>
    <t>JAHAGV010000099.1_2</t>
  </si>
  <si>
    <t>GH16_3(7-222)</t>
  </si>
  <si>
    <t>GH16_e50(1-223)</t>
  </si>
  <si>
    <t>GCA_018378275.1</t>
  </si>
  <si>
    <t>JAGZXT010000040.1</t>
  </si>
  <si>
    <t>JAGZXT010000040.1_9</t>
  </si>
  <si>
    <t>GCA_018378275.1.overview.tsv</t>
  </si>
  <si>
    <t>GCA_018378275.1_CGC14</t>
  </si>
  <si>
    <t>GCA_018378595.1</t>
  </si>
  <si>
    <t>JAGZXD010000010.1</t>
  </si>
  <si>
    <t>JAGZXD010000010.1_13</t>
  </si>
  <si>
    <t>GCA_018378595.1.overview.tsv</t>
  </si>
  <si>
    <t>GCA_018378595.1_CGC27</t>
  </si>
  <si>
    <t>GCA_018492835.1</t>
  </si>
  <si>
    <t>JAGHEF010000002.1</t>
  </si>
  <si>
    <t>JAGHEF010000002.1_1523</t>
  </si>
  <si>
    <t>GCA_018492835.1.overview.tsv</t>
  </si>
  <si>
    <t>JAGHEF010000003.1</t>
  </si>
  <si>
    <t>JAGHEF010000003.1_943</t>
  </si>
  <si>
    <t>GH16_3(38-269)</t>
  </si>
  <si>
    <t>GCA_018492835.1_CGC72</t>
  </si>
  <si>
    <t>CGC72</t>
  </si>
  <si>
    <t>CAZyme|GH3_e98+Sulfatase|S1_7; null; STP|Y_Y_Y+STP|HisKA+STP|HATPase_c+STP|Response_reg+STP|HTH_18; CAZyme|GH16_3; TC|1.B.14.6.2; TC|8.A.46.2.1; null; CAZyme|GH3_e208+Sulfatase|S1_7; STP|PALP; Peptidase|S09.UPW; STP|Sigma70_r2+STP|Sigma70_r4_2; STP|FecR; TC|1.B.14.6.17; TC|8.A.46.1.5; null; CAZyme|GH127_e5; CAZyme|GH127_e5; CAZyme|GH31_e40; CAZyme|GH66_e1; null; TC|1.B.38.1.10; TC|1.B.14.6.17; null; STP|ATPase_2</t>
  </si>
  <si>
    <t>JAGHEF010000003.1|CGC72</t>
  </si>
  <si>
    <t>beta-glucan,pectin</t>
  </si>
  <si>
    <t>GCA_018847595.1</t>
  </si>
  <si>
    <t>CP072046.1</t>
  </si>
  <si>
    <t>CP072046.1_1000</t>
  </si>
  <si>
    <t>GCA_018847595.1.overview.tsv</t>
  </si>
  <si>
    <t>GCA_018847595.1_CGC27</t>
  </si>
  <si>
    <t>CP072046.1_2273</t>
  </si>
  <si>
    <t>GH16_3(17-265)</t>
  </si>
  <si>
    <t>GH16_e147(18-266)</t>
  </si>
  <si>
    <t>GCA_018847595.1_CGC61</t>
  </si>
  <si>
    <t>CP072046.1_822</t>
  </si>
  <si>
    <t>GCA_018847595.1_CGC19</t>
  </si>
  <si>
    <t>TC|3.A.3.5.15; CAZyme|GH16_3+Sulfatase|S1_19</t>
  </si>
  <si>
    <t>CP072046.1|CGC19</t>
  </si>
  <si>
    <t>GCA_019375525.1</t>
  </si>
  <si>
    <t>JAHXCC010000010.1</t>
  </si>
  <si>
    <t>JAHXCC010000010.1_35</t>
  </si>
  <si>
    <t>GCA_019375525.1.overview.tsv</t>
  </si>
  <si>
    <t>GCA_019375525.1_CGC33</t>
  </si>
  <si>
    <t>GCA_019375575.1</t>
  </si>
  <si>
    <t>JAHXCE010000010.1</t>
  </si>
  <si>
    <t>JAHXCE010000010.1_7</t>
  </si>
  <si>
    <t>GCA_019375575.1.overview.tsv</t>
  </si>
  <si>
    <t>GCA_019375575.1_CGC38</t>
  </si>
  <si>
    <t>GCA_019375585.1</t>
  </si>
  <si>
    <t>JAHXCF010000011.1</t>
  </si>
  <si>
    <t>JAHXCF010000011.1_37</t>
  </si>
  <si>
    <t>GH16_3(1-129)</t>
  </si>
  <si>
    <t>GH16_e144(1-130)</t>
  </si>
  <si>
    <t>GCA_019375585.1.overview.tsv</t>
  </si>
  <si>
    <t>GCA_019375605.1</t>
  </si>
  <si>
    <t>JAHXCD010000010.1</t>
  </si>
  <si>
    <t>JAHXCD010000010.1_35</t>
  </si>
  <si>
    <t>GCA_019375605.1.overview.tsv</t>
  </si>
  <si>
    <t>GCA_019375605.1_CGC34</t>
  </si>
  <si>
    <t>GCA_019375655.1</t>
  </si>
  <si>
    <t>JAHXCH010000014.1</t>
  </si>
  <si>
    <t>JAHXCH010000014.1_33</t>
  </si>
  <si>
    <t>GCA_019375655.1.overview.tsv</t>
  </si>
  <si>
    <t>GCA_019375675.1</t>
  </si>
  <si>
    <t>JAHXCL010000001.1</t>
  </si>
  <si>
    <t>JAHXCL010000001.1_123</t>
  </si>
  <si>
    <t>GCA_019375675.1.overview.tsv</t>
  </si>
  <si>
    <t>GCA_019375675.1_CGC5</t>
  </si>
  <si>
    <t>GCA_019375695.1</t>
  </si>
  <si>
    <t>JAHXCI010000015.1</t>
  </si>
  <si>
    <t>JAHXCI010000015.1_33</t>
  </si>
  <si>
    <t>GCA_019375695.1.overview.tsv</t>
  </si>
  <si>
    <t>GCA_019375715.1</t>
  </si>
  <si>
    <t>JAHXCK010000003.1</t>
  </si>
  <si>
    <t>JAHXCK010000003.1_96</t>
  </si>
  <si>
    <t>GCA_019375715.1.overview.tsv</t>
  </si>
  <si>
    <t>GCA_019375715.1_CGC9</t>
  </si>
  <si>
    <t>GCA_019375725.1</t>
  </si>
  <si>
    <t>JAHXCJ010000001.1</t>
  </si>
  <si>
    <t>JAHXCJ010000001.1_123</t>
  </si>
  <si>
    <t>GCA_019375725.1.overview.tsv</t>
  </si>
  <si>
    <t>GCA_019375725.1_CGC5</t>
  </si>
  <si>
    <t>GCA_019375745.1</t>
  </si>
  <si>
    <t>JAHXCM010000003.1</t>
  </si>
  <si>
    <t>JAHXCM010000003.1_45</t>
  </si>
  <si>
    <t>GCA_019375745.1.overview.tsv</t>
  </si>
  <si>
    <t>GCA_019375745.1_CGC7</t>
  </si>
  <si>
    <t>GCA_019375775.1</t>
  </si>
  <si>
    <t>JAHXCN010000003.1</t>
  </si>
  <si>
    <t>JAHXCN010000003.1_96</t>
  </si>
  <si>
    <t>GCA_019375775.1.overview.tsv</t>
  </si>
  <si>
    <t>GCA_019375775.1_CGC9</t>
  </si>
  <si>
    <t>GCA_019375815.1</t>
  </si>
  <si>
    <t>JAHXCP010000002.1</t>
  </si>
  <si>
    <t>JAHXCP010000002.1_212</t>
  </si>
  <si>
    <t>GCA_019375815.1.overview.tsv</t>
  </si>
  <si>
    <t>GCA_019375815.1_CGC11</t>
  </si>
  <si>
    <t>TC|3.A.1.106.2; null; CAZyme|GT11_e30; null; CAZyme|GT2; CAZyme|GT2; CAZyme|GT2+TC|4.D.1.3.2; null; CAZyme|GT4_e2089; null; CAZyme|GT2+TC|4.D.1.1.14; null; CAZyme|GH16_3; null; null; STP|LytTR</t>
  </si>
  <si>
    <t>JAHXCP010000002.1|CGC11</t>
  </si>
  <si>
    <t>GCA_019375835.1</t>
  </si>
  <si>
    <t>JAHXCO010000001.1</t>
  </si>
  <si>
    <t>JAHXCO010000001.1_295</t>
  </si>
  <si>
    <t>GCA_019375835.1.overview.tsv</t>
  </si>
  <si>
    <t>GCA_019375835.1_CGC14</t>
  </si>
  <si>
    <t>TC|3.A.1.106.1; TC|2.A.127.1.11; null; CAZyme|GT11_e30; null; null; CAZyme|GT2+TC|4.D.1.3.4; CAZyme|GT2+TC|4.D.1.1.13; CAZyme|GT2+TC|4.D.1.3.2; null; CAZyme|GT4_e2089; null; CAZyme|GT2+TC|4.D.1.1.14; null; null; CAZyme|GH16_3; null; null; STP|LytTR; null; null; STP|Pribosyltran</t>
  </si>
  <si>
    <t>GCA_019375855.1</t>
  </si>
  <si>
    <t>JAHXCS010000033.1</t>
  </si>
  <si>
    <t>JAHXCS010000033.1_34</t>
  </si>
  <si>
    <t>GCA_019375855.1.overview.tsv</t>
  </si>
  <si>
    <t>GCA_019375855.1_CGC48</t>
  </si>
  <si>
    <t>GCA_019375865.1</t>
  </si>
  <si>
    <t>JAHXCQ010000002.1</t>
  </si>
  <si>
    <t>JAHXCQ010000002.1_85</t>
  </si>
  <si>
    <t>GCA_019375865.1.overview.tsv</t>
  </si>
  <si>
    <t>GCA_019375895.1</t>
  </si>
  <si>
    <t>JAHXCV010000001.1</t>
  </si>
  <si>
    <t>JAHXCV010000001.1_41</t>
  </si>
  <si>
    <t>GCA_019375895.1.overview.tsv</t>
  </si>
  <si>
    <t>GCA_019375895.1_CGC1</t>
  </si>
  <si>
    <t>GCA_019375935.1</t>
  </si>
  <si>
    <t>JAHXCW010000010.1</t>
  </si>
  <si>
    <t>JAHXCW010000010.1_39</t>
  </si>
  <si>
    <t>GCA_019375935.1.overview.tsv</t>
  </si>
  <si>
    <t>GCA_019375935.1_CGC31</t>
  </si>
  <si>
    <t>GCA_019375975.1</t>
  </si>
  <si>
    <t>JAHXCX010000019.1</t>
  </si>
  <si>
    <t>JAHXCX010000019.1_43</t>
  </si>
  <si>
    <t>GCA_019375975.1.overview.tsv</t>
  </si>
  <si>
    <t>GCA_019375975.1_CGC50</t>
  </si>
  <si>
    <t>CAZyme|GH16_3; null; null; CAZyme|GT2+TC|4.D.1.1.14; null; CAZyme|GT4_e2089; null; CAZyme|GT32_e169; CAZyme|GT2; CAZyme|GT2+TC|4.D.1.3.2</t>
  </si>
  <si>
    <t>GCA_019391735.1</t>
  </si>
  <si>
    <t>JAHXQW010000020.1</t>
  </si>
  <si>
    <t>JAHXQW010000020.1_40</t>
  </si>
  <si>
    <t>GCA_019391735.1.overview.tsv</t>
  </si>
  <si>
    <t>GCA_019391735.1_CGC39</t>
  </si>
  <si>
    <t>JAHXQW010000020.1|CGC39</t>
  </si>
  <si>
    <t>GCA_019391755.1</t>
  </si>
  <si>
    <t>JAHXQX010000002.1</t>
  </si>
  <si>
    <t>JAHXQX010000002.1_128</t>
  </si>
  <si>
    <t>GCA_019391755.1.overview.tsv</t>
  </si>
  <si>
    <t>GCA_019391755.1_CGC19</t>
  </si>
  <si>
    <t>JAHXQX010000002.1|CGC19</t>
  </si>
  <si>
    <t>TC-TC;null-null;CAZyme-CAZyme;CAZyme-CAZyme;CAZyme-CAZyme</t>
  </si>
  <si>
    <t>JAHXQX010000008.1</t>
  </si>
  <si>
    <t>JAHXQX010000008.1_67</t>
  </si>
  <si>
    <t>GCA_019391755.1_CGC39</t>
  </si>
  <si>
    <t>STP|Rhodanese; TC|2.A.7.3.36; null; null; CAZyme|CBM48_e32|GH13_8; null; null; TC|2.A.40.7.8; null; TC|2.A.40.4.2; TC|2.A.40.1.4; null; CAZyme|GT32_e128; null; CAZyme|GT2; null; CAZyme|GT4_e3415; CAZyme|GH16_3; CAZyme|GT26_e51; CAZyme|GT26_e12; CAZyme|GH5_21</t>
  </si>
  <si>
    <t>JAHXQX010000008.1|CGC39</t>
  </si>
  <si>
    <t>GCA_019391775.1</t>
  </si>
  <si>
    <t>JAHXQZ010000009.1</t>
  </si>
  <si>
    <t>JAHXQZ010000009.1_60</t>
  </si>
  <si>
    <t>GCA_019391775.1.overview.tsv</t>
  </si>
  <si>
    <t>GCA_019391775.1_CGC31</t>
  </si>
  <si>
    <t>JAHXQZ010000009.1|CGC31</t>
  </si>
  <si>
    <t>GCA_019391815.1</t>
  </si>
  <si>
    <t>JAHXRA010000010.1</t>
  </si>
  <si>
    <t>JAHXRA010000010.1_78</t>
  </si>
  <si>
    <t>GCA_019391815.1.overview.tsv</t>
  </si>
  <si>
    <t>GCA_019391815.1_CGC33</t>
  </si>
  <si>
    <t>GCA_019391855.1</t>
  </si>
  <si>
    <t>JAHXRC010000002.1</t>
  </si>
  <si>
    <t>JAHXRC010000002.1_92</t>
  </si>
  <si>
    <t>GCA_019391855.1.overview.tsv</t>
  </si>
  <si>
    <t>GCA_019391855.1_CGC9</t>
  </si>
  <si>
    <t>GCA_019391885.1</t>
  </si>
  <si>
    <t>JAHXRE010000011.1</t>
  </si>
  <si>
    <t>JAHXRE010000011.1_39</t>
  </si>
  <si>
    <t>GCA_019391885.1.overview.tsv</t>
  </si>
  <si>
    <t>GCA_019391935.1</t>
  </si>
  <si>
    <t>JAHXRH010000017.1</t>
  </si>
  <si>
    <t>JAHXRH010000017.1_8</t>
  </si>
  <si>
    <t>GCA_019391935.1.overview.tsv</t>
  </si>
  <si>
    <t>GCA_019734215.1</t>
  </si>
  <si>
    <t>JAASHK010000002.1</t>
  </si>
  <si>
    <t>JAASHK010000002.1_158</t>
  </si>
  <si>
    <t>GCA_019734215.1.overview.tsv</t>
  </si>
  <si>
    <t>GCA_019734215.1_CGC8</t>
  </si>
  <si>
    <t>JAASHK010000002.1|CGC8</t>
  </si>
  <si>
    <t>JAASHK010000002.1_163</t>
  </si>
  <si>
    <t>GH16_3(353-628)</t>
  </si>
  <si>
    <t>JAASHK010000009.1</t>
  </si>
  <si>
    <t>JAASHK010000009.1_4</t>
  </si>
  <si>
    <t>GCA_019734215.1_CGC37</t>
  </si>
  <si>
    <t>CAZyme|CBM48_e14|GH13_14; null; null; CAZyme|GH29_e30|CBM32_e126|GH16_3+Sulfatase|S1_16; CAZyme|GH20_e135+Sulfatase|S1_16; Sulfatase|S1_11; null; TC|1.B.14.6.1; CAZyme|GH95_e0+Sulfatase|S1_11; CAZyme|GH18_e13; CAZyme|GH20_e106; CAZyme|GH2_10+Sulfatase|S1_19; CAZyme|GH2_10+Sulfatase|S1_19; STP|HisKA+STP|HATPase_c+STP|Response_reg+STP|HTH_18; null; TC|2.A.1.46.5; STP|HhH-GPD; null; null; STP|TPR_2; null; STP|Reg_prop+STP|Y_Y_Y+STP|HisKA+STP|HATPase_c+STP|Response_reg+STP|HTH_18; CAZyme|GH43_10|CBM91_e10+Sulfatase|S1_7; CAZyme|GH3_e0+Sulfatase|S1_15; CAZyme|GH28_e64+Sulfatase|S1_15; CAZyme|CE8_e8; null; null; TC|8.A.46.1.3; TC|1.B.14.6.17; CAZyme|PL1_2</t>
  </si>
  <si>
    <t>JAASHK010000009.1|CGC37</t>
  </si>
  <si>
    <t>PUL0529</t>
  </si>
  <si>
    <t>STP-TC;STP-TC;STP-TC;CAZyme-CAZyme;CAZyme-CAZyme;CAZyme-CAZyme;CAZyme-CAZyme;CAZyme-CAZyme;null-null;null-CAZyme;null-null;TC-TC;TC-TC;TC-TC;TC-TC;CAZyme-CAZyme;CAZyme-CAZyme;CAZyme-CAZyme;CAZyme-CAZyme;CAZyme-CAZyme</t>
  </si>
  <si>
    <t>hostglycan,pectin</t>
  </si>
  <si>
    <t>JAASHK010000010.1</t>
  </si>
  <si>
    <t>JAASHK010000010.1_63</t>
  </si>
  <si>
    <t>GCA_019748915.1</t>
  </si>
  <si>
    <t>HMT-048</t>
  </si>
  <si>
    <t>Paenibacillus_typhae</t>
  </si>
  <si>
    <t>JACLCC010000002.1</t>
  </si>
  <si>
    <t>JACLCC010000002.1_78</t>
  </si>
  <si>
    <t>GH16_3(429-681)+CBM56(690-874)</t>
  </si>
  <si>
    <t>CBM56_e2(34-128)+CBM56_e2(131-243)+GH16_e317(430-682)+CBM56_e2(691-875)</t>
  </si>
  <si>
    <t>GCA_019748915.1.overview.tsv</t>
  </si>
  <si>
    <t>GH16_3(429-681)</t>
  </si>
  <si>
    <t>GCA_019748915.1_CGC11</t>
  </si>
  <si>
    <t>CAZyme|CBM56_e2|CBM56_e2|GH16_3|CBM56_e2+Sulfatase|S1_19; null; STP|Response_reg+STP|HTH_18; STP|HATPase_c; STP|SBP_bac_1; TC|3.A.1.1.59; TC|3.A.1.1.29; CAZyme|GH16_3; null; null; STP|Sigma70_r2+STP|Sigma70_r4_2; STP|Glyoxalase</t>
  </si>
  <si>
    <t>JACLCC010000002.1|CGC11</t>
  </si>
  <si>
    <t>PUL0187</t>
  </si>
  <si>
    <t>CAZyme-CAZyme;STP-TF;TC-TC;TC-TC;CAZyme-CAZyme</t>
  </si>
  <si>
    <t>JACLCC010000002.1_85</t>
  </si>
  <si>
    <t>GH16_3(6-240)</t>
  </si>
  <si>
    <t>GH16_e267(7-246)</t>
  </si>
  <si>
    <t>GH16_e267</t>
  </si>
  <si>
    <t>JACLCC010000022.1</t>
  </si>
  <si>
    <t>JACLCC010000022.1_65</t>
  </si>
  <si>
    <t>3.2.1.39:1;3.2.1.58:1|-|-|-|-|-|-</t>
  </si>
  <si>
    <t>CBM54(211-320)+GH16_3(448-695)+CBM4(728-864)+CBM4(894-1032)+CBM4(1184-1318)+CBM4(1351-1480)</t>
  </si>
  <si>
    <t>CBM54_e10(212-321)+GH16_e190(449-696)+CBM4_e15(729-864)+CBM4_e15(895-1033)+CBM6_e83(1062-1183)+CBM4_e15(1185-1319)+CBM4_e15(1352-1481)</t>
  </si>
  <si>
    <t>CBM4+CBM54+CBM6+GH16_3</t>
  </si>
  <si>
    <t>CBM54_e10|GH16_3|CBM4_e15|CBM4_e15|CBM6_e83|CBM4_e15|CBM4_e15</t>
  </si>
  <si>
    <t>beta-glucan;xylan</t>
  </si>
  <si>
    <t>GH16_3(448-695)</t>
  </si>
  <si>
    <t>CBM54_e10</t>
  </si>
  <si>
    <t>GCA_019748915.1_CGC100</t>
  </si>
  <si>
    <t>CGC100</t>
  </si>
  <si>
    <t>STP|TetR_N; TC|3.A.11.1.4; null; null; TC|2.A.86.1.11; CAZyme|GH16_21; CAZyme|GH16_21; TC|3.A.1.1.9; TC|9.B.33.1.4; STP|Response_reg+STP|HTH_18; CAZyme|GH94_e14; TC|3.A.1.1.51; TC|3.A.1.1.17; STP|SBP_bac_1; CAZyme|CBM54_e10|GH16_3|CBM4_e15|CBM4_e15|CBM6_e83|CBM4_e15|CBM4_e15</t>
  </si>
  <si>
    <t>JACLCC010000022.1|CGC100</t>
  </si>
  <si>
    <t>CAZyme-CAZyme;CAZyme-CAZyme;TC-TC;TC-TC;STP-TF;CAZyme-CAZyme</t>
  </si>
  <si>
    <t>JACLCC010000024.1</t>
  </si>
  <si>
    <t>JACLCC010000024.1_2</t>
  </si>
  <si>
    <t>3.2.1.6:1;3.2.1.39:1|3.2.1.6:1;3.2.1.39:1|3.2.1.6:1;3.2.1.39:1|3.2.1.6:1;3.2.1.39:1|3.2.1.6:1;3.2.1.39:1|3.2.1.6:1;3.2.1.39:1|3.2.1.6:1;3.2.1.39:1</t>
  </si>
  <si>
    <t>CBM54(218-329)+GH16_3(504-747)+CBM4(779-920)+CBM4(954-1083)+CBM4(1112-1232)+CBM4(1350-1459)+CBM4(1509-1633)</t>
  </si>
  <si>
    <t>CBM54_e23(218-329)+GH16_e193(505-748)+CBM4_e9(780-921)+CBM4_e9(955-1084)+CBM4_e9(1113-1233)+CBM4_e9(1351-1470)+CBM4_e9(1509-1633)</t>
  </si>
  <si>
    <t>CBM4+CBM54+GH16_3</t>
  </si>
  <si>
    <t>CBM54_e23|GH16_3|CBM4_e9|CBM4_e9|CBM4_e9|CBM4_e9|CBM4_e9</t>
  </si>
  <si>
    <t>GH16_3(504-747)</t>
  </si>
  <si>
    <t>CBM54_e23</t>
  </si>
  <si>
    <t>GCA_019748915.1_CGC109</t>
  </si>
  <si>
    <t>CGC109</t>
  </si>
  <si>
    <t>CAZyme|CBM54_e23|GH16_3|CBM4_e9|CBM4_e9|CBM4_e9|CBM4_e9|CBM4_e9; null; TC|3.A.1.12.2; TC|3.A.1.12.2; TC|3.A.1.12.9</t>
  </si>
  <si>
    <t>JACLCC010000027.1</t>
  </si>
  <si>
    <t>JACLCC010000027.1_95</t>
  </si>
  <si>
    <t>GH16_3(36-261)+CBM13(273-411)</t>
  </si>
  <si>
    <t>GH16_e342(37-262)+CBM13_e342(274-411)</t>
  </si>
  <si>
    <t>GH16_3(36-261)</t>
  </si>
  <si>
    <t>GCA_019748915.1_CGC116</t>
  </si>
  <si>
    <t>CGC116</t>
  </si>
  <si>
    <t>TC|1.A.134.1.2; TC|2.A.3.9.5; STP|AraC_binding+STP|HTH_18; CAZyme|GH115_e0; CAZyme|CE17_e0+Sulfatase|S1_24; STP|TetR_N; null; CAZyme|GH16_3|CBM13_e342; null; prodoric|PHOP_BACSU; STP|HisKA+STP|HATPase_c; null; TC|2.A.86.1.8</t>
  </si>
  <si>
    <t>JACLCC010000027.1|CGC116</t>
  </si>
  <si>
    <t>PUL0044</t>
  </si>
  <si>
    <t>arabinoxylan</t>
  </si>
  <si>
    <t>CAZyme-CAZyme;CAZyme-CAZyme;prodoric-TC</t>
  </si>
  <si>
    <t>GCA_019930725.1</t>
  </si>
  <si>
    <t>CP082870.1</t>
  </si>
  <si>
    <t>CP082870.1_142</t>
  </si>
  <si>
    <t>GCA_019930725.1.overview.tsv</t>
  </si>
  <si>
    <t>GCA_019930725.1_CGC5</t>
  </si>
  <si>
    <t>CP082870.1|CGC5</t>
  </si>
  <si>
    <t>CP082870.1_1763</t>
  </si>
  <si>
    <t>GCA_019930725.1_CGC39</t>
  </si>
  <si>
    <t>CP082870.1_1789</t>
  </si>
  <si>
    <t>GCA_019930725.1_CGC40</t>
  </si>
  <si>
    <t>GCA_019973735.1</t>
  </si>
  <si>
    <t>AP024463.1</t>
  </si>
  <si>
    <t>AP024463.1_2375</t>
  </si>
  <si>
    <t>GCA_019973735.1.overview.tsv</t>
  </si>
  <si>
    <t>GCA_020091305.1</t>
  </si>
  <si>
    <t>CP081898.1</t>
  </si>
  <si>
    <t>CP081898.1_1379</t>
  </si>
  <si>
    <t>GCA_020091305.1.overview.tsv</t>
  </si>
  <si>
    <t>GCA_020091305.1_CGC43</t>
  </si>
  <si>
    <t>CAZyme|GH35_e43|CBM32_e42+Sulfatase|S1_20; CAZyme|GH43_19; CAZyme|GH43_9|CBM91_e36|GH43_19; CAZyme|GH51_2; null; CAZyme|GH31_4; STP|Y_Y_Y+STP|HTH_18; CAZyme|GH97_e18; CAZyme|GH43_34|CBM32_e40; CAZyme|GH43_10|CBM91_e38+Sulfatase|S1_7; CAZyme|GH97_e16+Sulfatase|S1_8; CAZyme|GH29_e82+Sulfatase|S1_14; null; STP|HTH_18; null; TC|1.B.14.6.17; null; null; TC|2.C.1.4.1; CAZyme|GH127_e4+Sulfatase|S1_7; CAZyme|GH127_e4+Sulfatase|S1_7; CAZyme|GH43_34; null; CAZyme|GH154_e20; STP|Y_Y_Y+STP|HisKA+STP|HATPase_c+STP|Response_reg+STP|HTH_18; null; TC|1.B.14.6.17; TC|8.A.46.1.3; null; CAZyme|GH16_3|GH43_24+Sulfatase|S1_19; CAZyme|GH43_24+Sulfatase|S1_6; CAZyme|PL42_e0; CAZyme|GH105_e39; null; null; TC|2.A.122.1.1; TC|1.E.14.1.13; null; null; CAZyme|GT2+TC|4.D.3.1.3</t>
  </si>
  <si>
    <t>CP081898.1|CGC43</t>
  </si>
  <si>
    <t>TC-TC;null-TC;CAZyme-CAZyme;CAZyme-CAZyme;CAZyme-CAZyme;null-null;CAZyme-CAZyme;STP-TC;null-null;TC-TC;TC-TC;null-null;CAZyme-CAZyme;CAZyme-CAZyme;CAZyme-CAZyme;CAZyme-CAZyme;CAZyme-CAZyme;CAZyme-CAZyme;null-null</t>
  </si>
  <si>
    <t>CP081898.1_355</t>
  </si>
  <si>
    <t>CP081898.1_4101</t>
  </si>
  <si>
    <t>CP081898.1_557</t>
  </si>
  <si>
    <t>GCA_020091305.1_CGC12</t>
  </si>
  <si>
    <t>CP081898.1|CGC12</t>
  </si>
  <si>
    <t>GCA_020091365.1</t>
  </si>
  <si>
    <t>CP081901.1</t>
  </si>
  <si>
    <t>CP081901.1_2772</t>
  </si>
  <si>
    <t>GCA_020091365.1.overview.tsv</t>
  </si>
  <si>
    <t>GCA_020091365.1_CGC66</t>
  </si>
  <si>
    <t>TC|9.B.29.2.12; null; STP|Glyoxalase; STP|Sigma70_r2+STP|Sigma70_r4_2; CAZyme|GH92_e23; TC|8.A.46.1.3; TC|1.B.14.6.17; CAZyme|GH2_11; null; null; TC|1.B.14.6.17; STP|FecR; STP|Sigma70_r2+STP|Sigma70_r4_2; null; STP|FecR; TC|1.B.14.6.17; TC|8.A.46.1.3; CAZyme|GH20_e29+Sulfatase|S1_16; null; CAZyme|GH2_6+Sulfatase|S1_20; CAZyme|GH16_3</t>
  </si>
  <si>
    <t>CP081901.1|CGC66</t>
  </si>
  <si>
    <t>GCA_020091485.1</t>
  </si>
  <si>
    <t>CP081913.1</t>
  </si>
  <si>
    <t>CP081913.1_13</t>
  </si>
  <si>
    <t>GCA_020091485.1.overview.tsv</t>
  </si>
  <si>
    <t>CP081913.1_3206</t>
  </si>
  <si>
    <t>GCA_020091485.1_CGC73</t>
  </si>
  <si>
    <t>CAZyme|PL1_2; TC|1.B.14.6.17; TC|8.A.46.1.3; null; null; CAZyme|CE8_e8; CAZyme|GH28_e64+Sulfatase|S1_15; CAZyme|GH3_e0+Sulfatase|S1_15; CAZyme|GH43_10|CBM91_e10+Sulfatase|S1_7; CAZyme|GH43_10|CBM91_e53|CBM6_e10+Sulfatase|S1_8; null; STP|Reg_prop+STP|Y_Y_Y+STP|HisKA+STP|HATPase_c+prodoric|PHOP_BACSU+STP|HTH_18; null; STP|TPR_2; null; null; STP|HhH-GPD; TC|2.A.1.46.5; null; STP|Y_Y_Y+STP|HisKA+STP|HATPase_c+STP|Response_reg+STP|HTH_18; CAZyme|GH2_10+Sulfatase|S1_19; CAZyme|GH20_e106; CAZyme|GH18_e13; CAZyme|GH95_e0+Sulfatase|S1_11; TC|1.B.14.6.1; null; Sulfatase|S1_11; CAZyme|GH20_e135+Sulfatase|S1_16; CAZyme|GH29_e30|CBM32_e126|GH16_3+Sulfatase|S1_16; null; null; CAZyme|CBM48_e14|GH13_14; TC|3.A.1.131.2; null; TC|2.A.127.1.5; TC|9.B.105.1.10; TC|1.A.23.4.5</t>
  </si>
  <si>
    <t>CP081913.1|CGC73</t>
  </si>
  <si>
    <t>CAZyme-CAZyme;CAZyme-CAZyme;CAZyme-CAZyme;CAZyme-CAZyme;CAZyme-CAZyme;TC-TC;TC-TC;TC-TC;TC-TC;null-null;null-null;null-CAZyme;CAZyme-CAZyme;CAZyme-CAZyme;CAZyme-CAZyme;CAZyme-CAZyme;CAZyme-CAZyme;CAZyme-CAZyme;STP-TC;STP-TC;STP-TC</t>
  </si>
  <si>
    <t>pectin,xylan,hostglycan</t>
  </si>
  <si>
    <t>GCA_020091545.1</t>
  </si>
  <si>
    <t>CP081920.1</t>
  </si>
  <si>
    <t>CP081920.1_1924</t>
  </si>
  <si>
    <t>GCA_020091545.1.overview.tsv</t>
  </si>
  <si>
    <t>GCA_020091545.1_CGC41</t>
  </si>
  <si>
    <t>STP|HATPase_c; null; CAZyme|GT2; null; STP|Aminotran_1_2; null; CAZyme|PL8_3; null; TC|3.A.1.120.8</t>
  </si>
  <si>
    <t>CP081920.1_2347</t>
  </si>
  <si>
    <t>GCA_020091545.1_CGC52</t>
  </si>
  <si>
    <t>CP081920.1_2651</t>
  </si>
  <si>
    <t>GCA_020091545.1_CGC57</t>
  </si>
  <si>
    <t>TC|8.A.46.2.1; TC|1.B.14.6.2; null; TC|2.A.86.1.2; STP|HTH_18; null; CAZyme|GH16_3; CAZyme|GH16_3; TC|8.A.46.1.4; TC|1.B.14.6.17; STP|HisKA+STP|HATPase_c+STP|Response_reg+STP|HTH_18</t>
  </si>
  <si>
    <t>CP081920.1|CGC57</t>
  </si>
  <si>
    <t>CP081920.1_2652</t>
  </si>
  <si>
    <t>CP081920.1_2803</t>
  </si>
  <si>
    <t>GCA_020091545.1_CGC61</t>
  </si>
  <si>
    <t>CAZyme|GT2+TC|4.D.1.3.3; null; null; TC|1.E.14.1.13; TC|2.A.122.1.1; null; TC|2.C.1.4.1; null; CAZyme|GH105_e39; CAZyme|PL42_e0; CAZyme|GH43_24+Sulfatase|S1_6; CAZyme|GH154_e2+Sulfatase|S1_14; CAZyme|GH16_3|GH43_24+Sulfatase|S1_19; CAZyme|GH16_3+Sulfatase|S1_19; CAZyme|CBM32_e83; TC|8.A.46.1.3; TC|1.B.14.6.1; null; TC|1.B.14.6.17; STP|Y_Y_Y+STP|HisKA+STP|HATPase_c+STP|Response_reg+STP|HTH_18; CAZyme|GH43_34</t>
  </si>
  <si>
    <t>CP081920.1|CGC61</t>
  </si>
  <si>
    <t>CP081920.1_2804</t>
  </si>
  <si>
    <t>CP081920.1_2931</t>
  </si>
  <si>
    <t>GCA_020091545.1_CGC62</t>
  </si>
  <si>
    <t>TC|1.B.14.6.1; null; null; CAZyme|GH35_e43; CAZyme|GH16_3; CAZyme|GH20_e12+Sulfatase|S1_16; CAZyme|GH16_3; TC|8.A.46.1.4; TC|1.B.14.6.17</t>
  </si>
  <si>
    <t>CP081920.1|CGC62</t>
  </si>
  <si>
    <t>PUL0721</t>
  </si>
  <si>
    <t>CAZyme-CAZyme;TC-TC;TC-TC</t>
  </si>
  <si>
    <t>CP081920.1_2933</t>
  </si>
  <si>
    <t>CP081920.1_3699</t>
  </si>
  <si>
    <t>CP081920.1_3774</t>
  </si>
  <si>
    <t>GCA_020091545.1_CGC87</t>
  </si>
  <si>
    <t>CP081920.1|CGC87</t>
  </si>
  <si>
    <t>CP081920.1_3972</t>
  </si>
  <si>
    <t>GCA_020149745.1</t>
  </si>
  <si>
    <t>CP083813.1</t>
  </si>
  <si>
    <t>CP083813.1_1211</t>
  </si>
  <si>
    <t>GCA_020149745.1.overview.tsv</t>
  </si>
  <si>
    <t>GCA_020149745.1_CGC41</t>
  </si>
  <si>
    <t>STP|HTH_3; null; CAZyme|GH92_e18; null; null; CAZyme|GH16_3</t>
  </si>
  <si>
    <t>CP083813.1_2320</t>
  </si>
  <si>
    <t>CP083813.1_768</t>
  </si>
  <si>
    <t>GCA_020149745.1_CGC28</t>
  </si>
  <si>
    <t>CAZyme|CE20_e34+Sulfatase|S1_7; CAZyme|GH3_e208+Sulfatase|S1_7; null; TC|8.A.46.2.1; TC|1.B.14.6.2; CAZyme|GH16_3; STP|Y_Y_Y+STP|HisKA+STP|HATPase_c+STP|Response_reg+STP|HTH_18; null; CAZyme|GH3_e98+Sulfatase|S1_7</t>
  </si>
  <si>
    <t>CP083813.1|CGC28</t>
  </si>
  <si>
    <t>GCA_020550085.1</t>
  </si>
  <si>
    <t>CP085132.1</t>
  </si>
  <si>
    <t>CP085132.1_1939</t>
  </si>
  <si>
    <t>GCA_020550085.1.overview.tsv</t>
  </si>
  <si>
    <t>GCA_020550085.1_CGC50</t>
  </si>
  <si>
    <t>CP085132.1|CGC50</t>
  </si>
  <si>
    <t>CP085132.1_1988</t>
  </si>
  <si>
    <t>GCA_020555745.1</t>
  </si>
  <si>
    <t>JAJCJI010000005.1</t>
  </si>
  <si>
    <t>JAJCJI010000005.1_3</t>
  </si>
  <si>
    <t>GCA_020555745.1.overview.tsv</t>
  </si>
  <si>
    <t>GCA_020555745.1_CGC12</t>
  </si>
  <si>
    <t>TC|1.B.14.6.16; null; CAZyme|GH16_3+Sulfatase|S1_19; CAZyme|GH97_e1+Sulfatase|S1_8</t>
  </si>
  <si>
    <t>JAJCJI010000005.1|CGC12</t>
  </si>
  <si>
    <t>PUL0690</t>
  </si>
  <si>
    <t>raffinose family oligosaccharides</t>
  </si>
  <si>
    <t>GCA_020735565.1</t>
  </si>
  <si>
    <t>CP085926.1</t>
  </si>
  <si>
    <t>CP085926.1_1553</t>
  </si>
  <si>
    <t>GCA_020735565.1.overview.tsv</t>
  </si>
  <si>
    <t>GCA_020735565.1_CGC33</t>
  </si>
  <si>
    <t>STP|PfkB; TC|2.A.1.7.17; CAZyme|GH32_e16+Sulfatase|S1_7; CAZyme|GH32_e88+Sulfatase|S1_7; null; TC|1.B.38.1.10; TC|1.B.14.6.17; STP|Peripla_BP_1+STP|HisKA+STP|HATPase_c+STP|Response_reg+STP|HTH_18; null; TC|8.A.46.3.3; null; null; TC|1.B.14.6.16; null; CAZyme|GH16_3+Sulfatase|S1_19; CAZyme|GH97_e1+Sulfatase|S1_8</t>
  </si>
  <si>
    <t>CP085926.1|CGC33</t>
  </si>
  <si>
    <t>PUL0765</t>
  </si>
  <si>
    <t>Inulin</t>
  </si>
  <si>
    <t>STP-STP;TC-TC;CAZyme-CAZyme;CAZyme-null;TC-TC;TC-TC;STP-TC</t>
  </si>
  <si>
    <t>GCA_020735605.1</t>
  </si>
  <si>
    <t>CP085927.1</t>
  </si>
  <si>
    <t>CP085927.1_1094</t>
  </si>
  <si>
    <t>GCA_020735605.1.overview.tsv</t>
  </si>
  <si>
    <t>GCA_020735605.1_CGC35</t>
  </si>
  <si>
    <t>TC|9.B.29.2.12; null; STP|Glyoxalase; STP|Sigma70_r2+STP|Sigma70_r4_2; CAZyme|GH92_e23; null; Sulfatase|S1_27; TC|1.B.14.6.17; STP|FecR; STP|Sigma70_r2+STP|Sigma70_r4_2; null; null; STP|FecR; TC|1.B.14.6.1; TC|1.B.14.6.17; null; null; CAZyme|GH20_e29+Sulfatase|S1_16; null; CAZyme|GH2_6+Sulfatase|S1_20; CAZyme|GH16_3</t>
  </si>
  <si>
    <t>CP085927.1|CGC35</t>
  </si>
  <si>
    <t>PUL0548</t>
  </si>
  <si>
    <t>CAZyme-CAZyme;Sulfatase-null;TC-TC;STP-STP;TC-TC</t>
  </si>
  <si>
    <t>GCA_020735785.1</t>
  </si>
  <si>
    <t>CP085942.1</t>
  </si>
  <si>
    <t>CP085942.1_1106</t>
  </si>
  <si>
    <t>GCA_020735785.1.overview.tsv</t>
  </si>
  <si>
    <t>GCA_020735785.1_CGC17</t>
  </si>
  <si>
    <t>CP085942.1|CGC17</t>
  </si>
  <si>
    <t>GCA_020735945.1</t>
  </si>
  <si>
    <t>CP085944.1</t>
  </si>
  <si>
    <t>CP085944.1_2944</t>
  </si>
  <si>
    <t>GCA_020735945.1.overview.tsv</t>
  </si>
  <si>
    <t>GCA_020735945.1_CGC78</t>
  </si>
  <si>
    <t>CP085944.1|CGC78</t>
  </si>
  <si>
    <t>GCA_020736165.1</t>
  </si>
  <si>
    <t>CP085961.1</t>
  </si>
  <si>
    <t>CP085961.1_1061</t>
  </si>
  <si>
    <t>GCA_020736165.1.overview.tsv</t>
  </si>
  <si>
    <t>GCA_020736165.1_CGC25</t>
  </si>
  <si>
    <t>CP085961.1_1065</t>
  </si>
  <si>
    <t>GCA_020736165.1_CGC26</t>
  </si>
  <si>
    <t>CP085961.1_1568</t>
  </si>
  <si>
    <t>GCA_020736165.1_CGC36</t>
  </si>
  <si>
    <t>CP085961.1|CGC36</t>
  </si>
  <si>
    <t>GCA_020912025.1</t>
  </si>
  <si>
    <t>JAGTWK010000002.1</t>
  </si>
  <si>
    <t>JAGTWK010000002.1_38</t>
  </si>
  <si>
    <t>GCA_020912025.1.overview.tsv</t>
  </si>
  <si>
    <t>JAGTWK010000002.1_39</t>
  </si>
  <si>
    <t>GCA_021222645.1</t>
  </si>
  <si>
    <t>CP089520.1</t>
  </si>
  <si>
    <t>CP089520.1_607</t>
  </si>
  <si>
    <t>GH16_3(41-292)</t>
  </si>
  <si>
    <t>GH16_e218(43-293)</t>
  </si>
  <si>
    <t>GCA_021222645.1.overview.tsv</t>
  </si>
  <si>
    <t>GCA_021222645.1_CGC11</t>
  </si>
  <si>
    <t>STP|TrmB; CAZyme|GH16_3; CAZyme|GH16_3; null; STP|LexA_DNA_bind; null; TC|9.B.18.1.2; CAZyme|GT4_e4002; CAZyme|GT4_e128; null; TC|9.B.18.2.4</t>
  </si>
  <si>
    <t>CP089520.1|CGC11</t>
  </si>
  <si>
    <t>CP089520.1_608</t>
  </si>
  <si>
    <t>GH16_3(55-308)</t>
  </si>
  <si>
    <t>GH16_e218(57-309)</t>
  </si>
  <si>
    <t>GCA_021532155.1</t>
  </si>
  <si>
    <t>JADYUW010000002.1</t>
  </si>
  <si>
    <t>JADYUW010000002.1_41</t>
  </si>
  <si>
    <t>GCA_021532155.1.overview.tsv</t>
  </si>
  <si>
    <t>GCA_021532155.1_CGC3</t>
  </si>
  <si>
    <t>JADYUW010000003.1</t>
  </si>
  <si>
    <t>JADYUW010000003.1_19</t>
  </si>
  <si>
    <t>GCA_021532155.1_CGC5</t>
  </si>
  <si>
    <t>JADYUW010000034.1</t>
  </si>
  <si>
    <t>JADYUW010000034.1_23</t>
  </si>
  <si>
    <t>GCA_021532155.1_CGC42</t>
  </si>
  <si>
    <t>JADYUW010000034.1|CGC42</t>
  </si>
  <si>
    <t>JADYUW010000050.1</t>
  </si>
  <si>
    <t>JADYUW010000050.1_7</t>
  </si>
  <si>
    <t>GCA_021532155.1_CGC47</t>
  </si>
  <si>
    <t>CAZyme|GH16_3|CBM13_e226; STP|Reg_prop+STP|HisKA+STP|HATPase_c+STP|Response_reg+STP|HTH_18; Sulfatase|S1_27; TC|1.B.14.6.1</t>
  </si>
  <si>
    <t>JADYUW010000050.1|CGC47</t>
  </si>
  <si>
    <t>GCA_022772185.1</t>
  </si>
  <si>
    <t>JALFAM010000004.1</t>
  </si>
  <si>
    <t>JALFAM010000004.1_50</t>
  </si>
  <si>
    <t>GCA_022772185.1.overview.tsv</t>
  </si>
  <si>
    <t>GCA_022819345.1</t>
  </si>
  <si>
    <t>CP089288.1</t>
  </si>
  <si>
    <t>CP089288.1_204</t>
  </si>
  <si>
    <t>GCA_022819345.1.overview.tsv</t>
  </si>
  <si>
    <t>GCA_022819345.1_CGC4</t>
  </si>
  <si>
    <t>CAZyme|GH16_3; CAZyme|GH16_3+Sulfatase|S1_19; null; STP|LexA_DNA_bind; null; TC|9.B.18.1.2; CAZyme|GT4_e4002; CAZyme|GT4_e128; null; TC|9.B.18.2.4</t>
  </si>
  <si>
    <t>CP089288.1|CGC4</t>
  </si>
  <si>
    <t>CP089288.1_205</t>
  </si>
  <si>
    <t>GCA_022819365.1</t>
  </si>
  <si>
    <t>CP089289.1</t>
  </si>
  <si>
    <t>CP089289.1_21</t>
  </si>
  <si>
    <t>GCA_022819365.1.overview.tsv</t>
  </si>
  <si>
    <t>GCA_022819365.1_CGC1</t>
  </si>
  <si>
    <t>TC|9.B.18.2.4; null; CAZyme|GT4_e128; CAZyme|GT4_e4002; TC|9.B.18.1.2; null; STP|LexA_DNA_bind; null; CAZyme|GT2|GT83_e5+TC|9.B.142.2.5; null; CAZyme|GH16_3; CAZyme|GH16_3; STP|Trans_reg_C</t>
  </si>
  <si>
    <t>CP089289.1|CGC1</t>
  </si>
  <si>
    <t>CP089289.1_22</t>
  </si>
  <si>
    <t>GCA_022819385.1</t>
  </si>
  <si>
    <t>CP089290.1</t>
  </si>
  <si>
    <t>CP089290.1_89</t>
  </si>
  <si>
    <t>GCA_022819385.1.overview.tsv</t>
  </si>
  <si>
    <t>GCA_022819385.1_CGC2</t>
  </si>
  <si>
    <t>STP|Trans_reg_C; CAZyme|GH16_3; CAZyme|GH16_3; null; CAZyme|GT2|GT83_e5+TC|9.B.142.2.5; null; STP|LexA_DNA_bind; null; TC|9.B.18.1.2; CAZyme|GT4_e4002; CAZyme|GT4_e128; null; TC|9.B.18.2.4</t>
  </si>
  <si>
    <t>CP089290.1|CGC2</t>
  </si>
  <si>
    <t>CP089290.1_90</t>
  </si>
  <si>
    <t>GCA_022828245.1</t>
  </si>
  <si>
    <t>JAJQJV010000002.1</t>
  </si>
  <si>
    <t>JAJQJV010000002.1_23</t>
  </si>
  <si>
    <t>GH16_3(58-319)</t>
  </si>
  <si>
    <t>GH16_e218(60-320)</t>
  </si>
  <si>
    <t>GCA_022828245.1.overview.tsv</t>
  </si>
  <si>
    <t>GCA_022828245.1_CGC3</t>
  </si>
  <si>
    <t>TC|9.B.18.2.4; null; CAZyme|GT4_e128; CAZyme|GT4_e4002; TC|9.B.18.1.2; null; STP|LexA_DNA_bind; null; null; CAZyme|GT2|GT83_e5+TC|9.B.142.2.5; null; null; CAZyme|GH16_3+Sulfatase|S1_19; CAZyme|GH16_3; STP|TrmB</t>
  </si>
  <si>
    <t>JAJQJV010000002.1|CGC3</t>
  </si>
  <si>
    <t>JAJQJV010000002.1_24</t>
  </si>
  <si>
    <t>GCA_022828255.1</t>
  </si>
  <si>
    <t>JAJQJW010000002.1</t>
  </si>
  <si>
    <t>JAJQJW010000002.1_309</t>
  </si>
  <si>
    <t>GCA_022828255.1.overview.tsv</t>
  </si>
  <si>
    <t>GCA_022828255.1_CGC7</t>
  </si>
  <si>
    <t>TC|9.B.18.2.4; null; CAZyme|GT4_e128; CAZyme|GT4_e4002; TC|9.B.18.1.2; null; STP|LexA_DNA_bind; null; CAZyme|GH16_3+Sulfatase|S1_19; CAZyme|GH16_3</t>
  </si>
  <si>
    <t>JAJQJW010000002.1|CGC7</t>
  </si>
  <si>
    <t>JAJQJW010000002.1_310</t>
  </si>
  <si>
    <t>GCA_022828285.1</t>
  </si>
  <si>
    <t>JAJQJR010000003.1</t>
  </si>
  <si>
    <t>JAJQJR010000003.1_188</t>
  </si>
  <si>
    <t>GCA_022828285.1.overview.tsv</t>
  </si>
  <si>
    <t>GCA_022828285.1_CGC10</t>
  </si>
  <si>
    <t>JAJQJR010000003.1|CGC10</t>
  </si>
  <si>
    <t>JAJQJR010000003.1_189</t>
  </si>
  <si>
    <t>GCA_022828295.1</t>
  </si>
  <si>
    <t>JAJQJT010000001.1</t>
  </si>
  <si>
    <t>JAJQJT010000001.1_359</t>
  </si>
  <si>
    <t>GCA_022828295.1.overview.tsv</t>
  </si>
  <si>
    <t>GCA_022828295.1_CGC5</t>
  </si>
  <si>
    <t>CAZyme|GT4_e128; CAZyme|GT4_e4002; TC|9.B.18.1.2; null; STP|LexA_DNA_bind; CAZyme|GH16_3+Sulfatase|S1_19; CAZyme|GH16_3</t>
  </si>
  <si>
    <t>JAJQJT010000001.1|CGC5</t>
  </si>
  <si>
    <t>JAJQJT010000001.1_360</t>
  </si>
  <si>
    <t>GCA_022828325.1</t>
  </si>
  <si>
    <t>JAJQJS010000002.1</t>
  </si>
  <si>
    <t>JAJQJS010000002.1_304</t>
  </si>
  <si>
    <t>GCA_022828325.1.overview.tsv</t>
  </si>
  <si>
    <t>GCA_022828325.1_CGC5</t>
  </si>
  <si>
    <t>STP|TrmB; CAZyme|GH16_3; CAZyme|GH16_3; null; CAZyme|GT83+TC|9.B.142.2.5; CAZyme|GT2; null; STP|LexA_DNA_bind; null; TC|9.B.18.1.2; CAZyme|GT4_e4002; CAZyme|GT4_e128; null; TC|9.B.18.2.4</t>
  </si>
  <si>
    <t>JAJQJS010000002.1|CGC5</t>
  </si>
  <si>
    <t>JAJQJS010000002.1_305</t>
  </si>
  <si>
    <t>GCA_022828365.1</t>
  </si>
  <si>
    <t>JAJQJU010000003.1</t>
  </si>
  <si>
    <t>JAJQJU010000003.1_16</t>
  </si>
  <si>
    <t>GCA_022828365.1.overview.tsv</t>
  </si>
  <si>
    <t>GCA_022828365.1_CGC10</t>
  </si>
  <si>
    <t>STP|TrmB; CAZyme|GH16_3; CAZyme|GH16_3; null; CAZyme|GT2|GT83_e5+TC|9.B.142.2.5</t>
  </si>
  <si>
    <t>JAJQJU010000003.1|CGC10</t>
  </si>
  <si>
    <t>JAJQJU010000003.1_17</t>
  </si>
  <si>
    <t>GH16_3(59-315)</t>
  </si>
  <si>
    <t>GCA_022828375.1</t>
  </si>
  <si>
    <t>JAJQJX010000001.1</t>
  </si>
  <si>
    <t>JAJQJX010000001.1_505</t>
  </si>
  <si>
    <t>GCA_022828375.1.overview.tsv</t>
  </si>
  <si>
    <t>GCA_022828375.1_CGC9</t>
  </si>
  <si>
    <t>CAZyme|GT2|GT83_e5+TC|9.B.142.2.5; null; CAZyme|GH16_3; CAZyme|GH16_3; STP|Trans_reg_C</t>
  </si>
  <si>
    <t>JAJQJX010000001.1|CGC9</t>
  </si>
  <si>
    <t>JAJQJX010000001.1_506</t>
  </si>
  <si>
    <t>GCA_022834995.1</t>
  </si>
  <si>
    <t>BQNL01000001.1</t>
  </si>
  <si>
    <t>BQNL01000001.1_2156</t>
  </si>
  <si>
    <t>GH16_3(76-311)</t>
  </si>
  <si>
    <t>GH16_e240(77-312)</t>
  </si>
  <si>
    <t>GCA_022834995.1.overview.tsv</t>
  </si>
  <si>
    <t>GCA_022834995.1_CGC60</t>
  </si>
  <si>
    <t>TC|2.A.7.34.3; null; TC|2.A.107.1.2; null; null; CAZyme|GT2+TC|4.D.1.1.13; null; STP|Y_Y_Y; TC|1.B.14.6.17; null; null; CAZyme|GH16_3; CAZyme|GH158_e5; CAZyme|GH3_e1+Sulfatase|S1_7; null; null; TC|1.A.43.1.1; null; CAZyme|GH97_e22; null; STP|HTH_18</t>
  </si>
  <si>
    <t>BQNL01000001.1|CGC60</t>
  </si>
  <si>
    <t>TC-TC;null-null;TC-TC;null-null;null-null;CAZyme-CAZyme;null-null;STP-TF;TC-TC;null-null;null-null;CAZyme-CAZyme;CAZyme-CAZyme;CAZyme-CAZyme;null-null;null-null;TC-TC;null-null;CAZyme-CAZyme;null-STP;STP-TF</t>
  </si>
  <si>
    <t>BQNL01000001.1_2207</t>
  </si>
  <si>
    <t>GCA_022835275.1</t>
  </si>
  <si>
    <t>BQNZ01000002.1</t>
  </si>
  <si>
    <t>BQNZ01000002.1_742</t>
  </si>
  <si>
    <t>GCA_022835275.1.overview.tsv</t>
  </si>
  <si>
    <t>GCA_022835275.1_CGC70</t>
  </si>
  <si>
    <t>BQNZ01000002.1|CGC70</t>
  </si>
  <si>
    <t>GCA_023169925.1</t>
  </si>
  <si>
    <t>AP025590.1</t>
  </si>
  <si>
    <t>AP025590.1_479</t>
  </si>
  <si>
    <t>GCA_023169925.1.overview.tsv</t>
  </si>
  <si>
    <t>GCA_023169925.1_CGC7</t>
  </si>
  <si>
    <t>GCA_023425005.1</t>
  </si>
  <si>
    <t>JAFADK010000005.1</t>
  </si>
  <si>
    <t>JAFADK010000005.1_4</t>
  </si>
  <si>
    <t>GCA_023425005.1.overview.tsv</t>
  </si>
  <si>
    <t>JAFADK010000084.1</t>
  </si>
  <si>
    <t>JAFADK010000084.1_11</t>
  </si>
  <si>
    <t>GH16_3(91-327)</t>
  </si>
  <si>
    <t>GH16_e240(92-328)</t>
  </si>
  <si>
    <t>GCA_023425005.1_CGC32</t>
  </si>
  <si>
    <t>TC|2.A.1.7.9; TC|9.B.18.2.4; STP|Response_reg+STP|HATPase_c; null; TC|1.B.14.6.17; null; CAZyme|CBM103; CAZyme|GH16_3+Sulfatase|S1_19; CAZyme|GH3_e1+Sulfatase|S1_7; null; TC|1.A.43.1.1; null; null; TC|9.B.238.3.6</t>
  </si>
  <si>
    <t>JAFADK010000084.1|CGC32</t>
  </si>
  <si>
    <t>GCA_023436275.1</t>
  </si>
  <si>
    <t>JAEZJU010000009.1</t>
  </si>
  <si>
    <t>JAEZJU010000009.1_24</t>
  </si>
  <si>
    <t>GH16_3(136-372)</t>
  </si>
  <si>
    <t>GH16_e240(137-373)</t>
  </si>
  <si>
    <t>GCA_023436275.1.overview.tsv</t>
  </si>
  <si>
    <t>GCA_023436275.1_CGC13</t>
  </si>
  <si>
    <t>TC|9.B.238.3.6; null; null; TC|1.A.43.1.1; null; null; CAZyme|GH3_e1+Sulfatase|S1_7; CAZyme|GH16_3+Sulfatase|S1_19; CAZyme|CBM103; null; TC|1.B.14.6.17</t>
  </si>
  <si>
    <t>JAEZJU010000009.1|CGC13</t>
  </si>
  <si>
    <t>JAEZJU010000045.1</t>
  </si>
  <si>
    <t>JAEZJU010000045.1_21</t>
  </si>
  <si>
    <t>GCA_023522295.1</t>
  </si>
  <si>
    <t>QFFX01000062.1</t>
  </si>
  <si>
    <t>QFFX01000062.1_10</t>
  </si>
  <si>
    <t>GCA_023522295.1.overview.tsv</t>
  </si>
  <si>
    <t>GCA_023668195.1</t>
  </si>
  <si>
    <t>JAMOWN010000004.1</t>
  </si>
  <si>
    <t>JAMOWN010000004.1_97</t>
  </si>
  <si>
    <t>GCA_023668195.1.overview.tsv</t>
  </si>
  <si>
    <t>GCA_023668195.1_CGC26</t>
  </si>
  <si>
    <t>GCA_023668475.1</t>
  </si>
  <si>
    <t>JAMOXA010000003.1</t>
  </si>
  <si>
    <t>JAMOXA010000003.1_145</t>
  </si>
  <si>
    <t>GCA_023668475.1.overview.tsv</t>
  </si>
  <si>
    <t>GCA_023668475.1_CGC18</t>
  </si>
  <si>
    <t>GCA_024125345.1</t>
  </si>
  <si>
    <t>JAMXVJ010000001.1</t>
  </si>
  <si>
    <t>JAMXVJ010000001.1_1119</t>
  </si>
  <si>
    <t>GCA_024125345.1.overview.tsv</t>
  </si>
  <si>
    <t>GCA_024125345.1_CGC34</t>
  </si>
  <si>
    <t>JAMXVJ010000001.1|CGC34</t>
  </si>
  <si>
    <t>GCA_024167965.1</t>
  </si>
  <si>
    <t>CP100127.1</t>
  </si>
  <si>
    <t>CP100127.1_601</t>
  </si>
  <si>
    <t>GH16_3(2-192)</t>
  </si>
  <si>
    <t>GH16_e336(4-202)</t>
  </si>
  <si>
    <t>GCA_024167965.1.overview.tsv</t>
  </si>
  <si>
    <t>GCA_024167965.1_CGC12</t>
  </si>
  <si>
    <t>CAZyme|GH3_e165+Sulfatase|S1_15; STP|AraC_binding+STP|HTH_18; CAZyme|GH16_3; null; TC|3.A.1.211.25; TC|9.B.325.1.7; null; null; TC|2.A.38.1.1; TC|2.A.38.1.1</t>
  </si>
  <si>
    <t>GCA_024329925.1</t>
  </si>
  <si>
    <t>JANDXG010000007.1</t>
  </si>
  <si>
    <t>JANDXG010000007.1_109</t>
  </si>
  <si>
    <t>GH16_3(37-274)</t>
  </si>
  <si>
    <t>GH16_e321(38-275)</t>
  </si>
  <si>
    <t>GCA_024329925.1.overview.tsv</t>
  </si>
  <si>
    <t>GCA_024329925.1_CGC34</t>
  </si>
  <si>
    <t>STP|HTH_18; null; TC|8.A.1.1.2; null; CAZyme|GH16_3; null; null; CAZyme|GT51_e17+Peptidase|X52.001; null; CAZyme|GH95_e1+Sulfatase|S1_11; TC|1.B.42.1.8; STP|HD; TC|3.B.1.1.6</t>
  </si>
  <si>
    <t>GCA_024330295.1</t>
  </si>
  <si>
    <t>JANDXA010000006.1</t>
  </si>
  <si>
    <t>JANDXA010000006.1_109</t>
  </si>
  <si>
    <t>GCA_024330295.1.overview.tsv</t>
  </si>
  <si>
    <t>GCA_024330295.1_CGC29</t>
  </si>
  <si>
    <t>GCA_024330365.1</t>
  </si>
  <si>
    <t>JANDWZ010000023.1</t>
  </si>
  <si>
    <t>JANDWZ010000023.1_9</t>
  </si>
  <si>
    <t>GCA_024330365.1.overview.tsv</t>
  </si>
  <si>
    <t>GCA_024330365.1_CGC52</t>
  </si>
  <si>
    <t>TC|3.B.1.1.6; STP|HD; TC|1.B.42.1.8; CAZyme|GH95_e1+Sulfatase|S1_11; null; CAZyme|GT51_e17+Peptidase|X52.001; null; null; CAZyme|GH16_3; null; TC|8.A.1.1.2; null; STP|HTH_18</t>
  </si>
  <si>
    <t>GCA_024330435.1</t>
  </si>
  <si>
    <t>JANDWY010000006.1</t>
  </si>
  <si>
    <t>JANDWY010000006.1_109</t>
  </si>
  <si>
    <t>GCA_024330435.1.overview.tsv</t>
  </si>
  <si>
    <t>GCA_024330435.1_CGC29</t>
  </si>
  <si>
    <t>GCA_024330665.1</t>
  </si>
  <si>
    <t>JANDXE010000021.1</t>
  </si>
  <si>
    <t>JANDXE010000021.1_45</t>
  </si>
  <si>
    <t>GCA_024330665.1.overview.tsv</t>
  </si>
  <si>
    <t>GCA_024330665.1_CGC49</t>
  </si>
  <si>
    <t>GCA_024330875.1</t>
  </si>
  <si>
    <t>JANDXB010000004.1</t>
  </si>
  <si>
    <t>JANDXB010000004.1_9</t>
  </si>
  <si>
    <t>GCA_024330875.1.overview.tsv</t>
  </si>
  <si>
    <t>GCA_024330875.1_CGC20</t>
  </si>
  <si>
    <t>GCA_024330905.1</t>
  </si>
  <si>
    <t>JANDXC010000006.1</t>
  </si>
  <si>
    <t>JANDXC010000006.1_109</t>
  </si>
  <si>
    <t>GCA_024330905.1.overview.tsv</t>
  </si>
  <si>
    <t>GCA_024330905.1_CGC29</t>
  </si>
  <si>
    <t>GCA_024592595.1</t>
  </si>
  <si>
    <t>JANJGS010000001.1</t>
  </si>
  <si>
    <t>JANJGS010000001.1_3640</t>
  </si>
  <si>
    <t>GCA_024592595.1.overview.tsv</t>
  </si>
  <si>
    <t>GCA_024592595.1_CGC84</t>
  </si>
  <si>
    <t>JANJGS010000001.1|CGC84</t>
  </si>
  <si>
    <t>GCA_024758205.1</t>
  </si>
  <si>
    <t>CP103067.1</t>
  </si>
  <si>
    <t>CP103067.1_22</t>
  </si>
  <si>
    <t>GCA_024758205.1.overview.tsv</t>
  </si>
  <si>
    <t>GCA_024758245.1</t>
  </si>
  <si>
    <t>CP103079.1</t>
  </si>
  <si>
    <t>CP103079.1_2959</t>
  </si>
  <si>
    <t>GCA_024758245.1.overview.tsv</t>
  </si>
  <si>
    <t>GCA_024758245.1_CGC88</t>
  </si>
  <si>
    <t>CGC88</t>
  </si>
  <si>
    <t>CAZyme|GH16_3+Sulfatase|S1_19; STP|Y_Y_Y; TC|1.B.14.6.17; TC|1.B.38.1.10; CAZyme|GH144_e1; CAZyme|GH43_28|CBM32_e176; CAZyme|GH144_e1; CAZyme|GH3_e1+Sulfatase|S1_7; CAZyme|GH3_e1+Sulfatase|S1_7; CAZyme|GH43_28|CBM32_e188; Peptidase|S09.UPC; null; TC|2.A.115.1.1</t>
  </si>
  <si>
    <t>CP103079.1|CGC88</t>
  </si>
  <si>
    <t>STP-TF;TC-TC;TC-null;TC-TC;CAZyme-CAZyme;CAZyme-CAZyme;CAZyme-CAZyme;CAZyme-CAZyme;CAZyme-CAZyme;CAZyme-CAZyme;Peptidase-PEPTIDASE</t>
  </si>
  <si>
    <t>GCA_024758285.1</t>
  </si>
  <si>
    <t>CP103071.1</t>
  </si>
  <si>
    <t>CP103071.1_2119</t>
  </si>
  <si>
    <t>GH16_3(4-116)</t>
  </si>
  <si>
    <t>GH16_e6(1-117)</t>
  </si>
  <si>
    <t>GCA_024758285.1.overview.tsv</t>
  </si>
  <si>
    <t>GCA_024758285.1_CGC58</t>
  </si>
  <si>
    <t>STP|PALP; CAZyme|GH3_e208+Sulfatase|S1_7; null; null; TC|8.A.46.2.1; TC|1.B.14.6.2; CAZyme|GH16_3; CAZyme|GH16_3; STP|Y_Y_Y+TC|9.B.34.1.7+STP|HTH_18</t>
  </si>
  <si>
    <t>CP103071.1|CGC58</t>
  </si>
  <si>
    <t>CAZyme-CAZyme;null-null;null-TC;TC-TC;TC-TC;CAZyme-CAZyme;CAZyme-CAZyme;TC-TC</t>
  </si>
  <si>
    <t>CP103071.1_2120</t>
  </si>
  <si>
    <t>GH16_3(38-142)</t>
  </si>
  <si>
    <t>GH16_e6(39-142)</t>
  </si>
  <si>
    <t>CP103071.1_2773</t>
  </si>
  <si>
    <t>GH16_3(35-135)</t>
  </si>
  <si>
    <t>GH16_e321(36-135)</t>
  </si>
  <si>
    <t>GCA_024758285.1_CGC70</t>
  </si>
  <si>
    <t>CP103071.1_4109</t>
  </si>
  <si>
    <t>GCA_024758345.1</t>
  </si>
  <si>
    <t>CP103094.1</t>
  </si>
  <si>
    <t>CP103094.1_3070</t>
  </si>
  <si>
    <t>GCA_024758345.1.overview.tsv</t>
  </si>
  <si>
    <t>GCA_024758345.1_CGC84</t>
  </si>
  <si>
    <t>CP103094.1|CGC84</t>
  </si>
  <si>
    <t>CP103094.1_4594</t>
  </si>
  <si>
    <t>CP103094.1_940</t>
  </si>
  <si>
    <t>GCA_024758345.1_CGC23</t>
  </si>
  <si>
    <t>CAZyme|GH3_e98+Sulfatase|S1_7; CAZyme|GH3_e1+Sulfatase|S1_7; CAZyme|GH144_e1; CAZyme|GH43_28|CBM32_e176; TC|1.B.38.1.10; null; null; TC|1.B.14.6.17; null; null; STP|Y_Y_Y+TC|9.B.34.1.7+STP|HTH_18; CAZyme|GH16_3; TC|1.B.14.6.2; TC|8.A.46.2.1; null; CAZyme|GH3_e208+Sulfatase|S1_7; STP|PALP</t>
  </si>
  <si>
    <t>CP103094.1|CGC23</t>
  </si>
  <si>
    <t>CAZyme-CAZyme;CAZyme-CAZyme;null-TC;TC-TC;CAZyme-CAZyme;TC-TC;TC-TC;null-null;CAZyme-CAZyme</t>
  </si>
  <si>
    <t>GCA_024758405.1</t>
  </si>
  <si>
    <t>CP103075.1</t>
  </si>
  <si>
    <t>CP103075.1_1490</t>
  </si>
  <si>
    <t>GCA_024758405.1.overview.tsv</t>
  </si>
  <si>
    <t>GCA_024758405.1_CGC42</t>
  </si>
  <si>
    <t>CP103075.1|CGC42</t>
  </si>
  <si>
    <t>CP103075.1_4264</t>
  </si>
  <si>
    <t>CP103075.1_453</t>
  </si>
  <si>
    <t>CP103075.1_696</t>
  </si>
  <si>
    <t>GCA_024758405.1_CGC14</t>
  </si>
  <si>
    <t>CP103075.1|CGC14</t>
  </si>
  <si>
    <t>GCA_024758425.1</t>
  </si>
  <si>
    <t>CP103081.1</t>
  </si>
  <si>
    <t>CP103081.1_101</t>
  </si>
  <si>
    <t>GCA_024758425.1.overview.tsv</t>
  </si>
  <si>
    <t>GCA_024758425.1_CGC2</t>
  </si>
  <si>
    <t>TC|8.A.46.2.1; TC|1.B.14.6.13; TC|1.B.14.6.2; null; TC|2.A.86.1.2; STP|HTH_18; null; CAZyme|GH16_3; CAZyme|GH16_3; TC|8.A.46.1.4; TC|1.B.14.6.17; STP|HisKA+STP|HATPase_c+STP|Response_reg+STP|HTH_18</t>
  </si>
  <si>
    <t>CP103081.1|CGC2</t>
  </si>
  <si>
    <t>CP103081.1_102</t>
  </si>
  <si>
    <t>CP103081.1_1270</t>
  </si>
  <si>
    <t>GCA_024758425.1_CGC33</t>
  </si>
  <si>
    <t>CP103081.1|CGC33</t>
  </si>
  <si>
    <t>CP103081.1_1480</t>
  </si>
  <si>
    <t>GCA_024758425.1_CGC39</t>
  </si>
  <si>
    <t>STP|FecR; null; null; CAZyme|GH16_3+Sulfatase|S1_19</t>
  </si>
  <si>
    <t>CP103081.1_257</t>
  </si>
  <si>
    <t>GH16_3(32-283)+GH43_24(311-544)</t>
  </si>
  <si>
    <t>GH16_e36(33-284)+GH43_e236(312-544)</t>
  </si>
  <si>
    <t>GCA_024758425.1_CGC6</t>
  </si>
  <si>
    <t>CAZyme|GT2+TC|4.D.1.3.3; null; null; TC|1.E.14.1.13; TC|2.A.122.1.1; null; TC|2.C.1.4.1; null; CAZyme|GH105_e39; CAZyme|PL42_e0; CAZyme|GH43_24+Sulfatase|S1_6; CAZyme|GH154_e2+Sulfatase|S1_14; CAZyme|GH16_3|GH43_24+Sulfatase|S1_19; CAZyme|GH16_3+Sulfatase|S1_19; null; TC|8.A.46.1.3; TC|1.B.14.6.1; null; TC|1.B.14.6.17; STP|Y_Y_Y+STP|HisKA+STP|HATPase_c+STP|Response_reg+STP|HTH_18; CAZyme|GH43_34</t>
  </si>
  <si>
    <t>CP103081.1|CGC6</t>
  </si>
  <si>
    <t>CAZyme-CAZyme;CAZyme-CAZyme;CAZyme-CAZyme;CAZyme-CAZyme;CAZyme-CAZyme;null-CAZyme;TC-TC;TC-TC;TC-TC;null-null;TC-TC;STP-TC</t>
  </si>
  <si>
    <t>CP103081.1_258</t>
  </si>
  <si>
    <t>CP103081.1_390</t>
  </si>
  <si>
    <t>GCA_024758425.1_CGC7</t>
  </si>
  <si>
    <t>CAZyme|GH35_e43; CAZyme|GH16_3; CAZyme|GH20_e12+Sulfatase|S1_16; CAZyme|GH16_3; TC|8.A.46.1.4; TC|1.B.14.6.17</t>
  </si>
  <si>
    <t>CP103081.1|CGC7</t>
  </si>
  <si>
    <t>CP103081.1_392</t>
  </si>
  <si>
    <t>CP103081.1_4123</t>
  </si>
  <si>
    <t>GCA_024758425.1_CGC95</t>
  </si>
  <si>
    <t>CGC95</t>
  </si>
  <si>
    <t>GCA_024758865.1</t>
  </si>
  <si>
    <t>CP103072.1</t>
  </si>
  <si>
    <t>CP103072.1_1348</t>
  </si>
  <si>
    <t>GCA_024758865.1.overview.tsv</t>
  </si>
  <si>
    <t>GCA_024758865.1_CGC38</t>
  </si>
  <si>
    <t>CP103072.1|CGC38</t>
  </si>
  <si>
    <t>CP103072.1_1350</t>
  </si>
  <si>
    <t>CP103072.1_1507</t>
  </si>
  <si>
    <t>GCA_024758865.1_CGC40</t>
  </si>
  <si>
    <t>CP103072.1|CGC40</t>
  </si>
  <si>
    <t>CP103072.1_300</t>
  </si>
  <si>
    <t>CP103072.1_3962</t>
  </si>
  <si>
    <t>CP103072.1_534</t>
  </si>
  <si>
    <t>GCA_024758865.1_CGC11</t>
  </si>
  <si>
    <t>CP103072.1|CGC11</t>
  </si>
  <si>
    <t>GCA_024758905.1</t>
  </si>
  <si>
    <t>CP103077.1</t>
  </si>
  <si>
    <t>CP103077.1_1173</t>
  </si>
  <si>
    <t>GCA_024758905.1.overview.tsv</t>
  </si>
  <si>
    <t>GCA_024758905.1_CGC41</t>
  </si>
  <si>
    <t>CP103077.1|CGC41</t>
  </si>
  <si>
    <t>CP103077.1_1463</t>
  </si>
  <si>
    <t>CP103077.1_1506</t>
  </si>
  <si>
    <t>GCA_024758905.1_CGC46</t>
  </si>
  <si>
    <t>TC|3.A.3.6.5; null; null; CAZyme|GH3_e1+Sulfatase|S1_7; CAZyme|GH16_3+Sulfatase|S1_19; null; null; TC|1.B.14.6.17; STP|Y_Y_Y</t>
  </si>
  <si>
    <t>CP103077.1|CGC46</t>
  </si>
  <si>
    <t>CAZyme-CAZyme;CAZyme-CAZyme;null-STP;null-null;TC-TC;STP-TF</t>
  </si>
  <si>
    <t>CP103077.1_2284</t>
  </si>
  <si>
    <t>GH16_3(360-609)</t>
  </si>
  <si>
    <t>GH16_e273(365-550)</t>
  </si>
  <si>
    <t>GH16_e273</t>
  </si>
  <si>
    <t>GCA_024758905.1_CGC63</t>
  </si>
  <si>
    <t>TC|1.B.14.6.17; TC|8.A.46.3.4; CAZyme|GH16_3; Sulfatase|S1_11; CAZyme|GH20_e135+Sulfatase|S1_16; CAZyme|GH2_10+Sulfatase|S1_19; CAZyme|GH29_e30|CBM32_e126|CBM32_e126+Sulfatase|S1_16; Sulfatase|S1_15; TC|1.A.23.4.5; Sulfatase|S1_20; CAZyme|GH20_e8+Sulfatase|S1_16; null; TC|1.B.14.6.17; STP|FecR; STP|Sigma70_r2+STP|Sigma70_r4_2</t>
  </si>
  <si>
    <t>CP103077.1|CGC63</t>
  </si>
  <si>
    <t>TC-TC;TC-TC;CAZyme-null;Sulfatase-SULFATLAS;CAZyme-CAZyme;CAZyme-CAZyme;CAZyme-CAZyme;Sulfatase-SULFATLAS;TC-TC;Sulfatase-SULFATLAS;CAZyme-CAZyme;null-TC;TC-TC</t>
  </si>
  <si>
    <t>CP103077.1_2460</t>
  </si>
  <si>
    <t>CP103077.1_391</t>
  </si>
  <si>
    <t>GCA_024758905.1_CGC12</t>
  </si>
  <si>
    <t>CAZyme|GT2+TC|4.D.3.1.3; null; null; TC|1.E.14.1.13; TC|2.A.122.1.1; null; null; CAZyme|GH105_e39; CAZyme|PL42_e0; CAZyme|GH43_24+Sulfatase|S1_6; CAZyme|GH16_3|GH43_24+Sulfatase|S1_19; null; TC|8.A.46.1.3; TC|1.B.14.6.17</t>
  </si>
  <si>
    <t>CP103077.1|CGC12</t>
  </si>
  <si>
    <t>null-null;CAZyme-CAZyme;CAZyme-CAZyme;CAZyme-CAZyme;CAZyme-CAZyme;CAZyme-CAZyme;CAZyme-CAZyme;null-null;TC-TC;TC-TC</t>
  </si>
  <si>
    <t>GCA_024758985.1</t>
  </si>
  <si>
    <t>CP103080.1</t>
  </si>
  <si>
    <t>CP103080.1_1158</t>
  </si>
  <si>
    <t>GCA_024758985.1.overview.tsv</t>
  </si>
  <si>
    <t>GCA_024758985.1_CGC25</t>
  </si>
  <si>
    <t>STP|Y_Y_Y+TC|9.B.34.1.7+STP|HTH_18; CAZyme|GH16_3; Peptidase|M14.UNB; Peptidase|I39.UPW; TC|1.B.14.6.2; TC|8.A.46.2.1</t>
  </si>
  <si>
    <t>CP103080.1|CGC25</t>
  </si>
  <si>
    <t>TC-TC;CAZyme-CAZyme;Peptidase-TC;Peptidase-TC;TC-TC;TC-TC</t>
  </si>
  <si>
    <t>CP103080.1_481</t>
  </si>
  <si>
    <t>GH16_3(17-142)</t>
  </si>
  <si>
    <t>GH16_e321(17-143)</t>
  </si>
  <si>
    <t>CP103080.1_5682</t>
  </si>
  <si>
    <t>GCA_024759085.1</t>
  </si>
  <si>
    <t>CP103084.1</t>
  </si>
  <si>
    <t>CP103084.1_105</t>
  </si>
  <si>
    <t>GCA_024759085.1.overview.tsv</t>
  </si>
  <si>
    <t>GCA_024759085.1_CGC2</t>
  </si>
  <si>
    <t>TC|8.A.46.2.1; TC|1.B.14.6.2; null; TC|2.A.86.1.2; STP|HTH_18; null; null; CAZyme|GH16_3; CAZyme|GH16_3; TC|8.A.46.1.4; TC|1.B.14.6.17; STP|HisKA+STP|HATPase_c+STP|Response_reg+STP|HTH_18</t>
  </si>
  <si>
    <t>CP103084.1|CGC2</t>
  </si>
  <si>
    <t>CP103084.1_106</t>
  </si>
  <si>
    <t>CP103084.1_1324</t>
  </si>
  <si>
    <t>GH16_3(130-360)</t>
  </si>
  <si>
    <t>GH16_e59(131-361)</t>
  </si>
  <si>
    <t>GCA_024759085.1_CGC34</t>
  </si>
  <si>
    <t>STP|Reg_prop+STP|Y_Y_Y+STP|HisKA; STP|HATPase_c+STP|Response_reg+STP|HTH_18; CAZyme|GH16_3</t>
  </si>
  <si>
    <t>CP103084.1|CGC34</t>
  </si>
  <si>
    <t>STP-TF;STP-TF;CAZyme-CAZyme</t>
  </si>
  <si>
    <t>CP103084.1_1538</t>
  </si>
  <si>
    <t>CP103084.1_267</t>
  </si>
  <si>
    <t>GCA_024759085.1_CGC6</t>
  </si>
  <si>
    <t>CAZyme|GT2; CAZyme|GT2; null; null; TC|1.E.14.1.13; TC|2.A.122.1.1; null; TC|2.C.1.4.1; null; CAZyme|GH105_e39; CAZyme|PL42_e0; null; CAZyme|GH43_24+Sulfatase|S1_6; CAZyme|GH154_e2+Sulfatase|S1_14; CAZyme|GH16_3|GH43_24+Sulfatase|S1_19; CAZyme|GH16_3+Sulfatase|S1_19; null; TC|8.A.46.1.3; TC|1.B.14.6.1; TC|8.A.46.1.5</t>
  </si>
  <si>
    <t>CP103084.1|CGC6</t>
  </si>
  <si>
    <t>CAZyme-CAZyme;CAZyme-CAZyme;CAZyme-CAZyme;CAZyme-CAZyme;CAZyme-CAZyme;null-CAZyme;TC-TC;TC-TC;TC-TC;TC-null</t>
  </si>
  <si>
    <t>CP103084.1_268</t>
  </si>
  <si>
    <t>CP103084.1_3819</t>
  </si>
  <si>
    <t>GCA_024759085.1_CGC79</t>
  </si>
  <si>
    <t>CGC79</t>
  </si>
  <si>
    <t>CAZyme|GH33_e33; CAZyme|GH33+Sulfatase|S1_7; TC|8.A.46.3.4; TC|1.B.14.6.17; CAZyme|CE20_e34+Sulfatase|S1_7; TC|2.A.1.14.14; CAZyme|GH33_e14+Sulfatase|S1_8; null; null; STP|GntR; null; null; TC|3.A.1.122.20; null; TC|2.A.6.2.41; null; prodoric|ZRAR_ECOLI; STP|HATPase_c; null; null; CAZyme|GT2; null; STP|Aminotran_1_2; null; null; CAZyme|PL8_3; null; TC|3.A.1.120.8</t>
  </si>
  <si>
    <t>CP103084.1|CGC79</t>
  </si>
  <si>
    <t>CP103084.1_405</t>
  </si>
  <si>
    <t>GCA_024759085.1_CGC8</t>
  </si>
  <si>
    <t>TC|1.B.14.6.17; TC|1.B.14.6.1; null; null; CAZyme|GH35_e43; CAZyme|GH16_3; CAZyme|GH20_e12+Sulfatase|S1_16; CAZyme|GH16_3; null; TC|8.A.46.1.4; TC|8.A.46.1.4; TC|1.B.14.6.17</t>
  </si>
  <si>
    <t>CP103084.1|CGC8</t>
  </si>
  <si>
    <t>PUL0096</t>
  </si>
  <si>
    <t>CAZyme-CAZyme;CAZyme-CAZyme;TC-TC;TC-TC</t>
  </si>
  <si>
    <t>CP103084.1_407</t>
  </si>
  <si>
    <t>GH16_3(1-130)</t>
  </si>
  <si>
    <t>GH16_e72(1-131)</t>
  </si>
  <si>
    <t>CP103084.1_4278</t>
  </si>
  <si>
    <t>GCA_024759085.1_CGC90</t>
  </si>
  <si>
    <t>CP103084.1_867</t>
  </si>
  <si>
    <t>GCA_024759125.1</t>
  </si>
  <si>
    <t>CP103098.1</t>
  </si>
  <si>
    <t>CP103098.1_4937</t>
  </si>
  <si>
    <t>GCA_024759125.1.overview.tsv</t>
  </si>
  <si>
    <t>CP103098.1_930</t>
  </si>
  <si>
    <t>GH16_e6(39-270)</t>
  </si>
  <si>
    <t>GCA_024759125.1_CGC24</t>
  </si>
  <si>
    <t>CAZyme|GH3_e98+Sulfatase|S1_7; CAZyme|GH3_e1+Sulfatase|S1_7; CAZyme|GH144_e1; CAZyme|GH43_28|CBM32_e176; TC|1.B.38.1.10; TC|1.B.14.6.17; null; STP|Y_Y_Y+STP|HisKA+STP|HATPase_c+STP|Response_reg+STP|HTH_18; CAZyme|GH16_3; TC|1.B.14.6.2; TC|8.A.46.2.1; null; CAZyme|GH3_e208+Sulfatase|S1_7; STP|PALP</t>
  </si>
  <si>
    <t>CP103098.1|CGC24</t>
  </si>
  <si>
    <t>GCA_024759265.1</t>
  </si>
  <si>
    <t>CP103214.1</t>
  </si>
  <si>
    <t>CP103214.1_1658</t>
  </si>
  <si>
    <t>GCA_024759265.1.overview.tsv</t>
  </si>
  <si>
    <t>GCA_024759265.1_CGC46</t>
  </si>
  <si>
    <t>TC|1.B.14.6.17; TC|8.A.46.1.3; null; CAZyme|GH16_3|GH43_24+Sulfatase|S1_19; CAZyme|GH43_24+Sulfatase|S1_6; CAZyme|PL42_e0; CAZyme|GH105_e39</t>
  </si>
  <si>
    <t>CP103214.1|CGC46</t>
  </si>
  <si>
    <t>TC-TC;TC-TC;null-null;CAZyme-CAZyme;CAZyme-CAZyme;CAZyme-CAZyme;CAZyme-CAZyme;CAZyme-CAZyme;CAZyme-CAZyme</t>
  </si>
  <si>
    <t>CP103214.1_359</t>
  </si>
  <si>
    <t>CP103214.1_4255</t>
  </si>
  <si>
    <t>CP103214.1_732</t>
  </si>
  <si>
    <t>GCA_024759265.1_CGC14</t>
  </si>
  <si>
    <t>CP103214.1|CGC14</t>
  </si>
  <si>
    <t>GCA_024759505.1</t>
  </si>
  <si>
    <t>CP103166.1</t>
  </si>
  <si>
    <t>CP103166.1_109</t>
  </si>
  <si>
    <t>GCA_024759505.1.overview.tsv</t>
  </si>
  <si>
    <t>GCA_024759505.1_CGC2</t>
  </si>
  <si>
    <t>TC|8.A.46.2.1; TC|1.B.14.6.2; null; TC|2.A.86.1.2; null; null; STP|HTH_18; null; CAZyme|GH16_3; CAZyme|GH16_3; TC|8.A.46.1.4; TC|1.B.14.6.17; null; STP|Y_Y_Y+STP|HisKA+STP|HATPase_c+STP|Response_reg+STP|HTH_18</t>
  </si>
  <si>
    <t>CP103166.1|CGC2</t>
  </si>
  <si>
    <t>TC-TC;CAZyme-CAZyme;TC-TC</t>
  </si>
  <si>
    <t>CP103166.1_110</t>
  </si>
  <si>
    <t>CP103166.1_1167</t>
  </si>
  <si>
    <t>GCA_024759505.1_CGC37</t>
  </si>
  <si>
    <t>TC|8.A.46.1.3; null; CAZyme|GH16_3+Sulfatase|S1_19; CAZyme|GH16_3|GH43_24+Sulfatase|S1_19; CAZyme|GH154_e2+Sulfatase|S1_14; CAZyme|GH43_24+Sulfatase|S1_6; CAZyme|PL42_e0; CAZyme|GH105_e39; null; TC|2.C.1.4.1; null; TC|2.A.122.1.1; TC|1.E.14.1.13; null; null; CAZyme|GT2</t>
  </si>
  <si>
    <t>CP103166.1|CGC37</t>
  </si>
  <si>
    <t>CAZyme-CAZyme;CAZyme-CAZyme;CAZyme-CAZyme;CAZyme-CAZyme;CAZyme-CAZyme;CAZyme-CAZyme;CAZyme-CAZyme;CAZyme-CAZyme;null-null</t>
  </si>
  <si>
    <t>CP103166.1_1168</t>
  </si>
  <si>
    <t>CP103166.1_220</t>
  </si>
  <si>
    <t>GH16_3(7-198)</t>
  </si>
  <si>
    <t>GH16_e321(1-199)</t>
  </si>
  <si>
    <t>CP103166.1_3650</t>
  </si>
  <si>
    <t>GCA_024759505.1_CGC86</t>
  </si>
  <si>
    <t>CGC86</t>
  </si>
  <si>
    <t>TC|3.A.1.122.20; null; TC|2.A.6.2.41; null; prodoric|ZRAR_ECOLI; STP|HATPase_c; null; null; CAZyme|GT2; null; STP|Aminotran_1_2; null; null; CAZyme|PL8_3; null; TC|3.A.1.120.8</t>
  </si>
  <si>
    <t>CP103166.1_4249</t>
  </si>
  <si>
    <t>GCA_024759505.1_CGC99</t>
  </si>
  <si>
    <t>CGC99</t>
  </si>
  <si>
    <t>GCA_024759565.1</t>
  </si>
  <si>
    <t>CP103197.1</t>
  </si>
  <si>
    <t>CP103197.1_42</t>
  </si>
  <si>
    <t>GCA_024759565.1.overview.tsv</t>
  </si>
  <si>
    <t>GCA_024759565.1_CGC3</t>
  </si>
  <si>
    <t>CP103197.1|CGC3</t>
  </si>
  <si>
    <t>GCA_024759865.1</t>
  </si>
  <si>
    <t>CP103206.1</t>
  </si>
  <si>
    <t>CP103206.1_1527</t>
  </si>
  <si>
    <t>GCA_024759865.1.overview.tsv</t>
  </si>
  <si>
    <t>GCA_024759865.1_CGC39</t>
  </si>
  <si>
    <t>TC|8.A.46.2.1; null; TC|1.B.14.6.2; TC|1.B.14.6.2; TC|1.B.14.6.2; CAZyme|GH16_3; STP|Response_reg+STP|HTH_18; STP|Y_Y_Y+STP|HisKA+STP|HATPase_c; STP|Reg_prop; null; CAZyme|GH3_e98+Sulfatase|S1_7</t>
  </si>
  <si>
    <t>CP103206.1|CGC39</t>
  </si>
  <si>
    <t>TC-TC;null-TC;TC-TC;TC-TC;TC-TC;CAZyme-CAZyme;STP-TC;STP-TC;STP-TC;CAZyme-CAZyme</t>
  </si>
  <si>
    <t>CP103206.1_5885</t>
  </si>
  <si>
    <t>GCA_024787025.1</t>
  </si>
  <si>
    <t>JANUSI010000001.1</t>
  </si>
  <si>
    <t>JANUSI010000001.1_1585</t>
  </si>
  <si>
    <t>GH16_3(41-292)+GH43_24(320-611)</t>
  </si>
  <si>
    <t>GH16_e36(42-293)+GH43_e236(322-612)</t>
  </si>
  <si>
    <t>GCA_024787025.1.overview.tsv</t>
  </si>
  <si>
    <t>GCA_024787025.1_CGC40</t>
  </si>
  <si>
    <t>CAZyme|GH16_3|GH43_24+Sulfatase|S1_19; CAZyme|GH43_24+Sulfatase|S1_6; CAZyme|PL42_e0; CAZyme|GH105_e39; null; null; TC|2.A.122.1.1; TC|1.E.14.1.13; null; null; CAZyme|GT2+TC|4.D.3.1.3</t>
  </si>
  <si>
    <t>JANUSI010000001.1|CGC40</t>
  </si>
  <si>
    <t>CAZyme-CAZyme;CAZyme-CAZyme;CAZyme-CAZyme;CAZyme-CAZyme;CAZyme-CAZyme;CAZyme-CAZyme;null-null</t>
  </si>
  <si>
    <t>JANUSI010000001.1_4231</t>
  </si>
  <si>
    <t>JANUSI010000001.1_471</t>
  </si>
  <si>
    <t>JANUSI010000001.1_676</t>
  </si>
  <si>
    <t>GCA_024787025.1_CGC11</t>
  </si>
  <si>
    <t>JANUSI010000001.1|CGC11</t>
  </si>
  <si>
    <t>GCA_024787725.1</t>
  </si>
  <si>
    <t>JANUIE010000001.1</t>
  </si>
  <si>
    <t>JANUIE010000001.1_111</t>
  </si>
  <si>
    <t>GCA_024787725.1.overview.tsv</t>
  </si>
  <si>
    <t>GCA_024787725.1_CGC2</t>
  </si>
  <si>
    <t>TC|8.A.46.2.1; TC|1.B.14.6.2; null; TC|2.A.86.1.2; STP|HTH_18; null; CAZyme|GH16_3; CAZyme|GH16_3; null; TC|8.A.46.1.4; TC|1.B.14.6.17</t>
  </si>
  <si>
    <t>JANUIE010000001.1|CGC2</t>
  </si>
  <si>
    <t>JANUIE010000001.1_112</t>
  </si>
  <si>
    <t>JANUIE010000001.1_1208</t>
  </si>
  <si>
    <t>GCA_024787725.1_CGC34</t>
  </si>
  <si>
    <t>CAZyme|GH16_3+Sulfatase|S1_19; CAZyme|GH16_3|GH43_24+Sulfatase|S1_19; CAZyme|GH154_e2+Sulfatase|S1_14; CAZyme|GH43_24+Sulfatase|S1_6; CAZyme|PL42_e0; CAZyme|GH105_e39; null; TC|2.C.1.4.1; TC|2.C.1.4.1; null; TC|2.A.122.1.1; TC|1.E.14.1.13; null; null; CAZyme|GT2; CAZyme|GT2</t>
  </si>
  <si>
    <t>JANUIE010000001.1|CGC34</t>
  </si>
  <si>
    <t>JANUIE010000001.1_1209</t>
  </si>
  <si>
    <t>JANUIE010000001.1_232</t>
  </si>
  <si>
    <t>JANUIE010000001.1_3848</t>
  </si>
  <si>
    <t>GCA_024787725.1_CGC80</t>
  </si>
  <si>
    <t>STP|GntR; null; null; TC|3.A.1.122.20; null; TC|2.A.6.2.41; null; prodoric|ZRAR_ECOLI; STP|HATPase_c; null; CAZyme|GT2; null; STP|Aminotran_1_2; null; CAZyme|PL8_3; null; TC|3.A.1.120.8</t>
  </si>
  <si>
    <t>JANUIE010000001.1_4424</t>
  </si>
  <si>
    <t>GCA_024787725.1_CGC91</t>
  </si>
  <si>
    <t>CGC91</t>
  </si>
  <si>
    <t>TC|3.B.1.1.2; TC|3.B.1.1.5; TC|2.A.98.1.3; STP|HTH_18; null; CAZyme|GH16_3+Sulfatase|S1_19; TC|1.B.14.6.17; TC|8.A.46.1.2</t>
  </si>
  <si>
    <t>JANUIE010000001.1_504</t>
  </si>
  <si>
    <t>GH16_3(94-324)</t>
  </si>
  <si>
    <t>GH16_e59(95-325)</t>
  </si>
  <si>
    <t>GCA_024787725.1_CGC11</t>
  </si>
  <si>
    <t>JANUIE010000001.1|CGC11</t>
  </si>
  <si>
    <t>GCA_024788785.1</t>
  </si>
  <si>
    <t>JANUSX010000001.1</t>
  </si>
  <si>
    <t>JANUSX010000001.1_2643</t>
  </si>
  <si>
    <t>GCA_024788785.1.overview.tsv</t>
  </si>
  <si>
    <t>JANUSX010000001.1_2644</t>
  </si>
  <si>
    <t>GH16_3(64-299)</t>
  </si>
  <si>
    <t>GH16_e240(65-300)</t>
  </si>
  <si>
    <t>GCA_024788785.1_CGC65</t>
  </si>
  <si>
    <t>CAZyme|GH16_3+Sulfatase|S1_19; CAZyme|GH158_e5; null; CAZyme|GH3_e1+Sulfatase|S1_7; null; null; TC|1.A.43.1.1; null; CAZyme|GH97_e22; null; STP|HTH_18</t>
  </si>
  <si>
    <t>JANUSX010000001.1|CGC65</t>
  </si>
  <si>
    <t>CAZyme-CAZyme;CAZyme-CAZyme;null-CAZyme;CAZyme-CAZyme;null-null;null-null;TC-TC;null-null;CAZyme-CAZyme;null-STP;STP-TF</t>
  </si>
  <si>
    <t>JANUSX010000001.1_2700</t>
  </si>
  <si>
    <t>GCA_024789025.1</t>
  </si>
  <si>
    <t>JANUTA010000001.1</t>
  </si>
  <si>
    <t>JANUTA010000001.1_1737</t>
  </si>
  <si>
    <t>GCA_024789025.1.overview.tsv</t>
  </si>
  <si>
    <t>GCA_024789025.1_CGC45</t>
  </si>
  <si>
    <t>CAZyme|GH35_e43|CBM32_e42+Sulfatase|S1_20; CAZyme|GH43_19; CAZyme|GH43_9|CBM91_e36|GH43_19; CAZyme|GH51_2; CAZyme|GH31_4; STP|Y_Y_Y+STP|HTH_18; CAZyme|GH97_e18; CAZyme|GH43_34|CBM32_e40; null; null; CAZyme|GH43_10|CBM91_e38+Sulfatase|S1_7; CAZyme|GH97_e16+Sulfatase|S1_8; CAZyme|GH29_e82+Sulfatase|S1_14; null; STP|HTH_18; null; TC|1.B.14.6.17; null; null; TC|2.C.1.4.1; CAZyme|GH127_e4+Sulfatase|S1_7; CAZyme|GH43_34; null; CAZyme|GH154_e20; null; STP|Y_Y_Y+STP|HATPase_c+STP|Response_reg+STP|HTH_18; null; TC|1.B.14.6.17; TC|8.A.46.1.3; null; CAZyme|GH16_3|GH43_24+Sulfatase|S1_19; CAZyme|GH43_24+Sulfatase|S1_6; CAZyme|PL42_e0; CAZyme|GH105_e39; null; null; TC|2.A.122.1.1; TC|1.E.14.1.13; null; null; CAZyme|GT2+TC|4.D.3.1.3</t>
  </si>
  <si>
    <t>JANUTA010000001.1|CGC45</t>
  </si>
  <si>
    <t>TC-TC;null-TC;CAZyme-CAZyme;CAZyme-CAZyme;null-null;CAZyme-CAZyme;null-TC;STP-TC;null-null;TC-TC;TC-TC;null-null;CAZyme-CAZyme;CAZyme-CAZyme;CAZyme-CAZyme;CAZyme-CAZyme;CAZyme-CAZyme;CAZyme-CAZyme;null-null</t>
  </si>
  <si>
    <t>JANUTA010000001.1_386</t>
  </si>
  <si>
    <t>JANUTA010000001.1_4661</t>
  </si>
  <si>
    <t>JANUTA010000001.1_5473</t>
  </si>
  <si>
    <t>GH16_3(61-295)</t>
  </si>
  <si>
    <t>GH16_e266(62-295)</t>
  </si>
  <si>
    <t>GH16_e266</t>
  </si>
  <si>
    <t>GCA_024789025.1_CGC122</t>
  </si>
  <si>
    <t>CGC122</t>
  </si>
  <si>
    <t>CAZyme|PL33_e0; CAZyme|GH2_10+Sulfatase|S1_19; CAZyme|GH88_e11+Sulfatase|S1_27; CAZyme|GH16_3; null; null; TC|1.B.14.6.16; null; TC|1.B.14.6.17; null; STP|Y_Y_Y+STP|HATPase_c+STP|Response_reg+STP|HTH_18; CAZyme|GH95_e0+Sulfatase|S1_11; CAZyme|GH29_e8+Sulfatase|S1_17; CAZyme|GH105_e29+Sulfatase|S1_16; null; CAZyme|PL8_3; CAZyme|GH154_e2+Sulfatase|S1_14</t>
  </si>
  <si>
    <t>JANUTA010000001.1|CGC122</t>
  </si>
  <si>
    <t>PUL0787</t>
  </si>
  <si>
    <t>pectic polysaccharide</t>
  </si>
  <si>
    <t>null-TC;null-TC;TC-TC;null-null;TC-TC;CAZyme-CAZyme;CAZyme-CAZyme</t>
  </si>
  <si>
    <t>JANUTA010000001.1_586</t>
  </si>
  <si>
    <t>GH16_3(30-264)</t>
  </si>
  <si>
    <t>GH16_e222(31-265)</t>
  </si>
  <si>
    <t>GH16_e222</t>
  </si>
  <si>
    <t>GCA_024789025.1_CGC11</t>
  </si>
  <si>
    <t>STP|PfkB; null; STP|PfkB; Sulfatase|S1_17; null; CAZyme|GH16_3+Sulfatase|S1_19</t>
  </si>
  <si>
    <t>JANUTA010000001.1_662</t>
  </si>
  <si>
    <t>GCA_024789025.1_CGC12</t>
  </si>
  <si>
    <t>CAZyme|GH16_3+Sulfatase|S1_19; CAZyme|GH18_e33; STP|Y_Y_Y+STP|HisKA+STP|HATPase_c+STP|Response_reg+STP|HTH_18; STP|Reg_prop</t>
  </si>
  <si>
    <t>JANUTA010000001.1|CGC12</t>
  </si>
  <si>
    <t>CAZyme-CAZyme;CAZyme-CAZyme;STP-TF;STP-TF</t>
  </si>
  <si>
    <t>GCA_024790365.1</t>
  </si>
  <si>
    <t>JANUTO010000001.1</t>
  </si>
  <si>
    <t>JANUTO010000001.1_651</t>
  </si>
  <si>
    <t>GH16_3(33-256)</t>
  </si>
  <si>
    <t>GH16_e193(35-257)</t>
  </si>
  <si>
    <t>GCA_024790365.1.overview.tsv</t>
  </si>
  <si>
    <t>GCA_024790365.1_CGC18</t>
  </si>
  <si>
    <t>CAZyme|GT2; null; CAZyme|GT4_e429; CAZyme|GH16_3; STP|Fer4</t>
  </si>
  <si>
    <t>JANUTO010000002.1</t>
  </si>
  <si>
    <t>JANUTO010000002.1_59</t>
  </si>
  <si>
    <t>GCA_024790365.1_CGC79</t>
  </si>
  <si>
    <t>TC|1.B.14.6.1; CAZyme|CBM91_e46; CAZyme|GH43_12; CAZyme|GH43_1+Sulfatase|S1_7; null; CAZyme|GH10_e83+Sulfatase|S1_7; null; TC|2.A.2.3.4; CAZyme|GH16_3</t>
  </si>
  <si>
    <t>JANUTO010000002.1|CGC79</t>
  </si>
  <si>
    <t>TC-TC;CAZyme-CAZyme;CAZyme-CAZyme;CAZyme-CAZyme;null-CAZyme;CAZyme-CAZyme;null-null;TC-TC;CAZyme-CAZyme</t>
  </si>
  <si>
    <t>GCA_024791515.1</t>
  </si>
  <si>
    <t>JANUMK010000001.1</t>
  </si>
  <si>
    <t>JANUMK010000001.1_2258</t>
  </si>
  <si>
    <t>GH16_3(11-143)</t>
  </si>
  <si>
    <t>GH16_e88(10-143)</t>
  </si>
  <si>
    <t>GCA_024791515.1.overview.tsv</t>
  </si>
  <si>
    <t>GCA_024791515.1_CGC41</t>
  </si>
  <si>
    <t>CAZyme|GH16_3; null; CAZyme|GH2_6+Sulfatase|S1_20; CAZyme|GH20_e29; CAZyme|GH20_e48; Sulfatase|S1_16; TC|8.A.46.1.3; TC|1.B.14.6.17; TC|1.B.14.6.1; null; STP|FecR; null; STP|Sigma70_r2+STP|Sigma70_r4_2; STP|FecR; null; Peptidase|I39.UPW; TC|1.B.14.6.17</t>
  </si>
  <si>
    <t>JANUMK010000001.1|CGC41</t>
  </si>
  <si>
    <t>CAZyme-CAZyme;null-CAZyme;Peptidase-TC</t>
  </si>
  <si>
    <t>GCA_024792005.1</t>
  </si>
  <si>
    <t>JANUUA010000002.1</t>
  </si>
  <si>
    <t>JANUUA010000002.1_2792</t>
  </si>
  <si>
    <t>GCA_024792005.1.overview.tsv</t>
  </si>
  <si>
    <t>GCA_024792005.1_CGC62</t>
  </si>
  <si>
    <t>CAZyme|GH16_3; TC|2.A.2.3.4; null; CAZyme|GH10_e83+Sulfatase|S1_7; CAZyme|GH43_1+Sulfatase|S1_7; CAZyme|GH43_12|CBM91_e1; CAZyme|CBM91_e46; TC|1.B.14.6.1</t>
  </si>
  <si>
    <t>JANUUA010000002.1|CGC62</t>
  </si>
  <si>
    <t>CAZyme-CAZyme;TC-TC;null-CAZyme;CAZyme-CAZyme;CAZyme-CAZyme;CAZyme-CAZyme;CAZyme-CAZyme;TC-TC</t>
  </si>
  <si>
    <t>xylan;xylan,xylan</t>
  </si>
  <si>
    <t>JANUUA010000002.1_5363</t>
  </si>
  <si>
    <t>GCA_024792005.1_CGC96</t>
  </si>
  <si>
    <t>TC|1.D.194.1.1; TC|9.B.18.1.1; null; CAZyme|GT26_e51; null; null; STP|Fer4; CAZyme|GH16_3; null; CAZyme|GT4_e429; null; CAZyme|GT2</t>
  </si>
  <si>
    <t>GCA_024792395.1</t>
  </si>
  <si>
    <t>JANUNG010000001.1</t>
  </si>
  <si>
    <t>JANUNG010000001.1_1663</t>
  </si>
  <si>
    <t>GCA_024792395.1.overview.tsv</t>
  </si>
  <si>
    <t>GCA_024792395.1_CGC37</t>
  </si>
  <si>
    <t>STP|TPR_2; null; null; STP|HhH-GPD; TC|2.A.1.46.5; null; STP|Y_Y_Y+STP|HisKA+STP|HATPase_c+STP|Response_reg+STP|HTH_18; CAZyme|GH2_10+Sulfatase|S1_19; CAZyme|GH20_e106; null; CAZyme|GH95_e0+Sulfatase|S1_11; null; null; TC|1.B.14.6.1; null; Sulfatase|S1_11; CAZyme|GH20_e135+Sulfatase|S1_16; CAZyme|GH29_e30|CBM32_e126|GH16_3+Sulfatase|S1_16</t>
  </si>
  <si>
    <t>JANUNG010000001.1|CGC37</t>
  </si>
  <si>
    <t>CAZyme-CAZyme;CAZyme-CAZyme;TC-TC;null-null;Sulfatase-SULFATLAS;CAZyme-CAZyme;CAZyme-CAZyme</t>
  </si>
  <si>
    <t>JANUNG010000001.1_1752</t>
  </si>
  <si>
    <t>JANUNG010000001.1_482</t>
  </si>
  <si>
    <t>GH16_3(38-275)</t>
  </si>
  <si>
    <t>GH16_e6(39-274)</t>
  </si>
  <si>
    <t>GCA_024792395.1_CGC8</t>
  </si>
  <si>
    <t>CAZyme|GH3_e208+Sulfatase|S1_7; null; TC|8.A.46.2.1; TC|1.B.14.6.2; CAZyme|GH16_3+Sulfatase|S1_16; STP|Y_Y_Y+STP|HATPase_c+STP|Response_reg+STP|HTH_18</t>
  </si>
  <si>
    <t>JANUNG010000001.1|CGC8</t>
  </si>
  <si>
    <t>CAZyme-CAZyme;null-null;TC-TC;TC-TC;CAZyme-CAZyme;STP-TC</t>
  </si>
  <si>
    <t>JANUNG010000001.1_952</t>
  </si>
  <si>
    <t>JANUNG010000001.1_958</t>
  </si>
  <si>
    <t>GH29(2-313)+CBM32(445-545)+GH16_3(634-852)</t>
  </si>
  <si>
    <t>GH29_e30(1-310)+CBM32_e126(446-547)+GH16_e147(624-852)</t>
  </si>
  <si>
    <t>GH16_3(634-852)</t>
  </si>
  <si>
    <t>GCA_024792395.1_CGC20</t>
  </si>
  <si>
    <t>CAZyme|GH20_e135+Sulfatase|S1_16; CAZyme|GH2_10+Sulfatase|S1_19; null; CAZyme|GH29_e30|CBM32_e126|GH16_3+Sulfatase|S1_16; Sulfatase|S1_16; STP|Sigma70_r4_2; null; STP|Sigma70_r2; null; null; STP|HD; null; STP|TPR_2</t>
  </si>
  <si>
    <t>JANUNG010000001.1|CGC20</t>
  </si>
  <si>
    <t>CAZyme-CAZyme;CAZyme-CAZyme;null-CAZyme;CAZyme-CAZyme;CAZyme-null;Sulfatase-SULFATLAS</t>
  </si>
  <si>
    <t>GCA_024792655.1</t>
  </si>
  <si>
    <t>JANUUE010000001.1</t>
  </si>
  <si>
    <t>JANUUE010000001.1_2077</t>
  </si>
  <si>
    <t>GCA_024792655.1.overview.tsv</t>
  </si>
  <si>
    <t>GCA_024792655.1_CGC57</t>
  </si>
  <si>
    <t>CAZyme|GT32_e128; CAZyme|GT2; null; null; CAZyme|GH16_3+Sulfatase|S1_16; CAZyme|GT4_e734; CAZyme|GT26_e51; null; null; TC|9.B.18.1.1; TC|1.D.194.1.1</t>
  </si>
  <si>
    <t>JANUUE010000001.1|CGC57</t>
  </si>
  <si>
    <t>CAZyme-CAZyme;null-null</t>
  </si>
  <si>
    <t>JANUUE010000001.1_44</t>
  </si>
  <si>
    <t>GCA_024792655.1_CGC3</t>
  </si>
  <si>
    <t>JANUUE010000001.1|CGC3</t>
  </si>
  <si>
    <t>GCA_024793125.1</t>
  </si>
  <si>
    <t>JANUOJ010000003.1</t>
  </si>
  <si>
    <t>JANUOJ010000003.1_1889</t>
  </si>
  <si>
    <t>GCA_024793125.1.overview.tsv</t>
  </si>
  <si>
    <t>GCA_024793125.1_CGC37</t>
  </si>
  <si>
    <t>STP|HhH-GPD; TC|2.A.1.46.5; null; STP|HisKA+STP|HATPase_c+STP|Response_reg+STP|HTH_18; null; null; CAZyme|CBM67_e7+Sulfatase|S1_19; CAZyme|GH2_10+Sulfatase|S1_19; CAZyme|GH20_e106; null; null; CAZyme|GH95_e0+Sulfatase|S1_7; CAZyme|GH95_e20+Sulfatase|S1_11; TC|1.B.14.6.2; TC|1.B.14.6.1; TC|1.B.14.6.17; null; Sulfatase|S1_11; CAZyme|GH20_e135+Sulfatase|S1_16; CAZyme|GH29_e30|CBM32_e126|GH16_3+Sulfatase|S1_16; null; null; CAZyme|CBM48_e14|GH13_14; null; TC|3.A.1.131.2; null; TC|2.A.127.1.5; TC|2.A.127.1.5; TC|9.B.105.1.3; TC|1.A.23.4.5</t>
  </si>
  <si>
    <t>JANUOJ010000003.1|CGC37</t>
  </si>
  <si>
    <t>STP-TF;null-TF;null-TF;CAZyme-CAZyme;CAZyme-CAZyme;CAZyme-CAZyme;Sulfatase-SULFATLAS;Sulfatase-SULFATLAS;CAZyme-CAZyme;CAZyme-CAZyme;CAZyme-null;TC-TC</t>
  </si>
  <si>
    <t>JANUOJ010000003.1_2060</t>
  </si>
  <si>
    <t>GCA_024793755.1</t>
  </si>
  <si>
    <t>JANUUQ010000001.1</t>
  </si>
  <si>
    <t>JANUUQ010000001.1_4585</t>
  </si>
  <si>
    <t>GCA_024793755.1.overview.tsv</t>
  </si>
  <si>
    <t>JANUUQ010000001.1_642</t>
  </si>
  <si>
    <t>GCA_024793755.1_CGC16</t>
  </si>
  <si>
    <t>JANUUQ010000001.1|CGC16</t>
  </si>
  <si>
    <t>JANUUQ010000001.1_853</t>
  </si>
  <si>
    <t>GCA_024793755.1_CGC22</t>
  </si>
  <si>
    <t>JANUUQ010000001.1|CGC22</t>
  </si>
  <si>
    <t>GCA_025146315.1</t>
  </si>
  <si>
    <t>CP102256.1</t>
  </si>
  <si>
    <t>CP102256.1_1042</t>
  </si>
  <si>
    <t>GCA_025146315.1.overview.tsv</t>
  </si>
  <si>
    <t>GCA_025146315.1_CGC31</t>
  </si>
  <si>
    <t>CP102256.1|CGC31</t>
  </si>
  <si>
    <t>CP102256.1_1043</t>
  </si>
  <si>
    <t>CP102256.1_136</t>
  </si>
  <si>
    <t>GCA_025146315.1_CGC2</t>
  </si>
  <si>
    <t>CP102256.1|CGC2</t>
  </si>
  <si>
    <t>CP102256.1_137</t>
  </si>
  <si>
    <t>CP102256.1_262</t>
  </si>
  <si>
    <t>CP102256.1_3093</t>
  </si>
  <si>
    <t>GCA_025146315.1_CGC71</t>
  </si>
  <si>
    <t>CP102256.1|CGC71</t>
  </si>
  <si>
    <t>CP102256.1_3468</t>
  </si>
  <si>
    <t>GCA_025146315.1_CGC83</t>
  </si>
  <si>
    <t>CP102256.1_487</t>
  </si>
  <si>
    <t>GCA_025146315.1_CGC12</t>
  </si>
  <si>
    <t>CP102256.1|CGC12</t>
  </si>
  <si>
    <t>CP102256.1_694</t>
  </si>
  <si>
    <t>GCA_025146415.1</t>
  </si>
  <si>
    <t>CP102257.1</t>
  </si>
  <si>
    <t>CP102257.1_2448</t>
  </si>
  <si>
    <t>GCA_025146415.1.overview.tsv</t>
  </si>
  <si>
    <t>GCA_025146415.1_CGC61</t>
  </si>
  <si>
    <t>CP102257.1|CGC61</t>
  </si>
  <si>
    <t>CP102257.1_43</t>
  </si>
  <si>
    <t>GCA_025146415.1_CGC2</t>
  </si>
  <si>
    <t>CP102257.1|CGC2</t>
  </si>
  <si>
    <t>GCA_025146775.1</t>
  </si>
  <si>
    <t>CP102259.1</t>
  </si>
  <si>
    <t>CP102259.1_4276</t>
  </si>
  <si>
    <t>GCA_025146775.1.overview.tsv</t>
  </si>
  <si>
    <t>CP102259.1_468</t>
  </si>
  <si>
    <t>GCA_025146775.1_CGC14</t>
  </si>
  <si>
    <t>CP102259.1_911</t>
  </si>
  <si>
    <t>GCA_025146775.1_CGC27</t>
  </si>
  <si>
    <t>CP102259.1|CGC27</t>
  </si>
  <si>
    <t>GCA_025147325.1</t>
  </si>
  <si>
    <t>CP102262.1</t>
  </si>
  <si>
    <t>CP102262.1_1505</t>
  </si>
  <si>
    <t>GCA_025147325.1.overview.tsv</t>
  </si>
  <si>
    <t>GCA_025147325.1_CGC35</t>
  </si>
  <si>
    <t>CP102262.1|CGC35</t>
  </si>
  <si>
    <t>CP102262.1_1589</t>
  </si>
  <si>
    <t>CP102262.1_854</t>
  </si>
  <si>
    <t>GCA_025147325.1_CGC16</t>
  </si>
  <si>
    <t>CP102262.1|CGC16</t>
  </si>
  <si>
    <t>GCA_025147485.1</t>
  </si>
  <si>
    <t>CP102263.1</t>
  </si>
  <si>
    <t>CP102263.1_2125</t>
  </si>
  <si>
    <t>GCA_025147485.1.overview.tsv</t>
  </si>
  <si>
    <t>GCA_025147485.1_CGC63</t>
  </si>
  <si>
    <t>TC|2.A.7.34.3; null; TC|2.A.107.1.2; null; null; CAZyme|GT2+TC|4.D.1.1.13; null; STP|Y_Y_Y; TC|1.B.14.6.17; null; null; CAZyme|GH16_3+Sulfatase|S1_19; CAZyme|GH158_e5; CAZyme|GH3_e1+Sulfatase|S1_7; null; null; TC|1.A.43.1.1; null; null; CAZyme|GH97_e22; null; STP|HTH_18</t>
  </si>
  <si>
    <t>CP102263.1|CGC63</t>
  </si>
  <si>
    <t>TC-TC;null-null;TC-TC;null-null;null-null;CAZyme-CAZyme;null-null;STP-TF;TC-TC;null-null;CAZyme-CAZyme;CAZyme-CAZyme;CAZyme-CAZyme;null-null;null-null;TC-TC;null-null;null-null;CAZyme-CAZyme;null-STP;STP-TF</t>
  </si>
  <si>
    <t>CP102263.1_2177</t>
  </si>
  <si>
    <t>GCA_025151215.1</t>
  </si>
  <si>
    <t>CP102286.1</t>
  </si>
  <si>
    <t>CP102286.1_3444</t>
  </si>
  <si>
    <t>GCA_025151215.1.overview.tsv</t>
  </si>
  <si>
    <t>GCA_025151215.1_CGC85</t>
  </si>
  <si>
    <t>CGC85</t>
  </si>
  <si>
    <t>CP102286.1|CGC85</t>
  </si>
  <si>
    <t>GCA_025151385.1</t>
  </si>
  <si>
    <t>CP102287.1</t>
  </si>
  <si>
    <t>CP102287.1_1537</t>
  </si>
  <si>
    <t>GCA_025151385.1.overview.tsv</t>
  </si>
  <si>
    <t>GCA_025151385.1_CGC27</t>
  </si>
  <si>
    <t>CAZyme|GH97_e1+Sulfatase|S1_8; CAZyme|GH16_3+Sulfatase|S1_19; null; TC|1.B.14.6.16; null; TC|1.B.14.6.17; TC|8.A.46.3.3; null; STP|Peripla_BP_1+STP|HisKA+STP|HATPase_c+STP|Response_reg+STP|HTH_18; TC|1.B.14.6.17; TC|1.B.38.1.10; null; CAZyme|GH32_e88+Sulfatase|S1_7; CAZyme|GH32_e16+Sulfatase|S1_7; TC|2.A.1.7.17; STP|PfkB</t>
  </si>
  <si>
    <t>CP102287.1|CGC27</t>
  </si>
  <si>
    <t>STP-TC;TC-TC;TC-TC;CAZyme-CAZyme;CAZyme-null;TC-TC;STP-STP</t>
  </si>
  <si>
    <t>GCA_025151705.1</t>
  </si>
  <si>
    <t>JALXVO010000010.1</t>
  </si>
  <si>
    <t>JALXVO010000010.1_80</t>
  </si>
  <si>
    <t>GH16_3(404-656)+CBM56(685-768)</t>
  </si>
  <si>
    <t>CBM56_e2(12-104)+CBM56_e2(118-219)+GH16_e317(405-656)+CBM56_e2(673-768)</t>
  </si>
  <si>
    <t>GCA_025151705.1.overview.tsv</t>
  </si>
  <si>
    <t>GH16_3(404-656)</t>
  </si>
  <si>
    <t>GCA_025151705.1_CGC35</t>
  </si>
  <si>
    <t>TC|2.A.40.7.8; prodoric|MGRA_STAAU; STP|MerR; Peptidase|S33.UPW; null; TC|9.B.223.1.1; STP|HTH_3; null; TC|2.A.66.1.28; STP|Sigma70_r2+STP|Sigma70_r4_2; CAZyme|CBM56_e2|CBM56_e2|GH16_3|CBM56_e2; null; STP|GyrI-like; null; TC|2.A.17.1.7; null; null; TC|9.B.20.1.4; Sulfatase|S1_14; TC|3.A.1.11.8; TC|3.A.1.1.16; STP|SBP_bac_1; STP|GntR+STP|Peripla_BP_3</t>
  </si>
  <si>
    <t>JALXVO010000038.1</t>
  </si>
  <si>
    <t>JALXVO010000038.1_13</t>
  </si>
  <si>
    <t>GCA_026013785.1</t>
  </si>
  <si>
    <t>CP110228.1</t>
  </si>
  <si>
    <t>CP110228.1_57</t>
  </si>
  <si>
    <t>GCA_026013785.1.overview.tsv</t>
  </si>
  <si>
    <t>GCA_026013785.1_CGC2</t>
  </si>
  <si>
    <t>TC|2.A.1.2.7; null; null; CAZyme|GH16_3</t>
  </si>
  <si>
    <t>CP110228.1_603</t>
  </si>
  <si>
    <t>GCA_026013785.1_CGC14</t>
  </si>
  <si>
    <t>STP|CBS; null; null; CAZyme|GH92_e13; CAZyme|GT2; null; null; CAZyme|GT2; TC|9.B.14.3.3; null; TC|5.A.3.5.3; null; null; TC|1.B.14.6.17; TC|8.A.46.1.3; null; Peptidase|S09.UPW; CAZyme|GH144_e1; STP|Y_Y_Y; TC|1.B.14.6.17; TC|1.B.38.1.10; CAZyme|CBM102; CAZyme|CBM103|GH16_3+Sulfatase|S1_19; CAZyme|GH3_e1+Sulfatase|S1_7; null; TC|2.A.53.3.8; TC|1.B.14.6.17; TC|8.A.46.3.4</t>
  </si>
  <si>
    <t>CP110228.1|CGC14</t>
  </si>
  <si>
    <t>CP110228.1_84</t>
  </si>
  <si>
    <t>GCA_026013785.1_CGC3</t>
  </si>
  <si>
    <t>GCA_026013805.1</t>
  </si>
  <si>
    <t>CP110229.1</t>
  </si>
  <si>
    <t>CP110229.1_152</t>
  </si>
  <si>
    <t>GCA_026013805.1.overview.tsv</t>
  </si>
  <si>
    <t>GCA_026013805.1_CGC4</t>
  </si>
  <si>
    <t>CAZyme|GH144_e1; STP|Y_Y_Y; null; TC|1.B.14.6.17; TC|1.B.38.1.10; CAZyme|CBM102; CAZyme|CBM103|GH16_3+Sulfatase|S1_19; CAZyme|GH3_e1+Sulfatase|S1_7; null; TC|2.A.53.3.8</t>
  </si>
  <si>
    <t>CP110229.1|CGC4</t>
  </si>
  <si>
    <t>CP110229.1_653</t>
  </si>
  <si>
    <t>GCA_026013805.1_CGC14</t>
  </si>
  <si>
    <t>CP110229.1_676</t>
  </si>
  <si>
    <t>GCA_026013805.1_CGC15</t>
  </si>
  <si>
    <t>GCA_026013825.1</t>
  </si>
  <si>
    <t>CP110230.1</t>
  </si>
  <si>
    <t>CP110230.1_1106</t>
  </si>
  <si>
    <t>GCA_026013825.1.overview.tsv</t>
  </si>
  <si>
    <t>GCA_026013825.1_CGC17</t>
  </si>
  <si>
    <t>TC|8.A.46.3.4; TC|1.B.14.6.17; TC|2.A.53.3.8; null; CAZyme|GH3_e1+Sulfatase|S1_7; CAZyme|CBM103|GH16_3+Sulfatase|S1_19; CAZyme|CBM102; TC|1.B.38.1.10; TC|1.B.14.6.17; STP|Y_Y_Y+STP|GerE</t>
  </si>
  <si>
    <t>CP110230.1|CGC17</t>
  </si>
  <si>
    <t>CAZyme-CAZyme;CAZyme-CAZyme;CAZyme-CAZyme;CAZyme-CAZyme;TC-TC;TC-TC;STP-TF</t>
  </si>
  <si>
    <t>CP110230.1_1650</t>
  </si>
  <si>
    <t>GCA_026013825.1_CGC31</t>
  </si>
  <si>
    <t>CP110230.1_1676</t>
  </si>
  <si>
    <t>GCA_026013825.1_CGC32</t>
  </si>
  <si>
    <t>CAZyme|GH16_3; null; TC|2.A.1.2.7; null; null; TC|3.A.1.10.3; null; null; TC|8.A.1.3.4; STP|NTP_transf_2</t>
  </si>
  <si>
    <t>GCA_027627515.1</t>
  </si>
  <si>
    <t>CP115466.1</t>
  </si>
  <si>
    <t>CP115466.1_5075</t>
  </si>
  <si>
    <t>GCA_027627515.1.overview.tsv</t>
  </si>
  <si>
    <t>GCA_027627515.1_CGC82</t>
  </si>
  <si>
    <t>CP115466.1_871</t>
  </si>
  <si>
    <t>GCA_027627515.1_CGC17</t>
  </si>
  <si>
    <t>GCA_027662465.1</t>
  </si>
  <si>
    <t>JAQDJQ010000003.1</t>
  </si>
  <si>
    <t>JAQDJQ010000003.1_38</t>
  </si>
  <si>
    <t>GCA_027662465.1.overview.tsv</t>
  </si>
  <si>
    <t>GCA_027662465.1_CGC17</t>
  </si>
  <si>
    <t>GCA_027663695.1</t>
  </si>
  <si>
    <t>JAQDHM010000008.1</t>
  </si>
  <si>
    <t>JAQDHM010000008.1_83</t>
  </si>
  <si>
    <t>GCA_027663695.1.overview.tsv</t>
  </si>
  <si>
    <t>JAQDHM010000012.1</t>
  </si>
  <si>
    <t>JAQDHM010000012.1_4</t>
  </si>
  <si>
    <t>GCA_027665525.1</t>
  </si>
  <si>
    <t>JAQDEC010000018.1</t>
  </si>
  <si>
    <t>JAQDEC010000018.1_13</t>
  </si>
  <si>
    <t>GCA_027665525.1.overview.tsv</t>
  </si>
  <si>
    <t>GCA_027665525.1_CGC39</t>
  </si>
  <si>
    <t>STP|GntR+STP|Peripla_BP_3; STP|SBP_bac_1; TC|3.A.1.1.16; TC|3.A.1.11.8; Sulfatase|S1_14; TC|9.B.20.1.4; null; TC|2.A.17.1.7; STP|HTH_11; STP|GyrI-like; null; CAZyme|CBM56_e2|CBM56_e2|GH16_3|CBM56_e2; STP|Sigma70_r2+STP|Sigma70_r4_2; TC|2.A.66.1.28; null; STP|HTH_3; TC|9.B.223.1.1</t>
  </si>
  <si>
    <t>JAQDEC010000035.1</t>
  </si>
  <si>
    <t>JAQDEC010000035.1_43</t>
  </si>
  <si>
    <t>GCA_027682715.1</t>
  </si>
  <si>
    <t>JAQCZE010000007.1</t>
  </si>
  <si>
    <t>JAQCZE010000007.1_71</t>
  </si>
  <si>
    <t>GCA_027682715.1.overview.tsv</t>
  </si>
  <si>
    <t>GCA_027682715.1_CGC34</t>
  </si>
  <si>
    <t>GCA_027683955.1</t>
  </si>
  <si>
    <t>JAQCWT010000005.1</t>
  </si>
  <si>
    <t>JAQCWT010000005.1_152</t>
  </si>
  <si>
    <t>GCA_027683955.1.overview.tsv</t>
  </si>
  <si>
    <t>GCA_027683955.1_CGC33</t>
  </si>
  <si>
    <t>GCA_027686135.1</t>
  </si>
  <si>
    <t>JAQCTE010000008.1</t>
  </si>
  <si>
    <t>JAQCTE010000008.1_19</t>
  </si>
  <si>
    <t>GCA_027686135.1.overview.tsv</t>
  </si>
  <si>
    <t>GCA_027686135.1_CGC18</t>
  </si>
  <si>
    <t>JAQCTE010000008.1|CGC18</t>
  </si>
  <si>
    <t>JAQCTE010000015.1</t>
  </si>
  <si>
    <t>JAQCTE010000015.1_37</t>
  </si>
  <si>
    <t>GCA_027686135.1_CGC29</t>
  </si>
  <si>
    <t>CAZyme|PL42_e0; CAZyme|GH105_e39|GH154_e2+Sulfatase|S1_14; null; TC|1.B.14.6.17; null; TC|1.B.14.6.17; null; CAZyme|CBM32_e83; CAZyme|GH16_3+Sulfatase|S1_19; CAZyme|GH16_3+Sulfatase|S1_19; CAZyme|GH43_24+Sulfatase|S1_6; STP|Reg_prop+STP|Y_Y_Y+STP|HisKA+STP|HATPase_c+STP|Response_reg+STP|HTH_18; TC|1.B.14.6.17; TC|8.A.46.1.6; null; TC|2.A.37.2.5; TC|3.A.25.1.1; TC|3.A.1.125.1</t>
  </si>
  <si>
    <t>JAQCTE010000015.1|CGC29</t>
  </si>
  <si>
    <t>PUL0663</t>
  </si>
  <si>
    <t>CAZyme-CAZyme;CAZyme-CAZyme;CAZyme-CAZyme;STP-TC;TC-TC;TC-TC</t>
  </si>
  <si>
    <t>JAQCTE010000015.1_38</t>
  </si>
  <si>
    <t>GCA_027686445.1</t>
  </si>
  <si>
    <t>JAQCSR010000002.1</t>
  </si>
  <si>
    <t>JAQCSR010000002.1_119</t>
  </si>
  <si>
    <t>GCA_027686445.1.overview.tsv</t>
  </si>
  <si>
    <t>JAQCSR010000002.1_124</t>
  </si>
  <si>
    <t>GCA_027686445.1_CGC18</t>
  </si>
  <si>
    <t>JAQCSR010000002.1|CGC18</t>
  </si>
  <si>
    <t>JAQCSR010000012.1</t>
  </si>
  <si>
    <t>JAQCSR010000012.1_111</t>
  </si>
  <si>
    <t>GCA_027686485.1</t>
  </si>
  <si>
    <t>JAQCSP010000007.1</t>
  </si>
  <si>
    <t>JAQCSP010000007.1_19</t>
  </si>
  <si>
    <t>GCA_027686485.1.overview.tsv</t>
  </si>
  <si>
    <t>GCA_027686485.1_CGC15</t>
  </si>
  <si>
    <t>JAQCSP010000007.1|CGC15</t>
  </si>
  <si>
    <t>JAQCSP010000015.1</t>
  </si>
  <si>
    <t>JAQCSP010000015.1_27</t>
  </si>
  <si>
    <t>GCA_027686485.1_CGC26</t>
  </si>
  <si>
    <t>TC|3.A.1.125.1; TC|3.A.25.1.1; TC|2.A.37.2.5; null; TC|8.A.46.1.6; TC|1.B.14.6.17; STP|Reg_prop+STP|Y_Y_Y+STP|HisKA+STP|HATPase_c+STP|Response_reg+STP|HTH_18; CAZyme|GH43_24+Sulfatase|S1_6; CAZyme|GH16_3+Sulfatase|S1_19; CAZyme|GH16_3+Sulfatase|S1_19; CAZyme|CBM32_e83; null; TC|1.B.14.6.17; null; TC|1.B.14.6.17; null; CAZyme|GH105_e39|GH154_e2+Sulfatase|S1_14; CAZyme|PL42_e0</t>
  </si>
  <si>
    <t>JAQCSP010000015.1|CGC26</t>
  </si>
  <si>
    <t>TC-TC;TC-TC;STP-TC;CAZyme-CAZyme;CAZyme-CAZyme;CAZyme-CAZyme</t>
  </si>
  <si>
    <t>JAQCSP010000015.1_28</t>
  </si>
  <si>
    <t>GCA_027693505.1</t>
  </si>
  <si>
    <t>JAQEYB010000005.1</t>
  </si>
  <si>
    <t>JAQEYB010000005.1_60</t>
  </si>
  <si>
    <t>GCA_027693505.1.overview.tsv</t>
  </si>
  <si>
    <t>GCA_027693505.1_CGC11</t>
  </si>
  <si>
    <t>TC|1.B.14.6.17; TC|8.A.46.1.3; CAZyme|GH16_3; null; null; CAZyme|GT1_e137</t>
  </si>
  <si>
    <t>JAQEYB010000005.1|CGC11</t>
  </si>
  <si>
    <t>GCA_027696905.1</t>
  </si>
  <si>
    <t>JAQETB010000001.1</t>
  </si>
  <si>
    <t>JAQETB010000001.1_224</t>
  </si>
  <si>
    <t>GCA_027696905.1.overview.tsv</t>
  </si>
  <si>
    <t>GCA_027696905.1_CGC11</t>
  </si>
  <si>
    <t>JAQETB010000001.1|CGC11</t>
  </si>
  <si>
    <t>JAQETB010000007.1</t>
  </si>
  <si>
    <t>JAQETB010000007.1_95</t>
  </si>
  <si>
    <t>GCA_027696905.1_CGC54</t>
  </si>
  <si>
    <t>STP|Rhodanese; TC|2.A.7.3.36; null; null; CAZyme|CBM48_e32|GH13_8; null; null; TC|2.A.40.7.8; null; TC|2.A.40.4.2; TC|2.A.40.1.4; null; CAZyme|GT32_e128; null; CAZyme|GT2; null; CAZyme|GT4_e3415; CAZyme|GH16_3; CAZyme|GT26_e51; CAZyme|GT26_e12; null; CAZyme|GH5_21</t>
  </si>
  <si>
    <t>JAQETB010000007.1|CGC54</t>
  </si>
  <si>
    <t>GCA_027696975.1</t>
  </si>
  <si>
    <t>JAQETA010000002.1</t>
  </si>
  <si>
    <t>JAQETA010000002.1_130</t>
  </si>
  <si>
    <t>GCA_027696975.1.overview.tsv</t>
  </si>
  <si>
    <t>GCA_027696975.1_CGC17</t>
  </si>
  <si>
    <t>JAQETA010000002.1|CGC17</t>
  </si>
  <si>
    <t>JAQETA010000007.1</t>
  </si>
  <si>
    <t>JAQETA010000007.1_54</t>
  </si>
  <si>
    <t>GCA_027696975.1_CGC43</t>
  </si>
  <si>
    <t>STP|Rhodanese; TC|2.A.7.3.36; null; null; CAZyme|CBM48_e32|GH13_8; null; null; TC|2.A.40.7.8; null; TC|2.A.40.4.2; TC|2.A.40.1.4; null; null; CAZyme|GT32_e128; null; CAZyme|GT2; null; CAZyme|GT4_e3415; CAZyme|GH16_3; CAZyme|GT26_e51; CAZyme|GT26_e12</t>
  </si>
  <si>
    <t>GCA_027857015.1</t>
  </si>
  <si>
    <t>CP115600.1</t>
  </si>
  <si>
    <t>CP115600.1_5113</t>
  </si>
  <si>
    <t>GCA_027857015.1.overview.tsv</t>
  </si>
  <si>
    <t>GCA_027857015.1_CGC82</t>
  </si>
  <si>
    <t>CP115600.1_871</t>
  </si>
  <si>
    <t>GCA_027857015.1_CGC17</t>
  </si>
  <si>
    <t>GCA_028322385.1</t>
  </si>
  <si>
    <t>JAQLYA010000004.1</t>
  </si>
  <si>
    <t>JAQLYA010000004.1_244</t>
  </si>
  <si>
    <t>GCA_028322385.1.overview.tsv</t>
  </si>
  <si>
    <t>GCA_028322385.1_CGC24</t>
  </si>
  <si>
    <t>JAQLYA010000004.1|CGC24</t>
  </si>
  <si>
    <t>GCA_028322445.1</t>
  </si>
  <si>
    <t>JAQLYB010000004.1</t>
  </si>
  <si>
    <t>JAQLYB010000004.1_244</t>
  </si>
  <si>
    <t>GCA_028322445.1.overview.tsv</t>
  </si>
  <si>
    <t>GCA_028322445.1_CGC30</t>
  </si>
  <si>
    <t>JAQLYB010000004.1|CGC30</t>
  </si>
  <si>
    <t>GCA_028399565.1</t>
  </si>
  <si>
    <t>JAQNVY010000002.1</t>
  </si>
  <si>
    <t>JAQNVY010000002.1_65</t>
  </si>
  <si>
    <t>GCA_028399565.1.overview.tsv</t>
  </si>
  <si>
    <t>JAQNVY010000005.1</t>
  </si>
  <si>
    <t>JAQNVY010000005.1_117</t>
  </si>
  <si>
    <t>GCA_028399565.1_CGC33</t>
  </si>
  <si>
    <t>JAQNVY010000005.1|CGC33</t>
  </si>
  <si>
    <t>GCA_029369765.1</t>
  </si>
  <si>
    <t>CP120351.1</t>
  </si>
  <si>
    <t>CP120351.1_2148</t>
  </si>
  <si>
    <t>GCA_029369765.1.overview.tsv</t>
  </si>
  <si>
    <t>GCA_029369765.1_CGC73</t>
  </si>
  <si>
    <t>STP|PALP; CAZyme|GH3_e208+Sulfatase|S1_7; null; TC|8.A.46.2.1; TC|1.B.14.6.2; CAZyme|GH16_3; STP|Y_Y_Y+STP|HisKA+STP|HATPase_c+STP|Response_reg+STP|HTH_18; null; TC|1.B.14.6.17; TC|1.B.38.1.10; CAZyme|GH43_28|CBM32_e176; CAZyme|GH144_e1; CAZyme|GH3_e1+Sulfatase|S1_7; CAZyme|GH3_e98+Sulfatase|S1_7</t>
  </si>
  <si>
    <t>CP120351.1|CGC73</t>
  </si>
  <si>
    <t>CAZyme-CAZyme;null-null;TC-TC;TC-TC;CAZyme-CAZyme;STP-TC;CAZyme-CAZyme;CAZyme-CAZyme</t>
  </si>
  <si>
    <t>CP120351.1_3785</t>
  </si>
  <si>
    <t>GCA_029893715.1</t>
  </si>
  <si>
    <t>JARXYU010000002.1</t>
  </si>
  <si>
    <t>JARXYU010000002.1_412</t>
  </si>
  <si>
    <t>GCA_029893715.1.overview.tsv</t>
  </si>
  <si>
    <t>GCA_029893715.1_CGC31</t>
  </si>
  <si>
    <t>JARXYU010000002.1|CGC31</t>
  </si>
  <si>
    <t>JARXYU010000005.1</t>
  </si>
  <si>
    <t>JARXYU010000005.1_39</t>
  </si>
  <si>
    <t>GCA_030122685.1</t>
  </si>
  <si>
    <t>CP126064.1</t>
  </si>
  <si>
    <t>CP126064.1_1176</t>
  </si>
  <si>
    <t>GH16_3(2-122)</t>
  </si>
  <si>
    <t>GH16_e321(2-123)</t>
  </si>
  <si>
    <t>GCA_030122685.1.overview.tsv</t>
  </si>
  <si>
    <t>GCA_030122685.1_CGC27</t>
  </si>
  <si>
    <t>STP|Y_Y_Y+STP|HTH_18; STP|Reg_prop; null; CAZyme|GH16_3; Peptidase|M14.UNB; Peptidase|I39.UPW; TC|1.B.14.6.17; TC|1.B.14.6.17</t>
  </si>
  <si>
    <t>CP126064.1|CGC27</t>
  </si>
  <si>
    <t>CAZyme-CAZyme;Peptidase-TC</t>
  </si>
  <si>
    <t>CP126064.1_3800</t>
  </si>
  <si>
    <t>GH16_3(1-131)</t>
  </si>
  <si>
    <t>GH16_e88(1-131)</t>
  </si>
  <si>
    <t>GCA_030122685.1_CGC64</t>
  </si>
  <si>
    <t>TC|1.B.14.6.12; TC|1.B.14.6.12; null; STP|Sigma70_r2+STP|Sigma70_r4_2; null; STP|FecR; TC|1.B.14.6.12; null; null; CAZyme|CE20_e1; Sulfatase|S1_62; CAZyme|CE20_e20+Sulfatase|S1_16; null; CAZyme|GH67_e0; CAZyme|GH115_e0; CAZyme|GH115_e0; CAZyme|GH43_10|CBM91_e4+Sulfatase|S1_7; STP|Reg_prop; STP|Reg_prop+STP|Y_Y_Y; TC|9.B.34.1.7; STP|HATPase_c+STP|Response_reg+STP|HTH_18; null; TC|1.B.14.6.1; TC|1.B.14.6.1; CAZyme|CBM91_e46; CAZyme|GH43_12; CAZyme|GH43_1+Sulfatase|S1_7; CAZyme|GH10_e83+Sulfatase|S1_7; Sulfatase|S1_7; TC|2.A.2.3.4; CAZyme|GH16_3</t>
  </si>
  <si>
    <t>CP126064.1|CGC64</t>
  </si>
  <si>
    <t>STP-TC;STP-TC;TC-TC;STP-TC;null-TC;TC-TC;TC-TC;CAZyme-CAZyme;CAZyme-CAZyme;CAZyme-CAZyme;CAZyme-CAZyme;Sulfatase-CAZyme;TC-TC;CAZyme-CAZyme</t>
  </si>
  <si>
    <t>GCA_030371665.1</t>
  </si>
  <si>
    <t>JAUDBR010000014.1</t>
  </si>
  <si>
    <t>JAUDBR010000014.1_71</t>
  </si>
  <si>
    <t>GCA_030371665.1.overview.tsv</t>
  </si>
  <si>
    <t>GCA_030371665.1_CGC37</t>
  </si>
  <si>
    <t>STP|HTH_3; null; TC|2.A.36.3.3; CAZyme|GH16_3; STP|HTH_3; null; null; CAZyme|GH33_e129; STP|HxlR</t>
  </si>
  <si>
    <t>GCA_030527835.1</t>
  </si>
  <si>
    <t>JAUMZZ010000004.1</t>
  </si>
  <si>
    <t>JAUMZZ010000004.1_74</t>
  </si>
  <si>
    <t>GH16_3(208-473)</t>
  </si>
  <si>
    <t>GH16_e107(207-474)</t>
  </si>
  <si>
    <t>GCA_030527835.1.overview.tsv</t>
  </si>
  <si>
    <t>GCA_030527835.1_CGC8</t>
  </si>
  <si>
    <t>CAZyme|GH16_3; null; null; STP|SIS; CAZyme|GH4_e24; TC|4.A.3.1.1; null; TC|4.A.3.2.3; CAZyme|GH170_e1; TC|4.A.1.2.17</t>
  </si>
  <si>
    <t>JAUMZZ010000004.1|CGC8</t>
  </si>
  <si>
    <t>PUL0019</t>
  </si>
  <si>
    <t>JAUMZZ010000014.1</t>
  </si>
  <si>
    <t>JAUMZZ010000014.1_2</t>
  </si>
  <si>
    <t>GCA_030527835.1_CGC19</t>
  </si>
  <si>
    <t>CAZyme|GT2; CAZyme|GH16_3+Sulfatase|S1_19; null; TC|9.B.18.2.4; null; null; STP|Sigma70_r4; CAZyme|GH1_e85+TC|8.A.49.1.1; null; STP|Glyoxalase; null; null; CAZyme|CE1_e29+Peptidase|S09.UPW; null; null; TC|9.B.146.1.3; null; CAZyme|GT119+TC|2.A.103.1.3; CAZyme|GT28_e64</t>
  </si>
  <si>
    <t>GCA_030527845.1</t>
  </si>
  <si>
    <t>JAUNAA010000005.1</t>
  </si>
  <si>
    <t>JAUNAA010000005.1_57</t>
  </si>
  <si>
    <t>GCA_030527845.1.overview.tsv</t>
  </si>
  <si>
    <t>GCA_030527985.1</t>
  </si>
  <si>
    <t>JAUMZT010000024.1</t>
  </si>
  <si>
    <t>JAUMZT010000024.1_30</t>
  </si>
  <si>
    <t>GH16_3(47-282)</t>
  </si>
  <si>
    <t>GCA_030527985.1.overview.tsv</t>
  </si>
  <si>
    <t>GCA_030527985.1_CGC41</t>
  </si>
  <si>
    <t>STP|HxlR; CAZyme|GH33_e129; STP|HTH_3; CAZyme|GH16_3; TC|2.A.36.3.2; null; null; STP|HTH_3</t>
  </si>
  <si>
    <t>GCA_030644325.1</t>
  </si>
  <si>
    <t>CP130323.1</t>
  </si>
  <si>
    <t>CP130323.1_247</t>
  </si>
  <si>
    <t>GCA_030644325.1.overview.tsv</t>
  </si>
  <si>
    <t>GCA_030644325.1_CGC3</t>
  </si>
  <si>
    <t>CAZyme|GH16_3+Sulfatase|S1_19; null; TC|9.B.18.2.4; Sulfatase|S1_9; CAZyme|CE9_e0+Peptidase|M38.UNW; null; Peptidase|M18.UPW; CAZyme|CBM48_e52|GH13_20+TC|8.A.9.1.3; Peptidase|S08.UPA; STP|TPR_1; null; null; TC|5.A.1.2.10; null; STP|Response_reg+STP|HTH_18; STP|dCache_1+TC|9.B.33.1.1</t>
  </si>
  <si>
    <t>CP130323.1|CGC3</t>
  </si>
  <si>
    <t>GCA_030644345.1</t>
  </si>
  <si>
    <t>CP130059.1</t>
  </si>
  <si>
    <t>CP130059.1_718</t>
  </si>
  <si>
    <t>GCA_030644345.1.overview.tsv</t>
  </si>
  <si>
    <t>GCA_030843185.1</t>
  </si>
  <si>
    <t>JAUUQB010000004.1</t>
  </si>
  <si>
    <t>JAUUQB010000004.1_74</t>
  </si>
  <si>
    <t>GCA_030843185.1.overview.tsv</t>
  </si>
  <si>
    <t>GCA_030843185.1_CGC16</t>
  </si>
  <si>
    <t>JAUUQB010000004.1|CGC16</t>
  </si>
  <si>
    <t>GCA_030848285.1</t>
  </si>
  <si>
    <t>CP114597.1</t>
  </si>
  <si>
    <t>CP114597.1_2210</t>
  </si>
  <si>
    <t>GCA_030848285.1.overview.tsv</t>
  </si>
  <si>
    <t>GCA_030848285.1_CGC57</t>
  </si>
  <si>
    <t>CAZyme|GH16_3; CAZyme|GH3_e83+Sulfatase|S1_11; STP|Pribosyltran</t>
  </si>
  <si>
    <t>CP114597.1_772</t>
  </si>
  <si>
    <t>GCA_030848285.1_CGC20</t>
  </si>
  <si>
    <t>CP114597.1_935</t>
  </si>
  <si>
    <t>GCA_030848285.1_CGC27</t>
  </si>
  <si>
    <t>CP114597.1|CGC27</t>
  </si>
  <si>
    <t>GCA_030875795.1</t>
  </si>
  <si>
    <t>CP132899.1</t>
  </si>
  <si>
    <t>CP132899.1_3608</t>
  </si>
  <si>
    <t>GCA_030875795.1.overview.tsv</t>
  </si>
  <si>
    <t>GCA_030875795.1_CGC83</t>
  </si>
  <si>
    <t>CP132899.1|CGC83</t>
  </si>
  <si>
    <t>GCA_031082475.1</t>
  </si>
  <si>
    <t>JAMZMG010000004.1</t>
  </si>
  <si>
    <t>JAMZMG010000004.1_123</t>
  </si>
  <si>
    <t>GCA_031082475.1.overview.tsv</t>
  </si>
  <si>
    <t>GCA_031082475.1_CGC19</t>
  </si>
  <si>
    <t>GCA_900079085.1</t>
  </si>
  <si>
    <t>FKLO01000004.1</t>
  </si>
  <si>
    <t>FKLO01000004.1_19</t>
  </si>
  <si>
    <t>GCA_900079085.1.overview.tsv</t>
  </si>
  <si>
    <t>FKLO01000052.1</t>
  </si>
  <si>
    <t>FKLO01000052.1_2</t>
  </si>
  <si>
    <t>3.2.1.78:2|-</t>
  </si>
  <si>
    <t>GH26(1124-1428)+GH16_3(2017-2273)</t>
  </si>
  <si>
    <t>GH26_e52(1120-1429)+GH16_e218(2018-2274)</t>
  </si>
  <si>
    <t>GH26</t>
  </si>
  <si>
    <t>GH26_e52|GH16_3</t>
  </si>
  <si>
    <t>beta-mannan</t>
  </si>
  <si>
    <t>GH16_3(2017-2273)</t>
  </si>
  <si>
    <t>GH26_e52</t>
  </si>
  <si>
    <t>GCA_900095495.1</t>
  </si>
  <si>
    <t>LT622246.1</t>
  </si>
  <si>
    <t>LT622246.1_4350</t>
  </si>
  <si>
    <t>GCA_900095495.1.overview.tsv</t>
  </si>
  <si>
    <t>LT622246.1_483</t>
  </si>
  <si>
    <t>GCA_900095495.1_CGC13</t>
  </si>
  <si>
    <t>LT622246.1_933</t>
  </si>
  <si>
    <t>GCA_900095495.1_CGC26</t>
  </si>
  <si>
    <t>LT622246.1|CGC26</t>
  </si>
  <si>
    <t>GCA_900095835.1</t>
  </si>
  <si>
    <t>HMT-413</t>
  </si>
  <si>
    <t>LT608321.1</t>
  </si>
  <si>
    <t>LT608321.1_1682</t>
  </si>
  <si>
    <t>GH16_3(344-579)</t>
  </si>
  <si>
    <t>GH16_e144(345-580)</t>
  </si>
  <si>
    <t>GCA_900095835.1.overview.tsv</t>
  </si>
  <si>
    <t>GCA_900095835.1_CGC37</t>
  </si>
  <si>
    <t>CAZyme|GH16_3; CAZyme|GH95_e0+Sulfatase|S1_11; CAZyme|GH95_e0+Sulfatase|S1_11; null; null; TC|3.A.1.114.1; TC|3.A.1.105.28</t>
  </si>
  <si>
    <t>LT608321.1|CGC37</t>
  </si>
  <si>
    <t>GCA_900096715.1</t>
  </si>
  <si>
    <t>FMML01000005.1</t>
  </si>
  <si>
    <t>FMML01000005.1_18</t>
  </si>
  <si>
    <t>GCA_900096715.1.overview.tsv</t>
  </si>
  <si>
    <t>GCA_900096715.1_CGC6</t>
  </si>
  <si>
    <t>FMML01000005.1|CGC6</t>
  </si>
  <si>
    <t>FMML01000082.1</t>
  </si>
  <si>
    <t>FMML01000082.1_32</t>
  </si>
  <si>
    <t>GCA_900096715.1_CGC56</t>
  </si>
  <si>
    <t>GCA_900096725.1</t>
  </si>
  <si>
    <t>FMMN01000012.1</t>
  </si>
  <si>
    <t>FMMN01000012.1_17</t>
  </si>
  <si>
    <t>GCA_900096725.1.overview.tsv</t>
  </si>
  <si>
    <t>GCA_900096725.1_CGC5</t>
  </si>
  <si>
    <t>FMMN01000012.1|CGC5</t>
  </si>
  <si>
    <t>FMMN01000061.1</t>
  </si>
  <si>
    <t>FMMN01000061.1_101</t>
  </si>
  <si>
    <t>GCA_900096725.1_CGC58</t>
  </si>
  <si>
    <t>GCA_900096735.1</t>
  </si>
  <si>
    <t>FMMM01000014.1</t>
  </si>
  <si>
    <t>FMMM01000014.1_28</t>
  </si>
  <si>
    <t>GCA_900096735.1.overview.tsv</t>
  </si>
  <si>
    <t>GCA_900096735.1_CGC6</t>
  </si>
  <si>
    <t>CAZyme|GH16_3+Sulfatase|S1_19; null; TC|1.B.14.6.2; STP|FecR; STP|Sigma70_r2+STP|Sigma70_r4_2</t>
  </si>
  <si>
    <t>FMMM01000014.1|CGC6</t>
  </si>
  <si>
    <t>FMMM01000078.1</t>
  </si>
  <si>
    <t>FMMM01000078.1_84</t>
  </si>
  <si>
    <t>GCA_900096735.1_CGC55</t>
  </si>
  <si>
    <t>CGC55</t>
  </si>
  <si>
    <t>GCA_900099765.1</t>
  </si>
  <si>
    <t>FNDX01000001.1</t>
  </si>
  <si>
    <t>FNDX01000001.1_324</t>
  </si>
  <si>
    <t>GCA_900099765.1.overview.tsv</t>
  </si>
  <si>
    <t>GCA_900099765.1_CGC7</t>
  </si>
  <si>
    <t>TC|1.A.13.5.1; null; TC|2.A.1.24.4; Sulfatase|S1_8; null; CAZyme|GH35_e15; STP|dCache_1+TC|9.B.304.1.8; STP|SBP_bac_1; CAZyme|GH130_1; STP|Response_reg+STP|HTH_18; STP|SBP_bac_1; TC|3.A.1.1.3; TC|3.A.1.1.57; CAZyme|GH130_2; CAZyme|CE7_e8+Peptidase|S09.UPW; STP|SBP_bac_1; CAZyme|GH67_e1; TC|3.A.1.1.11; TC|3.A.1.1.11; STP|dCache_1; STP|Response_reg+STP|HTH_18; STP|AraC_binding+STP|HTH_18; CAZyme|GH182; STP|AraC_binding+STP|HTH_18; CAZyme|GH30_8|CBM35_e49+Sulfatase|S1_7; CAZyme|GH30_e28|CBM22_e18; Peptidase|I87.UPW; Peptidase|I87.UPW; STP|HTH_18; CAZyme|GH8_e36; CAZyme|GH43_16|CBM6_e6; CAZyme|GH43_10|CBM91_e48+Sulfatase|S1_7; CAZyme|GH27_e10; null; STP|AraC_binding+STP|HTH_18; null; null; TC|2.A.86.1.8; null; STP|HisKA+STP|HATPase_c; prodoric|PHOP_BACSU; null; CAZyme|GH16_3|CBM13_e342; null; STP|TetR_N; CAZyme|CE17_e0+Sulfatase|S1_24; CAZyme|GH115_e0; STP|AraC_binding+STP|HTH_18</t>
  </si>
  <si>
    <t>FNDX01000001.1|CGC7</t>
  </si>
  <si>
    <t>CAZyme-CAZyme;STP-STP;TC-TC;TC-TC;CAZyme-CAZyme;CAZyme-CAZyme;CAZyme-CAZyme</t>
  </si>
  <si>
    <t>FNDX01000003.1</t>
  </si>
  <si>
    <t>FNDX01000003.1_147</t>
  </si>
  <si>
    <t>CBM54(211-322)+GH16_3(444-691)+CBM4(724-860)+CBM4(890-1028)+CBM4(1180-1314)+CBM4(1347-1476)</t>
  </si>
  <si>
    <t>CBM54_e10(212-323)+GH16_e190(445-692)+CBM4_e15(725-860)+CBM4_e15(891-1029)+CBM6_e83(1058-1179)+CBM4_e15(1181-1315)+CBM4_e15(1348-1477)</t>
  </si>
  <si>
    <t>GH16_3(444-691)</t>
  </si>
  <si>
    <t>GCA_900099765.1_CGC20</t>
  </si>
  <si>
    <t>FNDX01000003.1|CGC20</t>
  </si>
  <si>
    <t>FNDX01000022.1</t>
  </si>
  <si>
    <t>FNDX01000022.1_71</t>
  </si>
  <si>
    <t>GCA_900099765.1_CGC91</t>
  </si>
  <si>
    <t>FNDX01000022.1|CGC91</t>
  </si>
  <si>
    <t>FNDX01000022.1_78</t>
  </si>
  <si>
    <t>FNDX01000040.1</t>
  </si>
  <si>
    <t>FNDX01000040.1_30</t>
  </si>
  <si>
    <t>CBM54(218-329)+GH16_3(493-736)+CBM4(768-909)+CBM4(943-1072)+CBM4(1101-1221)+CBM4(1339-1448)+CBM4(1498-1622)</t>
  </si>
  <si>
    <t>CBM54_e23(218-329)+GH16_e193(494-737)+CBM4_e9(769-910)+CBM4_e9(944-1073)+CBM4_e9(1102-1222)+CBM4_e9(1340-1459)+CBM4_e9(1498-1622)</t>
  </si>
  <si>
    <t>GH16_3(493-736)</t>
  </si>
  <si>
    <t>GCA_900099765.1_CGC118</t>
  </si>
  <si>
    <t>CGC118</t>
  </si>
  <si>
    <t>GCA_900104625.1</t>
  </si>
  <si>
    <t>FNVZ01000003.1</t>
  </si>
  <si>
    <t>FNVZ01000003.1_101</t>
  </si>
  <si>
    <t>GCA_900104625.1.overview.tsv</t>
  </si>
  <si>
    <t>GCA_900104625.1_CGC4</t>
  </si>
  <si>
    <t>STP|TetR_N; null; null; TC|2.A.6.3.6; null; STP|Pribosyltran; null; STP|dCache_1+TC|9.B.33.1.1; STP|Response_reg+STP|HTH_18; null; TC|5.A.1.2.10; null; null; STP|TPR_1; Peptidase|S08.UPA; CAZyme|CBM48_e52|GH13_20+TC|8.A.9.1.3; Peptidase|M18.UPW; null; CAZyme|CE9_e0+Peptidase|M38.UNW; Sulfatase|S1_9; TC|9.B.18.2.4; null; CAZyme|GH16_3+Sulfatase|S1_19</t>
  </si>
  <si>
    <t>FNVZ01000003.1|CGC4</t>
  </si>
  <si>
    <t>TC-TC;CAZyme-CAZyme;Sulfatase-SULFATLAS;Sulfatase-SULFATLAS</t>
  </si>
  <si>
    <t>GCA_900115315.1</t>
  </si>
  <si>
    <t>FOVX01000002.1</t>
  </si>
  <si>
    <t>FOVX01000002.1_16</t>
  </si>
  <si>
    <t>GCA_900115315.1.overview.tsv</t>
  </si>
  <si>
    <t>GCA_900115315.1_CGC5</t>
  </si>
  <si>
    <t>FOVX01000002.1|CGC5</t>
  </si>
  <si>
    <t>FOVX01000011.1</t>
  </si>
  <si>
    <t>FOVX01000011.1_51</t>
  </si>
  <si>
    <t>GCA_900115315.1_CGC38</t>
  </si>
  <si>
    <t>TC|3.D.1.8.1; CAZyme|GH16_3; TC|2.A.62.1.3; CAZyme|GH109_e5; TC|2.A.64.3.2; STP|HhH-GPD; null; TC|1.A.112.2.13; null; STP|MerR; Peptidase|M23.UPB; TC|2.A.64.1.6; null; TC|8.A.192.1.5</t>
  </si>
  <si>
    <t>GCA_900155925.1</t>
  </si>
  <si>
    <t>FTMI01000002.1</t>
  </si>
  <si>
    <t>FTMI01000002.1_256</t>
  </si>
  <si>
    <t>GH16_3(67-298)+CBM13(321-442)</t>
  </si>
  <si>
    <t>GH16_e103(68-298)+CBM13_e183(320-443)</t>
  </si>
  <si>
    <t>GCA_900155925.1.overview.tsv</t>
  </si>
  <si>
    <t>GH16_3(67-298)</t>
  </si>
  <si>
    <t>GCA_900155925.1_CGC20</t>
  </si>
  <si>
    <t>STP|TetR_N; CAZyme|GH16_3|CBM13_e183; TC|2.A.37.2.2; Peptidase|M38.UNW; null; TC|2.A.40.3.1; TC|2.A.3.1.12; null; TC|2.A.5.5.6</t>
  </si>
  <si>
    <t>GCA_900187255.1</t>
  </si>
  <si>
    <t>LT906449.1</t>
  </si>
  <si>
    <t>LT906449.1_1815</t>
  </si>
  <si>
    <t>GCA_900187255.1.overview.tsv</t>
  </si>
  <si>
    <t>GCA_900187255.1_CGC32</t>
  </si>
  <si>
    <t>LT906449.1_937</t>
  </si>
  <si>
    <t>GCA_900187255.1_CGC15</t>
  </si>
  <si>
    <t>STP|Y_Y_Y+STP|GerE; TC|1.B.14.6.17; TC|1.B.38.1.10; CAZyme|CBM102; CAZyme|CBM103|GH16_3+Sulfatase|S1_19; CAZyme|GH158_e0; STP|HD</t>
  </si>
  <si>
    <t>LT906449.1|CGC15</t>
  </si>
  <si>
    <t>STP-TF;TC-TC;TC-TC;CAZyme-CAZyme;CAZyme-CAZyme</t>
  </si>
  <si>
    <t>GCA_900187995.1</t>
  </si>
  <si>
    <t>FZNZ01000032.1</t>
  </si>
  <si>
    <t>FZNZ01000032.1_4</t>
  </si>
  <si>
    <t>GCA_900187995.1.overview.tsv</t>
  </si>
  <si>
    <t>GCA_900187995.1_CGC42</t>
  </si>
  <si>
    <t>GCA_900445495.1</t>
  </si>
  <si>
    <t>UFTK01000001.1</t>
  </si>
  <si>
    <t>UFTK01000001.1_1348</t>
  </si>
  <si>
    <t>GCA_900445495.1.overview.tsv</t>
  </si>
  <si>
    <t>GCA_900445495.1_CGC35</t>
  </si>
  <si>
    <t>CAZyme|GH16_3; CAZyme|GH2_6+Sulfatase|S1_20; null; CAZyme|GH20_e29+Sulfatase|S1_16; null; null; TC|1.B.14.6.17; TC|1.B.14.6.1; STP|FecR; null; null; STP|Sigma70_r2+STP|Sigma70_r4_2; STP|FecR; TC|1.B.14.6.17; Sulfatase|S1_27; null; CAZyme|GH92_e23; STP|Sigma70_r2+STP|Sigma70_r4_2; STP|Glyoxalase; null; TC|9.B.29.2.12</t>
  </si>
  <si>
    <t>UFTK01000001.1|CGC35</t>
  </si>
  <si>
    <t>PUL0380</t>
  </si>
  <si>
    <t>STP-STP;CAZyme-CAZyme;CAZyme-CAZyme;CAZyme-CAZyme</t>
  </si>
  <si>
    <t>GCA_900445575.1</t>
  </si>
  <si>
    <t>UFTB01000001.1</t>
  </si>
  <si>
    <t>UFTB01000001.1_1552</t>
  </si>
  <si>
    <t>GCA_900445575.1.overview.tsv</t>
  </si>
  <si>
    <t>GCA_900445575.1_CGC29</t>
  </si>
  <si>
    <t>UFTB01000001.1_524</t>
  </si>
  <si>
    <t>GCA_900445575.1_CGC10</t>
  </si>
  <si>
    <t>UFTB01000001.1|CGC10</t>
  </si>
  <si>
    <t>UFTB01000001.1_640</t>
  </si>
  <si>
    <t>GCA_900445575.1_CGC14</t>
  </si>
  <si>
    <t>TC|2.A.21.3.7; CAZyme|GH171_e3; null; TC|1.B.14.6.17; null; CAZyme|GH16_3</t>
  </si>
  <si>
    <t>GCA_900446695.1</t>
  </si>
  <si>
    <t>UAVP01000008.1</t>
  </si>
  <si>
    <t>UAVP01000008.1_151</t>
  </si>
  <si>
    <t>GCA_900446695.1.overview.tsv</t>
  </si>
  <si>
    <t>GCA_900446695.1_CGC28</t>
  </si>
  <si>
    <t>UAVP01000008.1_244</t>
  </si>
  <si>
    <t>GCA_900446695.1_CGC29</t>
  </si>
  <si>
    <t>TC|3.A.1.132.3; null; null; CAZyme|GH3_e1+Sulfatase|S1_7; CAZyme|CBM103|GH16_3+Sulfatase|S1_19; CAZyme|CBM102; TC|1.B.38.1.10; TC|1.B.14.6.17; STP|Y_Y_Y; CAZyme|GH144_e1; Peptidase|S09.UPW; null; TC|8.A.46.1.3; TC|1.B.14.6.17; STP|Y_Y_Y</t>
  </si>
  <si>
    <t>UAVP01000008.1|CGC29</t>
  </si>
  <si>
    <t>GCA_900446705.1</t>
  </si>
  <si>
    <t>UARG01000017.1</t>
  </si>
  <si>
    <t>UARG01000017.1_1456</t>
  </si>
  <si>
    <t>GCA_900446705.1.overview.tsv</t>
  </si>
  <si>
    <t>GCA_900446705.1_CGC29</t>
  </si>
  <si>
    <t>CAZyme|GH144_e1; STP|Y_Y_Y+STP|GerE; TC|1.B.14.6.17; TC|1.B.38.1.10; null; null; CAZyme|CBM103|GH16_3+Sulfatase|S1_19; CAZyme|GH3_e1+Sulfatase|S1_7; null; TC|2.A.53.3.8; Peptidase|I39.UPW; TC|8.A.46.3.4</t>
  </si>
  <si>
    <t>UARG01000017.1|CGC29</t>
  </si>
  <si>
    <t>STP-TF;TC-TC;TC-TC;null-CAZyme;CAZyme-CAZyme;CAZyme-CAZyme;Peptidase-TC</t>
  </si>
  <si>
    <t>UARG01000017.1_911</t>
  </si>
  <si>
    <t>GCA_900446705.1_CGC16</t>
  </si>
  <si>
    <t>UARG01000017.1_934</t>
  </si>
  <si>
    <t>GCA_900446705.1_CGC17</t>
  </si>
  <si>
    <t>GCA_900452405.1</t>
  </si>
  <si>
    <t>UGNQ01000001.1</t>
  </si>
  <si>
    <t>UGNQ01000001.1_1503</t>
  </si>
  <si>
    <t>GCA_900452405.1.overview.tsv</t>
  </si>
  <si>
    <t>GCA_900452405.1_CGC17</t>
  </si>
  <si>
    <t>CAZyme|GT2|GT4_e3617; null; CAZyme|GT2; TC|9.B.97.5.4; CAZyme|GT4_e3183; TC|9.B.97.5.4; CAZyme|GT2; null; CAZyme|GT2; null; null; CAZyme|GT4_e52</t>
  </si>
  <si>
    <t>GCA_900454835.1</t>
  </si>
  <si>
    <t>UGTM01000001.1</t>
  </si>
  <si>
    <t>UGTM01000001.1_1561</t>
  </si>
  <si>
    <t>GCA_900454835.1.overview.tsv</t>
  </si>
  <si>
    <t>GCA_900454835.1_CGC33</t>
  </si>
  <si>
    <t>GCA_900454855.1</t>
  </si>
  <si>
    <t>UGTJ01000001.1</t>
  </si>
  <si>
    <t>UGTJ01000001.1_1583</t>
  </si>
  <si>
    <t>GCA_900454855.1.overview.tsv</t>
  </si>
  <si>
    <t>GCA_900454855.1_CGC41</t>
  </si>
  <si>
    <t>UGTJ01000001.1|CGC41</t>
  </si>
  <si>
    <t>GCA_900460915.1</t>
  </si>
  <si>
    <t>UAVS01000001.1</t>
  </si>
  <si>
    <t>UAVS01000001.1_136</t>
  </si>
  <si>
    <t>CBM103(129-310)+GH16_3(322-545)</t>
  </si>
  <si>
    <t>GH16_e121(323-546)</t>
  </si>
  <si>
    <t>GCA_900460915.1.overview.tsv</t>
  </si>
  <si>
    <t>GH16_3(322-545)</t>
  </si>
  <si>
    <t>GCA_900460915.1_CGC1</t>
  </si>
  <si>
    <t>TC|8.A.46.3.4; Peptidase|I39.UPW; TC|1.B.14.6.1; TC|2.A.53.3.8; STP|GerE; null; CAZyme|GH3_e1+Sulfatase|S1_7; CAZyme|CBM103|GH16_3+Sulfatase|S1_19; CAZyme|CBM102; TC|1.B.38.1.10; TC|1.B.14.6.17; null; STP|Y_Y_Y+STP|GerE; CAZyme|GH144_e1</t>
  </si>
  <si>
    <t>UAVS01000001.1|CGC1</t>
  </si>
  <si>
    <t>UAVS01000001.1_713</t>
  </si>
  <si>
    <t>GCA_900460915.1_CGC11</t>
  </si>
  <si>
    <t>TC|1.B.14.3.6; null; null; CAZyme|GH2_1; null; null; CAZyme|GH16_3; null; STP|cNMP_binding</t>
  </si>
  <si>
    <t>UAVS01000001.1_740</t>
  </si>
  <si>
    <t>GCA_900460915.1_CGC12</t>
  </si>
  <si>
    <t>CAZyme|GH16_3; null; TC|2.A.1.2.7; null; null; TC|3.A.1.1.52; TC|3.A.1.11.1</t>
  </si>
  <si>
    <t>GCA_900460955.1</t>
  </si>
  <si>
    <t>UFUW01000001.1</t>
  </si>
  <si>
    <t>UFUW01000001.1_505</t>
  </si>
  <si>
    <t>GCA_900460955.1.overview.tsv</t>
  </si>
  <si>
    <t>UFUW01000001.1_759</t>
  </si>
  <si>
    <t>GH135(1330-1542)</t>
  </si>
  <si>
    <t>GH135_e1(1331-1546)</t>
  </si>
  <si>
    <t>UFUW01000001.1_980</t>
  </si>
  <si>
    <t>GCA_900618145.1</t>
  </si>
  <si>
    <t>UYIQ01000001.1</t>
  </si>
  <si>
    <t>UYIQ01000001.1_1330</t>
  </si>
  <si>
    <t>GCA_900618145.1.overview.tsv</t>
  </si>
  <si>
    <t>GCA_900618145.1_CGC28</t>
  </si>
  <si>
    <t>CAZyme|GT51_e154; TC|1.B.14.6.17; TC|8.A.46.1.3; null; Peptidase|S09.UPW; CAZyme|GH144_e1; STP|Y_Y_Y+STP|GerE; TC|1.B.14.6.17; TC|1.B.38.1.10; CAZyme|CBM102; CAZyme|CBM103|GH16_3+Sulfatase|S1_19; CAZyme|GH3_e1+Sulfatase|S1_7; null; TC|2.A.53.3.8; TC|1.B.14.6.17; TC|8.A.46.3.4</t>
  </si>
  <si>
    <t>UYIQ01000001.1|CGC28</t>
  </si>
  <si>
    <t>UYIQ01000001.1_1672</t>
  </si>
  <si>
    <t>GCA_900618145.1_CGC32</t>
  </si>
  <si>
    <t>UYIQ01000001.1_823</t>
  </si>
  <si>
    <t>GCA_900618145.1_CGC18</t>
  </si>
  <si>
    <t>GCA_900637305.1</t>
  </si>
  <si>
    <t>LR134365.1</t>
  </si>
  <si>
    <t>LR134365.1_2381</t>
  </si>
  <si>
    <t>GH16_3(1462-1718)+GH135(2475-2687)</t>
  </si>
  <si>
    <t>GH16_e218(1463-1719)+GH16_e218(1939-2107)+GH135_e1(2476-2691)</t>
  </si>
  <si>
    <t>GCA_900637305.1.overview.tsv</t>
  </si>
  <si>
    <t>GH16_3(1462-1718)</t>
  </si>
  <si>
    <t>LR134365.1_2392</t>
  </si>
  <si>
    <t>GCA_900638125.1</t>
  </si>
  <si>
    <t>LR134489.1</t>
  </si>
  <si>
    <t>LR134489.1_1715</t>
  </si>
  <si>
    <t>GCA_900638125.1.overview.tsv</t>
  </si>
  <si>
    <t>LR134489.1_1804</t>
  </si>
  <si>
    <t>GCA_900638125.1_CGC34</t>
  </si>
  <si>
    <t>TC|3.A.1.10.4; null; CAZyme|GH97_e22; TC|1.B.14.6.1; TC|8.A.46.3.2; TC|1.B.38.4.5; CAZyme|GH2_10|CBM32_e167+Sulfatase|S1_19; STP|TPR_1; null; STP|Y_Y_Y; TC|1.B.14.6.17; TC|8.A.46.1.3; null; Peptidase|S09.UPW; CAZyme|GH144_e1; STP|Y_Y_Y+STP|GerE; TC|1.B.14.6.17; TC|1.B.38.1.10; CAZyme|CBM102; CAZyme|CBM103|GH16_3+Sulfatase|S1_19; CAZyme|GH3_e1+Sulfatase|S1_7</t>
  </si>
  <si>
    <t>LR134489.1|CGC34</t>
  </si>
  <si>
    <t>STP-TF;TC-TC;TC-TC;Peptidase-PEPTIDASE;CAZyme-CAZyme;CAZyme-CAZyme;STP-TF;TC-TC;CAZyme-CAZyme</t>
  </si>
  <si>
    <t>LR134489.1_1896</t>
  </si>
  <si>
    <t>GCA_900638125.1_CGC35</t>
  </si>
  <si>
    <t>TC|1.A.115.1.5; STP|MerR; null; CAZyme|GH16_3; TC|2.A.37.1.1; null; TC|8.A.5.1.4; STP|GerE; Peptidase|G05.UPW; STP|Nitroreductase</t>
  </si>
  <si>
    <t>GCA_900683665.1</t>
  </si>
  <si>
    <t>CAACYH010000004.1</t>
  </si>
  <si>
    <t>CAACYH010000004.1_2121</t>
  </si>
  <si>
    <t>GCA_900683665.1.overview.tsv</t>
  </si>
  <si>
    <t>GCA_900683665.1_CGC62</t>
  </si>
  <si>
    <t>TC|9.B.238.3.1; null; null; TC|1.A.43.1.6; null; CAZyme|GH3_e1+Sulfatase|S1_7; CAZyme|GH16_3+Sulfatase|S1_19; CAZyme|CBM103; null; TC|1.B.14.6.17; null; null; STP|Response_reg+STP|HATPase_c; TC|9.B.18.2.4; TC|2.A.1.7.9</t>
  </si>
  <si>
    <t>CAACYH010000004.1|CGC62</t>
  </si>
  <si>
    <t>CAACYH010000007.1</t>
  </si>
  <si>
    <t>CAACYH010000007.1_327</t>
  </si>
  <si>
    <t>GCA_900683725.1</t>
  </si>
  <si>
    <t>LR215978.1</t>
  </si>
  <si>
    <t>LR215978.1_3496</t>
  </si>
  <si>
    <t>GCA_900683725.1.overview.tsv</t>
  </si>
  <si>
    <t>GCA_900683725.1_CGC84</t>
  </si>
  <si>
    <t>CAZyme|GH16_3+Sulfatase|S1_19; STP|Y_Y_Y; TC|1.B.14.6.17; TC|1.B.14.6.17; TC|1.B.38.1.10; CAZyme|GH144_e1; CAZyme|GH43_28|CBM32_e176; CAZyme|GH144_e1; CAZyme|GH3_e1+Sulfatase|S1_7; CAZyme|GH3_e1+Sulfatase|S1_7; CAZyme|GH43_28|CBM32_e188</t>
  </si>
  <si>
    <t>LR215978.1|CGC84</t>
  </si>
  <si>
    <t>STP-TF;TC-TC;TC-TC;TC-null;TC-TC;CAZyme-CAZyme;CAZyme-CAZyme;CAZyme-CAZyme;CAZyme-CAZyme;CAZyme-CAZyme;CAZyme-CAZyme</t>
  </si>
  <si>
    <t>GCA_901873485.1</t>
  </si>
  <si>
    <t>CABFLH010000008.1</t>
  </si>
  <si>
    <t>CABFLH010000008.1_35</t>
  </si>
  <si>
    <t>GCA_901873485.1.overview.tsv</t>
  </si>
  <si>
    <t>GCA_901873485.1_CGC5</t>
  </si>
  <si>
    <t>CAZyme|CBM48_e52|GH13_20+TC|8.A.9.1.3; Peptidase|M18.UPW; null; CAZyme|CE9_e0+Peptidase|M38.UNW; Sulfatase|S1_9; TC|9.B.18.2.4; null; null; CAZyme|GH16_3+Sulfatase|S1_19; CAZyme|GT2</t>
  </si>
  <si>
    <t>CABFLH010000008.1|CGC5</t>
  </si>
  <si>
    <t>GCA_901873715.1</t>
  </si>
  <si>
    <t>CABFLV010000015.1</t>
  </si>
  <si>
    <t>CABFLV010000015.1_88</t>
  </si>
  <si>
    <t>GCA_901873715.1.overview.tsv</t>
  </si>
  <si>
    <t>GCA_901873715.1_CGC28</t>
  </si>
  <si>
    <t>STP|HxlR; CAZyme|GH33_e129+Sulfatase|S1_7; null; STP|HTH_3; CAZyme|GH16_3; TC|2.A.36.3.3; null; STP|HTH_3</t>
  </si>
  <si>
    <t>GCA_901875335.1</t>
  </si>
  <si>
    <t>CABFMA010000009.1</t>
  </si>
  <si>
    <t>CABFMA010000009.1_2</t>
  </si>
  <si>
    <t>GCA_901875335.1.overview.tsv</t>
  </si>
  <si>
    <t>GCA_902364735.1</t>
  </si>
  <si>
    <t>CABJEV010000004.1</t>
  </si>
  <si>
    <t>CABJEV010000004.1_123</t>
  </si>
  <si>
    <t>GCA_902364735.1.overview.tsv</t>
  </si>
  <si>
    <t>GCA_902364735.1_CGC14</t>
  </si>
  <si>
    <t>GCA_902374375.1</t>
  </si>
  <si>
    <t>CABKPU010000002.1</t>
  </si>
  <si>
    <t>CABKPU010000002.1_519</t>
  </si>
  <si>
    <t>GCA_902374375.1.overview.tsv</t>
  </si>
  <si>
    <t>GCA_902374375.1_CGC13</t>
  </si>
  <si>
    <t>CABKPU010000002.1|CGC13</t>
  </si>
  <si>
    <t>GCA_902374745.1</t>
  </si>
  <si>
    <t>CABKRD010000010.1</t>
  </si>
  <si>
    <t>CABKRD010000010.1_73</t>
  </si>
  <si>
    <t>GCA_902374745.1.overview.tsv</t>
  </si>
  <si>
    <t>GCA_902374745.1_CGC18</t>
  </si>
  <si>
    <t>GCA_902376145.1</t>
  </si>
  <si>
    <t>CABKWU010000006.1</t>
  </si>
  <si>
    <t>CABKWU010000006.1_1682</t>
  </si>
  <si>
    <t>GCA_902376145.1.overview.tsv</t>
  </si>
  <si>
    <t>GCA_902376145.1_CGC37</t>
  </si>
  <si>
    <t>CABKWU010000006.1|CGC37</t>
  </si>
  <si>
    <t>GCA_902388165.1</t>
  </si>
  <si>
    <t>CABMOK010000088.1</t>
  </si>
  <si>
    <t>CABMOK010000088.1_51</t>
  </si>
  <si>
    <t>GCA_902388165.1.overview.tsv</t>
  </si>
  <si>
    <t>CABMOK010000088.1_52</t>
  </si>
  <si>
    <t>CABMOK010000132.1</t>
  </si>
  <si>
    <t>CABMOK010000132.1_1</t>
  </si>
  <si>
    <t>GCA_902461075.1</t>
  </si>
  <si>
    <t>CABPVU010000002.1</t>
  </si>
  <si>
    <t>CABPVU010000002.1_112</t>
  </si>
  <si>
    <t>GCA_902461075.1.overview.tsv</t>
  </si>
  <si>
    <t>GCA_902461075.1_CGC6</t>
  </si>
  <si>
    <t>CAZyme|GH5_21; null; null; CAZyme|GT26_e51; CAZyme|GH16_3; CAZyme|GT4_e3415; null; CAZyme|GT2; null; CAZyme|GT32_e128; null; null; TC|2.A.40.1.4; TC|2.A.40.4.2; null; TC|2.A.40.7.8; null; null; CAZyme|CBM48_e32|GH13_8</t>
  </si>
  <si>
    <t>CABPVU010000002.1|CGC6</t>
  </si>
  <si>
    <t>CABPVU010000050.1</t>
  </si>
  <si>
    <t>CABPVU010000050.1_9</t>
  </si>
  <si>
    <t>GCA_902461075.1_CGC61</t>
  </si>
  <si>
    <t>CABPVU010000050.1|CGC61</t>
  </si>
  <si>
    <t>GCA_902465605.1</t>
  </si>
  <si>
    <t>CABQNT010000016.1</t>
  </si>
  <si>
    <t>CABQNT010000016.1_38</t>
  </si>
  <si>
    <t>GH16_3(3-170)</t>
  </si>
  <si>
    <t>GH16_e144(1-171)</t>
  </si>
  <si>
    <t>GCA_902465605.1.overview.tsv</t>
  </si>
  <si>
    <t>GCA_902465605.1_CGC41</t>
  </si>
  <si>
    <t>CAZyme|GT4_e1733; null; CAZyme|GT4_e2936; null; CAZyme|GH16_3; null; null; CAZyme|GT2+TC|4.D.1.1.3; null; null; CAZyme|GT2; TC|9.B.18.1.3; TC|2.A.13.1.3</t>
  </si>
  <si>
    <t>CABQNT010000023.1</t>
  </si>
  <si>
    <t>CABQNT010000023.1_10</t>
  </si>
  <si>
    <t>GH16_3(4-209)</t>
  </si>
  <si>
    <t>GH16_e240(2-210)</t>
  </si>
  <si>
    <t>GCA_902465605.1_CGC47</t>
  </si>
  <si>
    <t>STP|PfkB; TC|2.A.1.7.17; CAZyme|GH32_e16+Sulfatase|S1_7; TC|1.B.38.1.10; TC|1.B.14.6.17; null; STP|Peripla_BP_1+STP|HisKA+STP|HATPase_c+STP|Response_reg+STP|HTH_18; CAZyme|GH16_3+Sulfatase|S1_19; CAZyme|GH97_e1+Sulfatase|S1_8</t>
  </si>
  <si>
    <t>CABQNT010000023.1|CGC47</t>
  </si>
  <si>
    <t>GCA_902480825.1</t>
  </si>
  <si>
    <t>CABSUF010000012.1</t>
  </si>
  <si>
    <t>CABSUF010000012.1_36</t>
  </si>
  <si>
    <t>GCA_902480825.1.overview.tsv</t>
  </si>
  <si>
    <t>GCA_902480825.1_CGC13</t>
  </si>
  <si>
    <t>TC|3.A.1.122.20; TC|3.A.1.122.20; null; CAZyme|GH16_3; null; STP|HTH_3+STP|NTP_transf_2</t>
  </si>
  <si>
    <t>GCA_902481625.1</t>
  </si>
  <si>
    <t>CABSXG010000004.1</t>
  </si>
  <si>
    <t>CABSXG010000004.1_32</t>
  </si>
  <si>
    <t>GCA_902481625.1.overview.tsv</t>
  </si>
  <si>
    <t>GCA_902481625.1_CGC5</t>
  </si>
  <si>
    <t>STP|HTH_DeoR+STP|DeoRC; null; null; CAZyme|GH16_3; null; TC|3.A.1.122.20; TC|3.A.1.122.20</t>
  </si>
  <si>
    <t>GCA_902482725.1</t>
  </si>
  <si>
    <t>CABTAG010000052.1</t>
  </si>
  <si>
    <t>CABTAG010000052.1_6</t>
  </si>
  <si>
    <t>GCA_902482725.1.overview.tsv</t>
  </si>
  <si>
    <t>GCA_902482725.1_CGC30</t>
  </si>
  <si>
    <t>CAZyme|GH144_e1; STP|Y_Y_Y+STP|GerE; TC|1.B.14.6.17; TC|1.B.38.1.10; CAZyme|CBM102; CAZyme|CBM103|GH16_3+Sulfatase|S1_19; CAZyme|GH3_e1+Sulfatase|S1_7; null; TC|2.A.53.3.8</t>
  </si>
  <si>
    <t>CABTAG010000052.1|CGC30</t>
  </si>
  <si>
    <t>CABTAG010000070.1</t>
  </si>
  <si>
    <t>CABTAG010000070.1_8</t>
  </si>
  <si>
    <t>GCA_902482725.1_CGC36</t>
  </si>
  <si>
    <t>CABTAG010000071.1</t>
  </si>
  <si>
    <t>CABTAG010000071.1_10</t>
  </si>
  <si>
    <t>GCA_902482725.1_CGC37</t>
  </si>
  <si>
    <t>GCA_902483045.1</t>
  </si>
  <si>
    <t>CABTBH010000007.1</t>
  </si>
  <si>
    <t>CABTBH010000007.1_35</t>
  </si>
  <si>
    <t>GCA_902483045.1.overview.tsv</t>
  </si>
  <si>
    <t>GCA_902484395.1</t>
  </si>
  <si>
    <t>CABTGN010000079.1</t>
  </si>
  <si>
    <t>CABTGN010000079.1_6</t>
  </si>
  <si>
    <t>GCA_902484395.1.overview.tsv</t>
  </si>
  <si>
    <t>GCA_902484395.1_CGC32</t>
  </si>
  <si>
    <t>GCA_902497175.1</t>
  </si>
  <si>
    <t>CABVDX010000029.1</t>
  </si>
  <si>
    <t>CABVDX010000029.1_4</t>
  </si>
  <si>
    <t>GCA_902497175.1.overview.tsv</t>
  </si>
  <si>
    <t>GCA_905369805.1</t>
  </si>
  <si>
    <t>CAJPJO010000003.1</t>
  </si>
  <si>
    <t>CAJPJO010000003.1_134</t>
  </si>
  <si>
    <t>GCA_905369805.1.overview.tsv</t>
  </si>
  <si>
    <t>GCA_905369805.1_CGC10</t>
  </si>
  <si>
    <t>CAJPJO010000003.1|CGC10</t>
  </si>
  <si>
    <t>GCA_905369945.1</t>
  </si>
  <si>
    <t>CAJPJJ010000023.1</t>
  </si>
  <si>
    <t>CAJPJJ010000023.1_5</t>
  </si>
  <si>
    <t>GCA_905369945.1.overview.tsv</t>
  </si>
  <si>
    <t>GCA_905369945.1_CGC14</t>
  </si>
  <si>
    <t>GCA_905370375.1</t>
  </si>
  <si>
    <t>CAJPKL010000031.1</t>
  </si>
  <si>
    <t>CAJPKL010000031.1_7</t>
  </si>
  <si>
    <t>GCA_905370375.1.overview.tsv</t>
  </si>
  <si>
    <t>GCA_905370375.1_CGC25</t>
  </si>
  <si>
    <t>GCA_905371935.1</t>
  </si>
  <si>
    <t>CAJPNH010000068.1</t>
  </si>
  <si>
    <t>CAJPNH010000068.1_4</t>
  </si>
  <si>
    <t>GCA_905371935.1.overview.tsv</t>
  </si>
  <si>
    <t>GCA_905371935.1_CGC9</t>
  </si>
  <si>
    <t>STP|Citrate_synt; null; null; CAZyme|GH16_3</t>
  </si>
  <si>
    <t>GCA_905371985.1</t>
  </si>
  <si>
    <t>CAJPNJ010000052.1</t>
  </si>
  <si>
    <t>CAJPNJ010000052.1_6</t>
  </si>
  <si>
    <t>GCA_905371985.1.overview.tsv</t>
  </si>
  <si>
    <t>GCA_905371985.1_CGC33</t>
  </si>
  <si>
    <t>CAZyme|GH144_e1; STP|Y_Y_Y+STP|GerE; TC|1.B.14.6.17; TC|1.B.38.1.10; CAZyme|CBM102; CAZyme|CBM103|GH16_3+Sulfatase|S1_19; CAZyme|GH3_e1+Sulfatase|S1_7</t>
  </si>
  <si>
    <t>CAJPNJ010000052.1|CGC33</t>
  </si>
  <si>
    <t>CAJPNJ010000066.1</t>
  </si>
  <si>
    <t>CAJPNJ010000066.1_10</t>
  </si>
  <si>
    <t>GCA_905371985.1_CGC35</t>
  </si>
  <si>
    <t>CAJPNJ010000096.1</t>
  </si>
  <si>
    <t>CAJPNJ010000096.1_4</t>
  </si>
  <si>
    <t>GCA_905371985.1_CGC38</t>
  </si>
  <si>
    <t>GCA_905372085.1</t>
  </si>
  <si>
    <t>CAJPNW010000001.1</t>
  </si>
  <si>
    <t>CAJPNW010000001.1_78</t>
  </si>
  <si>
    <t>GCA_905372085.1.overview.tsv</t>
  </si>
  <si>
    <t>GCA_905372085.1_CGC3</t>
  </si>
  <si>
    <t>TC|9.B.18.2.4; null; null; CAZyme|GT111_e16|GT8_e198; null; CAZyme|GT2; CAZyme|GT2; TC|3.A.1.103.1; TC|3.A.1.103.4; null; null; STP|GntR; TC|3.A.1.2.30; TC|3.A.1.2.17; TC|3.A.1.2.12; TC|3.A.1.2.12; null; TC|2.A.1.24.4; null; STP|Peripla_BP_3+STP|HATPase_c+STP|Response_reg+STP|HTH_18; STP|SBP_bac_1; TC|3.A.1.1.53; TC|3.A.1.1.42; CAZyme|GH16_3; CAZyme|GH16_3</t>
  </si>
  <si>
    <t>CAJPNW010000001.1_79</t>
  </si>
  <si>
    <t>GCA_905372245.1</t>
  </si>
  <si>
    <t>CAJPOG010000107.1</t>
  </si>
  <si>
    <t>CAJPOG010000107.1_2</t>
  </si>
  <si>
    <t>GCA_905372245.1.overview.tsv</t>
  </si>
  <si>
    <t>GCA_905372425.1</t>
  </si>
  <si>
    <t>CAJPPA010000007.1</t>
  </si>
  <si>
    <t>CAJPPA010000007.1_25</t>
  </si>
  <si>
    <t>GCA_905372425.1.overview.tsv</t>
  </si>
  <si>
    <t>GCA_905372425.1_CGC13</t>
  </si>
  <si>
    <t>STP|HTH_18; null; STP|HATPase_c; TC|3.A.1.156.4; null; Peptidase|M03.UPA; CAZyme|GH105_e39+Sulfatase|S1_16; null; CAZyme|GH154_e2+Sulfatase|S1_14; CAZyme|PL33_1; CAZyme|GH43_24+Sulfatase|S1_6; CAZyme|CBM32_e83|GH16_3+Sulfatase|S1_19; null; TC|1.B.14.6.17; null; TC|1.B.14.6.17</t>
  </si>
  <si>
    <t>CAJPPA010000007.1|CGC13</t>
  </si>
  <si>
    <t>CAZyme-CAZyme;CAZyme-CAZyme;null-TC;TC-TC;null-null;TC-TC</t>
  </si>
  <si>
    <t>GCA_905372475.1</t>
  </si>
  <si>
    <t>CAJPPP010000049.1</t>
  </si>
  <si>
    <t>CAJPPP010000049.1_16</t>
  </si>
  <si>
    <t>GCA_905372475.1.overview.tsv</t>
  </si>
  <si>
    <t>GCA_905372475.1_CGC33</t>
  </si>
  <si>
    <t>CAZyme|GH16_3; TC|3.A.11.1.5</t>
  </si>
  <si>
    <t>GCA_905372485.1</t>
  </si>
  <si>
    <t>CAJPPW010000023.1</t>
  </si>
  <si>
    <t>CAJPPW010000023.1_9</t>
  </si>
  <si>
    <t>GCA_905372485.1.overview.tsv</t>
  </si>
  <si>
    <t>GCA_905372485.1_CGC20</t>
  </si>
  <si>
    <t>GCA_905372535.1</t>
  </si>
  <si>
    <t>CAJPPO010000047.1</t>
  </si>
  <si>
    <t>CAJPPO010000047.1_2</t>
  </si>
  <si>
    <t>GCA_905372535.1.overview.tsv</t>
  </si>
  <si>
    <t>GCA_905372655.1</t>
  </si>
  <si>
    <t>CAJPPZ010000009.1</t>
  </si>
  <si>
    <t>CAJPPZ010000009.1_20</t>
  </si>
  <si>
    <t>GCA_905372655.1.overview.tsv</t>
  </si>
  <si>
    <t>GCA_905372705.1</t>
  </si>
  <si>
    <t>CAJPQB010000032.1</t>
  </si>
  <si>
    <t>CAJPQB010000032.1_3</t>
  </si>
  <si>
    <t>GCA_905372705.1.overview.tsv</t>
  </si>
  <si>
    <t>GCA_905372705.1_CGC21</t>
  </si>
  <si>
    <t>CAZyme|GH16_3; prodoric|NARL_ECOLI; TC|9.B.238.3.5+STP|HATPase_c; TC|2.A.1.3.77</t>
  </si>
  <si>
    <t>GCA_905373025.1</t>
  </si>
  <si>
    <t>CAJPRI010000033.1</t>
  </si>
  <si>
    <t>CAJPRI010000033.1_16</t>
  </si>
  <si>
    <t>GCA_905373025.1.overview.tsv</t>
  </si>
  <si>
    <t>GCA_905373265.1</t>
  </si>
  <si>
    <t>CAJPRX010000003.1</t>
  </si>
  <si>
    <t>CAJPRX010000003.1_25</t>
  </si>
  <si>
    <t>GCA_905373265.1.overview.tsv</t>
  </si>
  <si>
    <t>GCA_905373265.1_CGC4</t>
  </si>
  <si>
    <t>STP|Nitroreductase; Peptidase|G05.UPW; STP|GerE; TC|8.A.5.1.4; null; TC|2.A.37.1.1; CAZyme|GH16_3; null; STP|MerR; TC|1.A.115.1.5</t>
  </si>
  <si>
    <t>CAJPRX010000004.1</t>
  </si>
  <si>
    <t>CAJPRX010000004.1_77</t>
  </si>
  <si>
    <t>GCA_905373265.1_CGC9</t>
  </si>
  <si>
    <t>STP|AAA; null; null; CAZyme|GH16_3</t>
  </si>
  <si>
    <t>CAJPRX010000025.1</t>
  </si>
  <si>
    <t>CAJPRX010000025.1_2</t>
  </si>
  <si>
    <t>GCA_905373265.1_CGC33</t>
  </si>
  <si>
    <t>CAZyme|GH3_e1+Sulfatase|S1_7; CAZyme|CBM103|GH16_3+Sulfatase|S1_19; CAZyme|CBM102; TC|1.B.38.1.10; TC|1.B.14.6.17; STP|Y_Y_Y+STP|GerE; CAZyme|GH144_e1; Peptidase|S09.UPW; null; TC|8.A.46.1.3; TC|1.B.14.6.17; STP|Y_Y_Y; null; STP|TPR_1; CAZyme|GH2_10|CBM32_e167+Sulfatase|S1_19; TC|1.B.38.4.5; TC|8.A.46.3.2; TC|1.B.14.6.1</t>
  </si>
  <si>
    <t>CAJPRX010000025.1|CGC33</t>
  </si>
  <si>
    <t>GCA_905373335.1</t>
  </si>
  <si>
    <t>CAJPSZ010000021.1</t>
  </si>
  <si>
    <t>CAJPSZ010000021.1_21</t>
  </si>
  <si>
    <t>GCA_905373335.1.overview.tsv</t>
  </si>
  <si>
    <t>GCA_905373335.1_CGC21</t>
  </si>
  <si>
    <t>TC|2.A.36.3.3; CAZyme|GH16_3; null; STP|HTH_3; null; null; CAZyme|GH33_e129</t>
  </si>
  <si>
    <t>GCA_905373395.1</t>
  </si>
  <si>
    <t>CAJPSO010000005.1</t>
  </si>
  <si>
    <t>CAJPSO010000005.1_61</t>
  </si>
  <si>
    <t>GCA_905373395.1.overview.tsv</t>
  </si>
  <si>
    <t>GCA_905373395.1_CGC20</t>
  </si>
  <si>
    <t>GCA_905373445.1</t>
  </si>
  <si>
    <t>CAJPSW010000012.1</t>
  </si>
  <si>
    <t>CAJPSW010000012.1_8</t>
  </si>
  <si>
    <t>GCA_905373445.1.overview.tsv</t>
  </si>
  <si>
    <t>CAJPSW010000018.1</t>
  </si>
  <si>
    <t>CAJPSW010000018.1_9</t>
  </si>
  <si>
    <t>GCA_905373445.1_CGC9</t>
  </si>
  <si>
    <t>CAZyme|GH53_e2; TC|1.B.14.6.17; null; CAZyme|GH16_3+Sulfatase|S1_19; STP|Y_Y_Y+STP|HTH_18</t>
  </si>
  <si>
    <t>CAJPSW010000018.1|CGC9</t>
  </si>
  <si>
    <t>GCA_905373465.1</t>
  </si>
  <si>
    <t>CAJPTA010000007.1</t>
  </si>
  <si>
    <t>CAJPTA010000007.1_6</t>
  </si>
  <si>
    <t>GCA_905373465.1.overview.tsv</t>
  </si>
  <si>
    <t>GCA_905373465.1_CGC3</t>
  </si>
  <si>
    <t>CAJPTA010000275.1</t>
  </si>
  <si>
    <t>CAJPTA010000275.1_2</t>
  </si>
  <si>
    <t>GCA_905373465.1_CGC16</t>
  </si>
  <si>
    <t>CAZyme|GH16_3; TC|9.B.238.3.1</t>
  </si>
  <si>
    <t>GCA_905373495.1</t>
  </si>
  <si>
    <t>CAJPTF010000006.1</t>
  </si>
  <si>
    <t>CAJPTF010000006.1_17</t>
  </si>
  <si>
    <t>GCA_905373495.1.overview.tsv</t>
  </si>
  <si>
    <t>GCA_905373495.1_CGC11</t>
  </si>
  <si>
    <t>CAJPTF010000006.1|CGC11</t>
  </si>
  <si>
    <t>CAJPTF010000023.1</t>
  </si>
  <si>
    <t>CAJPTF010000023.1_31</t>
  </si>
  <si>
    <t>GCA_905373495.1_CGC35</t>
  </si>
  <si>
    <t>GCA_905373515.1</t>
  </si>
  <si>
    <t>CAJPTE010000005.1</t>
  </si>
  <si>
    <t>CAJPTE010000005.1_3</t>
  </si>
  <si>
    <t>GCA_905373515.1.overview.tsv</t>
  </si>
  <si>
    <t>GCA_905373515.1_CGC5</t>
  </si>
  <si>
    <t>CAZyme|GH3_e1+Sulfatase|S1_7; CAZyme|GH16_3; CAZyme|CBM103; null; TC|1.B.14.6.17</t>
  </si>
  <si>
    <t>CAJPTE010000005.1|CGC5</t>
  </si>
  <si>
    <t>GCA_905373595.1</t>
  </si>
  <si>
    <t>CAJPTI010000012.1</t>
  </si>
  <si>
    <t>CAJPTI010000012.1_8</t>
  </si>
  <si>
    <t>GCA_905373595.1.overview.tsv</t>
  </si>
  <si>
    <t>GCA_905373595.1_CGC10</t>
  </si>
  <si>
    <t>TC|8.A.46.2.1; Sulfatase|S1_6; STP|Sigma70_r2+STP|Sigma70_r4_2; null; null; CAZyme|GH109_e5; CAZyme|GH16_3; CAZyme|CE19_e1+Peptidase|S09.UPW; CAZyme|CE14_e44+STP|PIG-L; Peptidase|S41.005; STP|TPR_1; prodoric|NAGC_ECOLI; TC|3.A.11.1.3</t>
  </si>
  <si>
    <t>CAJPTI010000012.1|CGC10</t>
  </si>
  <si>
    <t>GCA_915066995.1</t>
  </si>
  <si>
    <t>CAJZEI010000161.1</t>
  </si>
  <si>
    <t>CAJZEI010000161.1_3</t>
  </si>
  <si>
    <t>GCA_915066995.1.overview.tsv</t>
  </si>
  <si>
    <t>GCA_916048225.1</t>
  </si>
  <si>
    <t>CAJZGV010000093.1</t>
  </si>
  <si>
    <t>CAJZGV010000093.1_6</t>
  </si>
  <si>
    <t>GCA_916048225.1.overview.tsv</t>
  </si>
  <si>
    <t>GCA_916048225.1_CGC39</t>
  </si>
  <si>
    <t>GCA_916048355.1</t>
  </si>
  <si>
    <t>CAJZHS010000062.1</t>
  </si>
  <si>
    <t>CAJZHS010000062.1_3</t>
  </si>
  <si>
    <t>GCA_916048355.1.overview.tsv</t>
  </si>
  <si>
    <t>GCA_916048355.1_CGC23</t>
  </si>
  <si>
    <t>GCA_916050455.1</t>
  </si>
  <si>
    <t>CAJZKW010000002.1</t>
  </si>
  <si>
    <t>CAJZKW010000002.1_48</t>
  </si>
  <si>
    <t>GCA_916050455.1.overview.tsv</t>
  </si>
  <si>
    <t>GCA_916050455.1_CGC2</t>
  </si>
  <si>
    <t>GCA_916050515.1</t>
  </si>
  <si>
    <t>CAJZLG010000001.1</t>
  </si>
  <si>
    <t>CAJZLG010000001.1_72</t>
  </si>
  <si>
    <t>GCA_916050515.1.overview.tsv</t>
  </si>
  <si>
    <t>GCA_916050515.1_CGC2</t>
  </si>
  <si>
    <t>TC|3.A.1.135.10; null; CAZyme|GT11_e30; null; CAZyme|GT2+TC|4.D.1.3.2; CAZyme|GT2; CAZyme|GT32_e169; null; CAZyme|GT4_e2089; null; CAZyme|GT2+TC|4.D.1.1.14; null; CAZyme|GH16_3; null; null; STP|LytTR</t>
  </si>
  <si>
    <t>CAJZLG010000001.1|CGC2</t>
  </si>
  <si>
    <t>GCA_916438435.1</t>
  </si>
  <si>
    <t>CAKAHD010000002.1</t>
  </si>
  <si>
    <t>CAKAHD010000002.1_1308</t>
  </si>
  <si>
    <t>GCA_916438435.1.overview.tsv</t>
  </si>
  <si>
    <t>GCA_916438435.1_CGC45</t>
  </si>
  <si>
    <t>TC|3.A.1.106.2; null; CAZyme|GT11_e30; null; CAZyme|GT2+TC|4.D.1.3.2; CAZyme|GT2; CAZyme|GT32_e169; null; null; CAZyme|GT4_e2089; null; CAZyme|GT2+TC|4.D.1.1.14; null; CAZyme|GH16_3</t>
  </si>
  <si>
    <t>CAKAHD010000002.1|CGC45</t>
  </si>
  <si>
    <t>GCA_916438585.1</t>
  </si>
  <si>
    <t>CAKAFQ010000001.1</t>
  </si>
  <si>
    <t>CAKAFQ010000001.1_1779</t>
  </si>
  <si>
    <t>GH16_3(91-346)</t>
  </si>
  <si>
    <t>GH16_e50(92-347)</t>
  </si>
  <si>
    <t>GCA_916438585.1.overview.tsv</t>
  </si>
  <si>
    <t>GCA_916438585.1_CGC16</t>
  </si>
  <si>
    <t>CAZyme|GH16_3+Sulfatase|S1_19; STP|Pribosyltran; null; null; STP|HTH_5+STP|Rhodanese+Sulfatase|S1_14; null; STP|Pyr_redox_2</t>
  </si>
  <si>
    <t>CAKAFQ010000001.1|CGC16</t>
  </si>
  <si>
    <t>GCA_916438675.1</t>
  </si>
  <si>
    <t>CAKAFN010000001.1</t>
  </si>
  <si>
    <t>CAKAFN010000001.1_1948</t>
  </si>
  <si>
    <t>GCA_916438675.1.overview.tsv</t>
  </si>
  <si>
    <t>GCA_916438675.1_CGC31</t>
  </si>
  <si>
    <t>GCA_916439075.1</t>
  </si>
  <si>
    <t>CAKAIB010000002.1</t>
  </si>
  <si>
    <t>CAKAIB010000002.1_2072</t>
  </si>
  <si>
    <t>GH16_3(77-331)</t>
  </si>
  <si>
    <t>GH16_e50(78-332)</t>
  </si>
  <si>
    <t>GCA_916439075.1.overview.tsv</t>
  </si>
  <si>
    <t>GCA_916439075.1_CGC17</t>
  </si>
  <si>
    <t>STP|HTH_3; null; CAZyme|GH16_3; TC|9.B.18.2.4; TC|9.B.18.2.4; null; CAZyme|GT2; STP|Pribosyltran</t>
  </si>
  <si>
    <t>GCA_916439255.1</t>
  </si>
  <si>
    <t>CAKAHW010000018.1</t>
  </si>
  <si>
    <t>CAKAHW010000018.1_249</t>
  </si>
  <si>
    <t>GH16_3(46-238)</t>
  </si>
  <si>
    <t>GH16_e278(47-248)</t>
  </si>
  <si>
    <t>GCA_916439255.1.overview.tsv</t>
  </si>
  <si>
    <t>GCA_916439255.1_CGC24</t>
  </si>
  <si>
    <t>STP|HxlR; CAZyme|GH33_e129; null; CAZyme|GH16_3; TC|2.A.36.3.3; null; null; STP|HTH_3</t>
  </si>
  <si>
    <t>GCA_916709935.1</t>
  </si>
  <si>
    <t>CAKAOT010000054.1</t>
  </si>
  <si>
    <t>CAKAOT010000054.1_5</t>
  </si>
  <si>
    <t>GH16_3(69-342)</t>
  </si>
  <si>
    <t>GH16_e168(69-342)</t>
  </si>
  <si>
    <t>GCA_916709935.1.overview.tsv</t>
  </si>
  <si>
    <t>GCA_916720025.1</t>
  </si>
  <si>
    <t>CAKAPV010000042.1</t>
  </si>
  <si>
    <t>CAKAPV010000042.1_15</t>
  </si>
  <si>
    <t>GCA_916720025.1.overview.tsv</t>
  </si>
  <si>
    <t>GCA_916720025.1_CGC25</t>
  </si>
  <si>
    <t>GCA_916720135.1</t>
  </si>
  <si>
    <t>CAKAQG010000020.1</t>
  </si>
  <si>
    <t>CAKAQG010000020.1_13</t>
  </si>
  <si>
    <t>GCA_916720135.1.overview.tsv</t>
  </si>
  <si>
    <t>GCA_916720135.1_CGC10</t>
  </si>
  <si>
    <t>CAKAQG010000020.1|CGC10</t>
  </si>
  <si>
    <t>GCA_916720365.1</t>
  </si>
  <si>
    <t>CAKAQX010000002.1</t>
  </si>
  <si>
    <t>CAKAQX010000002.1_61</t>
  </si>
  <si>
    <t>GCA_916720365.1.overview.tsv</t>
  </si>
  <si>
    <t>GCA_916720475.1</t>
  </si>
  <si>
    <t>CAKARG010000010.1</t>
  </si>
  <si>
    <t>CAKARG010000010.1_34</t>
  </si>
  <si>
    <t>GCA_916720475.1.overview.tsv</t>
  </si>
  <si>
    <t>GCA_916720475.1_CGC29</t>
  </si>
  <si>
    <t>STP|Fer4; null; TC|1.A.1.24.3; STP|Pyr_redox; TC|1.B.14.8.4; null; null; TC|3.A.1.105.28; null; TC|2.A.6.2.46; null; CAZyme|GH95_e0+Sulfatase|S1_11; CAZyme|GH95_e0+Sulfatase|S1_11; CAZyme|GH16_3</t>
  </si>
  <si>
    <t>CAKARG010000010.1|CGC29</t>
  </si>
  <si>
    <t>GCA_918258265.1</t>
  </si>
  <si>
    <t>OU901070.1</t>
  </si>
  <si>
    <t>OU901070.1_3450</t>
  </si>
  <si>
    <t>GCA_918258265.1.overview.tsv</t>
  </si>
  <si>
    <t>OU901070.1_4631</t>
  </si>
  <si>
    <t>GCA_918258265.1_CGC116</t>
  </si>
  <si>
    <t>OU901070.1_5119</t>
  </si>
  <si>
    <t>GCA_918258265.1_CGC126</t>
  </si>
  <si>
    <t>CGC126</t>
  </si>
  <si>
    <t>CAZyme|GH3_e98+Sulfatase|S1_7; CAZyme|GH3_e1+Sulfatase|S1_7; CAZyme|GH144_e1; CAZyme|GH43_28|CBM32_e176; TC|1.B.38.1.10; TC|1.B.14.6.17; null; STP|Y_Y_Y+STP|HisKA+STP|HATPase_c+STP|Response_reg+STP|HTH_18; CAZyme|GH16_3; TC|1.B.14.6.2; TC|8.A.46.2.1; null; CAZyme|GH3_e208+Sulfatase|S1_7; STP|PALP; Peptidase|S09.UPW; null; CAZyme|GH31_18; null; Peptidase|S09.UPB; CAZyme|PL38_e18; TC|1.A.115.1.5; TC|2.A.1.14.25; null; CAZyme|PL17_e4|PL17_2; CAZyme|PL6_e10|PL6_1; null; TC|8.A.46.1.5; TC|1.B.14.6.17; STP|GntR; CAZyme|GH3_e6+Sulfatase|S1_7; CAZyme|PL30_e0|GH29_e38+Sulfatase|S1_17; CAZyme|GH95_e3+Sulfatase|S1_11; CAZyme|GH123_e16; CAZyme|GH29_e32+Sulfatase|S1_17; STP|Reg_prop+STP|Y_Y_Y+STP|HisKA+STP|HATPase_c+STP|Response_reg+STP|HTH_18; TC|1.B.14.6.17; null; TC|1.B.14.6.17</t>
  </si>
  <si>
    <t>OU901070.1|CGC126</t>
  </si>
  <si>
    <t>CAZyme-CAZyme;CAZyme-CAZyme;STP-TC;CAZyme-CAZyme;TC-TC;TC-TC;null-null;CAZyme-CAZyme;CAZyme-CAZyme</t>
  </si>
  <si>
    <t>OU901070.1_5171</t>
  </si>
  <si>
    <t>GH16_3(3-236)</t>
  </si>
  <si>
    <t>GH16_e4(6-234)</t>
  </si>
  <si>
    <t>GCA_918258265.1_CGC127</t>
  </si>
  <si>
    <t>CGC127</t>
  </si>
  <si>
    <t>CAZyme|GH16_3; null; CAZyme|GH31_e40; CAZyme|GH66_e1; null; TC|1.B.38.1.10; TC|1.B.14.6.17</t>
  </si>
  <si>
    <t>OU901070.1|CGC127</t>
  </si>
  <si>
    <t>PUL0205</t>
  </si>
  <si>
    <t>dextran</t>
  </si>
  <si>
    <t>CAZyme-CAZyme;CAZyme-CAZyme;CAZyme-CAZyme;null-null;TC-TC;TC-TC</t>
  </si>
  <si>
    <t>GCA_918292745.1</t>
  </si>
  <si>
    <t>CAKJZK010000001.1</t>
  </si>
  <si>
    <t>CAKJZK010000001.1_1962</t>
  </si>
  <si>
    <t>GCA_918292745.1.overview.tsv</t>
  </si>
  <si>
    <t>CAKJZK010000001.1_459</t>
  </si>
  <si>
    <t>GH16_3(43-276)</t>
  </si>
  <si>
    <t>GH16_e4(46-274)</t>
  </si>
  <si>
    <t>GCA_918292745.1_CGC15</t>
  </si>
  <si>
    <t>TC|1.B.14.6.17; TC|1.B.38.1.10; null; CAZyme|GH66_e1; CAZyme|GH31_e40; null; CAZyme|GH16_3+Sulfatase|S1_19; null; TC|1.B.14.6.17; null; TC|1.B.14.6.17; STP|Reg_prop+STP|Y_Y_Y+STP|HisKA+STP|HATPase_c+STP|Response_reg+STP|HTH_18; CAZyme|GH29_e32+Sulfatase|S1_17; CAZyme|GH123_e16; CAZyme|GH95_e3+Sulfatase|S1_11; CAZyme|PL30_e0|GH29_e38+Sulfatase|S1_17; CAZyme|GH3_e6+Sulfatase|S1_7; STP|GntR; TC|1.B.14.6.17; TC|8.A.46.1.5; null; CAZyme|PL6_e10|PL6_1; CAZyme|PL17_e4|PL17_2; null; TC|2.A.1.14.25; TC|1.A.115.1.5; CAZyme|PL38_e18; Peptidase|S09.UPB; null; CAZyme|GH31_18; null; Peptidase|S09.UPW; STP|PALP; CAZyme|GH3_e208+Sulfatase|S1_7; null; TC|8.A.46.2.1; TC|1.B.14.6.2; CAZyme|GH16_3; STP|Y_Y_Y+STP|HisKA+STP|HATPase_c+STP|Response_reg+STP|HTH_18; null; TC|1.B.14.6.17; TC|1.B.38.1.10; CAZyme|GH43_28|CBM32_e176; CAZyme|GH144_e1; CAZyme|GH3_e1+Sulfatase|S1_7; CAZyme|GH3_e98+Sulfatase|S1_7</t>
  </si>
  <si>
    <t>CAKJZK010000001.1|CGC15</t>
  </si>
  <si>
    <t>PUL0718</t>
  </si>
  <si>
    <t>TC-TC;STP-TF;TC-TC;TC-TC;null-null;CAZyme-CAZyme;CAZyme-CAZyme;null-null;TC-TC;TC-TC;CAZyme-CAZyme;Peptidase-PEPTIDASE;null-null</t>
  </si>
  <si>
    <t>CAKJZK010000001.1_490</t>
  </si>
  <si>
    <t>CAKJZK010000001.1_928</t>
  </si>
  <si>
    <t>GCA_918292745.1_CGC27</t>
  </si>
  <si>
    <t>GCA_927910845.1</t>
  </si>
  <si>
    <t>CAKMOA010000132.1</t>
  </si>
  <si>
    <t>CAKMOA010000132.1_16</t>
  </si>
  <si>
    <t>GCA_927910845.1.overview.tsv</t>
  </si>
  <si>
    <t>GCA_927911275.1</t>
  </si>
  <si>
    <t>CAKMPF010000137.1</t>
  </si>
  <si>
    <t>CAKMPF010000137.1_23</t>
  </si>
  <si>
    <t>GCA_927911275.1.overview.tsv</t>
  </si>
  <si>
    <t>GCA_927911435.1</t>
  </si>
  <si>
    <t>CAKMPM010000093.1</t>
  </si>
  <si>
    <t>CAKMPM010000093.1_3</t>
  </si>
  <si>
    <t>GCA_927911435.1.overview.tsv</t>
  </si>
  <si>
    <t>GCA_927911435.1_CGC22</t>
  </si>
  <si>
    <t>STP|HTH_3+STP|NTP_transf_2; null; CAZyme|GH16_3; null; TC|3.A.1.122.7; TC|3.A.1.122.15; TC|3.A.1.122.20</t>
  </si>
  <si>
    <t>GCA_927911685.1</t>
  </si>
  <si>
    <t>CAKMQE010000042.1</t>
  </si>
  <si>
    <t>CAKMQE010000042.1_5</t>
  </si>
  <si>
    <t>GH16_3(74-313)</t>
  </si>
  <si>
    <t>GH16_e341(74-314)</t>
  </si>
  <si>
    <t>GCA_927911685.1.overview.tsv</t>
  </si>
  <si>
    <t>GCA_927911685.1_CGC3</t>
  </si>
  <si>
    <t>CAZyme|GH16_3; prodoric|NARL_ECOLI; TC|9.B.238.3.5; TC|2.A.1.3.11; TC|2.A.1.3.77</t>
  </si>
  <si>
    <t>GCA_937881025.1</t>
  </si>
  <si>
    <t>CALGFZ010000002.1</t>
  </si>
  <si>
    <t>CALGFZ010000002.1_141</t>
  </si>
  <si>
    <t>GCA_937881025.1.overview.tsv</t>
  </si>
  <si>
    <t>CALGFZ010000002.1_55</t>
  </si>
  <si>
    <t>GCA_937881025.1_CGC1</t>
  </si>
  <si>
    <t>TC|3.A.1.132.3; null; null; CAZyme|GH3_e1+Sulfatase|S1_7; CAZyme|CBM103|GH16_3+Sulfatase|S1_19; CAZyme|CBM102; TC|1.B.38.1.10; TC|1.B.14.6.17; STP|Y_Y_Y+STP|GerE; CAZyme|GH144_e1; Peptidase|S09.UPW; null; TC|8.A.46.1.3; TC|1.B.14.6.17; STP|Y_Y_Y; null; STP|TPR_1; CAZyme|GH2_10|CBM32_e167+Sulfatase|S1_19; TC|1.B.38.4.5; TC|8.A.46.1.1; TC|1.B.14.6.1; CAZyme|GH97_e22; null; TC|3.A.1.10.4</t>
  </si>
  <si>
    <t>CALGFZ010000002.1|CGC1</t>
  </si>
  <si>
    <t>CALGFZ010000014.1</t>
  </si>
  <si>
    <t>CALGFZ010000014.1_1</t>
  </si>
  <si>
    <t>GH16_e321(37-269)</t>
  </si>
  <si>
    <t>GCA_937881025.1_CGC10</t>
  </si>
  <si>
    <t>CAZyme|GH16_3; TC|1.A.115.1.5; null; null; STP|TPR_2</t>
  </si>
  <si>
    <t>GCA_937891685.1</t>
  </si>
  <si>
    <t>CALAHJ010000038.1</t>
  </si>
  <si>
    <t>CALAHJ010000038.1_57</t>
  </si>
  <si>
    <t>GCA_937891685.1.overview.tsv</t>
  </si>
  <si>
    <t>GCA_937891685.1_CGC41</t>
  </si>
  <si>
    <t>CALAHJ010000038.1|CGC41</t>
  </si>
  <si>
    <t>GCA_937891745.1</t>
  </si>
  <si>
    <t>CALAHR010000016.1</t>
  </si>
  <si>
    <t>CALAHR010000016.1_51</t>
  </si>
  <si>
    <t>GH16_3(50-283)</t>
  </si>
  <si>
    <t>GH16_e321(52-284)</t>
  </si>
  <si>
    <t>GCA_937891745.1.overview.tsv</t>
  </si>
  <si>
    <t>GCA_937891745.1_CGC4</t>
  </si>
  <si>
    <t>STP|TPR_2; null; CAZyme|GH16_3</t>
  </si>
  <si>
    <t>CALAHR010000039.1</t>
  </si>
  <si>
    <t>CALAHR010000039.1_33</t>
  </si>
  <si>
    <t>GH16_3(72-304)</t>
  </si>
  <si>
    <t>GH16_e321(73-305)</t>
  </si>
  <si>
    <t>GCA_937910295.1</t>
  </si>
  <si>
    <t>CALENC010000074.1</t>
  </si>
  <si>
    <t>CALENC010000074.1_43</t>
  </si>
  <si>
    <t>GCA_937910295.1.overview.tsv</t>
  </si>
  <si>
    <t>GCA_937910295.1_CGC11</t>
  </si>
  <si>
    <t>GCA_937919505.1</t>
  </si>
  <si>
    <t>CALFPC010000022.1</t>
  </si>
  <si>
    <t>CALFPC010000022.1_31</t>
  </si>
  <si>
    <t>GCA_937919505.1.overview.tsv</t>
  </si>
  <si>
    <t>GCA_937919505.1_CGC29</t>
  </si>
  <si>
    <t>CALFPC010000022.1|CGC29</t>
  </si>
  <si>
    <t>GCA_937919565.1</t>
  </si>
  <si>
    <t>CALFOW010000230.1</t>
  </si>
  <si>
    <t>CALFOW010000230.1_1</t>
  </si>
  <si>
    <t>GCA_937919565.1.overview.tsv</t>
  </si>
  <si>
    <t>GCA_937922695.1</t>
  </si>
  <si>
    <t>CALAIK010000104.1</t>
  </si>
  <si>
    <t>CALAIK010000104.1_2</t>
  </si>
  <si>
    <t>GCA_937922695.1.overview.tsv</t>
  </si>
  <si>
    <t>GCA_937926905.1</t>
  </si>
  <si>
    <t>CALBAS010000014.1</t>
  </si>
  <si>
    <t>CALBAS010000014.1_2</t>
  </si>
  <si>
    <t>GCA_937926905.1.overview.tsv</t>
  </si>
  <si>
    <t>GCA_937926905.1_CGC2</t>
  </si>
  <si>
    <t>CAZyme|GH16_3+Sulfatase|S1_11; null; CAZyme|GT2+TC|4.D.1.1.2; CAZyme|GT2</t>
  </si>
  <si>
    <t>CALBAS010000119.1</t>
  </si>
  <si>
    <t>CALBAS010000119.1_5</t>
  </si>
  <si>
    <t>GH16_3(102-358)</t>
  </si>
  <si>
    <t>GH16_e50(103-359)</t>
  </si>
  <si>
    <t>GCA_937926905.1_CGC16</t>
  </si>
  <si>
    <t>GCA_937926985.1</t>
  </si>
  <si>
    <t>CALBCK010000091.1</t>
  </si>
  <si>
    <t>CALBCK010000091.1_4</t>
  </si>
  <si>
    <t>GCA_937926985.1.overview.tsv</t>
  </si>
  <si>
    <t>GCA_937926985.1_CGC20</t>
  </si>
  <si>
    <t>CALBCK010000143.1</t>
  </si>
  <si>
    <t>CALBCK010000143.1_6</t>
  </si>
  <si>
    <t>GCA_937926985.1_CGC33</t>
  </si>
  <si>
    <t>CAZyme|GH144_e1; STP|Y_Y_Y+STP|GerE; TC|1.B.14.6.17; TC|1.B.38.1.10; CAZyme|CBM102; CAZyme|CBM103|GH16_3+Sulfatase|S1_19; CAZyme|GH3_e1+Sulfatase|S1_7; null; TC|2.A.53.3.8; TC|9.B.18.2.4; STP|cNMP_binding; null; STP|cNMP_binding</t>
  </si>
  <si>
    <t>CALBCK010000143.1|CGC33</t>
  </si>
  <si>
    <t>CALBCK010000144.1</t>
  </si>
  <si>
    <t>CALBCK010000144.1_1</t>
  </si>
  <si>
    <t>GCA_937926985.1_CGC34</t>
  </si>
  <si>
    <t>GCA_937927035.1</t>
  </si>
  <si>
    <t>CALBCH010000023.1</t>
  </si>
  <si>
    <t>CALBCH010000023.1_234</t>
  </si>
  <si>
    <t>GCA_937927035.1.overview.tsv</t>
  </si>
  <si>
    <t>GCA_937927035.1_CGC20</t>
  </si>
  <si>
    <t>TC|2.A.1.3.77; TC|9.B.238.3.5+STP|HATPase_c; prodoric|NARP_ECOLI; CAZyme|GH16_3</t>
  </si>
  <si>
    <t>GCA_937927175.1</t>
  </si>
  <si>
    <t>CALBBY010000160.1</t>
  </si>
  <si>
    <t>CALBBY010000160.1_6</t>
  </si>
  <si>
    <t>GCA_937927175.1.overview.tsv</t>
  </si>
  <si>
    <t>GCA_937927175.1_CGC54</t>
  </si>
  <si>
    <t>CAZyme|GH105_e39+Sulfatase|S1_16; null; CAZyme|GH154_e2+Sulfatase|S1_14; CAZyme|PL33_1; CAZyme|GH43_24+Sulfatase|S1_6; CAZyme|CBM32_e83|GH16_3+Sulfatase|S1_19; null; TC|1.B.14.6.17; null; TC|1.B.14.6.17; STP|HD</t>
  </si>
  <si>
    <t>CALBBY010000160.1|CGC54</t>
  </si>
  <si>
    <t>GCA_937974815.1</t>
  </si>
  <si>
    <t>CALJVG010000177.1</t>
  </si>
  <si>
    <t>CALJVG010000177.1_45</t>
  </si>
  <si>
    <t>GCA_937974815.1.overview.tsv</t>
  </si>
  <si>
    <t>GCA_937981545.1</t>
  </si>
  <si>
    <t>CALJNX010000008.1</t>
  </si>
  <si>
    <t>CALJNX010000008.1_117</t>
  </si>
  <si>
    <t>GCA_937981545.1.overview.tsv</t>
  </si>
  <si>
    <t>GCA_937981545.1_CGC9</t>
  </si>
  <si>
    <t>STP|HTH_3; CAZyme|GH16_3; TC|2.A.36.3.3</t>
  </si>
  <si>
    <t>GCA_937990705.1</t>
  </si>
  <si>
    <t>CALKRA010000061.1</t>
  </si>
  <si>
    <t>CALKRA010000061.1_74</t>
  </si>
  <si>
    <t>GCA_937990705.1.overview.tsv</t>
  </si>
  <si>
    <t>GCA_938011375.1</t>
  </si>
  <si>
    <t>CALLUC010000045.1</t>
  </si>
  <si>
    <t>CALLUC010000045.1_44</t>
  </si>
  <si>
    <t>GCA_938011375.1.overview.tsv</t>
  </si>
  <si>
    <t>GCA_938011375.1_CGC15</t>
  </si>
  <si>
    <t>STP|HTH_3; null; CAZyme|GH16_3; TC|9.B.18.2.4</t>
  </si>
  <si>
    <t>CALLUC010000046.1</t>
  </si>
  <si>
    <t>CALLUC010000046.1_12</t>
  </si>
  <si>
    <t>GH16_3(80-334)</t>
  </si>
  <si>
    <t>GH16_e50(81-335)</t>
  </si>
  <si>
    <t>CALLUC010000059.1</t>
  </si>
  <si>
    <t>CALLUC010000059.1_5</t>
  </si>
  <si>
    <t>GCA_938011375.1_CGC21</t>
  </si>
  <si>
    <t>STP|GyrI-like; STP|GyrI-like; CAZyme|GH16_3; TC|9.B.238.3.1</t>
  </si>
  <si>
    <t>GCA_938014195.1</t>
  </si>
  <si>
    <t>CALLSE010000030.1</t>
  </si>
  <si>
    <t>CALLSE010000030.1_27</t>
  </si>
  <si>
    <t>GCA_938014195.1.overview.tsv</t>
  </si>
  <si>
    <t>GCA_938014305.1</t>
  </si>
  <si>
    <t>CALLSI010000002.1</t>
  </si>
  <si>
    <t>CALLSI010000002.1_35</t>
  </si>
  <si>
    <t>GCA_938014305.1.overview.tsv</t>
  </si>
  <si>
    <t>GCA_938014305.1_CGC4</t>
  </si>
  <si>
    <t>TC|3.A.1.122.20; TC|3.A.1.122.20; null; CAZyme|GH16_3; STP|HTH_3</t>
  </si>
  <si>
    <t>GCA_938015825.1</t>
  </si>
  <si>
    <t>CALLVZ010000051.1</t>
  </si>
  <si>
    <t>CALLVZ010000051.1_21</t>
  </si>
  <si>
    <t>GCA_938015825.1.overview.tsv</t>
  </si>
  <si>
    <t>GCA_938015825.1_CGC8</t>
  </si>
  <si>
    <t>GCA_938016215.1</t>
  </si>
  <si>
    <t>CALLWX010000003.1</t>
  </si>
  <si>
    <t>CALLWX010000003.1_131</t>
  </si>
  <si>
    <t>GCA_938016215.1.overview.tsv</t>
  </si>
  <si>
    <t>GCA_938016215.1_CGC8</t>
  </si>
  <si>
    <t>CALLWX010000003.1|CGC8</t>
  </si>
  <si>
    <t>CALLWX010000007.1</t>
  </si>
  <si>
    <t>CALLWX010000007.1_76</t>
  </si>
  <si>
    <t>GCA_938016215.1_CGC18</t>
  </si>
  <si>
    <t>CALLWX010000007.1|CGC18</t>
  </si>
  <si>
    <t>GCA_938018165.1</t>
  </si>
  <si>
    <t>CALIIH010000002.1</t>
  </si>
  <si>
    <t>CALIIH010000002.1_66</t>
  </si>
  <si>
    <t>GCA_938018165.1.overview.tsv</t>
  </si>
  <si>
    <t>GCA_938018165.1_CGC4</t>
  </si>
  <si>
    <t>CAZyme|GH16_3+Sulfatase|S1_19; null; null; TC|8.A.46.3.4; TC|1.B.14.6.17</t>
  </si>
  <si>
    <t>CALIIH010000002.1|CGC4</t>
  </si>
  <si>
    <t>GCA_938020355.1</t>
  </si>
  <si>
    <t>CALIID010000055.1</t>
  </si>
  <si>
    <t>CALIID010000055.1_18</t>
  </si>
  <si>
    <t>GCA_938020355.1.overview.tsv</t>
  </si>
  <si>
    <t>GCA_938020355.1_CGC18</t>
  </si>
  <si>
    <t>STP|Pribosyltran; null; STP|LytTR; null; null; CAZyme|GH16_3; null; CAZyme|CE4_e54; CAZyme|GT2+TC|4.D.1.1.14; null; CAZyme|GT4_e2089; null; CAZyme|GT4_e2325; CAZyme|GT2; CAZyme|GT4_e110; null; null; TC|2.A.127.1.11; TC|3.A.1.106.2</t>
  </si>
  <si>
    <t>CALIID010000055.1|CGC18</t>
  </si>
  <si>
    <t>GCA_938021135.1</t>
  </si>
  <si>
    <t>CALIHJ010000047.1</t>
  </si>
  <si>
    <t>CALIHJ010000047.1_32</t>
  </si>
  <si>
    <t>GCA_938021135.1.overview.tsv</t>
  </si>
  <si>
    <t>GCA_938021135.1_CGC40</t>
  </si>
  <si>
    <t>CALIHJ010000047.1|CGC40</t>
  </si>
  <si>
    <t>GCA_938034465.1</t>
  </si>
  <si>
    <t>CALHLH010000011.1</t>
  </si>
  <si>
    <t>CALHLH010000011.1_7</t>
  </si>
  <si>
    <t>GCA_938034465.1.overview.tsv</t>
  </si>
  <si>
    <t>GCA_938034465.1_CGC7</t>
  </si>
  <si>
    <t>STP|LytTR; null; null; CAZyme|GH16_3; null; CAZyme|GT2+TC|4.D.1.1.14; null; CAZyme|GT4_e2089; null; CAZyme|GT32_e169; CAZyme|GT2; CAZyme|GT2+TC|4.D.1.3.2; null; CAZyme|GT11_e30; null; TC|3.A.1.135.10</t>
  </si>
  <si>
    <t>CALHLH010000011.1|CGC7</t>
  </si>
  <si>
    <t>GCA_938034995.1</t>
  </si>
  <si>
    <t>CALHNL010000032.1</t>
  </si>
  <si>
    <t>CALHNL010000032.1_51</t>
  </si>
  <si>
    <t>GCA_938034995.1.overview.tsv</t>
  </si>
  <si>
    <t>GCA_938034995.1_CGC18</t>
  </si>
  <si>
    <t>CALHNL010000032.1|CGC18</t>
  </si>
  <si>
    <t>CALHNL010000052.1</t>
  </si>
  <si>
    <t>CALHNL010000052.1_51</t>
  </si>
  <si>
    <t>GCA_938034995.1_CGC31</t>
  </si>
  <si>
    <t>GCA_938038995.1</t>
  </si>
  <si>
    <t>CALHVO010000013.1</t>
  </si>
  <si>
    <t>CALHVO010000013.1_23</t>
  </si>
  <si>
    <t>GCA_938038995.1.overview.tsv</t>
  </si>
  <si>
    <t>GCA_938038995.1_CGC9</t>
  </si>
  <si>
    <t>STP|LytTR; null; null; CAZyme|GH16_3; null; TC|3.A.1.135.10</t>
  </si>
  <si>
    <t>GCA_938041125.1</t>
  </si>
  <si>
    <t>CALHZC010000058.1</t>
  </si>
  <si>
    <t>CALHZC010000058.1_26</t>
  </si>
  <si>
    <t>GCA_938041125.1.overview.tsv</t>
  </si>
  <si>
    <t>GCA_938041155.1</t>
  </si>
  <si>
    <t>CALHZS010000109.1</t>
  </si>
  <si>
    <t>CALHZS010000109.1_3</t>
  </si>
  <si>
    <t>GCA_938041155.1.overview.tsv</t>
  </si>
  <si>
    <t>GCA_938042185.1</t>
  </si>
  <si>
    <t>CALIRV010000054.1</t>
  </si>
  <si>
    <t>CALIRV010000054.1_35</t>
  </si>
  <si>
    <t>GCA_938042185.1.overview.tsv</t>
  </si>
  <si>
    <t>GCA_938043945.1</t>
  </si>
  <si>
    <t>CALIQV010000004.1</t>
  </si>
  <si>
    <t>CALIQV010000004.1_190</t>
  </si>
  <si>
    <t>GCA_938043945.1.overview.tsv</t>
  </si>
  <si>
    <t>GCA_938043945.1_CGC4</t>
  </si>
  <si>
    <t>GCA_938045425.1</t>
  </si>
  <si>
    <t>CALIAP010000005.1</t>
  </si>
  <si>
    <t>CALIAP010000005.1_40</t>
  </si>
  <si>
    <t>GH16_3(61-309)</t>
  </si>
  <si>
    <t>GH16_e341(62-309)</t>
  </si>
  <si>
    <t>GCA_938045425.1.overview.tsv</t>
  </si>
  <si>
    <t>GCA_938045645.1</t>
  </si>
  <si>
    <t>CALIAT010000024.1</t>
  </si>
  <si>
    <t>CALIAT010000024.1_15</t>
  </si>
  <si>
    <t>GH16_e321(41-272)</t>
  </si>
  <si>
    <t>GCA_938045645.1.overview.tsv</t>
  </si>
  <si>
    <t>CALIAT010000112.1</t>
  </si>
  <si>
    <t>CALIAT010000112.1_2</t>
  </si>
  <si>
    <t>GCA_938045645.1_CGC28</t>
  </si>
  <si>
    <t>CAZyme|GH3_e1+Sulfatase|S1_7; CAZyme|CBM103|GH16_3+Sulfatase|S1_19; CAZyme|CBM102; TC|1.B.38.1.10; TC|1.B.14.6.17; STP|Y_Y_Y; null; null; CAZyme|GH144_e1; Peptidase|S09.UPW; null; TC|8.A.46.1.3; TC|1.B.14.6.17; STP|Y_Y_Y</t>
  </si>
  <si>
    <t>CALIAT010000112.1|CGC28</t>
  </si>
  <si>
    <t>CALIAT010000141.1</t>
  </si>
  <si>
    <t>CALIAT010000141.1_10</t>
  </si>
  <si>
    <t>GCA_938045645.1_CGC37</t>
  </si>
  <si>
    <t>STP|Guanylate_cyc; null; CAZyme|GH16_3</t>
  </si>
  <si>
    <t>GCA_943913865.1</t>
  </si>
  <si>
    <t>CALTZV010000008.1</t>
  </si>
  <si>
    <t>CALTZV010000008.1_48</t>
  </si>
  <si>
    <t>GCA_943913865.1.overview.tsv</t>
  </si>
  <si>
    <t>GCA_943913865.1_CGC16</t>
  </si>
  <si>
    <t>CAZyme|GH20_e51+Sulfatase|S1_16; CAZyme|GH16_3; CAZyme|GH29_e30|CBM32_e126+Sulfatase|S1_14; TC|3.D.10.1.5; null; TC|3.D.10.1.5; null; null; STP|Pyr_redox</t>
  </si>
  <si>
    <t>CALTZV010000008.1|CGC16</t>
  </si>
  <si>
    <t>PUL0112</t>
  </si>
  <si>
    <t>GCA_945829905.1</t>
  </si>
  <si>
    <t>CALZWP010000009.1</t>
  </si>
  <si>
    <t>CALZWP010000009.1_50</t>
  </si>
  <si>
    <t>GCA_945829905.1.overview.tsv</t>
  </si>
  <si>
    <t>CALZWP010000026.1</t>
  </si>
  <si>
    <t>CALZWP010000026.1_11</t>
  </si>
  <si>
    <t>GCA_945829905.1_CGC52</t>
  </si>
  <si>
    <t>TC|9.B.238.3.6; null; null; TC|1.A.43.1.1; null; CAZyme|GH3_e1+Sulfatase|S1_7; CAZyme|GH16_3+Sulfatase|S1_19; CAZyme|CBM103; null; TC|1.B.14.6.17</t>
  </si>
  <si>
    <t>CALZWP010000026.1|CGC52</t>
  </si>
  <si>
    <t>CALZWP010000066.1</t>
  </si>
  <si>
    <t>CALZWP010000066.1_2</t>
  </si>
  <si>
    <t>GCA_945829905.1_CGC77</t>
  </si>
  <si>
    <t>CAZyme|GH16_3; TC|1.B.14.6.2; TC|8.A.46.2.1; null; CAZyme|GH3_e208+Sulfatase|S1_7</t>
  </si>
  <si>
    <t>CALZWP010000066.1|CGC77</t>
  </si>
  <si>
    <t>CAZyme-CAZyme;TC-TC;TC-TC;null-null;CAZyme-CAZyme</t>
  </si>
  <si>
    <t>GCA_945869495.1</t>
  </si>
  <si>
    <t>CAMBOX010000013.1</t>
  </si>
  <si>
    <t>CAMBOX010000013.1_18</t>
  </si>
  <si>
    <t>GCA_945869495.1.overview.tsv</t>
  </si>
  <si>
    <t>CAMBOX010000026.1</t>
  </si>
  <si>
    <t>CAMBOX010000026.1_11</t>
  </si>
  <si>
    <t>GCA_945869495.1_CGC45</t>
  </si>
  <si>
    <t>CAMBOX010000026.1|CGC45</t>
  </si>
  <si>
    <t>GCA_945917645.1</t>
  </si>
  <si>
    <t>CAMEHQ010000008.1</t>
  </si>
  <si>
    <t>CAMEHQ010000008.1_54</t>
  </si>
  <si>
    <t>GCA_945917645.1.overview.tsv</t>
  </si>
  <si>
    <t>CAMEHQ010000036.1</t>
  </si>
  <si>
    <t>CAMEHQ010000036.1_5</t>
  </si>
  <si>
    <t>GCA_945917645.1_CGC63</t>
  </si>
  <si>
    <t>TC|1.B.14.6.17; null; CAZyme|CBM103; CAZyme|GH16_3+Sulfatase|S1_19; CAZyme|GH3_e1+Sulfatase|S1_7; null; TC|1.A.43.1.1; null; null; TC|9.B.238.3.6</t>
  </si>
  <si>
    <t>CAMEHQ010000036.1|CGC63</t>
  </si>
  <si>
    <t>GCA_946997865.1</t>
  </si>
  <si>
    <t>CAMPXV010000122.1</t>
  </si>
  <si>
    <t>CAMPXV010000122.1_1</t>
  </si>
  <si>
    <t>GCA_946997865.1.overview.tsv</t>
  </si>
  <si>
    <t>GCA_947000095.1</t>
  </si>
  <si>
    <t>CAMQFS010000003.1</t>
  </si>
  <si>
    <t>CAMQFS010000003.1_19</t>
  </si>
  <si>
    <t>GCA_947000095.1.overview.tsv</t>
  </si>
  <si>
    <t>GCA_947000095.1_CGC2</t>
  </si>
  <si>
    <t>STP|Pyr_redox; null; null; TC|3.D.10.1.5; null; TC|3.D.10.1.5; CAZyme|GH29_e30|CBM32_e126+Sulfatase|S1_14; CAZyme|GH16_3; CAZyme|GH20_e12+Sulfatase|S1_16</t>
  </si>
  <si>
    <t>CAMQFS010000003.1|CGC2</t>
  </si>
  <si>
    <t>hostglycan;hostglycan</t>
  </si>
  <si>
    <t>CAMQFS010000013.1</t>
  </si>
  <si>
    <t>CAMQFS010000013.1_18</t>
  </si>
  <si>
    <t>GCA_947000095.1_CGC16</t>
  </si>
  <si>
    <t>GCA_947095725.1</t>
  </si>
  <si>
    <t>CAMUPY010000061.1</t>
  </si>
  <si>
    <t>CAMUPY010000061.1_2</t>
  </si>
  <si>
    <t>GCA_947095725.1.overview.tsv</t>
  </si>
  <si>
    <t>GCA_947095725.1_CGC26</t>
  </si>
  <si>
    <t>CAZyme|GH16_3; null; null; STP|LytTR; null; STP|Pribosyltran</t>
  </si>
  <si>
    <t>GCA_947096245.1</t>
  </si>
  <si>
    <t>CAMUQP010000005.1</t>
  </si>
  <si>
    <t>CAMUQP010000005.1_25</t>
  </si>
  <si>
    <t>GCA_947096245.1.overview.tsv</t>
  </si>
  <si>
    <t>GCA_947097345.1</t>
  </si>
  <si>
    <t>CAMURC010000032.1</t>
  </si>
  <si>
    <t>CAMURC010000032.1_14</t>
  </si>
  <si>
    <t>GCA_947097345.1.overview.tsv</t>
  </si>
  <si>
    <t>GCA_947253705.1</t>
  </si>
  <si>
    <t>CAMYAI010000004.1</t>
  </si>
  <si>
    <t>CAMYAI010000004.1_12</t>
  </si>
  <si>
    <t>GH16_3(35-265)</t>
  </si>
  <si>
    <t>GH16_e144(36-266)</t>
  </si>
  <si>
    <t>GCA_947253705.1.overview.tsv</t>
  </si>
  <si>
    <t>CAMYAI010000019.1</t>
  </si>
  <si>
    <t>CAMYAI010000019.1_21</t>
  </si>
  <si>
    <t>GCA_947253705.1_CGC28</t>
  </si>
  <si>
    <t>TC|3.D.10.1.5; null; TC|3.D.10.1.5; null; CAZyme|GH29_e30|CBM32_e126+Sulfatase|S1_14; CAZyme|GH16_3; CAZyme|GH20_e51+Sulfatase|S1_16</t>
  </si>
  <si>
    <t>CAMYAI010000019.1|CGC28</t>
  </si>
  <si>
    <t>GCA_947254935.1</t>
  </si>
  <si>
    <t>CAMYFC010000109.1</t>
  </si>
  <si>
    <t>CAMYFC010000109.1_2</t>
  </si>
  <si>
    <t>GH16_3(26-258)</t>
  </si>
  <si>
    <t>GH16_e144(27-259)</t>
  </si>
  <si>
    <t>GCA_947254935.1.overview.tsv</t>
  </si>
  <si>
    <t>GCA_951230325.1</t>
  </si>
  <si>
    <t>CATNVF010000178.1</t>
  </si>
  <si>
    <t>CATNVF010000178.1_3</t>
  </si>
  <si>
    <t>GCA_951230325.1.overview.tsv</t>
  </si>
  <si>
    <t>GCA_951230405.1</t>
  </si>
  <si>
    <t>CATNVM010000024.1</t>
  </si>
  <si>
    <t>CATNVM010000024.1_21</t>
  </si>
  <si>
    <t>GCA_951230405.1.overview.tsv</t>
  </si>
  <si>
    <t>GCA_951230405.1_CGC22</t>
  </si>
  <si>
    <t>GCA_958415905.1</t>
  </si>
  <si>
    <t>CATYZT010000009.1</t>
  </si>
  <si>
    <t>CATYZT010000009.1_23</t>
  </si>
  <si>
    <t>GCA_958415905.1.overview.tsv</t>
  </si>
  <si>
    <t>GCA_958415905.1_CGC15</t>
  </si>
  <si>
    <t>CATYZT010000009.1|CGC15</t>
  </si>
  <si>
    <t>GCA_958433865.1</t>
  </si>
  <si>
    <t>CAUBAF010000089.1</t>
  </si>
  <si>
    <t>CAUBAF010000089.1_2</t>
  </si>
  <si>
    <t>GCA_958433865.1.overview.tsv</t>
  </si>
  <si>
    <t>GCA_958433865.1_CGC56</t>
  </si>
  <si>
    <t>CAUBAF010000089.1|CGC56</t>
  </si>
  <si>
    <t>GCA_959023205.1</t>
  </si>
  <si>
    <t>CAUFBI010000001.1</t>
  </si>
  <si>
    <t>CAUFBI010000001.1_27</t>
  </si>
  <si>
    <t>GCA_959023205.1.overview.tsv</t>
  </si>
  <si>
    <t>GCA_959023205.1_CGC2</t>
  </si>
  <si>
    <t>CAUFBI010000001.1|CGC2</t>
  </si>
  <si>
    <t>CAUFBI010000030.1</t>
  </si>
  <si>
    <t>CAUFBI010000030.1_11</t>
  </si>
  <si>
    <t>01.dbcan_GH16_3_HOMD.ALL</t>
  </si>
  <si>
    <t>sheet_name</t>
  </si>
  <si>
    <t>description</t>
  </si>
  <si>
    <t>in_tree?</t>
  </si>
  <si>
    <t>no - not oral</t>
  </si>
  <si>
    <t>no - not hit by run_dbcan GH16_3 HMM</t>
  </si>
  <si>
    <t>no - not oral; no - no active site</t>
  </si>
  <si>
    <t>no - no active site</t>
  </si>
  <si>
    <t>yes</t>
  </si>
  <si>
    <t>.</t>
  </si>
  <si>
    <t>02.dbcan_GH16_3_HOMD.TREE_543</t>
  </si>
  <si>
    <t>no_CGC_called</t>
  </si>
  <si>
    <t>sigma</t>
  </si>
  <si>
    <t>FecR</t>
  </si>
  <si>
    <t>1.B.14.6.13;</t>
  </si>
  <si>
    <t>1.B.14.6.17</t>
  </si>
  <si>
    <t>1.B.14.6.2;</t>
  </si>
  <si>
    <t>1.B.14.3.6</t>
  </si>
  <si>
    <t>1.B.14.8.4;</t>
  </si>
  <si>
    <t>8.A.46</t>
  </si>
  <si>
    <t>1.B.38.1.10</t>
  </si>
  <si>
    <t>AntiSigma(FecR) [text search: "FecR"]</t>
  </si>
  <si>
    <t>Sigma [txt search: "sigma"]</t>
  </si>
  <si>
    <t>1.B.14.6.1; + 1.B.14.6.17</t>
  </si>
  <si>
    <t>SusC-like/OMP-like [text search: "1.B.14.6.1;" , "1.B.14.6.13;", "1.B.14.6.13", "1.B.14.6.17", "1.B.14.6.2;", "1.B.14.6.2", "1.B.14.3.6;", "1.B.14.3.6", "1.B.14.8.4;" , "1.B.14.8.4"]</t>
  </si>
  <si>
    <t>SusD-like [text search: "8.A.46", "1.B.38.1.10"]</t>
  </si>
  <si>
    <t>8.A.46 + 1.B.38.1.10</t>
  </si>
  <si>
    <t>GCA-ID</t>
  </si>
  <si>
    <t>HMT-ID</t>
  </si>
  <si>
    <t>Genus</t>
  </si>
  <si>
    <t>Species</t>
  </si>
  <si>
    <t>Strain</t>
  </si>
  <si>
    <t>Contigs</t>
  </si>
  <si>
    <t>Combined_Size</t>
  </si>
  <si>
    <t>Status</t>
  </si>
  <si>
    <t>Sequence_Source</t>
  </si>
  <si>
    <t>GCA_000006605.1</t>
  </si>
  <si>
    <t>HMT-047</t>
  </si>
  <si>
    <t>Corynebacterium</t>
  </si>
  <si>
    <t>jeikeium</t>
  </si>
  <si>
    <t>K411 = NCTC 11915</t>
  </si>
  <si>
    <t>https://ftp.ncbi.nlm.nih.gov/genomes/all/GCA/000/006/605/GCA_000006605.1_ASM660v1</t>
  </si>
  <si>
    <t>GCA_000006625.1</t>
  </si>
  <si>
    <t>HMT-799</t>
  </si>
  <si>
    <t>Ureaplasma</t>
  </si>
  <si>
    <t>parvum</t>
  </si>
  <si>
    <t>ATCC 700970</t>
  </si>
  <si>
    <t>https://ftp.ncbi.nlm.nih.gov/genomes/all/GCA/000/006/625/GCA_000006625.1_ASM662v1</t>
  </si>
  <si>
    <t>GCA_000006885.1</t>
  </si>
  <si>
    <t>HMT-734</t>
  </si>
  <si>
    <t>Streptococcus</t>
  </si>
  <si>
    <t>pneumoniae</t>
  </si>
  <si>
    <t>TIGR4; ATCC BAA-334</t>
  </si>
  <si>
    <t>https://ftp.ncbi.nlm.nih.gov/genomes/all/GCA/000/006/885/GCA_000006885.1_ASM688v1</t>
  </si>
  <si>
    <t>GCA_000007045.1</t>
  </si>
  <si>
    <t>R6</t>
  </si>
  <si>
    <t>https://ftp.ncbi.nlm.nih.gov/genomes/all/GCA/000/007/045/GCA_000007045.1_ASM704v1</t>
  </si>
  <si>
    <t>GCA_000007205.1</t>
  </si>
  <si>
    <t>HMT-733</t>
  </si>
  <si>
    <t>Chlamydia</t>
  </si>
  <si>
    <t>TW-183</t>
  </si>
  <si>
    <t>https://ftp.ncbi.nlm.nih.gov/genomes/all/GCA/000/007/205/GCA_000007205.1_ASM720v1</t>
  </si>
  <si>
    <t>GCA_000007325.1</t>
  </si>
  <si>
    <t>HMT-698</t>
  </si>
  <si>
    <t>Fusobacterium</t>
  </si>
  <si>
    <t>nucleatum_sensu_stricto</t>
  </si>
  <si>
    <t>ATCC 25586</t>
  </si>
  <si>
    <t>https://ftp.ncbi.nlm.nih.gov/genomes/all/GCA/000/007/325/GCA_000007325.1_ASM732v1</t>
  </si>
  <si>
    <t>GCA_000007465.2</t>
  </si>
  <si>
    <t>HMT-686</t>
  </si>
  <si>
    <t>mutans</t>
  </si>
  <si>
    <t>UA159</t>
  </si>
  <si>
    <t>https://ftp.ncbi.nlm.nih.gov/genomes/all/GCA/000/007/465/GCA_000007465.2_ASM746v2</t>
  </si>
  <si>
    <t>GCA_000007585.1</t>
  </si>
  <si>
    <t>HMT-619</t>
  </si>
  <si>
    <t>Porphyromonas</t>
  </si>
  <si>
    <t>gingivalis</t>
  </si>
  <si>
    <t>W83</t>
  </si>
  <si>
    <t>https://ftp.ncbi.nlm.nih.gov/genomes/all/GCA/000/007/585/GCA_000007585.1_ASM758v1</t>
  </si>
  <si>
    <t>GCA_000007645.1</t>
  </si>
  <si>
    <t>HMT-601</t>
  </si>
  <si>
    <t>Staphylococcus</t>
  </si>
  <si>
    <t>epidermidis</t>
  </si>
  <si>
    <t>ATCC 12228</t>
  </si>
  <si>
    <t>https://ftp.ncbi.nlm.nih.gov/genomes/all/GCA/000/007/645/GCA_000007645.1_ASM764v1</t>
  </si>
  <si>
    <t>GCA_000008065.1</t>
  </si>
  <si>
    <t>HMT-819</t>
  </si>
  <si>
    <t>Lactobacillus</t>
  </si>
  <si>
    <t>johnsonii</t>
  </si>
  <si>
    <t>NCC 533</t>
  </si>
  <si>
    <t>https://ftp.ncbi.nlm.nih.gov/genomes/all/GCA/000/008/065/GCA_000008065.1_ASM806v1</t>
  </si>
  <si>
    <t>GCA_000008185.1</t>
  </si>
  <si>
    <t>HMT-584</t>
  </si>
  <si>
    <t>Treponema</t>
  </si>
  <si>
    <t>denticola</t>
  </si>
  <si>
    <t>ATCC 35405</t>
  </si>
  <si>
    <t>https://ftp.ncbi.nlm.nih.gov/genomes/all/GCA/000/008/185/GCA_000008185.1_ASM818v1</t>
  </si>
  <si>
    <t>GCA_000008345.1</t>
  </si>
  <si>
    <t>HMT-530</t>
  </si>
  <si>
    <t>Cutibacterium</t>
  </si>
  <si>
    <t>acnes</t>
  </si>
  <si>
    <t>KPA171202</t>
  </si>
  <si>
    <t>https://ftp.ncbi.nlm.nih.gov/genomes/all/GCA/000/008/345/GCA_000008345.1_ASM834v1</t>
  </si>
  <si>
    <t>GCA_000008605.1</t>
  </si>
  <si>
    <t>HMT-805</t>
  </si>
  <si>
    <t>pallidum</t>
  </si>
  <si>
    <t>Nichols</t>
  </si>
  <si>
    <t>https://ftp.ncbi.nlm.nih.gov/genomes/all/GCA/000/008/605/GCA_000008605.1_ASM860v1</t>
  </si>
  <si>
    <t>GCA_000008745.1</t>
  </si>
  <si>
    <t>CWL029</t>
  </si>
  <si>
    <t>https://ftp.ncbi.nlm.nih.gov/genomes/all/GCA/000/008/745/GCA_000008745.1_ASM874v1</t>
  </si>
  <si>
    <t>GCA_000008805.1</t>
  </si>
  <si>
    <t>HMT-669</t>
  </si>
  <si>
    <t>Neisseria</t>
  </si>
  <si>
    <t>meningitidis</t>
  </si>
  <si>
    <t>MC58</t>
  </si>
  <si>
    <t>https://ftp.ncbi.nlm.nih.gov/genomes/all/GCA/000/008/805/GCA_000008805.1_ASM880v1</t>
  </si>
  <si>
    <t>GCA_000008925.1</t>
  </si>
  <si>
    <t>HMT-756</t>
  </si>
  <si>
    <t>Ligilactobacillus</t>
  </si>
  <si>
    <t>salivarius</t>
  </si>
  <si>
    <t>UCC118</t>
  </si>
  <si>
    <t>https://ftp.ncbi.nlm.nih.gov/genomes/all/GCA/000/008/925/GCA_000008925.1_ASM892v1</t>
  </si>
  <si>
    <t>GCA_000009005.1</t>
  </si>
  <si>
    <t>HMT-550</t>
  </si>
  <si>
    <t>aureus</t>
  </si>
  <si>
    <t>RF122</t>
  </si>
  <si>
    <t>https://ftp.ncbi.nlm.nih.gov/genomes/all/GCA/000/009/005/GCA_000009005.1_ASM900v1</t>
  </si>
  <si>
    <t>GCA_000009045.1</t>
  </si>
  <si>
    <t>HMT-468</t>
  </si>
  <si>
    <t>Bacillus</t>
  </si>
  <si>
    <t>subtilis</t>
  </si>
  <si>
    <t>https://ftp.ncbi.nlm.nih.gov/genomes/all/GCA/000/009/045/GCA_000009045.1_ASM904v1</t>
  </si>
  <si>
    <t>GCA_000009105.1</t>
  </si>
  <si>
    <t>Z2491</t>
  </si>
  <si>
    <t>https://ftp.ncbi.nlm.nih.gov/genomes/all/GCA/000/009/105/GCA_000009105.1_ASM910v1</t>
  </si>
  <si>
    <t>GCA_000009585.1</t>
  </si>
  <si>
    <t>type strain:ST398</t>
  </si>
  <si>
    <t>https://ftp.ncbi.nlm.nih.gov/genomes/all/GCA/000/009/585/GCA_000009585.1_ASM958v1</t>
  </si>
  <si>
    <t>GCA_000009625.1</t>
  </si>
  <si>
    <t>HMT-659</t>
  </si>
  <si>
    <t>Mesorhizobium</t>
  </si>
  <si>
    <t>japonicum</t>
  </si>
  <si>
    <t>MAFF 303099</t>
  </si>
  <si>
    <t>https://ftp.ncbi.nlm.nih.gov/genomes/all/GCA/000/009/625/GCA_000009625.1_ASM962v1</t>
  </si>
  <si>
    <t>GCA_000009645.1</t>
  </si>
  <si>
    <t>N315</t>
  </si>
  <si>
    <t>https://ftp.ncbi.nlm.nih.gov/genomes/all/GCA/000/009/645/GCA_000009645.1_ASM964v1</t>
  </si>
  <si>
    <t>GCA_000009665.1</t>
  </si>
  <si>
    <t>Mu50</t>
  </si>
  <si>
    <t>https://ftp.ncbi.nlm.nih.gov/genomes/all/GCA/000/009/665/GCA_000009665.1_ASM966v1</t>
  </si>
  <si>
    <t>GCA_000009865.1</t>
  </si>
  <si>
    <t>HMT-120</t>
  </si>
  <si>
    <t>haemolyticus</t>
  </si>
  <si>
    <t>JCSC1435</t>
  </si>
  <si>
    <t>https://ftp.ncbi.nlm.nih.gov/genomes/all/GCA/000/009/865/GCA_000009865.1_ASM986v1</t>
  </si>
  <si>
    <t>GCA_000010005.1</t>
  </si>
  <si>
    <t>HMT-818</t>
  </si>
  <si>
    <t>Limosilactobacillus</t>
  </si>
  <si>
    <t>reuteri</t>
  </si>
  <si>
    <t>JCM 1112</t>
  </si>
  <si>
    <t>https://ftp.ncbi.nlm.nih.gov/genomes/all/GCA/000/010/005/GCA_000010005.1_ASM1000v1</t>
  </si>
  <si>
    <t>GCA_000010185.1</t>
  </si>
  <si>
    <t>HMT-662</t>
  </si>
  <si>
    <t>Finegoldia</t>
  </si>
  <si>
    <t>magna</t>
  </si>
  <si>
    <t>ATCC 29328</t>
  </si>
  <si>
    <t>https://ftp.ncbi.nlm.nih.gov/genomes/all/GCA/000/010/185/GCA_000010185.1_ASM1018v1</t>
  </si>
  <si>
    <t>GCA_000010445.1</t>
  </si>
  <si>
    <t>Mu3</t>
  </si>
  <si>
    <t>https://ftp.ncbi.nlm.nih.gov/genomes/all/GCA/000/010/445/GCA_000010445.1_ASM1044v1</t>
  </si>
  <si>
    <t>GCA_000010465.1</t>
  </si>
  <si>
    <t>Newman</t>
  </si>
  <si>
    <t>https://ftp.ncbi.nlm.nih.gov/genomes/all/GCA/000/010/465/GCA_000010465.1_ASM1046v1</t>
  </si>
  <si>
    <t>GCA_000010485.1</t>
  </si>
  <si>
    <t>HMT-574</t>
  </si>
  <si>
    <t>Escherichia</t>
  </si>
  <si>
    <t>coli</t>
  </si>
  <si>
    <t>SE15</t>
  </si>
  <si>
    <t>https://ftp.ncbi.nlm.nih.gov/genomes/all/GCA/000/010/485/GCA_000010485.1_ASM1048v1</t>
  </si>
  <si>
    <t>GCA_000010505.1</t>
  </si>
  <si>
    <t>ATCC 33277</t>
  </si>
  <si>
    <t>https://ftp.ncbi.nlm.nih.gov/genomes/all/GCA/000/010/505/GCA_000010505.1_ASM1050v1</t>
  </si>
  <si>
    <t>GCA_000011025.1</t>
  </si>
  <si>
    <t>Rothia</t>
  </si>
  <si>
    <t>mucilaginosa clade-681</t>
  </si>
  <si>
    <t>DY-18</t>
  </si>
  <si>
    <t>https://ftp.ncbi.nlm.nih.gov/genomes/all/GCA/000/011/025/GCA_000011025.1_ASM1102v1</t>
  </si>
  <si>
    <t>GCA_000011165.1</t>
  </si>
  <si>
    <t>J138</t>
  </si>
  <si>
    <t>https://ftp.ncbi.nlm.nih.gov/genomes/all/GCA/000/011/165/GCA_000011165.1_ASM1116v1</t>
  </si>
  <si>
    <t>GCA_000011265.1</t>
  </si>
  <si>
    <t>MW2</t>
  </si>
  <si>
    <t>https://ftp.ncbi.nlm.nih.gov/genomes/all/GCA/000/011/265/GCA_000011265.1_ASM1126v1</t>
  </si>
  <si>
    <t>GCA_000011505.1</t>
  </si>
  <si>
    <t>MRSA252</t>
  </si>
  <si>
    <t>https://ftp.ncbi.nlm.nih.gov/genomes/all/GCA/000/011/505/GCA_000011505.1_ASM1150v1</t>
  </si>
  <si>
    <t>GCA_000011525.1</t>
  </si>
  <si>
    <t>MSSA476</t>
  </si>
  <si>
    <t>https://ftp.ncbi.nlm.nih.gov/genomes/all/GCA/000/011/525/GCA_000011525.1_ASM1152v1</t>
  </si>
  <si>
    <t>GCA_000011925.1</t>
  </si>
  <si>
    <t>RP62A</t>
  </si>
  <si>
    <t>https://ftp.ncbi.nlm.nih.gov/genomes/all/GCA/000/011/925/GCA_000011925.1_ASM1192v1</t>
  </si>
  <si>
    <t>GCA_000012045.1</t>
  </si>
  <si>
    <t>COL</t>
  </si>
  <si>
    <t>https://ftp.ncbi.nlm.nih.gov/genomes/all/GCA/000/012/045/GCA_000012045.1_ASM1204v1</t>
  </si>
  <si>
    <t>GCA_000012185.1</t>
  </si>
  <si>
    <t>HMT-641</t>
  </si>
  <si>
    <t>Haemophilus</t>
  </si>
  <si>
    <t>influenzae</t>
  </si>
  <si>
    <t>86-028NP</t>
  </si>
  <si>
    <t>https://ftp.ncbi.nlm.nih.gov/genomes/all/GCA/000/012/185/GCA_000012185.1_ASM1218v1</t>
  </si>
  <si>
    <t>Phocaeicola</t>
  </si>
  <si>
    <t>vulgatus</t>
  </si>
  <si>
    <t>ATCC 8482</t>
  </si>
  <si>
    <t>https://ftp.ncbi.nlm.nih.gov/genomes/all/GCA/000/012/825/GCA_000012825.1_ASM1282v1</t>
  </si>
  <si>
    <t>Parabacteroides</t>
  </si>
  <si>
    <t>distasonis</t>
  </si>
  <si>
    <t>ATCC 8503</t>
  </si>
  <si>
    <t>https://ftp.ncbi.nlm.nih.gov/genomes/all/GCA/000/012/845/GCA_000012845.1_ASM1284v1</t>
  </si>
  <si>
    <t>GCA_000013425.1</t>
  </si>
  <si>
    <t>NCTC 8325</t>
  </si>
  <si>
    <t>https://ftp.ncbi.nlm.nih.gov/genomes/all/GCA/000/013/425/GCA_000013425.1_ASM1342v1</t>
  </si>
  <si>
    <t>GCA_000013465.1</t>
  </si>
  <si>
    <t>USA300_FPR3757</t>
  </si>
  <si>
    <t>https://ftp.ncbi.nlm.nih.gov/genomes/all/GCA/000/013/465/GCA_000013465.1_ASM1346v1</t>
  </si>
  <si>
    <t>GCA_000014105.1</t>
  </si>
  <si>
    <t>https://ftp.ncbi.nlm.nih.gov/genomes/all/GCA/000/014/105/GCA_000014105.1_ASM1410v1</t>
  </si>
  <si>
    <t>GCA_000014205.1</t>
  </si>
  <si>
    <t>HMT-758</t>
  </si>
  <si>
    <t>sanguinis</t>
  </si>
  <si>
    <t>SK36</t>
  </si>
  <si>
    <t>https://ftp.ncbi.nlm.nih.gov/genomes/all/GCA/000/014/205/GCA_000014205.1_ASM1420v1</t>
  </si>
  <si>
    <t>GCA_000014365.2</t>
  </si>
  <si>
    <t>D39</t>
  </si>
  <si>
    <t>https://ftp.ncbi.nlm.nih.gov/genomes/all/GCA/000/014/365/GCA_000014365.2_ASM1436v2</t>
  </si>
  <si>
    <t>GCA_000014425.1</t>
  </si>
  <si>
    <t>HMT-615</t>
  </si>
  <si>
    <t>gasseri</t>
  </si>
  <si>
    <t>ATCC 33323</t>
  </si>
  <si>
    <t>https://ftp.ncbi.nlm.nih.gov/genomes/all/GCA/000/014/425/GCA_000014425.1_ASM1442v1</t>
  </si>
  <si>
    <t>GCA_000015545.1</t>
  </si>
  <si>
    <t>HMT-209</t>
  </si>
  <si>
    <t>Acidovorax</t>
  </si>
  <si>
    <t>ebreus</t>
  </si>
  <si>
    <t>JS42</t>
  </si>
  <si>
    <t>https://ftp.ncbi.nlm.nih.gov/genomes/all/GCA/000/015/545/GCA_000015545.1_ASM1554v1</t>
  </si>
  <si>
    <t>GCA_000016465.1</t>
  </si>
  <si>
    <t>PittEE</t>
  </si>
  <si>
    <t>https://ftp.ncbi.nlm.nih.gov/genomes/all/GCA/000/016/465/GCA_000016465.1_ASM1646v1</t>
  </si>
  <si>
    <t>GCA_000016485.1</t>
  </si>
  <si>
    <t>PittGG</t>
  </si>
  <si>
    <t>https://ftp.ncbi.nlm.nih.gov/genomes/all/GCA/000/016/485/GCA_000016485.1_ASM1648v1</t>
  </si>
  <si>
    <t>GCA_000016805.1</t>
  </si>
  <si>
    <t>JH9</t>
  </si>
  <si>
    <t>https://ftp.ncbi.nlm.nih.gov/genomes/all/GCA/000/016/805/GCA_000016805.1_ASM1680v1</t>
  </si>
  <si>
    <t>GCA_000016825.1</t>
  </si>
  <si>
    <t>DSM 20016</t>
  </si>
  <si>
    <t>https://ftp.ncbi.nlm.nih.gov/genomes/all/GCA/000/016/825/GCA_000016825.1_ASM1682v1</t>
  </si>
  <si>
    <t>GCA_000017005.1</t>
  </si>
  <si>
    <t>HMT-622</t>
  </si>
  <si>
    <t>gordonii</t>
  </si>
  <si>
    <t>Challis substr. CH1</t>
  </si>
  <si>
    <t>https://ftp.ncbi.nlm.nih.gov/genomes/all/GCA/000/017/005/GCA_000017005.1_ASM1700v1</t>
  </si>
  <si>
    <t>GCA_000017085.1</t>
  </si>
  <si>
    <t>TCH1516</t>
  </si>
  <si>
    <t>https://ftp.ncbi.nlm.nih.gov/genomes/all/GCA/000/017/085/GCA_000017085.1_ASM1708v1</t>
  </si>
  <si>
    <t>GCA_000017405.1</t>
  </si>
  <si>
    <t>HMT-544</t>
  </si>
  <si>
    <t>Brucella</t>
  </si>
  <si>
    <t>anthropi</t>
  </si>
  <si>
    <t>ATCC 49188</t>
  </si>
  <si>
    <t>https://ftp.ncbi.nlm.nih.gov/genomes/all/GCA/000/017/405/GCA_000017405.1_ASM1740v1</t>
  </si>
  <si>
    <t>GCA_000017465.2</t>
  </si>
  <si>
    <t>HMT-580</t>
  </si>
  <si>
    <t>Campylobacter</t>
  </si>
  <si>
    <t>curvus</t>
  </si>
  <si>
    <t>https://ftp.ncbi.nlm.nih.gov/genomes/all/GCA/000/017/465/GCA_000017465.2_ASM1746v2</t>
  </si>
  <si>
    <t>GCA_000017725.2</t>
  </si>
  <si>
    <t>HMT-433</t>
  </si>
  <si>
    <t>concisus clade-433</t>
  </si>
  <si>
    <t>https://ftp.ncbi.nlm.nih.gov/genomes/all/GCA/000/017/725/GCA_000017725.2_ASM1772v2</t>
  </si>
  <si>
    <t>GCA_000018665.1</t>
  </si>
  <si>
    <t>HMT-023</t>
  </si>
  <si>
    <t>Delftia</t>
  </si>
  <si>
    <t>acidovorans</t>
  </si>
  <si>
    <t>SPH-1</t>
  </si>
  <si>
    <t>https://ftp.ncbi.nlm.nih.gov/genomes/all/GCA/000/018/665/GCA_000018665.1_ASM1866v1</t>
  </si>
  <si>
    <t>GCA_000018965.1</t>
  </si>
  <si>
    <t>https://ftp.ncbi.nlm.nih.gov/genomes/all/GCA/000/018/965/GCA_000018965.1_ASM1896v1</t>
  </si>
  <si>
    <t>GCA_000018985.1</t>
  </si>
  <si>
    <t>JJA</t>
  </si>
  <si>
    <t>https://ftp.ncbi.nlm.nih.gov/genomes/all/GCA/000/018/985/GCA_000018985.1_ASM1898v1</t>
  </si>
  <si>
    <t>GCA_000019005.1</t>
  </si>
  <si>
    <t>P1031</t>
  </si>
  <si>
    <t>https://ftp.ncbi.nlm.nih.gov/genomes/all/GCA/000/019/005/GCA_000019005.1_ASM1900v1</t>
  </si>
  <si>
    <t>GCA_000019025.1</t>
  </si>
  <si>
    <t>Taiwan19F-14</t>
  </si>
  <si>
    <t>https://ftp.ncbi.nlm.nih.gov/genomes/all/GCA/000/019/025/GCA_000019025.1_ASM1902v1</t>
  </si>
  <si>
    <t>GCA_000019045.1</t>
  </si>
  <si>
    <t>HMT-182</t>
  </si>
  <si>
    <t>Anoxybacillus</t>
  </si>
  <si>
    <t>flavithermus</t>
  </si>
  <si>
    <t>WK1</t>
  </si>
  <si>
    <t>https://ftp.ncbi.nlm.nih.gov/genomes/all/GCA/000/019/045/GCA_000019045.1_ASM1904v1</t>
  </si>
  <si>
    <t>GCA_000019265.1</t>
  </si>
  <si>
    <t>Hungary19A-6</t>
  </si>
  <si>
    <t>https://ftp.ncbi.nlm.nih.gov/genomes/all/GCA/000/019/265/GCA_000019265.1_ASM1926v1</t>
  </si>
  <si>
    <t>GCA_000019345.1</t>
  </si>
  <si>
    <t>ATCC 27815</t>
  </si>
  <si>
    <t>https://ftp.ncbi.nlm.nih.gov/genomes/all/GCA/000/019/345/GCA_000019345.1_ASM1934v1</t>
  </si>
  <si>
    <t>GCA_000019425.1</t>
  </si>
  <si>
    <t>K-12 substr. DH10B</t>
  </si>
  <si>
    <t>https://ftp.ncbi.nlm.nih.gov/genomes/all/GCA/000/019/425/GCA_000019425.1_ASM1942v1</t>
  </si>
  <si>
    <t>GCA_000019825.1</t>
  </si>
  <si>
    <t>G54</t>
  </si>
  <si>
    <t>https://ftp.ncbi.nlm.nih.gov/genomes/all/GCA/000/019/825/GCA_000019825.1_ASM1982v1</t>
  </si>
  <si>
    <t>GCA_000019985.1</t>
  </si>
  <si>
    <t>CGSP14</t>
  </si>
  <si>
    <t>https://ftp.ncbi.nlm.nih.gov/genomes/all/GCA/000/019/985/GCA_000019985.1_ASM1998v1</t>
  </si>
  <si>
    <t>Akkermansia</t>
  </si>
  <si>
    <t>muciniphila</t>
  </si>
  <si>
    <t>ATCC BAA-835</t>
  </si>
  <si>
    <t>https://ftp.ncbi.nlm.nih.gov/genomes/all/GCA/000/020/225/GCA_000020225.1_ASM2022v1</t>
  </si>
  <si>
    <t>GCA_000020465.1</t>
  </si>
  <si>
    <t>HMT-984</t>
  </si>
  <si>
    <t>Chlorobium</t>
  </si>
  <si>
    <t>limicola</t>
  </si>
  <si>
    <t>DSM 245</t>
  </si>
  <si>
    <t>https://ftp.ncbi.nlm.nih.gov/genomes/all/GCA/000/020/465/GCA_000020465.1_ASM2046v1</t>
  </si>
  <si>
    <t>GCA_000020605.1</t>
  </si>
  <si>
    <t>Agathobacter</t>
  </si>
  <si>
    <t>rectalis</t>
  </si>
  <si>
    <t>ATCC 33656</t>
  </si>
  <si>
    <t>https://ftp.ncbi.nlm.nih.gov/genomes/all/GCA/000/020/605/GCA_000020605.1_ASM2060v1</t>
  </si>
  <si>
    <t>GCA_000020665.1</t>
  </si>
  <si>
    <t>HMT-663</t>
  </si>
  <si>
    <t>Stenotrophomonas</t>
  </si>
  <si>
    <t>maltophilia</t>
  </si>
  <si>
    <t>R551-3</t>
  </si>
  <si>
    <t>https://ftp.ncbi.nlm.nih.gov/genomes/all/GCA/000/020/665/GCA_000020665.1_ASM2066v1</t>
  </si>
  <si>
    <t>GCA_000021865.1</t>
  </si>
  <si>
    <t>HMT-857</t>
  </si>
  <si>
    <t>Rhodobacter</t>
  </si>
  <si>
    <t>capsulatus</t>
  </si>
  <si>
    <t>SB 1003</t>
  </si>
  <si>
    <t>https://ftp.ncbi.nlm.nih.gov/genomes/all/GCA/000/021/865/GCA_000021865.1_ASM2186v1</t>
  </si>
  <si>
    <t>GCA_000022305.1</t>
  </si>
  <si>
    <t>TPSY</t>
  </si>
  <si>
    <t>https://ftp.ncbi.nlm.nih.gov/genomes/all/GCA/000/022/305/GCA_000022305.1_ASM2230v1</t>
  </si>
  <si>
    <t>GCA_000022905.1</t>
  </si>
  <si>
    <t>HMT-034</t>
  </si>
  <si>
    <t>aurimucosum clade-034</t>
  </si>
  <si>
    <t>DSM 44827; ATCC 700975</t>
  </si>
  <si>
    <t>https://ftp.ncbi.nlm.nih.gov/genomes/all/GCA/000/022/905/GCA_000022905.1_ASM2290v1</t>
  </si>
  <si>
    <t>GCA_000022985.1</t>
  </si>
  <si>
    <t>HMT-545</t>
  </si>
  <si>
    <t>Aggregatibacter</t>
  </si>
  <si>
    <t>aphrophilus</t>
  </si>
  <si>
    <t>NJ8700</t>
  </si>
  <si>
    <t>https://ftp.ncbi.nlm.nih.gov/genomes/all/GCA/000/022/985/GCA_000022985.1_ASM2298v1</t>
  </si>
  <si>
    <t>GCA_000023145.1</t>
  </si>
  <si>
    <t>HMT-049</t>
  </si>
  <si>
    <t>kroppenstedtii</t>
  </si>
  <si>
    <t>DSM 44385</t>
  </si>
  <si>
    <t>https://ftp.ncbi.nlm.nih.gov/genomes/all/GCA/000/023/145/GCA_000023145.1_ASM2314v1</t>
  </si>
  <si>
    <t>GCA_000023205.1</t>
  </si>
  <si>
    <t>HMT-087</t>
  </si>
  <si>
    <t>Micrococcus</t>
  </si>
  <si>
    <t>luteus</t>
  </si>
  <si>
    <t>NCTC 2665</t>
  </si>
  <si>
    <t>https://ftp.ncbi.nlm.nih.gov/genomes/all/GCA/000/023/205/GCA_000023205.1_ASM2320v1</t>
  </si>
  <si>
    <t>Capnocytophaga</t>
  </si>
  <si>
    <t>ochracea</t>
  </si>
  <si>
    <t>DSM 7271</t>
  </si>
  <si>
    <t>https://ftp.ncbi.nlm.nih.gov/genomes/all/GCA/000/023/285/GCA_000023285.1_ASM2328v1</t>
  </si>
  <si>
    <t>GCA_000023845.1</t>
  </si>
  <si>
    <t>HMT-579</t>
  </si>
  <si>
    <t>Cryptobacterium</t>
  </si>
  <si>
    <t>curtum</t>
  </si>
  <si>
    <t>DSM 15641</t>
  </si>
  <si>
    <t>https://ftp.ncbi.nlm.nih.gov/genomes/all/GCA/000/023/845/GCA_000023845.1_ASM2384v1</t>
  </si>
  <si>
    <t>Leptotrichia</t>
  </si>
  <si>
    <t>buccalis</t>
  </si>
  <si>
    <t>DSM 1135</t>
  </si>
  <si>
    <t>https://ftp.ncbi.nlm.nih.gov/genomes/all/GCA/000/023/905/GCA_000023905.1_ASM2390v1</t>
  </si>
  <si>
    <t>Kytococcus</t>
  </si>
  <si>
    <t>sedentarius</t>
  </si>
  <si>
    <t>DSM 20547</t>
  </si>
  <si>
    <t>https://ftp.ncbi.nlm.nih.gov/genomes/all/GCA/000/023/925/GCA_000023925.1_ASM2392v1</t>
  </si>
  <si>
    <t>GCA_000024105.1</t>
  </si>
  <si>
    <t>HMT-738</t>
  </si>
  <si>
    <t>Anaerococcus</t>
  </si>
  <si>
    <t>prevotii</t>
  </si>
  <si>
    <t>DSM 20548</t>
  </si>
  <si>
    <t>https://ftp.ncbi.nlm.nih.gov/genomes/all/GCA/000/024/105/GCA_000024105.1_ASM2410v1</t>
  </si>
  <si>
    <t>GCA_000024145.1</t>
  </si>
  <si>
    <t>LPCoLN</t>
  </si>
  <si>
    <t>https://ftp.ncbi.nlm.nih.gov/genomes/all/GCA/000/024/145/GCA_000024145.1_ASM2414v1</t>
  </si>
  <si>
    <t>GCA_000024225.1</t>
  </si>
  <si>
    <t>HMT-723</t>
  </si>
  <si>
    <t>Lancefieldella</t>
  </si>
  <si>
    <t>parvula</t>
  </si>
  <si>
    <t>DSM 20469</t>
  </si>
  <si>
    <t>https://ftp.ncbi.nlm.nih.gov/genomes/all/GCA/000/024/225/GCA_000024225.1_ASM2422v1</t>
  </si>
  <si>
    <t>GCA_000024265.1</t>
  </si>
  <si>
    <t>HMT-654</t>
  </si>
  <si>
    <t>Eggerthella</t>
  </si>
  <si>
    <t>lenta</t>
  </si>
  <si>
    <t>DSM 2243</t>
  </si>
  <si>
    <t>https://ftp.ncbi.nlm.nih.gov/genomes/all/GCA/000/024/265/GCA_000024265.1_ASM2426v1</t>
  </si>
  <si>
    <t>GCA_000024445.1</t>
  </si>
  <si>
    <t>HMT-588</t>
  </si>
  <si>
    <t>Bifidobacterium</t>
  </si>
  <si>
    <t>dentium</t>
  </si>
  <si>
    <t>Bd1</t>
  </si>
  <si>
    <t>https://ftp.ncbi.nlm.nih.gov/genomes/all/GCA/000/024/445/GCA_000024445.1_ASM2444v1</t>
  </si>
  <si>
    <t>GCA_000024585.1</t>
  </si>
  <si>
    <t>ED98</t>
  </si>
  <si>
    <t>https://ftp.ncbi.nlm.nih.gov/genomes/all/GCA/000/024/585/GCA_000024585.1_ASM2458v1</t>
  </si>
  <si>
    <t>GCA_000024925.1</t>
  </si>
  <si>
    <t>HMT-856</t>
  </si>
  <si>
    <t>Sanguibacter</t>
  </si>
  <si>
    <t>keddieii</t>
  </si>
  <si>
    <t>DSM 10542</t>
  </si>
  <si>
    <t>https://ftp.ncbi.nlm.nih.gov/genomes/all/GCA/000/024/925/GCA_000024925.1_ASM2492v1</t>
  </si>
  <si>
    <t>GCA_000024945.1</t>
  </si>
  <si>
    <t>HMT-161</t>
  </si>
  <si>
    <t>Veillonella</t>
  </si>
  <si>
    <t>DSM 2008</t>
  </si>
  <si>
    <t>https://ftp.ncbi.nlm.nih.gov/genomes/all/GCA/000/024/945/GCA_000024945.1_ASM2494v1</t>
  </si>
  <si>
    <t>GCA_000025085.1</t>
  </si>
  <si>
    <t>HMT-128</t>
  </si>
  <si>
    <t>lugdunensis</t>
  </si>
  <si>
    <t>HKU09-01</t>
  </si>
  <si>
    <t>https://ftp.ncbi.nlm.nih.gov/genomes/all/GCA/000/025/085/GCA_000025085.1_ASM2508v1</t>
  </si>
  <si>
    <t>GCA_000025145.2</t>
  </si>
  <si>
    <t>04-02981</t>
  </si>
  <si>
    <t>https://ftp.ncbi.nlm.nih.gov/genomes/all/GCA/000/025/145/GCA_000025145.2_ASM2514v1</t>
  </si>
  <si>
    <t>GCA_000025205.1</t>
  </si>
  <si>
    <t>HMT-868</t>
  </si>
  <si>
    <t>Gardnerella</t>
  </si>
  <si>
    <t>swidsinskii</t>
  </si>
  <si>
    <t>409-05</t>
  </si>
  <si>
    <t>https://ftp.ncbi.nlm.nih.gov/genomes/all/GCA/000/025/205/GCA_000025205.1_ASM2520v1</t>
  </si>
  <si>
    <t>GCA_000025765.1</t>
  </si>
  <si>
    <t>SK137</t>
  </si>
  <si>
    <t>https://ftp.ncbi.nlm.nih.gov/genomes/all/GCA/000/025/765/GCA_000025765.1_ASM2576v1</t>
  </si>
  <si>
    <t>GCA_000026525.1</t>
  </si>
  <si>
    <t>HMT-749</t>
  </si>
  <si>
    <t>Lacticaseibacillus</t>
  </si>
  <si>
    <t>rhamnosus</t>
  </si>
  <si>
    <t>Lc 705</t>
  </si>
  <si>
    <t>https://ftp.ncbi.nlm.nih.gov/genomes/all/GCA/000/026/525/GCA_000026525.1_ASM2652v1</t>
  </si>
  <si>
    <t>GCA_000026665.1</t>
  </si>
  <si>
    <t>ATCC 700669</t>
  </si>
  <si>
    <t>https://ftp.ncbi.nlm.nih.gov/genomes/all/GCA/000/026/665/GCA_000026665.1_ASM2666v1</t>
  </si>
  <si>
    <t>GCA_000026685.1</t>
  </si>
  <si>
    <t>HMT-823</t>
  </si>
  <si>
    <t>Mycobacterium</t>
  </si>
  <si>
    <t>leprae</t>
  </si>
  <si>
    <t>na</t>
  </si>
  <si>
    <t>https://ftp.ncbi.nlm.nih.gov/genomes/all/GCA/000/026/685/GCA_000026685.1_ASM2668v1</t>
  </si>
  <si>
    <t>GCA_000026965.1</t>
  </si>
  <si>
    <t>https://ftp.ncbi.nlm.nih.gov/genomes/all/GCA/000/026/965/GCA_000026965.1_ASM2696v1</t>
  </si>
  <si>
    <t>GCA_000027045.1</t>
  </si>
  <si>
    <t>TW20</t>
  </si>
  <si>
    <t>https://ftp.ncbi.nlm.nih.gov/genomes/all/GCA/000/027/045/GCA_000027045.1_ASM2704v1</t>
  </si>
  <si>
    <t>GCA_000027165.1</t>
  </si>
  <si>
    <t>HMT-677</t>
  </si>
  <si>
    <t>mitis</t>
  </si>
  <si>
    <t>B6</t>
  </si>
  <si>
    <t>https://ftp.ncbi.nlm.nih.gov/genomes/all/GCA/000/027/165/GCA_000027165.1_ASM2716v1</t>
  </si>
  <si>
    <t>GCA_000027305.1</t>
  </si>
  <si>
    <t>Rd KW20</t>
  </si>
  <si>
    <t>https://ftp.ncbi.nlm.nih.gov/genomes/all/GCA/000/027/305/GCA_000027305.1_ASM2730v1</t>
  </si>
  <si>
    <t>GCA_000027325.1</t>
  </si>
  <si>
    <t>HMT-616</t>
  </si>
  <si>
    <t>Mycoplasmoides</t>
  </si>
  <si>
    <t>genitalium</t>
  </si>
  <si>
    <t>G-37</t>
  </si>
  <si>
    <t>https://ftp.ncbi.nlm.nih.gov/genomes/all/GCA/000/027/325/GCA_000027325.1_ASM2732v1</t>
  </si>
  <si>
    <t>GCA_000069945.1</t>
  </si>
  <si>
    <t>HMT-853</t>
  </si>
  <si>
    <t>urealyticum</t>
  </si>
  <si>
    <t>DSM 7109</t>
  </si>
  <si>
    <t>https://ftp.ncbi.nlm.nih.gov/genomes/all/GCA/000/069/945/GCA_000069945.1_ASM6994v1</t>
  </si>
  <si>
    <t>GCA_000083565.1</t>
  </si>
  <si>
    <t>alpha14</t>
  </si>
  <si>
    <t>https://ftp.ncbi.nlm.nih.gov/genomes/all/GCA/000/083/565/GCA_000083565.1_ASM8356v1</t>
  </si>
  <si>
    <t>GCA_000090875.1</t>
  </si>
  <si>
    <t>HMT-014</t>
  </si>
  <si>
    <t>oralis</t>
  </si>
  <si>
    <t>F0314</t>
  </si>
  <si>
    <t>https://ftp.ncbi.nlm.nih.gov/genomes/all/GCA/000/090/875/GCA_000090875.1_ASM9087v1</t>
  </si>
  <si>
    <t>GCA_000090945.1</t>
  </si>
  <si>
    <t>HMT-386</t>
  </si>
  <si>
    <t>Anaerosphaera</t>
  </si>
  <si>
    <t>mikwangii</t>
  </si>
  <si>
    <t>F0131</t>
  </si>
  <si>
    <t>https://ftp.ncbi.nlm.nih.gov/genomes/all/GCA/000/090/945/GCA_000090945.1_ASM9094v1</t>
  </si>
  <si>
    <t>GCA_000091085.2</t>
  </si>
  <si>
    <t>AR39</t>
  </si>
  <si>
    <t>https://ftp.ncbi.nlm.nih.gov/genomes/all/GCA/000/091/085/GCA_000091085.2_ASM9108v2</t>
  </si>
  <si>
    <t>GCA_000091645.1</t>
  </si>
  <si>
    <t>NN2025</t>
  </si>
  <si>
    <t>https://ftp.ncbi.nlm.nih.gov/genomes/all/GCA/000/091/645/GCA_000091645.1_ASM9164v1</t>
  </si>
  <si>
    <t>GCA_000092265.1</t>
  </si>
  <si>
    <t>HMT-833</t>
  </si>
  <si>
    <t>Moraxella</t>
  </si>
  <si>
    <t>catarrhalis</t>
  </si>
  <si>
    <t>BBH18</t>
  </si>
  <si>
    <t>https://ftp.ncbi.nlm.nih.gov/genomes/all/GCA/000/092/265/GCA_000092265.1_ASM9226v1</t>
  </si>
  <si>
    <t>GCA_000092365.1</t>
  </si>
  <si>
    <t>HMT-811</t>
  </si>
  <si>
    <t>Arcanobacterium</t>
  </si>
  <si>
    <t>haemolyticum</t>
  </si>
  <si>
    <t>DSM 20595</t>
  </si>
  <si>
    <t>https://ftp.ncbi.nlm.nih.gov/genomes/all/GCA/000/092/365/GCA_000092365.1_ASM9236v1</t>
  </si>
  <si>
    <t>GCA_000142965.1</t>
  </si>
  <si>
    <t>HMT-311</t>
  </si>
  <si>
    <t>Segatella</t>
  </si>
  <si>
    <t>oris</t>
  </si>
  <si>
    <t>C735</t>
  </si>
  <si>
    <t>https://ftp.ncbi.nlm.nih.gov/genomes/all/GCA/000/142/965/GCA_000142965.1_ASM14296v1</t>
  </si>
  <si>
    <t>GCA_000143585.1</t>
  </si>
  <si>
    <t>HMT-587</t>
  </si>
  <si>
    <t>dentocariosa</t>
  </si>
  <si>
    <t>M567</t>
  </si>
  <si>
    <t>https://ftp.ncbi.nlm.nih.gov/genomes/all/GCA/000/143/585/GCA_000143585.1_ASM14358v1</t>
  </si>
  <si>
    <t>GCA_000143745.1</t>
  </si>
  <si>
    <t>HMT-861</t>
  </si>
  <si>
    <t>Lactiplantibacillus</t>
  </si>
  <si>
    <t>plantarum</t>
  </si>
  <si>
    <t>ATCC 14917</t>
  </si>
  <si>
    <t>https://ftp.ncbi.nlm.nih.gov/genomes/all/GCA/000/143/745/GCA_000143745.1_ASM14374v1</t>
  </si>
  <si>
    <t>GCA_000143845.1</t>
  </si>
  <si>
    <t>HMT-038</t>
  </si>
  <si>
    <t>Olsenella</t>
  </si>
  <si>
    <t>uli</t>
  </si>
  <si>
    <t>DSM 7084</t>
  </si>
  <si>
    <t>https://ftp.ncbi.nlm.nih.gov/genomes/all/GCA/000/143/845/GCA_000143845.1_ASM14384v1</t>
  </si>
  <si>
    <t>GCA_000143945.1</t>
  </si>
  <si>
    <t>HMT-732</t>
  </si>
  <si>
    <t>FH</t>
  </si>
  <si>
    <t>https://ftp.ncbi.nlm.nih.gov/genomes/all/GCA/000/143/945/GCA_000143945.1_ASM14394v1</t>
  </si>
  <si>
    <t>GCA_000144085.1</t>
  </si>
  <si>
    <t>HMT-193</t>
  </si>
  <si>
    <t>modestum</t>
  </si>
  <si>
    <t>HL044PA1</t>
  </si>
  <si>
    <t>https://ftp.ncbi.nlm.nih.gov/genomes/all/GCA/000/144/085/GCA_000144085.1_ASM14408v1</t>
  </si>
  <si>
    <t>Prevotella</t>
  </si>
  <si>
    <t>melaninogenica</t>
  </si>
  <si>
    <t>ATCC 25845</t>
  </si>
  <si>
    <t>https://ftp.ncbi.nlm.nih.gov/genomes/all/GCA/000/144/405/GCA_000144405.1_ASM14440v1</t>
  </si>
  <si>
    <t>GCA_000144955.2</t>
  </si>
  <si>
    <t>JKD6159</t>
  </si>
  <si>
    <t>https://ftp.ncbi.nlm.nih.gov/genomes/all/GCA/000/144/955/GCA_000144955.2_ASM14495v2</t>
  </si>
  <si>
    <t>GCA_000145075.1</t>
  </si>
  <si>
    <t>HL037PA2</t>
  </si>
  <si>
    <t>https://ftp.ncbi.nlm.nih.gov/genomes/all/GCA/000/145/075/GCA_000145075.1_ASM14507v1</t>
  </si>
  <si>
    <t>GCA_000145315.2</t>
  </si>
  <si>
    <t>HMT-605</t>
  </si>
  <si>
    <t>Desulfovibrio</t>
  </si>
  <si>
    <t>fairfieldensis</t>
  </si>
  <si>
    <t>3_1_syn3</t>
  </si>
  <si>
    <t>https://ftp.ncbi.nlm.nih.gov/genomes/all/GCA/000/145/315/GCA_000145315.2_Desulfovibrio_sp3_1_syn3_V2</t>
  </si>
  <si>
    <t>GCA_000145415.1</t>
  </si>
  <si>
    <t>HL037PA3</t>
  </si>
  <si>
    <t>https://ftp.ncbi.nlm.nih.gov/genomes/all/GCA/000/145/415/GCA_000145415.1_ASM14541v1</t>
  </si>
  <si>
    <t>GCA_000145595.1</t>
  </si>
  <si>
    <t>JKD6008</t>
  </si>
  <si>
    <t>https://ftp.ncbi.nlm.nih.gov/genomes/all/GCA/000/145/595/GCA_000145595.1_ASM14559v1</t>
  </si>
  <si>
    <t>GCA_000146265.4</t>
  </si>
  <si>
    <t>HMT-531</t>
  </si>
  <si>
    <t>actinomycetemcomitans</t>
  </si>
  <si>
    <t>D11S-1</t>
  </si>
  <si>
    <t>https://ftp.ncbi.nlm.nih.gov/genomes/all/GCA/000/146/265/GCA_000146265.4_ASM14626v4</t>
  </si>
  <si>
    <t>GCA_000146365.1</t>
  </si>
  <si>
    <t>HMT-136</t>
  </si>
  <si>
    <t>Selenomonas</t>
  </si>
  <si>
    <t>felix</t>
  </si>
  <si>
    <t>67H29BP</t>
  </si>
  <si>
    <t>https://ftp.ncbi.nlm.nih.gov/genomes/all/GCA/000/146/365/GCA_000146365.1_ASM14636v1</t>
  </si>
  <si>
    <t>GCA_000146485.1</t>
  </si>
  <si>
    <t>HMT-019</t>
  </si>
  <si>
    <t>accolens</t>
  </si>
  <si>
    <t>ATCC 49726</t>
  </si>
  <si>
    <t>https://ftp.ncbi.nlm.nih.gov/genomes/all/GCA/000/146/485/GCA_000146485.1_ASM14648v1</t>
  </si>
  <si>
    <t>GCA_000146675.1</t>
  </si>
  <si>
    <t>HMT-665</t>
  </si>
  <si>
    <t>Hoylesella</t>
  </si>
  <si>
    <t>marshii</t>
  </si>
  <si>
    <t>DSM 16973</t>
  </si>
  <si>
    <t>https://ftp.ncbi.nlm.nih.gov/genomes/all/GCA/000/146/675/GCA_000146675.1_ASM14667v1</t>
  </si>
  <si>
    <t>GCA_000146755.1</t>
  </si>
  <si>
    <t>HMT-071</t>
  </si>
  <si>
    <t>oralis subsp. tigurinus</t>
  </si>
  <si>
    <t>73H25AP</t>
  </si>
  <si>
    <t>https://ftp.ncbi.nlm.nih.gov/genomes/all/GCA/000/146/755/GCA_000146755.1_ASM14675v1</t>
  </si>
  <si>
    <t>GCA_000146855.1</t>
  </si>
  <si>
    <t>HMT-796</t>
  </si>
  <si>
    <t>Peptoanaerobacter</t>
  </si>
  <si>
    <t>margaretiae</t>
  </si>
  <si>
    <t>ATCC 43715</t>
  </si>
  <si>
    <t>https://ftp.ncbi.nlm.nih.gov/genomes/all/GCA/000/146/855/GCA_000146855.1_ASM14685v1</t>
  </si>
  <si>
    <t>GCA_000146975.1</t>
  </si>
  <si>
    <t>AP200</t>
  </si>
  <si>
    <t>https://ftp.ncbi.nlm.nih.gov/genomes/all/GCA/000/146/975/GCA_000146975.1_ASM14697v1</t>
  </si>
  <si>
    <t>GCA_000147095.1</t>
  </si>
  <si>
    <t>670-6B</t>
  </si>
  <si>
    <t>https://ftp.ncbi.nlm.nih.gov/genomes/all/GCA/000/147/095/GCA_000147095.1_ASM14709v1</t>
  </si>
  <si>
    <t>GCA_000147675.2</t>
  </si>
  <si>
    <t>HMT-112</t>
  </si>
  <si>
    <t>Peptostreptococcus</t>
  </si>
  <si>
    <t>stomatis</t>
  </si>
  <si>
    <t>DSM 17678</t>
  </si>
  <si>
    <t>https://ftp.ncbi.nlm.nih.gov/genomes/all/GCA/000/147/675/GCA_000147675.2_ASM14767v1</t>
  </si>
  <si>
    <t>GCA_000148485.2</t>
  </si>
  <si>
    <t>HMT-830</t>
  </si>
  <si>
    <t>Mobiluncus</t>
  </si>
  <si>
    <t>mulieris</t>
  </si>
  <si>
    <t>FB024-16</t>
  </si>
  <si>
    <t>https://ftp.ncbi.nlm.nih.gov/genomes/all/GCA/000/148/485/GCA_000148485.2_ASM14848v1</t>
  </si>
  <si>
    <t>GCA_000148525.2</t>
  </si>
  <si>
    <t>SK564</t>
  </si>
  <si>
    <t>https://ftp.ncbi.nlm.nih.gov/genomes/all/GCA/000/148/525/GCA_000148525.2_ASM14852v1</t>
  </si>
  <si>
    <t>GCA_000148565.2</t>
  </si>
  <si>
    <t>HMT-707</t>
  </si>
  <si>
    <t>oralis subsp. oralis</t>
  </si>
  <si>
    <t>ATCC 35037</t>
  </si>
  <si>
    <t>https://ftp.ncbi.nlm.nih.gov/genomes/all/GCA/000/148/565/GCA_000148565.2_ASM14856v1</t>
  </si>
  <si>
    <t>GCA_000148585.3</t>
  </si>
  <si>
    <t>NCTC 12261</t>
  </si>
  <si>
    <t>https://ftp.ncbi.nlm.nih.gov/genomes/all/GCA/000/148/585/GCA_000148585.3_ASM14858v3</t>
  </si>
  <si>
    <t>GCA_000148625.1</t>
  </si>
  <si>
    <t>HMT-607</t>
  </si>
  <si>
    <t>Mycoplasmopsis</t>
  </si>
  <si>
    <t>fermentans</t>
  </si>
  <si>
    <t>JER</t>
  </si>
  <si>
    <t>https://ftp.ncbi.nlm.nih.gov/genomes/all/GCA/000/148/625/GCA_000148625.1_ASM14862v1</t>
  </si>
  <si>
    <t>GCA_000153625.1</t>
  </si>
  <si>
    <t>HMT-202</t>
  </si>
  <si>
    <t>polymorphum</t>
  </si>
  <si>
    <t>ATCC 10953</t>
  </si>
  <si>
    <t>https://ftp.ncbi.nlm.nih.gov/genomes/all/GCA/000/153/625/GCA_000153625.1_ASM15362v1</t>
  </si>
  <si>
    <t>GCA_000153685.2</t>
  </si>
  <si>
    <t>HMT-822</t>
  </si>
  <si>
    <t>tuberculosis</t>
  </si>
  <si>
    <t>Haarlem</t>
  </si>
  <si>
    <t>https://ftp.ncbi.nlm.nih.gov/genomes/all/GCA/000/153/685/GCA_000153685.2_ASM15368v2</t>
  </si>
  <si>
    <t>GCA_000154225.1</t>
  </si>
  <si>
    <t>HMT-710</t>
  </si>
  <si>
    <t>Schaalia</t>
  </si>
  <si>
    <t>dentiphila</t>
  </si>
  <si>
    <t>ATCC 17982</t>
  </si>
  <si>
    <t>https://ftp.ncbi.nlm.nih.gov/genomes/all/GCA/000/154/225/GCA_000154225.1_ASM15422v1</t>
  </si>
  <si>
    <t>GCA_000154385.1</t>
  </si>
  <si>
    <t>HMT-961</t>
  </si>
  <si>
    <t>Faecalibacterium</t>
  </si>
  <si>
    <t>prausnitzii</t>
  </si>
  <si>
    <t>M21/2</t>
  </si>
  <si>
    <t>https://ftp.ncbi.nlm.nih.gov/genomes/all/GCA/000/154/385/GCA_000154385.1_ASM15438v1</t>
  </si>
  <si>
    <t>GCA_000154405.1</t>
  </si>
  <si>
    <t>HMT-111</t>
  </si>
  <si>
    <t>Parvimonas</t>
  </si>
  <si>
    <t>micra</t>
  </si>
  <si>
    <t>ATCC 33270</t>
  </si>
  <si>
    <t>https://ftp.ncbi.nlm.nih.gov/genomes/all/GCA/000/154/405/GCA_000154405.1_ASM15440v1</t>
  </si>
  <si>
    <t>GCA_000154465.1</t>
  </si>
  <si>
    <t>HMT-965</t>
  </si>
  <si>
    <t>Alistipes</t>
  </si>
  <si>
    <t>putredinis</t>
  </si>
  <si>
    <t>DSM 17216</t>
  </si>
  <si>
    <t>https://ftp.ncbi.nlm.nih.gov/genomes/all/GCA/000/154/465/GCA_000154465.1_ASM15446v1</t>
  </si>
  <si>
    <t>Bacteroides</t>
  </si>
  <si>
    <t>stercoris</t>
  </si>
  <si>
    <t>ATCC 43183</t>
  </si>
  <si>
    <t>https://ftp.ncbi.nlm.nih.gov/genomes/all/GCA/000/154/525/GCA_000154525.1_ASM15452v1</t>
  </si>
  <si>
    <t>GCA_000155915.2</t>
  </si>
  <si>
    <t>HMT-839</t>
  </si>
  <si>
    <t>jensenii</t>
  </si>
  <si>
    <t>https://ftp.ncbi.nlm.nih.gov/genomes/all/GCA/000/155/915/GCA_000155915.2_Lacto_jensenii_1153_V2</t>
  </si>
  <si>
    <t>GCA_000155955.1</t>
  </si>
  <si>
    <t>HMT-684</t>
  </si>
  <si>
    <t>Mitsuokella</t>
  </si>
  <si>
    <t>multacida</t>
  </si>
  <si>
    <t>DSM 20544</t>
  </si>
  <si>
    <t>https://ftp.ncbi.nlm.nih.gov/genomes/all/GCA/000/155/955/GCA_000155955.1_ASM15595v1</t>
  </si>
  <si>
    <t>GCA_000156575.1</t>
  </si>
  <si>
    <t>HMT-859</t>
  </si>
  <si>
    <t>lactolyticus</t>
  </si>
  <si>
    <t>ATCC 51172</t>
  </si>
  <si>
    <t>https://ftp.ncbi.nlm.nih.gov/genomes/all/GCA/000/156/575/GCA_000156575.1_ASM15657v1</t>
  </si>
  <si>
    <t>GCA_000156615.2</t>
  </si>
  <si>
    <t>HMT-077</t>
  </si>
  <si>
    <t>tuberculostearicum</t>
  </si>
  <si>
    <t>ATCC 33035</t>
  </si>
  <si>
    <t>https://ftp.ncbi.nlm.nih.gov/genomes/all/GCA/000/156/615/GCA_000156615.2_ASM15661v2</t>
  </si>
  <si>
    <t>GCA_000157355.2</t>
  </si>
  <si>
    <t>HMT-801</t>
  </si>
  <si>
    <t>Enterococcus</t>
  </si>
  <si>
    <t>casseliflavus</t>
  </si>
  <si>
    <t>EC20</t>
  </si>
  <si>
    <t>https://ftp.ncbi.nlm.nih.gov/genomes/all/GCA/000/157/355/GCA_000157355.2_ASM15735v2</t>
  </si>
  <si>
    <t>GCA_000158015.1</t>
  </si>
  <si>
    <t>HMT-889</t>
  </si>
  <si>
    <t>breve</t>
  </si>
  <si>
    <t>DSM 20213</t>
  </si>
  <si>
    <t>https://ftp.ncbi.nlm.nih.gov/genomes/all/GCA/000/158/015/GCA_000158015.1_ASM15801v1</t>
  </si>
  <si>
    <t>GCA_000158215.3</t>
  </si>
  <si>
    <t>HMT-201</t>
  </si>
  <si>
    <t>periodonticum</t>
  </si>
  <si>
    <t>2_1_31</t>
  </si>
  <si>
    <t>https://ftp.ncbi.nlm.nih.gov/genomes/all/GCA/000/158/215/GCA_000158215.3_Fuso_sp_2_1_31_V3</t>
  </si>
  <si>
    <t>GCA_000158235.1</t>
  </si>
  <si>
    <t>HMT-860</t>
  </si>
  <si>
    <t>gonidiaformans</t>
  </si>
  <si>
    <t>3_1_5R</t>
  </si>
  <si>
    <t>https://ftp.ncbi.nlm.nih.gov/genomes/all/GCA/000/158/235/GCA_000158235.1_ASM15823v1</t>
  </si>
  <si>
    <t>GCA_000158255.2</t>
  </si>
  <si>
    <t>HMT-200</t>
  </si>
  <si>
    <t>vincentii</t>
  </si>
  <si>
    <t>4_1_13</t>
  </si>
  <si>
    <t>https://ftp.ncbi.nlm.nih.gov/genomes/all/GCA/000/158/255/GCA_000158255.2_Fuso_sp_4_1_13_V2</t>
  </si>
  <si>
    <t>GCA_000158275.2</t>
  </si>
  <si>
    <t>HMT-420</t>
  </si>
  <si>
    <t>animalis</t>
  </si>
  <si>
    <t>7_1</t>
  </si>
  <si>
    <t>https://ftp.ncbi.nlm.nih.gov/genomes/all/GCA/000/158/275/GCA_000158275.2_ASM15827v2</t>
  </si>
  <si>
    <t>GCA_000158295.2</t>
  </si>
  <si>
    <t>HMT-690</t>
  </si>
  <si>
    <t>necrophorum</t>
  </si>
  <si>
    <t>D12</t>
  </si>
  <si>
    <t>https://ftp.ncbi.nlm.nih.gov/genomes/all/GCA/000/158/295/GCA_000158295.2_Fuso_sp_D12_V2</t>
  </si>
  <si>
    <t>GCA_000158535.2</t>
  </si>
  <si>
    <t>D11</t>
  </si>
  <si>
    <t>https://ftp.ncbi.nlm.nih.gov/genomes/all/GCA/000/158/535/GCA_000158535.2_Fuso_nucl_D11_V2</t>
  </si>
  <si>
    <t>GCA_000158615.1</t>
  </si>
  <si>
    <t>Eikenella</t>
  </si>
  <si>
    <t>corrodens</t>
  </si>
  <si>
    <t>ATCC 23834</t>
  </si>
  <si>
    <t>https://ftp.ncbi.nlm.nih.gov/genomes/all/GCA/000/158/615/GCA_000158615.1_ASM15861v1</t>
  </si>
  <si>
    <t>GCA_000158635.1</t>
  </si>
  <si>
    <t>HMT-666</t>
  </si>
  <si>
    <t>matruchotii</t>
  </si>
  <si>
    <t>ATCC 33806</t>
  </si>
  <si>
    <t>https://ftp.ncbi.nlm.nih.gov/genomes/all/GCA/000/158/635/GCA_000158635.1_ASM15863v1</t>
  </si>
  <si>
    <t>GCA_000158835.2</t>
  </si>
  <si>
    <t>ATCC 25563</t>
  </si>
  <si>
    <t>https://ftp.ncbi.nlm.nih.gov/genomes/all/GCA/000/158/835/GCA_000158835.2_Fuso_gon_ATCC25563_V2</t>
  </si>
  <si>
    <t>GCA_000159095.1</t>
  </si>
  <si>
    <t>HMT-788</t>
  </si>
  <si>
    <t>tetradius</t>
  </si>
  <si>
    <t>ATCC 35098</t>
  </si>
  <si>
    <t>https://ftp.ncbi.nlm.nih.gov/genomes/all/GCA/000/159/095/GCA_000159095.1_ASM15909v1</t>
  </si>
  <si>
    <t>GCA_000159115.1</t>
  </si>
  <si>
    <t>ATCC 49725</t>
  </si>
  <si>
    <t>https://ftp.ncbi.nlm.nih.gov/genomes/all/GCA/000/159/115/GCA_000159115.1_ASM15911v1</t>
  </si>
  <si>
    <t>GCA_000159135.1</t>
  </si>
  <si>
    <t>HMT-072</t>
  </si>
  <si>
    <t>striatum</t>
  </si>
  <si>
    <t>ATCC 6940</t>
  </si>
  <si>
    <t>https://ftp.ncbi.nlm.nih.gov/genomes/all/GCA/000/159/135/GCA_000159135.1_ASM15913v1</t>
  </si>
  <si>
    <t>GCA_000159215.1</t>
  </si>
  <si>
    <t>HMT-608</t>
  </si>
  <si>
    <t>fermentum</t>
  </si>
  <si>
    <t>ATCC 14931</t>
  </si>
  <si>
    <t>https://ftp.ncbi.nlm.nih.gov/genomes/all/GCA/000/159/215/GCA_000159215.1_ASM15921v1</t>
  </si>
  <si>
    <t>GCA_000159235.2</t>
  </si>
  <si>
    <t>HMT-814</t>
  </si>
  <si>
    <t>Fannyhessea</t>
  </si>
  <si>
    <t>vaginae</t>
  </si>
  <si>
    <t>DSM 15829</t>
  </si>
  <si>
    <t>https://ftp.ncbi.nlm.nih.gov/genomes/all/GCA/000/159/235/GCA_000159235.2_ASM15923v2</t>
  </si>
  <si>
    <t>GCA_000159355.1</t>
  </si>
  <si>
    <t>ATCC 33200</t>
  </si>
  <si>
    <t>https://ftp.ncbi.nlm.nih.gov/genomes/all/GCA/000/159/355/GCA_000159355.1_ASM15935v1</t>
  </si>
  <si>
    <t>GCA_000159395.1</t>
  </si>
  <si>
    <t>ATCC 11741</t>
  </si>
  <si>
    <t>https://ftp.ncbi.nlm.nih.gov/genomes/all/GCA/000/159/395/GCA_000159395.1_ASM15939v1</t>
  </si>
  <si>
    <t>GCA_000159415.1</t>
  </si>
  <si>
    <t>HMT-461</t>
  </si>
  <si>
    <t>ultunensis</t>
  </si>
  <si>
    <t>DSM 16047</t>
  </si>
  <si>
    <t>https://ftp.ncbi.nlm.nih.gov/genomes/all/GCA/000/159/415/GCA_000159415.1_ASM15941v1</t>
  </si>
  <si>
    <t>GCA_000159435.1</t>
  </si>
  <si>
    <t>HMT-051</t>
  </si>
  <si>
    <t>vaginalis</t>
  </si>
  <si>
    <t>ATCC 49540</t>
  </si>
  <si>
    <t>https://ftp.ncbi.nlm.nih.gov/genomes/all/GCA/000/159/435/GCA_000159435.1_ASM15943v1</t>
  </si>
  <si>
    <t>GCA_000159495.1</t>
  </si>
  <si>
    <t>HMT-716</t>
  </si>
  <si>
    <t>paracasei</t>
  </si>
  <si>
    <t>ATCC 25302</t>
  </si>
  <si>
    <t>https://ftp.ncbi.nlm.nih.gov/genomes/all/GCA/000/159/495/GCA_000159495.1_ASM15949v1</t>
  </si>
  <si>
    <t>GCA_000159535.2</t>
  </si>
  <si>
    <t>TCH60</t>
  </si>
  <si>
    <t>https://ftp.ncbi.nlm.nih.gov/genomes/all/GCA/000/159/535/GCA_000159535.2_ASM15953v2</t>
  </si>
  <si>
    <t>GCA_000159695.1</t>
  </si>
  <si>
    <t>ATCC 53516</t>
  </si>
  <si>
    <t>https://ftp.ncbi.nlm.nih.gov/genomes/all/GCA/000/159/695/GCA_000159695.1_ASM15969v1</t>
  </si>
  <si>
    <t>Paenibacillus</t>
  </si>
  <si>
    <t>phoenicis</t>
  </si>
  <si>
    <t>D14</t>
  </si>
  <si>
    <t>https://ftp.ncbi.nlm.nih.gov/genomes/all/GCA/000/159/955/GCA_000159955.1_ASM15995v1</t>
  </si>
  <si>
    <t>GCA_000159995.1</t>
  </si>
  <si>
    <t>HMT-466</t>
  </si>
  <si>
    <t>Alloprevotella</t>
  </si>
  <si>
    <t>tannerae</t>
  </si>
  <si>
    <t>ATCC 51259</t>
  </si>
  <si>
    <t>https://ftp.ncbi.nlm.nih.gov/genomes/all/GCA/000/159/995/GCA_000159995.1_ASM15999v1</t>
  </si>
  <si>
    <t>GCA_000160015.1</t>
  </si>
  <si>
    <t>HMT-160</t>
  </si>
  <si>
    <t>dispar</t>
  </si>
  <si>
    <t>ATCC 17748</t>
  </si>
  <si>
    <t>https://ftp.ncbi.nlm.nih.gov/genomes/all/GCA/000/160/015/GCA_000160015.1_ASM16001v1</t>
  </si>
  <si>
    <t>GCA_000160035.2</t>
  </si>
  <si>
    <t>HMT-165</t>
  </si>
  <si>
    <t>Catonella</t>
  </si>
  <si>
    <t>morbi</t>
  </si>
  <si>
    <t>ATCC 51271</t>
  </si>
  <si>
    <t>https://ftp.ncbi.nlm.nih.gov/genomes/all/GCA/000/160/035/GCA_000160035.2_ASM16003v2</t>
  </si>
  <si>
    <t>GCA_000160055.1</t>
  </si>
  <si>
    <t>HMT-118</t>
  </si>
  <si>
    <t>Dialister</t>
  </si>
  <si>
    <t>invisus</t>
  </si>
  <si>
    <t>DSM 15470</t>
  </si>
  <si>
    <t>https://ftp.ncbi.nlm.nih.gov/genomes/all/GCA/000/160/055/GCA_000160055.1_ASM16005v1</t>
  </si>
  <si>
    <t>GCA_000160075.2</t>
  </si>
  <si>
    <t>HMT-389</t>
  </si>
  <si>
    <t>Abiotrophia</t>
  </si>
  <si>
    <t>defectiva</t>
  </si>
  <si>
    <t>ATCC 49176</t>
  </si>
  <si>
    <t>https://ftp.ncbi.nlm.nih.gov/genomes/all/GCA/000/160/075/GCA_000160075.2_ASM16007v2</t>
  </si>
  <si>
    <t>GCA_000160115.1</t>
  </si>
  <si>
    <t>HMT-095</t>
  </si>
  <si>
    <t>Shuttleworthia</t>
  </si>
  <si>
    <t>satelles</t>
  </si>
  <si>
    <t>DSM 14600</t>
  </si>
  <si>
    <t>https://ftp.ncbi.nlm.nih.gov/genomes/all/GCA/000/160/115/GCA_000160115.1_ASM16011v1</t>
  </si>
  <si>
    <t>GCA_000160135.1</t>
  </si>
  <si>
    <t>HMT-078</t>
  </si>
  <si>
    <t>Oribacterium</t>
  </si>
  <si>
    <t>sp. HMT-078</t>
  </si>
  <si>
    <t>F0262</t>
  </si>
  <si>
    <t>https://ftp.ncbi.nlm.nih.gov/genomes/all/GCA/000/160/135/GCA_000160135.1_ASM16013v1</t>
  </si>
  <si>
    <t>GCA_000160195.1</t>
  </si>
  <si>
    <t>MN8</t>
  </si>
  <si>
    <t>https://ftp.ncbi.nlm.nih.gov/genomes/all/GCA/000/160/195/GCA_000160195.1_ASM16019v1</t>
  </si>
  <si>
    <t>GCA_000160215.1</t>
  </si>
  <si>
    <t>HMT-567</t>
  </si>
  <si>
    <t>caprae</t>
  </si>
  <si>
    <t>M23864:W1</t>
  </si>
  <si>
    <t>https://ftp.ncbi.nlm.nih.gov/genomes/all/GCA/000/160/215/GCA_000160215.1_ASM16021v1</t>
  </si>
  <si>
    <t>GCA_000160335.2</t>
  </si>
  <si>
    <t>55/2053</t>
  </si>
  <si>
    <t>https://ftp.ncbi.nlm.nih.gov/genomes/all/GCA/000/160/335/GCA_000160335.2_ASM16033v2</t>
  </si>
  <si>
    <t>GCA_000160435.1</t>
  </si>
  <si>
    <t>HMT-706</t>
  </si>
  <si>
    <t>Kingella</t>
  </si>
  <si>
    <t>ATCC 51147</t>
  </si>
  <si>
    <t>https://ftp.ncbi.nlm.nih.gov/genomes/all/GCA/000/160/435/GCA_000160435.1_ASM16043v1</t>
  </si>
  <si>
    <t>GCA_000160475.1</t>
  </si>
  <si>
    <t>ATCC 33693</t>
  </si>
  <si>
    <t>https://ftp.ncbi.nlm.nih.gov/genomes/all/GCA/000/160/475/GCA_000160475.1_ASM16047v1</t>
  </si>
  <si>
    <t>GCA_000160495.1</t>
  </si>
  <si>
    <t>HMT-151</t>
  </si>
  <si>
    <t>sputigena</t>
  </si>
  <si>
    <t>ATCC 35185</t>
  </si>
  <si>
    <t>https://ftp.ncbi.nlm.nih.gov/genomes/all/GCA/000/160/495/GCA_000160495.1_ASM16049v1</t>
  </si>
  <si>
    <t>GCA_000160555.1</t>
  </si>
  <si>
    <t>HMT-130</t>
  </si>
  <si>
    <t>noxia</t>
  </si>
  <si>
    <t>ATCC 43541</t>
  </si>
  <si>
    <t>https://ftp.ncbi.nlm.nih.gov/genomes/all/GCA/000/160/555/GCA_000160555.1_ASM16055v1</t>
  </si>
  <si>
    <t>GCA_000160615.1</t>
  </si>
  <si>
    <t>ATCC 35243</t>
  </si>
  <si>
    <t>https://ftp.ncbi.nlm.nih.gov/genomes/all/GCA/000/160/615/GCA_000160615.1_ASM16061v1</t>
  </si>
  <si>
    <t>GCA_000160635.1</t>
  </si>
  <si>
    <t>HMT-457</t>
  </si>
  <si>
    <t>sinus</t>
  </si>
  <si>
    <t>F0268</t>
  </si>
  <si>
    <t>https://ftp.ncbi.nlm.nih.gov/genomes/all/GCA/000/160/635/GCA_000160635.1_ASM16063v1</t>
  </si>
  <si>
    <t>Cardiobacterium</t>
  </si>
  <si>
    <t>hominis</t>
  </si>
  <si>
    <t>ATCC 15826</t>
  </si>
  <si>
    <t>https://ftp.ncbi.nlm.nih.gov/genomes/all/GCA/000/160/655/GCA_000160655.1_ASM16065v1</t>
  </si>
  <si>
    <t>GCA_000160675.1</t>
  </si>
  <si>
    <t>HMT-534</t>
  </si>
  <si>
    <t>Granulicatella</t>
  </si>
  <si>
    <t>adiacens</t>
  </si>
  <si>
    <t>ATCC 49175</t>
  </si>
  <si>
    <t>https://ftp.ncbi.nlm.nih.gov/genomes/all/GCA/000/160/675/GCA_000160675.1_ASM16067v1</t>
  </si>
  <si>
    <t>GCA_000160695.1</t>
  </si>
  <si>
    <t>HMT-125</t>
  </si>
  <si>
    <t>flueggei</t>
  </si>
  <si>
    <t>ATCC 43531</t>
  </si>
  <si>
    <t>https://ftp.ncbi.nlm.nih.gov/genomes/all/GCA/000/160/695/GCA_000160695.1_ASM16069v1</t>
  </si>
  <si>
    <t>GCA_000160755.1</t>
  </si>
  <si>
    <t>HMT-676</t>
  </si>
  <si>
    <t>Proteus</t>
  </si>
  <si>
    <t>mirabilis</t>
  </si>
  <si>
    <t>ATCC 29906</t>
  </si>
  <si>
    <t>https://ftp.ncbi.nlm.nih.gov/genomes/all/GCA/000/160/755/GCA_000160755.1_ASM16075v1</t>
  </si>
  <si>
    <t>GCA_000160875.1</t>
  </si>
  <si>
    <t>HMT-838</t>
  </si>
  <si>
    <t>iners</t>
  </si>
  <si>
    <t>DSM 13335</t>
  </si>
  <si>
    <t>https://ftp.ncbi.nlm.nih.gov/genomes/all/GCA/000/160/875/GCA_000160875.1_ASM16087v1</t>
  </si>
  <si>
    <t>GCA_000161935.1</t>
  </si>
  <si>
    <t>HMT-816</t>
  </si>
  <si>
    <t>coleohominis</t>
  </si>
  <si>
    <t>101-4-CHN</t>
  </si>
  <si>
    <t>https://ftp.ncbi.nlm.nih.gov/genomes/all/GCA/000/161/935/GCA_000161935.1_ASM16193v1</t>
  </si>
  <si>
    <t>GCA_000161955.2</t>
  </si>
  <si>
    <t>2_1_36FAA</t>
  </si>
  <si>
    <t>https://ftp.ncbi.nlm.nih.gov/genomes/all/GCA/000/161/955/GCA_000161955.2_Strept_sp_2_1_36FAA_V2</t>
  </si>
  <si>
    <t>GCA_000161975.1</t>
  </si>
  <si>
    <t>HMT-759</t>
  </si>
  <si>
    <t>Anaerovoracaceae [G5]</t>
  </si>
  <si>
    <t>saphenum</t>
  </si>
  <si>
    <t>ATCC 49989</t>
  </si>
  <si>
    <t>https://ftp.ncbi.nlm.nih.gov/genomes/all/GCA/000/161/975/GCA_000161975.1_ASM16197v1</t>
  </si>
  <si>
    <t>GCA_000161995.1</t>
  </si>
  <si>
    <t>HMT-777</t>
  </si>
  <si>
    <t>Jonquetella</t>
  </si>
  <si>
    <t>E3_33 E1</t>
  </si>
  <si>
    <t>https://ftp.ncbi.nlm.nih.gov/genomes/all/GCA/000/161/995/GCA_000161995.1_ASM16199v1</t>
  </si>
  <si>
    <t>GCA_000162235.2</t>
  </si>
  <si>
    <t>3_1_36A2</t>
  </si>
  <si>
    <t>https://ftp.ncbi.nlm.nih.gov/genomes/all/GCA/000/162/235/GCA_000162235.2_ASM16223v2</t>
  </si>
  <si>
    <t>GCA_000162295.1</t>
  </si>
  <si>
    <t>HMT-554</t>
  </si>
  <si>
    <t>Acinetobacter</t>
  </si>
  <si>
    <t>baumannii</t>
  </si>
  <si>
    <t>ATCC 19606</t>
  </si>
  <si>
    <t>https://ftp.ncbi.nlm.nih.gov/genomes/all/GCA/000/162/295/GCA_000162295.1_ASM16229v1</t>
  </si>
  <si>
    <t>GCA_000162355.2</t>
  </si>
  <si>
    <t>3_1_33</t>
  </si>
  <si>
    <t>https://ftp.ncbi.nlm.nih.gov/genomes/all/GCA/000/162/355/GCA_000162355.2_Fuso_sp_3_1_33_V2</t>
  </si>
  <si>
    <t>GCA_000162415.1</t>
  </si>
  <si>
    <t>HMT-317</t>
  </si>
  <si>
    <t>sp. HMT-317</t>
  </si>
  <si>
    <t>F0108</t>
  </si>
  <si>
    <t>https://ftp.ncbi.nlm.nih.gov/genomes/all/GCA/000/162/415/GCA_000162415.1_ASM16241v1</t>
  </si>
  <si>
    <t>buccae</t>
  </si>
  <si>
    <t>D17</t>
  </si>
  <si>
    <t>https://ftp.ncbi.nlm.nih.gov/genomes/all/GCA/000/162/455/GCA_000162455.1_ASM16245v1</t>
  </si>
  <si>
    <t>GCA_000162475.2</t>
  </si>
  <si>
    <t>HMT-596</t>
  </si>
  <si>
    <t>elegans</t>
  </si>
  <si>
    <t>ATCC 700633</t>
  </si>
  <si>
    <t>https://ftp.ncbi.nlm.nih.gov/genomes/all/GCA/000/162/475/GCA_000162475.2_Gran_ele_ATCC_700633_V2</t>
  </si>
  <si>
    <t>GCA_000162495.1</t>
  </si>
  <si>
    <t>HMT-398</t>
  </si>
  <si>
    <t>oralis subsp. dentisani</t>
  </si>
  <si>
    <t>M143</t>
  </si>
  <si>
    <t>https://ftp.ncbi.nlm.nih.gov/genomes/all/GCA/000/162/495/GCA_000162495.1_ASM16249v1</t>
  </si>
  <si>
    <t>GCA_000162875.1</t>
  </si>
  <si>
    <t>HMT-602</t>
  </si>
  <si>
    <t>Slackia</t>
  </si>
  <si>
    <t>exigua</t>
  </si>
  <si>
    <t>ATCC 700122</t>
  </si>
  <si>
    <t>https://ftp.ncbi.nlm.nih.gov/genomes/all/GCA/000/162/875/GCA_000162875.1_ASM16287v1</t>
  </si>
  <si>
    <t>Peptidiphaga</t>
  </si>
  <si>
    <t>gingivicola</t>
  </si>
  <si>
    <t>F0332</t>
  </si>
  <si>
    <t>https://ftp.ncbi.nlm.nih.gov/genomes/all/GCA/000/162/895/GCA_000162895.1_ASM16289v1</t>
  </si>
  <si>
    <t>GCA_000162915.1</t>
  </si>
  <si>
    <t>F0302</t>
  </si>
  <si>
    <t>https://ftp.ncbi.nlm.nih.gov/genomes/all/GCA/000/162/915/GCA_000162915.1_ASM16291v1</t>
  </si>
  <si>
    <t>veroralis</t>
  </si>
  <si>
    <t>F0319</t>
  </si>
  <si>
    <t>https://ftp.ncbi.nlm.nih.gov/genomes/all/GCA/000/162/935/GCA_000162935.1_ASM16293v1</t>
  </si>
  <si>
    <t>hofstadii</t>
  </si>
  <si>
    <t>F0254</t>
  </si>
  <si>
    <t>https://ftp.ncbi.nlm.nih.gov/genomes/all/GCA/000/162/955/GCA_000162955.1_ASM16295v1</t>
  </si>
  <si>
    <t>D18</t>
  </si>
  <si>
    <t>https://ftp.ncbi.nlm.nih.gov/genomes/all/GCA/000/163/035/GCA_000163035.1_ASM16303v1</t>
  </si>
  <si>
    <t>GCA_000163055.2</t>
  </si>
  <si>
    <t>HMT-299</t>
  </si>
  <si>
    <t>nanceiensis</t>
  </si>
  <si>
    <t>F0039</t>
  </si>
  <si>
    <t>https://ftp.ncbi.nlm.nih.gov/genomes/all/GCA/000/163/055/GCA_000163055.2_ASM16305v2</t>
  </si>
  <si>
    <t>GCA_000163415.1</t>
  </si>
  <si>
    <t>F0309</t>
  </si>
  <si>
    <t>https://ftp.ncbi.nlm.nih.gov/genomes/all/GCA/000/163/415/GCA_000163415.1_ASM16341v1</t>
  </si>
  <si>
    <t>GCA_000163435.1</t>
  </si>
  <si>
    <t>ATCC 43734</t>
  </si>
  <si>
    <t>https://ftp.ncbi.nlm.nih.gov/genomes/all/GCA/000/163/435/GCA_000163435.1_ASM16343v1</t>
  </si>
  <si>
    <t>loescheii</t>
  </si>
  <si>
    <t>F0295</t>
  </si>
  <si>
    <t>https://ftp.ncbi.nlm.nih.gov/genomes/all/GCA/000/163/495/GCA_000163495.1_ASM16349v1</t>
  </si>
  <si>
    <t>GCA_000163615.3</t>
  </si>
  <si>
    <t>D7S-1</t>
  </si>
  <si>
    <t>https://ftp.ncbi.nlm.nih.gov/genomes/all/GCA/000/163/615/GCA_000163615.3_ASM16361v3</t>
  </si>
  <si>
    <t>Paludibacteraceae [G1]</t>
  </si>
  <si>
    <t>bacterium HMT-274</t>
  </si>
  <si>
    <t>F0058</t>
  </si>
  <si>
    <t>https://ftp.ncbi.nlm.nih.gov/genomes/all/GCA/000/163/695/GCA_000163695.1_ASM16369v1</t>
  </si>
  <si>
    <t>GCA_000163715.1</t>
  </si>
  <si>
    <t>3_1_44</t>
  </si>
  <si>
    <t>https://ftp.ncbi.nlm.nih.gov/genomes/all/GCA/000/163/715/GCA_000163715.1_ASM16371v1</t>
  </si>
  <si>
    <t>GCA_000163735.1</t>
  </si>
  <si>
    <t>6_1_27</t>
  </si>
  <si>
    <t>https://ftp.ncbi.nlm.nih.gov/genomes/all/GCA/000/163/735/GCA_000163735.1_ASM16373v1</t>
  </si>
  <si>
    <t>GCA_000163755.1</t>
  </si>
  <si>
    <t>HMT-642</t>
  </si>
  <si>
    <t>Scardovia</t>
  </si>
  <si>
    <t>inopinata</t>
  </si>
  <si>
    <t>F0304</t>
  </si>
  <si>
    <t>https://ftp.ncbi.nlm.nih.gov/genomes/all/GCA/000/163/755/GCA_000163755.1_ASM16375v1</t>
  </si>
  <si>
    <t>GCA_000163775.2</t>
  </si>
  <si>
    <t>HMT-683</t>
  </si>
  <si>
    <t>Simonsiella</t>
  </si>
  <si>
    <t>muelleri</t>
  </si>
  <si>
    <t>ATCC 29453</t>
  </si>
  <si>
    <t>https://ftp.ncbi.nlm.nih.gov/genomes/all/GCA/000/163/775/GCA_000163775.2_Simo_muel_ATCC_29453_V2</t>
  </si>
  <si>
    <t>GCA_000163835.1</t>
  </si>
  <si>
    <t>HMT-586</t>
  </si>
  <si>
    <t>Parascardovia</t>
  </si>
  <si>
    <t>denticolens</t>
  </si>
  <si>
    <t>F0305</t>
  </si>
  <si>
    <t>https://ftp.ncbi.nlm.nih.gov/genomes/all/GCA/000/163/835/GCA_000163835.1_Paras_denticolens_F0305</t>
  </si>
  <si>
    <t>GCA_000163895.2</t>
  </si>
  <si>
    <t>HMT-539</t>
  </si>
  <si>
    <t>Filifactor</t>
  </si>
  <si>
    <t>alocis</t>
  </si>
  <si>
    <t>ATCC 35896</t>
  </si>
  <si>
    <t>https://ftp.ncbi.nlm.nih.gov/genomes/all/GCA/000/163/895/GCA_000163895.2_ASM16389v2</t>
  </si>
  <si>
    <t>GCA_000163915.2</t>
  </si>
  <si>
    <t>3_1_27</t>
  </si>
  <si>
    <t>https://ftp.ncbi.nlm.nih.gov/genomes/all/GCA/000/163/915/GCA_000163915.2_ASM16391v2</t>
  </si>
  <si>
    <t>GCA_000163935.1</t>
  </si>
  <si>
    <t>1_1_41FAA</t>
  </si>
  <si>
    <t>https://ftp.ncbi.nlm.nih.gov/genomes/all/GCA/000/163/935/GCA_000163935.1_ASM16393v1</t>
  </si>
  <si>
    <t>GCA_000164095.1</t>
  </si>
  <si>
    <t>https://ftp.ncbi.nlm.nih.gov/genomes/all/GCA/000/164/095/GCA_000164095.1_ASM16409v1</t>
  </si>
  <si>
    <t>GCA_000164695.2</t>
  </si>
  <si>
    <t>ATCC 17931</t>
  </si>
  <si>
    <t>https://ftp.ncbi.nlm.nih.gov/genomes/all/GCA/000/164/695/GCA_000164695.2_ASM16469v2</t>
  </si>
  <si>
    <t>GCA_000165525.1</t>
  </si>
  <si>
    <t>R2866</t>
  </si>
  <si>
    <t>https://ftp.ncbi.nlm.nih.gov/genomes/all/GCA/000/165/525/GCA_000165525.1_ASM16552v1</t>
  </si>
  <si>
    <t>GCA_000165575.1</t>
  </si>
  <si>
    <t>R2846</t>
  </si>
  <si>
    <t>https://ftp.ncbi.nlm.nih.gov/genomes/all/GCA/000/165/575/GCA_000165575.1_ASM16557v1</t>
  </si>
  <si>
    <t>GCA_000165735.1</t>
  </si>
  <si>
    <t>HMT-122</t>
  </si>
  <si>
    <t>Megasphaera</t>
  </si>
  <si>
    <t>micronuciformis</t>
  </si>
  <si>
    <t>F0359</t>
  </si>
  <si>
    <t>https://ftp.ncbi.nlm.nih.gov/genomes/all/GCA/000/165/735/GCA_000165735.1_ASM16573v1</t>
  </si>
  <si>
    <t>GCA_000165835.1</t>
  </si>
  <si>
    <t>HMT-343</t>
  </si>
  <si>
    <t>Achromobacter</t>
  </si>
  <si>
    <t>xylosoxidans</t>
  </si>
  <si>
    <t>A8</t>
  </si>
  <si>
    <t>https://ftp.ncbi.nlm.nih.gov/genomes/all/GCA/000/165/835/GCA_000165835.1_ASM16583v1</t>
  </si>
  <si>
    <t>GCA_000167275.1</t>
  </si>
  <si>
    <t>HMT-824</t>
  </si>
  <si>
    <t>anthracis</t>
  </si>
  <si>
    <t>Vollum</t>
  </si>
  <si>
    <t>https://ftp.ncbi.nlm.nih.gov/genomes/all/GCA/000/167/275/GCA_000167275.1_ASM16727v1</t>
  </si>
  <si>
    <t>GCA_000172135.1</t>
  </si>
  <si>
    <t>ATCC 27678</t>
  </si>
  <si>
    <t>https://ftp.ncbi.nlm.nih.gov/genomes/all/GCA/000/172/135/GCA_000172135.1_ASM17213v1</t>
  </si>
  <si>
    <t>GCA_000173655.1</t>
  </si>
  <si>
    <t>HMT-031</t>
  </si>
  <si>
    <t>amycolatum</t>
  </si>
  <si>
    <t>SK46</t>
  </si>
  <si>
    <t>https://ftp.ncbi.nlm.nih.gov/genomes/all/GCA/000/173/655/GCA_000173655.1_ASM17365v1</t>
  </si>
  <si>
    <t>Capno</t>
  </si>
  <si>
    <t>https://ftp.ncbi.nlm.nih.gov/genomes/all/GCA/000/173/675/GCA_000173675.1_ASM17367v1</t>
  </si>
  <si>
    <t>GCA_000173875.1</t>
  </si>
  <si>
    <t>HMT-682</t>
  </si>
  <si>
    <t>mucosa</t>
  </si>
  <si>
    <t>ATCC 25996</t>
  </si>
  <si>
    <t>https://ftp.ncbi.nlm.nih.gov/genomes/all/GCA/000/173/875/GCA_000173875.1_ASM17387v1</t>
  </si>
  <si>
    <t>GCA_000173895.1</t>
  </si>
  <si>
    <t>HMT-956</t>
  </si>
  <si>
    <t>cinerea</t>
  </si>
  <si>
    <t>ATCC 14685</t>
  </si>
  <si>
    <t>https://ftp.ncbi.nlm.nih.gov/genomes/all/GCA/000/173/895/GCA_000173895.1_ASM17389v1</t>
  </si>
  <si>
    <t>GCA_000173915.1</t>
  </si>
  <si>
    <t>HMT-626</t>
  </si>
  <si>
    <t>Gemella</t>
  </si>
  <si>
    <t>haemolysans clade-626</t>
  </si>
  <si>
    <t>ATCC 10379</t>
  </si>
  <si>
    <t>https://ftp.ncbi.nlm.nih.gov/genomes/all/GCA/000/173/915/GCA_000173915.1_ASM17391v1</t>
  </si>
  <si>
    <t>GCA_000173935.1</t>
  </si>
  <si>
    <t>HMT-610</t>
  </si>
  <si>
    <t>flavescens</t>
  </si>
  <si>
    <t>NRL30031/H210</t>
  </si>
  <si>
    <t>https://ftp.ncbi.nlm.nih.gov/genomes/all/GCA/000/173/935/GCA_000173935.1_ASM17393v1</t>
  </si>
  <si>
    <t>GCA_000173955.1</t>
  </si>
  <si>
    <t>HMT-101</t>
  </si>
  <si>
    <t>perflava</t>
  </si>
  <si>
    <t>NJ9703</t>
  </si>
  <si>
    <t>https://ftp.ncbi.nlm.nih.gov/genomes/all/GCA/000/173/955/GCA_000173955.1_ASM17395v1</t>
  </si>
  <si>
    <t>GCA_000173995.1</t>
  </si>
  <si>
    <t>HMT-649</t>
  </si>
  <si>
    <t>lactamica</t>
  </si>
  <si>
    <t>ATCC 23970</t>
  </si>
  <si>
    <t>https://ftp.ncbi.nlm.nih.gov/genomes/all/GCA/000/173/995/GCA_000173995.1_ASM17399v1</t>
  </si>
  <si>
    <t>GCA_000174015.1</t>
  </si>
  <si>
    <t>HMT-750</t>
  </si>
  <si>
    <t>rimae</t>
  </si>
  <si>
    <t>ATCC 49626</t>
  </si>
  <si>
    <t>https://ftp.ncbi.nlm.nih.gov/genomes/all/GCA/000/174/015/GCA_000174015.1_ASM17401v1</t>
  </si>
  <si>
    <t>GCA_000174135.1</t>
  </si>
  <si>
    <t>HMT-116</t>
  </si>
  <si>
    <t>capitis</t>
  </si>
  <si>
    <t>SK14</t>
  </si>
  <si>
    <t>https://ftp.ncbi.nlm.nih.gov/genomes/all/GCA/000/174/135/GCA_000174135.1_ASM17413v1</t>
  </si>
  <si>
    <t>GCA_000174175.1</t>
  </si>
  <si>
    <t>HMT-748</t>
  </si>
  <si>
    <t>rectus</t>
  </si>
  <si>
    <t>RM3267</t>
  </si>
  <si>
    <t>https://ftp.ncbi.nlm.nih.gov/genomes/all/GCA/000/174/175/GCA_000174175.1_ASM17417v1</t>
  </si>
  <si>
    <t>GCA_000174655.1</t>
  </si>
  <si>
    <t>HMT-764</t>
  </si>
  <si>
    <t>sicca</t>
  </si>
  <si>
    <t>ATCC 29256</t>
  </si>
  <si>
    <t>https://ftp.ncbi.nlm.nih.gov/genomes/all/GCA/000/174/655/GCA_000174655.1_ASM17465v1</t>
  </si>
  <si>
    <t>GCA_000174695.1</t>
  </si>
  <si>
    <t>ATCC 700975</t>
  </si>
  <si>
    <t>https://ftp.ncbi.nlm.nih.gov/genomes/all/GCA/000/174/695/GCA_000174695.1_ASM17469v1</t>
  </si>
  <si>
    <t>ATCC 33624</t>
  </si>
  <si>
    <t>https://ftp.ncbi.nlm.nih.gov/genomes/all/GCA/000/174/755/GCA_000174755.1_ASM17475v1</t>
  </si>
  <si>
    <t>GCA_000174775.1</t>
  </si>
  <si>
    <t>HMT-785</t>
  </si>
  <si>
    <t>uenonis</t>
  </si>
  <si>
    <t>60-3</t>
  </si>
  <si>
    <t>https://ftp.ncbi.nlm.nih.gov/genomes/all/GCA/000/174/775/GCA_000174775.1_ASM17477v1</t>
  </si>
  <si>
    <t>GCA_000174815.1</t>
  </si>
  <si>
    <t>HMT-273</t>
  </si>
  <si>
    <t>endodontalis</t>
  </si>
  <si>
    <t>ATCC 35406</t>
  </si>
  <si>
    <t>https://ftp.ncbi.nlm.nih.gov/genomes/all/GCA/000/174/815/GCA_000174815.1_ASM17481v1</t>
  </si>
  <si>
    <t>GCA_000175275.1</t>
  </si>
  <si>
    <t>HMT-476</t>
  </si>
  <si>
    <t>subflava</t>
  </si>
  <si>
    <t>SK114</t>
  </si>
  <si>
    <t>https://ftp.ncbi.nlm.nih.gov/genomes/all/GCA/000/175/275/GCA_000175275.1_ASM17527v1</t>
  </si>
  <si>
    <t>GCA_000175315.3</t>
  </si>
  <si>
    <t>Actinomyces</t>
  </si>
  <si>
    <t>oris clade-893</t>
  </si>
  <si>
    <t>C505</t>
  </si>
  <si>
    <t>https://ftp.ncbi.nlm.nih.gov/genomes/all/GCA/000/175/315/GCA_000175315.3_Acti_vis_C505_V3</t>
  </si>
  <si>
    <t>GCA_000175375.1</t>
  </si>
  <si>
    <t>ATCC 14266</t>
  </si>
  <si>
    <t>https://ftp.ncbi.nlm.nih.gov/genomes/all/GCA/000/175/375/GCA_000175375.1_ASM17537v1</t>
  </si>
  <si>
    <t>GCA_000175415.3</t>
  </si>
  <si>
    <t>HMT-229</t>
  </si>
  <si>
    <t>Arthrospira</t>
  </si>
  <si>
    <t>platensis</t>
  </si>
  <si>
    <t>Paraca</t>
  </si>
  <si>
    <t>https://ftp.ncbi.nlm.nih.gov/genomes/all/GCA/000/175/415/GCA_000175415.3_ASM17541v3</t>
  </si>
  <si>
    <t>GCA_000175615.1</t>
  </si>
  <si>
    <t>ATCC 25296</t>
  </si>
  <si>
    <t>https://ftp.ncbi.nlm.nih.gov/genomes/all/GCA/000/175/615/GCA_000175615.1_ASM17561v1</t>
  </si>
  <si>
    <t>GCA_000175635.1</t>
  </si>
  <si>
    <t>SK141</t>
  </si>
  <si>
    <t>https://ftp.ncbi.nlm.nih.gov/genomes/all/GCA/000/175/635/GCA_000175635.1_ASM17563v1</t>
  </si>
  <si>
    <t>GCA_000175655.1</t>
  </si>
  <si>
    <t>HMT-763</t>
  </si>
  <si>
    <t>showae</t>
  </si>
  <si>
    <t>RM3277</t>
  </si>
  <si>
    <t>https://ftp.ncbi.nlm.nih.gov/genomes/all/GCA/000/175/655/GCA_000175655.1_ASM17565v1</t>
  </si>
  <si>
    <t>GCA_000175875.1</t>
  </si>
  <si>
    <t>HMT-623</t>
  </si>
  <si>
    <t>gracilis</t>
  </si>
  <si>
    <t>RM3268</t>
  </si>
  <si>
    <t>https://ftp.ncbi.nlm.nih.gov/genomes/all/GCA/000/175/875/GCA_000175875.1_ASM17587v1</t>
  </si>
  <si>
    <t>GCA_000175895.1</t>
  </si>
  <si>
    <t>HMT-029</t>
  </si>
  <si>
    <t>vincentii clade-029</t>
  </si>
  <si>
    <t>ATCC 35580</t>
  </si>
  <si>
    <t>https://ftp.ncbi.nlm.nih.gov/genomes/all/GCA/000/175/895/GCA_000175895.1_ASM17589v1</t>
  </si>
  <si>
    <t>Pseudoleptotrichia</t>
  </si>
  <si>
    <t>goodfellowii</t>
  </si>
  <si>
    <t>F0264</t>
  </si>
  <si>
    <t>https://ftp.ncbi.nlm.nih.gov/genomes/all/GCA/000/176/335/GCA_000176335.1_ASM17633v1</t>
  </si>
  <si>
    <t>GCA_000176735.1</t>
  </si>
  <si>
    <t>HMT-737</t>
  </si>
  <si>
    <t>polysaccharea</t>
  </si>
  <si>
    <t>ATCC 43768</t>
  </si>
  <si>
    <t>https://ftp.ncbi.nlm.nih.gov/genomes/all/GCA/000/176/735/GCA_000176735.1_ASM17673v1</t>
  </si>
  <si>
    <t>GCA_000176755.2</t>
  </si>
  <si>
    <t>HMT-598</t>
  </si>
  <si>
    <t>elongata</t>
  </si>
  <si>
    <t>ATCC 29315</t>
  </si>
  <si>
    <t>https://ftp.ncbi.nlm.nih.gov/genomes/all/GCA/000/176/755/GCA_000176755.2_ASM17675v1</t>
  </si>
  <si>
    <t>GCA_000176775.1</t>
  </si>
  <si>
    <t>28-1</t>
  </si>
  <si>
    <t>https://ftp.ncbi.nlm.nih.gov/genomes/all/GCA/000/176/775/GCA_000176775.1_ASM17677v1</t>
  </si>
  <si>
    <t>GCA_000176955.1</t>
  </si>
  <si>
    <t>HMT-836</t>
  </si>
  <si>
    <t>Peptoniphilus</t>
  </si>
  <si>
    <t>lacrimalis</t>
  </si>
  <si>
    <t>315-B</t>
  </si>
  <si>
    <t>https://ftp.ncbi.nlm.nih.gov/genomes/all/GCA/000/176/955/GCA_000176955.1_ASM17695v1</t>
  </si>
  <si>
    <t>GCA_000177075.1</t>
  </si>
  <si>
    <t>ATCC 35310</t>
  </si>
  <si>
    <t>https://ftp.ncbi.nlm.nih.gov/genomes/all/GCA/000/177/075/GCA_000177075.1_ASM17707v1</t>
  </si>
  <si>
    <t>GCA_000177315.1</t>
  </si>
  <si>
    <t>HMT-556</t>
  </si>
  <si>
    <t>bivia</t>
  </si>
  <si>
    <t>JCVIHMP010</t>
  </si>
  <si>
    <t>https://ftp.ncbi.nlm.nih.gov/genomes/all/GCA/000/177/315/GCA_000177315.1_ASM17731v1</t>
  </si>
  <si>
    <t>GCA_000177335.1</t>
  </si>
  <si>
    <t>HMT-357</t>
  </si>
  <si>
    <t>Pyramidobacter</t>
  </si>
  <si>
    <t>piscolens</t>
  </si>
  <si>
    <t>W5455</t>
  </si>
  <si>
    <t>https://ftp.ncbi.nlm.nih.gov/genomes/all/GCA/000/177/335/GCA_000177335.1_ASM17733v1</t>
  </si>
  <si>
    <t>GCA_000177355.1</t>
  </si>
  <si>
    <t>HMT-797</t>
  </si>
  <si>
    <t>amnii</t>
  </si>
  <si>
    <t>CRIS 21A-A</t>
  </si>
  <si>
    <t>https://ftp.ncbi.nlm.nih.gov/genomes/all/GCA/000/177/355/GCA_000177355.1_ASM17735v1</t>
  </si>
  <si>
    <t>GCA_000177375.1</t>
  </si>
  <si>
    <t>HMT-603</t>
  </si>
  <si>
    <t>Bulleidia</t>
  </si>
  <si>
    <t>extructa</t>
  </si>
  <si>
    <t>W1219</t>
  </si>
  <si>
    <t>https://ftp.ncbi.nlm.nih.gov/genomes/all/GCA/000/177/375/GCA_000177375.1_ASM17737v1</t>
  </si>
  <si>
    <t>GCA_000177435.1</t>
  </si>
  <si>
    <t>ATCC 17745</t>
  </si>
  <si>
    <t>https://ftp.ncbi.nlm.nih.gov/genomes/all/GCA/000/177/435/GCA_000177435.1_ASM17743v1</t>
  </si>
  <si>
    <t>GCA_000177555.1</t>
  </si>
  <si>
    <t>HMT-841</t>
  </si>
  <si>
    <t>lornae</t>
  </si>
  <si>
    <t>28L</t>
  </si>
  <si>
    <t>https://ftp.ncbi.nlm.nih.gov/genomes/all/GCA/000/177/555/GCA_000177555.1_ASM17755v1</t>
  </si>
  <si>
    <t>GCA_000178095.1</t>
  </si>
  <si>
    <t>HMT-542</t>
  </si>
  <si>
    <t>anaerobius</t>
  </si>
  <si>
    <t>653-L</t>
  </si>
  <si>
    <t>https://ftp.ncbi.nlm.nih.gov/genomes/all/GCA/000/178/095/GCA_000178095.1_ASM17809v1</t>
  </si>
  <si>
    <t>GCA_000178335.1</t>
  </si>
  <si>
    <t>https://ftp.ncbi.nlm.nih.gov/genomes/all/GCA/000/178/335/GCA_000178335.1_ASM17833v1</t>
  </si>
  <si>
    <t>GCA_000178355.1</t>
  </si>
  <si>
    <t>HMT-829</t>
  </si>
  <si>
    <t>ATCC 14018</t>
  </si>
  <si>
    <t>https://ftp.ncbi.nlm.nih.gov/genomes/all/GCA/000/178/355/GCA_000178355.1_ASM17835v1</t>
  </si>
  <si>
    <t>GCA_000178435.1</t>
  </si>
  <si>
    <t>HMT-312</t>
  </si>
  <si>
    <t>Aerococcus</t>
  </si>
  <si>
    <t>viridans</t>
  </si>
  <si>
    <t>ATCC 11563</t>
  </si>
  <si>
    <t>https://ftp.ncbi.nlm.nih.gov/genomes/all/GCA/000/178/435/GCA_000178435.1_ASM17843v1</t>
  </si>
  <si>
    <t>GCA_000178895.1</t>
  </si>
  <si>
    <t>ATCC 23726</t>
  </si>
  <si>
    <t>https://ftp.ncbi.nlm.nih.gov/genomes/all/GCA/000/178/895/GCA_000178895.1_ASM17889v1</t>
  </si>
  <si>
    <t>GCA_000179335.1</t>
  </si>
  <si>
    <t>F0141</t>
  </si>
  <si>
    <t>https://ftp.ncbi.nlm.nih.gov/genomes/all/GCA/000/179/335/GCA_000179335.1_ASM17933v1</t>
  </si>
  <si>
    <t>GCA_000179735.1</t>
  </si>
  <si>
    <t>HMT-524</t>
  </si>
  <si>
    <t>atypica</t>
  </si>
  <si>
    <t>ACS-049-V-Sch6</t>
  </si>
  <si>
    <t>https://ftp.ncbi.nlm.nih.gov/genomes/all/GCA/000/179/735/GCA_000179735.1_ASM17973v1</t>
  </si>
  <si>
    <t>GCA_000179755.1</t>
  </si>
  <si>
    <t>ACS-134-V-Col7a</t>
  </si>
  <si>
    <t>https://ftp.ncbi.nlm.nih.gov/genomes/all/GCA/000/179/755/GCA_000179755.1_ASM17975v1</t>
  </si>
  <si>
    <t>GCA_000180015.1</t>
  </si>
  <si>
    <t>HMT-709</t>
  </si>
  <si>
    <t>PB013-T2-3</t>
  </si>
  <si>
    <t>https://ftp.ncbi.nlm.nih.gov/genomes/all/GCA/000/180/015/GCA_000180015.1_ASM18001v1</t>
  </si>
  <si>
    <t>parasanguinis</t>
  </si>
  <si>
    <t>F0405</t>
  </si>
  <si>
    <t>https://ftp.ncbi.nlm.nih.gov/genomes/all/GCA/000/180/035/GCA_000180035.1_ASM18003v1</t>
  </si>
  <si>
    <t>GCA_000180055.1</t>
  </si>
  <si>
    <t>HMT-594</t>
  </si>
  <si>
    <t>downei</t>
  </si>
  <si>
    <t>F0415</t>
  </si>
  <si>
    <t>https://ftp.ncbi.nlm.nih.gov/genomes/all/GCA/000/180/055/GCA_000180055.1_ASM18005v1</t>
  </si>
  <si>
    <t>GCA_000180075.1</t>
  </si>
  <si>
    <t>HMT-021</t>
  </si>
  <si>
    <t>vestibularis</t>
  </si>
  <si>
    <t>F0396</t>
  </si>
  <si>
    <t>https://ftp.ncbi.nlm.nih.gov/genomes/all/GCA/000/180/075/GCA_000180075.1_ASM18007v1</t>
  </si>
  <si>
    <t>GCA_000180095.1</t>
  </si>
  <si>
    <t>Mu50-omega</t>
  </si>
  <si>
    <t>https://ftp.ncbi.nlm.nih.gov/genomes/all/GCA/000/180/095/GCA_000180095.1_ASM18009v1</t>
  </si>
  <si>
    <t>oris clade-043</t>
  </si>
  <si>
    <t>K20</t>
  </si>
  <si>
    <t>https://ftp.ncbi.nlm.nih.gov/genomes/all/GCA/000/180/155/GCA_000180155.1_ASM18015v1</t>
  </si>
  <si>
    <t>GCA_000180435.1</t>
  </si>
  <si>
    <t>type strain: DSM 20030 = NCTC 2665</t>
  </si>
  <si>
    <t>https://ftp.ncbi.nlm.nih.gov/genomes/all/GCA/000/180/435/GCA_000180435.1_ASM18043v1</t>
  </si>
  <si>
    <t>GCA_000180515.2</t>
  </si>
  <si>
    <t>A45</t>
  </si>
  <si>
    <t>https://ftp.ncbi.nlm.nih.gov/genomes/all/GCA/000/180/515/GCA_000180515.2_ASM18051v2</t>
  </si>
  <si>
    <t>GCA_000180595.1</t>
  </si>
  <si>
    <t>Y92-1009</t>
  </si>
  <si>
    <t>https://ftp.ncbi.nlm.nih.gov/genomes/all/GCA/000/180/595/GCA_000180595.1_ASM18059v1</t>
  </si>
  <si>
    <t>GCA_000181835.1</t>
  </si>
  <si>
    <t>A0488</t>
  </si>
  <si>
    <t>https://ftp.ncbi.nlm.nih.gov/genomes/all/GCA/000/181/835/GCA_000181835.1_ASM18183v1</t>
  </si>
  <si>
    <t>GCA_000183445.2</t>
  </si>
  <si>
    <t>HMT-843</t>
  </si>
  <si>
    <t>micraerophilus</t>
  </si>
  <si>
    <t>UPII 345-E</t>
  </si>
  <si>
    <t>https://ftp.ncbi.nlm.nih.gov/genomes/all/GCA/000/183/445/GCA_000183445.2_ASM18344v1</t>
  </si>
  <si>
    <t>GCA_000183505.2</t>
  </si>
  <si>
    <t>HMT-158</t>
  </si>
  <si>
    <t>rogosae</t>
  </si>
  <si>
    <t>F0412</t>
  </si>
  <si>
    <t>https://ftp.ncbi.nlm.nih.gov/genomes/all/GCA/000/183/505/GCA_000183505.2_ASM18350v1</t>
  </si>
  <si>
    <t>GCA_000183605.2</t>
  </si>
  <si>
    <t>HMT-547</t>
  </si>
  <si>
    <t>asaccharolytica</t>
  </si>
  <si>
    <t>PR426713P-I</t>
  </si>
  <si>
    <t>https://ftp.ncbi.nlm.nih.gov/genomes/all/GCA/000/183/605/GCA_000183605.2_ASM18360v1</t>
  </si>
  <si>
    <t>GCA_000183625.2</t>
  </si>
  <si>
    <t>HMT-124</t>
  </si>
  <si>
    <t>artemidis</t>
  </si>
  <si>
    <t>F0430</t>
  </si>
  <si>
    <t>https://ftp.ncbi.nlm.nih.gov/genomes/all/GCA/000/183/625/GCA_000183625.2_ASM18362v1</t>
  </si>
  <si>
    <t>F0287</t>
  </si>
  <si>
    <t>https://ftp.ncbi.nlm.nih.gov/genomes/all/GCA/000/183/985/GCA_000183985.1_ASM18398v1</t>
  </si>
  <si>
    <t>GCA_000184185.1</t>
  </si>
  <si>
    <t>W</t>
  </si>
  <si>
    <t>https://ftp.ncbi.nlm.nih.gov/genomes/all/GCA/000/184/185/GCA_000184185.1_ASM18418v1</t>
  </si>
  <si>
    <t>GCA_000184745.1</t>
  </si>
  <si>
    <t>HMT-717</t>
  </si>
  <si>
    <t>Variovorax</t>
  </si>
  <si>
    <t>paradoxus</t>
  </si>
  <si>
    <t>EPS</t>
  </si>
  <si>
    <t>https://ftp.ncbi.nlm.nih.gov/genomes/all/GCA/000/184/745/GCA_000184745.1_ASM18474v1</t>
  </si>
  <si>
    <t>ATCC 33574</t>
  </si>
  <si>
    <t>https://ftp.ncbi.nlm.nih.gov/genomes/all/GCA/000/184/945/GCA_000184945.1_ASM18494v1</t>
  </si>
  <si>
    <t>GCA_000185145.2</t>
  </si>
  <si>
    <t>HMT-705</t>
  </si>
  <si>
    <t>ATCC 33269</t>
  </si>
  <si>
    <t>https://ftp.ncbi.nlm.nih.gov/genomes/all/GCA/000/185/145/GCA_000185145.2_ASM18514v2</t>
  </si>
  <si>
    <t>GCA_000185265.1</t>
  </si>
  <si>
    <t>ATCC 49296</t>
  </si>
  <si>
    <t>https://ftp.ncbi.nlm.nih.gov/genomes/all/GCA/000/185/265/GCA_000185265.1_ASM18526v1</t>
  </si>
  <si>
    <t>GCA_000185285.1</t>
  </si>
  <si>
    <t>HMT-180</t>
  </si>
  <si>
    <t>sp. HMT-180</t>
  </si>
  <si>
    <t>F0310</t>
  </si>
  <si>
    <t>https://ftp.ncbi.nlm.nih.gov/genomes/all/GCA/000/185/285/GCA_000185285.1_ASM18528v1</t>
  </si>
  <si>
    <t>GCA_000185305.1</t>
  </si>
  <si>
    <t>HMT-762</t>
  </si>
  <si>
    <t>segnis</t>
  </si>
  <si>
    <t>ATCC 33393</t>
  </si>
  <si>
    <t>https://ftp.ncbi.nlm.nih.gov/genomes/all/GCA/000/185/305/GCA_000185305.1_ASM18530v1</t>
  </si>
  <si>
    <t>GCA_000185365.1</t>
  </si>
  <si>
    <t>HMT-803</t>
  </si>
  <si>
    <t>italicus</t>
  </si>
  <si>
    <t>DSM 15952</t>
  </si>
  <si>
    <t>https://ftp.ncbi.nlm.nih.gov/genomes/all/GCA/000/185/365/GCA_000185365.1_ASM18536v1</t>
  </si>
  <si>
    <t>GCA_000185385.1</t>
  </si>
  <si>
    <t>HMT-494</t>
  </si>
  <si>
    <t>Lachnoanaerobaculum</t>
  </si>
  <si>
    <t>saburreum</t>
  </si>
  <si>
    <t>DSM 3986</t>
  </si>
  <si>
    <t>https://ftp.ncbi.nlm.nih.gov/genomes/all/GCA/000/185/385/GCA_000185385.1_ASM18538v1</t>
  </si>
  <si>
    <t>GCA_000185485.1</t>
  </si>
  <si>
    <t>M23590</t>
  </si>
  <si>
    <t>https://ftp.ncbi.nlm.nih.gov/genomes/all/GCA/000/185/485/GCA_000185485.1_ASM18548v1</t>
  </si>
  <si>
    <t>GCA_000185505.1</t>
  </si>
  <si>
    <t>HMT-538</t>
  </si>
  <si>
    <t>Pseudoramibacter</t>
  </si>
  <si>
    <t>alactolyticus</t>
  </si>
  <si>
    <t>ATCC 23263</t>
  </si>
  <si>
    <t>https://ftp.ncbi.nlm.nih.gov/genomes/all/GCA/000/185/505/GCA_000185505.1_ASM18550v1</t>
  </si>
  <si>
    <t>GCA_000185645.1</t>
  </si>
  <si>
    <t>HMT-046</t>
  </si>
  <si>
    <t>morbillorum</t>
  </si>
  <si>
    <t>M424</t>
  </si>
  <si>
    <t>https://ftp.ncbi.nlm.nih.gov/genomes/all/GCA/000/185/645/GCA_000185645.1_ASM18564v1</t>
  </si>
  <si>
    <t>GCA_000185845.1</t>
  </si>
  <si>
    <t>HMT-307</t>
  </si>
  <si>
    <t>salivae</t>
  </si>
  <si>
    <t>DSM 15606</t>
  </si>
  <si>
    <t>https://ftp.ncbi.nlm.nih.gov/genomes/all/GCA/000/185/845/GCA_000185845.1_ASM18584v1</t>
  </si>
  <si>
    <t>GCA_000186005.1</t>
  </si>
  <si>
    <t>M64</t>
  </si>
  <si>
    <t>https://ftp.ncbi.nlm.nih.gov/genomes/all/GCA/000/186/005/GCA_000186005.1_ASM18600v1</t>
  </si>
  <si>
    <t>GCA_000186165.1</t>
  </si>
  <si>
    <t>C102</t>
  </si>
  <si>
    <t>https://ftp.ncbi.nlm.nih.gov/genomes/all/GCA/000/186/165/GCA_000186165.1_Neis_muco_C102_V1</t>
  </si>
  <si>
    <t>GCA_000186425.1</t>
  </si>
  <si>
    <t>HMT-022</t>
  </si>
  <si>
    <t>Lautropia</t>
  </si>
  <si>
    <t>ATCC 51599</t>
  </si>
  <si>
    <t>https://ftp.ncbi.nlm.nih.gov/genomes/all/GCA/000/186/425/GCA_000186425.1_ASM18642v1</t>
  </si>
  <si>
    <t>GCA_000186445.1</t>
  </si>
  <si>
    <t>HMT-537</t>
  </si>
  <si>
    <t>agalactiae</t>
  </si>
  <si>
    <t>ATCC 13813</t>
  </si>
  <si>
    <t>https://ftp.ncbi.nlm.nih.gov/genomes/all/GCA/000/186/445/GCA_000186445.1_ASM18644v1</t>
  </si>
  <si>
    <t>GCA_000186465.1</t>
  </si>
  <si>
    <t>HMT-073</t>
  </si>
  <si>
    <t>australis</t>
  </si>
  <si>
    <t>ATCC 700641</t>
  </si>
  <si>
    <t>https://ftp.ncbi.nlm.nih.gov/genomes/all/GCA/000/186/465/GCA_000186465.1_ASM18646v1</t>
  </si>
  <si>
    <t>GCA_000186545.1</t>
  </si>
  <si>
    <t>HMT-543</t>
  </si>
  <si>
    <t>anginosus</t>
  </si>
  <si>
    <t>1_2_62CV</t>
  </si>
  <si>
    <t>https://ftp.ncbi.nlm.nih.gov/genomes/all/GCA/000/186/545/GCA_000186545.1_Strep_angi_1_2_62CV_V1</t>
  </si>
  <si>
    <t>GCA_000186945.2</t>
  </si>
  <si>
    <t>HMT-678</t>
  </si>
  <si>
    <t>Solobacterium</t>
  </si>
  <si>
    <t>moorei</t>
  </si>
  <si>
    <t>F0204</t>
  </si>
  <si>
    <t>https://ftp.ncbi.nlm.nih.gov/genomes/all/GCA/000/186/945/GCA_000186945.2_ASM18694v2</t>
  </si>
  <si>
    <t>GCA_000187125.1</t>
  </si>
  <si>
    <t>F0399</t>
  </si>
  <si>
    <t>https://ftp.ncbi.nlm.nih.gov/genomes/all/GCA/000/187/125/GCA_000187125.1_ASM18712v1</t>
  </si>
  <si>
    <t>GCA_000187465.1</t>
  </si>
  <si>
    <t>infantis clade-638</t>
  </si>
  <si>
    <t>ATCC 700779</t>
  </si>
  <si>
    <t>https://ftp.ncbi.nlm.nih.gov/genomes/all/GCA/000/187/465/GCA_000187465.1_ASM18746v1</t>
  </si>
  <si>
    <t>GCA_000187505.1</t>
  </si>
  <si>
    <t>ATCC 903</t>
  </si>
  <si>
    <t>https://ftp.ncbi.nlm.nih.gov/genomes/all/GCA/000/187/505/GCA_000187505.1_ASM18750v1</t>
  </si>
  <si>
    <t>GCA_000187585.1</t>
  </si>
  <si>
    <t>HMT-728</t>
  </si>
  <si>
    <t>peroris</t>
  </si>
  <si>
    <t>ATCC 700780</t>
  </si>
  <si>
    <t>https://ftp.ncbi.nlm.nih.gov/genomes/all/GCA/000/187/585/GCA_000187585.1_ASM18758v1</t>
  </si>
  <si>
    <t>GCA_000187855.1</t>
  </si>
  <si>
    <t>HMT-578</t>
  </si>
  <si>
    <t>cristatus</t>
  </si>
  <si>
    <t>ATCC 51100</t>
  </si>
  <si>
    <t>https://ftp.ncbi.nlm.nih.gov/genomes/all/GCA/000/187/855/GCA_000187855.1_ASM18785v1</t>
  </si>
  <si>
    <t>plebeius</t>
  </si>
  <si>
    <t>DSM 17135</t>
  </si>
  <si>
    <t>https://ftp.ncbi.nlm.nih.gov/genomes/all/GCA/000/187/895/GCA_000187895.1_ASM18789v1</t>
  </si>
  <si>
    <t>GCA_000188275.1</t>
  </si>
  <si>
    <t>VMC66</t>
  </si>
  <si>
    <t>https://ftp.ncbi.nlm.nih.gov/genomes/all/GCA/000/188/275/GCA_000188275.1_ASM18827v1</t>
  </si>
  <si>
    <t>GCA_000188295.1</t>
  </si>
  <si>
    <t>ATCC 49124</t>
  </si>
  <si>
    <t>https://ftp.ncbi.nlm.nih.gov/genomes/all/GCA/000/188/295/GCA_000188295.1_ASM18829v1</t>
  </si>
  <si>
    <t>GCA_000189435.3</t>
  </si>
  <si>
    <t>O11</t>
  </si>
  <si>
    <t>https://ftp.ncbi.nlm.nih.gov/genomes/all/GCA/000/189/435/GCA_000189435.3_ASM18943v3</t>
  </si>
  <si>
    <t>GCA_000189455.3</t>
  </si>
  <si>
    <t>O46</t>
  </si>
  <si>
    <t>https://ftp.ncbi.nlm.nih.gov/genomes/all/GCA/000/189/455/GCA_000189455.3_ASM18945v3</t>
  </si>
  <si>
    <t>GCA_000190695.1</t>
  </si>
  <si>
    <t>HMT-582</t>
  </si>
  <si>
    <t>denitrificans</t>
  </si>
  <si>
    <t>ATCC 33394</t>
  </si>
  <si>
    <t>https://ftp.ncbi.nlm.nih.gov/genomes/all/GCA/000/190/695/GCA_000190695.1_ASM19069v1</t>
  </si>
  <si>
    <t>multiformis</t>
  </si>
  <si>
    <t>DSM 16608</t>
  </si>
  <si>
    <t>https://ftp.ncbi.nlm.nih.gov/genomes/all/GCA/000/191/065/GCA_000191065.1_ASM19106v1</t>
  </si>
  <si>
    <t>GCA_000191085.1</t>
  </si>
  <si>
    <t>SK353</t>
  </si>
  <si>
    <t>https://ftp.ncbi.nlm.nih.gov/genomes/all/GCA/000/191/085/GCA_000191085.1_ASM19108v1</t>
  </si>
  <si>
    <t>GCA_000191105.1</t>
  </si>
  <si>
    <t>SK405</t>
  </si>
  <si>
    <t>https://ftp.ncbi.nlm.nih.gov/genomes/all/GCA/000/191/105/GCA_000191105.1_ASM19110v1</t>
  </si>
  <si>
    <t>GCA_000191125.1</t>
  </si>
  <si>
    <t>SK678</t>
  </si>
  <si>
    <t>https://ftp.ncbi.nlm.nih.gov/genomes/all/GCA/000/191/125/GCA_000191125.1_ASM19112v1</t>
  </si>
  <si>
    <t>GCA_000191405.1</t>
  </si>
  <si>
    <t>HMT-718</t>
  </si>
  <si>
    <t>parainfluenzae</t>
  </si>
  <si>
    <t>ATCC 33392</t>
  </si>
  <si>
    <t>https://ftp.ncbi.nlm.nih.gov/genomes/all/GCA/000/191/405/GCA_000191405.1_ASM19140v1</t>
  </si>
  <si>
    <t>GCA_000191425.1</t>
  </si>
  <si>
    <t>G2136</t>
  </si>
  <si>
    <t>https://ftp.ncbi.nlm.nih.gov/genomes/all/GCA/000/191/425/GCA_000191425.1_ASM19142v1</t>
  </si>
  <si>
    <t>GCA_000191465.1</t>
  </si>
  <si>
    <t>M01-240149</t>
  </si>
  <si>
    <t>https://ftp.ncbi.nlm.nih.gov/genomes/all/GCA/000/191/465/GCA_000191465.1_ASM19146v1</t>
  </si>
  <si>
    <t>GCA_000191485.1</t>
  </si>
  <si>
    <t>M01-240355</t>
  </si>
  <si>
    <t>https://ftp.ncbi.nlm.nih.gov/genomes/all/GCA/000/191/485/GCA_000191485.1_ASM19148v1</t>
  </si>
  <si>
    <t>GCA_000191505.1</t>
  </si>
  <si>
    <t>M04-240196</t>
  </si>
  <si>
    <t>https://ftp.ncbi.nlm.nih.gov/genomes/all/GCA/000/191/505/GCA_000191505.1_ASM19150v1</t>
  </si>
  <si>
    <t>GCA_000191525.1</t>
  </si>
  <si>
    <t>NZ-05/33</t>
  </si>
  <si>
    <t>https://ftp.ncbi.nlm.nih.gov/genomes/all/GCA/000/191/525/GCA_000191525.1_ASM19152v1</t>
  </si>
  <si>
    <t>GCA_000191725.2</t>
  </si>
  <si>
    <t>HMT-294</t>
  </si>
  <si>
    <t>vaginimassiliensis</t>
  </si>
  <si>
    <t>ACS-065-V-Col13</t>
  </si>
  <si>
    <t>https://ftp.ncbi.nlm.nih.gov/genomes/all/GCA/000/191/725/GCA_000191725.2_ASM19172v2</t>
  </si>
  <si>
    <t>CRIS 18C-A</t>
  </si>
  <si>
    <t>https://ftp.ncbi.nlm.nih.gov/genomes/all/GCA/000/191/765/GCA_000191765.2_ASM19176v1</t>
  </si>
  <si>
    <t>GCA_000191785.1</t>
  </si>
  <si>
    <t>DSM 10105</t>
  </si>
  <si>
    <t>https://ftp.ncbi.nlm.nih.gov/genomes/all/GCA/000/191/785/GCA_000191785.1_ASM19178v1</t>
  </si>
  <si>
    <t>GCA_000191825.1</t>
  </si>
  <si>
    <t>F0402</t>
  </si>
  <si>
    <t>https://ftp.ncbi.nlm.nih.gov/genomes/all/GCA/000/191/825/GCA_000191825.1_Trep_dent_F0402_V1</t>
  </si>
  <si>
    <t>GCA_000192185.1</t>
  </si>
  <si>
    <t>SK72</t>
  </si>
  <si>
    <t>https://ftp.ncbi.nlm.nih.gov/genomes/all/GCA/000/192/185/GCA_000192185.1_ASM19218v1</t>
  </si>
  <si>
    <t>GCA_000192205.1</t>
  </si>
  <si>
    <t>SK115</t>
  </si>
  <si>
    <t>https://ftp.ncbi.nlm.nih.gov/genomes/all/GCA/000/192/205/GCA_000192205.1_ASM19220v1</t>
  </si>
  <si>
    <t>sp. HMT-338</t>
  </si>
  <si>
    <t>F0234</t>
  </si>
  <si>
    <t>https://ftp.ncbi.nlm.nih.gov/genomes/all/GCA/000/192/225/GCA_000192225.1_ASM19222v1</t>
  </si>
  <si>
    <t>GCA_000192245.1</t>
  </si>
  <si>
    <t>SK150</t>
  </si>
  <si>
    <t>https://ftp.ncbi.nlm.nih.gov/genomes/all/GCA/000/192/245/GCA_000192245.1_ASM19224v1</t>
  </si>
  <si>
    <t>GCA_000192275.1</t>
  </si>
  <si>
    <t>SK160</t>
  </si>
  <si>
    <t>https://ftp.ncbi.nlm.nih.gov/genomes/all/GCA/000/192/275/GCA_000192275.1_ASM19227v1</t>
  </si>
  <si>
    <t>GCA_000192905.2</t>
  </si>
  <si>
    <t>https://ftp.ncbi.nlm.nih.gov/genomes/all/GCA/000/192/905/GCA_000192905.2_ASM19290v2</t>
  </si>
  <si>
    <t>GCA_000193025.2</t>
  </si>
  <si>
    <t>BC8</t>
  </si>
  <si>
    <t>https://ftp.ncbi.nlm.nih.gov/genomes/all/GCA/000/193/025/GCA_000193025.2_ASM19302v2</t>
  </si>
  <si>
    <t>GCA_000193045.2</t>
  </si>
  <si>
    <t>CO72</t>
  </si>
  <si>
    <t>https://ftp.ncbi.nlm.nih.gov/genomes/all/GCA/000/193/045/GCA_000193045.2_ASM19304v2</t>
  </si>
  <si>
    <t>GCA_000193065.2</t>
  </si>
  <si>
    <t>101P30B1</t>
  </si>
  <si>
    <t>https://ftp.ncbi.nlm.nih.gov/genomes/all/GCA/000/193/065/GCA_000193065.2_ASM19306v2</t>
  </si>
  <si>
    <t>F0289</t>
  </si>
  <si>
    <t>https://ftp.ncbi.nlm.nih.gov/genomes/all/GCA/000/193/395/GCA_000193395.1_ASM19339v1</t>
  </si>
  <si>
    <t>glucanolyticus</t>
  </si>
  <si>
    <t>V453</t>
  </si>
  <si>
    <t>https://ftp.ncbi.nlm.nih.gov/genomes/all/GCA/000/193/415/GCA_000193415.2_ASM19341v1</t>
  </si>
  <si>
    <t>GCA_000193735.2</t>
  </si>
  <si>
    <t>https://ftp.ncbi.nlm.nih.gov/genomes/all/GCA/000/193/735/GCA_000193735.2_ASM19373v2</t>
  </si>
  <si>
    <t>GCA_000193775.2</t>
  </si>
  <si>
    <t>NS342</t>
  </si>
  <si>
    <t>https://ftp.ncbi.nlm.nih.gov/genomes/all/GCA/000/193/775/GCA_000193775.2_ASM19377v1</t>
  </si>
  <si>
    <t>GCA_000193795.2</t>
  </si>
  <si>
    <t>NS19</t>
  </si>
  <si>
    <t>https://ftp.ncbi.nlm.nih.gov/genomes/all/GCA/000/193/795/GCA_000193795.2_ASM19379v2</t>
  </si>
  <si>
    <t>GCA_000194765.1</t>
  </si>
  <si>
    <t>BD-II</t>
  </si>
  <si>
    <t>https://ftp.ncbi.nlm.nih.gov/genomes/all/GCA/000/194/765/GCA_000194765.1_ASM19476v1</t>
  </si>
  <si>
    <t>GCA_000194925.1</t>
  </si>
  <si>
    <t>HMT-013</t>
  </si>
  <si>
    <t>bacilliformis</t>
  </si>
  <si>
    <t>ATCC BAA-1200</t>
  </si>
  <si>
    <t>https://ftp.ncbi.nlm.nih.gov/genomes/all/GCA/000/194/925/GCA_000194925.1_ASM19492v1</t>
  </si>
  <si>
    <t>GCA_000194945.1</t>
  </si>
  <si>
    <t>SK1</t>
  </si>
  <si>
    <t>https://ftp.ncbi.nlm.nih.gov/genomes/all/GCA/000/194/945/GCA_000194945.1_ASM19494v1</t>
  </si>
  <si>
    <t>GCA_000194965.1</t>
  </si>
  <si>
    <t>SK1057</t>
  </si>
  <si>
    <t>https://ftp.ncbi.nlm.nih.gov/genomes/all/GCA/000/194/965/GCA_000194965.1_ASM19496v1</t>
  </si>
  <si>
    <t>GCA_000194985.1</t>
  </si>
  <si>
    <t>DSM 19965</t>
  </si>
  <si>
    <t>https://ftp.ncbi.nlm.nih.gov/genomes/all/GCA/000/194/985/GCA_000194985.1_ASM19498v1</t>
  </si>
  <si>
    <t>GCA_000195005.1</t>
  </si>
  <si>
    <t>HMT-535</t>
  </si>
  <si>
    <t>aegyptius</t>
  </si>
  <si>
    <t>ATCC 11116</t>
  </si>
  <si>
    <t>https://ftp.ncbi.nlm.nih.gov/genomes/all/GCA/000/195/005/GCA_000195005.1_ASM19500v1</t>
  </si>
  <si>
    <t>GCA_000195045.1</t>
  </si>
  <si>
    <t>SK408</t>
  </si>
  <si>
    <t>https://ftp.ncbi.nlm.nih.gov/genomes/all/GCA/000/195/045/GCA_000195045.1_ASM19504v1</t>
  </si>
  <si>
    <t>GCA_000195125.1</t>
  </si>
  <si>
    <t>SK1058</t>
  </si>
  <si>
    <t>https://ftp.ncbi.nlm.nih.gov/genomes/all/GCA/000/195/125/GCA_000195125.1_ASM19512v1</t>
  </si>
  <si>
    <t>GCA_000195595.1</t>
  </si>
  <si>
    <t>HMT-170</t>
  </si>
  <si>
    <t>sp. HMT-170</t>
  </si>
  <si>
    <t>F0386</t>
  </si>
  <si>
    <t>https://ftp.ncbi.nlm.nih.gov/genomes/all/GCA/000/195/595/GCA_000195595.1_ASM19559v1</t>
  </si>
  <si>
    <t>GCA_000195855.1</t>
  </si>
  <si>
    <t>TN</t>
  </si>
  <si>
    <t>https://ftp.ncbi.nlm.nih.gov/genomes/all/GCA/000/195/855/GCA_000195855.1_ASM19585v1</t>
  </si>
  <si>
    <t>GCA_000195955.2</t>
  </si>
  <si>
    <t>H37Rv</t>
  </si>
  <si>
    <t>https://ftp.ncbi.nlm.nih.gov/genomes/all/GCA/000/195/955/GCA_000195955.2_ASM19595v2</t>
  </si>
  <si>
    <t>GCA_000196295.1</t>
  </si>
  <si>
    <t>020-06</t>
  </si>
  <si>
    <t>https://ftp.ncbi.nlm.nih.gov/genomes/all/GCA/000/196/295/GCA_000196295.1_ASM19629v1</t>
  </si>
  <si>
    <t>GCA_000196555.1</t>
  </si>
  <si>
    <t>HMT-862</t>
  </si>
  <si>
    <t>longum</t>
  </si>
  <si>
    <t>JCM 1217</t>
  </si>
  <si>
    <t>https://ftp.ncbi.nlm.nih.gov/genomes/all/GCA/000/196/555/GCA_000196555.1_ASM19655v1</t>
  </si>
  <si>
    <t>GCA_000196595.1</t>
  </si>
  <si>
    <t>TCH8431/19A</t>
  </si>
  <si>
    <t>https://ftp.ncbi.nlm.nih.gov/genomes/all/GCA/000/196/595/GCA_000196595.1_ASM19659v1</t>
  </si>
  <si>
    <t>GCA_000197875.1</t>
  </si>
  <si>
    <t>F3031</t>
  </si>
  <si>
    <t>https://ftp.ncbi.nlm.nih.gov/genomes/all/GCA/000/197/875/GCA_000197875.1_ASM19787v1</t>
  </si>
  <si>
    <t>GCA_000199675.1</t>
  </si>
  <si>
    <t>HMT-995</t>
  </si>
  <si>
    <t>Anaerolinea</t>
  </si>
  <si>
    <t>thermophila</t>
  </si>
  <si>
    <t>UNI-1</t>
  </si>
  <si>
    <t>https://ftp.ncbi.nlm.nih.gov/genomes/all/GCA/000/199/675/GCA_000199675.1_ASM19967v1</t>
  </si>
  <si>
    <t>GCA_000200475.1</t>
  </si>
  <si>
    <t>F3047</t>
  </si>
  <si>
    <t>https://ftp.ncbi.nlm.nih.gov/genomes/all/GCA/000/200/475/GCA_000200475.1_ASM20047v1</t>
  </si>
  <si>
    <t>GCA_000204235.2</t>
  </si>
  <si>
    <t>P08</t>
  </si>
  <si>
    <t>https://ftp.ncbi.nlm.nih.gov/genomes/all/GCA/000/204/235/GCA_000204235.2_ASM20423v2</t>
  </si>
  <si>
    <t>GCA_000204335.2</t>
  </si>
  <si>
    <t>HMT-757</t>
  </si>
  <si>
    <t>M325</t>
  </si>
  <si>
    <t>https://ftp.ncbi.nlm.nih.gov/genomes/all/GCA/000/204/335/GCA_000204335.2_Geme_sang_M325_V2</t>
  </si>
  <si>
    <t>GCA_000204355.1</t>
  </si>
  <si>
    <t>HMT-434</t>
  </si>
  <si>
    <t>haemolysans clade-434</t>
  </si>
  <si>
    <t>M341</t>
  </si>
  <si>
    <t>https://ftp.ncbi.nlm.nih.gov/genomes/all/GCA/000/204/355/GCA_000204355.1_Geme_haem_M341_V1</t>
  </si>
  <si>
    <t>GCA_000204475.1</t>
  </si>
  <si>
    <t>SK1087</t>
  </si>
  <si>
    <t>https://ftp.ncbi.nlm.nih.gov/genomes/all/GCA/000/204/475/GCA_000204475.1_ASM20447v1</t>
  </si>
  <si>
    <t>GCA_000204665.1</t>
  </si>
  <si>
    <t>T0131</t>
  </si>
  <si>
    <t>https://ftp.ncbi.nlm.nih.gov/genomes/all/GCA/000/204/665/GCA_000204665.1_ASM20466v1</t>
  </si>
  <si>
    <t>GCA_000208405.1</t>
  </si>
  <si>
    <t>https://ftp.ncbi.nlm.nih.gov/genomes/all/GCA/000/208/405/GCA_000208405.1_ASM20840v1</t>
  </si>
  <si>
    <t>GCA_000209465.1</t>
  </si>
  <si>
    <t>HMT-441</t>
  </si>
  <si>
    <t>sp. HMT-441</t>
  </si>
  <si>
    <t>F0167</t>
  </si>
  <si>
    <t>https://ftp.ncbi.nlm.nih.gov/genomes/all/GCA/000/209/465/GCA_000209465.1_Lach_bact_F0167_V1</t>
  </si>
  <si>
    <t>GCA_000209735.1</t>
  </si>
  <si>
    <t>PG18</t>
  </si>
  <si>
    <t>https://ftp.ncbi.nlm.nih.gov/genomes/all/GCA/000/209/735/GCA_000209735.1_ASM20973v1</t>
  </si>
  <si>
    <t>GCA_000209935.1</t>
  </si>
  <si>
    <t>DSM 17629</t>
  </si>
  <si>
    <t>https://ftp.ncbi.nlm.nih.gov/genomes/all/GCA/000/209/935/GCA_000209935.1_ASM20993v1</t>
  </si>
  <si>
    <t>GCA_000210315.1</t>
  </si>
  <si>
    <t>ED133</t>
  </si>
  <si>
    <t>https://ftp.ncbi.nlm.nih.gov/genomes/all/GCA/000/210/315/GCA_000210315.1_ASM21031v1</t>
  </si>
  <si>
    <t>GCA_000210375.1</t>
  </si>
  <si>
    <t>NIES-39</t>
  </si>
  <si>
    <t>https://ftp.ncbi.nlm.nih.gov/genomes/all/GCA/000/210/375/GCA_000210375.1_ASM21037v1</t>
  </si>
  <si>
    <t>GCA_000210475.1</t>
  </si>
  <si>
    <t>ETEC H10407</t>
  </si>
  <si>
    <t>https://ftp.ncbi.nlm.nih.gov/genomes/all/GCA/000/210/475/GCA_000210475.1_ASM21047v1</t>
  </si>
  <si>
    <t>GCA_000210715.1</t>
  </si>
  <si>
    <t>HMT-363</t>
  </si>
  <si>
    <t>Fretibacterium</t>
  </si>
  <si>
    <t>fastidiosum</t>
  </si>
  <si>
    <t>SGP1</t>
  </si>
  <si>
    <t>https://ftp.ncbi.nlm.nih.gov/genomes/all/GCA/000/210/715/GCA_000210715.1_ASM21071v1</t>
  </si>
  <si>
    <t>GCA_000210875.1</t>
  </si>
  <si>
    <t>https://ftp.ncbi.nlm.nih.gov/genomes/all/GCA/000/210/875/GCA_000210875.1_ASM21087v1</t>
  </si>
  <si>
    <t>GCA_000210895.1</t>
  </si>
  <si>
    <t>T3T1</t>
  </si>
  <si>
    <t>https://ftp.ncbi.nlm.nih.gov/genomes/all/GCA/000/210/895/GCA_000210895.1_ASM21089v1</t>
  </si>
  <si>
    <t>GCA_000210935.1</t>
  </si>
  <si>
    <t>INV200</t>
  </si>
  <si>
    <t>https://ftp.ncbi.nlm.nih.gov/genomes/all/GCA/000/210/935/GCA_000210935.1_ASM21093v1</t>
  </si>
  <si>
    <t>GCA_000210955.1</t>
  </si>
  <si>
    <t>OXC141</t>
  </si>
  <si>
    <t>https://ftp.ncbi.nlm.nih.gov/genomes/all/GCA/000/210/955/GCA_000210955.1_ASM21095v1</t>
  </si>
  <si>
    <t>GCA_000210975.1</t>
  </si>
  <si>
    <t>INV104</t>
  </si>
  <si>
    <t>https://ftp.ncbi.nlm.nih.gov/genomes/all/GCA/000/210/975/GCA_000210975.1_ASM21097v1</t>
  </si>
  <si>
    <t>GCA_000210995.1</t>
  </si>
  <si>
    <t>SNP034156</t>
  </si>
  <si>
    <t>https://ftp.ncbi.nlm.nih.gov/genomes/all/GCA/000/210/995/GCA_000210995.1_ASM21099v1</t>
  </si>
  <si>
    <t>GCA_000211015.1</t>
  </si>
  <si>
    <t>SNP034183</t>
  </si>
  <si>
    <t>https://ftp.ncbi.nlm.nih.gov/genomes/all/GCA/000/211/015/GCA_000211015.1_ASM21101v1</t>
  </si>
  <si>
    <t>GCA_000211035.2</t>
  </si>
  <si>
    <t>SNP994038</t>
  </si>
  <si>
    <t>https://ftp.ncbi.nlm.nih.gov/genomes/all/GCA/000/211/035/GCA_000211035.2_ASM21103v2</t>
  </si>
  <si>
    <t>GCA_000211055.2</t>
  </si>
  <si>
    <t>SNP994039</t>
  </si>
  <si>
    <t>https://ftp.ncbi.nlm.nih.gov/genomes/all/GCA/000/211/055/GCA_000211055.2_ASM21105v2</t>
  </si>
  <si>
    <t>GCA_000211075.1</t>
  </si>
  <si>
    <t>SPN032672</t>
  </si>
  <si>
    <t>https://ftp.ncbi.nlm.nih.gov/genomes/all/GCA/000/211/075/GCA_000211075.1_ASM21107v1</t>
  </si>
  <si>
    <t>GCA_000211095.1</t>
  </si>
  <si>
    <t>SPN033038</t>
  </si>
  <si>
    <t>https://ftp.ncbi.nlm.nih.gov/genomes/all/GCA/000/211/095/GCA_000211095.1_ASM21109v1</t>
  </si>
  <si>
    <t>GCA_000211375.1</t>
  </si>
  <si>
    <t>HMT-881</t>
  </si>
  <si>
    <t>Lentilactobacillus</t>
  </si>
  <si>
    <t>buchneri</t>
  </si>
  <si>
    <t>NRRL B-30929</t>
  </si>
  <si>
    <t>https://ftp.ncbi.nlm.nih.gov/genomes/all/GCA/000/211/375/GCA_000211375.1_ASM21137v1</t>
  </si>
  <si>
    <t>GCA_000212375.1</t>
  </si>
  <si>
    <t>DSM 20707</t>
  </si>
  <si>
    <t>https://ftp.ncbi.nlm.nih.gov/genomes/all/GCA/000/212/375/GCA_000212375.1_ASM21237v1</t>
  </si>
  <si>
    <t>GCA_000212515.2</t>
  </si>
  <si>
    <t>GA47901</t>
  </si>
  <si>
    <t>https://ftp.ncbi.nlm.nih.gov/genomes/all/GCA/000/212/515/GCA_000212515.2_ASM21251v2</t>
  </si>
  <si>
    <t>GCA_000212535.2</t>
  </si>
  <si>
    <t>GA47368</t>
  </si>
  <si>
    <t>https://ftp.ncbi.nlm.nih.gov/genomes/all/GCA/000/212/535/GCA_000212535.2_ASM21253v2</t>
  </si>
  <si>
    <t>GCA_000212555.2</t>
  </si>
  <si>
    <t>GA41317</t>
  </si>
  <si>
    <t>https://ftp.ncbi.nlm.nih.gov/genomes/all/GCA/000/212/555/GCA_000212555.2_ASM21255v2</t>
  </si>
  <si>
    <t>GCA_000212795.1</t>
  </si>
  <si>
    <t>SK1059</t>
  </si>
  <si>
    <t>https://ftp.ncbi.nlm.nih.gov/genomes/all/GCA/000/212/795/GCA_000212795.1_ASM21279v1</t>
  </si>
  <si>
    <t>GCA_000212815.1</t>
  </si>
  <si>
    <t>SK49</t>
  </si>
  <si>
    <t>https://ftp.ncbi.nlm.nih.gov/genomes/all/GCA/000/212/815/GCA_000212815.1_ASM21281v1</t>
  </si>
  <si>
    <t>GCA_000212835.1</t>
  </si>
  <si>
    <t>SK1056</t>
  </si>
  <si>
    <t>https://ftp.ncbi.nlm.nih.gov/genomes/all/GCA/000/212/835/GCA_000212835.1_ASM21283v1</t>
  </si>
  <si>
    <t>GCA_000212855.1</t>
  </si>
  <si>
    <t>SK355</t>
  </si>
  <si>
    <t>https://ftp.ncbi.nlm.nih.gov/genomes/all/GCA/000/212/855/GCA_000212855.1_ASM21285v1</t>
  </si>
  <si>
    <t>GCA_000213155.1</t>
  </si>
  <si>
    <t>https://ftp.ncbi.nlm.nih.gov/genomes/all/GCA/000/213/155/GCA_000213155.1_ASM21315v1</t>
  </si>
  <si>
    <t>leadbetteri</t>
  </si>
  <si>
    <t>F0087</t>
  </si>
  <si>
    <t>https://ftp.ncbi.nlm.nih.gov/genomes/all/GCA/000/213/295/GCA_000213295.2_ASM21329v2</t>
  </si>
  <si>
    <t>GCA_000213535.1</t>
  </si>
  <si>
    <t>HMT-646</t>
  </si>
  <si>
    <t>kingae</t>
  </si>
  <si>
    <t>ATCC 23330</t>
  </si>
  <si>
    <t>https://ftp.ncbi.nlm.nih.gov/genomes/all/GCA/000/213/535/GCA_000213535.1_ASM21353v1</t>
  </si>
  <si>
    <t>GCA_000213955.1</t>
  </si>
  <si>
    <t>HMP9231</t>
  </si>
  <si>
    <t>https://ftp.ncbi.nlm.nih.gov/genomes/all/GCA/000/213/955/GCA_000213955.1_ASM21395v1</t>
  </si>
  <si>
    <t>GCA_000213975.1</t>
  </si>
  <si>
    <t>HMT-726</t>
  </si>
  <si>
    <t>Centipeda</t>
  </si>
  <si>
    <t>periodontii</t>
  </si>
  <si>
    <t>DSM 2778</t>
  </si>
  <si>
    <t>https://ftp.ncbi.nlm.nih.gov/genomes/all/GCA/000/213/975/GCA_000213975.1_ASM21397v1</t>
  </si>
  <si>
    <t>GCA_000213995.1</t>
  </si>
  <si>
    <t>HMT-634</t>
  </si>
  <si>
    <t>Enterobacter</t>
  </si>
  <si>
    <t>hormaechei</t>
  </si>
  <si>
    <t>ATCC 49162</t>
  </si>
  <si>
    <t>https://ftp.ncbi.nlm.nih.gov/genomes/all/GCA/000/213/995/GCA_000213995.1_ASM21399v1</t>
  </si>
  <si>
    <t>GCA_000214395.1</t>
  </si>
  <si>
    <t>Cs1-4</t>
  </si>
  <si>
    <t>https://ftp.ncbi.nlm.nih.gov/genomes/all/GCA/000/214/395/GCA_000214395.1_ASM21439v1</t>
  </si>
  <si>
    <t>GCA_000214455.2</t>
  </si>
  <si>
    <t>HMT-108</t>
  </si>
  <si>
    <t>asaccharolyticum</t>
  </si>
  <si>
    <t>F0425</t>
  </si>
  <si>
    <t>https://ftp.ncbi.nlm.nih.gov/genomes/all/GCA/000/214/455/GCA_000214455.2_ASM21445v1</t>
  </si>
  <si>
    <t>GCA_000214475.2</t>
  </si>
  <si>
    <t>HMT-110</t>
  </si>
  <si>
    <t>sp. HMT-110</t>
  </si>
  <si>
    <t>F0139</t>
  </si>
  <si>
    <t>https://ftp.ncbi.nlm.nih.gov/genomes/all/GCA/000/214/475/GCA_000214475.2_ASM21447v1</t>
  </si>
  <si>
    <t>GCA_000214495.2</t>
  </si>
  <si>
    <t>UPII 199-6</t>
  </si>
  <si>
    <t>https://ftp.ncbi.nlm.nih.gov/genomes/all/GCA/000/214/495/GCA_000214495.2_ASM21449v1</t>
  </si>
  <si>
    <t>GCA_000214555.2</t>
  </si>
  <si>
    <t>SK52</t>
  </si>
  <si>
    <t>https://ftp.ncbi.nlm.nih.gov/genomes/all/GCA/000/214/555/GCA_000214555.2_ASM21455v1</t>
  </si>
  <si>
    <t>GCA_000215365.2</t>
  </si>
  <si>
    <t>SK255</t>
  </si>
  <si>
    <t>https://ftp.ncbi.nlm.nih.gov/genomes/all/GCA/000/215/365/GCA_000215365.2_ASM21536v2</t>
  </si>
  <si>
    <t>GCA_000215385.2</t>
  </si>
  <si>
    <t>HMT-444</t>
  </si>
  <si>
    <t>infantis clade-444</t>
  </si>
  <si>
    <t>SK1076</t>
  </si>
  <si>
    <t>https://ftp.ncbi.nlm.nih.gov/genomes/all/GCA/000/215/385/GCA_000215385.2_ASM21538v1</t>
  </si>
  <si>
    <t>GCA_000215745.1</t>
  </si>
  <si>
    <t>HMT-153</t>
  </si>
  <si>
    <t>Klebsiella</t>
  </si>
  <si>
    <t>aerogenes</t>
  </si>
  <si>
    <t>KCTC 2190</t>
  </si>
  <si>
    <t>https://ftp.ncbi.nlm.nih.gov/genomes/all/GCA/000/215/745/GCA_000215745.1_ASM21574v1</t>
  </si>
  <si>
    <t>GCA_000217615.1</t>
  </si>
  <si>
    <t>https://ftp.ncbi.nlm.nih.gov/genomes/all/GCA/000/217/615/GCA_000217615.1_ASM21761v1</t>
  </si>
  <si>
    <t>GCA_000217655.1</t>
  </si>
  <si>
    <t>Cuniculi A</t>
  </si>
  <si>
    <t>https://ftp.ncbi.nlm.nih.gov/genomes/all/GCA/000/217/655/GCA_000217655.1_ASM21765v1</t>
  </si>
  <si>
    <t>GCA_000218235.1</t>
  </si>
  <si>
    <t>HMT-794</t>
  </si>
  <si>
    <t>Hallella</t>
  </si>
  <si>
    <t>multisaccharivorax</t>
  </si>
  <si>
    <t>DSM 17128</t>
  </si>
  <si>
    <t>https://ftp.ncbi.nlm.nih.gov/genomes/all/GCA/000/218/235/GCA_000218235.1_ASM21823v1</t>
  </si>
  <si>
    <t>GCA_000218645.2</t>
  </si>
  <si>
    <t>21_1A</t>
  </si>
  <si>
    <t>https://ftp.ncbi.nlm.nih.gov/genomes/all/GCA/000/218/645/GCA_000218645.2_Fusobacterium_sp_21_1A_V3</t>
  </si>
  <si>
    <t>GCA_000218655.1</t>
  </si>
  <si>
    <t>11_3_2</t>
  </si>
  <si>
    <t>https://ftp.ncbi.nlm.nih.gov/genomes/all/GCA/000/218/655/GCA_000218655.1_Fusobacterium_sp_11_3_2_V1</t>
  </si>
  <si>
    <t>GCA_000219475.3</t>
  </si>
  <si>
    <t>pf01</t>
  </si>
  <si>
    <t>https://ftp.ncbi.nlm.nih.gov/genomes/all/GCA/000/219/475/GCA_000219475.3_ASM21947v3</t>
  </si>
  <si>
    <t>GCA_000219605.1</t>
  </si>
  <si>
    <t>HMT-477</t>
  </si>
  <si>
    <t>Stutzerimonas</t>
  </si>
  <si>
    <t>stutzeri</t>
  </si>
  <si>
    <t>CGMCC 1.1803</t>
  </si>
  <si>
    <t>https://ftp.ncbi.nlm.nih.gov/genomes/all/GCA/000/219/605/GCA_000219605.1_ASM21960v1</t>
  </si>
  <si>
    <t>GCA_000220065.2</t>
  </si>
  <si>
    <t>HMT-056</t>
  </si>
  <si>
    <t>sp. HMT-056</t>
  </si>
  <si>
    <t>F0418</t>
  </si>
  <si>
    <t>https://ftp.ncbi.nlm.nih.gov/genomes/all/GCA/000/220/065/GCA_000220065.2_ASM22006v1</t>
  </si>
  <si>
    <t>GCA_000220085.2</t>
  </si>
  <si>
    <t>SK1080</t>
  </si>
  <si>
    <t>https://ftp.ncbi.nlm.nih.gov/genomes/all/GCA/000/220/085/GCA_000220085.2_ASM22008v2</t>
  </si>
  <si>
    <t>GCA_000220215.1</t>
  </si>
  <si>
    <t>HMT-583</t>
  </si>
  <si>
    <t>dentalis</t>
  </si>
  <si>
    <t>DSM 3688</t>
  </si>
  <si>
    <t>https://ftp.ncbi.nlm.nih.gov/genomes/all/GCA/000/220/215/GCA_000220215.1_ASM22021v1</t>
  </si>
  <si>
    <t>GCA_000220235.1</t>
  </si>
  <si>
    <t>HMT-693</t>
  </si>
  <si>
    <t>nigrescens</t>
  </si>
  <si>
    <t>ATCC 33563</t>
  </si>
  <si>
    <t>https://ftp.ncbi.nlm.nih.gov/genomes/all/GCA/000/220/235/GCA_000220235.1_ASM22023v1</t>
  </si>
  <si>
    <t>GCA_000220255.1</t>
  </si>
  <si>
    <t>HMT-714</t>
  </si>
  <si>
    <t>pallens</t>
  </si>
  <si>
    <t>ATCC 700821</t>
  </si>
  <si>
    <t>https://ftp.ncbi.nlm.nih.gov/genomes/all/GCA/000/220/255/GCA_000220255.1_ASM22025v1</t>
  </si>
  <si>
    <t>GCA_000220275.1</t>
  </si>
  <si>
    <t>SK340</t>
  </si>
  <si>
    <t>https://ftp.ncbi.nlm.nih.gov/genomes/all/GCA/000/220/275/GCA_000220275.1_ASM22027v1</t>
  </si>
  <si>
    <t>GCA_000220315.1</t>
  </si>
  <si>
    <t>ATCC 29667</t>
  </si>
  <si>
    <t>https://ftp.ncbi.nlm.nih.gov/genomes/all/GCA/000/220/315/GCA_000220315.1_ASM22031v1</t>
  </si>
  <si>
    <t>GCA_000220835.1</t>
  </si>
  <si>
    <t>HMT-448</t>
  </si>
  <si>
    <t>sp. HMT-448</t>
  </si>
  <si>
    <t>F0400</t>
  </si>
  <si>
    <t>https://ftp.ncbi.nlm.nih.gov/genomes/all/GCA/000/220/835/GCA_000220835.1_ASM22083v1</t>
  </si>
  <si>
    <t>GCA_000220865.1</t>
  </si>
  <si>
    <t>HMT-099</t>
  </si>
  <si>
    <t>macacae</t>
  </si>
  <si>
    <t>ATCC 33926</t>
  </si>
  <si>
    <t>https://ftp.ncbi.nlm.nih.gov/genomes/all/GCA/000/220/865/GCA_000220865.1_ASM22086v1</t>
  </si>
  <si>
    <t>GCA_000221085.2</t>
  </si>
  <si>
    <t>CC003-HC2</t>
  </si>
  <si>
    <t>https://ftp.ncbi.nlm.nih.gov/genomes/all/GCA/000/221/085/GCA_000221085.2_ASM22108v1</t>
  </si>
  <si>
    <t>GCA_000221145.2</t>
  </si>
  <si>
    <t>HMT-791</t>
  </si>
  <si>
    <t>namnetense</t>
  </si>
  <si>
    <t>SK182B-JCVI</t>
  </si>
  <si>
    <t>https://ftp.ncbi.nlm.nih.gov/genomes/all/GCA/000/221/145/GCA_000221145.2_ASM22114v2</t>
  </si>
  <si>
    <t>GCA_000221165.2</t>
  </si>
  <si>
    <t>F0392</t>
  </si>
  <si>
    <t>https://ftp.ncbi.nlm.nih.gov/genomes/all/GCA/000/221/165/GCA_000221165.2_ASM22116v2</t>
  </si>
  <si>
    <t>GCA_000221505.2</t>
  </si>
  <si>
    <t>F0423</t>
  </si>
  <si>
    <t>https://ftp.ncbi.nlm.nih.gov/genomes/all/GCA/000/221/505/GCA_000221505.2_ASM22150v2</t>
  </si>
  <si>
    <t>GCA_000221525.2</t>
  </si>
  <si>
    <t>VCU116</t>
  </si>
  <si>
    <t>https://ftp.ncbi.nlm.nih.gov/genomes/all/GCA/000/221/525/GCA_000221525.2_ASM22152v2</t>
  </si>
  <si>
    <t>GCA_000221565.2</t>
  </si>
  <si>
    <t>HMT-375</t>
  </si>
  <si>
    <t>Urinicoccus</t>
  </si>
  <si>
    <t>timonensis</t>
  </si>
  <si>
    <t>F0436</t>
  </si>
  <si>
    <t>https://ftp.ncbi.nlm.nih.gov/genomes/all/GCA/000/221/565/GCA_000221565.2_ASM22156v1</t>
  </si>
  <si>
    <t>GCA_000221605.2</t>
  </si>
  <si>
    <t>HMT-780</t>
  </si>
  <si>
    <t>sp. HMT-780</t>
  </si>
  <si>
    <t>F0422</t>
  </si>
  <si>
    <t>https://ftp.ncbi.nlm.nih.gov/genomes/all/GCA/000/221/605/GCA_000221605.2_ASM22160v1</t>
  </si>
  <si>
    <t>GCA_000221985.1</t>
  </si>
  <si>
    <t>HMT-425</t>
  </si>
  <si>
    <t>pseudopneumoniae</t>
  </si>
  <si>
    <t>IS7493</t>
  </si>
  <si>
    <t>https://ftp.ncbi.nlm.nih.gov/genomes/all/GCA/000/221/985/GCA_000221985.1_ASM22198v1</t>
  </si>
  <si>
    <t>GCA_000222045.2</t>
  </si>
  <si>
    <t>HMT-851</t>
  </si>
  <si>
    <t>M21127</t>
  </si>
  <si>
    <t>https://ftp.ncbi.nlm.nih.gov/genomes/all/GCA/000/222/045/GCA_000222045.2_ASM22204v2</t>
  </si>
  <si>
    <t>GCA_000222705.2</t>
  </si>
  <si>
    <t>SK95</t>
  </si>
  <si>
    <t>https://ftp.ncbi.nlm.nih.gov/genomes/all/GCA/000/222/705/GCA_000222705.2_ASM22270v2</t>
  </si>
  <si>
    <t>SK236</t>
  </si>
  <si>
    <t>https://ftp.ncbi.nlm.nih.gov/genomes/all/GCA/000/222/725/GCA_000222725.2_ASM22272v2</t>
  </si>
  <si>
    <t>GCA_000222745.2</t>
  </si>
  <si>
    <t>https://ftp.ncbi.nlm.nih.gov/genomes/all/GCA/000/222/745/GCA_000222745.2_ASM22274v2</t>
  </si>
  <si>
    <t>GCA_000222765.2</t>
  </si>
  <si>
    <t>https://ftp.ncbi.nlm.nih.gov/genomes/all/GCA/000/222/765/GCA_000222765.2_ASM22276v2</t>
  </si>
  <si>
    <t>GCA_000223235.2</t>
  </si>
  <si>
    <t>SK313</t>
  </si>
  <si>
    <t>https://ftp.ncbi.nlm.nih.gov/genomes/all/GCA/000/223/235/GCA_000223235.2_ASM22323v2</t>
  </si>
  <si>
    <t>SK970</t>
  </si>
  <si>
    <t>https://ftp.ncbi.nlm.nih.gov/genomes/all/GCA/000/223/255/GCA_000223255.2_ASM22325v2</t>
  </si>
  <si>
    <t>GCA_000223275.2</t>
  </si>
  <si>
    <t>HMT-946</t>
  </si>
  <si>
    <t>pittmaniae</t>
  </si>
  <si>
    <t>HK 85</t>
  </si>
  <si>
    <t>https://ftp.ncbi.nlm.nih.gov/genomes/all/GCA/000/223/275/GCA_000223275.2_ASM22327v1</t>
  </si>
  <si>
    <t>GCA_000223295.2</t>
  </si>
  <si>
    <t>HMT-576</t>
  </si>
  <si>
    <t>constellatus</t>
  </si>
  <si>
    <t>SK1060</t>
  </si>
  <si>
    <t>https://ftp.ncbi.nlm.nih.gov/genomes/all/GCA/000/223/295/GCA_000223295.2_ASM22329v1</t>
  </si>
  <si>
    <t>GCA_000223315.2</t>
  </si>
  <si>
    <t>HMT-393</t>
  </si>
  <si>
    <t>sp. HMT-393</t>
  </si>
  <si>
    <t>F0440</t>
  </si>
  <si>
    <t>https://ftp.ncbi.nlm.nih.gov/genomes/all/GCA/000/223/315/GCA_000223315.2_ASM22331v1</t>
  </si>
  <si>
    <t>GCA_000223335.2</t>
  </si>
  <si>
    <t>X</t>
  </si>
  <si>
    <t>https://ftp.ncbi.nlm.nih.gov/genomes/all/GCA/000/223/335/GCA_000223335.2_ASM22333v2</t>
  </si>
  <si>
    <t>GCA_000223355.2</t>
  </si>
  <si>
    <t>F0384</t>
  </si>
  <si>
    <t>https://ftp.ncbi.nlm.nih.gov/genomes/all/GCA/000/223/355/GCA_000223355.2_ASM22335v1</t>
  </si>
  <si>
    <t>GCA_000224255.2</t>
  </si>
  <si>
    <t>HMT-092</t>
  </si>
  <si>
    <t>weaveri</t>
  </si>
  <si>
    <t>LMG 5135</t>
  </si>
  <si>
    <t>https://ftp.ncbi.nlm.nih.gov/genomes/all/GCA/000/224/255/GCA_000224255.2_ASM22425v1</t>
  </si>
  <si>
    <t>GCA_000224275.2</t>
  </si>
  <si>
    <t>ATCC 51223</t>
  </si>
  <si>
    <t>https://ftp.ncbi.nlm.nih.gov/genomes/all/GCA/000/224/275/GCA_000224275.2_ASM22427v2</t>
  </si>
  <si>
    <t>jejuni</t>
  </si>
  <si>
    <t>C561</t>
  </si>
  <si>
    <t>https://ftp.ncbi.nlm.nih.gov/genomes/all/GCA/000/224/595/GCA_000224595.1_Prevotella_sp_C561_V1</t>
  </si>
  <si>
    <t>GCA_000224615.1</t>
  </si>
  <si>
    <t>HMT-288</t>
  </si>
  <si>
    <t>oulorum</t>
  </si>
  <si>
    <t>F0390</t>
  </si>
  <si>
    <t>https://ftp.ncbi.nlm.nih.gov/genomes/all/GCA/000/224/615/GCA_000224615.1_Prev_oulo_F0390_V1</t>
  </si>
  <si>
    <t>GCA_000224635.1</t>
  </si>
  <si>
    <t>6_1_46AFAA</t>
  </si>
  <si>
    <t>https://ftp.ncbi.nlm.nih.gov/genomes/all/GCA/000/224/635/GCA_000224635.1_Desulfovibrio_sp_6_1_46AFAA_V1</t>
  </si>
  <si>
    <t>GCA_000225385.2</t>
  </si>
  <si>
    <t>HMT-755</t>
  </si>
  <si>
    <t>M18</t>
  </si>
  <si>
    <t>https://ftp.ncbi.nlm.nih.gov/genomes/all/GCA/000/225/385/GCA_000225385.2_ASM22538v2</t>
  </si>
  <si>
    <t>GCA_000226155.1</t>
  </si>
  <si>
    <t>HMT-536</t>
  </si>
  <si>
    <t>Pseudomonas</t>
  </si>
  <si>
    <t>aeruginosa</t>
  </si>
  <si>
    <t>https://ftp.ncbi.nlm.nih.gov/genomes/all/GCA/000/226/155/GCA_000226155.1_ASM22615v1</t>
  </si>
  <si>
    <t>GCA_000226315.1</t>
  </si>
  <si>
    <t>HMT-330</t>
  </si>
  <si>
    <t>Micavibrio</t>
  </si>
  <si>
    <t>aeruginosavorus</t>
  </si>
  <si>
    <t>ARL-13</t>
  </si>
  <si>
    <t>https://ftp.ncbi.nlm.nih.gov/genomes/all/GCA/000/226/315/GCA_000226315.1_ASM22631v1</t>
  </si>
  <si>
    <t>GCA_000226495.3</t>
  </si>
  <si>
    <t>ATCC 33389</t>
  </si>
  <si>
    <t>https://ftp.ncbi.nlm.nih.gov/genomes/all/GCA/000/226/495/GCA_000226495.3_ASM22649v3</t>
  </si>
  <si>
    <t>GCA_000227295.1</t>
  </si>
  <si>
    <t>HMT-552</t>
  </si>
  <si>
    <t>avidum</t>
  </si>
  <si>
    <t>ATCC 25577</t>
  </si>
  <si>
    <t>https://ftp.ncbi.nlm.nih.gov/genomes/all/GCA/000/227/295/GCA_000227295.1_ASM22729v1</t>
  </si>
  <si>
    <t>GCA_000227805.2</t>
  </si>
  <si>
    <t>HMT-768</t>
  </si>
  <si>
    <t>sobrinus</t>
  </si>
  <si>
    <t>TCI-13</t>
  </si>
  <si>
    <t>https://ftp.ncbi.nlm.nih.gov/genomes/all/GCA/000/227/805/GCA_000227805.2_SMUT1-NEX_2-13</t>
  </si>
  <si>
    <t>GCA_000227965.2</t>
  </si>
  <si>
    <t>TCI-77</t>
  </si>
  <si>
    <t>https://ftp.ncbi.nlm.nih.gov/genomes/all/GCA/000/227/965/GCA_000227965.2_SMUT1-NEX_10-77</t>
  </si>
  <si>
    <t>GCA_000227985.2</t>
  </si>
  <si>
    <t>TCI-79</t>
  </si>
  <si>
    <t>https://ftp.ncbi.nlm.nih.gov/genomes/all/GCA/000/227/985/GCA_000227985.2_SMUT1-NEX_11-79</t>
  </si>
  <si>
    <t>GCA_000228065.2</t>
  </si>
  <si>
    <t>TCI-107</t>
  </si>
  <si>
    <t>https://ftp.ncbi.nlm.nih.gov/genomes/all/GCA/000/228/065/GCA_000228065.2_SMUT1-NEX_34-107</t>
  </si>
  <si>
    <t>GCA_000228125.2</t>
  </si>
  <si>
    <t>TCI-124</t>
  </si>
  <si>
    <t>https://ftp.ncbi.nlm.nih.gov/genomes/all/GCA/000/228/125/GCA_000228125.2_SMUT1-NEX_62-124</t>
  </si>
  <si>
    <t>GCA_000228245.2</t>
  </si>
  <si>
    <t>TCI-355</t>
  </si>
  <si>
    <t>https://ftp.ncbi.nlm.nih.gov/genomes/all/GCA/000/228/245/GCA_000228245.2_SMUT2-NEX_5-355</t>
  </si>
  <si>
    <t>GCA_000228265.2</t>
  </si>
  <si>
    <t>TCI-357</t>
  </si>
  <si>
    <t>https://ftp.ncbi.nlm.nih.gov/genomes/all/GCA/000/228/265/GCA_000228265.2_SMUT2-NEX_6-357</t>
  </si>
  <si>
    <t>GCA_000228305.2</t>
  </si>
  <si>
    <t>TCI-366</t>
  </si>
  <si>
    <t>https://ftp.ncbi.nlm.nih.gov/genomes/all/GCA/000/228/305/GCA_000228305.2_SMUT2-NEX_8-366</t>
  </si>
  <si>
    <t>GCA_000228445.2</t>
  </si>
  <si>
    <t>TCI-384</t>
  </si>
  <si>
    <t>https://ftp.ncbi.nlm.nih.gov/genomes/all/GCA/000/228/445/GCA_000228445.2_SMUT2-NEX_34-384</t>
  </si>
  <si>
    <t>GCA_000228545.2</t>
  </si>
  <si>
    <t>TCI-118</t>
  </si>
  <si>
    <t>https://ftp.ncbi.nlm.nih.gov/genomes/all/GCA/000/228/545/GCA_000228545.2_SMUT4-NEX_6-118</t>
  </si>
  <si>
    <t>GCA_000228665.2</t>
  </si>
  <si>
    <t>TCI-200</t>
  </si>
  <si>
    <t>https://ftp.ncbi.nlm.nih.gov/genomes/all/GCA/000/228/665/GCA_000228665.2_SMUT6-NEX_1-200</t>
  </si>
  <si>
    <t>GCA_000228745.2</t>
  </si>
  <si>
    <t>TCI-101</t>
  </si>
  <si>
    <t>https://ftp.ncbi.nlm.nih.gov/genomes/all/GCA/000/228/745/GCA_000228745.2_SMUT4-NEX_2-101</t>
  </si>
  <si>
    <t>GCA_000228765.2</t>
  </si>
  <si>
    <t>TCI-109</t>
  </si>
  <si>
    <t>https://ftp.ncbi.nlm.nih.gov/genomes/all/GCA/000/228/765/GCA_000228765.2_SMUT4-NEX_3-109</t>
  </si>
  <si>
    <t>GCA_000228785.2</t>
  </si>
  <si>
    <t>TCI-11</t>
  </si>
  <si>
    <t>https://ftp.ncbi.nlm.nih.gov/genomes/all/GCA/000/228/785/GCA_000228785.2_SMUT3-NEX_4-11</t>
  </si>
  <si>
    <t>GCA_000228805.2</t>
  </si>
  <si>
    <t>TCI-110</t>
  </si>
  <si>
    <t>https://ftp.ncbi.nlm.nih.gov/genomes/all/GCA/000/228/805/GCA_000228805.2_SMUT4-NEX_4-110</t>
  </si>
  <si>
    <t>GCA_000228825.2</t>
  </si>
  <si>
    <t>TCI-116</t>
  </si>
  <si>
    <t>https://ftp.ncbi.nlm.nih.gov/genomes/all/GCA/000/228/825/GCA_000228825.2_SMUT4-NEX_5-116</t>
  </si>
  <si>
    <t>GCA_000228845.2</t>
  </si>
  <si>
    <t>TCI-120</t>
  </si>
  <si>
    <t>https://ftp.ncbi.nlm.nih.gov/genomes/all/GCA/000/228/845/GCA_000228845.2_SMUT4-NEX_7-120</t>
  </si>
  <si>
    <t>GCA_000228865.2</t>
  </si>
  <si>
    <t>TCI-123</t>
  </si>
  <si>
    <t>https://ftp.ncbi.nlm.nih.gov/genomes/all/GCA/000/228/865/GCA_000228865.2_SMUT4-NEX_8-123</t>
  </si>
  <si>
    <t>GCA_000228885.2</t>
  </si>
  <si>
    <t>TCI-125</t>
  </si>
  <si>
    <t>https://ftp.ncbi.nlm.nih.gov/genomes/all/GCA/000/228/885/GCA_000228885.2_SMUT4-NEX_9-125</t>
  </si>
  <si>
    <t>GCA_000228905.2</t>
  </si>
  <si>
    <t>TCI-138</t>
  </si>
  <si>
    <t>https://ftp.ncbi.nlm.nih.gov/genomes/all/GCA/000/228/905/GCA_000228905.2_SMUT4-NEX_10-138</t>
  </si>
  <si>
    <t>GCA_000228925.2</t>
  </si>
  <si>
    <t>TCI-143</t>
  </si>
  <si>
    <t>https://ftp.ncbi.nlm.nih.gov/genomes/all/GCA/000/228/925/GCA_000228925.2_SMUT4-NEX_11-143</t>
  </si>
  <si>
    <t>GCA_000228945.2</t>
  </si>
  <si>
    <t>TCI-145</t>
  </si>
  <si>
    <t>https://ftp.ncbi.nlm.nih.gov/genomes/all/GCA/000/228/945/GCA_000228945.2_SMUT4-NEX_12-145</t>
  </si>
  <si>
    <t>GCA_000228965.2</t>
  </si>
  <si>
    <t>TCI-146</t>
  </si>
  <si>
    <t>https://ftp.ncbi.nlm.nih.gov/genomes/all/GCA/000/228/965/GCA_000228965.2_SMUT4-NEX_21-146</t>
  </si>
  <si>
    <t>GCA_000228985.2</t>
  </si>
  <si>
    <t>TCI-148</t>
  </si>
  <si>
    <t>https://ftp.ncbi.nlm.nih.gov/genomes/all/GCA/000/228/985/GCA_000228985.2_SMUT4-NEX_25-148</t>
  </si>
  <si>
    <t>GCA_000229005.2</t>
  </si>
  <si>
    <t>TCI-149</t>
  </si>
  <si>
    <t>https://ftp.ncbi.nlm.nih.gov/genomes/all/GCA/000/229/005/GCA_000229005.2_SMUT4-NEX_34-149</t>
  </si>
  <si>
    <t>GCA_000229025.2</t>
  </si>
  <si>
    <t>TCI-151</t>
  </si>
  <si>
    <t>https://ftp.ncbi.nlm.nih.gov/genomes/all/GCA/000/229/025/GCA_000229025.2_SMUT4-NEX_50-151</t>
  </si>
  <si>
    <t>GCA_000229045.2</t>
  </si>
  <si>
    <t>TCI-152</t>
  </si>
  <si>
    <t>https://ftp.ncbi.nlm.nih.gov/genomes/all/GCA/000/229/045/GCA_000229045.2_SMUT4-NEX_57-152</t>
  </si>
  <si>
    <t>GCA_000229065.2</t>
  </si>
  <si>
    <t>TCI-153</t>
  </si>
  <si>
    <t>https://ftp.ncbi.nlm.nih.gov/genomes/all/GCA/000/229/065/GCA_000229065.2_SMUT4-NEX_62-153</t>
  </si>
  <si>
    <t>GCA_000229085.2</t>
  </si>
  <si>
    <t>TCI-154</t>
  </si>
  <si>
    <t>https://ftp.ncbi.nlm.nih.gov/genomes/all/GCA/000/229/085/GCA_000229085.2_SMUT4-NEX_78-154</t>
  </si>
  <si>
    <t>GCA_000229105.2</t>
  </si>
  <si>
    <t>TCI-162</t>
  </si>
  <si>
    <t>https://ftp.ncbi.nlm.nih.gov/genomes/all/GCA/000/229/105/GCA_000229105.2_SMUT5-NEX_3-162</t>
  </si>
  <si>
    <t>GCA_000229125.2</t>
  </si>
  <si>
    <t>TCI-163</t>
  </si>
  <si>
    <t>https://ftp.ncbi.nlm.nih.gov/genomes/all/GCA/000/229/125/GCA_000229125.2_SMUT5-NEX_4-163</t>
  </si>
  <si>
    <t>GCA_000229145.2</t>
  </si>
  <si>
    <t>TCI-164</t>
  </si>
  <si>
    <t>https://ftp.ncbi.nlm.nih.gov/genomes/all/GCA/000/229/145/GCA_000229145.2_SMUT5-NEX_5-164</t>
  </si>
  <si>
    <t>GCA_000229165.2</t>
  </si>
  <si>
    <t>TCI-169</t>
  </si>
  <si>
    <t>https://ftp.ncbi.nlm.nih.gov/genomes/all/GCA/000/229/165/GCA_000229165.2_SMUT5-NEX_6-169</t>
  </si>
  <si>
    <t>GCA_000229185.2</t>
  </si>
  <si>
    <t>TCI-170</t>
  </si>
  <si>
    <t>https://ftp.ncbi.nlm.nih.gov/genomes/all/GCA/000/229/185/GCA_000229185.2_SMUT5-NEX_7-170</t>
  </si>
  <si>
    <t>GCA_000229205.2</t>
  </si>
  <si>
    <t>TCI-173</t>
  </si>
  <si>
    <t>https://ftp.ncbi.nlm.nih.gov/genomes/all/GCA/000/229/205/GCA_000229205.2_SMUT5-NEX_9-173</t>
  </si>
  <si>
    <t>GCA_000229225.2</t>
  </si>
  <si>
    <t>TCI-176</t>
  </si>
  <si>
    <t>https://ftp.ncbi.nlm.nih.gov/genomes/all/GCA/000/229/225/GCA_000229225.2_SMUT5-NEX_12-176</t>
  </si>
  <si>
    <t>GCA_000229245.2</t>
  </si>
  <si>
    <t>TCI-177</t>
  </si>
  <si>
    <t>https://ftp.ncbi.nlm.nih.gov/genomes/all/GCA/000/229/245/GCA_000229245.2_SMUT5-NEX_21-177</t>
  </si>
  <si>
    <t>GCA_000229265.2</t>
  </si>
  <si>
    <t>TCI-179</t>
  </si>
  <si>
    <t>https://ftp.ncbi.nlm.nih.gov/genomes/all/GCA/000/229/265/GCA_000229265.2_SMUT5-NEX_34-179</t>
  </si>
  <si>
    <t>GCA_000229285.2</t>
  </si>
  <si>
    <t>TCI-187</t>
  </si>
  <si>
    <t>https://ftp.ncbi.nlm.nih.gov/genomes/all/GCA/000/229/285/GCA_000229285.2_SMUT5-NEX_57-187</t>
  </si>
  <si>
    <t>GCA_000229305.2</t>
  </si>
  <si>
    <t>TCI-191</t>
  </si>
  <si>
    <t>https://ftp.ncbi.nlm.nih.gov/genomes/all/GCA/000/229/305/GCA_000229305.2_SMUT5-NEX_62-191</t>
  </si>
  <si>
    <t>GCA_000229325.2</t>
  </si>
  <si>
    <t>TCI-196</t>
  </si>
  <si>
    <t>https://ftp.ncbi.nlm.nih.gov/genomes/all/GCA/000/229/325/GCA_000229325.2_SMUT5-NEX_93-196</t>
  </si>
  <si>
    <t>GCA_000229345.2</t>
  </si>
  <si>
    <t>TCI-201</t>
  </si>
  <si>
    <t>https://ftp.ncbi.nlm.nih.gov/genomes/all/GCA/000/229/345/GCA_000229345.2_SMUT6-NEX_2-201</t>
  </si>
  <si>
    <t>GCA_000229365.2</t>
  </si>
  <si>
    <t>TCI-202</t>
  </si>
  <si>
    <t>https://ftp.ncbi.nlm.nih.gov/genomes/all/GCA/000/229/365/GCA_000229365.2_SMUT6-NEX_3-202</t>
  </si>
  <si>
    <t>GCA_000229385.2</t>
  </si>
  <si>
    <t>TCI-204</t>
  </si>
  <si>
    <t>https://ftp.ncbi.nlm.nih.gov/genomes/all/GCA/000/229/385/GCA_000229385.2_SMUT6-NEX_4-204</t>
  </si>
  <si>
    <t>GCA_000229405.2</t>
  </si>
  <si>
    <t>TCI-210</t>
  </si>
  <si>
    <t>https://ftp.ncbi.nlm.nih.gov/genomes/all/GCA/000/229/405/GCA_000229405.2_SMUT6-NEX_5-210</t>
  </si>
  <si>
    <t>GCA_000229425.2</t>
  </si>
  <si>
    <t>TCI-212</t>
  </si>
  <si>
    <t>https://ftp.ncbi.nlm.nih.gov/genomes/all/GCA/000/229/425/GCA_000229425.2_SMUT6-NEX_6-212</t>
  </si>
  <si>
    <t>GCA_000229445.2</t>
  </si>
  <si>
    <t>TCI-218</t>
  </si>
  <si>
    <t>https://ftp.ncbi.nlm.nih.gov/genomes/all/GCA/000/229/445/GCA_000229445.2_SMUT6-NEX_8-218</t>
  </si>
  <si>
    <t>GCA_000229465.2</t>
  </si>
  <si>
    <t>TCI-219</t>
  </si>
  <si>
    <t>https://ftp.ncbi.nlm.nih.gov/genomes/all/GCA/000/229/465/GCA_000229465.2_SMUT6-NEX_9-219</t>
  </si>
  <si>
    <t>GCA_000229485.2</t>
  </si>
  <si>
    <t>TCI-220</t>
  </si>
  <si>
    <t>https://ftp.ncbi.nlm.nih.gov/genomes/all/GCA/000/229/485/GCA_000229485.2_SMUT6-NEX_10-220</t>
  </si>
  <si>
    <t>GCA_000229505.2</t>
  </si>
  <si>
    <t>TCI-222</t>
  </si>
  <si>
    <t>https://ftp.ncbi.nlm.nih.gov/genomes/all/GCA/000/229/505/GCA_000229505.2_SMUT6-NEX_11-222</t>
  </si>
  <si>
    <t>GCA_000229525.2</t>
  </si>
  <si>
    <t>TCI-223</t>
  </si>
  <si>
    <t>https://ftp.ncbi.nlm.nih.gov/genomes/all/GCA/000/229/525/GCA_000229525.2_SMUT6-NEX_12-223</t>
  </si>
  <si>
    <t>GCA_000229545.2</t>
  </si>
  <si>
    <t>TCI-224</t>
  </si>
  <si>
    <t>https://ftp.ncbi.nlm.nih.gov/genomes/all/GCA/000/229/545/GCA_000229545.2_SMUT6-NEX_21-224</t>
  </si>
  <si>
    <t>GCA_000229565.2</t>
  </si>
  <si>
    <t>TCI-227</t>
  </si>
  <si>
    <t>https://ftp.ncbi.nlm.nih.gov/genomes/all/GCA/000/229/565/GCA_000229565.2_SMUT6-NEX_25-227</t>
  </si>
  <si>
    <t>GCA_000229585.2</t>
  </si>
  <si>
    <t>TCI-228</t>
  </si>
  <si>
    <t>https://ftp.ncbi.nlm.nih.gov/genomes/all/GCA/000/229/585/GCA_000229585.2_SMUT6-NEX_34-228</t>
  </si>
  <si>
    <t>GCA_000229605.2</t>
  </si>
  <si>
    <t>TCI-234</t>
  </si>
  <si>
    <t>https://ftp.ncbi.nlm.nih.gov/genomes/all/GCA/000/229/605/GCA_000229605.2_SMUT6-NEX_50-234</t>
  </si>
  <si>
    <t>GCA_000229625.2</t>
  </si>
  <si>
    <t>TCI-239</t>
  </si>
  <si>
    <t>https://ftp.ncbi.nlm.nih.gov/genomes/all/GCA/000/229/625/GCA_000229625.2_SMUT6-NEX_57-239</t>
  </si>
  <si>
    <t>GCA_000229645.2</t>
  </si>
  <si>
    <t>TCI-242</t>
  </si>
  <si>
    <t>https://ftp.ncbi.nlm.nih.gov/genomes/all/GCA/000/229/645/GCA_000229645.2_SMUT6-NEX_62-242</t>
  </si>
  <si>
    <t>GCA_000229665.2</t>
  </si>
  <si>
    <t>TCI-243</t>
  </si>
  <si>
    <t>https://ftp.ncbi.nlm.nih.gov/genomes/all/GCA/000/229/665/GCA_000229665.2_SMUT6-NEX_78-243</t>
  </si>
  <si>
    <t>GCA_000229685.2</t>
  </si>
  <si>
    <t>TCI-244</t>
  </si>
  <si>
    <t>https://ftp.ncbi.nlm.nih.gov/genomes/all/GCA/000/229/685/GCA_000229685.2_SMUT6-NEX_93-244</t>
  </si>
  <si>
    <t>GCA_000229705.2</t>
  </si>
  <si>
    <t>TCI-249</t>
  </si>
  <si>
    <t>https://ftp.ncbi.nlm.nih.gov/genomes/all/GCA/000/229/705/GCA_000229705.2_SMUT7-NEX_2-249</t>
  </si>
  <si>
    <t>GCA_000229725.2</t>
  </si>
  <si>
    <t>TCI-256</t>
  </si>
  <si>
    <t>https://ftp.ncbi.nlm.nih.gov/genomes/all/GCA/000/229/725/GCA_000229725.2_SMUT7-NEX_4-256</t>
  </si>
  <si>
    <t>GCA_000229745.2</t>
  </si>
  <si>
    <t>TCI-260</t>
  </si>
  <si>
    <t>https://ftp.ncbi.nlm.nih.gov/genomes/all/GCA/000/229/745/GCA_000229745.2_SMUT7-NEX_5-260</t>
  </si>
  <si>
    <t>GCA_000229765.2</t>
  </si>
  <si>
    <t>TCI-264</t>
  </si>
  <si>
    <t>https://ftp.ncbi.nlm.nih.gov/genomes/all/GCA/000/229/765/GCA_000229765.2_SMUT7-NEX_6-264</t>
  </si>
  <si>
    <t>GCA_000229785.2</t>
  </si>
  <si>
    <t>TCI-267</t>
  </si>
  <si>
    <t>https://ftp.ncbi.nlm.nih.gov/genomes/all/GCA/000/229/785/GCA_000229785.2_SMUT7-NEX_7-267</t>
  </si>
  <si>
    <t>GCA_000229805.2</t>
  </si>
  <si>
    <t>TCI-268</t>
  </si>
  <si>
    <t>https://ftp.ncbi.nlm.nih.gov/genomes/all/GCA/000/229/805/GCA_000229805.2_SMUT7-NEX_8-268</t>
  </si>
  <si>
    <t>GCA_000229825.2</t>
  </si>
  <si>
    <t>TCI-278</t>
  </si>
  <si>
    <t>https://ftp.ncbi.nlm.nih.gov/genomes/all/GCA/000/229/825/GCA_000229825.2_SMUT7-NEX_9-278</t>
  </si>
  <si>
    <t>GCA_000229845.2</t>
  </si>
  <si>
    <t>TCI-279</t>
  </si>
  <si>
    <t>https://ftp.ncbi.nlm.nih.gov/genomes/all/GCA/000/229/845/GCA_000229845.2_SMUT7-NEX_10-279</t>
  </si>
  <si>
    <t>GCA_000229865.2</t>
  </si>
  <si>
    <t>TCI-280</t>
  </si>
  <si>
    <t>https://ftp.ncbi.nlm.nih.gov/genomes/all/GCA/000/229/865/GCA_000229865.2_SMUT7-NEX_11-280</t>
  </si>
  <si>
    <t>GCA_000229885.2</t>
  </si>
  <si>
    <t>TCI-289</t>
  </si>
  <si>
    <t>https://ftp.ncbi.nlm.nih.gov/genomes/all/GCA/000/229/885/GCA_000229885.2_SMUT7-NEX_12-289</t>
  </si>
  <si>
    <t>GCA_000229905.2</t>
  </si>
  <si>
    <t>TCI-292</t>
  </si>
  <si>
    <t>https://ftp.ncbi.nlm.nih.gov/genomes/all/GCA/000/229/905/GCA_000229905.2_SMUT7-NEX_21-292</t>
  </si>
  <si>
    <t>GCA_000229925.2</t>
  </si>
  <si>
    <t>TCI-294</t>
  </si>
  <si>
    <t>https://ftp.ncbi.nlm.nih.gov/genomes/all/GCA/000/229/925/GCA_000229925.2_SMUT7-NEX_25-294</t>
  </si>
  <si>
    <t>GCA_000229945.2</t>
  </si>
  <si>
    <t>TCI-298</t>
  </si>
  <si>
    <t>https://ftp.ncbi.nlm.nih.gov/genomes/all/GCA/000/229/945/GCA_000229945.2_SMUT7-NEX_34-298</t>
  </si>
  <si>
    <t>GCA_000229965.2</t>
  </si>
  <si>
    <t>TCI-30</t>
  </si>
  <si>
    <t>https://ftp.ncbi.nlm.nih.gov/genomes/all/GCA/000/229/965/GCA_000229965.2_SMUT3-NEX_6-30</t>
  </si>
  <si>
    <t>GCA_000229985.2</t>
  </si>
  <si>
    <t>TCI-399</t>
  </si>
  <si>
    <t>https://ftp.ncbi.nlm.nih.gov/genomes/all/GCA/000/229/985/GCA_000229985.2_SMUT3-NEX_1-399</t>
  </si>
  <si>
    <t>GCA_000230005.2</t>
  </si>
  <si>
    <t>TCI-400</t>
  </si>
  <si>
    <t>https://ftp.ncbi.nlm.nih.gov/genomes/all/GCA/000/230/005/GCA_000230005.2_SMUT3-NEX_2-400</t>
  </si>
  <si>
    <t>GCA_000230025.2</t>
  </si>
  <si>
    <t>TCI-51</t>
  </si>
  <si>
    <t>https://ftp.ncbi.nlm.nih.gov/genomes/all/GCA/000/230/025/GCA_000230025.2_SMUT3-NEX_9-51</t>
  </si>
  <si>
    <t>GCA_000230045.2</t>
  </si>
  <si>
    <t>TCI-62</t>
  </si>
  <si>
    <t>https://ftp.ncbi.nlm.nih.gov/genomes/all/GCA/000/230/045/GCA_000230045.2_SMUT3-NEX_10-62</t>
  </si>
  <si>
    <t>GCA_000230065.2</t>
  </si>
  <si>
    <t>TCI-70</t>
  </si>
  <si>
    <t>https://ftp.ncbi.nlm.nih.gov/genomes/all/GCA/000/230/065/GCA_000230065.2_SMUT3-NEX_11-70</t>
  </si>
  <si>
    <t>GCA_000230085.2</t>
  </si>
  <si>
    <t>TCI-75</t>
  </si>
  <si>
    <t>https://ftp.ncbi.nlm.nih.gov/genomes/all/GCA/000/230/085/GCA_000230085.2_SMUT3-NEX_21-75</t>
  </si>
  <si>
    <t>GCA_000230105.2</t>
  </si>
  <si>
    <t>TCI-78</t>
  </si>
  <si>
    <t>https://ftp.ncbi.nlm.nih.gov/genomes/all/GCA/000/230/105/GCA_000230105.2_SMUT3-NEX_25-78</t>
  </si>
  <si>
    <t>GCA_000230125.2</t>
  </si>
  <si>
    <t>TCI-82</t>
  </si>
  <si>
    <t>https://ftp.ncbi.nlm.nih.gov/genomes/all/GCA/000/230/125/GCA_000230125.2_SMUT3-NEX_34-82</t>
  </si>
  <si>
    <t>GCA_000230145.2</t>
  </si>
  <si>
    <t>TCI-85</t>
  </si>
  <si>
    <t>https://ftp.ncbi.nlm.nih.gov/genomes/all/GCA/000/230/145/GCA_000230145.2_SMUT3-NEX_50-85</t>
  </si>
  <si>
    <t>GCA_000230165.2</t>
  </si>
  <si>
    <t>TCI-86</t>
  </si>
  <si>
    <t>https://ftp.ncbi.nlm.nih.gov/genomes/all/GCA/000/230/165/GCA_000230165.2_SMUT3-NEX_57-86</t>
  </si>
  <si>
    <t>GCA_000230185.2</t>
  </si>
  <si>
    <t>TCI-92</t>
  </si>
  <si>
    <t>https://ftp.ncbi.nlm.nih.gov/genomes/all/GCA/000/230/185/GCA_000230185.2_SMUT3-NEX_62-92</t>
  </si>
  <si>
    <t>GCA_000230205.2</t>
  </si>
  <si>
    <t>TCI-96</t>
  </si>
  <si>
    <t>https://ftp.ncbi.nlm.nih.gov/genomes/all/GCA/000/230/205/GCA_000230205.2_SMUT3-NEX_93-96</t>
  </si>
  <si>
    <t>GCA_000230225.2</t>
  </si>
  <si>
    <t>TCI-99</t>
  </si>
  <si>
    <t>https://ftp.ncbi.nlm.nih.gov/genomes/all/GCA/000/230/225/GCA_000230225.2_SMUT4-NEX_1-99</t>
  </si>
  <si>
    <t>GCA_000231215.1</t>
  </si>
  <si>
    <t>ATCC 11828</t>
  </si>
  <si>
    <t>https://ftp.ncbi.nlm.nih.gov/genomes/all/GCA/000/231/215/GCA_000231215.1_ASM23121v1</t>
  </si>
  <si>
    <t>GCA_000231235.1</t>
  </si>
  <si>
    <t>M508</t>
  </si>
  <si>
    <t>https://ftp.ncbi.nlm.nih.gov/genomes/all/GCA/000/231/235/GCA_000231235.1_Roth_muci_M508_V1</t>
  </si>
  <si>
    <t>GCA_000231255.1</t>
  </si>
  <si>
    <t>F0387</t>
  </si>
  <si>
    <t>https://ftp.ncbi.nlm.nih.gov/genomes/all/GCA/000/231/255/GCA_000231255.1_Aggr_aphr_F0387_V1</t>
  </si>
  <si>
    <t>GCA_000231985.2</t>
  </si>
  <si>
    <t>4027-06</t>
  </si>
  <si>
    <t>https://ftp.ncbi.nlm.nih.gov/genomes/all/GCA/000/231/985/GCA_000231985.2_ASM23198v2</t>
  </si>
  <si>
    <t>GCA_000232445.2</t>
  </si>
  <si>
    <t>GA07643</t>
  </si>
  <si>
    <t>https://ftp.ncbi.nlm.nih.gov/genomes/all/GCA/000/232/445/GCA_000232445.2_ASM23244v2</t>
  </si>
  <si>
    <t>GCA_000232645.2</t>
  </si>
  <si>
    <t>GA16121</t>
  </si>
  <si>
    <t>https://ftp.ncbi.nlm.nih.gov/genomes/all/GCA/000/232/645/GCA_000232645.2_ASM23264v2</t>
  </si>
  <si>
    <t>GCA_000232985.2</t>
  </si>
  <si>
    <t>GA47388</t>
  </si>
  <si>
    <t>https://ftp.ncbi.nlm.nih.gov/genomes/all/GCA/000/232/985/GCA_000232985.2_ASM23298v2</t>
  </si>
  <si>
    <t>GCA_000233105.2</t>
  </si>
  <si>
    <t>GA54644</t>
  </si>
  <si>
    <t>https://ftp.ncbi.nlm.nih.gov/genomes/all/GCA/000/233/105/GCA_000233105.2_ASM23310v2</t>
  </si>
  <si>
    <t>GCA_000233225.2</t>
  </si>
  <si>
    <t>3063-00</t>
  </si>
  <si>
    <t>https://ftp.ncbi.nlm.nih.gov/genomes/all/GCA/000/233/225/GCA_000233225.2_ASM23322v2</t>
  </si>
  <si>
    <t>GCA_000233265.2</t>
  </si>
  <si>
    <t>GA07228</t>
  </si>
  <si>
    <t>https://ftp.ncbi.nlm.nih.gov/genomes/all/GCA/000/233/265/GCA_000233265.2_ASM23326v2</t>
  </si>
  <si>
    <t>GCA_000233305.2</t>
  </si>
  <si>
    <t>GA19690</t>
  </si>
  <si>
    <t>https://ftp.ncbi.nlm.nih.gov/genomes/all/GCA/000/233/305/GCA_000233305.2_ASM23330v2</t>
  </si>
  <si>
    <t>GCA_000233535.1</t>
  </si>
  <si>
    <t>HMT-809</t>
  </si>
  <si>
    <t>phocaeensis</t>
  </si>
  <si>
    <t>F0356</t>
  </si>
  <si>
    <t>https://ftp.ncbi.nlm.nih.gov/genomes/all/GCA/000/233/535/GCA_000233535.1_Olsenella_sp_F0356_V1</t>
  </si>
  <si>
    <t>GCA_000234015.1</t>
  </si>
  <si>
    <t>F0395</t>
  </si>
  <si>
    <t>https://ftp.ncbi.nlm.nih.gov/genomes/all/GCA/000/234/015/GCA_000234015.1_Stre_inte_F0395_V1</t>
  </si>
  <si>
    <t>GCA_000234035.1</t>
  </si>
  <si>
    <t>HMT-644</t>
  </si>
  <si>
    <t>intermedius</t>
  </si>
  <si>
    <t>F0413</t>
  </si>
  <si>
    <t>https://ftp.ncbi.nlm.nih.gov/genomes/all/GCA/000/234/035/GCA_000234035.1_Stre_inte_F0413_V1</t>
  </si>
  <si>
    <t>histicola</t>
  </si>
  <si>
    <t>F0411</t>
  </si>
  <si>
    <t>https://ftp.ncbi.nlm.nih.gov/genomes/all/GCA/000/234/055/GCA_000234055.1_Prev_hist_F0411_V1</t>
  </si>
  <si>
    <t>GCA_000234075.2</t>
  </si>
  <si>
    <t>F0401</t>
  </si>
  <si>
    <t>https://ftp.ncbi.nlm.nih.gov/genomes/all/GCA/000/234/075/GCA_000234075.2_Fuso_nucl_F0401_V2</t>
  </si>
  <si>
    <t>GCA_000234095.1</t>
  </si>
  <si>
    <t>HMT-639</t>
  </si>
  <si>
    <t>infelix</t>
  </si>
  <si>
    <t>ATCC 43532</t>
  </si>
  <si>
    <t>https://ftp.ncbi.nlm.nih.gov/genomes/all/GCA/000/234/095/GCA_000234095.1_Sele_infe_ATCC_43532_V1</t>
  </si>
  <si>
    <t>rava</t>
  </si>
  <si>
    <t>F0323</t>
  </si>
  <si>
    <t>https://ftp.ncbi.nlm.nih.gov/genomes/all/GCA/000/234/115/GCA_000234115.1_Prevotella_sp_F0323_V1</t>
  </si>
  <si>
    <t>GCA_000234135.1</t>
  </si>
  <si>
    <t>F0398</t>
  </si>
  <si>
    <t>https://ftp.ncbi.nlm.nih.gov/genomes/all/GCA/000/234/135/GCA_000234135.1_Sele_noxi_F0398_V1</t>
  </si>
  <si>
    <t>GCA_000235445.1</t>
  </si>
  <si>
    <t>HMT-635</t>
  </si>
  <si>
    <t>Johnsonella</t>
  </si>
  <si>
    <t>ignava</t>
  </si>
  <si>
    <t>ATCC 51276</t>
  </si>
  <si>
    <t>https://ftp.ncbi.nlm.nih.gov/genomes/all/GCA/000/235/445/GCA_000235445.1_John_igna_ATCC_51276_V1</t>
  </si>
  <si>
    <t>GCA_000235465.1</t>
  </si>
  <si>
    <t>HMT-370</t>
  </si>
  <si>
    <t>sp. HMT-370</t>
  </si>
  <si>
    <t>F0437</t>
  </si>
  <si>
    <t>https://ftp.ncbi.nlm.nih.gov/genomes/all/GCA/000/235/465/GCA_000235465.1_ASM23546v1</t>
  </si>
  <si>
    <t>GCA_000235485.1</t>
  </si>
  <si>
    <t>HMT-058</t>
  </si>
  <si>
    <t>sp. HMT-058</t>
  </si>
  <si>
    <t>F0407</t>
  </si>
  <si>
    <t>https://ftp.ncbi.nlm.nih.gov/genomes/all/GCA/000/235/485/GCA_000235485.1_ASM23548v1</t>
  </si>
  <si>
    <t>GCA_000237125.3</t>
  </si>
  <si>
    <t>M013</t>
  </si>
  <si>
    <t>https://ftp.ncbi.nlm.nih.gov/genomes/all/GCA/000/237/125/GCA_000237125.3_ASM23712v3</t>
  </si>
  <si>
    <t>GCA_000237265.1</t>
  </si>
  <si>
    <t>LGA251</t>
  </si>
  <si>
    <t>https://ftp.ncbi.nlm.nih.gov/genomes/all/GCA/000/237/265/GCA_000237265.1_ASM23726v1</t>
  </si>
  <si>
    <t>GCA_000237805.1</t>
  </si>
  <si>
    <t>DSM 22815</t>
  </si>
  <si>
    <t>https://ftp.ncbi.nlm.nih.gov/genomes/all/GCA/000/237/805/GCA_000237805.1_ASM23780v1</t>
  </si>
  <si>
    <t>GCA_000238055.2</t>
  </si>
  <si>
    <t>HMT-934</t>
  </si>
  <si>
    <t>ACB1</t>
  </si>
  <si>
    <t>https://ftp.ncbi.nlm.nih.gov/genomes/all/GCA/000/238/055/GCA_000238055.2_Oribacterium_sp_ACB1_V2</t>
  </si>
  <si>
    <t>GCA_000238075.1</t>
  </si>
  <si>
    <t>ACB7</t>
  </si>
  <si>
    <t>https://ftp.ncbi.nlm.nih.gov/genomes/all/GCA/000/238/075/GCA_000238075.1_Oribacterium_sp_ACB7_V1</t>
  </si>
  <si>
    <t>GCA_000238095.2</t>
  </si>
  <si>
    <t>HMT-081</t>
  </si>
  <si>
    <t>CM2</t>
  </si>
  <si>
    <t>https://ftp.ncbi.nlm.nih.gov/genomes/all/GCA/000/238/095/GCA_000238095.2_Euba_bact_CM2_V2</t>
  </si>
  <si>
    <t>GCA_000238115.1</t>
  </si>
  <si>
    <t>ACC19a</t>
  </si>
  <si>
    <t>https://ftp.ncbi.nlm.nih.gov/genomes/all/GCA/000/238/115/GCA_000238115.1_Euba_bact_ACC19a_V1</t>
  </si>
  <si>
    <t>GCA_000238135.1</t>
  </si>
  <si>
    <t>CM5</t>
  </si>
  <si>
    <t>https://ftp.ncbi.nlm.nih.gov/genomes/all/GCA/000/238/135/GCA_000238135.1_Eubact_bact_CM5_V1</t>
  </si>
  <si>
    <t>Tannerella</t>
  </si>
  <si>
    <t>forsythia</t>
  </si>
  <si>
    <t>92A2</t>
  </si>
  <si>
    <t>https://ftp.ncbi.nlm.nih.gov/genomes/all/GCA/000/238/215/GCA_000238215.1_ASM23821v1</t>
  </si>
  <si>
    <t>GCA_000238755.1</t>
  </si>
  <si>
    <t>10_1_50</t>
  </si>
  <si>
    <t>https://ftp.ncbi.nlm.nih.gov/genomes/all/GCA/000/238/755/GCA_000238755.1_Campylobacter_sp_10_1_50_V1</t>
  </si>
  <si>
    <t>GCA_000238795.2</t>
  </si>
  <si>
    <t>HMT-944</t>
  </si>
  <si>
    <t>sputorum</t>
  </si>
  <si>
    <t>CCUG 13788</t>
  </si>
  <si>
    <t>https://ftp.ncbi.nlm.nih.gov/genomes/all/GCA/000/238/795/GCA_000238795.2_ASM23879v2</t>
  </si>
  <si>
    <t>GCA_000238835.1</t>
  </si>
  <si>
    <t>HMT-418</t>
  </si>
  <si>
    <t>parafarraginis</t>
  </si>
  <si>
    <t>F0439</t>
  </si>
  <si>
    <t>https://ftp.ncbi.nlm.nih.gov/genomes/all/GCA/000/238/835/GCA_000238835.1_ASM23883v1</t>
  </si>
  <si>
    <t>GCA_000239235.1</t>
  </si>
  <si>
    <t>11819-97</t>
  </si>
  <si>
    <t>https://ftp.ncbi.nlm.nih.gov/genomes/all/GCA/000/239/235/GCA_000239235.1_ASM23923v1</t>
  </si>
  <si>
    <t>GCA_000239275.1</t>
  </si>
  <si>
    <t>HMT-121</t>
  </si>
  <si>
    <t>Anaeroglobus</t>
  </si>
  <si>
    <t>geminatus</t>
  </si>
  <si>
    <t>F0357</t>
  </si>
  <si>
    <t>https://ftp.ncbi.nlm.nih.gov/genomes/all/GCA/000/239/275/GCA_000239275.1_ASM23927v1</t>
  </si>
  <si>
    <t>valvarum</t>
  </si>
  <si>
    <t>F0432</t>
  </si>
  <si>
    <t>https://ftp.ncbi.nlm.nih.gov/genomes/all/GCA/000/239/355/GCA_000239355.1_ASM23935v1</t>
  </si>
  <si>
    <t>graevenitzii</t>
  </si>
  <si>
    <t>C83</t>
  </si>
  <si>
    <t>https://ftp.ncbi.nlm.nih.gov/genomes/all/GCA/000/239/695/GCA_000239695.1_Acti_grae_C83_V1</t>
  </si>
  <si>
    <t>GCA_000239715.1</t>
  </si>
  <si>
    <t>HMT-849</t>
  </si>
  <si>
    <t>F0330</t>
  </si>
  <si>
    <t>https://ftp.ncbi.nlm.nih.gov/genomes/all/GCA/000/239/715/GCA_000239715.1_Actinomyces_sp_F0330_V1</t>
  </si>
  <si>
    <t>GCA_000240015.1</t>
  </si>
  <si>
    <t>P.acn33</t>
  </si>
  <si>
    <t>https://ftp.ncbi.nlm.nih.gov/genomes/all/GCA/000/240/015/GCA_000240015.1_ASM24001v1</t>
  </si>
  <si>
    <t>GCA_000240035.1</t>
  </si>
  <si>
    <t>P.acn17</t>
  </si>
  <si>
    <t>https://ftp.ncbi.nlm.nih.gov/genomes/all/GCA/000/240/035/GCA_000240035.1_ASM24003v1</t>
  </si>
  <si>
    <t>GCA_000240055.1</t>
  </si>
  <si>
    <t>P.acn31</t>
  </si>
  <si>
    <t>https://ftp.ncbi.nlm.nih.gov/genomes/all/GCA/000/240/055/GCA_000240055.1_ASM24005v1</t>
  </si>
  <si>
    <t>GCA_000241025.2</t>
  </si>
  <si>
    <t>ANH9381</t>
  </si>
  <si>
    <t>https://ftp.ncbi.nlm.nih.gov/genomes/all/GCA/000/241/025/GCA_000241025.2_ASM24102v2</t>
  </si>
  <si>
    <t>GCA_000241525.2</t>
  </si>
  <si>
    <t>HMT-858</t>
  </si>
  <si>
    <t>Comamonas</t>
  </si>
  <si>
    <t>testosteroni</t>
  </si>
  <si>
    <t>ATCC 11996</t>
  </si>
  <si>
    <t>https://ftp.ncbi.nlm.nih.gov/genomes/all/GCA/000/241/525/GCA_000241525.2_ASM24152v2</t>
  </si>
  <si>
    <t>GCA_000241915.1</t>
  </si>
  <si>
    <t>HMT-591</t>
  </si>
  <si>
    <t>diphtheriae</t>
  </si>
  <si>
    <t>INCA 402</t>
  </si>
  <si>
    <t>https://ftp.ncbi.nlm.nih.gov/genomes/all/GCA/000/241/915/GCA_000241915.1_ASM24191v1</t>
  </si>
  <si>
    <t>GCA_000242235.1</t>
  </si>
  <si>
    <t>HMT-419</t>
  </si>
  <si>
    <t>Stomatobaculum</t>
  </si>
  <si>
    <t>ACC2</t>
  </si>
  <si>
    <t>https://ftp.ncbi.nlm.nih.gov/genomes/all/GCA/000/242/235/GCA_000242235.1_Lach_bact_ACC2_V1</t>
  </si>
  <si>
    <t>GCA_000242275.1</t>
  </si>
  <si>
    <t>HMT-424</t>
  </si>
  <si>
    <t>kisonensis</t>
  </si>
  <si>
    <t>F0435</t>
  </si>
  <si>
    <t>https://ftp.ncbi.nlm.nih.gov/genomes/all/GCA/000/242/275/GCA_000242275.1_ASM24227v1</t>
  </si>
  <si>
    <t>GCA_000242295.1</t>
  </si>
  <si>
    <t>F0397</t>
  </si>
  <si>
    <t>https://ftp.ncbi.nlm.nih.gov/genomes/all/GCA/000/242/295/GCA_000242295.1_ASM24229v1</t>
  </si>
  <si>
    <t>GCA_000242315.1</t>
  </si>
  <si>
    <t>HMT-082</t>
  </si>
  <si>
    <t>orale</t>
  </si>
  <si>
    <t>F0431</t>
  </si>
  <si>
    <t>https://ftp.ncbi.nlm.nih.gov/genomes/all/GCA/000/242/315/GCA_000242315.1_ASM24231v1</t>
  </si>
  <si>
    <t>GCA_000242335.3</t>
  </si>
  <si>
    <t>https://ftp.ncbi.nlm.nih.gov/genomes/all/GCA/000/242/335/GCA_000242335.3_ASM24233v3</t>
  </si>
  <si>
    <t>GCA_000242675.1</t>
  </si>
  <si>
    <t>HMT-105</t>
  </si>
  <si>
    <t>Anaerovoracaceae [G1]</t>
  </si>
  <si>
    <t>infirmum</t>
  </si>
  <si>
    <t>F0142</t>
  </si>
  <si>
    <t>https://ftp.ncbi.nlm.nih.gov/genomes/all/GCA/000/242/675/GCA_000242675.1_Euba_infi_F0142_V1</t>
  </si>
  <si>
    <t>GCA_000242975.1</t>
  </si>
  <si>
    <t>OT 420</t>
  </si>
  <si>
    <t>https://ftp.ncbi.nlm.nih.gov/genomes/all/GCA/000/242/975/GCA_000242975.1_Fuso_nucl_OT_420_V1</t>
  </si>
  <si>
    <t>maculosa</t>
  </si>
  <si>
    <t>OT 289</t>
  </si>
  <si>
    <t>https://ftp.ncbi.nlm.nih.gov/genomes/all/GCA/000/243/015/GCA_000243015.1_Prev_macu_OT_289_V1</t>
  </si>
  <si>
    <t>GCA_000243035.1</t>
  </si>
  <si>
    <t>HMT-378</t>
  </si>
  <si>
    <t>micans</t>
  </si>
  <si>
    <t>F0438</t>
  </si>
  <si>
    <t>https://ftp.ncbi.nlm.nih.gov/genomes/all/GCA/000/243/035/GCA_000243035.1_Prev_mica_F0438_V1</t>
  </si>
  <si>
    <t>GCA_000245495.1</t>
  </si>
  <si>
    <t>VC40</t>
  </si>
  <si>
    <t>https://ftp.ncbi.nlm.nih.gov/genomes/all/GCA/000/245/495/GCA_000245495.1_ASM24549v1</t>
  </si>
  <si>
    <t>GCA_000245815.1</t>
  </si>
  <si>
    <t>HMT-813</t>
  </si>
  <si>
    <t>Dolosigranulum</t>
  </si>
  <si>
    <t>pigrum</t>
  </si>
  <si>
    <t>ATCC 51524</t>
  </si>
  <si>
    <t>https://ftp.ncbi.nlm.nih.gov/genomes/all/GCA/000/245/815/GCA_000245815.1_Dolo_pigr_ATCC_51524_V1</t>
  </si>
  <si>
    <t>GCA_000246925.2</t>
  </si>
  <si>
    <t>HMT-784</t>
  </si>
  <si>
    <t>lacydonensis</t>
  </si>
  <si>
    <t>https://ftp.ncbi.nlm.nih.gov/genomes/all/GCA/000/246/925/GCA_000246925.2_ASM24692v2</t>
  </si>
  <si>
    <t>GCA_000247225.2</t>
  </si>
  <si>
    <t>VCU139</t>
  </si>
  <si>
    <t>https://ftp.ncbi.nlm.nih.gov/genomes/all/GCA/000/247/225/GCA_000247225.2_ASM24722v2</t>
  </si>
  <si>
    <t>GCA_000248355.2</t>
  </si>
  <si>
    <t>HMT-005</t>
  </si>
  <si>
    <t>lwoffii</t>
  </si>
  <si>
    <t>NCTC 5866</t>
  </si>
  <si>
    <t>https://ftp.ncbi.nlm.nih.gov/genomes/all/GCA/000/248/355/GCA_000248355.2_ASM24835v2</t>
  </si>
  <si>
    <t>GCA_000251085.2</t>
  </si>
  <si>
    <t>ST556</t>
  </si>
  <si>
    <t>https://ftp.ncbi.nlm.nih.gov/genomes/all/GCA/000/251/085/GCA_000251085.2_ASM25108v2</t>
  </si>
  <si>
    <t>GCA_000251385.2</t>
  </si>
  <si>
    <t>GA07914</t>
  </si>
  <si>
    <t>https://ftp.ncbi.nlm.nih.gov/genomes/all/GCA/000/251/385/GCA_000251385.2_ASM25138v2</t>
  </si>
  <si>
    <t>GCA_000251565.2</t>
  </si>
  <si>
    <t>GA18068</t>
  </si>
  <si>
    <t>https://ftp.ncbi.nlm.nih.gov/genomes/all/GCA/000/251/565/GCA_000251565.2_ASM25156v2</t>
  </si>
  <si>
    <t>GCA_000251605.2</t>
  </si>
  <si>
    <t>GA19923</t>
  </si>
  <si>
    <t>https://ftp.ncbi.nlm.nih.gov/genomes/all/GCA/000/251/605/GCA_000251605.2_ASM25160v2</t>
  </si>
  <si>
    <t>GCA_000251805.2</t>
  </si>
  <si>
    <t>GA47210</t>
  </si>
  <si>
    <t>https://ftp.ncbi.nlm.nih.gov/genomes/all/GCA/000/251/805/GCA_000251805.2_ASM25180v2</t>
  </si>
  <si>
    <t>GCA_000251825.2</t>
  </si>
  <si>
    <t>GA47461</t>
  </si>
  <si>
    <t>https://ftp.ncbi.nlm.nih.gov/genomes/all/GCA/000/251/825/GCA_000251825.2_ASM25182v2</t>
  </si>
  <si>
    <t>GCA_000251945.2</t>
  </si>
  <si>
    <t>GA49194</t>
  </si>
  <si>
    <t>https://ftp.ncbi.nlm.nih.gov/genomes/all/GCA/000/251/945/GCA_000251945.2_ASM25194v2</t>
  </si>
  <si>
    <t>GCA_000252065.2</t>
  </si>
  <si>
    <t>4075-00</t>
  </si>
  <si>
    <t>https://ftp.ncbi.nlm.nih.gov/genomes/all/GCA/000/252/065/GCA_000252065.2_ASM25206v2</t>
  </si>
  <si>
    <t>GCA_000252205.2</t>
  </si>
  <si>
    <t>GA02506</t>
  </si>
  <si>
    <t>https://ftp.ncbi.nlm.nih.gov/genomes/all/GCA/000/252/205/GCA_000252205.2_ASM25220v2</t>
  </si>
  <si>
    <t>GCA_000252225.2</t>
  </si>
  <si>
    <t>England14-9</t>
  </si>
  <si>
    <t>https://ftp.ncbi.nlm.nih.gov/genomes/all/GCA/000/252/225/GCA_000252225.2_ASM25222v2</t>
  </si>
  <si>
    <t>GCA_000252245.2</t>
  </si>
  <si>
    <t>GA05578</t>
  </si>
  <si>
    <t>https://ftp.ncbi.nlm.nih.gov/genomes/all/GCA/000/252/245/GCA_000252245.2_ASM25224v2</t>
  </si>
  <si>
    <t>GCA_000252265.2</t>
  </si>
  <si>
    <t>NP141</t>
  </si>
  <si>
    <t>https://ftp.ncbi.nlm.nih.gov/genomes/all/GCA/000/252/265/GCA_000252265.2_ASM25226v2</t>
  </si>
  <si>
    <t>GCA_000253135.1</t>
  </si>
  <si>
    <t>ECT-R 2</t>
  </si>
  <si>
    <t>https://ftp.ncbi.nlm.nih.gov/genomes/all/GCA/000/253/135/GCA_000253135.1_ASM25313v1</t>
  </si>
  <si>
    <t>GCA_000253155.1</t>
  </si>
  <si>
    <t>Uo5</t>
  </si>
  <si>
    <t>https://ftp.ncbi.nlm.nih.gov/genomes/all/GCA/000/253/155/GCA_000253155.1_ASM25315v1</t>
  </si>
  <si>
    <t>GCA_000253215.1</t>
  </si>
  <si>
    <t>WUE 2594</t>
  </si>
  <si>
    <t>https://ftp.ncbi.nlm.nih.gov/genomes/all/GCA/000/253/215/GCA_000253215.1_ASM25321v1</t>
  </si>
  <si>
    <t>GCA_000253315.1</t>
  </si>
  <si>
    <t>JIM8777</t>
  </si>
  <si>
    <t>https://ftp.ncbi.nlm.nih.gov/genomes/all/GCA/000/253/315/GCA_000253315.1_ASM25331v1</t>
  </si>
  <si>
    <t>GCA_000253335.1</t>
  </si>
  <si>
    <t>CCHSS3</t>
  </si>
  <si>
    <t>https://ftp.ncbi.nlm.nih.gov/genomes/all/GCA/000/253/335/GCA_000253335.1_ASM25333v1</t>
  </si>
  <si>
    <t>GCA_000255635.1</t>
  </si>
  <si>
    <t>PYKK081</t>
  </si>
  <si>
    <t>https://ftp.ncbi.nlm.nih.gov/genomes/all/GCA/000/255/635/GCA_000255635.1_ASM25563v1</t>
  </si>
  <si>
    <t>GCA_000256645.1</t>
  </si>
  <si>
    <t>SV36</t>
  </si>
  <si>
    <t>https://ftp.ncbi.nlm.nih.gov/genomes/all/GCA/000/256/645/GCA_000256645.1_ASM25664v1</t>
  </si>
  <si>
    <t>GCA_000257275.1</t>
  </si>
  <si>
    <t>P12b</t>
  </si>
  <si>
    <t>https://ftp.ncbi.nlm.nih.gov/genomes/all/GCA/000/257/275/GCA_000257275.1_ASM25727v1</t>
  </si>
  <si>
    <t>GCA_000257705.1</t>
  </si>
  <si>
    <t>F0468</t>
  </si>
  <si>
    <t>https://ftp.ncbi.nlm.nih.gov/genomes/all/GCA/000/257/705/GCA_000257705.1_EsaburreumF0468v1.0</t>
  </si>
  <si>
    <t>GCA_000257765.1</t>
  </si>
  <si>
    <t>CCUG 39159</t>
  </si>
  <si>
    <t>https://ftp.ncbi.nlm.nih.gov/genomes/all/GCA/000/257/765/GCA_000257765.1_ASM25776v1</t>
  </si>
  <si>
    <t>GCA_000257785.1</t>
  </si>
  <si>
    <t>SK53</t>
  </si>
  <si>
    <t>https://ftp.ncbi.nlm.nih.gov/genomes/all/GCA/000/257/785/GCA_000257785.1_ASM25778v1</t>
  </si>
  <si>
    <t>GCA_000257825.1</t>
  </si>
  <si>
    <t>ATCC BAA-960</t>
  </si>
  <si>
    <t>https://ftp.ncbi.nlm.nih.gov/genomes/all/GCA/000/257/825/GCA_000257825.1_ASM25782v1</t>
  </si>
  <si>
    <t>GCA_000257845.1</t>
  </si>
  <si>
    <t>SK1074</t>
  </si>
  <si>
    <t>https://ftp.ncbi.nlm.nih.gov/genomes/all/GCA/000/257/845/GCA_000257845.1_ASM25784v1</t>
  </si>
  <si>
    <t>GCA_000257925.1</t>
  </si>
  <si>
    <t>HMT-306</t>
  </si>
  <si>
    <t>vespertina</t>
  </si>
  <si>
    <t>F0472</t>
  </si>
  <si>
    <t>https://ftp.ncbi.nlm.nih.gov/genomes/all/GCA/000/257/925/GCA_000257925.1_PspF0472v1.0</t>
  </si>
  <si>
    <t>GCA_000258205.1</t>
  </si>
  <si>
    <t>HMT-188</t>
  </si>
  <si>
    <t>aeria</t>
  </si>
  <si>
    <t>F0474</t>
  </si>
  <si>
    <t>https://ftp.ncbi.nlm.nih.gov/genomes/all/GCA/000/258/205/GCA_000258205.1_RaeriaF0474v1.0</t>
  </si>
  <si>
    <t>GCA_000258265.1</t>
  </si>
  <si>
    <t>SK674</t>
  </si>
  <si>
    <t>https://ftp.ncbi.nlm.nih.gov/genomes/all/GCA/000/258/265/GCA_000258265.1_SpseudopneumoniaeSK674v1.0</t>
  </si>
  <si>
    <t>GCA_000258405.1</t>
  </si>
  <si>
    <t>HMT-982</t>
  </si>
  <si>
    <t>Ignavibacterium</t>
  </si>
  <si>
    <t>album</t>
  </si>
  <si>
    <t>JCM 16511</t>
  </si>
  <si>
    <t>https://ftp.ncbi.nlm.nih.gov/genomes/all/GCA/000/258/405/GCA_000258405.1_ASM25840v1</t>
  </si>
  <si>
    <t>GCA_000258445.1</t>
  </si>
  <si>
    <t>SK54</t>
  </si>
  <si>
    <t>https://ftp.ncbi.nlm.nih.gov/genomes/all/GCA/000/258/445/GCA_000258445.1_SintermediusSK54v1.0</t>
  </si>
  <si>
    <t>GCA_000258685.1</t>
  </si>
  <si>
    <t>https://ftp.ncbi.nlm.nih.gov/genomes/all/GCA/000/258/685/GCA_000258685.1_ASM25868v1</t>
  </si>
  <si>
    <t>GCA_000258845.1</t>
  </si>
  <si>
    <t>HMT-812</t>
  </si>
  <si>
    <t>Helicobacter</t>
  </si>
  <si>
    <t>pylori</t>
  </si>
  <si>
    <t>CCUG 17874</t>
  </si>
  <si>
    <t>https://ftp.ncbi.nlm.nih.gov/genomes/all/GCA/000/258/845/GCA_000258845.1_ASM25884v1</t>
  </si>
  <si>
    <t>GCA_000259315.1</t>
  </si>
  <si>
    <t>UNSWCD</t>
  </si>
  <si>
    <t>https://ftp.ncbi.nlm.nih.gov/genomes/all/GCA/000/259/315/GCA_000259315.1_ASM25931v1</t>
  </si>
  <si>
    <t>GCA_000259485.1</t>
  </si>
  <si>
    <t>HK262</t>
  </si>
  <si>
    <t>https://ftp.ncbi.nlm.nih.gov/genomes/all/GCA/000/259/485/GCA_000259485.1_HparainfluenzaeHK262v1.0</t>
  </si>
  <si>
    <t>GCA_000259915.1</t>
  </si>
  <si>
    <t>RhAA1</t>
  </si>
  <si>
    <t>https://ftp.ncbi.nlm.nih.gov/genomes/all/GCA/000/259/915/GCA_000259915.1_ASM25991v1</t>
  </si>
  <si>
    <t>GCA_000260655.1</t>
  </si>
  <si>
    <t>VK64</t>
  </si>
  <si>
    <t>https://ftp.ncbi.nlm.nih.gov/genomes/all/GCA/000/260/655/GCA_000260655.1_NsiccaVK64v1.0</t>
  </si>
  <si>
    <t>GCA_000260675.1</t>
  </si>
  <si>
    <t>HMT-035</t>
  </si>
  <si>
    <t>paraphrohaemolyticus</t>
  </si>
  <si>
    <t>HK411</t>
  </si>
  <si>
    <t>https://ftp.ncbi.nlm.nih.gov/genomes/all/GCA/000/260/675/GCA_000260675.1_HparaphrohaemolyticusHK411v1.0</t>
  </si>
  <si>
    <t>GCA_000260715.1</t>
  </si>
  <si>
    <t>HMT-895</t>
  </si>
  <si>
    <t>ATCC 25527</t>
  </si>
  <si>
    <t>https://ftp.ncbi.nlm.nih.gov/genomes/all/GCA/000/260/715/GCA_000260715.1_ASM26071v1</t>
  </si>
  <si>
    <t>GCA_000260755.1</t>
  </si>
  <si>
    <t>https://ftp.ncbi.nlm.nih.gov/genomes/all/GCA/000/260/755/GCA_000260755.1_SinfantisSK959v1.0</t>
  </si>
  <si>
    <t>GCA_000261025.1</t>
  </si>
  <si>
    <t>HMT-643</t>
  </si>
  <si>
    <t>intermedia</t>
  </si>
  <si>
    <t>https://ftp.ncbi.nlm.nih.gov/genomes/all/GCA/000/261/025/GCA_000261025.1_ASM26102v1</t>
  </si>
  <si>
    <t>GCA_000261285.1</t>
  </si>
  <si>
    <t>HK2019</t>
  </si>
  <si>
    <t>https://ftp.ncbi.nlm.nih.gov/genomes/all/GCA/000/261/285/GCA_000261285.1_HparainfluenzaeHK2019v1.0</t>
  </si>
  <si>
    <t>GCA_000262225.1</t>
  </si>
  <si>
    <t>ATCC 51357</t>
  </si>
  <si>
    <t>https://ftp.ncbi.nlm.nih.gov/genomes/all/GCA/000/262/225/GCA_000262225.1_ASM26222v1</t>
  </si>
  <si>
    <t>GCA_000262265.1</t>
  </si>
  <si>
    <t>HMT-945</t>
  </si>
  <si>
    <t>parahaemolyticus</t>
  </si>
  <si>
    <t>HK385</t>
  </si>
  <si>
    <t>https://ftp.ncbi.nlm.nih.gov/genomes/all/GCA/000/262/265/GCA_000262265.1_ASM26226v1</t>
  </si>
  <si>
    <t>GCA_000262285.1</t>
  </si>
  <si>
    <t>HK386</t>
  </si>
  <si>
    <t>https://ftp.ncbi.nlm.nih.gov/genomes/all/GCA/000/262/285/GCA_000262285.1_ASM26228v1</t>
  </si>
  <si>
    <t>GCA_000262545.1</t>
  </si>
  <si>
    <t>DSM 20514</t>
  </si>
  <si>
    <t>https://ftp.ncbi.nlm.nih.gov/genomes/all/GCA/000/262/545/GCA_000262545.1_ASM26254v1</t>
  </si>
  <si>
    <t>GCA_000263215.1</t>
  </si>
  <si>
    <t>HMT-753</t>
  </si>
  <si>
    <t>Cronobacter</t>
  </si>
  <si>
    <t>sakazakii</t>
  </si>
  <si>
    <t>ES15</t>
  </si>
  <si>
    <t>https://ftp.ncbi.nlm.nih.gov/genomes/all/GCA/000/263/215/GCA_000263215.1_ASM26321v1</t>
  </si>
  <si>
    <t>GCA_000263575.1</t>
  </si>
  <si>
    <t>HMT-867</t>
  </si>
  <si>
    <t>leopoldii</t>
  </si>
  <si>
    <t>6420B</t>
  </si>
  <si>
    <t>https://ftp.ncbi.nlm.nih.gov/genomes/all/GCA/000/263/575/GCA_000263575.1_ASM26357v1</t>
  </si>
  <si>
    <t>GCA_000263775.1</t>
  </si>
  <si>
    <t>QN1</t>
  </si>
  <si>
    <t>https://ftp.ncbi.nlm.nih.gov/genomes/all/GCA/000/263/775/GCA_000263775.1_StacapQN11.0</t>
  </si>
  <si>
    <t>GCA_000269605.1</t>
  </si>
  <si>
    <t>HMT-195</t>
  </si>
  <si>
    <t>wiggsiae</t>
  </si>
  <si>
    <t>F0424</t>
  </si>
  <si>
    <t>https://ftp.ncbi.nlm.nih.gov/genomes/all/GCA/000/269/605/GCA_000269605.1_PB_Scar_wigg_F0424_V1</t>
  </si>
  <si>
    <t>GCA_000269665.1</t>
  </si>
  <si>
    <t>TIGR4</t>
  </si>
  <si>
    <t>https://ftp.ncbi.nlm.nih.gov/genomes/all/GCA/000/269/665/GCA_000269665.1_PB_Stre_pneu_Tigr4_V1</t>
  </si>
  <si>
    <t>GCA_000269805.1</t>
  </si>
  <si>
    <t>HMT-852</t>
  </si>
  <si>
    <t>massiliensis</t>
  </si>
  <si>
    <t>https://ftp.ncbi.nlm.nih.gov/genomes/all/GCA/000/269/805/GCA_000269805.1_ASM26980v1</t>
  </si>
  <si>
    <t>GCA_000269845.1</t>
  </si>
  <si>
    <t>IPLA 20019</t>
  </si>
  <si>
    <t>https://ftp.ncbi.nlm.nih.gov/genomes/all/GCA/000/269/845/GCA_000269845.1_ASM26984v1</t>
  </si>
  <si>
    <t>GCA_000270225.1</t>
  </si>
  <si>
    <t>TDC60</t>
  </si>
  <si>
    <t>https://ftp.ncbi.nlm.nih.gov/genomes/all/GCA/000/270/225/GCA_000270225.1_ASM27022v1</t>
  </si>
  <si>
    <t>GCA_000270465.1</t>
  </si>
  <si>
    <t>N920143</t>
  </si>
  <si>
    <t>https://ftp.ncbi.nlm.nih.gov/genomes/all/GCA/000/270/465/GCA_000270465.1_ASM27046v1</t>
  </si>
  <si>
    <t>GCA_000271865.1</t>
  </si>
  <si>
    <t>GS-5</t>
  </si>
  <si>
    <t>https://ftp.ncbi.nlm.nih.gov/genomes/all/GCA/000/271/865/GCA_000271865.1_ASM27186v1</t>
  </si>
  <si>
    <t>F0487</t>
  </si>
  <si>
    <t>https://ftp.ncbi.nlm.nih.gov/genomes/all/GCA/000/271/925/GCA_000271925.1_Coraltaxon412F0487v1.0</t>
  </si>
  <si>
    <t>GCA_000271945.1</t>
  </si>
  <si>
    <t>W50</t>
  </si>
  <si>
    <t>https://ftp.ncbi.nlm.nih.gov/genomes/all/GCA/000/271/945/GCA_000271945.1_PgingivalisW50v1.0</t>
  </si>
  <si>
    <t>GCA_000273445.1</t>
  </si>
  <si>
    <t>https://ftp.ncbi.nlm.nih.gov/genomes/all/GCA/000/273/445/GCA_000273445.1_Stre_pneu_Tigr4_V1</t>
  </si>
  <si>
    <t>GCA_000273605.1</t>
  </si>
  <si>
    <t>F0419</t>
  </si>
  <si>
    <t>https://ftp.ncbi.nlm.nih.gov/genomes/all/GCA/000/273/605/GCA_000273605.1_PB_Fuso_nucl_ss_animalis_F0419_V1</t>
  </si>
  <si>
    <t>GCA_000273625.1</t>
  </si>
  <si>
    <t>https://ftp.ncbi.nlm.nih.gov/genomes/all/GCA/000/273/625/GCA_000273625.1_PB_Fuso_sp_7_1_V1</t>
  </si>
  <si>
    <t>GCA_000275805.1</t>
  </si>
  <si>
    <t>https://ftp.ncbi.nlm.nih.gov/genomes/all/GCA/000/275/805/GCA_000275805.1_Scar_wigg_F0424_V1</t>
  </si>
  <si>
    <t>GCA_000277405.1</t>
  </si>
  <si>
    <t>Shi112</t>
  </si>
  <si>
    <t>https://ftp.ncbi.nlm.nih.gov/genomes/all/GCA/000/277/405/GCA_000277405.1_ASM27740v1</t>
  </si>
  <si>
    <t>GCA_000277505.1</t>
  </si>
  <si>
    <t>ACB8</t>
  </si>
  <si>
    <t>https://ftp.ncbi.nlm.nih.gov/genomes/all/GCA/000/277/505/GCA_000277505.1_OspACB8v1.0</t>
  </si>
  <si>
    <t>Holt 25</t>
  </si>
  <si>
    <t>https://ftp.ncbi.nlm.nih.gov/genomes/all/GCA/000/277/585/GCA_000277585.1_CochraceaHolt25v1.0</t>
  </si>
  <si>
    <t>F0486</t>
  </si>
  <si>
    <t>https://ftp.ncbi.nlm.nih.gov/genomes/all/GCA/000/277/665/GCA_000277665.1_Coraltaxon335F0486v1.0</t>
  </si>
  <si>
    <t>GCA_000277715.1</t>
  </si>
  <si>
    <t>HMT-739</t>
  </si>
  <si>
    <t>Arachnia</t>
  </si>
  <si>
    <t>propionica</t>
  </si>
  <si>
    <t>F0230a</t>
  </si>
  <si>
    <t>https://ftp.ncbi.nlm.nih.gov/genomes/all/GCA/000/277/715/GCA_000277715.1_ASM27771v1</t>
  </si>
  <si>
    <t>GCA_000277735.2</t>
  </si>
  <si>
    <t>https://ftp.ncbi.nlm.nih.gov/genomes/all/GCA/000/277/735/GCA_000277735.2_ASM27773v2</t>
  </si>
  <si>
    <t>GCA_000278725.1</t>
  </si>
  <si>
    <t>HMT-240</t>
  </si>
  <si>
    <t>sp. HMT-240</t>
  </si>
  <si>
    <t>ICM47</t>
  </si>
  <si>
    <t>https://ftp.ncbi.nlm.nih.gov/genomes/all/GCA/000/278/725/GCA_000278725.1_AspICM47v1.0</t>
  </si>
  <si>
    <t>Melioribacter</t>
  </si>
  <si>
    <t>roseus</t>
  </si>
  <si>
    <t>P3M-2</t>
  </si>
  <si>
    <t>https://ftp.ncbi.nlm.nih.gov/genomes/all/GCA/000/279/145/GCA_000279145.1_ASM27914v1</t>
  </si>
  <si>
    <t>GCA_000279495.1</t>
  </si>
  <si>
    <t>GA04672</t>
  </si>
  <si>
    <t>https://ftp.ncbi.nlm.nih.gov/genomes/all/GCA/000/279/495/GCA_000279495.1_ASM27949v1</t>
  </si>
  <si>
    <t>GCA_000279535.1</t>
  </si>
  <si>
    <t>SPAR10</t>
  </si>
  <si>
    <t>https://ftp.ncbi.nlm.nih.gov/genomes/all/GCA/000/279/535/GCA_000279535.1_ASM27953v1</t>
  </si>
  <si>
    <t>GCA_000279715.1</t>
  </si>
  <si>
    <t>GA54354</t>
  </si>
  <si>
    <t>https://ftp.ncbi.nlm.nih.gov/genomes/all/GCA/000/279/715/GCA_000279715.1_ASM27971v1</t>
  </si>
  <si>
    <t>GCA_000279835.1</t>
  </si>
  <si>
    <t>GA19998</t>
  </si>
  <si>
    <t>https://ftp.ncbi.nlm.nih.gov/genomes/all/GCA/000/279/835/GCA_000279835.1_ASM27983v1</t>
  </si>
  <si>
    <t>GCA_000279855.1</t>
  </si>
  <si>
    <t>GA17484</t>
  </si>
  <si>
    <t>https://ftp.ncbi.nlm.nih.gov/genomes/all/GCA/000/279/855/GCA_000279855.1_ASM27985v1</t>
  </si>
  <si>
    <t>GCA_000279975.1</t>
  </si>
  <si>
    <t>ATCC 51190</t>
  </si>
  <si>
    <t>https://ftp.ncbi.nlm.nih.gov/genomes/all/GCA/000/279/975/GCA_000279975.1_ASM27997v1</t>
  </si>
  <si>
    <t>Caldilinea</t>
  </si>
  <si>
    <t>aerophila</t>
  </si>
  <si>
    <t>DSM 14535</t>
  </si>
  <si>
    <t>https://ftp.ncbi.nlm.nih.gov/genomes/all/GCA/000/281/175/GCA_000281175.1_ASM28117v1</t>
  </si>
  <si>
    <t>GCA_000281755.1</t>
  </si>
  <si>
    <t>HMT-731</t>
  </si>
  <si>
    <t>DSM 30104</t>
  </si>
  <si>
    <t>https://ftp.ncbi.nlm.nih.gov/genomes/all/GCA/000/281/755/GCA_000281755.1_KlePneDSM30104</t>
  </si>
  <si>
    <t>GCA_000282935.1</t>
  </si>
  <si>
    <t>HMT-701</t>
  </si>
  <si>
    <t>odontolytica</t>
  </si>
  <si>
    <t>ICM39</t>
  </si>
  <si>
    <t>https://ftp.ncbi.nlm.nih.gov/genomes/all/GCA/000/282/935/GCA_000282935.1_AspICM39v1.0</t>
  </si>
  <si>
    <t>GCA_000283035.1</t>
  </si>
  <si>
    <t>HMT-172</t>
  </si>
  <si>
    <t>sp. HMT-172</t>
  </si>
  <si>
    <t>ICM58</t>
  </si>
  <si>
    <t>https://ftp.ncbi.nlm.nih.gov/genomes/all/GCA/000/283/035/GCA_000283035.1_AspICM58v1.0</t>
  </si>
  <si>
    <t>GCA_000283375.1</t>
  </si>
  <si>
    <t>https://ftp.ncbi.nlm.nih.gov/genomes/all/GCA/000/283/375/GCA_000283375.1_ASM28337v1</t>
  </si>
  <si>
    <t>GCA_000284535.1</t>
  </si>
  <si>
    <t>HO 5096 0412</t>
  </si>
  <si>
    <t>https://ftp.ncbi.nlm.nih.gov/genomes/all/GCA/000/284/535/GCA_000284535.1_ASM28453v1</t>
  </si>
  <si>
    <t>GCA_000284575.1</t>
  </si>
  <si>
    <t>LJ23</t>
  </si>
  <si>
    <t>https://ftp.ncbi.nlm.nih.gov/genomes/all/GCA/000/284/575/GCA_000284575.1_ASM28457v1</t>
  </si>
  <si>
    <t>GCA_000285995.1</t>
  </si>
  <si>
    <t>HMT-176</t>
  </si>
  <si>
    <t>naeslundii</t>
  </si>
  <si>
    <t>Howell 279</t>
  </si>
  <si>
    <t>https://ftp.ncbi.nlm.nih.gov/genomes/all/GCA/000/285/995/GCA_000285995.1_AneasH279v1.0</t>
  </si>
  <si>
    <t>GCA_000286355.1</t>
  </si>
  <si>
    <t>HMT-189</t>
  </si>
  <si>
    <t>Kocuria</t>
  </si>
  <si>
    <t>atrinae</t>
  </si>
  <si>
    <t>C3-8</t>
  </si>
  <si>
    <t>https://ftp.ncbi.nlm.nih.gov/genomes/all/GCA/000/286/355/GCA_000286355.1_KocAtr1.0</t>
  </si>
  <si>
    <t>GCA_000286475.1</t>
  </si>
  <si>
    <t>BS35b</t>
  </si>
  <si>
    <t>https://ftp.ncbi.nlm.nih.gov/genomes/all/GCA/000/286/475/GCA_000286475.1_SspBS35bv1.0</t>
  </si>
  <si>
    <t>GCA_000286495.1</t>
  </si>
  <si>
    <t>AS14</t>
  </si>
  <si>
    <t>https://ftp.ncbi.nlm.nih.gov/genomes/all/GCA/000/286/495/GCA_000286495.1_SspAS14v1.0</t>
  </si>
  <si>
    <t>GCA_000286595.1</t>
  </si>
  <si>
    <t>HMT-010</t>
  </si>
  <si>
    <t>radioresistens</t>
  </si>
  <si>
    <t>WC-A-157</t>
  </si>
  <si>
    <t>https://ftp.ncbi.nlm.nih.gov/genomes/all/GCA/000/286/595/GCA_000286595.1_gacin12v1.0</t>
  </si>
  <si>
    <t>GCA_000286635.1</t>
  </si>
  <si>
    <t>ACP1</t>
  </si>
  <si>
    <t>https://ftp.ncbi.nlm.nih.gov/genomes/all/GCA/000/286/635/GCA_000286635.1_VspACP1v1.0</t>
  </si>
  <si>
    <t>GCA_000287615.1</t>
  </si>
  <si>
    <t>HK 2154</t>
  </si>
  <si>
    <t>https://ftp.ncbi.nlm.nih.gov/genomes/all/GCA/000/287/615/GCA_000287615.1_HsputHK2154v1.0</t>
  </si>
  <si>
    <t>MSX73</t>
  </si>
  <si>
    <t>https://ftp.ncbi.nlm.nih.gov/genomes/all/GCA/000/287/635/GCA_000287635.1_PspMSX73v1.0</t>
  </si>
  <si>
    <t>GCA_000287655.1</t>
  </si>
  <si>
    <t>FOBRC9</t>
  </si>
  <si>
    <t>https://ftp.ncbi.nlm.nih.gov/genomes/all/GCA/000/287/655/GCA_000287655.1_SspFOBRC9v1.0</t>
  </si>
  <si>
    <t>GCA_000287675.1</t>
  </si>
  <si>
    <t>HMT-430</t>
  </si>
  <si>
    <t>sp. HMT-430</t>
  </si>
  <si>
    <t>ICM7</t>
  </si>
  <si>
    <t>https://ftp.ncbi.nlm.nih.gov/genomes/all/GCA/000/287/675/GCA_000287675.1_LspICM7v1.0</t>
  </si>
  <si>
    <t>GCA_000287695.1</t>
  </si>
  <si>
    <t>AS15</t>
  </si>
  <si>
    <t>https://ftp.ncbi.nlm.nih.gov/genomes/all/GCA/000/287/695/GCA_000287695.1_EspAS15v1.0</t>
  </si>
  <si>
    <t>GCA_000287715.1</t>
  </si>
  <si>
    <t>SK304</t>
  </si>
  <si>
    <t>https://ftp.ncbi.nlm.nih.gov/genomes/all/GCA/000/287/715/GCA_000287715.1_SoralisSK304v1.0</t>
  </si>
  <si>
    <t>GCA_000287855.1</t>
  </si>
  <si>
    <t>FOBRC14</t>
  </si>
  <si>
    <t>https://ftp.ncbi.nlm.nih.gov/genomes/all/GCA/000/287/855/GCA_000287855.1_CspFOBRC14v1.0</t>
  </si>
  <si>
    <t>GCA_000292225.1</t>
  </si>
  <si>
    <t>HMT-245</t>
  </si>
  <si>
    <t>Roseomonas</t>
  </si>
  <si>
    <t>B5</t>
  </si>
  <si>
    <t>https://ftp.ncbi.nlm.nih.gov/genomes/all/GCA/000/292/225/GCA_000292225.1_ASM29222v1</t>
  </si>
  <si>
    <t>GCA_000292405.1</t>
  </si>
  <si>
    <t>M2321</t>
  </si>
  <si>
    <t>https://ftp.ncbi.nlm.nih.gov/genomes/all/GCA/000/292/405/GCA_000292405.1_ASM29240v1</t>
  </si>
  <si>
    <t>GCA_000292445.1</t>
  </si>
  <si>
    <t>M6282</t>
  </si>
  <si>
    <t>https://ftp.ncbi.nlm.nih.gov/genomes/all/GCA/000/292/445/GCA_000292445.1_ASM29244v1</t>
  </si>
  <si>
    <t>GCA_000292485.1</t>
  </si>
  <si>
    <t>M6320</t>
  </si>
  <si>
    <t>https://ftp.ncbi.nlm.nih.gov/genomes/all/GCA/000/292/485/GCA_000292485.1_ASM29248v1</t>
  </si>
  <si>
    <t>GCA_000292505.1</t>
  </si>
  <si>
    <t>M2288</t>
  </si>
  <si>
    <t>https://ftp.ncbi.nlm.nih.gov/genomes/all/GCA/000/292/505/GCA_000292505.1_ASM29250v1</t>
  </si>
  <si>
    <t>GCA_000292915.1</t>
  </si>
  <si>
    <t>HMT-571</t>
  </si>
  <si>
    <t>Burkholderia</t>
  </si>
  <si>
    <t>cepacia</t>
  </si>
  <si>
    <t>GG4</t>
  </si>
  <si>
    <t>https://ftp.ncbi.nlm.nih.gov/genomes/all/GCA/000/292/915/GCA_000292915.1_ASM29291v1</t>
  </si>
  <si>
    <t>GCA_000292935.1</t>
  </si>
  <si>
    <t>HMT-953</t>
  </si>
  <si>
    <t>hwasookii</t>
  </si>
  <si>
    <t>ChDC F128</t>
  </si>
  <si>
    <t>https://ftp.ncbi.nlm.nih.gov/genomes/all/GCA/000/292/935/GCA_000292935.1_ASM29293v1</t>
  </si>
  <si>
    <t>GCA_000292975.1</t>
  </si>
  <si>
    <t>Fnf 1007</t>
  </si>
  <si>
    <t>https://ftp.ncbi.nlm.nih.gov/genomes/all/GCA/000/292/975/GCA_000292975.1_FnecroFnf1007v1.0</t>
  </si>
  <si>
    <t>GCA_000292995.1</t>
  </si>
  <si>
    <t>HMT-279</t>
  </si>
  <si>
    <t>pasteri</t>
  </si>
  <si>
    <t>F0450</t>
  </si>
  <si>
    <t>https://ftp.ncbi.nlm.nih.gov/genomes/all/GCA/000/292/995/GCA_000292995.1_Psp279F0450v1.0</t>
  </si>
  <si>
    <t>GCA_000293015.1</t>
  </si>
  <si>
    <t>CM382</t>
  </si>
  <si>
    <t>https://ftp.ncbi.nlm.nih.gov/genomes/all/GCA/000/293/015/GCA_000293015.1_SspCM382v1.0</t>
  </si>
  <si>
    <t>GCA_000293035.1</t>
  </si>
  <si>
    <t>OBRC8</t>
  </si>
  <si>
    <t>https://ftp.ncbi.nlm.nih.gov/genomes/all/GCA/000/293/035/GCA_000293035.1_EbactAS15v1.0</t>
  </si>
  <si>
    <t>GCA_000293155.1</t>
  </si>
  <si>
    <t>HMT-042</t>
  </si>
  <si>
    <t>Mogibacterium</t>
  </si>
  <si>
    <t>timidum</t>
  </si>
  <si>
    <t>CM50</t>
  </si>
  <si>
    <t>https://ftp.ncbi.nlm.nih.gov/genomes/all/GCA/000/293/155/GCA_000293155.1_MspCM50v1.0</t>
  </si>
  <si>
    <t>GCA_000293175.1</t>
  </si>
  <si>
    <t>HMT-325</t>
  </si>
  <si>
    <t>granulosa</t>
  </si>
  <si>
    <t>CM59</t>
  </si>
  <si>
    <t>https://ftp.ncbi.nlm.nih.gov/genomes/all/GCA/000/293/175/GCA_000293175.1_CspCM59v1.0</t>
  </si>
  <si>
    <t>GCA_000295095.1</t>
  </si>
  <si>
    <t>HMT-179</t>
  </si>
  <si>
    <t>https://ftp.ncbi.nlm.nih.gov/genomes/all/GCA/000/295/095/GCA_000295095.1_ASM29509v1</t>
  </si>
  <si>
    <t>GCA_000296275.1</t>
  </si>
  <si>
    <t>F0489</t>
  </si>
  <si>
    <t>https://ftp.ncbi.nlm.nih.gov/genomes/all/GCA/000/296/275/GCA_000296275.1_AmassiliensisF0489v1.0</t>
  </si>
  <si>
    <t>GCA_000296385.1</t>
  </si>
  <si>
    <t>HMT-083</t>
  </si>
  <si>
    <t>sp. HMT-083</t>
  </si>
  <si>
    <t>OBRC5-5</t>
  </si>
  <si>
    <t>https://ftp.ncbi.nlm.nih.gov/genomes/all/GCA/000/296/385/GCA_000296385.1_Clos_bact_OBRC5-5_V1</t>
  </si>
  <si>
    <t>GCA_000296405.1</t>
  </si>
  <si>
    <t>HMT-832</t>
  </si>
  <si>
    <t>otitidis</t>
  </si>
  <si>
    <t>ATCC 51513</t>
  </si>
  <si>
    <t>https://ftp.ncbi.nlm.nih.gov/genomes/all/GCA/000/296/405/GCA_000296405.1_Turi_otit_ATCC_51513_V1</t>
  </si>
  <si>
    <t>GCA_000296595.1</t>
  </si>
  <si>
    <t>08BA02176</t>
  </si>
  <si>
    <t>https://ftp.ncbi.nlm.nih.gov/genomes/all/GCA/000/296/595/GCA_000296595.1_ASM29659v1</t>
  </si>
  <si>
    <t>GCA_000297075.2</t>
  </si>
  <si>
    <t>HMT-740</t>
  </si>
  <si>
    <t>oleovorans</t>
  </si>
  <si>
    <t>CECT5344</t>
  </si>
  <si>
    <t>https://ftp.ncbi.nlm.nih.gov/genomes/all/GCA/000/297/075/GCA_000297075.2_Ppseudo_final</t>
  </si>
  <si>
    <t>GCA_000297795.2</t>
  </si>
  <si>
    <t>https://ftp.ncbi.nlm.nih.gov/genomes/all/GCA/000/297/795/GCA_000297795.2_ASM29779v2</t>
  </si>
  <si>
    <t>GCA_000298115.2</t>
  </si>
  <si>
    <t>CD034</t>
  </si>
  <si>
    <t>https://ftp.ncbi.nlm.nih.gov/genomes/all/GCA/000/298/115/GCA_000298115.2_ASM29811v2</t>
  </si>
  <si>
    <t>GCA_000299015.1</t>
  </si>
  <si>
    <t>gamPNI0373</t>
  </si>
  <si>
    <t>https://ftp.ncbi.nlm.nih.gov/genomes/all/GCA/000/299/015/GCA_000299015.1_ASM29901v1</t>
  </si>
  <si>
    <t>GCA_000302495.1</t>
  </si>
  <si>
    <t>RH4</t>
  </si>
  <si>
    <t>https://ftp.ncbi.nlm.nih.gov/genomes/all/GCA/000/302/495/GCA_000302495.1_RH4.0</t>
  </si>
  <si>
    <t>GCA_000302515.1</t>
  </si>
  <si>
    <t>C1</t>
  </si>
  <si>
    <t>https://ftp.ncbi.nlm.nih.gov/genomes/all/GCA/000/302/515/GCA_000302515.1_ASM30251v1</t>
  </si>
  <si>
    <t>GCA_000305335.2</t>
  </si>
  <si>
    <t>57.I</t>
  </si>
  <si>
    <t>https://ftp.ncbi.nlm.nih.gov/genomes/all/GCA/000/305/335/GCA_000305335.2_ASM30533v2</t>
  </si>
  <si>
    <t>GCA_000306805.1</t>
  </si>
  <si>
    <t>JTH08</t>
  </si>
  <si>
    <t>https://ftp.ncbi.nlm.nih.gov/genomes/all/GCA/000/306/805/GCA_000306805.1_ASM30680v1</t>
  </si>
  <si>
    <t>GCA_000306945.1</t>
  </si>
  <si>
    <t>HMT-828</t>
  </si>
  <si>
    <t>Bordetella</t>
  </si>
  <si>
    <t>pertussis</t>
  </si>
  <si>
    <t>https://ftp.ncbi.nlm.nih.gov/genomes/all/GCA/000/306/945/GCA_000306945.1_ASM30694v1</t>
  </si>
  <si>
    <t>GCA_000307025.1</t>
  </si>
  <si>
    <t>HMT-825</t>
  </si>
  <si>
    <t>Listeria</t>
  </si>
  <si>
    <t>monocytogenes</t>
  </si>
  <si>
    <t>ATCC 19117</t>
  </si>
  <si>
    <t>https://ftp.ncbi.nlm.nih.gov/genomes/all/GCA/000/307/025/GCA_000307025.1_ASM30702v1</t>
  </si>
  <si>
    <t>GCA_000307535.1</t>
  </si>
  <si>
    <t>HMT-745</t>
  </si>
  <si>
    <t>pyogenes</t>
  </si>
  <si>
    <t>A20</t>
  </si>
  <si>
    <t>https://ftp.ncbi.nlm.nih.gov/genomes/all/GCA/000/307/535/GCA_000307535.1_ASM30753v1</t>
  </si>
  <si>
    <t>GCA_000307915.1</t>
  </si>
  <si>
    <t>https://ftp.ncbi.nlm.nih.gov/genomes/all/GCA/000/307/915/GCA_000307915.1_ASM30791v1</t>
  </si>
  <si>
    <t>lingnae</t>
  </si>
  <si>
    <t>ph3</t>
  </si>
  <si>
    <t>https://ftp.ncbi.nlm.nih.gov/genomes/all/GCA/000/308/055/GCA_000308055.1_ASM30805v1</t>
  </si>
  <si>
    <t>GCA_000311825.1</t>
  </si>
  <si>
    <t>HMT-187</t>
  </si>
  <si>
    <t>grossensis</t>
  </si>
  <si>
    <t>ph5</t>
  </si>
  <si>
    <t>https://ftp.ncbi.nlm.nih.gov/genomes/all/GCA/000/311/825/GCA_000311825.1_ASM31182v1</t>
  </si>
  <si>
    <t>abscessus</t>
  </si>
  <si>
    <t>CCUG 55929</t>
  </si>
  <si>
    <t>https://ftp.ncbi.nlm.nih.gov/genomes/all/GCA/000/312/445/GCA_000312445.1_ASM31244v1</t>
  </si>
  <si>
    <t>GCA_000312505.3</t>
  </si>
  <si>
    <t>HMT-929</t>
  </si>
  <si>
    <t>Fenollaria</t>
  </si>
  <si>
    <t>https://ftp.ncbi.nlm.nih.gov/genomes/all/GCA/000/312/505/GCA_000312505.3_Cb_9401234</t>
  </si>
  <si>
    <t>GCA_000313615.1</t>
  </si>
  <si>
    <t>CSUNSWCD</t>
  </si>
  <si>
    <t>https://ftp.ncbi.nlm.nih.gov/genomes/all/GCA/000/313/615/GCA_000313615.1_Velvet_assembly_of_Campylobacter_showae_CSUNSWCD</t>
  </si>
  <si>
    <t>GCA_000313655.1</t>
  </si>
  <si>
    <t>BA1</t>
  </si>
  <si>
    <t>https://ftp.ncbi.nlm.nih.gov/genomes/all/GCA/000/313/655/GCA_000313655.1_contig</t>
  </si>
  <si>
    <t>GCA_000314675.2</t>
  </si>
  <si>
    <t>HMT-559</t>
  </si>
  <si>
    <t>Afipia</t>
  </si>
  <si>
    <t>broomeae</t>
  </si>
  <si>
    <t>ATCC 49717</t>
  </si>
  <si>
    <t>https://ftp.ncbi.nlm.nih.gov/genomes/all/GCA/000/314/675/GCA_000314675.2_Afip_broo_ATCC_49717_V1</t>
  </si>
  <si>
    <t>GCA_000314775.2</t>
  </si>
  <si>
    <t>F0441</t>
  </si>
  <si>
    <t>https://ftp.ncbi.nlm.nih.gov/genomes/all/GCA/000/314/775/GCA_000314775.2_Strept_sp_F0441_V1</t>
  </si>
  <si>
    <t>GCA_000314795.2</t>
  </si>
  <si>
    <t>HMT-066</t>
  </si>
  <si>
    <t>sp. HMT-066</t>
  </si>
  <si>
    <t>F0442</t>
  </si>
  <si>
    <t>https://ftp.ncbi.nlm.nih.gov/genomes/all/GCA/000/314/795/GCA_000314795.2_Strept_sp_F0442_V1</t>
  </si>
  <si>
    <t>GCA_000315445.1</t>
  </si>
  <si>
    <t>HMT-831</t>
  </si>
  <si>
    <t>Alloiococcus</t>
  </si>
  <si>
    <t>otitis</t>
  </si>
  <si>
    <t>ATCC 51267</t>
  </si>
  <si>
    <t>https://ftp.ncbi.nlm.nih.gov/genomes/all/GCA/000/315/445/GCA_000315445.1_Allo_otit_ATCC_51267_V1</t>
  </si>
  <si>
    <t>GCA_000315545.1</t>
  </si>
  <si>
    <t>HMT-133</t>
  </si>
  <si>
    <t>sp. HMT-133</t>
  </si>
  <si>
    <t>F0473</t>
  </si>
  <si>
    <t>https://ftp.ncbi.nlm.nih.gov/genomes/all/GCA/000/315/545/GCA_000315545.1_Seleno_sp_F0473_V1</t>
  </si>
  <si>
    <t>GCA_000316075.2</t>
  </si>
  <si>
    <t>ACS-027-V-Sch2</t>
  </si>
  <si>
    <t>https://ftp.ncbi.nlm.nih.gov/genomes/all/GCA/000/316/075/GCA_000316075.2_Stap_lugd_ACS-027-V-Sch2_V1</t>
  </si>
  <si>
    <t>Mycolicibacterium</t>
  </si>
  <si>
    <t>neoaurum</t>
  </si>
  <si>
    <t>VKM Ac-1815D</t>
  </si>
  <si>
    <t>https://ftp.ncbi.nlm.nih.gov/genomes/all/GCA/000/317/305/GCA_000317305.3_ASM31730v3</t>
  </si>
  <si>
    <t>sp. HMT-473</t>
  </si>
  <si>
    <t>F0040</t>
  </si>
  <si>
    <t>https://ftp.ncbi.nlm.nih.gov/genomes/all/GCA/000/318/095/GCA_000318095.2_ASM31809v2</t>
  </si>
  <si>
    <t>GCA_000318115.1</t>
  </si>
  <si>
    <t>VPI 4330</t>
  </si>
  <si>
    <t>https://ftp.ncbi.nlm.nih.gov/genomes/all/GCA/000/318/115/GCA_000318115.1_ASM31811v1</t>
  </si>
  <si>
    <t>GCA_000318135.1</t>
  </si>
  <si>
    <t>HMT-595</t>
  </si>
  <si>
    <t>durum</t>
  </si>
  <si>
    <t>F0235</t>
  </si>
  <si>
    <t>https://ftp.ncbi.nlm.nih.gov/genomes/all/GCA/000/318/135/GCA_000318135.1_ASM31813v1</t>
  </si>
  <si>
    <t>GCA_000318175.2</t>
  </si>
  <si>
    <t>HMT-138</t>
  </si>
  <si>
    <t>timonae</t>
  </si>
  <si>
    <t>F0429</t>
  </si>
  <si>
    <t>https://ftp.ncbi.nlm.nih.gov/genomes/all/GCA/000/318/175/GCA_000318175.2_ASM31817v2</t>
  </si>
  <si>
    <t>GCA_000318195.2</t>
  </si>
  <si>
    <t>HMT-781</t>
  </si>
  <si>
    <t>saccharolytica</t>
  </si>
  <si>
    <t>F0055</t>
  </si>
  <si>
    <t>https://ftp.ncbi.nlm.nih.gov/genomes/all/GCA/000/318/195/GCA_000318195.2_ASM31819v2</t>
  </si>
  <si>
    <t>GCA_000318215.2</t>
  </si>
  <si>
    <t>HMT-283</t>
  </si>
  <si>
    <t>catoniae</t>
  </si>
  <si>
    <t>F0037</t>
  </si>
  <si>
    <t>https://ftp.ncbi.nlm.nih.gov/genomes/all/GCA/000/318/215/GCA_000318215.2_ASM31821v2</t>
  </si>
  <si>
    <t>GCA_000318235.2</t>
  </si>
  <si>
    <t>HMT-020</t>
  </si>
  <si>
    <t>sp. HMT-020</t>
  </si>
  <si>
    <t>F0370</t>
  </si>
  <si>
    <t>https://ftp.ncbi.nlm.nih.gov/genomes/all/GCA/000/318/235/GCA_000318235.2_ASM31823v2</t>
  </si>
  <si>
    <t>F0488</t>
  </si>
  <si>
    <t>https://ftp.ncbi.nlm.nih.gov/genomes/all/GCA/000/318/255/GCA_000318255.2_ASM31825v2</t>
  </si>
  <si>
    <t>GCA_000318275.2</t>
  </si>
  <si>
    <t>HMT-332</t>
  </si>
  <si>
    <t>bilenii</t>
  </si>
  <si>
    <t>F0381</t>
  </si>
  <si>
    <t>https://ftp.ncbi.nlm.nih.gov/genomes/all/GCA/000/318/275/GCA_000318275.2_ASM31827v2</t>
  </si>
  <si>
    <t>periodontitidis</t>
  </si>
  <si>
    <t>F0382</t>
  </si>
  <si>
    <t>https://ftp.ncbi.nlm.nih.gov/genomes/all/GCA/000/318/295/GCA_000318295.1_ASM31829v1</t>
  </si>
  <si>
    <t>F0483</t>
  </si>
  <si>
    <t>https://ftp.ncbi.nlm.nih.gov/genomes/all/GCA/000/318/315/GCA_000318315.2_ASM31831v2</t>
  </si>
  <si>
    <t>F0379</t>
  </si>
  <si>
    <t>https://ftp.ncbi.nlm.nih.gov/genomes/all/GCA/000/318/335/GCA_000318335.2_ASM31833v2</t>
  </si>
  <si>
    <t>GCA_000318355.2</t>
  </si>
  <si>
    <t>KON</t>
  </si>
  <si>
    <t>https://ftp.ncbi.nlm.nih.gov/genomes/all/GCA/000/318/355/GCA_000318355.2_ASM31835v2</t>
  </si>
  <si>
    <t>GCA_000327065.1</t>
  </si>
  <si>
    <t>RCH2</t>
  </si>
  <si>
    <t>https://ftp.ncbi.nlm.nih.gov/genomes/all/GCA/000/327/065/GCA_000327065.1_ASM32706v1</t>
  </si>
  <si>
    <t>GCA_000327465.1</t>
  </si>
  <si>
    <t>TNO-09.006</t>
  </si>
  <si>
    <t>https://ftp.ncbi.nlm.nih.gov/genomes/all/GCA/000/327/465/GCA_000327465.1_Anoxybacillus_flavithermus_TNO-09.006_v1</t>
  </si>
  <si>
    <t>GCA_000330825.2</t>
  </si>
  <si>
    <t>DSM 20231</t>
  </si>
  <si>
    <t>https://ftp.ncbi.nlm.nih.gov/genomes/all/GCA/000/330/825/GCA_000330825.2_SASA1.0</t>
  </si>
  <si>
    <t>GCA_000332735.1</t>
  </si>
  <si>
    <t>HMT-076</t>
  </si>
  <si>
    <t>warneri</t>
  </si>
  <si>
    <t>SG1</t>
  </si>
  <si>
    <t>https://ftp.ncbi.nlm.nih.gov/genomes/all/GCA/000/332/735/GCA_000332735.1_ASM33273v1</t>
  </si>
  <si>
    <t>GCA_000334515.1</t>
  </si>
  <si>
    <t>EA1509E</t>
  </si>
  <si>
    <t>https://ftp.ncbi.nlm.nih.gov/genomes/all/GCA/000/334/515/GCA_000334515.1_ASM33451v1</t>
  </si>
  <si>
    <t>GCA_000334655.1</t>
  </si>
  <si>
    <t>PNI0006</t>
  </si>
  <si>
    <t>https://ftp.ncbi.nlm.nih.gov/genomes/all/GCA/000/334/655/GCA_000334655.1_ASM33465v1</t>
  </si>
  <si>
    <t>GCA_000336235.1</t>
  </si>
  <si>
    <t>F0103</t>
  </si>
  <si>
    <t>https://ftp.ncbi.nlm.nih.gov/genomes/all/GCA/000/336/235/GCA_000336235.1_Prev_nigr_F0103_V1</t>
  </si>
  <si>
    <t>GCA_000338095.1</t>
  </si>
  <si>
    <t>DSM 7111</t>
  </si>
  <si>
    <t>https://ftp.ncbi.nlm.nih.gov/genomes/all/GCA/000/338/095/GCA_000338095.1_ASM33809v1</t>
  </si>
  <si>
    <t>GCA_000338455.1</t>
  </si>
  <si>
    <t>SP37</t>
  </si>
  <si>
    <t>https://ftp.ncbi.nlm.nih.gov/genomes/all/GCA/000/338/455/GCA_000338455.1_Trep_dent_SP37_V1</t>
  </si>
  <si>
    <t>GCA_000338475.1</t>
  </si>
  <si>
    <t>SP33</t>
  </si>
  <si>
    <t>https://ftp.ncbi.nlm.nih.gov/genomes/all/GCA/000/338/475/GCA_000338475.1_Trep_dent_SP33_V1</t>
  </si>
  <si>
    <t>GCA_000338515.1</t>
  </si>
  <si>
    <t>MYR-T</t>
  </si>
  <si>
    <t>https://ftp.ncbi.nlm.nih.gov/genomes/all/GCA/000/338/515/GCA_000338515.1_Trep_dent_MYR-T_V1</t>
  </si>
  <si>
    <t>GCA_000338595.1</t>
  </si>
  <si>
    <t>ATCC 33521</t>
  </si>
  <si>
    <t>https://ftp.ncbi.nlm.nih.gov/genomes/all/GCA/000/338/595/GCA_000338595.1_Trep_dent_ATCC_33521_V1</t>
  </si>
  <si>
    <t>GCA_000338615.1</t>
  </si>
  <si>
    <t>ATCC 33520</t>
  </si>
  <si>
    <t>https://ftp.ncbi.nlm.nih.gov/genomes/all/GCA/000/338/615/GCA_000338615.1_Trep_dent_ATCC_33520_V1</t>
  </si>
  <si>
    <t>GCA_000338635.1</t>
  </si>
  <si>
    <t>ASLM</t>
  </si>
  <si>
    <t>https://ftp.ncbi.nlm.nih.gov/genomes/all/GCA/000/338/635/GCA_000338635.1_Trep_dent_ASLM_V1</t>
  </si>
  <si>
    <t>GCA_000339055.1</t>
  </si>
  <si>
    <t>S1B</t>
  </si>
  <si>
    <t>https://ftp.ncbi.nlm.nih.gov/genomes/all/GCA/000/339/055/GCA_000339055.1_ASM33905v1</t>
  </si>
  <si>
    <t>GCA_000339075.1</t>
  </si>
  <si>
    <t>SA41</t>
  </si>
  <si>
    <t>https://ftp.ncbi.nlm.nih.gov/genomes/all/GCA/000/339/075/GCA_000339075.1_ASM33907v1</t>
  </si>
  <si>
    <t>GCA_000339095.1</t>
  </si>
  <si>
    <t>SF12</t>
  </si>
  <si>
    <t>https://ftp.ncbi.nlm.nih.gov/genomes/all/GCA/000/339/095/GCA_000339095.1_ASM33909v1</t>
  </si>
  <si>
    <t>GCA_000339115.1</t>
  </si>
  <si>
    <t>R221</t>
  </si>
  <si>
    <t>https://ftp.ncbi.nlm.nih.gov/genomes/all/GCA/000/339/115/GCA_000339115.1_ASM33911v1</t>
  </si>
  <si>
    <t>GCA_000339135.1</t>
  </si>
  <si>
    <t>M230</t>
  </si>
  <si>
    <t>https://ftp.ncbi.nlm.nih.gov/genomes/all/GCA/000/339/135/GCA_000339135.1_ASM33913v1</t>
  </si>
  <si>
    <t>GCA_000339155.1</t>
  </si>
  <si>
    <t>15JP3</t>
  </si>
  <si>
    <t>https://ftp.ncbi.nlm.nih.gov/genomes/all/GCA/000/339/155/GCA_000339155.1_ASM33915v1</t>
  </si>
  <si>
    <t>GCA_000339175.1</t>
  </si>
  <si>
    <t>4SM1</t>
  </si>
  <si>
    <t>https://ftp.ncbi.nlm.nih.gov/genomes/all/GCA/000/339/175/GCA_000339175.1_ASM33917v1</t>
  </si>
  <si>
    <t>GCA_000339195.1</t>
  </si>
  <si>
    <t>2ST1</t>
  </si>
  <si>
    <t>https://ftp.ncbi.nlm.nih.gov/genomes/all/GCA/000/339/195/GCA_000339195.1_ASM33919v1</t>
  </si>
  <si>
    <t>GCA_000339215.1</t>
  </si>
  <si>
    <t>4VF1</t>
  </si>
  <si>
    <t>https://ftp.ncbi.nlm.nih.gov/genomes/all/GCA/000/339/215/GCA_000339215.1_ASM33921v1</t>
  </si>
  <si>
    <t>GCA_000339235.1</t>
  </si>
  <si>
    <t>15VF2</t>
  </si>
  <si>
    <t>https://ftp.ncbi.nlm.nih.gov/genomes/all/GCA/000/339/235/GCA_000339235.1_ASM33923v1</t>
  </si>
  <si>
    <t>GCA_000339255.1</t>
  </si>
  <si>
    <t>11VS1</t>
  </si>
  <si>
    <t>https://ftp.ncbi.nlm.nih.gov/genomes/all/GCA/000/339/255/GCA_000339255.1_ASM33925v1</t>
  </si>
  <si>
    <t>GCA_000339275.1</t>
  </si>
  <si>
    <t>5SM3</t>
  </si>
  <si>
    <t>https://ftp.ncbi.nlm.nih.gov/genomes/all/GCA/000/339/275/GCA_000339275.1_ASM33927v1</t>
  </si>
  <si>
    <t>GCA_000339295.1</t>
  </si>
  <si>
    <t>NFSM2</t>
  </si>
  <si>
    <t>https://ftp.ncbi.nlm.nih.gov/genomes/all/GCA/000/339/295/GCA_000339295.1_ASM33929v1</t>
  </si>
  <si>
    <t>GCA_000339315.1</t>
  </si>
  <si>
    <t>A9</t>
  </si>
  <si>
    <t>https://ftp.ncbi.nlm.nih.gov/genomes/all/GCA/000/339/315/GCA_000339315.1_ASM33931v1</t>
  </si>
  <si>
    <t>GCA_000339335.1</t>
  </si>
  <si>
    <t>N29</t>
  </si>
  <si>
    <t>https://ftp.ncbi.nlm.nih.gov/genomes/all/GCA/000/339/335/GCA_000339335.1_ASM33933v1</t>
  </si>
  <si>
    <t>GCA_000339355.1</t>
  </si>
  <si>
    <t>NMT4863</t>
  </si>
  <si>
    <t>https://ftp.ncbi.nlm.nih.gov/genomes/all/GCA/000/339/355/GCA_000339355.1_ASM33935v1</t>
  </si>
  <si>
    <t>GCA_000339375.1</t>
  </si>
  <si>
    <t>T4</t>
  </si>
  <si>
    <t>https://ftp.ncbi.nlm.nih.gov/genomes/all/GCA/000/339/375/GCA_000339375.1_ASM33937v1</t>
  </si>
  <si>
    <t>GCA_000339395.1</t>
  </si>
  <si>
    <t>NFSM1</t>
  </si>
  <si>
    <t>https://ftp.ncbi.nlm.nih.gov/genomes/all/GCA/000/339/395/GCA_000339395.1_ASM33939v1</t>
  </si>
  <si>
    <t>GCA_000339415.1</t>
  </si>
  <si>
    <t>NV1996</t>
  </si>
  <si>
    <t>https://ftp.ncbi.nlm.nih.gov/genomes/all/GCA/000/339/415/GCA_000339415.1_ASM33941v1</t>
  </si>
  <si>
    <t>GCA_000339435.1</t>
  </si>
  <si>
    <t>SF14</t>
  </si>
  <si>
    <t>https://ftp.ncbi.nlm.nih.gov/genomes/all/GCA/000/339/435/GCA_000339435.1_ASM33943v1</t>
  </si>
  <si>
    <t>GCA_000339455.1</t>
  </si>
  <si>
    <t>SM6</t>
  </si>
  <si>
    <t>https://ftp.ncbi.nlm.nih.gov/genomes/all/GCA/000/339/455/GCA_000339455.1_ASM33945v1</t>
  </si>
  <si>
    <t>GCA_000339475.1</t>
  </si>
  <si>
    <t>U2A</t>
  </si>
  <si>
    <t>https://ftp.ncbi.nlm.nih.gov/genomes/all/GCA/000/339/475/GCA_000339475.1_ASM33947v1</t>
  </si>
  <si>
    <t>GCA_000339495.1</t>
  </si>
  <si>
    <t>NLML8</t>
  </si>
  <si>
    <t>https://ftp.ncbi.nlm.nih.gov/genomes/all/GCA/000/339/495/GCA_000339495.1_ASM33949v1</t>
  </si>
  <si>
    <t>GCA_000339515.1</t>
  </si>
  <si>
    <t>14D</t>
  </si>
  <si>
    <t>https://ftp.ncbi.nlm.nih.gov/genomes/all/GCA/000/339/515/GCA_000339515.1_ASM33951v1</t>
  </si>
  <si>
    <t>GCA_000339535.1</t>
  </si>
  <si>
    <t>https://ftp.ncbi.nlm.nih.gov/genomes/all/GCA/000/339/535/GCA_000339535.1_ASM33953v1</t>
  </si>
  <si>
    <t>GCA_000339555.1</t>
  </si>
  <si>
    <t>B</t>
  </si>
  <si>
    <t>https://ftp.ncbi.nlm.nih.gov/genomes/all/GCA/000/339/555/GCA_000339555.1_ASM33955v1</t>
  </si>
  <si>
    <t>GCA_000339575.1</t>
  </si>
  <si>
    <t>SM1</t>
  </si>
  <si>
    <t>https://ftp.ncbi.nlm.nih.gov/genomes/all/GCA/000/339/575/GCA_000339575.1_ASM33957v1</t>
  </si>
  <si>
    <t>GCA_000339595.1</t>
  </si>
  <si>
    <t>8ID3</t>
  </si>
  <si>
    <t>https://ftp.ncbi.nlm.nih.gov/genomes/all/GCA/000/339/595/GCA_000339595.1_ASM33959v1</t>
  </si>
  <si>
    <t>GCA_000339615.1</t>
  </si>
  <si>
    <t>SA38</t>
  </si>
  <si>
    <t>https://ftp.ncbi.nlm.nih.gov/genomes/all/GCA/000/339/615/GCA_000339615.1_ASM33961v1</t>
  </si>
  <si>
    <t>GCA_000339635.1</t>
  </si>
  <si>
    <t>OMZ175</t>
  </si>
  <si>
    <t>https://ftp.ncbi.nlm.nih.gov/genomes/all/GCA/000/339/635/GCA_000339635.1_ASM33963v1</t>
  </si>
  <si>
    <t>GCA_000339655.1</t>
  </si>
  <si>
    <t>1SM1</t>
  </si>
  <si>
    <t>https://ftp.ncbi.nlm.nih.gov/genomes/all/GCA/000/339/655/GCA_000339655.1_ASM33965v1</t>
  </si>
  <si>
    <t>GCA_000339675.1</t>
  </si>
  <si>
    <t>3SN1</t>
  </si>
  <si>
    <t>https://ftp.ncbi.nlm.nih.gov/genomes/all/GCA/000/339/675/GCA_000339675.1_ASM33967v1</t>
  </si>
  <si>
    <t>GCA_000339695.1</t>
  </si>
  <si>
    <t>11A1</t>
  </si>
  <si>
    <t>https://ftp.ncbi.nlm.nih.gov/genomes/all/GCA/000/339/695/GCA_000339695.1_ASM33969v1</t>
  </si>
  <si>
    <t>GCA_000339715.1</t>
  </si>
  <si>
    <t>11SSST2</t>
  </si>
  <si>
    <t>https://ftp.ncbi.nlm.nih.gov/genomes/all/GCA/000/339/715/GCA_000339715.1_ASM33971v1</t>
  </si>
  <si>
    <t>GCA_000339735.1</t>
  </si>
  <si>
    <t>2VS1</t>
  </si>
  <si>
    <t>https://ftp.ncbi.nlm.nih.gov/genomes/all/GCA/000/339/735/GCA_000339735.1_ASM33973v1</t>
  </si>
  <si>
    <t>GCA_000339755.1</t>
  </si>
  <si>
    <t>NVAB</t>
  </si>
  <si>
    <t>https://ftp.ncbi.nlm.nih.gov/genomes/all/GCA/000/339/755/GCA_000339755.1_ASM33975v1</t>
  </si>
  <si>
    <t>GCA_000339775.1</t>
  </si>
  <si>
    <t>A19</t>
  </si>
  <si>
    <t>https://ftp.ncbi.nlm.nih.gov/genomes/all/GCA/000/339/775/GCA_000339775.1_ASM33977v1</t>
  </si>
  <si>
    <t>GCA_000339795.1</t>
  </si>
  <si>
    <t>U138</t>
  </si>
  <si>
    <t>https://ftp.ncbi.nlm.nih.gov/genomes/all/GCA/000/339/795/GCA_000339795.1_ASM33979v1</t>
  </si>
  <si>
    <t>GCA_000339815.1</t>
  </si>
  <si>
    <t>G123</t>
  </si>
  <si>
    <t>https://ftp.ncbi.nlm.nih.gov/genomes/all/GCA/000/339/815/GCA_000339815.1_ASM33981v1</t>
  </si>
  <si>
    <t>GCA_000339835.1</t>
  </si>
  <si>
    <t>M21</t>
  </si>
  <si>
    <t>https://ftp.ncbi.nlm.nih.gov/genomes/all/GCA/000/339/835/GCA_000339835.1_ASM33983v1</t>
  </si>
  <si>
    <t>GCA_000339855.1</t>
  </si>
  <si>
    <t>N34</t>
  </si>
  <si>
    <t>https://ftp.ncbi.nlm.nih.gov/genomes/all/GCA/000/339/855/GCA_000339855.1_ASM33985v1</t>
  </si>
  <si>
    <t>GCA_000339875.1</t>
  </si>
  <si>
    <t>NLML4</t>
  </si>
  <si>
    <t>https://ftp.ncbi.nlm.nih.gov/genomes/all/GCA/000/339/875/GCA_000339875.1_ASM33987v1</t>
  </si>
  <si>
    <t>GCA_000339895.1</t>
  </si>
  <si>
    <t>NLML5</t>
  </si>
  <si>
    <t>https://ftp.ncbi.nlm.nih.gov/genomes/all/GCA/000/339/895/GCA_000339895.1_ASM33989v1</t>
  </si>
  <si>
    <t>GCA_000339915.1</t>
  </si>
  <si>
    <t>NLML9</t>
  </si>
  <si>
    <t>https://ftp.ncbi.nlm.nih.gov/genomes/all/GCA/000/339/915/GCA_000339915.1_ASM33991v1</t>
  </si>
  <si>
    <t>GCA_000339935.1</t>
  </si>
  <si>
    <t>M2A</t>
  </si>
  <si>
    <t>https://ftp.ncbi.nlm.nih.gov/genomes/all/GCA/000/339/935/GCA_000339935.1_ASM33993v1</t>
  </si>
  <si>
    <t>GCA_000339955.1</t>
  </si>
  <si>
    <t>N3209</t>
  </si>
  <si>
    <t>https://ftp.ncbi.nlm.nih.gov/genomes/all/GCA/000/339/955/GCA_000339955.1_ASM33995v1</t>
  </si>
  <si>
    <t>GCA_000339975.1</t>
  </si>
  <si>
    <t>N66</t>
  </si>
  <si>
    <t>https://ftp.ncbi.nlm.nih.gov/genomes/all/GCA/000/339/975/GCA_000339975.1_ASM33997v1</t>
  </si>
  <si>
    <t>GCA_000339995.1</t>
  </si>
  <si>
    <t>W6</t>
  </si>
  <si>
    <t>https://ftp.ncbi.nlm.nih.gov/genomes/all/GCA/000/339/995/GCA_000339995.1_ASM33999v1</t>
  </si>
  <si>
    <t>GCA_000340015.1</t>
  </si>
  <si>
    <t>SF1</t>
  </si>
  <si>
    <t>https://ftp.ncbi.nlm.nih.gov/genomes/all/GCA/000/340/015/GCA_000340015.1_ASM34001v1</t>
  </si>
  <si>
    <t>GCA_000340035.1</t>
  </si>
  <si>
    <t>ST1</t>
  </si>
  <si>
    <t>https://ftp.ncbi.nlm.nih.gov/genomes/all/GCA/000/340/035/GCA_000340035.1_ASM34003v1</t>
  </si>
  <si>
    <t>GCA_000340055.1</t>
  </si>
  <si>
    <t>ST6</t>
  </si>
  <si>
    <t>https://ftp.ncbi.nlm.nih.gov/genomes/all/GCA/000/340/055/GCA_000340055.1_ASM34005v1</t>
  </si>
  <si>
    <t>GCA_000340075.1</t>
  </si>
  <si>
    <t>NLML1</t>
  </si>
  <si>
    <t>https://ftp.ncbi.nlm.nih.gov/genomes/all/GCA/000/340/075/GCA_000340075.1_ASM34007v1</t>
  </si>
  <si>
    <t>GCA_000340095.1</t>
  </si>
  <si>
    <t>1ID3</t>
  </si>
  <si>
    <t>https://ftp.ncbi.nlm.nih.gov/genomes/all/GCA/000/340/095/GCA_000340095.1_ASM34009v1</t>
  </si>
  <si>
    <t>GCA_000340115.1</t>
  </si>
  <si>
    <t>66-2A</t>
  </si>
  <si>
    <t>https://ftp.ncbi.nlm.nih.gov/genomes/all/GCA/000/340/115/GCA_000340115.1_ASM34011v1</t>
  </si>
  <si>
    <t>GCA_000340135.1</t>
  </si>
  <si>
    <t>SM4</t>
  </si>
  <si>
    <t>https://ftp.ncbi.nlm.nih.gov/genomes/all/GCA/000/340/135/GCA_000340135.1_ASM34013v1</t>
  </si>
  <si>
    <t>GCA_000340155.1</t>
  </si>
  <si>
    <t>https://ftp.ncbi.nlm.nih.gov/genomes/all/GCA/000/340/155/GCA_000340155.1_ASM34015v1</t>
  </si>
  <si>
    <t>GCA_000340175.1</t>
  </si>
  <si>
    <t>U2B</t>
  </si>
  <si>
    <t>https://ftp.ncbi.nlm.nih.gov/genomes/all/GCA/000/340/175/GCA_000340175.1_ASM34017v1</t>
  </si>
  <si>
    <t>GCA_000340375.1</t>
  </si>
  <si>
    <t>HMT-569</t>
  </si>
  <si>
    <t>Eggerthia</t>
  </si>
  <si>
    <t>catenaformis</t>
  </si>
  <si>
    <t>OT 569</t>
  </si>
  <si>
    <t>https://ftp.ncbi.nlm.nih.gov/genomes/all/GCA/000/340/375/GCA_000340375.1_Lact_cate_OT_569_V1</t>
  </si>
  <si>
    <t>GCA_000340605.1</t>
  </si>
  <si>
    <t>H1-T</t>
  </si>
  <si>
    <t>https://ftp.ncbi.nlm.nih.gov/genomes/all/GCA/000/340/605/GCA_000340605.1_Trep_dent_H1-T_V1</t>
  </si>
  <si>
    <t>GCA_000340645.1</t>
  </si>
  <si>
    <t>H-22</t>
  </si>
  <si>
    <t>https://ftp.ncbi.nlm.nih.gov/genomes/all/GCA/000/340/645/GCA_000340645.1_Trep_dent_H-22_V1</t>
  </si>
  <si>
    <t>GCA_000340685.1</t>
  </si>
  <si>
    <t>ATCC 35404</t>
  </si>
  <si>
    <t>https://ftp.ncbi.nlm.nih.gov/genomes/all/GCA/000/340/685/GCA_000340685.1_Trep_dent_ATCC_35404_V1</t>
  </si>
  <si>
    <t>GCA_000340705.1</t>
  </si>
  <si>
    <t>OTK</t>
  </si>
  <si>
    <t>https://ftp.ncbi.nlm.nih.gov/genomes/all/GCA/000/340/705/GCA_000340705.1_Trep_dent_OTK_V1</t>
  </si>
  <si>
    <t>GCA_000340725.1</t>
  </si>
  <si>
    <t>AL-2</t>
  </si>
  <si>
    <t>https://ftp.ncbi.nlm.nih.gov/genomes/all/GCA/000/340/725/GCA_000340725.1_Trep_dent_AL-2_V1</t>
  </si>
  <si>
    <t>GCA_000340745.1</t>
  </si>
  <si>
    <t>US-Trep</t>
  </si>
  <si>
    <t>https://ftp.ncbi.nlm.nih.gov/genomes/all/GCA/000/340/745/GCA_000340745.1_Trep_dent_US-Trep_V1</t>
  </si>
  <si>
    <t>GCA_000344255.1</t>
  </si>
  <si>
    <t>https://ftp.ncbi.nlm.nih.gov/genomes/all/GCA/000/344/255/GCA_000344255.1_Streptococcus_tigurinus_1366</t>
  </si>
  <si>
    <t>GCA_000344275.1</t>
  </si>
  <si>
    <t>AZ_3a</t>
  </si>
  <si>
    <t>https://ftp.ncbi.nlm.nih.gov/genomes/all/GCA/000/344/275/GCA_000344275.1_Streptococcus_tigurinus_AZ_3a</t>
  </si>
  <si>
    <t>GCA_000344295.2</t>
  </si>
  <si>
    <t>CC57C</t>
  </si>
  <si>
    <t>https://ftp.ncbi.nlm.nih.gov/genomes/all/GCA/000/344/295/GCA_000344295.2_velvet</t>
  </si>
  <si>
    <t>GCA_000347795.1</t>
  </si>
  <si>
    <t>5DC8</t>
  </si>
  <si>
    <t>https://ftp.ncbi.nlm.nih.gov/genomes/all/GCA/000/347/795/GCA_000347795.1_5dc8_V1</t>
  </si>
  <si>
    <t>GCA_000347815.1</t>
  </si>
  <si>
    <t>KK21</t>
  </si>
  <si>
    <t>https://ftp.ncbi.nlm.nih.gov/genomes/all/GCA/000/347/815/GCA_000347815.1_KK21_V1</t>
  </si>
  <si>
    <t>GCA_000347835.1</t>
  </si>
  <si>
    <t>KK23</t>
  </si>
  <si>
    <t>https://ftp.ncbi.nlm.nih.gov/genomes/all/GCA/000/347/835/GCA_000347835.1_KK23_V1</t>
  </si>
  <si>
    <t>GCA_000347855.1</t>
  </si>
  <si>
    <t>AC4446</t>
  </si>
  <si>
    <t>https://ftp.ncbi.nlm.nih.gov/genomes/all/GCA/000/347/855/GCA_000347855.1_AC4446_V1</t>
  </si>
  <si>
    <t>GCA_000347875.1</t>
  </si>
  <si>
    <t>ATCC 25175</t>
  </si>
  <si>
    <t>https://ftp.ncbi.nlm.nih.gov/genomes/all/GCA/000/347/875/GCA_000347875.1_ATCC25175_V1</t>
  </si>
  <si>
    <t>GCA_000347895.1</t>
  </si>
  <si>
    <t>NCTC 11060</t>
  </si>
  <si>
    <t>https://ftp.ncbi.nlm.nih.gov/genomes/all/GCA/000/347/895/GCA_000347895.1_NCTC11060_V1</t>
  </si>
  <si>
    <t>GCA_000347935.1</t>
  </si>
  <si>
    <t>DSM 20742</t>
  </si>
  <si>
    <t>https://ftp.ncbi.nlm.nih.gov/genomes/all/GCA/000/347/935/GCA_000347935.1_DSM20742_V1</t>
  </si>
  <si>
    <t>GCA_000348705.1</t>
  </si>
  <si>
    <t>PCS8235</t>
  </si>
  <si>
    <t>https://ftp.ncbi.nlm.nih.gov/genomes/all/GCA/000/348/705/GCA_000348705.1_ASM34870v1</t>
  </si>
  <si>
    <t>GCA_000348745.1</t>
  </si>
  <si>
    <t>EPB</t>
  </si>
  <si>
    <t>https://ftp.ncbi.nlm.nih.gov/genomes/all/GCA/000/348/745/GCA_000348745.1_ASM34874v1</t>
  </si>
  <si>
    <t>GCA_000360565.1</t>
  </si>
  <si>
    <t>M0250</t>
  </si>
  <si>
    <t>https://ftp.ncbi.nlm.nih.gov/genomes/all/GCA/000/360/565/GCA_000360565.1_Stap_aure_M0250_V1</t>
  </si>
  <si>
    <t>GCA_000361145.1</t>
  </si>
  <si>
    <t>M0427</t>
  </si>
  <si>
    <t>https://ftp.ncbi.nlm.nih.gov/genomes/all/GCA/000/361/145/GCA_000361145.1_Stap_aure_M0427_V1</t>
  </si>
  <si>
    <t>GCA_000364325.1</t>
  </si>
  <si>
    <t>HMT-674</t>
  </si>
  <si>
    <t>Atopobium</t>
  </si>
  <si>
    <t>minutum</t>
  </si>
  <si>
    <t>https://ftp.ncbi.nlm.nih.gov/genomes/all/GCA/000/364/325/GCA_000364325.1_Atop_minu_V1</t>
  </si>
  <si>
    <t>GCA_000364825.1</t>
  </si>
  <si>
    <t>Beijing/NITR203</t>
  </si>
  <si>
    <t>https://ftp.ncbi.nlm.nih.gov/genomes/all/GCA/000/364/825/GCA_000364825.1_ASM36482v1</t>
  </si>
  <si>
    <t>GCA_000364865.1</t>
  </si>
  <si>
    <t>HMT-850</t>
  </si>
  <si>
    <t>cardiffensis</t>
  </si>
  <si>
    <t>F0333</t>
  </si>
  <si>
    <t>https://ftp.ncbi.nlm.nih.gov/genomes/all/GCA/000/364/865/GCA_000364865.1_ASM36486v1</t>
  </si>
  <si>
    <t>GCA_000367205.1</t>
  </si>
  <si>
    <t>https://ftp.ncbi.nlm.nih.gov/genomes/all/GCA/000/367/205/GCA_000367205.1_ASM36720v1</t>
  </si>
  <si>
    <t>GCA_000367505.1</t>
  </si>
  <si>
    <t>NBRC 109594</t>
  </si>
  <si>
    <t>https://ftp.ncbi.nlm.nih.gov/genomes/all/GCA/000/367/505/GCA_000367505.1_ASM36750v1</t>
  </si>
  <si>
    <t>GCA_000368045.1</t>
  </si>
  <si>
    <t>HMT-297</t>
  </si>
  <si>
    <t>CIP 64.6</t>
  </si>
  <si>
    <t>https://ftp.ncbi.nlm.nih.gov/genomes/all/GCA/000/368/045/GCA_000368045.1_Acin_john_CIP_64_6_V1</t>
  </si>
  <si>
    <t>GCA_000368765.1</t>
  </si>
  <si>
    <t>HMT-282</t>
  </si>
  <si>
    <t>junii</t>
  </si>
  <si>
    <t>CIP 64.5</t>
  </si>
  <si>
    <t>https://ftp.ncbi.nlm.nih.gov/genomes/all/GCA/000/368/765/GCA_000368765.1_Acin_juni_CIP_64_5_V1</t>
  </si>
  <si>
    <t>GCA_000368885.1</t>
  </si>
  <si>
    <t>NIPH 2130</t>
  </si>
  <si>
    <t>https://ftp.ncbi.nlm.nih.gov/genomes/all/GCA/000/368/885/GCA_000368885.1_Acin_radi_NIPH_2130_V1</t>
  </si>
  <si>
    <t>GCA_000368905.1</t>
  </si>
  <si>
    <t>CIP 103788</t>
  </si>
  <si>
    <t>https://ftp.ncbi.nlm.nih.gov/genomes/all/GCA/000/368/905/GCA_000368905.1_Acin_radi_CIP_103788_V1</t>
  </si>
  <si>
    <t>GCA_000369385.1</t>
  </si>
  <si>
    <t>CIP 70.34</t>
  </si>
  <si>
    <t>https://ftp.ncbi.nlm.nih.gov/genomes/all/GCA/000/369/385/GCA_000369385.1_Acin_baum_CIP_70_34T_V1</t>
  </si>
  <si>
    <t>GCA_000372365.1</t>
  </si>
  <si>
    <t>DSM 8324</t>
  </si>
  <si>
    <t>https://ftp.ncbi.nlm.nih.gov/genomes/all/GCA/000/372/365/GCA_000372365.1_ASM37236v1</t>
  </si>
  <si>
    <t>shahii</t>
  </si>
  <si>
    <t>DSM 19757</t>
  </si>
  <si>
    <t>https://ftp.ncbi.nlm.nih.gov/genomes/all/GCA/000/373/045/GCA_000373045.1_ASM37304v1</t>
  </si>
  <si>
    <t>DSM 17679</t>
  </si>
  <si>
    <t>https://ftp.ncbi.nlm.nih.gov/genomes/all/GCA/000/373/085/GCA_000373085.1_ASM37308v1</t>
  </si>
  <si>
    <t>wadei</t>
  </si>
  <si>
    <t>DSM 19758</t>
  </si>
  <si>
    <t>https://ftp.ncbi.nlm.nih.gov/genomes/all/GCA/000/373/345/GCA_000373345.1_ASM37334v1</t>
  </si>
  <si>
    <t>GCA_000373605.1</t>
  </si>
  <si>
    <t>DSM 20563</t>
  </si>
  <si>
    <t>https://ftp.ncbi.nlm.nih.gov/genomes/all/GCA/000/373/605/GCA_000373605.1_ASM37360v1</t>
  </si>
  <si>
    <t>GCA_000373705.1</t>
  </si>
  <si>
    <t>DSM 21469</t>
  </si>
  <si>
    <t>https://ftp.ncbi.nlm.nih.gov/genomes/all/GCA/000/373/705/GCA_000373705.1_ASM37370v1</t>
  </si>
  <si>
    <t>GCA_000373785.1</t>
  </si>
  <si>
    <t>HMT-484</t>
  </si>
  <si>
    <t>Erysipelothrix</t>
  </si>
  <si>
    <t>tonsillarum</t>
  </si>
  <si>
    <t>DSM 14972</t>
  </si>
  <si>
    <t>https://ftp.ncbi.nlm.nih.gov/genomes/all/GCA/000/373/785/GCA_000373785.1_ASM37378v1</t>
  </si>
  <si>
    <t>GCA_000374605.1</t>
  </si>
  <si>
    <t>HMT-842</t>
  </si>
  <si>
    <t>ureolyticus</t>
  </si>
  <si>
    <t>DSM 20703</t>
  </si>
  <si>
    <t>https://ftp.ncbi.nlm.nih.gov/genomes/all/GCA/000/374/605/GCA_000374605.1_ASM37460v1</t>
  </si>
  <si>
    <t>GCA_000375365.1</t>
  </si>
  <si>
    <t>HMT-328</t>
  </si>
  <si>
    <t>mastitidis</t>
  </si>
  <si>
    <t>DSM 44356</t>
  </si>
  <si>
    <t>https://ftp.ncbi.nlm.nih.gov/genomes/all/GCA/000/375/365/GCA_000375365.1_ASM37536v1</t>
  </si>
  <si>
    <t>GCA_000375505.1</t>
  </si>
  <si>
    <t>DSM 20523</t>
  </si>
  <si>
    <t>https://ftp.ncbi.nlm.nih.gov/genomes/all/GCA/000/375/505/GCA_000375505.1_ASM37550v1</t>
  </si>
  <si>
    <t>GCA_000375525.1</t>
  </si>
  <si>
    <t>HMT-059</t>
  </si>
  <si>
    <t>propinquum</t>
  </si>
  <si>
    <t>DSM 44285</t>
  </si>
  <si>
    <t>https://ftp.ncbi.nlm.nih.gov/genomes/all/GCA/000/375/525/GCA_000375525.1_ASM37552v1</t>
  </si>
  <si>
    <t>GCA_000376325.1</t>
  </si>
  <si>
    <t>DSM 6644</t>
  </si>
  <si>
    <t>https://ftp.ncbi.nlm.nih.gov/genomes/all/GCA/000/376/325/GCA_000376325.1_ASM37632v1</t>
  </si>
  <si>
    <t>GCA_000376705.1</t>
  </si>
  <si>
    <t>HL096PA1</t>
  </si>
  <si>
    <t>https://ftp.ncbi.nlm.nih.gov/genomes/all/GCA/000/376/705/GCA_000376705.1_ASM37670v1</t>
  </si>
  <si>
    <t>DSM 19559</t>
  </si>
  <si>
    <t>https://ftp.ncbi.nlm.nih.gov/genomes/all/GCA/000/377/625/GCA_000377625.1_ASM37762v1</t>
  </si>
  <si>
    <t>GCA_000377685.1</t>
  </si>
  <si>
    <t>DSM 18711</t>
  </si>
  <si>
    <t>https://ftp.ncbi.nlm.nih.gov/genomes/all/GCA/000/377/685/GCA_000377685.1_ASM37768v1</t>
  </si>
  <si>
    <t>DSM 19665</t>
  </si>
  <si>
    <t>https://ftp.ncbi.nlm.nih.gov/genomes/all/GCA/000/378/085/GCA_000378085.1_ASM37808v1</t>
  </si>
  <si>
    <t>GCA_000378725.1</t>
  </si>
  <si>
    <t>DSM 7455</t>
  </si>
  <si>
    <t>https://ftp.ncbi.nlm.nih.gov/genomes/all/GCA/000/378/725/GCA_000378725.1_ASM37872v1</t>
  </si>
  <si>
    <t>GCA_000378745.1</t>
  </si>
  <si>
    <t>DSM 23384</t>
  </si>
  <si>
    <t>https://ftp.ncbi.nlm.nih.gov/genomes/all/GCA/000/378/745/GCA_000378745.1_ASM37874v1</t>
  </si>
  <si>
    <t>GCA_000379145.1</t>
  </si>
  <si>
    <t>HMT-597</t>
  </si>
  <si>
    <t>Bradyrhizobium</t>
  </si>
  <si>
    <t>elkanii</t>
  </si>
  <si>
    <t>USDA 76</t>
  </si>
  <si>
    <t>https://ftp.ncbi.nlm.nih.gov/genomes/all/GCA/000/379/145/GCA_000379145.1_ASM37914v1</t>
  </si>
  <si>
    <t>GCA_000379965.1</t>
  </si>
  <si>
    <t>DSM 19126</t>
  </si>
  <si>
    <t>https://ftp.ncbi.nlm.nih.gov/genomes/all/GCA/000/379/965/GCA_000379965.1_ASM37996v1</t>
  </si>
  <si>
    <t>GCA_000380305.1</t>
  </si>
  <si>
    <t>JCVI SC001</t>
  </si>
  <si>
    <t>https://ftp.ncbi.nlm.nih.gov/genomes/all/GCA/000/380/305/GCA_000380305.1_PgingivalisJCVISC001v1.0</t>
  </si>
  <si>
    <t>GCA_000381525.1</t>
  </si>
  <si>
    <t>DSM 2949</t>
  </si>
  <si>
    <t>https://ftp.ncbi.nlm.nih.gov/genomes/all/GCA/000/381/525/GCA_000381525.1_ASM38152v1</t>
  </si>
  <si>
    <t>DSM 19339</t>
  </si>
  <si>
    <t>https://ftp.ncbi.nlm.nih.gov/genomes/all/GCA/000/382/385/GCA_000382385.1_ASM38238v1</t>
  </si>
  <si>
    <t>https://ftp.ncbi.nlm.nih.gov/genomes/all/GCA/000/382/445/GCA_000382445.1_Bact_mass_DSM_17679_V1</t>
  </si>
  <si>
    <t>GCA_000382805.1</t>
  </si>
  <si>
    <t>CECT 7746</t>
  </si>
  <si>
    <t>https://ftp.ncbi.nlm.nih.gov/genomes/all/GCA/000/382/805/GCA_000382805.1_ASM38280v1</t>
  </si>
  <si>
    <t>GCA_000382825.1</t>
  </si>
  <si>
    <t>https://ftp.ncbi.nlm.nih.gov/genomes/all/GCA/000/382/825/GCA_000382825.1_ASM38282v1</t>
  </si>
  <si>
    <t>GCA_000382965.1</t>
  </si>
  <si>
    <t>ST228</t>
  </si>
  <si>
    <t>https://ftp.ncbi.nlm.nih.gov/genomes/all/GCA/000/382/965/GCA_000382965.1_ASM38296v1</t>
  </si>
  <si>
    <t>GCA_000382985.1</t>
  </si>
  <si>
    <t>https://ftp.ncbi.nlm.nih.gov/genomes/all/GCA/000/382/985/GCA_000382985.1_ASM38298v1</t>
  </si>
  <si>
    <t>GCA_000383005.1</t>
  </si>
  <si>
    <t>https://ftp.ncbi.nlm.nih.gov/genomes/all/GCA/000/383/005/GCA_000383005.1_ASM38300v1</t>
  </si>
  <si>
    <t>GCA_000385435.1</t>
  </si>
  <si>
    <t>HMT-001</t>
  </si>
  <si>
    <t>Bartonella</t>
  </si>
  <si>
    <t>schoenbuchensis</t>
  </si>
  <si>
    <t>m07a</t>
  </si>
  <si>
    <t>https://ftp.ncbi.nlm.nih.gov/genomes/all/GCA/000/385/435/GCA_000385435.1_m07aNrPeIrM01</t>
  </si>
  <si>
    <t>GCA_000385925.1</t>
  </si>
  <si>
    <t>AS 1.3089</t>
  </si>
  <si>
    <t>https://ftp.ncbi.nlm.nih.gov/genomes/all/GCA/000/385/925/GCA_000385925.1_ASM38592v1</t>
  </si>
  <si>
    <t>GCA_000392435.1</t>
  </si>
  <si>
    <t>HMT-988</t>
  </si>
  <si>
    <t>Saccharimonas</t>
  </si>
  <si>
    <t>aalborgensis</t>
  </si>
  <si>
    <t>TM71</t>
  </si>
  <si>
    <t>https://ftp.ncbi.nlm.nih.gov/genomes/all/GCA/000/392/435/GCA_000392435.1_ASM39243v1</t>
  </si>
  <si>
    <t>GCA_000392875.1</t>
  </si>
  <si>
    <t>HMT-604</t>
  </si>
  <si>
    <t>faecalis</t>
  </si>
  <si>
    <t>ATCC 19433</t>
  </si>
  <si>
    <t>https://ftp.ncbi.nlm.nih.gov/genomes/all/GCA/000/392/875/GCA_000392875.1_Ente_faec_ATCC_19433_V1</t>
  </si>
  <si>
    <t>GCA_000400875.1</t>
  </si>
  <si>
    <t>4_8</t>
  </si>
  <si>
    <t>https://ftp.ncbi.nlm.nih.gov/genomes/all/GCA/000/400/875/GCA_000400875.1_ASM40087v1</t>
  </si>
  <si>
    <t>GCA_000403725.2</t>
  </si>
  <si>
    <t>HMT-030</t>
  </si>
  <si>
    <t>afermentans</t>
  </si>
  <si>
    <t>GD7</t>
  </si>
  <si>
    <t>https://ftp.ncbi.nlm.nih.gov/genomes/all/GCA/000/403/725/GCA_000403725.2_GD7</t>
  </si>
  <si>
    <t>GCA_000406805.1</t>
  </si>
  <si>
    <t>Anaerolineae [G1]</t>
  </si>
  <si>
    <t>bacterium HMT-439</t>
  </si>
  <si>
    <t>Chl2</t>
  </si>
  <si>
    <t>https://ftp.ncbi.nlm.nih.gov/genomes/all/GCA/000/406/805/GCA_000406805.1_Chl2</t>
  </si>
  <si>
    <t>GCA_000407005.1</t>
  </si>
  <si>
    <t>HMT-802</t>
  </si>
  <si>
    <t>saccharolyticus</t>
  </si>
  <si>
    <t>ATCC 43076</t>
  </si>
  <si>
    <t>https://ftp.ncbi.nlm.nih.gov/genomes/all/GCA/000/407/005/GCA_000407005.1_Ente_sacc_ATCC43076_V1</t>
  </si>
  <si>
    <t>GCA_000407285.1</t>
  </si>
  <si>
    <t>https://ftp.ncbi.nlm.nih.gov/genomes/all/GCA/000/407/285/GCA_000407285.1_Ente_sacc_ATCC43076_V2</t>
  </si>
  <si>
    <t>GCA_000411115.1</t>
  </si>
  <si>
    <t>ATCC 51502</t>
  </si>
  <si>
    <t>https://ftp.ncbi.nlm.nih.gov/genomes/all/GCA/000/411/115/GCA_000411115.1_Capn_gran_ATCC_51502_V1</t>
  </si>
  <si>
    <t>GCA_000411235.1</t>
  </si>
  <si>
    <t>HFH0082</t>
  </si>
  <si>
    <t>https://ftp.ncbi.nlm.nih.gov/genomes/all/GCA/000/411/235/GCA_000411235.1_Cory_sp_HFH0082_V1</t>
  </si>
  <si>
    <t>GCA_000411455.1</t>
  </si>
  <si>
    <t>HMT-186</t>
  </si>
  <si>
    <t>Microbacterium</t>
  </si>
  <si>
    <t>sp. HMT-186</t>
  </si>
  <si>
    <t>F0373</t>
  </si>
  <si>
    <t>https://ftp.ncbi.nlm.nih.gov/genomes/all/GCA/000/411/455/GCA_000411455.1_Micr_sp_oral_taxon_186_F0373_V1</t>
  </si>
  <si>
    <t>GCA_000411535.1</t>
  </si>
  <si>
    <t>HPA0037</t>
  </si>
  <si>
    <t>https://ftp.ncbi.nlm.nih.gov/genomes/all/GCA/000/411/535/GCA_000411535.1_Veil_sp_HPA0037_V1</t>
  </si>
  <si>
    <t>GCA_000411555.1</t>
  </si>
  <si>
    <t>HMT-199</t>
  </si>
  <si>
    <t>sp. HMT-199</t>
  </si>
  <si>
    <t>F0494</t>
  </si>
  <si>
    <t>https://ftp.ncbi.nlm.nih.gov/genomes/all/GCA/000/411/555/GCA_000411555.1_Atop_sp_oral_taxon_199_F0494_V1</t>
  </si>
  <si>
    <t>F0502</t>
  </si>
  <si>
    <t>https://ftp.ncbi.nlm.nih.gov/genomes/all/GCA/000/411/575/GCA_000411575.1_Capn_sp_oral_taxon_336_F0502_V1</t>
  </si>
  <si>
    <t>GCA_000412775.1</t>
  </si>
  <si>
    <t>CA-347</t>
  </si>
  <si>
    <t>https://ftp.ncbi.nlm.nih.gov/genomes/all/GCA/000/412/775/GCA_000412775.1_ASM41277v1</t>
  </si>
  <si>
    <t>GCA_000412995.1</t>
  </si>
  <si>
    <t>F0403</t>
  </si>
  <si>
    <t>https://ftp.ncbi.nlm.nih.gov/genomes/all/GCA/000/412/995/GCA_000412995.1_Trep_vinc_F0403_V1</t>
  </si>
  <si>
    <t>GCA_000413015.1</t>
  </si>
  <si>
    <t>HMT-440</t>
  </si>
  <si>
    <t>socranskii subsp. paredis</t>
  </si>
  <si>
    <t>ATCC 35535</t>
  </si>
  <si>
    <t>https://ftp.ncbi.nlm.nih.gov/genomes/all/GCA/000/413/015/GCA_000413015.1_Trep_socr_subsp_paredis_ATCC_35535_V1</t>
  </si>
  <si>
    <t>GCA_000413035.1</t>
  </si>
  <si>
    <t>HMT-667</t>
  </si>
  <si>
    <t>medium</t>
  </si>
  <si>
    <t>ATCC 700293</t>
  </si>
  <si>
    <t>https://ftp.ncbi.nlm.nih.gov/genomes/all/GCA/000/413/035/GCA_000413035.1_Trep_medi_ATCC_700293_V1</t>
  </si>
  <si>
    <t>GCA_000413055.1</t>
  </si>
  <si>
    <t>HMT-664</t>
  </si>
  <si>
    <t>maltophilum</t>
  </si>
  <si>
    <t>ATCC 51939</t>
  </si>
  <si>
    <t>https://ftp.ncbi.nlm.nih.gov/genomes/all/GCA/000/413/055/GCA_000413055.1_Trep_malt_ATCC_51939_V1</t>
  </si>
  <si>
    <t>GCA_000413075.1</t>
  </si>
  <si>
    <t>SP44</t>
  </si>
  <si>
    <t>https://ftp.ncbi.nlm.nih.gov/genomes/all/GCA/000/413/075/GCA_000413075.1_Trep_dent_SP44_F0466_V1</t>
  </si>
  <si>
    <t>GCA_000413095.1</t>
  </si>
  <si>
    <t>SP32</t>
  </si>
  <si>
    <t>https://ftp.ncbi.nlm.nih.gov/genomes/all/GCA/000/413/095/GCA_000413095.1_Trep_dent_SP32_F0464_V1</t>
  </si>
  <si>
    <t>GCA_000413115.1</t>
  </si>
  <si>
    <t>SP23</t>
  </si>
  <si>
    <t>https://ftp.ncbi.nlm.nih.gov/genomes/all/GCA/000/413/115/GCA_000413115.1_Trep_dent_SP23_F0463_V1</t>
  </si>
  <si>
    <t>GCA_000413315.1</t>
  </si>
  <si>
    <t>HMT-192</t>
  </si>
  <si>
    <t>Brooklawnia</t>
  </si>
  <si>
    <t>sp. HMT-192</t>
  </si>
  <si>
    <t>F0372</t>
  </si>
  <si>
    <t>https://ftp.ncbi.nlm.nih.gov/genomes/all/GCA/000/413/315/GCA_000413315.1_Prop_sp_oral_taxon_192_F0372_V1</t>
  </si>
  <si>
    <t>GCA_000413335.1</t>
  </si>
  <si>
    <t>HGH0353</t>
  </si>
  <si>
    <t>https://ftp.ncbi.nlm.nih.gov/genomes/all/GCA/000/413/335/GCA_000413335.1_Prop_sp_HGH0353_V1</t>
  </si>
  <si>
    <t>GCA_000413355.1</t>
  </si>
  <si>
    <t>HGA0225</t>
  </si>
  <si>
    <t>https://ftp.ncbi.nlm.nih.gov/genomes/all/GCA/000/413/355/GCA_000413355.1_Prev_oral_HGA0225_V1</t>
  </si>
  <si>
    <t>GCA_000413375.1</t>
  </si>
  <si>
    <t>HMT-354</t>
  </si>
  <si>
    <t>Dermabacter</t>
  </si>
  <si>
    <t>HFH0086</t>
  </si>
  <si>
    <t>https://ftp.ncbi.nlm.nih.gov/genomes/all/GCA/000/413/375/GCA_000413375.1_Derm_sp_HFH0086_V1</t>
  </si>
  <si>
    <t>CC31F</t>
  </si>
  <si>
    <t>https://ftp.ncbi.nlm.nih.gov/genomes/all/GCA/000/413/395/GCA_000413395.1_Bact_ster_CC31F_V1</t>
  </si>
  <si>
    <t>GCA_000413475.1</t>
  </si>
  <si>
    <t>ATCC 27335</t>
  </si>
  <si>
    <t>https://ftp.ncbi.nlm.nih.gov/genomes/all/GCA/000/413/475/GCA_000413475.1_Stre_inte_ATCC_27335_V1</t>
  </si>
  <si>
    <t>GCA_000418345.1</t>
  </si>
  <si>
    <t>Bmb9393</t>
  </si>
  <si>
    <t>https://ftp.ncbi.nlm.nih.gov/genomes/all/GCA/000/418/345/GCA_000418345.1_ASM41834v1</t>
  </si>
  <si>
    <t>GCA_000418475.1</t>
  </si>
  <si>
    <t>LOCK900</t>
  </si>
  <si>
    <t>https://ftp.ncbi.nlm.nih.gov/genomes/all/GCA/000/418/475/GCA_000418475.1_ASM41847v1</t>
  </si>
  <si>
    <t>GCA_000420105.1</t>
  </si>
  <si>
    <t>HMT-704</t>
  </si>
  <si>
    <t>Metamycoplasma</t>
  </si>
  <si>
    <t>ATCC 23714</t>
  </si>
  <si>
    <t>https://ftp.ncbi.nlm.nih.gov/genomes/all/GCA/000/420/105/GCA_000420105.1_ASM42010v1</t>
  </si>
  <si>
    <t>GCA_000420505.1</t>
  </si>
  <si>
    <t>HMT-198</t>
  </si>
  <si>
    <t>Alloscardovia</t>
  </si>
  <si>
    <t>omnicolens</t>
  </si>
  <si>
    <t>DSM 21503</t>
  </si>
  <si>
    <t>https://ftp.ncbi.nlm.nih.gov/genomes/all/GCA/000/420/505/GCA_000420505.1_ASM42050v1</t>
  </si>
  <si>
    <t>GCA_000420605.1</t>
  </si>
  <si>
    <t>HMT-333</t>
  </si>
  <si>
    <t>massiliense</t>
  </si>
  <si>
    <t>DSM 45435</t>
  </si>
  <si>
    <t>https://ftp.ncbi.nlm.nih.gov/genomes/all/GCA/000/420/605/GCA_000420605.1_ASM42060v1</t>
  </si>
  <si>
    <t>DSM 20614</t>
  </si>
  <si>
    <t>https://ftp.ncbi.nlm.nih.gov/genomes/all/GCA/000/421/205/GCA_000421205.1_ASM42120v1</t>
  </si>
  <si>
    <t>GCA_000421785.1</t>
  </si>
  <si>
    <t>DSM 20565</t>
  </si>
  <si>
    <t>https://ftp.ncbi.nlm.nih.gov/genomes/all/GCA/000/421/785/GCA_000421785.1_ASM42178v1</t>
  </si>
  <si>
    <t>GCA_000422605.1</t>
  </si>
  <si>
    <t>DSM 20559</t>
  </si>
  <si>
    <t>https://ftp.ncbi.nlm.nih.gov/genomes/all/GCA/000/422/605/GCA_000422605.1_ASM42260v1</t>
  </si>
  <si>
    <t>GCA_000425005.1</t>
  </si>
  <si>
    <t>DSM 22971</t>
  </si>
  <si>
    <t>https://ftp.ncbi.nlm.nih.gov/genomes/all/GCA/000/425/005/GCA_000425005.1_ASM42500v1</t>
  </si>
  <si>
    <t>GCA_000425825.1</t>
  </si>
  <si>
    <t>HMT-243</t>
  </si>
  <si>
    <t>Jeotgalicoccus</t>
  </si>
  <si>
    <t>marinus</t>
  </si>
  <si>
    <t>DSM 19772</t>
  </si>
  <si>
    <t>https://ftp.ncbi.nlm.nih.gov/genomes/all/GCA/000/425/825/GCA_000425825.1_ASM42582v1</t>
  </si>
  <si>
    <t>GCA_000426405.1</t>
  </si>
  <si>
    <t>HMT-890</t>
  </si>
  <si>
    <t>subtile</t>
  </si>
  <si>
    <t>DSM 20096</t>
  </si>
  <si>
    <t>https://ftp.ncbi.nlm.nih.gov/genomes/all/GCA/000/426/405/GCA_000426405.1_ASM42640v1</t>
  </si>
  <si>
    <t>baroniae</t>
  </si>
  <si>
    <t>DSM 16972</t>
  </si>
  <si>
    <t>https://ftp.ncbi.nlm.nih.gov/genomes/all/GCA/000/426/585/GCA_000426585.1_ASM42658v1</t>
  </si>
  <si>
    <t>GCA_000426605.1</t>
  </si>
  <si>
    <t>HMT-191</t>
  </si>
  <si>
    <t>Propionibacterium</t>
  </si>
  <si>
    <t>acidifaciens</t>
  </si>
  <si>
    <t>DSM 21887</t>
  </si>
  <si>
    <t>https://ftp.ncbi.nlm.nih.gov/genomes/all/GCA/000/426/605/GCA_000426605.1_ASM42660v1</t>
  </si>
  <si>
    <t>GCA_000426665.1</t>
  </si>
  <si>
    <t>DSM 19719</t>
  </si>
  <si>
    <t>https://ftp.ncbi.nlm.nih.gov/genomes/all/GCA/000/426/665/GCA_000426665.1_ASM42666v1</t>
  </si>
  <si>
    <t>DSM 20611</t>
  </si>
  <si>
    <t>https://ftp.ncbi.nlm.nih.gov/genomes/all/GCA/000/428/105/GCA_000428105.1_ASM42810v1</t>
  </si>
  <si>
    <t>DSM 21651</t>
  </si>
  <si>
    <t>https://ftp.ncbi.nlm.nih.gov/genomes/all/GCA/000/428/965/GCA_000428965.1_ASM42896v1</t>
  </si>
  <si>
    <t>GCA_000429225.1</t>
  </si>
  <si>
    <t>HMT-888</t>
  </si>
  <si>
    <t>DSM 19115</t>
  </si>
  <si>
    <t>https://ftp.ncbi.nlm.nih.gov/genomes/all/GCA/000/429/225/GCA_000429225.1_ASM42922v1</t>
  </si>
  <si>
    <t>georgiae</t>
  </si>
  <si>
    <t>DSM 6843</t>
  </si>
  <si>
    <t>https://ftp.ncbi.nlm.nih.gov/genomes/all/GCA/000/429/245/GCA_000429245.1_ASM42924v1</t>
  </si>
  <si>
    <t>GCA_000429265.1</t>
  </si>
  <si>
    <t>HMT-618</t>
  </si>
  <si>
    <t>gerencseriae</t>
  </si>
  <si>
    <t>DSM 6844</t>
  </si>
  <si>
    <t>https://ftp.ncbi.nlm.nih.gov/genomes/all/GCA/000/429/265/GCA_000429265.1_ASM42926v1</t>
  </si>
  <si>
    <t>GCA_000430565.1</t>
  </si>
  <si>
    <t>DSM 22865</t>
  </si>
  <si>
    <t>https://ftp.ncbi.nlm.nih.gov/genomes/all/GCA/000/430/565/GCA_000430565.1_ASM43056v1</t>
  </si>
  <si>
    <t>GCA_000431415.1</t>
  </si>
  <si>
    <t>https://ftp.ncbi.nlm.nih.gov/genomes/all/GCA/000/431/415/GCA_000431415.1_MGS621</t>
  </si>
  <si>
    <t>GCA_000433275.1</t>
  </si>
  <si>
    <t>https://ftp.ncbi.nlm.nih.gov/genomes/all/GCA/000/433/275/GCA_000433275.1_MGS218</t>
  </si>
  <si>
    <t>GCA_000433695.1</t>
  </si>
  <si>
    <t>https://ftp.ncbi.nlm.nih.gov/genomes/all/GCA/000/433/695/GCA_000433695.1_MGS649</t>
  </si>
  <si>
    <t>GCA_000438335.1</t>
  </si>
  <si>
    <t>HMT-736</t>
  </si>
  <si>
    <t>pneumosintes</t>
  </si>
  <si>
    <t>https://ftp.ncbi.nlm.nih.gov/genomes/all/GCA/000/438/335/GCA_000438335.1_MGS588</t>
  </si>
  <si>
    <t>GCA_000438685.2</t>
  </si>
  <si>
    <t>N1-011A</t>
  </si>
  <si>
    <t>https://ftp.ncbi.nlm.nih.gov/genomes/all/GCA/000/438/685/GCA_000438685.2_ASM43868v2</t>
  </si>
  <si>
    <t>GCA_000439045.1</t>
  </si>
  <si>
    <t>ATCC 33478</t>
  </si>
  <si>
    <t>https://ftp.ncbi.nlm.nih.gov/genomes/all/GCA/000/439/045/GCA_000439045.1_ASM43904v1</t>
  </si>
  <si>
    <t>GCA_000439065.1</t>
  </si>
  <si>
    <t>DSM 20706</t>
  </si>
  <si>
    <t>https://ftp.ncbi.nlm.nih.gov/genomes/all/GCA/000/439/065/GCA_000439065.1_ASM43906v1</t>
  </si>
  <si>
    <t>F0290</t>
  </si>
  <si>
    <t>https://ftp.ncbi.nlm.nih.gov/genomes/all/GCA/000/442/105/GCA_000442105.1_BactbactF0290v01</t>
  </si>
  <si>
    <t>GCA_000442155.1</t>
  </si>
  <si>
    <t>https://ftp.ncbi.nlm.nih.gov/genomes/all/GCA/000/442/155/GCA_000442155.1_2425.1</t>
  </si>
  <si>
    <t>GCA_000442175.1</t>
  </si>
  <si>
    <t>https://ftp.ncbi.nlm.nih.gov/genomes/all/GCA/000/442/175/GCA_000442175.1_2426.1</t>
  </si>
  <si>
    <t>GCA_000444425.1</t>
  </si>
  <si>
    <t>BB2000</t>
  </si>
  <si>
    <t>https://ftp.ncbi.nlm.nih.gov/genomes/all/GCA/000/444/425/GCA_000444425.1_ASM44442v1</t>
  </si>
  <si>
    <t>GCA_000448565.1</t>
  </si>
  <si>
    <t>HSISM1</t>
  </si>
  <si>
    <t>https://ftp.ncbi.nlm.nih.gov/genomes/all/GCA/000/448/565/GCA_000448565.1_HSISM1_1.0</t>
  </si>
  <si>
    <t>GCA_000448685.2</t>
  </si>
  <si>
    <t>HSISS4</t>
  </si>
  <si>
    <t>https://ftp.ncbi.nlm.nih.gov/genomes/all/GCA/000/448/685/GCA_000448685.2_ASM44868v2</t>
  </si>
  <si>
    <t>GCA_000448705.1</t>
  </si>
  <si>
    <t>HSIVP1</t>
  </si>
  <si>
    <t>https://ftp.ncbi.nlm.nih.gov/genomes/all/GCA/000/448/705/GCA_000448705.1_HSIVP1_1.0</t>
  </si>
  <si>
    <t>GCA_000452385.2</t>
  </si>
  <si>
    <t>Tager 104</t>
  </si>
  <si>
    <t>https://ftp.ncbi.nlm.nih.gov/genomes/all/GCA/000/452/385/GCA_000452385.2_ASM45238v2</t>
  </si>
  <si>
    <t>GCA_000455445.1</t>
  </si>
  <si>
    <t>https://ftp.ncbi.nlm.nih.gov/genomes/all/GCA/000/455/445/GCA_000455445.1_4401737</t>
  </si>
  <si>
    <t>GCA_000455865.1</t>
  </si>
  <si>
    <t>ChDC F145</t>
  </si>
  <si>
    <t>https://ftp.ncbi.nlm.nih.gov/genomes/all/GCA/000/455/865/GCA_000455865.1_ASM45586v1</t>
  </si>
  <si>
    <t>GCA_000455885.1</t>
  </si>
  <si>
    <t>ChDC F174</t>
  </si>
  <si>
    <t>https://ftp.ncbi.nlm.nih.gov/genomes/all/GCA/000/455/885/GCA_000455885.1_ASM45588v1</t>
  </si>
  <si>
    <t>GCA_000455905.1</t>
  </si>
  <si>
    <t>ChDC F206</t>
  </si>
  <si>
    <t>https://ftp.ncbi.nlm.nih.gov/genomes/all/GCA/000/455/905/GCA_000455905.1_ASM45590v1</t>
  </si>
  <si>
    <t>GCA_000455925.1</t>
  </si>
  <si>
    <t>ChDC F300</t>
  </si>
  <si>
    <t>https://ftp.ncbi.nlm.nih.gov/genomes/all/GCA/000/455/925/GCA_000455925.1_ASM45592v1</t>
  </si>
  <si>
    <t>GCA_000455945.1</t>
  </si>
  <si>
    <t>ChDC F316</t>
  </si>
  <si>
    <t>https://ftp.ncbi.nlm.nih.gov/genomes/all/GCA/000/455/945/GCA_000455945.1_ASM45594v1</t>
  </si>
  <si>
    <t>GCA_000455965.1</t>
  </si>
  <si>
    <t>ChDC F8</t>
  </si>
  <si>
    <t>https://ftp.ncbi.nlm.nih.gov/genomes/all/GCA/000/455/965/GCA_000455965.1_ASM45596v1</t>
  </si>
  <si>
    <t>GCA_000455985.1</t>
  </si>
  <si>
    <t>ChDC F324</t>
  </si>
  <si>
    <t>https://ftp.ncbi.nlm.nih.gov/genomes/all/GCA/000/455/985/GCA_000455985.1_ASM45598v1</t>
  </si>
  <si>
    <t>GCA_000462955.1</t>
  </si>
  <si>
    <t>https://ftp.ncbi.nlm.nih.gov/genomes/all/GCA/000/462/955/GCA_000462955.1_ASM46295v1</t>
  </si>
  <si>
    <t>GCA_000463015.1</t>
  </si>
  <si>
    <t>B4</t>
  </si>
  <si>
    <t>https://ftp.ncbi.nlm.nih.gov/genomes/all/GCA/000/463/015/GCA_000463015.1_ASM46301v1</t>
  </si>
  <si>
    <t>GCA_000463055.1</t>
  </si>
  <si>
    <t>CN1</t>
  </si>
  <si>
    <t>https://ftp.ncbi.nlm.nih.gov/genomes/all/GCA/000/463/055/GCA_000463055.1_ASM46305v1</t>
  </si>
  <si>
    <t>GCA_000463355.1</t>
  </si>
  <si>
    <t>B196</t>
  </si>
  <si>
    <t>https://ftp.ncbi.nlm.nih.gov/genomes/all/GCA/000/463/355/GCA_000463355.1_ASM46335v1</t>
  </si>
  <si>
    <t>GCA_000463385.1</t>
  </si>
  <si>
    <t>C270</t>
  </si>
  <si>
    <t>https://ftp.ncbi.nlm.nih.gov/genomes/all/GCA/000/463/385/GCA_000463385.1_ASM46338v1</t>
  </si>
  <si>
    <t>GCA_000463395.1</t>
  </si>
  <si>
    <t>C232</t>
  </si>
  <si>
    <t>https://ftp.ncbi.nlm.nih.gov/genomes/all/GCA/000/463/395/GCA_000463395.1_ASM46339v1</t>
  </si>
  <si>
    <t>GCA_000463425.1</t>
  </si>
  <si>
    <t>C1050</t>
  </si>
  <si>
    <t>https://ftp.ncbi.nlm.nih.gov/genomes/all/GCA/000/463/425/GCA_000463425.1_ASM46342v1</t>
  </si>
  <si>
    <t>GCA_000463445.1</t>
  </si>
  <si>
    <t>C818</t>
  </si>
  <si>
    <t>https://ftp.ncbi.nlm.nih.gov/genomes/all/GCA/000/463/445/GCA_000463445.1_ASM46344v1</t>
  </si>
  <si>
    <t>GCA_000463465.1</t>
  </si>
  <si>
    <t>C1051</t>
  </si>
  <si>
    <t>https://ftp.ncbi.nlm.nih.gov/genomes/all/GCA/000/463/465/GCA_000463465.1_ASM46346v1</t>
  </si>
  <si>
    <t>GCA_000463505.1</t>
  </si>
  <si>
    <t>C238</t>
  </si>
  <si>
    <t>https://ftp.ncbi.nlm.nih.gov/genomes/all/GCA/000/463/505/GCA_000463505.1_ASM46350v1</t>
  </si>
  <si>
    <t>GCA_000463895.2</t>
  </si>
  <si>
    <t>HMT-986</t>
  </si>
  <si>
    <t>Saccharimonadales [F2 G1]</t>
  </si>
  <si>
    <t>bacterium HMT-986</t>
  </si>
  <si>
    <t>JGI 0001002-L20</t>
  </si>
  <si>
    <t>https://ftp.ncbi.nlm.nih.gov/genomes/all/GCA/000/463/895/GCA_000463895.2_ASM46389v2</t>
  </si>
  <si>
    <t>GCA_000464455.1</t>
  </si>
  <si>
    <t>HMT-769</t>
  </si>
  <si>
    <t>socranskii subsp. socranskii</t>
  </si>
  <si>
    <t>VPI DR56BR1116</t>
  </si>
  <si>
    <t>https://ftp.ncbi.nlm.nih.gov/genomes/all/GCA/000/464/455/GCA_000464455.1_TrepsocrDR56BR1116v1.0</t>
  </si>
  <si>
    <t>GCA_000464495.1</t>
  </si>
  <si>
    <t>HMT-114</t>
  </si>
  <si>
    <t>granulosum</t>
  </si>
  <si>
    <t>TM11</t>
  </si>
  <si>
    <t>https://ftp.ncbi.nlm.nih.gov/genomes/all/GCA/000/464/495/GCA_000464495.1_TM11_assembly2012</t>
  </si>
  <si>
    <t>GCA_000465255.1</t>
  </si>
  <si>
    <t>KR494</t>
  </si>
  <si>
    <t>https://ftp.ncbi.nlm.nih.gov/genomes/all/GCA/000/465/255/GCA_000465255.1_ASM46525v1</t>
  </si>
  <si>
    <t>sp. HMT-183</t>
  </si>
  <si>
    <t>F0552</t>
  </si>
  <si>
    <t>https://ftp.ncbi.nlm.nih.gov/genomes/all/GCA/000/466/165/GCA_000466165.1_ASM46616v1</t>
  </si>
  <si>
    <t>F0530</t>
  </si>
  <si>
    <t>https://ftp.ncbi.nlm.nih.gov/genomes/all/GCA/000/466/185/GCA_000466185.1_ASM46618v1</t>
  </si>
  <si>
    <t>GCA_000466265.1</t>
  </si>
  <si>
    <t>F0311</t>
  </si>
  <si>
    <t>https://ftp.ncbi.nlm.nih.gov/genomes/all/GCA/000/466/265/GCA_000466265.1_ASM46626v1</t>
  </si>
  <si>
    <t>GCA_000466335.1</t>
  </si>
  <si>
    <t>HMT-458</t>
  </si>
  <si>
    <t>sp. HMT-458</t>
  </si>
  <si>
    <t>W10330</t>
  </si>
  <si>
    <t>https://ftp.ncbi.nlm.nih.gov/genomes/all/GCA/000/466/335/GCA_000466335.1_ASM46633v1</t>
  </si>
  <si>
    <t>GCA_000466405.1</t>
  </si>
  <si>
    <t>HMT-810</t>
  </si>
  <si>
    <t>Olegusella</t>
  </si>
  <si>
    <t>sp. HMT-810</t>
  </si>
  <si>
    <t>F0209</t>
  </si>
  <si>
    <t>https://ftp.ncbi.nlm.nih.gov/genomes/all/GCA/000/466/405/GCA_000466405.1_ASM46640v1</t>
  </si>
  <si>
    <t>GCA_000466425.1</t>
  </si>
  <si>
    <t>HMT-863</t>
  </si>
  <si>
    <t>sp. HMT-863</t>
  </si>
  <si>
    <t>F0517</t>
  </si>
  <si>
    <t>https://ftp.ncbi.nlm.nih.gov/genomes/all/GCA/000/466/425/GCA_000466425.1_ASM46642v1</t>
  </si>
  <si>
    <t>GCA_000466585.1</t>
  </si>
  <si>
    <t>HMT-876</t>
  </si>
  <si>
    <t>Clostridiales [F3 G1]</t>
  </si>
  <si>
    <t>bacterium HMT-876</t>
  </si>
  <si>
    <t>F0540</t>
  </si>
  <si>
    <t>https://ftp.ncbi.nlm.nih.gov/genomes/all/GCA/000/466/585/GCA_000466585.1_ASM46658v1</t>
  </si>
  <si>
    <t>GCA_000466645.1</t>
  </si>
  <si>
    <t>UNSW3</t>
  </si>
  <si>
    <t>https://ftp.ncbi.nlm.nih.gov/genomes/all/GCA/000/466/645/GCA_000466645.1_UNSW3</t>
  </si>
  <si>
    <t>GCA_000466665.1</t>
  </si>
  <si>
    <t>UNSW1</t>
  </si>
  <si>
    <t>https://ftp.ncbi.nlm.nih.gov/genomes/all/GCA/000/466/665/GCA_000466665.1_UNSW1</t>
  </si>
  <si>
    <t>GCA_000466685.1</t>
  </si>
  <si>
    <t>UNSWCS</t>
  </si>
  <si>
    <t>https://ftp.ncbi.nlm.nih.gov/genomes/all/GCA/000/466/685/GCA_000466685.1_UNSWCS</t>
  </si>
  <si>
    <t>GCA_000466705.1</t>
  </si>
  <si>
    <t>ATCC 51561</t>
  </si>
  <si>
    <t>https://ftp.ncbi.nlm.nih.gov/genomes/all/GCA/000/466/705/GCA_000466705.1_ATCC51561</t>
  </si>
  <si>
    <t>GCA_000466745.1</t>
  </si>
  <si>
    <t>HMT-575</t>
  </si>
  <si>
    <t>concisus clade-575</t>
  </si>
  <si>
    <t>ATCC 51562</t>
  </si>
  <si>
    <t>https://ftp.ncbi.nlm.nih.gov/genomes/all/GCA/000/466/745/GCA_000466745.1_ATCC51562</t>
  </si>
  <si>
    <t>GCA_000466785.3</t>
  </si>
  <si>
    <t>https://ftp.ncbi.nlm.nih.gov/genomes/all/GCA/000/466/785/GCA_000466785.3_ASM46678v3</t>
  </si>
  <si>
    <t>GCA_000466825.2</t>
  </si>
  <si>
    <t>HMT-060</t>
  </si>
  <si>
    <t>pseudodiphtheriticum</t>
  </si>
  <si>
    <t>https://ftp.ncbi.nlm.nih.gov/genomes/all/GCA/000/466/825/GCA_000466825.2_ASM46682v2</t>
  </si>
  <si>
    <t>GCA_000467795.1</t>
  </si>
  <si>
    <t>F0568</t>
  </si>
  <si>
    <t>https://ftp.ncbi.nlm.nih.gov/genomes/all/GCA/000/467/795/GCA_000467795.1_ASM46779v1</t>
  </si>
  <si>
    <t>GCA_000467815.1</t>
  </si>
  <si>
    <t>F0569</t>
  </si>
  <si>
    <t>https://ftp.ncbi.nlm.nih.gov/genomes/all/GCA/000/467/815/GCA_000467815.1_ASM46781v1</t>
  </si>
  <si>
    <t>GCA_000467835.1</t>
  </si>
  <si>
    <t>F0570</t>
  </si>
  <si>
    <t>https://ftp.ncbi.nlm.nih.gov/genomes/all/GCA/000/467/835/GCA_000467835.1_ASM46783v1</t>
  </si>
  <si>
    <t>GCA_000467855.2</t>
  </si>
  <si>
    <t>HMT-278</t>
  </si>
  <si>
    <t>sp. HMT-278</t>
  </si>
  <si>
    <t>W7784</t>
  </si>
  <si>
    <t>https://ftp.ncbi.nlm.nih.gov/genomes/all/GCA/000/467/855/GCA_000467855.2_ASM46785v2</t>
  </si>
  <si>
    <t>sp. HMT-314</t>
  </si>
  <si>
    <t>F0091</t>
  </si>
  <si>
    <t>https://ftp.ncbi.nlm.nih.gov/genomes/all/GCA/000/467/895/GCA_000467895.1_ASM46789v1</t>
  </si>
  <si>
    <t>GCA_000467915.2</t>
  </si>
  <si>
    <t>W1703</t>
  </si>
  <si>
    <t>https://ftp.ncbi.nlm.nih.gov/genomes/all/GCA/000/467/915/GCA_000467915.2_ASM46791v2</t>
  </si>
  <si>
    <t>GCA_000467935.1</t>
  </si>
  <si>
    <t>HMT-113</t>
  </si>
  <si>
    <t>Peptoniphilaceae [G1]</t>
  </si>
  <si>
    <t>bacterium HMT-113</t>
  </si>
  <si>
    <t>W5053</t>
  </si>
  <si>
    <t>https://ftp.ncbi.nlm.nih.gov/genomes/all/GCA/000/467/935/GCA_000467935.1_ASM46793v1</t>
  </si>
  <si>
    <t>GCA_000467955.1</t>
  </si>
  <si>
    <t>F0185</t>
  </si>
  <si>
    <t>https://ftp.ncbi.nlm.nih.gov/genomes/all/GCA/000/467/955/GCA_000467955.1_ASM46795v1</t>
  </si>
  <si>
    <t>GCA_000467975.1</t>
  </si>
  <si>
    <t>F0566</t>
  </si>
  <si>
    <t>https://ftp.ncbi.nlm.nih.gov/genomes/all/GCA/000/467/975/GCA_000467975.1_ASM46797v1</t>
  </si>
  <si>
    <t>GCA_000467995.1</t>
  </si>
  <si>
    <t>W4087</t>
  </si>
  <si>
    <t>https://ftp.ncbi.nlm.nih.gov/genomes/all/GCA/000/467/995/GCA_000467995.1_ASM46799v1</t>
  </si>
  <si>
    <t>GCA_000468035.1</t>
  </si>
  <si>
    <t>HMT-892</t>
  </si>
  <si>
    <t>sp. HMT-892</t>
  </si>
  <si>
    <t>F0426</t>
  </si>
  <si>
    <t>https://ftp.ncbi.nlm.nih.gov/genomes/all/GCA/000/468/035/GCA_000468035.1_ASM46803v1</t>
  </si>
  <si>
    <t>GCA_000468055.1</t>
  </si>
  <si>
    <t>HMT-653</t>
  </si>
  <si>
    <t>lecithinolyticum</t>
  </si>
  <si>
    <t>ATCC 700332</t>
  </si>
  <si>
    <t>https://ftp.ncbi.nlm.nih.gov/genomes/all/GCA/000/468/055/GCA_000468055.1_ASM46805v1</t>
  </si>
  <si>
    <t>GCA_000468115.1</t>
  </si>
  <si>
    <t>ATCC 35536</t>
  </si>
  <si>
    <t>https://ftp.ncbi.nlm.nih.gov/genomes/all/GCA/000/468/115/GCA_000468115.1_TsocrATCC35536v1.0</t>
  </si>
  <si>
    <t>GCA_000468135.1</t>
  </si>
  <si>
    <t>HMT-303</t>
  </si>
  <si>
    <t>pleuritidis</t>
  </si>
  <si>
    <t>F0068</t>
  </si>
  <si>
    <t>https://ftp.ncbi.nlm.nih.gov/genomes/all/GCA/000/468/135/GCA_000468135.1_PpleuF0068v1.0</t>
  </si>
  <si>
    <t>GCA_000468535.1</t>
  </si>
  <si>
    <t>ChDC B134</t>
  </si>
  <si>
    <t>https://ftp.ncbi.nlm.nih.gov/genomes/all/GCA/000/468/535/GCA_000468535.1_ASM46853v1</t>
  </si>
  <si>
    <t>F0067</t>
  </si>
  <si>
    <t>https://ftp.ncbi.nlm.nih.gov/genomes/all/GCA/000/468/635/GCA_000468635.1_PbaroF0067v1.0</t>
  </si>
  <si>
    <t>GCA_000468755.1</t>
  </si>
  <si>
    <t>HMT-806</t>
  </si>
  <si>
    <t>profusa</t>
  </si>
  <si>
    <t>F0195</t>
  </si>
  <si>
    <t>https://ftp.ncbi.nlm.nih.gov/genomes/all/GCA/000/468/755/GCA_000468755.1_OprofF0195v1.0</t>
  </si>
  <si>
    <t>GCA_000468815.1</t>
  </si>
  <si>
    <t>BV3Ac4</t>
  </si>
  <si>
    <t>https://ftp.ncbi.nlm.nih.gov/genomes/all/GCA/000/468/815/GCA_000468815.1_AspBV3AC4v1.0</t>
  </si>
  <si>
    <t>GCA_000468895.1</t>
  </si>
  <si>
    <t>BV3C21</t>
  </si>
  <si>
    <t>https://ftp.ncbi.nlm.nih.gov/genomes/all/GCA/000/468/895/GCA_000468895.1_JspBV3C21v1.0</t>
  </si>
  <si>
    <t>GCA_000469365.1</t>
  </si>
  <si>
    <t>HMT-558</t>
  </si>
  <si>
    <t>Levilactobacillus</t>
  </si>
  <si>
    <t>brevis</t>
  </si>
  <si>
    <t>ATCC 14869</t>
  </si>
  <si>
    <t>https://ftp.ncbi.nlm.nih.gov/genomes/all/GCA/000/469/365/GCA_000469365.1_ASM46936v1</t>
  </si>
  <si>
    <t>sp. HMT-879</t>
  </si>
  <si>
    <t>F0557</t>
  </si>
  <si>
    <t>https://ftp.ncbi.nlm.nih.gov/genomes/all/GCA/000/469/385/GCA_000469385.1_ASM46938v1</t>
  </si>
  <si>
    <t>F0279</t>
  </si>
  <si>
    <t>https://ftp.ncbi.nlm.nih.gov/genomes/all/GCA/000/469/405/GCA_000469405.1_ASM46940v1</t>
  </si>
  <si>
    <t>GCA_000469465.1</t>
  </si>
  <si>
    <t>HMT-555</t>
  </si>
  <si>
    <t>bergeri</t>
  </si>
  <si>
    <t>ATCC 700627</t>
  </si>
  <si>
    <t>https://ftp.ncbi.nlm.nih.gov/genomes/all/GCA/000/469/465/GCA_000469465.1_ASM46946v1</t>
  </si>
  <si>
    <t>sp. HMT-215</t>
  </si>
  <si>
    <t>W9775</t>
  </si>
  <si>
    <t>https://ftp.ncbi.nlm.nih.gov/genomes/all/GCA/000/469/505/GCA_000469505.1_ASM46950v1</t>
  </si>
  <si>
    <t>sp. HMT-225</t>
  </si>
  <si>
    <t>F0581</t>
  </si>
  <si>
    <t>https://ftp.ncbi.nlm.nih.gov/genomes/all/GCA/000/469/525/GCA_000469525.1_ASM46952v1</t>
  </si>
  <si>
    <t>GCA_000469545.1</t>
  </si>
  <si>
    <t>HMT-131</t>
  </si>
  <si>
    <t>sp. HMT-131</t>
  </si>
  <si>
    <t>W9106</t>
  </si>
  <si>
    <t>https://ftp.ncbi.nlm.nih.gov/genomes/all/GCA/000/469/545/GCA_000469545.1_ASM46954v1</t>
  </si>
  <si>
    <t>GCA_000469565.1</t>
  </si>
  <si>
    <t>F0263</t>
  </si>
  <si>
    <t>https://ftp.ncbi.nlm.nih.gov/genomes/all/GCA/000/469/565/GCA_000469565.1_ASM46956v1</t>
  </si>
  <si>
    <t>GCA_000469705.1</t>
  </si>
  <si>
    <t>HMT-529</t>
  </si>
  <si>
    <t>acidophilus</t>
  </si>
  <si>
    <t>CIP 76.13</t>
  </si>
  <si>
    <t>https://ftp.ncbi.nlm.nih.gov/genomes/all/GCA/000/469/705/GCA_000469705.1_LaCIP7613V1</t>
  </si>
  <si>
    <t>GCA_000469905.1</t>
  </si>
  <si>
    <t>AA417</t>
  </si>
  <si>
    <t>https://ftp.ncbi.nlm.nih.gov/genomes/all/GCA/000/469/905/GCA_000469905.1_AA417</t>
  </si>
  <si>
    <t>GCA_000470115.1</t>
  </si>
  <si>
    <t>KK199</t>
  </si>
  <si>
    <t>https://ftp.ncbi.nlm.nih.gov/genomes/all/GCA/000/470/115/GCA_000470115.1_KK199</t>
  </si>
  <si>
    <t>GCA_000470155.1</t>
  </si>
  <si>
    <t>KK145</t>
  </si>
  <si>
    <t>https://ftp.ncbi.nlm.nih.gov/genomes/all/GCA/000/470/155/GCA_000470155.1_KK145</t>
  </si>
  <si>
    <t>GCA_000470255.1</t>
  </si>
  <si>
    <t>KK12</t>
  </si>
  <si>
    <t>https://ftp.ncbi.nlm.nih.gov/genomes/all/GCA/000/470/255/GCA_000470255.1_KK12</t>
  </si>
  <si>
    <t>GCA_000470275.1</t>
  </si>
  <si>
    <t>KK156</t>
  </si>
  <si>
    <t>https://ftp.ncbi.nlm.nih.gov/genomes/all/GCA/000/470/275/GCA_000470275.1_KK156</t>
  </si>
  <si>
    <t>GCA_000470415.1</t>
  </si>
  <si>
    <t>KK107</t>
  </si>
  <si>
    <t>https://ftp.ncbi.nlm.nih.gov/genomes/all/GCA/000/470/415/GCA_000470415.1_KK107</t>
  </si>
  <si>
    <t>GCA_000470475.1</t>
  </si>
  <si>
    <t>KK83</t>
  </si>
  <si>
    <t>https://ftp.ncbi.nlm.nih.gov/genomes/all/GCA/000/470/475/GCA_000470475.1_KK83</t>
  </si>
  <si>
    <t>GCA_000470675.1</t>
  </si>
  <si>
    <t>KK6</t>
  </si>
  <si>
    <t>https://ftp.ncbi.nlm.nih.gov/genomes/all/GCA/000/470/675/GCA_000470675.1_ASM47067v1</t>
  </si>
  <si>
    <t>GCA_000470845.1</t>
  </si>
  <si>
    <t>SA957</t>
  </si>
  <si>
    <t>https://ftp.ncbi.nlm.nih.gov/genomes/all/GCA/000/470/845/GCA_000470845.1_ASM47084v1</t>
  </si>
  <si>
    <t>GCA_000470865.1</t>
  </si>
  <si>
    <t>SA40</t>
  </si>
  <si>
    <t>https://ftp.ncbi.nlm.nih.gov/genomes/all/GCA/000/470/865/GCA_000470865.1_ASM47086v1</t>
  </si>
  <si>
    <t>GCA_000471945.1</t>
  </si>
  <si>
    <t>ATCC 27673</t>
  </si>
  <si>
    <t>https://ftp.ncbi.nlm.nih.gov/genomes/all/GCA/000/471/945/GCA_000471945.1_ASM47194v1</t>
  </si>
  <si>
    <t>GCA_000472405.1</t>
  </si>
  <si>
    <t>DSM 1897</t>
  </si>
  <si>
    <t>https://ftp.ncbi.nlm.nih.gov/genomes/all/GCA/000/472/405/GCA_000472405.1_ASM47240v1</t>
  </si>
  <si>
    <t>GCA_000473485.1</t>
  </si>
  <si>
    <t>ATCC 25416</t>
  </si>
  <si>
    <t>https://ftp.ncbi.nlm.nih.gov/genomes/all/GCA/000/473/485/GCA_000473485.1_ASM47348v1</t>
  </si>
  <si>
    <t>GCA_000474055.1</t>
  </si>
  <si>
    <t>https://ftp.ncbi.nlm.nih.gov/genomes/all/GCA/000/474/055/GCA_000474055.1_ASM47405v1</t>
  </si>
  <si>
    <t>GCA_000474075.1</t>
  </si>
  <si>
    <t>https://ftp.ncbi.nlm.nih.gov/genomes/all/GCA/000/474/075/GCA_000474075.1_ASM47407v1</t>
  </si>
  <si>
    <t>GCA_000474095.1</t>
  </si>
  <si>
    <t>https://ftp.ncbi.nlm.nih.gov/genomes/all/GCA/000/474/095/GCA_000474095.1_ASM47409v1</t>
  </si>
  <si>
    <t>GCA_000474135.1</t>
  </si>
  <si>
    <t>CCUG 46377</t>
  </si>
  <si>
    <t>https://ftp.ncbi.nlm.nih.gov/genomes/all/GCA/000/474/135/GCA_000474135.1_ASM47413v1</t>
  </si>
  <si>
    <t>GCA_000474155.1</t>
  </si>
  <si>
    <t>T5</t>
  </si>
  <si>
    <t>https://ftp.ncbi.nlm.nih.gov/genomes/all/GCA/000/474/155/GCA_000474155.1_ASM47415v1</t>
  </si>
  <si>
    <t>GCA_000477535.1</t>
  </si>
  <si>
    <t>F0493</t>
  </si>
  <si>
    <t>https://ftp.ncbi.nlm.nih.gov/genomes/all/GCA/000/477/535/GCA_000477535.1_PsaliF0493v1.0</t>
  </si>
  <si>
    <t>GCA_000477655.1</t>
  </si>
  <si>
    <t>KPL2009</t>
  </si>
  <si>
    <t>https://ftp.ncbi.nlm.nih.gov/genomes/all/GCA/000/477/655/GCA_000477655.1_Prop_sp_KPL2009_V1</t>
  </si>
  <si>
    <t>GCA_000477675.1</t>
  </si>
  <si>
    <t>KPL2005</t>
  </si>
  <si>
    <t>https://ftp.ncbi.nlm.nih.gov/genomes/all/GCA/000/477/675/GCA_000477675.1_Prop_sp_KPL2005_V1</t>
  </si>
  <si>
    <t>GCA_000477695.1</t>
  </si>
  <si>
    <t>KPL1852</t>
  </si>
  <si>
    <t>https://ftp.ncbi.nlm.nih.gov/genomes/all/GCA/000/477/695/GCA_000477695.1_Prop_sp_KPL1852_V1</t>
  </si>
  <si>
    <t>GCA_000477715.1</t>
  </si>
  <si>
    <t>KPL1844</t>
  </si>
  <si>
    <t>https://ftp.ncbi.nlm.nih.gov/genomes/all/GCA/000/477/715/GCA_000477715.1_Prop_sp_KPL1844_V1</t>
  </si>
  <si>
    <t>GCA_000477735.1</t>
  </si>
  <si>
    <t>KPL1838</t>
  </si>
  <si>
    <t>https://ftp.ncbi.nlm.nih.gov/genomes/all/GCA/000/477/735/GCA_000477735.1_Prop_sp_KPL1838_V1</t>
  </si>
  <si>
    <t>GCA_000477755.1</t>
  </si>
  <si>
    <t>KPL2008</t>
  </si>
  <si>
    <t>https://ftp.ncbi.nlm.nih.gov/genomes/all/GCA/000/477/755/GCA_000477755.1_Prop_sp_KPL2008_V1</t>
  </si>
  <si>
    <t>GCA_000477775.1</t>
  </si>
  <si>
    <t>KPL2003</t>
  </si>
  <si>
    <t>https://ftp.ncbi.nlm.nih.gov/genomes/all/GCA/000/477/775/GCA_000477775.1_Prop_sp_KPL2003_V1</t>
  </si>
  <si>
    <t>GCA_000477795.1</t>
  </si>
  <si>
    <t>KPL2000</t>
  </si>
  <si>
    <t>https://ftp.ncbi.nlm.nih.gov/genomes/all/GCA/000/477/795/GCA_000477795.1_Prop_sp_KPL2000_V1</t>
  </si>
  <si>
    <t>GCA_000477835.1</t>
  </si>
  <si>
    <t>KPL1849</t>
  </si>
  <si>
    <t>https://ftp.ncbi.nlm.nih.gov/genomes/all/GCA/000/477/835/GCA_000477835.1_Prop_sp_KPL1849_V1</t>
  </si>
  <si>
    <t>GCA_000477855.1</t>
  </si>
  <si>
    <t>KPL1847</t>
  </si>
  <si>
    <t>https://ftp.ncbi.nlm.nih.gov/genomes/all/GCA/000/477/855/GCA_000477855.1_Prop_sp_KPL1847_V1</t>
  </si>
  <si>
    <t>GCA_000477875.1</t>
  </si>
  <si>
    <t>KPL2004</t>
  </si>
  <si>
    <t>https://ftp.ncbi.nlm.nih.gov/genomes/all/GCA/000/477/875/GCA_000477875.1_Cory_sp_KPL2004_V1</t>
  </si>
  <si>
    <t>GCA_000477895.1</t>
  </si>
  <si>
    <t>KPL1998</t>
  </si>
  <si>
    <t>https://ftp.ncbi.nlm.nih.gov/genomes/all/GCA/000/477/895/GCA_000477895.1_Cory_sp_KPL1998_V1</t>
  </si>
  <si>
    <t>GCA_000477915.1</t>
  </si>
  <si>
    <t>KPL1996</t>
  </si>
  <si>
    <t>https://ftp.ncbi.nlm.nih.gov/genomes/all/GCA/000/477/915/GCA_000477915.1_Cory_sp_KPL1996_V1</t>
  </si>
  <si>
    <t>GCA_000477935.1</t>
  </si>
  <si>
    <t>KPL1995</t>
  </si>
  <si>
    <t>https://ftp.ncbi.nlm.nih.gov/genomes/all/GCA/000/477/935/GCA_000477935.1_Cory_sp_KPL1995_V1</t>
  </si>
  <si>
    <t>GCA_000477955.1</t>
  </si>
  <si>
    <t>KPL1989</t>
  </si>
  <si>
    <t>https://ftp.ncbi.nlm.nih.gov/genomes/all/GCA/000/477/955/GCA_000477955.1_Cory_sp_KPL1989_V1</t>
  </si>
  <si>
    <t>GCA_000477975.1</t>
  </si>
  <si>
    <t>KPL1986</t>
  </si>
  <si>
    <t>https://ftp.ncbi.nlm.nih.gov/genomes/all/GCA/000/477/975/GCA_000477975.1_Cory_sp_KPL1986_V1</t>
  </si>
  <si>
    <t>GCA_000477995.1</t>
  </si>
  <si>
    <t>HMT-783</t>
  </si>
  <si>
    <t>kefirresidentii</t>
  </si>
  <si>
    <t>KPL1860</t>
  </si>
  <si>
    <t>https://ftp.ncbi.nlm.nih.gov/genomes/all/GCA/000/477/995/GCA_000477995.1_Cory_sp_KPL1860_V1</t>
  </si>
  <si>
    <t>GCA_000478035.1</t>
  </si>
  <si>
    <t>KPL1857</t>
  </si>
  <si>
    <t>https://ftp.ncbi.nlm.nih.gov/genomes/all/GCA/000/478/035/GCA_000478035.1_Cory_sp_KPL1857_V1</t>
  </si>
  <si>
    <t>GCA_000478055.1</t>
  </si>
  <si>
    <t>KPL1856</t>
  </si>
  <si>
    <t>https://ftp.ncbi.nlm.nih.gov/genomes/all/GCA/000/478/055/GCA_000478055.1_Cory_sp_KPL1856_V1</t>
  </si>
  <si>
    <t>GCA_000478095.1</t>
  </si>
  <si>
    <t>KPL1824</t>
  </si>
  <si>
    <t>https://ftp.ncbi.nlm.nih.gov/genomes/all/GCA/000/478/095/GCA_000478095.1_Cory_sp_KPL1824_V1</t>
  </si>
  <si>
    <t>GCA_000478115.1</t>
  </si>
  <si>
    <t>KPL1821</t>
  </si>
  <si>
    <t>https://ftp.ncbi.nlm.nih.gov/genomes/all/GCA/000/478/115/GCA_000478115.1_Cory_sp_KPL1821_V1</t>
  </si>
  <si>
    <t>GCA_000478135.1</t>
  </si>
  <si>
    <t>KPL1818</t>
  </si>
  <si>
    <t>https://ftp.ncbi.nlm.nih.gov/genomes/all/GCA/000/478/135/GCA_000478135.1_Cory_sp_KPL1818_V1</t>
  </si>
  <si>
    <t>GCA_000478155.1</t>
  </si>
  <si>
    <t>KPL1817</t>
  </si>
  <si>
    <t>https://ftp.ncbi.nlm.nih.gov/genomes/all/GCA/000/478/155/GCA_000478155.1_Cory_sp_KPL1817_V1</t>
  </si>
  <si>
    <t>GCA_000478925.1</t>
  </si>
  <si>
    <t>MAS624</t>
  </si>
  <si>
    <t>https://ftp.ncbi.nlm.nih.gov/genomes/all/GCA/000/478/925/GCA_000478925.1_ASM47892v1</t>
  </si>
  <si>
    <t>GCA_000479025.1</t>
  </si>
  <si>
    <t>F0184</t>
  </si>
  <si>
    <t>https://ftp.ncbi.nlm.nih.gov/genomes/all/GCA/000/479/025/GCA_000479025.1_ASM47902v1</t>
  </si>
  <si>
    <t>GCA_000479185.1</t>
  </si>
  <si>
    <t>CTI-6</t>
  </si>
  <si>
    <t>https://ftp.ncbi.nlm.nih.gov/genomes/all/GCA/000/479/185/GCA_000479185.1_Fuso_nucl_CTI-6_V1</t>
  </si>
  <si>
    <t>GCA_000479205.1</t>
  </si>
  <si>
    <t>CTI-7</t>
  </si>
  <si>
    <t>https://ftp.ncbi.nlm.nih.gov/genomes/all/GCA/000/479/205/GCA_000479205.1_Fuso_nucl_CTI-7_V1</t>
  </si>
  <si>
    <t>GCA_000479225.1</t>
  </si>
  <si>
    <t>CTI-5</t>
  </si>
  <si>
    <t>https://ftp.ncbi.nlm.nih.gov/genomes/all/GCA/000/479/225/GCA_000479225.1_Fuso_nucl_CTI-5_V1</t>
  </si>
  <si>
    <t>GCA_000479245.1</t>
  </si>
  <si>
    <t>CTI-3</t>
  </si>
  <si>
    <t>https://ftp.ncbi.nlm.nih.gov/genomes/all/GCA/000/479/245/GCA_000479245.1_Fuso_nucl_CTI-3_V1</t>
  </si>
  <si>
    <t>GCA_000479265.1</t>
  </si>
  <si>
    <t>CTI-2</t>
  </si>
  <si>
    <t>https://ftp.ncbi.nlm.nih.gov/genomes/all/GCA/000/479/265/GCA_000479265.1_Fuso_nucl_CTI-2_V1</t>
  </si>
  <si>
    <t>GCA_000479285.1</t>
  </si>
  <si>
    <t>CTI-1</t>
  </si>
  <si>
    <t>https://ftp.ncbi.nlm.nih.gov/genomes/all/GCA/000/479/285/GCA_000479285.1_Fuso_nucl_CTI-1_V1</t>
  </si>
  <si>
    <t>GCA_000479315.1</t>
  </si>
  <si>
    <t>HMT-456</t>
  </si>
  <si>
    <t>ilei</t>
  </si>
  <si>
    <t>https://ftp.ncbi.nlm.nih.gov/genomes/all/GCA/000/479/315/GCA_000479315.1_ASM47931v1</t>
  </si>
  <si>
    <t>GCA_000479335.1</t>
  </si>
  <si>
    <t>I-G2</t>
  </si>
  <si>
    <t>https://ftp.ncbi.nlm.nih.gov/genomes/all/GCA/000/479/335/GCA_000479335.1_ASM47933v1</t>
  </si>
  <si>
    <t>GCA_000482365.1</t>
  </si>
  <si>
    <t>DSM 23387</t>
  </si>
  <si>
    <t>https://ftp.ncbi.nlm.nih.gov/genomes/all/GCA/000/482/365/GCA_000482365.1_ASM48236v1</t>
  </si>
  <si>
    <t>GCA_000485555.1</t>
  </si>
  <si>
    <t>HMT-754</t>
  </si>
  <si>
    <t>salivarium</t>
  </si>
  <si>
    <t>ATCC 23064</t>
  </si>
  <si>
    <t>https://ftp.ncbi.nlm.nih.gov/genomes/all/GCA/000/485/555/GCA_000485555.1_ASM48555v1</t>
  </si>
  <si>
    <t>GCA_000485885.1</t>
  </si>
  <si>
    <t>Z172</t>
  </si>
  <si>
    <t>https://ftp.ncbi.nlm.nih.gov/genomes/all/GCA/000/485/885/GCA_000485885.1_ASM48588v1</t>
  </si>
  <si>
    <t>GCA_000487975.1</t>
  </si>
  <si>
    <t>NIPH 512</t>
  </si>
  <si>
    <t>https://ftp.ncbi.nlm.nih.gov/genomes/all/GCA/000/487/975/GCA_000487975.1_Acin_lwof_CIP64_10_V2</t>
  </si>
  <si>
    <t>GCA_000488855.1</t>
  </si>
  <si>
    <t>HMT-557</t>
  </si>
  <si>
    <t>Gallibacter</t>
  </si>
  <si>
    <t>brachus</t>
  </si>
  <si>
    <t>ATCC 33089</t>
  </si>
  <si>
    <t>https://ftp.ncbi.nlm.nih.gov/genomes/all/GCA/000/488/855/GCA_000488855.1_ASM48885v1</t>
  </si>
  <si>
    <t>GCA_000493795.1</t>
  </si>
  <si>
    <t>A293</t>
  </si>
  <si>
    <t>https://ftp.ncbi.nlm.nih.gov/genomes/all/GCA/000/493/795/GCA_000493795.1_PM_A293</t>
  </si>
  <si>
    <t>GCA_000494875.1</t>
  </si>
  <si>
    <t>SP1</t>
  </si>
  <si>
    <t>https://ftp.ncbi.nlm.nih.gov/genomes/all/GCA/000/494/875/GCA_000494875.1_ASM49487v1</t>
  </si>
  <si>
    <t>GCA_000496535.1</t>
  </si>
  <si>
    <t>PKUSS-HG01</t>
  </si>
  <si>
    <t>https://ftp.ncbi.nlm.nih.gov/genomes/all/GCA/000/496/535/GCA_000496535.1_Streptococcus_mutans_PKUSS-HG01</t>
  </si>
  <si>
    <t>GCA_000496555.1</t>
  </si>
  <si>
    <t>PKUSS-LG01</t>
  </si>
  <si>
    <t>https://ftp.ncbi.nlm.nih.gov/genomes/all/GCA/000/496/555/GCA_000496555.1_Streptococcus_mutans_PKUSS-LG01</t>
  </si>
  <si>
    <t>GCA_000499705.1</t>
  </si>
  <si>
    <t>CR01</t>
  </si>
  <si>
    <t>https://ftp.ncbi.nlm.nih.gov/genomes/all/GCA/000/499/705/GCA_000499705.1_ScapHOJ_3778_PRJEB1494</t>
  </si>
  <si>
    <t>GCA_000503875.1</t>
  </si>
  <si>
    <t>HMT-991</t>
  </si>
  <si>
    <t>Absconditicoccaceae [G2]</t>
  </si>
  <si>
    <t>bacterium HMT-991</t>
  </si>
  <si>
    <t>RAAC1_SR1_1</t>
  </si>
  <si>
    <t>https://ftp.ncbi.nlm.nih.gov/genomes/all/GCA/000/503/875/GCA_000503875.1_ASM50387v1</t>
  </si>
  <si>
    <t>GCA_000503915.1</t>
  </si>
  <si>
    <t>HMT-989</t>
  </si>
  <si>
    <t>bacterium HMT-989</t>
  </si>
  <si>
    <t>RAAC3_TM7_1</t>
  </si>
  <si>
    <t>https://ftp.ncbi.nlm.nih.gov/genomes/all/GCA/000/503/915/GCA_000503915.1_ASM50391v1</t>
  </si>
  <si>
    <t>GCA_000503975.1</t>
  </si>
  <si>
    <t>SJD2</t>
  </si>
  <si>
    <t>https://ftp.ncbi.nlm.nih.gov/genomes/all/GCA/000/503/975/GCA_000503975.1_SJD2</t>
  </si>
  <si>
    <t>GCA_000504265.1</t>
  </si>
  <si>
    <t>R7A</t>
  </si>
  <si>
    <t>https://ftp.ncbi.nlm.nih.gov/genomes/all/GCA/000/504/265/GCA_000504265.1_ASM50426v1</t>
  </si>
  <si>
    <t>GCA_000504685.1</t>
  </si>
  <si>
    <t>CC92I</t>
  </si>
  <si>
    <t>https://ftp.ncbi.nlm.nih.gov/genomes/all/GCA/000/504/685/GCA_000504685.1_Eike_corr_CC92I_V1</t>
  </si>
  <si>
    <t>GCA_000505785.1</t>
  </si>
  <si>
    <t>DE442</t>
  </si>
  <si>
    <t>https://ftp.ncbi.nlm.nih.gov/genomes/all/GCA/000/505/785/GCA_000505785.1_ASM50578v1</t>
  </si>
  <si>
    <t>GCA_000506565.2</t>
  </si>
  <si>
    <t>R121</t>
  </si>
  <si>
    <t>https://ftp.ncbi.nlm.nih.gov/genomes/all/GCA/000/506/565/GCA_000506565.2_ASM50656v2</t>
  </si>
  <si>
    <t>GCA_000506685.1</t>
  </si>
  <si>
    <t>https://ftp.ncbi.nlm.nih.gov/genomes/all/GCA/000/506/685/GCA_000506685.1_Spspn.str22725_v1.0</t>
  </si>
  <si>
    <t>GCA_000506705.1</t>
  </si>
  <si>
    <t>https://ftp.ncbi.nlm.nih.gov/genomes/all/GCA/000/506/705/GCA_000506705.1_Spspn.str1321_v1.0</t>
  </si>
  <si>
    <t>GCA_000506745.1</t>
  </si>
  <si>
    <t>https://ftp.ncbi.nlm.nih.gov/genomes/all/GCA/000/506/745/GCA_000506745.1_Spspn.str5247_v1.0</t>
  </si>
  <si>
    <t>GCA_000507745.1</t>
  </si>
  <si>
    <t>CC94A</t>
  </si>
  <si>
    <t>https://ftp.ncbi.nlm.nih.gov/genomes/all/GCA/000/507/745/GCA_000507745.1_Stre_sang_CC94A_V1</t>
  </si>
  <si>
    <t>GCA_000507765.1</t>
  </si>
  <si>
    <t>CC87K</t>
  </si>
  <si>
    <t>https://ftp.ncbi.nlm.nih.gov/genomes/all/GCA/000/507/765/GCA_000507765.1_Stre_para_CC87K_V1</t>
  </si>
  <si>
    <t>GCA_000507825.1</t>
  </si>
  <si>
    <t>CC14M</t>
  </si>
  <si>
    <t>https://ftp.ncbi.nlm.nih.gov/genomes/all/GCA/000/507/825/GCA_000507825.1_Prev_nigr_CC14M_V1</t>
  </si>
  <si>
    <t>GCA_000507905.1</t>
  </si>
  <si>
    <t>CC98A</t>
  </si>
  <si>
    <t>https://ftp.ncbi.nlm.nih.gov/genomes/all/GCA/000/507/905/GCA_000507905.1_Prev_oral_CC98A_V1</t>
  </si>
  <si>
    <t>GCA_000508285.1</t>
  </si>
  <si>
    <t>NBRC 15126 = ATCC 27061</t>
  </si>
  <si>
    <t>https://ftp.ncbi.nlm.nih.gov/genomes/all/GCA/000/508/285/GCA_000508285.1_ASM50828v1</t>
  </si>
  <si>
    <t>GCA_000510425.1</t>
  </si>
  <si>
    <t>HMT-694</t>
  </si>
  <si>
    <t>Hornefia</t>
  </si>
  <si>
    <t>nodatum</t>
  </si>
  <si>
    <t>ATCC 33099</t>
  </si>
  <si>
    <t>https://ftp.ncbi.nlm.nih.gov/genomes/all/GCA/000/510/425/GCA_000510425.1_EnATCC33099v1.0</t>
  </si>
  <si>
    <t>GCA_000511675.1</t>
  </si>
  <si>
    <t>HMT-827</t>
  </si>
  <si>
    <t>Yersinia</t>
  </si>
  <si>
    <t>pestis</t>
  </si>
  <si>
    <t>NBRC 105692</t>
  </si>
  <si>
    <t>https://ftp.ncbi.nlm.nih.gov/genomes/all/GCA/000/511/675/GCA_000511675.1_ASM51167v1</t>
  </si>
  <si>
    <t>JCM 6292</t>
  </si>
  <si>
    <t>https://ftp.ncbi.nlm.nih.gov/genomes/all/GCA/000/511/735/GCA_000511735.1_ASM51173v1</t>
  </si>
  <si>
    <t>JCM 6294</t>
  </si>
  <si>
    <t>https://ftp.ncbi.nlm.nih.gov/genomes/all/GCA/000/511/755/GCA_000511755.1_ASM51175v1</t>
  </si>
  <si>
    <t>JCM 10003</t>
  </si>
  <si>
    <t>https://ftp.ncbi.nlm.nih.gov/genomes/all/GCA/000/511/775/GCA_000511775.1_ASM51177v1</t>
  </si>
  <si>
    <t>GCA_000512995.1</t>
  </si>
  <si>
    <t>MSX33</t>
  </si>
  <si>
    <t>https://ftp.ncbi.nlm.nih.gov/genomes/all/GCA/000/512/995/GCA_000512995.1_LspMSX33v1.0</t>
  </si>
  <si>
    <t>DSM 19756</t>
  </si>
  <si>
    <t>https://ftp.ncbi.nlm.nih.gov/genomes/all/GCA/000/516/535/GCA_000516535.1_ASM51653v1</t>
  </si>
  <si>
    <t>GCA_000517765.1</t>
  </si>
  <si>
    <t>BS29a</t>
  </si>
  <si>
    <t>https://ftp.ncbi.nlm.nih.gov/genomes/all/GCA/000/517/765/GCA_000517765.1_SspBS29av1.0</t>
  </si>
  <si>
    <t>GCA_000517785.1</t>
  </si>
  <si>
    <t>HMT-887</t>
  </si>
  <si>
    <t>denticariosi</t>
  </si>
  <si>
    <t>AS16</t>
  </si>
  <si>
    <t>https://ftp.ncbi.nlm.nih.gov/genomes/all/GCA/000/517/785/GCA_000517785.1_VspAS16v1.0</t>
  </si>
  <si>
    <t>ICM33</t>
  </si>
  <si>
    <t>https://ftp.ncbi.nlm.nih.gov/genomes/all/GCA/000/517/825/GCA_000517825.1_PspICM33v1.0</t>
  </si>
  <si>
    <t>FSL R5-808</t>
  </si>
  <si>
    <t>https://ftp.ncbi.nlm.nih.gov/genomes/all/GCA/000/517/885/GCA_000517885.1_ASM51788v1</t>
  </si>
  <si>
    <t>GCA_000518545.1</t>
  </si>
  <si>
    <t>ATCC 51272</t>
  </si>
  <si>
    <t>https://ftp.ncbi.nlm.nih.gov/genomes/all/GCA/000/518/545/GCA_000518545.1_ASM51854v1</t>
  </si>
  <si>
    <t>GCA_000519165.1</t>
  </si>
  <si>
    <t>ATCC 25611</t>
  </si>
  <si>
    <t>https://ftp.ncbi.nlm.nih.gov/genomes/all/GCA/000/519/165/GCA_000519165.1_ASM51916v1</t>
  </si>
  <si>
    <t>GCA_000520055.1</t>
  </si>
  <si>
    <t>RM13516</t>
  </si>
  <si>
    <t>https://ftp.ncbi.nlm.nih.gov/genomes/all/GCA/000/520/055/GCA_000520055.1_ASM52005v1</t>
  </si>
  <si>
    <t>GCA_000522565.1</t>
  </si>
  <si>
    <t>B05Sm11</t>
  </si>
  <si>
    <t>https://ftp.ncbi.nlm.nih.gov/genomes/all/GCA/000/522/565/GCA_000522565.1_out_k25_n4_samp01-contigs.fa</t>
  </si>
  <si>
    <t>GCA_000522585.1</t>
  </si>
  <si>
    <t>B13Sm1</t>
  </si>
  <si>
    <t>https://ftp.ncbi.nlm.nih.gov/genomes/all/GCA/000/522/585/GCA_000522585.1_out_k45_n4_samp02-contigs.fa</t>
  </si>
  <si>
    <t>GCA_000522625.1</t>
  </si>
  <si>
    <t>B084SM-A</t>
  </si>
  <si>
    <t>https://ftp.ncbi.nlm.nih.gov/genomes/all/GCA/000/522/625/GCA_000522625.1_out_k35_n4_samp04-contigs.fa</t>
  </si>
  <si>
    <t>GCA_000522765.1</t>
  </si>
  <si>
    <t>B04Sm5</t>
  </si>
  <si>
    <t>https://ftp.ncbi.nlm.nih.gov/genomes/all/GCA/000/522/765/GCA_000522765.1_out_k25_n4_samp13-contigs.fa</t>
  </si>
  <si>
    <t>GCA_000522845.1</t>
  </si>
  <si>
    <t>B88SM-A</t>
  </si>
  <si>
    <t>https://ftp.ncbi.nlm.nih.gov/genomes/all/GCA/000/522/845/GCA_000522845.1_out_k27_n4_samp17-contigs.fa</t>
  </si>
  <si>
    <t>GCA_000522885.1</t>
  </si>
  <si>
    <t>B23Sm1</t>
  </si>
  <si>
    <t>https://ftp.ncbi.nlm.nih.gov/genomes/all/GCA/000/522/885/GCA_000522885.1_out_k43_n4_samp19-contigs.fa</t>
  </si>
  <si>
    <t>GCA_000523555.1</t>
  </si>
  <si>
    <t>13_3C</t>
  </si>
  <si>
    <t>https://ftp.ncbi.nlm.nih.gov/genomes/all/GCA/000/523/555/GCA_000523555.1_Fuso_nucl_13_3C_V1</t>
  </si>
  <si>
    <t>GCA_000524215.1</t>
  </si>
  <si>
    <t>CM1</t>
  </si>
  <si>
    <t>https://ftp.ncbi.nlm.nih.gov/genomes/all/GCA/000/524/215/GCA_000524215.1_FspCM1v1.0</t>
  </si>
  <si>
    <t>GCA_000524235.1</t>
  </si>
  <si>
    <t>OBRC1</t>
  </si>
  <si>
    <t>https://ftp.ncbi.nlm.nih.gov/genomes/all/GCA/000/524/235/GCA_000524235.1_FspOBRC1v1.0</t>
  </si>
  <si>
    <t>GCA_000524255.1</t>
  </si>
  <si>
    <t>AS20</t>
  </si>
  <si>
    <t>https://ftp.ncbi.nlm.nih.gov/genomes/all/GCA/000/524/255/GCA_000524255.1_SspAS20v1.0</t>
  </si>
  <si>
    <t>GCA_000524275.1</t>
  </si>
  <si>
    <t>BS21</t>
  </si>
  <si>
    <t>https://ftp.ncbi.nlm.nih.gov/genomes/all/GCA/000/524/275/GCA_000524275.1_SspBS21v1.0</t>
  </si>
  <si>
    <t>GCA_000524295.1</t>
  </si>
  <si>
    <t>MSX8B</t>
  </si>
  <si>
    <t>https://ftp.ncbi.nlm.nih.gov/genomes/all/GCA/000/524/295/GCA_000524295.1_SspMSX8Bv1.0</t>
  </si>
  <si>
    <t>GCA_000524335.1</t>
  </si>
  <si>
    <t>MSTE5</t>
  </si>
  <si>
    <t>https://ftp.ncbi.nlm.nih.gov/genomes/all/GCA/000/524/335/GCA_000524335.1_OulMSTE5v1.0</t>
  </si>
  <si>
    <t>GCA_000524355.1</t>
  </si>
  <si>
    <t>ICM51a</t>
  </si>
  <si>
    <t>https://ftp.ncbi.nlm.nih.gov/genomes/all/GCA/000/524/355/GCA_000524355.1_VspICM51av1.0</t>
  </si>
  <si>
    <t>GCA_000524395.1</t>
  </si>
  <si>
    <t>CM22</t>
  </si>
  <si>
    <t>https://ftp.ncbi.nlm.nih.gov/genomes/all/GCA/000/524/395/GCA_000524395.1_FspCM22v1.0</t>
  </si>
  <si>
    <t>GCA_000525775.1</t>
  </si>
  <si>
    <t>ATCC 33093</t>
  </si>
  <si>
    <t>https://ftp.ncbi.nlm.nih.gov/genomes/all/GCA/000/525/775/GCA_000525775.1_MtimATCC33093v1.0</t>
  </si>
  <si>
    <t>GCA_000525815.1</t>
  </si>
  <si>
    <t>FSL F6-684</t>
  </si>
  <si>
    <t>https://ftp.ncbi.nlm.nih.gov/genomes/all/GCA/000/525/815/GCA_000525815.1_LmonocytogenesType</t>
  </si>
  <si>
    <t>GCA_000525935.1</t>
  </si>
  <si>
    <t>HMT-241</t>
  </si>
  <si>
    <t>Brochothrix</t>
  </si>
  <si>
    <t>thermosphacta</t>
  </si>
  <si>
    <t>FSL F6-1036</t>
  </si>
  <si>
    <t>https://ftp.ncbi.nlm.nih.gov/genomes/all/GCA/000/525/935/GCA_000525935.1_BthermosphactaTYPE</t>
  </si>
  <si>
    <t>GCA_000526055.1</t>
  </si>
  <si>
    <t>HMT-467</t>
  </si>
  <si>
    <t>sulci</t>
  </si>
  <si>
    <t>ATCC 35585</t>
  </si>
  <si>
    <t>https://ftp.ncbi.nlm.nih.gov/genomes/all/GCA/000/526/055/GCA_000526055.1_EsuATCC35585v1.0</t>
  </si>
  <si>
    <t>GCA_000526095.1</t>
  </si>
  <si>
    <t>CM6</t>
  </si>
  <si>
    <t>https://ftp.ncbi.nlm.nih.gov/genomes/all/GCA/000/526/095/GCA_000526095.1_SspCM6v1.0</t>
  </si>
  <si>
    <t>GCA_000529525.1</t>
  </si>
  <si>
    <t>HMT-815</t>
  </si>
  <si>
    <t>Methanobrevibacter</t>
  </si>
  <si>
    <t>JMR01</t>
  </si>
  <si>
    <t>https://ftp.ncbi.nlm.nih.gov/genomes/all/GCA/000/529/525/GCA_000529525.1_Methanobrevibacter_oralis_JMR01</t>
  </si>
  <si>
    <t>GCA_000542395.1</t>
  </si>
  <si>
    <t>UCIM6116</t>
  </si>
  <si>
    <t>https://ftp.ncbi.nlm.nih.gov/genomes/all/GCA/000/542/395/GCA_000542395.1_Stap_lugd_UCIM6116_V1</t>
  </si>
  <si>
    <t>GCA_000559965.1</t>
  </si>
  <si>
    <t>M52055</t>
  </si>
  <si>
    <t>https://ftp.ncbi.nlm.nih.gov/genomes/all/GCA/000/559/965/GCA_000559965.1_Stap_aure_M52055_V1</t>
  </si>
  <si>
    <t>GCA_000560145.1</t>
  </si>
  <si>
    <t>W48872</t>
  </si>
  <si>
    <t>https://ftp.ncbi.nlm.nih.gov/genomes/all/GCA/000/560/145/GCA_000560145.1_Stap_aure_W48872_V1</t>
  </si>
  <si>
    <t>GCA_000560365.1</t>
  </si>
  <si>
    <t>M64191</t>
  </si>
  <si>
    <t>https://ftp.ncbi.nlm.nih.gov/genomes/all/GCA/000/560/365/GCA_000560365.1_Stap_aure_M64191_V1</t>
  </si>
  <si>
    <t>GCA_000560505.1</t>
  </si>
  <si>
    <t>H81437</t>
  </si>
  <si>
    <t>https://ftp.ncbi.nlm.nih.gov/genomes/all/GCA/000/560/505/GCA_000560505.1_Stap_aure_H81437_V1</t>
  </si>
  <si>
    <t>GCA_000561065.1</t>
  </si>
  <si>
    <t>H21935</t>
  </si>
  <si>
    <t>https://ftp.ncbi.nlm.nih.gov/genomes/all/GCA/000/561/065/GCA_000561065.1_Stap_aure_H21935_V1</t>
  </si>
  <si>
    <t>GCA_000565015.1</t>
  </si>
  <si>
    <t>ATCC 51270</t>
  </si>
  <si>
    <t>https://ftp.ncbi.nlm.nih.gov/genomes/all/GCA/000/565/015/GCA_000565015.1_PcatATCC51270v1.0</t>
  </si>
  <si>
    <t>GCA_000568515.1</t>
  </si>
  <si>
    <t>NBIMC_P1-C3</t>
  </si>
  <si>
    <t>https://ftp.ncbi.nlm.nih.gov/genomes/all/GCA/000/568/515/GCA_000568515.1_NBIMC_P1-C3</t>
  </si>
  <si>
    <t>GCA_000568595.1</t>
  </si>
  <si>
    <t>NBIMC_P1-C1</t>
  </si>
  <si>
    <t>https://ftp.ncbi.nlm.nih.gov/genomes/all/GCA/000/568/595/GCA_000568595.1_NBIMC_P1-C1</t>
  </si>
  <si>
    <t>GCA_000568615.1</t>
  </si>
  <si>
    <t>NBIMC_P1-C2</t>
  </si>
  <si>
    <t>https://ftp.ncbi.nlm.nih.gov/genomes/all/GCA/000/568/615/GCA_000568615.1_NBIMC_P1-C2</t>
  </si>
  <si>
    <t>GCA_000590475.1</t>
  </si>
  <si>
    <t>28a24</t>
  </si>
  <si>
    <t>https://ftp.ncbi.nlm.nih.gov/genomes/all/GCA/000/590/475/GCA_000590475.1_ASM59047v1</t>
  </si>
  <si>
    <t>GCA_000599605.1</t>
  </si>
  <si>
    <t>HMT-410</t>
  </si>
  <si>
    <t>sp. HMT-410</t>
  </si>
  <si>
    <t>HJM029</t>
  </si>
  <si>
    <t>https://ftp.ncbi.nlm.nih.gov/genomes/all/GCA/000/599/605/GCA_000599605.1_HJM029</t>
  </si>
  <si>
    <t>GCA_000600355.1</t>
  </si>
  <si>
    <t>B35</t>
  </si>
  <si>
    <t>https://ftp.ncbi.nlm.nih.gov/genomes/all/GCA/000/600/355/GCA_000600355.1_FNF_B35</t>
  </si>
  <si>
    <t>GCA_000604045.1</t>
  </si>
  <si>
    <t>HK1651</t>
  </si>
  <si>
    <t>https://ftp.ncbi.nlm.nih.gov/genomes/all/GCA/000/604/045/GCA_000604045.1_ASM60404v1</t>
  </si>
  <si>
    <t>JCM 6290</t>
  </si>
  <si>
    <t>https://ftp.ncbi.nlm.nih.gov/genomes/all/GCA/000/613/325/GCA_000613325.1_ASM61332v1</t>
  </si>
  <si>
    <t>GCA_000613405.1</t>
  </si>
  <si>
    <t>HMT-600</t>
  </si>
  <si>
    <t>enoeca</t>
  </si>
  <si>
    <t>JCM 12259</t>
  </si>
  <si>
    <t>https://ftp.ncbi.nlm.nih.gov/genomes/all/GCA/000/613/405/GCA_000613405.1_ASM61340v1</t>
  </si>
  <si>
    <t>GCA_000613445.1</t>
  </si>
  <si>
    <t>HMT-795</t>
  </si>
  <si>
    <t>JCM 12083</t>
  </si>
  <si>
    <t>https://ftp.ncbi.nlm.nih.gov/genomes/all/GCA/000/613/445/GCA_000613445.1_ASM61344v1</t>
  </si>
  <si>
    <t>JCM 12249</t>
  </si>
  <si>
    <t>https://ftp.ncbi.nlm.nih.gov/genomes/all/GCA/000/613/485/GCA_000613485.1_ASM61348v1</t>
  </si>
  <si>
    <t>GCA_000613505.1</t>
  </si>
  <si>
    <t>JCM 12252</t>
  </si>
  <si>
    <t>https://ftp.ncbi.nlm.nih.gov/genomes/all/GCA/000/613/505/GCA_000613505.1_ASM61350v1</t>
  </si>
  <si>
    <t>JCM 13447</t>
  </si>
  <si>
    <t>https://ftp.ncbi.nlm.nih.gov/genomes/all/GCA/000/613/565/GCA_000613565.1_ASM61356v1</t>
  </si>
  <si>
    <t>JCM 13449</t>
  </si>
  <si>
    <t>https://ftp.ncbi.nlm.nih.gov/genomes/all/GCA/000/613/585/GCA_000613585.1_ASM61358v1</t>
  </si>
  <si>
    <t>GCA_000613625.1</t>
  </si>
  <si>
    <t>JCM 13450</t>
  </si>
  <si>
    <t>https://ftp.ncbi.nlm.nih.gov/genomes/all/GCA/000/613/625/GCA_000613625.1_ASM61362v1</t>
  </si>
  <si>
    <t>GCA_000613705.1</t>
  </si>
  <si>
    <t>JCM 13868</t>
  </si>
  <si>
    <t>https://ftp.ncbi.nlm.nih.gov/genomes/all/GCA/000/613/705/GCA_000613705.1_ASM61370v1</t>
  </si>
  <si>
    <t>GCA_000613725.1</t>
  </si>
  <si>
    <t>JCM 14110</t>
  </si>
  <si>
    <t>https://ftp.ncbi.nlm.nih.gov/genomes/all/GCA/000/613/725/GCA_000613725.1_ASM61372v1</t>
  </si>
  <si>
    <t>GCA_000613765.1</t>
  </si>
  <si>
    <t>JCM 14753</t>
  </si>
  <si>
    <t>https://ftp.ncbi.nlm.nih.gov/genomes/all/GCA/000/613/765/GCA_000613765.1_ASM61376v1</t>
  </si>
  <si>
    <t>GCA_000613785.1</t>
  </si>
  <si>
    <t>JCM 14966</t>
  </si>
  <si>
    <t>https://ftp.ncbi.nlm.nih.gov/genomes/all/GCA/000/613/785/GCA_000613785.1_ASM61378v1</t>
  </si>
  <si>
    <t>JCM 15637</t>
  </si>
  <si>
    <t>https://ftp.ncbi.nlm.nih.gov/genomes/all/GCA/000/613/925/GCA_000613925.1_ASM61392v1</t>
  </si>
  <si>
    <t>JCM 15638</t>
  </si>
  <si>
    <t>https://ftp.ncbi.nlm.nih.gov/genomes/all/GCA/000/613/965/GCA_000613965.1_ASM61396v1</t>
  </si>
  <si>
    <t>GCA_000613985.1</t>
  </si>
  <si>
    <t>JCM 15639</t>
  </si>
  <si>
    <t>https://ftp.ncbi.nlm.nih.gov/genomes/all/GCA/000/613/985/GCA_000613985.1_ASM61398v1</t>
  </si>
  <si>
    <t>GCA_000614005.1</t>
  </si>
  <si>
    <t>JCM 15640</t>
  </si>
  <si>
    <t>https://ftp.ncbi.nlm.nih.gov/genomes/all/GCA/000/614/005/GCA_000614005.1_ASM61400v1</t>
  </si>
  <si>
    <t>GCA_000614025.1</t>
  </si>
  <si>
    <t>HMT-943</t>
  </si>
  <si>
    <t>aurantiaca</t>
  </si>
  <si>
    <t>JCM 15754</t>
  </si>
  <si>
    <t>https://ftp.ncbi.nlm.nih.gov/genomes/all/GCA/000/614/025/GCA_000614025.1_ASM61402v1</t>
  </si>
  <si>
    <t>GCA_000614105.1</t>
  </si>
  <si>
    <t>JCM 16134</t>
  </si>
  <si>
    <t>https://ftp.ncbi.nlm.nih.gov/genomes/all/GCA/000/614/105/GCA_000614105.1_ASM61410v1</t>
  </si>
  <si>
    <t>GCA_000614205.1</t>
  </si>
  <si>
    <t>JCM 17484</t>
  </si>
  <si>
    <t>https://ftp.ncbi.nlm.nih.gov/genomes/all/GCA/000/614/205/GCA_000614205.1_ASM61420v1</t>
  </si>
  <si>
    <t>fusca</t>
  </si>
  <si>
    <t>JCM 17724</t>
  </si>
  <si>
    <t>https://ftp.ncbi.nlm.nih.gov/genomes/all/GCA/000/614/245/GCA_000614245.1_ASM61424v1</t>
  </si>
  <si>
    <t>GCA_000614285.1</t>
  </si>
  <si>
    <t>HMT-885</t>
  </si>
  <si>
    <t>scopos</t>
  </si>
  <si>
    <t>JCM 17725</t>
  </si>
  <si>
    <t>https://ftp.ncbi.nlm.nih.gov/genomes/all/GCA/000/614/285/GCA_000614285.1_ASM61428v1</t>
  </si>
  <si>
    <t>GCA_000614665.1</t>
  </si>
  <si>
    <t>JCM 1662</t>
  </si>
  <si>
    <t>https://ftp.ncbi.nlm.nih.gov/genomes/all/GCA/000/614/665/GCA_000614665.1_ASM61466v1</t>
  </si>
  <si>
    <t>GCA_000614705.1</t>
  </si>
  <si>
    <t>JCM 6841</t>
  </si>
  <si>
    <t>https://ftp.ncbi.nlm.nih.gov/genomes/all/GCA/000/614/705/GCA_000614705.1_ASM61470v1</t>
  </si>
  <si>
    <t>GCA_000615125.1</t>
  </si>
  <si>
    <t>JCM 1131</t>
  </si>
  <si>
    <t>https://ftp.ncbi.nlm.nih.gov/genomes/all/GCA/000/615/125/GCA_000615125.1_ASM61512v1</t>
  </si>
  <si>
    <t>GCA_000615165.1</t>
  </si>
  <si>
    <t>JCM 1132</t>
  </si>
  <si>
    <t>https://ftp.ncbi.nlm.nih.gov/genomes/all/GCA/000/615/165/GCA_000615165.1_ASM61516v1</t>
  </si>
  <si>
    <t>GCA_000615205.1</t>
  </si>
  <si>
    <t>HMT-568</t>
  </si>
  <si>
    <t>casei</t>
  </si>
  <si>
    <t>JCM 1134</t>
  </si>
  <si>
    <t>https://ftp.ncbi.nlm.nih.gov/genomes/all/GCA/000/615/205/GCA_000615205.1_ASM61520v1</t>
  </si>
  <si>
    <t>GCA_000615245.1</t>
  </si>
  <si>
    <t>JCM 1136</t>
  </si>
  <si>
    <t>https://ftp.ncbi.nlm.nih.gov/genomes/all/GCA/000/615/245/GCA_000615245.1_ASM61524v1</t>
  </si>
  <si>
    <t>GCA_000615325.1</t>
  </si>
  <si>
    <t>JCM 1149</t>
  </si>
  <si>
    <t>https://ftp.ncbi.nlm.nih.gov/genomes/all/GCA/000/615/325/GCA_000615325.1_ASM61532v1</t>
  </si>
  <si>
    <t>GCA_000615405.1</t>
  </si>
  <si>
    <t>HMT-804</t>
  </si>
  <si>
    <t>Lactococcus</t>
  </si>
  <si>
    <t>lactis</t>
  </si>
  <si>
    <t>JCM 5805</t>
  </si>
  <si>
    <t>https://ftp.ncbi.nlm.nih.gov/genomes/all/GCA/000/615/405/GCA_000615405.1_ASM61540v1</t>
  </si>
  <si>
    <t>GCA_000620985.1</t>
  </si>
  <si>
    <t>DSM 20171</t>
  </si>
  <si>
    <t>https://ftp.ncbi.nlm.nih.gov/genomes/all/GCA/000/620/985/GCA_000620985.1_ASM62098v1</t>
  </si>
  <si>
    <t>GCA_000622045.1</t>
  </si>
  <si>
    <t>HUN048</t>
  </si>
  <si>
    <t>https://ftp.ncbi.nlm.nih.gov/genomes/all/GCA/000/622/045/GCA_000622045.1_ASM62204v1</t>
  </si>
  <si>
    <t>GCA_000622145.1</t>
  </si>
  <si>
    <t>HMT-104</t>
  </si>
  <si>
    <t>Paracoccus</t>
  </si>
  <si>
    <t>yeei</t>
  </si>
  <si>
    <t>ATCC BAA-599</t>
  </si>
  <si>
    <t>https://ftp.ncbi.nlm.nih.gov/genomes/all/GCA/000/622/145/GCA_000622145.1_ASM62214v1</t>
  </si>
  <si>
    <t>GCA_000622225.1</t>
  </si>
  <si>
    <t>ATCC BAA-692</t>
  </si>
  <si>
    <t>https://ftp.ncbi.nlm.nih.gov/genomes/all/GCA/000/622/225/GCA_000622225.1_ASM62222v1</t>
  </si>
  <si>
    <t>GCA_000626595.1</t>
  </si>
  <si>
    <t>https://ftp.ncbi.nlm.nih.gov/genomes/all/GCA/000/626/595/GCA_000626595.1_ASM62659v1</t>
  </si>
  <si>
    <t>GCA_000649085.1</t>
  </si>
  <si>
    <t>VCU150</t>
  </si>
  <si>
    <t>https://ftp.ncbi.nlm.nih.gov/genomes/all/GCA/000/649/085/GCA_000649085.1_gslvcu150v01</t>
  </si>
  <si>
    <t>GCA_000649125.1</t>
  </si>
  <si>
    <t>VCU148</t>
  </si>
  <si>
    <t>https://ftp.ncbi.nlm.nih.gov/genomes/all/GCA/000/649/125/GCA_000649125.1_gslvcu148v01</t>
  </si>
  <si>
    <t>GCA_000667805.1</t>
  </si>
  <si>
    <t>https://ftp.ncbi.nlm.nih.gov/genomes/all/GCA/000/667/805/GCA_000667805.1_Myco_tube_H37Rv_V2</t>
  </si>
  <si>
    <t>GCA_000684935.1</t>
  </si>
  <si>
    <t>NBRC 102416</t>
  </si>
  <si>
    <t>https://ftp.ncbi.nlm.nih.gov/genomes/all/GCA/000/684/935/GCA_000684935.1_ASM68493v1</t>
  </si>
  <si>
    <t>GCA_000686605.1</t>
  </si>
  <si>
    <t>https://ftp.ncbi.nlm.nih.gov/genomes/all/GCA/000/686/605/GCA_000686605.1_ASM68660v1</t>
  </si>
  <si>
    <t>GCA_000688415.1</t>
  </si>
  <si>
    <t>DSM 44287</t>
  </si>
  <si>
    <t>https://ftp.ncbi.nlm.nih.gov/genomes/all/GCA/000/688/415/GCA_000688415.1_ASM68841v1</t>
  </si>
  <si>
    <t>GCA_000688775.2</t>
  </si>
  <si>
    <t>VT 162</t>
  </si>
  <si>
    <t>https://ftp.ncbi.nlm.nih.gov/genomes/all/GCA/000/688/775/GCA_000688775.2_ASM68877v2</t>
  </si>
  <si>
    <t>ATCC 25795</t>
  </si>
  <si>
    <t>https://ftp.ncbi.nlm.nih.gov/genomes/all/GCA/000/691/525/GCA_000691525.1_ATCC25795_good_1_paired_assembly</t>
  </si>
  <si>
    <t>GCA_000691645.1</t>
  </si>
  <si>
    <t>BL</t>
  </si>
  <si>
    <t>https://ftp.ncbi.nlm.nih.gov/genomes/all/GCA/000/691/645/GCA_000691645.1_FnecBLv1.0</t>
  </si>
  <si>
    <t>GCA_000691705.1</t>
  </si>
  <si>
    <t>DAB</t>
  </si>
  <si>
    <t>https://ftp.ncbi.nlm.nih.gov/genomes/all/GCA/000/691/705/GCA_000691705.1_FnecDABv1.0</t>
  </si>
  <si>
    <t>GCA_000691745.1</t>
  </si>
  <si>
    <t>DJ-2</t>
  </si>
  <si>
    <t>https://ftp.ncbi.nlm.nih.gov/genomes/all/GCA/000/691/745/GCA_000691745.1_FnecDJ-2v1.0</t>
  </si>
  <si>
    <t>GCA_000692055.1</t>
  </si>
  <si>
    <t>TE8</t>
  </si>
  <si>
    <t>https://ftp.ncbi.nlm.nih.gov/genomes/all/GCA/000/692/055/GCA_000692055.1_Staphylococcus_sp._strain_TE8_genome</t>
  </si>
  <si>
    <t>GCA_000698365.1</t>
  </si>
  <si>
    <t>CGSHiCZ412602</t>
  </si>
  <si>
    <t>https://ftp.ncbi.nlm.nih.gov/genomes/all/GCA/000/698/365/GCA_000698365.1_ASM69836v1</t>
  </si>
  <si>
    <t>ATCC 15930</t>
  </si>
  <si>
    <t>https://ftp.ncbi.nlm.nih.gov/genomes/all/GCA/000/698/925/GCA_000698925.1_ASM69892v1</t>
  </si>
  <si>
    <t>GCA_000700805.1</t>
  </si>
  <si>
    <t>KLE 1280</t>
  </si>
  <si>
    <t>https://ftp.ncbi.nlm.nih.gov/genomes/all/GCA/000/700/805/GCA_000700805.1_ASM70080v1</t>
  </si>
  <si>
    <t>GCA_000701685.1</t>
  </si>
  <si>
    <t>ATCC 700632</t>
  </si>
  <si>
    <t>https://ftp.ncbi.nlm.nih.gov/genomes/all/GCA/000/701/685/GCA_000701685.1_ASM70168v1</t>
  </si>
  <si>
    <t>GCA_000709495.1</t>
  </si>
  <si>
    <t>hdn-1</t>
  </si>
  <si>
    <t>https://ftp.ncbi.nlm.nih.gov/genomes/all/GCA/000/709/495/GCA_000709495.1_ASM70949v1</t>
  </si>
  <si>
    <t>GCA_000711965.1</t>
  </si>
  <si>
    <t>HMT-645</t>
  </si>
  <si>
    <t>israelii</t>
  </si>
  <si>
    <t>DSM 43320</t>
  </si>
  <si>
    <t>https://ftp.ncbi.nlm.nih.gov/genomes/all/GCA/000/711/965/GCA_000711965.1_ASM71196v1</t>
  </si>
  <si>
    <t>GCA_000722675.1</t>
  </si>
  <si>
    <t>https://ftp.ncbi.nlm.nih.gov/genomes/all/GCA/000/722/675/GCA_000722675.1_ASM72267v1</t>
  </si>
  <si>
    <t>GCA_000722685.1</t>
  </si>
  <si>
    <t>SK667</t>
  </si>
  <si>
    <t>https://ftp.ncbi.nlm.nih.gov/genomes/all/GCA/000/722/685/GCA_000722685.1_ASM72268v1</t>
  </si>
  <si>
    <t>GCA_000722695.1</t>
  </si>
  <si>
    <t>SK629</t>
  </si>
  <si>
    <t>https://ftp.ncbi.nlm.nih.gov/genomes/all/GCA/000/722/695/GCA_000722695.1_ASM72269v1</t>
  </si>
  <si>
    <t>GCA_000722705.1</t>
  </si>
  <si>
    <t>SK642</t>
  </si>
  <si>
    <t>https://ftp.ncbi.nlm.nih.gov/genomes/all/GCA/000/722/705/GCA_000722705.1_ASM72270v1</t>
  </si>
  <si>
    <t>GCA_000722755.1</t>
  </si>
  <si>
    <t>SK578</t>
  </si>
  <si>
    <t>https://ftp.ncbi.nlm.nih.gov/genomes/all/GCA/000/722/755/GCA_000722755.1_ASM72275v1</t>
  </si>
  <si>
    <t>GCA_000722765.2</t>
  </si>
  <si>
    <t>SK637</t>
  </si>
  <si>
    <t>https://ftp.ncbi.nlm.nih.gov/genomes/all/GCA/000/722/765/GCA_000722765.2_ASM72276v2</t>
  </si>
  <si>
    <t>GCA_000722775.1</t>
  </si>
  <si>
    <t>SK608</t>
  </si>
  <si>
    <t>https://ftp.ncbi.nlm.nih.gov/genomes/all/GCA/000/722/775/GCA_000722775.1_ASM72277v1</t>
  </si>
  <si>
    <t>GCA_000722845.1</t>
  </si>
  <si>
    <t>SK143</t>
  </si>
  <si>
    <t>https://ftp.ncbi.nlm.nih.gov/genomes/all/GCA/000/722/845/GCA_000722845.1_ASM72284v1</t>
  </si>
  <si>
    <t>GCA_000723465.1</t>
  </si>
  <si>
    <t>HMT-962</t>
  </si>
  <si>
    <t>Hominimerdicola</t>
  </si>
  <si>
    <t>aceti</t>
  </si>
  <si>
    <t>80/3</t>
  </si>
  <si>
    <t>https://ftp.ncbi.nlm.nih.gov/genomes/all/GCA/000/723/465/GCA_000723465.1_Rb803</t>
  </si>
  <si>
    <t>DSM 44074</t>
  </si>
  <si>
    <t>https://ftp.ncbi.nlm.nih.gov/genomes/all/GCA/000/724/065/GCA_000724065.1_PRJEB1060_assembly_1</t>
  </si>
  <si>
    <t>GCA_000724165.1</t>
  </si>
  <si>
    <t>SK271</t>
  </si>
  <si>
    <t>https://ftp.ncbi.nlm.nih.gov/genomes/all/GCA/000/724/165/GCA_000724165.1_ASM72416v1</t>
  </si>
  <si>
    <t>GCA_000724645.1</t>
  </si>
  <si>
    <t>C1A</t>
  </si>
  <si>
    <t>https://ftp.ncbi.nlm.nih.gov/genomes/all/GCA/000/724/645/GCA_000724645.1_ASM72464v1</t>
  </si>
  <si>
    <t>GCA_000724775.3</t>
  </si>
  <si>
    <t>HMT-614</t>
  </si>
  <si>
    <t>Lysinibacillus</t>
  </si>
  <si>
    <t>fusiformis</t>
  </si>
  <si>
    <t>RB-21</t>
  </si>
  <si>
    <t>https://ftp.ncbi.nlm.nih.gov/genomes/all/GCA/000/724/775/GCA_000724775.3_ASM72477v3</t>
  </si>
  <si>
    <t>GCA_000730485.1</t>
  </si>
  <si>
    <t>ATCC 6919</t>
  </si>
  <si>
    <t>https://ftp.ncbi.nlm.nih.gov/genomes/all/GCA/000/730/485/GCA_000730485.1_ASM73048v1</t>
  </si>
  <si>
    <t>GCA_000735365.1</t>
  </si>
  <si>
    <t>HMT-865</t>
  </si>
  <si>
    <t>Kluyvera</t>
  </si>
  <si>
    <t>ascorbata</t>
  </si>
  <si>
    <t>ATCC 33433</t>
  </si>
  <si>
    <t>https://ftp.ncbi.nlm.nih.gov/genomes/all/GCA/000/735/365/GCA_000735365.1_GKAS_DRAFTv1</t>
  </si>
  <si>
    <t>GCA_000736475.1</t>
  </si>
  <si>
    <t>NGS-ED-1001</t>
  </si>
  <si>
    <t>https://ftp.ncbi.nlm.nih.gov/genomes/all/GCA/000/736/475/GCA_000736475.1_ASM73647v1</t>
  </si>
  <si>
    <t>GCA_000737145.1</t>
  </si>
  <si>
    <t>https://ftp.ncbi.nlm.nih.gov/genomes/all/GCA/000/737/145/GCA_000737145.1_ASM73714v1</t>
  </si>
  <si>
    <t>GCA_000738165.1</t>
  </si>
  <si>
    <t>HMT-454</t>
  </si>
  <si>
    <t>macclintockiae</t>
  </si>
  <si>
    <t>Cj19409</t>
  </si>
  <si>
    <t>https://ftp.ncbi.nlm.nih.gov/genomes/all/GCA/000/738/165/GCA_000738165.1_Cj19409</t>
  </si>
  <si>
    <t>GCA_000738175.1</t>
  </si>
  <si>
    <t>Cj47444</t>
  </si>
  <si>
    <t>https://ftp.ncbi.nlm.nih.gov/genomes/all/GCA/000/738/175/GCA_000738175.1_Cj47444</t>
  </si>
  <si>
    <t>GCA_000738185.1</t>
  </si>
  <si>
    <t>Cj14566</t>
  </si>
  <si>
    <t>https://ftp.ncbi.nlm.nih.gov/genomes/all/GCA/000/738/185/GCA_000738185.1_Cj14566</t>
  </si>
  <si>
    <t>GCA_000738195.1</t>
  </si>
  <si>
    <t>Cj16348</t>
  </si>
  <si>
    <t>https://ftp.ncbi.nlm.nih.gov/genomes/all/GCA/000/738/195/GCA_000738195.1_Cj16348</t>
  </si>
  <si>
    <t>GCA_000738245.1</t>
  </si>
  <si>
    <t>Cj30184</t>
  </si>
  <si>
    <t>https://ftp.ncbi.nlm.nih.gov/genomes/all/GCA/000/738/245/GCA_000738245.1_Cj30184</t>
  </si>
  <si>
    <t>GCA_000738255.1</t>
  </si>
  <si>
    <t>Cj21382</t>
  </si>
  <si>
    <t>https://ftp.ncbi.nlm.nih.gov/genomes/all/GCA/000/738/255/GCA_000738255.1_Cj21382</t>
  </si>
  <si>
    <t>GCA_000738265.1</t>
  </si>
  <si>
    <t>Cj37130</t>
  </si>
  <si>
    <t>https://ftp.ncbi.nlm.nih.gov/genomes/all/GCA/000/738/265/GCA_000738265.1_Cj37130</t>
  </si>
  <si>
    <t>GCA_000738305.1</t>
  </si>
  <si>
    <t>Cj38002</t>
  </si>
  <si>
    <t>https://ftp.ncbi.nlm.nih.gov/genomes/all/GCA/000/738/305/GCA_000738305.1_Cj38002</t>
  </si>
  <si>
    <t>GCA_000738325.1</t>
  </si>
  <si>
    <t>Cj47446</t>
  </si>
  <si>
    <t>https://ftp.ncbi.nlm.nih.gov/genomes/all/GCA/000/738/325/GCA_000738325.1_Cj47446</t>
  </si>
  <si>
    <t>GCA_000738335.1</t>
  </si>
  <si>
    <t>Cj47453</t>
  </si>
  <si>
    <t>https://ftp.ncbi.nlm.nih.gov/genomes/all/GCA/000/738/335/GCA_000738335.1_Cj47453</t>
  </si>
  <si>
    <t>GCA_000738385.1</t>
  </si>
  <si>
    <t>Cj47445</t>
  </si>
  <si>
    <t>https://ftp.ncbi.nlm.nih.gov/genomes/all/GCA/000/738/385/GCA_000738385.1_Cj47445</t>
  </si>
  <si>
    <t>GCA_000738405.1</t>
  </si>
  <si>
    <t>Cj47447</t>
  </si>
  <si>
    <t>https://ftp.ncbi.nlm.nih.gov/genomes/all/GCA/000/738/405/GCA_000738405.1_Cj47447</t>
  </si>
  <si>
    <t>GCA_000739375.1</t>
  </si>
  <si>
    <t>TK102</t>
  </si>
  <si>
    <t>https://ftp.ncbi.nlm.nih.gov/genomes/all/GCA/000/739/375/GCA_000739375.1_ASM73937v1</t>
  </si>
  <si>
    <t>GCA_000739415.1</t>
  </si>
  <si>
    <t>HG66</t>
  </si>
  <si>
    <t>https://ftp.ncbi.nlm.nih.gov/genomes/all/GCA/000/739/415/GCA_000739415.1_ASM73941v1</t>
  </si>
  <si>
    <t>GCA_000740035.1</t>
  </si>
  <si>
    <t>NBRC 14951</t>
  </si>
  <si>
    <t>https://ftp.ncbi.nlm.nih.gov/genomes/all/GCA/000/740/035/GCA_000740035.1_ASM74003v1</t>
  </si>
  <si>
    <t>GCA_000740455.1</t>
  </si>
  <si>
    <t>https://ftp.ncbi.nlm.nih.gov/genomes/all/GCA/000/740/455/GCA_000740455.1_ASM74045v1</t>
  </si>
  <si>
    <t>GCA_000740775.1</t>
  </si>
  <si>
    <t>HMT-316</t>
  </si>
  <si>
    <t>Haematobacter</t>
  </si>
  <si>
    <t>missouriensis</t>
  </si>
  <si>
    <t>CCUG 52307</t>
  </si>
  <si>
    <t>https://ftp.ncbi.nlm.nih.gov/genomes/all/GCA/000/740/775/GCA_000740775.1_ASM74077v1</t>
  </si>
  <si>
    <t>GCA_000741245.1</t>
  </si>
  <si>
    <t>LMG 13197</t>
  </si>
  <si>
    <t>https://ftp.ncbi.nlm.nih.gov/genomes/all/GCA/000/741/245/GCA_000741245.1_Biflon_sub.lon</t>
  </si>
  <si>
    <t>scardovii</t>
  </si>
  <si>
    <t>LMG 21589</t>
  </si>
  <si>
    <t>https://ftp.ncbi.nlm.nih.gov/genomes/all/GCA/000/741/405/GCA_000741405.1_Bifsca</t>
  </si>
  <si>
    <t>GCA_000741485.1</t>
  </si>
  <si>
    <t>LMG 10508</t>
  </si>
  <si>
    <t>https://ftp.ncbi.nlm.nih.gov/genomes/all/GCA/000/741/485/GCA_000741485.1_Bifani_sub.ani</t>
  </si>
  <si>
    <t>GCA_000741775.1</t>
  </si>
  <si>
    <t>LMG 11597</t>
  </si>
  <si>
    <t>https://ftp.ncbi.nlm.nih.gov/genomes/all/GCA/000/741/775/GCA_000741775.1_Bifsub</t>
  </si>
  <si>
    <t>GCA_000741825.1</t>
  </si>
  <si>
    <t>https://ftp.ncbi.nlm.nih.gov/genomes/all/GCA/000/741/825/GCA_000741825.1_ASM74182v1</t>
  </si>
  <si>
    <t>GCA_000741965.1</t>
  </si>
  <si>
    <t>https://ftp.ncbi.nlm.nih.gov/genomes/all/GCA/000/741/965/GCA_000741965.1_ASM74196v1</t>
  </si>
  <si>
    <t>GCA_000742135.1</t>
  </si>
  <si>
    <t>ATCC 13883</t>
  </si>
  <si>
    <t>https://ftp.ncbi.nlm.nih.gov/genomes/all/GCA/000/742/135/GCA_000742135.1_ASM74213v1</t>
  </si>
  <si>
    <t>GCA_000742895.1</t>
  </si>
  <si>
    <t>https://ftp.ncbi.nlm.nih.gov/genomes/all/GCA/000/742/895/GCA_000742895.1_ASM74289v1</t>
  </si>
  <si>
    <t>GCA_000743455.1</t>
  </si>
  <si>
    <t>HMT-854</t>
  </si>
  <si>
    <t>Ralstonia</t>
  </si>
  <si>
    <t>pickettii</t>
  </si>
  <si>
    <t>ATCC 27511</t>
  </si>
  <si>
    <t>https://ftp.ncbi.nlm.nih.gov/genomes/all/GCA/000/743/455/GCA_000743455.1_RPT</t>
  </si>
  <si>
    <t>GCA_000743465.1</t>
  </si>
  <si>
    <t>https://ftp.ncbi.nlm.nih.gov/genomes/all/GCA/000/743/465/GCA_000743465.1_LMD</t>
  </si>
  <si>
    <t>GCA_000746485.1</t>
  </si>
  <si>
    <t>https://ftp.ncbi.nlm.nih.gov/genomes/all/GCA/000/746/485/GCA_000746485.1_ASM74648v1</t>
  </si>
  <si>
    <t>GCA_000747315.1</t>
  </si>
  <si>
    <t>HMT-835</t>
  </si>
  <si>
    <t>mucifaciens</t>
  </si>
  <si>
    <t>IMMIB RIV-2301</t>
  </si>
  <si>
    <t>https://ftp.ncbi.nlm.nih.gov/genomes/all/GCA/000/747/315/GCA_000747315.1_ASM74731v1</t>
  </si>
  <si>
    <t>GCA_000751135.1</t>
  </si>
  <si>
    <t>https://ftp.ncbi.nlm.nih.gov/genomes/all/GCA/000/751/135/GCA_000751135.1_Kingella_kingae_KK247_</t>
  </si>
  <si>
    <t>GCA_000751855.1</t>
  </si>
  <si>
    <t>HMT-405</t>
  </si>
  <si>
    <t>negevensis</t>
  </si>
  <si>
    <t>Pharynx</t>
  </si>
  <si>
    <t>https://ftp.ncbi.nlm.nih.gov/genomes/all/GCA/000/751/855/GCA_000751855.1_Kingella_negevensis</t>
  </si>
  <si>
    <t>GCA_000755145.1</t>
  </si>
  <si>
    <t>HMT-743</t>
  </si>
  <si>
    <t>putidum</t>
  </si>
  <si>
    <t>OMZ 758</t>
  </si>
  <si>
    <t>https://ftp.ncbi.nlm.nih.gov/genomes/all/GCA/000/755/145/GCA_000755145.1_ASM75514v1</t>
  </si>
  <si>
    <t>GCA_000755185.1</t>
  </si>
  <si>
    <t>ATCC 6931</t>
  </si>
  <si>
    <t>https://ftp.ncbi.nlm.nih.gov/genomes/all/GCA/000/755/185/GCA_000755185.1_ASM75518v1</t>
  </si>
  <si>
    <t>GCA_000758765.1</t>
  </si>
  <si>
    <t>S7-1-13</t>
  </si>
  <si>
    <t>https://ftp.ncbi.nlm.nih.gov/genomes/all/GCA/000/758/765/GCA_000758765.1_04_NF40_HMP1630v01</t>
  </si>
  <si>
    <t>GCA_000759045.1</t>
  </si>
  <si>
    <t>DNF00188</t>
  </si>
  <si>
    <t>https://ftp.ncbi.nlm.nih.gov/genomes/all/GCA/000/759/045/GCA_000759045.1_04_NF_x40_HMP1651v01</t>
  </si>
  <si>
    <t>GCA_000759055.1</t>
  </si>
  <si>
    <t>HMT-184</t>
  </si>
  <si>
    <t>tuscaniense</t>
  </si>
  <si>
    <t>DNF00037</t>
  </si>
  <si>
    <t>https://ftp.ncbi.nlm.nih.gov/genomes/all/GCA/000/759/055/GCA_000759055.1_04_NF40_HMP2129v01</t>
  </si>
  <si>
    <t>DNF00424</t>
  </si>
  <si>
    <t>https://ftp.ncbi.nlm.nih.gov/genomes/all/GCA/000/759/075/GCA_000759075.1_04_NF40_HMP2132v01</t>
  </si>
  <si>
    <t>GCA_000759125.1</t>
  </si>
  <si>
    <t>DNF00585</t>
  </si>
  <si>
    <t>https://ftp.ncbi.nlm.nih.gov/genomes/all/GCA/000/759/125/GCA_000759125.1_04_NF40_HMP2135v01</t>
  </si>
  <si>
    <t>GCA_000759165.1</t>
  </si>
  <si>
    <t>DNF00650</t>
  </si>
  <si>
    <t>https://ftp.ncbi.nlm.nih.gov/genomes/all/GCA/000/759/165/GCA_000759165.1_04_NF40_HMP2136v01</t>
  </si>
  <si>
    <t>GCA_000759185.1</t>
  </si>
  <si>
    <t>DNF00853</t>
  </si>
  <si>
    <t>https://ftp.ncbi.nlm.nih.gov/genomes/all/GCA/000/759/185/GCA_000759185.1_04_NF40_HMP2137v01</t>
  </si>
  <si>
    <t>DNF00960</t>
  </si>
  <si>
    <t>https://ftp.ncbi.nlm.nih.gov/genomes/all/GCA/000/759/205/GCA_000759205.1_04_NF40_HMP2139v01</t>
  </si>
  <si>
    <t>GCA_000759245.1</t>
  </si>
  <si>
    <t>DNF00320</t>
  </si>
  <si>
    <t>https://ftp.ncbi.nlm.nih.gov/genomes/all/GCA/000/759/245/GCA_000759245.1_04_NF40_HMP647v01</t>
  </si>
  <si>
    <t>GCA_000759265.1</t>
  </si>
  <si>
    <t>DNF00985</t>
  </si>
  <si>
    <t>https://ftp.ncbi.nlm.nih.gov/genomes/all/GCA/000/759/265/GCA_000759265.1_04_NF40_HMP2140v01</t>
  </si>
  <si>
    <t>GCA_000759315.1</t>
  </si>
  <si>
    <t>DNF00058</t>
  </si>
  <si>
    <t>https://ftp.ncbi.nlm.nih.gov/genomes/all/GCA/000/759/315/GCA_000759315.1_04_NF40_HMP9302v01</t>
  </si>
  <si>
    <t>GCA_000759555.1</t>
  </si>
  <si>
    <t>SEI</t>
  </si>
  <si>
    <t>https://ftp.ncbi.nlm.nih.gov/genomes/all/GCA/000/759/555/GCA_000759555.1_ASM75955v1</t>
  </si>
  <si>
    <t>GCA_000763245.3</t>
  </si>
  <si>
    <t>CCBH4851</t>
  </si>
  <si>
    <t>https://ftp.ncbi.nlm.nih.gov/genomes/all/GCA/000/763/245/GCA_000763245.3_ASM76324v3</t>
  </si>
  <si>
    <t>GCA_000763635.1</t>
  </si>
  <si>
    <t>C6A</t>
  </si>
  <si>
    <t>https://ftp.ncbi.nlm.nih.gov/genomes/all/GCA/000/763/635/GCA_000763635.1_ASM76363v1</t>
  </si>
  <si>
    <t>GCA_000763685.1</t>
  </si>
  <si>
    <t>C6B</t>
  </si>
  <si>
    <t>https://ftp.ncbi.nlm.nih.gov/genomes/all/GCA/000/763/685/GCA_000763685.1_ASM76368v1</t>
  </si>
  <si>
    <t>GCA_000763705.1</t>
  </si>
  <si>
    <t>C10D</t>
  </si>
  <si>
    <t>https://ftp.ncbi.nlm.nih.gov/genomes/all/GCA/000/763/705/GCA_000763705.1_ASM76370v1</t>
  </si>
  <si>
    <t>GCA_000763725.1</t>
  </si>
  <si>
    <t>C10F</t>
  </si>
  <si>
    <t>https://ftp.ncbi.nlm.nih.gov/genomes/all/GCA/000/763/725/GCA_000763725.1_ASM76372v1</t>
  </si>
  <si>
    <t>GCA_000763765.1</t>
  </si>
  <si>
    <t>C6D</t>
  </si>
  <si>
    <t>https://ftp.ncbi.nlm.nih.gov/genomes/all/GCA/000/763/765/GCA_000763765.1_ASM76376v1</t>
  </si>
  <si>
    <t>GCA_000766665.1</t>
  </si>
  <si>
    <t>https://ftp.ncbi.nlm.nih.gov/genomes/all/GCA/000/766/665/GCA_000766665.1_ASM76666v1</t>
  </si>
  <si>
    <t>GCA_000767075.1</t>
  </si>
  <si>
    <t>Hi375</t>
  </si>
  <si>
    <t>https://ftp.ncbi.nlm.nih.gov/genomes/all/GCA/000/767/075/GCA_000767075.1_ASM76707v1</t>
  </si>
  <si>
    <t>GCA_000767835.1</t>
  </si>
  <si>
    <t>HMT-767</t>
  </si>
  <si>
    <t>sinensis</t>
  </si>
  <si>
    <t>HKU4</t>
  </si>
  <si>
    <t>https://ftp.ncbi.nlm.nih.gov/genomes/all/GCA/000/767/835/GCA_000767835.1_ASM76783v1</t>
  </si>
  <si>
    <t>DSM 13734</t>
  </si>
  <si>
    <t>https://ftp.ncbi.nlm.nih.gov/genomes/all/GCA/000/770/985/GCA_000770985.1_DSM-13734</t>
  </si>
  <si>
    <t>GCA_000771185.1</t>
  </si>
  <si>
    <t>https://ftp.ncbi.nlm.nih.gov/genomes/all/GCA/000/771/185/GCA_000771185.1_DSM-20096</t>
  </si>
  <si>
    <t>GCA_000771305.1</t>
  </si>
  <si>
    <t>https://ftp.ncbi.nlm.nih.gov/genomes/all/GCA/000/771/305/GCA_000771305.1_DSM-20213</t>
  </si>
  <si>
    <t>GCA_000771725.1</t>
  </si>
  <si>
    <t>DSM 20436</t>
  </si>
  <si>
    <t>https://ftp.ncbi.nlm.nih.gov/genomes/all/GCA/000/771/725/GCA_000771725.1_DSM-20436</t>
  </si>
  <si>
    <t>GCA_000775415.1</t>
  </si>
  <si>
    <t>https://ftp.ncbi.nlm.nih.gov/genomes/all/GCA/000/775/415/GCA_000775415.1_DHOM_v1</t>
  </si>
  <si>
    <t>GCA_000785515.1</t>
  </si>
  <si>
    <t>NCTC 8618</t>
  </si>
  <si>
    <t>https://ftp.ncbi.nlm.nih.gov/genomes/all/GCA/000/785/515/GCA_000785515.1_ASM78551v1</t>
  </si>
  <si>
    <t>GCA_000786395.1</t>
  </si>
  <si>
    <t>ATCC 4356</t>
  </si>
  <si>
    <t>https://ftp.ncbi.nlm.nih.gov/genomes/all/GCA/000/786/395/GCA_000786395.1_ASM78639v1</t>
  </si>
  <si>
    <t>GCA_000786505.1</t>
  </si>
  <si>
    <t>49-02</t>
  </si>
  <si>
    <t>https://ftp.ncbi.nlm.nih.gov/genomes/all/GCA/000/786/505/GCA_000786505.1_MT49-02</t>
  </si>
  <si>
    <t>GCA_000787195.2</t>
  </si>
  <si>
    <t>L91543</t>
  </si>
  <si>
    <t>https://ftp.ncbi.nlm.nih.gov/genomes/all/GCA/000/787/195/GCA_000787195.2_ASM78719v2</t>
  </si>
  <si>
    <t>GCA_000788015.1</t>
  </si>
  <si>
    <t>https://ftp.ncbi.nlm.nih.gov/genomes/all/GCA/000/788/015/GCA_000788015.1_ASM78801v1</t>
  </si>
  <si>
    <t>GCA_000789275.1</t>
  </si>
  <si>
    <t>https://ftp.ncbi.nlm.nih.gov/genomes/all/GCA/000/789/275/GCA_000789275.1_ASM78927v1</t>
  </si>
  <si>
    <t>GCA_000800235.1</t>
  </si>
  <si>
    <t>NM3686</t>
  </si>
  <si>
    <t>https://ftp.ncbi.nlm.nih.gov/genomes/all/GCA/000/800/235/GCA_000800235.1_ASM80023v1</t>
  </si>
  <si>
    <t>GCA_000800275.1</t>
  </si>
  <si>
    <t>M7124</t>
  </si>
  <si>
    <t>https://ftp.ncbi.nlm.nih.gov/genomes/all/GCA/000/800/275/GCA_000800275.1_ASM80027v1</t>
  </si>
  <si>
    <t>GCA_000800295.1</t>
  </si>
  <si>
    <t>KCOM 1535; ChDC B708</t>
  </si>
  <si>
    <t>https://ftp.ncbi.nlm.nih.gov/genomes/all/GCA/000/800/295/GCA_000800295.1_ASM80029v1</t>
  </si>
  <si>
    <t>GCA_000800315.1</t>
  </si>
  <si>
    <t>NM3682</t>
  </si>
  <si>
    <t>https://ftp.ncbi.nlm.nih.gov/genomes/all/GCA/000/800/315/GCA_000800315.1_ASM80031v1</t>
  </si>
  <si>
    <t>GCA_000800335.1</t>
  </si>
  <si>
    <t>NTSN</t>
  </si>
  <si>
    <t>https://ftp.ncbi.nlm.nih.gov/genomes/all/GCA/000/800/335/GCA_000800335.1_ASM80033v1</t>
  </si>
  <si>
    <t>GCA_000800355.1</t>
  </si>
  <si>
    <t>NM3683</t>
  </si>
  <si>
    <t>https://ftp.ncbi.nlm.nih.gov/genomes/all/GCA/000/800/355/GCA_000800355.1_ASM80035v1</t>
  </si>
  <si>
    <t>GCA_000800415.1</t>
  </si>
  <si>
    <t>M10208</t>
  </si>
  <si>
    <t>https://ftp.ncbi.nlm.nih.gov/genomes/all/GCA/000/800/415/GCA_000800415.1_ASM80041v1</t>
  </si>
  <si>
    <t>Nanosynbacter</t>
  </si>
  <si>
    <t>lyticus</t>
  </si>
  <si>
    <t>TM7x</t>
  </si>
  <si>
    <t>https://ftp.ncbi.nlm.nih.gov/genomes/all/GCA/000/803/625/GCA_000803625.1_ASM80362v1</t>
  </si>
  <si>
    <t>GCA_000805675.1</t>
  </si>
  <si>
    <t>HMT-053</t>
  </si>
  <si>
    <t>minutissimum</t>
  </si>
  <si>
    <t>ATCC 23348</t>
  </si>
  <si>
    <t>https://ftp.ncbi.nlm.nih.gov/genomes/all/GCA/000/805/675/GCA_000805675.1_ASM80567v1</t>
  </si>
  <si>
    <t>GCA_000807675.2</t>
  </si>
  <si>
    <t>HMT-655</t>
  </si>
  <si>
    <t>Eubacterium</t>
  </si>
  <si>
    <t>limosum</t>
  </si>
  <si>
    <t>ATCC 8486</t>
  </si>
  <si>
    <t>https://ftp.ncbi.nlm.nih.gov/genomes/all/GCA/000/807/675/GCA_000807675.2_ASM80767v2</t>
  </si>
  <si>
    <t>GCA_000814045.1</t>
  </si>
  <si>
    <t>KCOM 1650</t>
  </si>
  <si>
    <t>https://ftp.ncbi.nlm.nih.gov/genomes/all/GCA/000/814/045/GCA_000814045.1_ASM81404v1</t>
  </si>
  <si>
    <t>GCA_000814205.1</t>
  </si>
  <si>
    <t>https://ftp.ncbi.nlm.nih.gov/genomes/all/GCA/000/814/205/GCA_000814205.1_ASM81420v1</t>
  </si>
  <si>
    <t>GCA_000814775.1</t>
  </si>
  <si>
    <t>https://ftp.ncbi.nlm.nih.gov/genomes/all/GCA/000/814/775/GCA_000814775.1_ASM81477v1</t>
  </si>
  <si>
    <t>GCA_000816205.1</t>
  </si>
  <si>
    <t>KLDS2.0603</t>
  </si>
  <si>
    <t>https://ftp.ncbi.nlm.nih.gov/genomes/all/GCA/000/816/205/GCA_000816205.1_ASM81620v1</t>
  </si>
  <si>
    <t>GCA_000817005.1</t>
  </si>
  <si>
    <t>NT_110_58</t>
  </si>
  <si>
    <t>https://ftp.ncbi.nlm.nih.gov/genomes/all/GCA/000/817/005/GCA_000817005.1_ASM81700v1</t>
  </si>
  <si>
    <t>GCA_000817065.1</t>
  </si>
  <si>
    <t>UA159-FR</t>
  </si>
  <si>
    <t>https://ftp.ncbi.nlm.nih.gov/genomes/all/GCA/000/817/065/GCA_000817065.1_ASM81706v1</t>
  </si>
  <si>
    <t>GCA_000818035.1</t>
  </si>
  <si>
    <t>https://ftp.ncbi.nlm.nih.gov/genomes/all/GCA/000/818/035/GCA_000818035.1_ASM81803v1</t>
  </si>
  <si>
    <t>GCA_000818055.1</t>
  </si>
  <si>
    <t>BF052</t>
  </si>
  <si>
    <t>https://ftp.ncbi.nlm.nih.gov/genomes/all/GCA/000/818/055/GCA_000818055.1_ASM81805v1</t>
  </si>
  <si>
    <t>GCA_000826045.1</t>
  </si>
  <si>
    <t>G321</t>
  </si>
  <si>
    <t>https://ftp.ncbi.nlm.nih.gov/genomes/all/GCA/000/826/045/GCA_000826045.1_Haemophilus_parahaemolyticus_G321</t>
  </si>
  <si>
    <t>GCA_000828735.1</t>
  </si>
  <si>
    <t>SV3F4</t>
  </si>
  <si>
    <t>https://ftp.ncbi.nlm.nih.gov/genomes/all/GCA/000/828/735/GCA_000828735.1_ASM82873v1</t>
  </si>
  <si>
    <t>GCA_000829035.1</t>
  </si>
  <si>
    <t>JCM 8130</t>
  </si>
  <si>
    <t>https://ftp.ncbi.nlm.nih.gov/genomes/all/GCA/000/829/035/GCA_000829035.1_ASM82903v1</t>
  </si>
  <si>
    <t>GCA_000829055.1</t>
  </si>
  <si>
    <t>ATCC 393</t>
  </si>
  <si>
    <t>https://ftp.ncbi.nlm.nih.gov/genomes/all/GCA/000/829/055/GCA_000829055.1_ASM82905v1</t>
  </si>
  <si>
    <t>GCA_000832565.1</t>
  </si>
  <si>
    <t>SK-102</t>
  </si>
  <si>
    <t>https://ftp.ncbi.nlm.nih.gov/genomes/all/GCA/000/832/565/GCA_000832565.1_ASM83256v1</t>
  </si>
  <si>
    <t>GCA_000832825.1</t>
  </si>
  <si>
    <t>HD571</t>
  </si>
  <si>
    <t>https://ftp.ncbi.nlm.nih.gov/genomes/all/GCA/000/832/825/GCA_000832825.1_ASM83282v1</t>
  </si>
  <si>
    <t>GCA_000833575.1</t>
  </si>
  <si>
    <t>HMT-063</t>
  </si>
  <si>
    <t>singulare</t>
  </si>
  <si>
    <t>IBS B52218</t>
  </si>
  <si>
    <t>https://ftp.ncbi.nlm.nih.gov/genomes/all/GCA/000/833/575/GCA_000833575.1_ASM83357v1</t>
  </si>
  <si>
    <t>GCA_000834845.1</t>
  </si>
  <si>
    <t>Angola</t>
  </si>
  <si>
    <t>https://ftp.ncbi.nlm.nih.gov/genomes/all/GCA/000/834/845/GCA_000834845.1_ASM83484v1</t>
  </si>
  <si>
    <t>GCA_000835975.1</t>
  </si>
  <si>
    <t>https://ftp.ncbi.nlm.nih.gov/genomes/all/GCA/000/835/975/GCA_000835975.1_ASM83597v1</t>
  </si>
  <si>
    <t>GCA_000836095.1</t>
  </si>
  <si>
    <t>NBRC 109760</t>
  </si>
  <si>
    <t>https://ftp.ncbi.nlm.nih.gov/genomes/all/GCA/000/836/095/GCA_000836095.1_ASM83609v1</t>
  </si>
  <si>
    <t>GCA_000931485.1</t>
  </si>
  <si>
    <t>https://ftp.ncbi.nlm.nih.gov/genomes/all/GCA/000/931/485/GCA_000931485.1_ASM93148v1</t>
  </si>
  <si>
    <t>GCA_000931575.1</t>
  </si>
  <si>
    <t>https://ftp.ncbi.nlm.nih.gov/genomes/all/GCA/000/931/575/GCA_000931575.1_ASM93157v1</t>
  </si>
  <si>
    <t>GCA_000931605.1</t>
  </si>
  <si>
    <t>C486</t>
  </si>
  <si>
    <t>https://ftp.ncbi.nlm.nih.gov/genomes/all/GCA/000/931/605/GCA_000931605.1_ASM93160v1</t>
  </si>
  <si>
    <t>GCA_000931625.1</t>
  </si>
  <si>
    <t>https://ftp.ncbi.nlm.nih.gov/genomes/all/GCA/000/931/625/GCA_000931625.1_ASM93162v1</t>
  </si>
  <si>
    <t>GCA_000931755.1</t>
  </si>
  <si>
    <t>NBRC 109757</t>
  </si>
  <si>
    <t>https://ftp.ncbi.nlm.nih.gov/genomes/all/GCA/000/931/755/GCA_000931755.1_ASM93175v1</t>
  </si>
  <si>
    <t>GCA_000935585.1</t>
  </si>
  <si>
    <t>HMT-216</t>
  </si>
  <si>
    <t>temperans</t>
  </si>
  <si>
    <t>KY4</t>
  </si>
  <si>
    <t>https://ftp.ncbi.nlm.nih.gov/genomes/all/GCA/000/935/585/GCA_000935585.1_ASM93558v1</t>
  </si>
  <si>
    <t>GCA_000953455.1</t>
  </si>
  <si>
    <t>https://ftp.ncbi.nlm.nih.gov/genomes/all/GCA/000/953/455/GCA_000953455.1_Ppseudo_Pac</t>
  </si>
  <si>
    <t>GCA_000955645.1</t>
  </si>
  <si>
    <t>ZT</t>
  </si>
  <si>
    <t>https://ftp.ncbi.nlm.nih.gov/genomes/all/GCA/000/955/645/GCA_000955645.1_PiZT</t>
  </si>
  <si>
    <t>GCA_000959885.1</t>
  </si>
  <si>
    <t>CC5A</t>
  </si>
  <si>
    <t>https://ftp.ncbi.nlm.nih.gov/genomes/all/GCA/000/959/885/GCA_000959885.1_ASM95988v1</t>
  </si>
  <si>
    <t>GCA_000959895.1</t>
  </si>
  <si>
    <t>CR3</t>
  </si>
  <si>
    <t>https://ftp.ncbi.nlm.nih.gov/genomes/all/GCA/000/959/895/GCA_000959895.1_ASM95989v1</t>
  </si>
  <si>
    <t>GCA_000959925.1</t>
  </si>
  <si>
    <t>G9B</t>
  </si>
  <si>
    <t>https://ftp.ncbi.nlm.nih.gov/genomes/all/GCA/000/959/925/GCA_000959925.1_ASM95992v1</t>
  </si>
  <si>
    <t>GCA_000959965.1</t>
  </si>
  <si>
    <t>UB10712</t>
  </si>
  <si>
    <t>https://ftp.ncbi.nlm.nih.gov/genomes/all/GCA/000/959/965/GCA_000959965.1_ASM95996v1</t>
  </si>
  <si>
    <t>GCA_000959975.1</t>
  </si>
  <si>
    <t>OP51</t>
  </si>
  <si>
    <t>https://ftp.ncbi.nlm.nih.gov/genomes/all/GCA/000/959/975/GCA_000959975.1_ASM95997v1</t>
  </si>
  <si>
    <t>GCA_000960005.1</t>
  </si>
  <si>
    <t>OT25</t>
  </si>
  <si>
    <t>https://ftp.ncbi.nlm.nih.gov/genomes/all/GCA/000/960/005/GCA_000960005.1_ASM96000v1</t>
  </si>
  <si>
    <t>GCA_000960025.1</t>
  </si>
  <si>
    <t>https://ftp.ncbi.nlm.nih.gov/genomes/all/GCA/000/960/025/GCA_000960025.1_ASM96002v1</t>
  </si>
  <si>
    <t>GCA_000960035.1</t>
  </si>
  <si>
    <t>https://ftp.ncbi.nlm.nih.gov/genomes/all/GCA/000/960/035/GCA_000960035.1_ASM96003v1</t>
  </si>
  <si>
    <t>GCA_000960065.1</t>
  </si>
  <si>
    <t>SK145</t>
  </si>
  <si>
    <t>https://ftp.ncbi.nlm.nih.gov/genomes/all/GCA/000/960/065/GCA_000960065.1_ASM96006v1</t>
  </si>
  <si>
    <t>GCA_000960085.1</t>
  </si>
  <si>
    <t>UC921A</t>
  </si>
  <si>
    <t>https://ftp.ncbi.nlm.nih.gov/genomes/all/GCA/000/960/085/GCA_000960085.1_ASM96008v1</t>
  </si>
  <si>
    <t>GCA_000960105.1</t>
  </si>
  <si>
    <t>UC5873</t>
  </si>
  <si>
    <t>https://ftp.ncbi.nlm.nih.gov/genomes/all/GCA/000/960/105/GCA_000960105.1_ASM96010v1</t>
  </si>
  <si>
    <t>GCA_000963255.1</t>
  </si>
  <si>
    <t>HMT-431</t>
  </si>
  <si>
    <t>infantis clade-431</t>
  </si>
  <si>
    <t>UC6950A</t>
  </si>
  <si>
    <t>https://ftp.ncbi.nlm.nih.gov/genomes/all/GCA/000/963/255/GCA_000963255.1_ASM96325v1</t>
  </si>
  <si>
    <t>GCA_000963265.1</t>
  </si>
  <si>
    <t>UC3162</t>
  </si>
  <si>
    <t>https://ftp.ncbi.nlm.nih.gov/genomes/all/GCA/000/963/265/GCA_000963265.1_ASM96326v1</t>
  </si>
  <si>
    <t>GCA_000963275.1</t>
  </si>
  <si>
    <t>MGH413</t>
  </si>
  <si>
    <t>https://ftp.ncbi.nlm.nih.gov/genomes/all/GCA/000/963/275/GCA_000963275.1_ASM96327v1</t>
  </si>
  <si>
    <t>GCA_000963335.1</t>
  </si>
  <si>
    <t>KB005</t>
  </si>
  <si>
    <t>https://ftp.ncbi.nlm.nih.gov/genomes/all/GCA/000/963/335/GCA_000963335.1_ASM96333v1</t>
  </si>
  <si>
    <t>GCA_000963345.1</t>
  </si>
  <si>
    <t>I141</t>
  </si>
  <si>
    <t>https://ftp.ncbi.nlm.nih.gov/genomes/all/GCA/000/963/345/GCA_000963345.1_ASM96334v1</t>
  </si>
  <si>
    <t>GCA_000968335.1</t>
  </si>
  <si>
    <t>https://ftp.ncbi.nlm.nih.gov/genomes/all/GCA/000/968/335/GCA_000968335.1_ASM96833v1</t>
  </si>
  <si>
    <t>GCA_000970665.2</t>
  </si>
  <si>
    <t>IE35</t>
  </si>
  <si>
    <t>https://ftp.ncbi.nlm.nih.gov/genomes/all/GCA/000/970/665/GCA_000970665.2_ASM97066v2</t>
  </si>
  <si>
    <t>GCA_000971845.1</t>
  </si>
  <si>
    <t>ITA105</t>
  </si>
  <si>
    <t>https://ftp.ncbi.nlm.nih.gov/genomes/all/GCA/000/971/845/GCA_000971845.1_Corkro_ITA105.1.0</t>
  </si>
  <si>
    <t>GCA_000971855.1</t>
  </si>
  <si>
    <t>ITA205</t>
  </si>
  <si>
    <t>https://ftp.ncbi.nlm.nih.gov/genomes/all/GCA/000/971/855/GCA_000971855.1_Corkro_ITA205.1.0</t>
  </si>
  <si>
    <t>GCA_000972725.1</t>
  </si>
  <si>
    <t>Sh29/312/L2</t>
  </si>
  <si>
    <t>https://ftp.ncbi.nlm.nih.gov/genomes/all/GCA/000/972/725/GCA_000972725.1_ASM97272v1</t>
  </si>
  <si>
    <t>GCA_000973085.1</t>
  </si>
  <si>
    <t>HMT-844</t>
  </si>
  <si>
    <t>Sneathia</t>
  </si>
  <si>
    <t>SN35</t>
  </si>
  <si>
    <t>https://ftp.ncbi.nlm.nih.gov/genomes/all/GCA/000/973/085/GCA_000973085.1_ASM97308v1</t>
  </si>
  <si>
    <t>GCA_000982825.1</t>
  </si>
  <si>
    <t>ATCC 29544</t>
  </si>
  <si>
    <t>https://ftp.ncbi.nlm.nih.gov/genomes/all/GCA/000/982/825/GCA_000982825.1_ASM98282v1</t>
  </si>
  <si>
    <t>GCA_000988215.1</t>
  </si>
  <si>
    <t>TD1</t>
  </si>
  <si>
    <t>https://ftp.ncbi.nlm.nih.gov/genomes/all/GCA/000/988/215/GCA_000988215.1_ASM98821v1</t>
  </si>
  <si>
    <t>GCA_000993765.1</t>
  </si>
  <si>
    <t>AP1</t>
  </si>
  <si>
    <t>https://ftp.ncbi.nlm.nih.gov/genomes/all/GCA/000/993/765/GCA_000993765.1_ASM99376v1</t>
  </si>
  <si>
    <t>https://ftp.ncbi.nlm.nih.gov/genomes/all/GCA/001/005/065/GCA_001005065.1_ASM100506v1</t>
  </si>
  <si>
    <t>ATCC 43037</t>
  </si>
  <si>
    <t>https://ftp.ncbi.nlm.nih.gov/genomes/all/GCA/001/006/485/GCA_001006485.1_ASM100648v1</t>
  </si>
  <si>
    <t>GCA_001007025.1</t>
  </si>
  <si>
    <t>Wien1</t>
  </si>
  <si>
    <t>https://ftp.ncbi.nlm.nih.gov/genomes/all/GCA/001/007/025/GCA_001007025.1_Wien1</t>
  </si>
  <si>
    <t>GCA_001007045.1</t>
  </si>
  <si>
    <t>K7</t>
  </si>
  <si>
    <t>https://ftp.ncbi.nlm.nih.gov/genomes/all/GCA/001/007/045/GCA_001007045.1_K7</t>
  </si>
  <si>
    <t>GCA_001007065.1</t>
  </si>
  <si>
    <t>CWL011</t>
  </si>
  <si>
    <t>https://ftp.ncbi.nlm.nih.gov/genomes/all/GCA/001/007/065/GCA_001007065.1_CWL011</t>
  </si>
  <si>
    <t>GCA_001007085.1</t>
  </si>
  <si>
    <t>Wien3</t>
  </si>
  <si>
    <t>https://ftp.ncbi.nlm.nih.gov/genomes/all/GCA/001/007/085/GCA_001007085.1_Wien3</t>
  </si>
  <si>
    <t>GCA_001007145.1</t>
  </si>
  <si>
    <t>PB2</t>
  </si>
  <si>
    <t>https://ftp.ncbi.nlm.nih.gov/genomes/all/GCA/001/007/145/GCA_001007145.1_PB2</t>
  </si>
  <si>
    <t>GCA_001008205.1</t>
  </si>
  <si>
    <t>11P18</t>
  </si>
  <si>
    <t>https://ftp.ncbi.nlm.nih.gov/genomes/all/GCA/001/008/205/GCA_001008205.1_ASM100820v1</t>
  </si>
  <si>
    <t>GCA_001008215.1</t>
  </si>
  <si>
    <t>1P26</t>
  </si>
  <si>
    <t>https://ftp.ncbi.nlm.nih.gov/genomes/all/GCA/001/008/215/GCA_001008215.1_ASM100821v1</t>
  </si>
  <si>
    <t>GCA_001008225.1</t>
  </si>
  <si>
    <t>3P5</t>
  </si>
  <si>
    <t>https://ftp.ncbi.nlm.nih.gov/genomes/all/GCA/001/008/225/GCA_001008225.1_ASM100822v1</t>
  </si>
  <si>
    <t>GCA_001008275.1</t>
  </si>
  <si>
    <t>27P25</t>
  </si>
  <si>
    <t>https://ftp.ncbi.nlm.nih.gov/genomes/all/GCA/001/008/275/GCA_001008275.1_ASM100827v1</t>
  </si>
  <si>
    <t>GCA_001011095.1</t>
  </si>
  <si>
    <t>Ren</t>
  </si>
  <si>
    <t>https://ftp.ncbi.nlm.nih.gov/genomes/all/GCA/001/011/095/GCA_001011095.1_ASM101109v1</t>
  </si>
  <si>
    <t>GCA_001018775.2</t>
  </si>
  <si>
    <t>NRS149</t>
  </si>
  <si>
    <t>https://ftp.ncbi.nlm.nih.gov/genomes/all/GCA/001/018/775/GCA_001018775.2_ASM101877v2</t>
  </si>
  <si>
    <t>GCA_001019115.2</t>
  </si>
  <si>
    <t>FDAARGOS_39</t>
  </si>
  <si>
    <t>https://ftp.ncbi.nlm.nih.gov/genomes/all/GCA/001/019/115/GCA_001019115.2_ASM101911v2</t>
  </si>
  <si>
    <t>GCA_001021895.1</t>
  </si>
  <si>
    <t>CA15</t>
  </si>
  <si>
    <t>https://ftp.ncbi.nlm.nih.gov/genomes/all/GCA/001/021/895/GCA_001021895.1_ASM102189v1</t>
  </si>
  <si>
    <t>GCA_001023515.1</t>
  </si>
  <si>
    <t>J5-51</t>
  </si>
  <si>
    <t>https://ftp.ncbi.nlm.nih.gov/genomes/all/GCA/001/023/515/GCA_001023515.1_ASM102351v1</t>
  </si>
  <si>
    <t>GCA_001025175.1</t>
  </si>
  <si>
    <t>JCM 1192</t>
  </si>
  <si>
    <t>https://ftp.ncbi.nlm.nih.gov/genomes/all/GCA/001/025/175/GCA_001025175.1_ASM102517v1</t>
  </si>
  <si>
    <t>GCA_001027105.1</t>
  </si>
  <si>
    <t>https://ftp.ncbi.nlm.nih.gov/genomes/all/GCA/001/027/105/GCA_001027105.1_ASM102710v1</t>
  </si>
  <si>
    <t>GCA_001027985.1</t>
  </si>
  <si>
    <t>HMT-882</t>
  </si>
  <si>
    <t>panis</t>
  </si>
  <si>
    <t>DSM 6035</t>
  </si>
  <si>
    <t>https://ftp.ncbi.nlm.nih.gov/genomes/all/GCA/001/027/985/GCA_001027985.1_ASM102798v1</t>
  </si>
  <si>
    <t>GCA_001028645.1</t>
  </si>
  <si>
    <t>AYP1020</t>
  </si>
  <si>
    <t>https://ftp.ncbi.nlm.nih.gov/genomes/all/GCA/001/028/645/GCA_001028645.1_ASM102864v1</t>
  </si>
  <si>
    <t>GCA_001029815.1</t>
  </si>
  <si>
    <t>B6116/77</t>
  </si>
  <si>
    <t>https://ftp.ncbi.nlm.nih.gov/genomes/all/GCA/001/029/815/GCA_001029815.1_ASM102981v1</t>
  </si>
  <si>
    <t>GCA_001042595.1</t>
  </si>
  <si>
    <t>JCM 1195</t>
  </si>
  <si>
    <t>https://ftp.ncbi.nlm.nih.gov/genomes/all/GCA/001/042/595/GCA_001042595.1_ASM104259v1</t>
  </si>
  <si>
    <t>JCM 12489</t>
  </si>
  <si>
    <t>https://ftp.ncbi.nlm.nih.gov/genomes/all/GCA/001/042/635/GCA_001042635.1_ASM104263v1</t>
  </si>
  <si>
    <t>GCA_001042655.1</t>
  </si>
  <si>
    <t>JCM 11026</t>
  </si>
  <si>
    <t>https://ftp.ncbi.nlm.nih.gov/genomes/all/GCA/001/042/655/GCA_001042655.1_ASM104265v1</t>
  </si>
  <si>
    <t>GCA_001042675.1</t>
  </si>
  <si>
    <t>JCM 12538</t>
  </si>
  <si>
    <t>https://ftp.ncbi.nlm.nih.gov/genomes/all/GCA/001/042/675/GCA_001042675.1_ASM104267v1</t>
  </si>
  <si>
    <t>GCA_001042695.1</t>
  </si>
  <si>
    <t>JCM 12537</t>
  </si>
  <si>
    <t>https://ftp.ncbi.nlm.nih.gov/genomes/all/GCA/001/042/695/GCA_001042695.1_ASM104269v1</t>
  </si>
  <si>
    <t>GCA_001042925.1</t>
  </si>
  <si>
    <t>DSM 50071</t>
  </si>
  <si>
    <t>https://ftp.ncbi.nlm.nih.gov/genomes/all/GCA/001/042/925/GCA_001042925.1_G1273</t>
  </si>
  <si>
    <t>GCA_001043455.1</t>
  </si>
  <si>
    <t>HMT-821</t>
  </si>
  <si>
    <t>ducreyi</t>
  </si>
  <si>
    <t>CIP 54.2</t>
  </si>
  <si>
    <t>https://ftp.ncbi.nlm.nih.gov/genomes/all/GCA/001/043/455/GCA_001043455.1_ASM104345v1</t>
  </si>
  <si>
    <t>GCA_001045685.1</t>
  </si>
  <si>
    <t>https://ftp.ncbi.nlm.nih.gov/genomes/all/GCA/001/045/685/GCA_001045685.1_ASM104568v1</t>
  </si>
  <si>
    <t>GCA_001047275.1</t>
  </si>
  <si>
    <t>HMT-621</t>
  </si>
  <si>
    <t>gonorrhoeae</t>
  </si>
  <si>
    <t>35/02</t>
  </si>
  <si>
    <t>https://ftp.ncbi.nlm.nih.gov/genomes/all/GCA/001/047/275/GCA_001047275.1_ASM104727v1</t>
  </si>
  <si>
    <t>GCA_001049775.1</t>
  </si>
  <si>
    <t>https://ftp.ncbi.nlm.nih.gov/genomes/all/GCA/001/049/775/GCA_001049775.1_ASM104977v1</t>
  </si>
  <si>
    <t>GCA_001051895.1</t>
  </si>
  <si>
    <t>HMT-127</t>
  </si>
  <si>
    <t>As3</t>
  </si>
  <si>
    <t>https://ftp.ncbi.nlm.nih.gov/genomes/all/GCA/001/051/895/GCA_001051895.1_ASM105189v1</t>
  </si>
  <si>
    <t>GCA_001051905.1</t>
  </si>
  <si>
    <t>As1</t>
  </si>
  <si>
    <t>https://ftp.ncbi.nlm.nih.gov/genomes/all/GCA/001/051/905/GCA_001051905.1_ASM105190v1</t>
  </si>
  <si>
    <t>GCA_001051915.1</t>
  </si>
  <si>
    <t>As2</t>
  </si>
  <si>
    <t>https://ftp.ncbi.nlm.nih.gov/genomes/all/GCA/001/051/915/GCA_001051915.1_ASM105191v1</t>
  </si>
  <si>
    <t>GCA_001052115.1</t>
  </si>
  <si>
    <t>1094_BTHU</t>
  </si>
  <si>
    <t>https://ftp.ncbi.nlm.nih.gov/genomes/all/GCA/001/052/115/GCA_001052115.1_ASM105211v1</t>
  </si>
  <si>
    <t>GCA_001052555.1</t>
  </si>
  <si>
    <t>1274_CJEI</t>
  </si>
  <si>
    <t>https://ftp.ncbi.nlm.nih.gov/genomes/all/GCA/001/052/555/GCA_001052555.1_ASM105255v1</t>
  </si>
  <si>
    <t>GCA_001053035.1</t>
  </si>
  <si>
    <t>1209_HPAR</t>
  </si>
  <si>
    <t>https://ftp.ncbi.nlm.nih.gov/genomes/all/GCA/001/053/035/GCA_001053035.1_ASM105303v1</t>
  </si>
  <si>
    <t>GCA_001053405.1</t>
  </si>
  <si>
    <t>1327_CAUR</t>
  </si>
  <si>
    <t>https://ftp.ncbi.nlm.nih.gov/genomes/all/GCA/001/053/405/GCA_001053405.1_ASM105340v1</t>
  </si>
  <si>
    <t>GCA_001053435.1</t>
  </si>
  <si>
    <t>1329_CAUR</t>
  </si>
  <si>
    <t>https://ftp.ncbi.nlm.nih.gov/genomes/all/GCA/001/053/435/GCA_001053435.1_ASM105343v1</t>
  </si>
  <si>
    <t>GCA_001053535.1</t>
  </si>
  <si>
    <t>137_HINF</t>
  </si>
  <si>
    <t>https://ftp.ncbi.nlm.nih.gov/genomes/all/GCA/001/053/535/GCA_001053535.1_ASM105353v1</t>
  </si>
  <si>
    <t>GCA_001053555.1</t>
  </si>
  <si>
    <t>143_CAUR</t>
  </si>
  <si>
    <t>https://ftp.ncbi.nlm.nih.gov/genomes/all/GCA/001/053/555/GCA_001053555.1_ASM105355v1</t>
  </si>
  <si>
    <t>GCA_001053575.1</t>
  </si>
  <si>
    <t>146_HPAR</t>
  </si>
  <si>
    <t>https://ftp.ncbi.nlm.nih.gov/genomes/all/GCA/001/053/575/GCA_001053575.1_ASM105357v1</t>
  </si>
  <si>
    <t>GCA_001053915.1</t>
  </si>
  <si>
    <t>1128_HPAR</t>
  </si>
  <si>
    <t>https://ftp.ncbi.nlm.nih.gov/genomes/all/GCA/001/053/915/GCA_001053915.1_ASM105391v1</t>
  </si>
  <si>
    <t>GCA_001053985.1</t>
  </si>
  <si>
    <t>1173_BLON</t>
  </si>
  <si>
    <t>https://ftp.ncbi.nlm.nih.gov/genomes/all/GCA/001/053/985/GCA_001053985.1_ASM105398v1</t>
  </si>
  <si>
    <t>GCA_001054195.1</t>
  </si>
  <si>
    <t>1237_CAUR</t>
  </si>
  <si>
    <t>https://ftp.ncbi.nlm.nih.gov/genomes/all/GCA/001/054/195/GCA_001054195.1_ASM105419v1</t>
  </si>
  <si>
    <t>GCA_001054395.1</t>
  </si>
  <si>
    <t>149_CJEI</t>
  </si>
  <si>
    <t>https://ftp.ncbi.nlm.nih.gov/genomes/all/GCA/001/054/395/GCA_001054395.1_ASM105439v1</t>
  </si>
  <si>
    <t>GCA_001054455.1</t>
  </si>
  <si>
    <t>156_HINF</t>
  </si>
  <si>
    <t>https://ftp.ncbi.nlm.nih.gov/genomes/all/GCA/001/054/455/GCA_001054455.1_ASM105445v1</t>
  </si>
  <si>
    <t>GCA_001054475.1</t>
  </si>
  <si>
    <t>155_HPAR</t>
  </si>
  <si>
    <t>https://ftp.ncbi.nlm.nih.gov/genomes/all/GCA/001/054/475/GCA_001054475.1_ASM105447v1</t>
  </si>
  <si>
    <t>GCA_001055095.1</t>
  </si>
  <si>
    <t>432_HPAR</t>
  </si>
  <si>
    <t>https://ftp.ncbi.nlm.nih.gov/genomes/all/GCA/001/055/095/GCA_001055095.1_ASM105509v1</t>
  </si>
  <si>
    <t>GCA_001055405.1</t>
  </si>
  <si>
    <t>587_CAUR</t>
  </si>
  <si>
    <t>https://ftp.ncbi.nlm.nih.gov/genomes/all/GCA/001/055/405/GCA_001055405.1_ASM105540v1</t>
  </si>
  <si>
    <t>GCA_001055565.1</t>
  </si>
  <si>
    <t>159_HINF</t>
  </si>
  <si>
    <t>https://ftp.ncbi.nlm.nih.gov/genomes/all/GCA/001/055/565/GCA_001055565.1_ASM105556v1</t>
  </si>
  <si>
    <t>GCA_001055595.1</t>
  </si>
  <si>
    <t>174_HPAR</t>
  </si>
  <si>
    <t>https://ftp.ncbi.nlm.nih.gov/genomes/all/GCA/001/055/595/GCA_001055595.1_ASM105559v1</t>
  </si>
  <si>
    <t>GCA_001055885.1</t>
  </si>
  <si>
    <t>209_HPAR</t>
  </si>
  <si>
    <t>https://ftp.ncbi.nlm.nih.gov/genomes/all/GCA/001/055/885/GCA_001055885.1_ASM105588v1</t>
  </si>
  <si>
    <t>GCA_001056455.1</t>
  </si>
  <si>
    <t>350_GVAG</t>
  </si>
  <si>
    <t>https://ftp.ncbi.nlm.nih.gov/genomes/all/GCA/001/056/455/GCA_001056455.1_ASM105645v1</t>
  </si>
  <si>
    <t>GCA_001056905.1</t>
  </si>
  <si>
    <t>476_GVAG</t>
  </si>
  <si>
    <t>https://ftp.ncbi.nlm.nih.gov/genomes/all/GCA/001/056/905/GCA_001056905.1_ASM105690v1</t>
  </si>
  <si>
    <t>GCA_001057005.1</t>
  </si>
  <si>
    <t>488_HPAR</t>
  </si>
  <si>
    <t>https://ftp.ncbi.nlm.nih.gov/genomes/all/GCA/001/057/005/GCA_001057005.1_ASM105700v1</t>
  </si>
  <si>
    <t>490_CAPN</t>
  </si>
  <si>
    <t>https://ftp.ncbi.nlm.nih.gov/genomes/all/GCA/001/057/035/GCA_001057035.1_ASM105703v1</t>
  </si>
  <si>
    <t>GCA_001057055.1</t>
  </si>
  <si>
    <t>493_CFLA</t>
  </si>
  <si>
    <t>https://ftp.ncbi.nlm.nih.gov/genomes/all/GCA/001/057/055/GCA_001057055.1_ASM105705v1</t>
  </si>
  <si>
    <t>598_FBAL</t>
  </si>
  <si>
    <t>https://ftp.ncbi.nlm.nih.gov/genomes/all/GCA/001/057/485/GCA_001057485.1_ASM105748v1</t>
  </si>
  <si>
    <t>612_ETAR</t>
  </si>
  <si>
    <t>https://ftp.ncbi.nlm.nih.gov/genomes/all/GCA/001/057/555/GCA_001057555.1_ASM105755v1</t>
  </si>
  <si>
    <t>GCA_001058435.1</t>
  </si>
  <si>
    <t>777_HPAR</t>
  </si>
  <si>
    <t>https://ftp.ncbi.nlm.nih.gov/genomes/all/GCA/001/058/435/GCA_001058435.1_ASM105843v1</t>
  </si>
  <si>
    <t>GCA_001058455.1</t>
  </si>
  <si>
    <t>797_CAUR</t>
  </si>
  <si>
    <t>https://ftp.ncbi.nlm.nih.gov/genomes/all/GCA/001/058/455/GCA_001058455.1_ASM105845v1</t>
  </si>
  <si>
    <t>GCA_001058525.1</t>
  </si>
  <si>
    <t>805_CJEI</t>
  </si>
  <si>
    <t>https://ftp.ncbi.nlm.nih.gov/genomes/all/GCA/001/058/525/GCA_001058525.1_ASM105852v1</t>
  </si>
  <si>
    <t>GCA_001059125.1</t>
  </si>
  <si>
    <t>781_HINF</t>
  </si>
  <si>
    <t>https://ftp.ncbi.nlm.nih.gov/genomes/all/GCA/001/059/125/GCA_001059125.1_ASM105912v1</t>
  </si>
  <si>
    <t>GCA_001059185.1</t>
  </si>
  <si>
    <t>HMT-036</t>
  </si>
  <si>
    <t>sp. HMT-036</t>
  </si>
  <si>
    <t>839_HINF</t>
  </si>
  <si>
    <t>https://ftp.ncbi.nlm.nih.gov/genomes/all/GCA/001/059/185/GCA_001059185.1_ASM105918v1</t>
  </si>
  <si>
    <t>GCA_001059425.1</t>
  </si>
  <si>
    <t>HMT-513</t>
  </si>
  <si>
    <t>sp. HMT-513</t>
  </si>
  <si>
    <t>933_AAPH</t>
  </si>
  <si>
    <t>https://ftp.ncbi.nlm.nih.gov/genomes/all/GCA/001/059/425/GCA_001059425.1_ASM105942v1</t>
  </si>
  <si>
    <t>GCA_001059475.1</t>
  </si>
  <si>
    <t>981_BLON</t>
  </si>
  <si>
    <t>https://ftp.ncbi.nlm.nih.gov/genomes/all/GCA/001/059/475/GCA_001059475.1_ASM105947v1</t>
  </si>
  <si>
    <t>GCA_001059615.1</t>
  </si>
  <si>
    <t>HMT-450</t>
  </si>
  <si>
    <t>aurimucosum clade-450</t>
  </si>
  <si>
    <t>945_CAUR</t>
  </si>
  <si>
    <t>https://ftp.ncbi.nlm.nih.gov/genomes/all/GCA/001/059/615/GCA_001059615.1_ASM105961v1</t>
  </si>
  <si>
    <t>GCA_001059665.1</t>
  </si>
  <si>
    <t>962_CAUR</t>
  </si>
  <si>
    <t>https://ftp.ncbi.nlm.nih.gov/genomes/all/GCA/001/059/665/GCA_001059665.1_ASM105966v1</t>
  </si>
  <si>
    <t>GCA_001059815.1</t>
  </si>
  <si>
    <t>901_HPAR</t>
  </si>
  <si>
    <t>https://ftp.ncbi.nlm.nih.gov/genomes/all/GCA/001/059/815/GCA_001059815.1_ASM105981v1</t>
  </si>
  <si>
    <t>GCA_001059955.1</t>
  </si>
  <si>
    <t>963_CAUR</t>
  </si>
  <si>
    <t>https://ftp.ncbi.nlm.nih.gov/genomes/all/GCA/001/059/955/GCA_001059955.1_ASM105995v1</t>
  </si>
  <si>
    <t>GCA_001060175.1</t>
  </si>
  <si>
    <t>1044_NMEN</t>
  </si>
  <si>
    <t>https://ftp.ncbi.nlm.nih.gov/genomes/all/GCA/001/060/175/GCA_001060175.1_ASM106017v1</t>
  </si>
  <si>
    <t>GCA_001060545.1</t>
  </si>
  <si>
    <t>1211_RMUC</t>
  </si>
  <si>
    <t>https://ftp.ncbi.nlm.nih.gov/genomes/all/GCA/001/060/545/GCA_001060545.1_ASM106054v1</t>
  </si>
  <si>
    <t>GCA_001061215.1</t>
  </si>
  <si>
    <t>1210_NMEN</t>
  </si>
  <si>
    <t>https://ftp.ncbi.nlm.nih.gov/genomes/all/GCA/001/061/215/GCA_001061215.1_ASM106121v1</t>
  </si>
  <si>
    <t>GCA_001061305.1</t>
  </si>
  <si>
    <t>1234_RDEN</t>
  </si>
  <si>
    <t>https://ftp.ncbi.nlm.nih.gov/genomes/all/GCA/001/061/305/GCA_001061305.1_ASM106130v1</t>
  </si>
  <si>
    <t>GCA_001061435.1</t>
  </si>
  <si>
    <t>1279_NMEN</t>
  </si>
  <si>
    <t>https://ftp.ncbi.nlm.nih.gov/genomes/all/GCA/001/061/435/GCA_001061435.1_ASM106143v1</t>
  </si>
  <si>
    <t>GCA_001061655.1</t>
  </si>
  <si>
    <t>138_RMUC</t>
  </si>
  <si>
    <t>https://ftp.ncbi.nlm.nih.gov/genomes/all/GCA/001/061/655/GCA_001061655.1_ASM106165v1</t>
  </si>
  <si>
    <t>GCA_001061665.1</t>
  </si>
  <si>
    <t>HMT-147</t>
  </si>
  <si>
    <t>mucilaginosa clade-147</t>
  </si>
  <si>
    <t>141_RMUC</t>
  </si>
  <si>
    <t>https://ftp.ncbi.nlm.nih.gov/genomes/all/GCA/001/061/665/GCA_001061665.1_ASM106166v1</t>
  </si>
  <si>
    <t>GCA_001061795.1</t>
  </si>
  <si>
    <t>1045_NMEN</t>
  </si>
  <si>
    <t>https://ftp.ncbi.nlm.nih.gov/genomes/all/GCA/001/061/795/GCA_001061795.1_ASM106179v1</t>
  </si>
  <si>
    <t>GCA_001061885.1</t>
  </si>
  <si>
    <t>1083_KSED</t>
  </si>
  <si>
    <t>https://ftp.ncbi.nlm.nih.gov/genomes/all/GCA/001/061/885/GCA_001061885.1_ASM106188v1</t>
  </si>
  <si>
    <t>GCA_001062425.1</t>
  </si>
  <si>
    <t>1233_RDEN</t>
  </si>
  <si>
    <t>https://ftp.ncbi.nlm.nih.gov/genomes/all/GCA/001/062/425/GCA_001062425.1_ASM106242v1</t>
  </si>
  <si>
    <t>GCA_001062855.1</t>
  </si>
  <si>
    <t>175_RMUC</t>
  </si>
  <si>
    <t>https://ftp.ncbi.nlm.nih.gov/genomes/all/GCA/001/062/855/GCA_001062855.1_ASM106285v1</t>
  </si>
  <si>
    <t>GCA_001063405.1</t>
  </si>
  <si>
    <t>433_NMEN</t>
  </si>
  <si>
    <t>https://ftp.ncbi.nlm.nih.gov/genomes/all/GCA/001/063/405/GCA_001063405.1_ASM106340v1</t>
  </si>
  <si>
    <t>GCA_001063455.1</t>
  </si>
  <si>
    <t>480_NMEN</t>
  </si>
  <si>
    <t>https://ftp.ncbi.nlm.nih.gov/genomes/all/GCA/001/063/455/GCA_001063455.1_ASM106345v1</t>
  </si>
  <si>
    <t>GCA_001063545.1</t>
  </si>
  <si>
    <t>509_RMUC</t>
  </si>
  <si>
    <t>https://ftp.ncbi.nlm.nih.gov/genomes/all/GCA/001/063/545/GCA_001063545.1_ASM106354v1</t>
  </si>
  <si>
    <t>GCA_001063695.1</t>
  </si>
  <si>
    <t>558_SAUR</t>
  </si>
  <si>
    <t>https://ftp.ncbi.nlm.nih.gov/genomes/all/GCA/001/063/695/GCA_001063695.1_ASM106369v1</t>
  </si>
  <si>
    <t>599_SSED</t>
  </si>
  <si>
    <t>https://ftp.ncbi.nlm.nih.gov/genomes/all/GCA/001/063/785/GCA_001063785.1_ASM106378v1</t>
  </si>
  <si>
    <t>GCA_001063965.1</t>
  </si>
  <si>
    <t>203_NMEN</t>
  </si>
  <si>
    <t>https://ftp.ncbi.nlm.nih.gov/genomes/all/GCA/001/063/965/GCA_001063965.1_ASM106396v1</t>
  </si>
  <si>
    <t>GCA_001063995.1</t>
  </si>
  <si>
    <t>207_RMUC</t>
  </si>
  <si>
    <t>https://ftp.ncbi.nlm.nih.gov/genomes/all/GCA/001/063/995/GCA_001063995.1_ASM106399v1</t>
  </si>
  <si>
    <t>GCA_001064185.1</t>
  </si>
  <si>
    <t>262_KSED</t>
  </si>
  <si>
    <t>https://ftp.ncbi.nlm.nih.gov/genomes/all/GCA/001/064/185/GCA_001064185.1_ASM106418v1</t>
  </si>
  <si>
    <t>GCA_001064265.1</t>
  </si>
  <si>
    <t>268_RMUC</t>
  </si>
  <si>
    <t>https://ftp.ncbi.nlm.nih.gov/genomes/all/GCA/001/064/265/GCA_001064265.1_ASM106426v1</t>
  </si>
  <si>
    <t>GCA_001064485.1</t>
  </si>
  <si>
    <t>316_RDEN</t>
  </si>
  <si>
    <t>https://ftp.ncbi.nlm.nih.gov/genomes/all/GCA/001/064/485/GCA_001064485.1_ASM106448v1</t>
  </si>
  <si>
    <t>GCA_001064575.1</t>
  </si>
  <si>
    <t>328_RMUC</t>
  </si>
  <si>
    <t>https://ftp.ncbi.nlm.nih.gov/genomes/all/GCA/001/064/575/GCA_001064575.1_ASM106457v1</t>
  </si>
  <si>
    <t>GCA_001064585.1</t>
  </si>
  <si>
    <t>329_RMUC</t>
  </si>
  <si>
    <t>https://ftp.ncbi.nlm.nih.gov/genomes/all/GCA/001/064/585/GCA_001064585.1_ASM106458v1</t>
  </si>
  <si>
    <t>GCA_001064605.1</t>
  </si>
  <si>
    <t>338.rep1_NLAC</t>
  </si>
  <si>
    <t>https://ftp.ncbi.nlm.nih.gov/genomes/all/GCA/001/064/605/GCA_001064605.1_ASM106460v1</t>
  </si>
  <si>
    <t>GCA_001064635.1</t>
  </si>
  <si>
    <t>338.rep2_NMEN</t>
  </si>
  <si>
    <t>https://ftp.ncbi.nlm.nih.gov/genomes/all/GCA/001/064/635/GCA_001064635.1_ASM106463v1</t>
  </si>
  <si>
    <t>GCA_001064875.1</t>
  </si>
  <si>
    <t>404_NMEN</t>
  </si>
  <si>
    <t>https://ftp.ncbi.nlm.nih.gov/genomes/all/GCA/001/064/875/GCA_001064875.1_ASM106487v1</t>
  </si>
  <si>
    <t>GCA_001064935.1</t>
  </si>
  <si>
    <t>431_NMEN</t>
  </si>
  <si>
    <t>https://ftp.ncbi.nlm.nih.gov/genomes/all/GCA/001/064/935/GCA_001064935.1_ASM106493v1</t>
  </si>
  <si>
    <t>GCA_001065115.1</t>
  </si>
  <si>
    <t>470_RMUC</t>
  </si>
  <si>
    <t>https://ftp.ncbi.nlm.nih.gov/genomes/all/GCA/001/065/115/GCA_001065115.1_ASM106511v1</t>
  </si>
  <si>
    <t>GCA_001065135.1</t>
  </si>
  <si>
    <t>473_RMUC</t>
  </si>
  <si>
    <t>https://ftp.ncbi.nlm.nih.gov/genomes/all/GCA/001/065/135/GCA_001065135.1_ASM106513v1</t>
  </si>
  <si>
    <t>GCA_001065485.1</t>
  </si>
  <si>
    <t>574_RMUC</t>
  </si>
  <si>
    <t>https://ftp.ncbi.nlm.nih.gov/genomes/all/GCA/001/065/485/GCA_001065485.1_ASM106548v1</t>
  </si>
  <si>
    <t>GCA_001065565.1</t>
  </si>
  <si>
    <t>583_NLAC</t>
  </si>
  <si>
    <t>https://ftp.ncbi.nlm.nih.gov/genomes/all/GCA/001/065/565/GCA_001065565.1_ASM106556v1</t>
  </si>
  <si>
    <t>GCA_001065605.1</t>
  </si>
  <si>
    <t>595_NLAC</t>
  </si>
  <si>
    <t>https://ftp.ncbi.nlm.nih.gov/genomes/all/GCA/001/065/605/GCA_001065605.1_ASM106560v1</t>
  </si>
  <si>
    <t>GCA_001066195.1</t>
  </si>
  <si>
    <t>768_NMEN</t>
  </si>
  <si>
    <t>https://ftp.ncbi.nlm.nih.gov/genomes/all/GCA/001/066/195/GCA_001066195.1_ASM106619v1</t>
  </si>
  <si>
    <t>GCA_001066795.1</t>
  </si>
  <si>
    <t>664.rep2_SAUR</t>
  </si>
  <si>
    <t>https://ftp.ncbi.nlm.nih.gov/genomes/all/GCA/001/066/795/GCA_001066795.1_ASM106679v1</t>
  </si>
  <si>
    <t>GCA_001066935.1</t>
  </si>
  <si>
    <t>694_RDEN</t>
  </si>
  <si>
    <t>https://ftp.ncbi.nlm.nih.gov/genomes/all/GCA/001/066/935/GCA_001066935.1_ASM106693v1</t>
  </si>
  <si>
    <t>GCA_001067255.1</t>
  </si>
  <si>
    <t>776_NMEN</t>
  </si>
  <si>
    <t>https://ftp.ncbi.nlm.nih.gov/genomes/all/GCA/001/067/255/GCA_001067255.1_ASM106725v1</t>
  </si>
  <si>
    <t>GCA_001067315.1</t>
  </si>
  <si>
    <t>782_NMEN</t>
  </si>
  <si>
    <t>https://ftp.ncbi.nlm.nih.gov/genomes/all/GCA/001/067/315/GCA_001067315.1_ASM106731v1</t>
  </si>
  <si>
    <t>GCA_001067345.1</t>
  </si>
  <si>
    <t>788_RMUC</t>
  </si>
  <si>
    <t>https://ftp.ncbi.nlm.nih.gov/genomes/all/GCA/001/067/345/GCA_001067345.1_ASM106734v1</t>
  </si>
  <si>
    <t>GCA_001067535.1</t>
  </si>
  <si>
    <t>840_NMEN</t>
  </si>
  <si>
    <t>https://ftp.ncbi.nlm.nih.gov/genomes/all/GCA/001/067/535/GCA_001067535.1_ASM106753v1</t>
  </si>
  <si>
    <t>GCA_001067635.1</t>
  </si>
  <si>
    <t>914_NLAC</t>
  </si>
  <si>
    <t>https://ftp.ncbi.nlm.nih.gov/genomes/all/GCA/001/067/635/GCA_001067635.1_ASM106763v1</t>
  </si>
  <si>
    <t>GCA_001067855.1</t>
  </si>
  <si>
    <t>902_RMUC</t>
  </si>
  <si>
    <t>https://ftp.ncbi.nlm.nih.gov/genomes/all/GCA/001/067/855/GCA_001067855.1_ASM106785v1</t>
  </si>
  <si>
    <t>GCA_001068405.1</t>
  </si>
  <si>
    <t>1005_STHE</t>
  </si>
  <si>
    <t>https://ftp.ncbi.nlm.nih.gov/genomes/all/GCA/001/068/405/GCA_001068405.1_ASM106840v1</t>
  </si>
  <si>
    <t>GCA_001068415.1</t>
  </si>
  <si>
    <t>1006_SMUT</t>
  </si>
  <si>
    <t>https://ftp.ncbi.nlm.nih.gov/genomes/all/GCA/001/068/415/GCA_001068415.1_ASM106841v1</t>
  </si>
  <si>
    <t>GCA_001069025.1</t>
  </si>
  <si>
    <t>1004_SSPC</t>
  </si>
  <si>
    <t>https://ftp.ncbi.nlm.nih.gov/genomes/all/GCA/001/069/025/GCA_001069025.1_ASM106902v1</t>
  </si>
  <si>
    <t>GCA_001069055.1</t>
  </si>
  <si>
    <t>1014_SOLI</t>
  </si>
  <si>
    <t>https://ftp.ncbi.nlm.nih.gov/genomes/all/GCA/001/069/055/GCA_001069055.1_ASM106905v1</t>
  </si>
  <si>
    <t>GCA_001069335.1</t>
  </si>
  <si>
    <t>1171_SSPC</t>
  </si>
  <si>
    <t>https://ftp.ncbi.nlm.nih.gov/genomes/all/GCA/001/069/335/GCA_001069335.1_ASM106933v1</t>
  </si>
  <si>
    <t>GCA_001069775.1</t>
  </si>
  <si>
    <t>142_SOLI</t>
  </si>
  <si>
    <t>https://ftp.ncbi.nlm.nih.gov/genomes/all/GCA/001/069/775/GCA_001069775.1_ASM106977v1</t>
  </si>
  <si>
    <t>GCA_001069785.1</t>
  </si>
  <si>
    <t>139.rep2_SPAR</t>
  </si>
  <si>
    <t>https://ftp.ncbi.nlm.nih.gov/genomes/all/GCA/001/069/785/GCA_001069785.1_ASM106978v1</t>
  </si>
  <si>
    <t>GCA_001069835.1</t>
  </si>
  <si>
    <t>1002_SMUT</t>
  </si>
  <si>
    <t>https://ftp.ncbi.nlm.nih.gov/genomes/all/GCA/001/069/835/GCA_001069835.1_ASM106983v1</t>
  </si>
  <si>
    <t>GCA_001069915.1</t>
  </si>
  <si>
    <t>1015_SOLI</t>
  </si>
  <si>
    <t>https://ftp.ncbi.nlm.nih.gov/genomes/all/GCA/001/069/915/GCA_001069915.1_ASM106991v1</t>
  </si>
  <si>
    <t>1093_SCAT</t>
  </si>
  <si>
    <t>https://ftp.ncbi.nlm.nih.gov/genomes/all/GCA/001/070/095/GCA_001070095.1_ASM107009v1</t>
  </si>
  <si>
    <t>GCA_001070265.1</t>
  </si>
  <si>
    <t>1116_SGOR</t>
  </si>
  <si>
    <t>https://ftp.ncbi.nlm.nih.gov/genomes/all/GCA/001/070/265/GCA_001070265.1_ASM107026v1</t>
  </si>
  <si>
    <t>GCA_001070445.1</t>
  </si>
  <si>
    <t>1287_SPAR</t>
  </si>
  <si>
    <t>https://ftp.ncbi.nlm.nih.gov/genomes/all/GCA/001/070/445/GCA_001070445.1_ASM107044v1</t>
  </si>
  <si>
    <t>GCA_001070575.1</t>
  </si>
  <si>
    <t>139.rep1_SPAR</t>
  </si>
  <si>
    <t>https://ftp.ncbi.nlm.nih.gov/genomes/all/GCA/001/070/575/GCA_001070575.1_ASM107057v1</t>
  </si>
  <si>
    <t>GCA_001071035.1</t>
  </si>
  <si>
    <t>392_SPAR</t>
  </si>
  <si>
    <t>https://ftp.ncbi.nlm.nih.gov/genomes/all/GCA/001/071/035/GCA_001071035.1_ASM107103v1</t>
  </si>
  <si>
    <t>GCA_001071295.1</t>
  </si>
  <si>
    <t>540.rep1_SPAR</t>
  </si>
  <si>
    <t>https://ftp.ncbi.nlm.nih.gov/genomes/all/GCA/001/071/295/GCA_001071295.1_ASM107129v1</t>
  </si>
  <si>
    <t>GCA_001071365.1</t>
  </si>
  <si>
    <t>572.rep2_STHE</t>
  </si>
  <si>
    <t>https://ftp.ncbi.nlm.nih.gov/genomes/all/GCA/001/071/365/GCA_001071365.1_ASM107136v1</t>
  </si>
  <si>
    <t>GCA_001071575.1</t>
  </si>
  <si>
    <t>167_HINF</t>
  </si>
  <si>
    <t>https://ftp.ncbi.nlm.nih.gov/genomes/all/GCA/001/071/575/GCA_001071575.1_ASM107157v1</t>
  </si>
  <si>
    <t>GCA_001071805.1</t>
  </si>
  <si>
    <t>216_SSAN</t>
  </si>
  <si>
    <t>https://ftp.ncbi.nlm.nih.gov/genomes/all/GCA/001/071/805/GCA_001071805.1_ASM107180v1</t>
  </si>
  <si>
    <t>GCA_001071965.1</t>
  </si>
  <si>
    <t>252_SWAR</t>
  </si>
  <si>
    <t>https://ftp.ncbi.nlm.nih.gov/genomes/all/GCA/001/071/965/GCA_001071965.1_ASM107196v1</t>
  </si>
  <si>
    <t>GCA_001072035.1</t>
  </si>
  <si>
    <t>274_SPSE</t>
  </si>
  <si>
    <t>https://ftp.ncbi.nlm.nih.gov/genomes/all/GCA/001/072/035/GCA_001072035.1_ASM107203v1</t>
  </si>
  <si>
    <t>GCA_001072275.1</t>
  </si>
  <si>
    <t>317_SINT</t>
  </si>
  <si>
    <t>https://ftp.ncbi.nlm.nih.gov/genomes/all/GCA/001/072/275/GCA_001072275.1_ASM107227v1</t>
  </si>
  <si>
    <t>GCA_001072295.1</t>
  </si>
  <si>
    <t>318_SPAR</t>
  </si>
  <si>
    <t>https://ftp.ncbi.nlm.nih.gov/genomes/all/GCA/001/072/295/GCA_001072295.1_ASM107229v1</t>
  </si>
  <si>
    <t>GCA_001072385.1</t>
  </si>
  <si>
    <t>343_SSPC</t>
  </si>
  <si>
    <t>https://ftp.ncbi.nlm.nih.gov/genomes/all/GCA/001/072/385/GCA_001072385.1_ASM107238v1</t>
  </si>
  <si>
    <t>GCA_001072435.1</t>
  </si>
  <si>
    <t>349_SPAR</t>
  </si>
  <si>
    <t>https://ftp.ncbi.nlm.nih.gov/genomes/all/GCA/001/072/435/GCA_001072435.1_ASM107243v1</t>
  </si>
  <si>
    <t>GCA_001072745.1</t>
  </si>
  <si>
    <t>400_SSPC</t>
  </si>
  <si>
    <t>https://ftp.ncbi.nlm.nih.gov/genomes/all/GCA/001/072/745/GCA_001072745.1_ASM107274v1</t>
  </si>
  <si>
    <t>GCA_001073005.1</t>
  </si>
  <si>
    <t>449_SSPC</t>
  </si>
  <si>
    <t>https://ftp.ncbi.nlm.nih.gov/genomes/all/GCA/001/073/005/GCA_001073005.1_ASM107300v1</t>
  </si>
  <si>
    <t>GCA_001073145.1</t>
  </si>
  <si>
    <t>503_SMUT</t>
  </si>
  <si>
    <t>https://ftp.ncbi.nlm.nih.gov/genomes/all/GCA/001/073/145/GCA_001073145.1_ASM107314v1</t>
  </si>
  <si>
    <t>GCA_001073155.1</t>
  </si>
  <si>
    <t>512_SPAR</t>
  </si>
  <si>
    <t>https://ftp.ncbi.nlm.nih.gov/genomes/all/GCA/001/073/155/GCA_001073155.1_ASM107315v1</t>
  </si>
  <si>
    <t>GCA_001073285.1</t>
  </si>
  <si>
    <t>550_SOLI</t>
  </si>
  <si>
    <t>https://ftp.ncbi.nlm.nih.gov/genomes/all/GCA/001/073/285/GCA_001073285.1_ASM107328v1</t>
  </si>
  <si>
    <t>GCA_001073365.1</t>
  </si>
  <si>
    <t>562_SWAR</t>
  </si>
  <si>
    <t>https://ftp.ncbi.nlm.nih.gov/genomes/all/GCA/001/073/365/GCA_001073365.1_ASM107336v1</t>
  </si>
  <si>
    <t>GCA_001073405.1</t>
  </si>
  <si>
    <t>567_SINT</t>
  </si>
  <si>
    <t>https://ftp.ncbi.nlm.nih.gov/genomes/all/GCA/001/073/405/GCA_001073405.1_ASM107340v1</t>
  </si>
  <si>
    <t>GCA_001073445.1</t>
  </si>
  <si>
    <t>572.rep1_STHE</t>
  </si>
  <si>
    <t>https://ftp.ncbi.nlm.nih.gov/genomes/all/GCA/001/073/445/GCA_001073445.1_ASM107344v1</t>
  </si>
  <si>
    <t>GCA_001073635.1</t>
  </si>
  <si>
    <t>631_SCON</t>
  </si>
  <si>
    <t>https://ftp.ncbi.nlm.nih.gov/genomes/all/GCA/001/073/635/GCA_001073635.1_ASM107363v1</t>
  </si>
  <si>
    <t>GCA_001073715.1</t>
  </si>
  <si>
    <t>645_SEPI</t>
  </si>
  <si>
    <t>https://ftp.ncbi.nlm.nih.gov/genomes/all/GCA/001/073/715/GCA_001073715.1_ASM107371v1</t>
  </si>
  <si>
    <t>GCA_001073735.1</t>
  </si>
  <si>
    <t>65_SPAR</t>
  </si>
  <si>
    <t>https://ftp.ncbi.nlm.nih.gov/genomes/all/GCA/001/073/735/GCA_001073735.1_ASM107373v1</t>
  </si>
  <si>
    <t>GCA_001074035.1</t>
  </si>
  <si>
    <t>711_SSAN</t>
  </si>
  <si>
    <t>https://ftp.ncbi.nlm.nih.gov/genomes/all/GCA/001/074/035/GCA_001074035.1_ASM107403v1</t>
  </si>
  <si>
    <t>GCA_001074345.1</t>
  </si>
  <si>
    <t>771_SOLI</t>
  </si>
  <si>
    <t>https://ftp.ncbi.nlm.nih.gov/genomes/all/GCA/001/074/345/GCA_001074345.1_ASM107434v1</t>
  </si>
  <si>
    <t>GCA_001074375.1</t>
  </si>
  <si>
    <t>783_SANG</t>
  </si>
  <si>
    <t>https://ftp.ncbi.nlm.nih.gov/genomes/all/GCA/001/074/375/GCA_001074375.1_ASM107437v1</t>
  </si>
  <si>
    <t>GCA_001074415.1</t>
  </si>
  <si>
    <t>787_SOLI</t>
  </si>
  <si>
    <t>https://ftp.ncbi.nlm.nih.gov/genomes/all/GCA/001/074/415/GCA_001074415.1_ASM107441v1</t>
  </si>
  <si>
    <t>GCA_001074525.1</t>
  </si>
  <si>
    <t>83_SANG</t>
  </si>
  <si>
    <t>https://ftp.ncbi.nlm.nih.gov/genomes/all/GCA/001/074/525/GCA_001074525.1_ASM107452v1</t>
  </si>
  <si>
    <t>GCA_001074805.1</t>
  </si>
  <si>
    <t>886_SPAR</t>
  </si>
  <si>
    <t>https://ftp.ncbi.nlm.nih.gov/genomes/all/GCA/001/074/805/GCA_001074805.1_ASM107480v1</t>
  </si>
  <si>
    <t>GCA_001075725.1</t>
  </si>
  <si>
    <t>925_SCON</t>
  </si>
  <si>
    <t>https://ftp.ncbi.nlm.nih.gov/genomes/all/GCA/001/075/725/GCA_001075725.1_ASM107572v1</t>
  </si>
  <si>
    <t>GCA_001076785.1</t>
  </si>
  <si>
    <t>491_NMEN</t>
  </si>
  <si>
    <t>https://ftp.ncbi.nlm.nih.gov/genomes/all/GCA/001/076/785/GCA_001076785.1_ASM107678v1</t>
  </si>
  <si>
    <t>GCA_001076955.1</t>
  </si>
  <si>
    <t>540.rep2_SPAR</t>
  </si>
  <si>
    <t>https://ftp.ncbi.nlm.nih.gov/genomes/all/GCA/001/076/955/GCA_001076955.1_ASM107695v1</t>
  </si>
  <si>
    <t>GCA_001076975.1</t>
  </si>
  <si>
    <t>542_CAUR</t>
  </si>
  <si>
    <t>https://ftp.ncbi.nlm.nih.gov/genomes/all/GCA/001/076/975/GCA_001076975.1_ASM107697v1</t>
  </si>
  <si>
    <t>GCA_001077555.2</t>
  </si>
  <si>
    <t>B8342</t>
  </si>
  <si>
    <t>https://ftp.ncbi.nlm.nih.gov/genomes/all/GCA/001/077/555/GCA_001077555.2_ASM107755v2</t>
  </si>
  <si>
    <t>GCA_001078375.1</t>
  </si>
  <si>
    <t>HMT-421</t>
  </si>
  <si>
    <t>tobetsuensis</t>
  </si>
  <si>
    <t>ATCC BAA-2400</t>
  </si>
  <si>
    <t>https://ftp.ncbi.nlm.nih.gov/genomes/all/GCA/001/078/375/GCA_001078375.1_ASM107837v1</t>
  </si>
  <si>
    <t>GCA_001078705.1</t>
  </si>
  <si>
    <t>https://ftp.ncbi.nlm.nih.gov/genomes/all/GCA/001/078/705/GCA_001078705.1_Streptococcus_sanguinis_2908</t>
  </si>
  <si>
    <t>GCA_001095405.3</t>
  </si>
  <si>
    <t>PT8105</t>
  </si>
  <si>
    <t>https://ftp.ncbi.nlm.nih.gov/genomes/all/GCA/001/095/405/GCA_001095405.3_7553_6_2</t>
  </si>
  <si>
    <t>GCA_001115245.1</t>
  </si>
  <si>
    <t>SMRU2944</t>
  </si>
  <si>
    <t>https://ftp.ncbi.nlm.nih.gov/genomes/all/GCA/001/115/245/GCA_001115245.1_7038_4_16</t>
  </si>
  <si>
    <t>GCA_001121785.1</t>
  </si>
  <si>
    <t>SMRU2248</t>
  </si>
  <si>
    <t>https://ftp.ncbi.nlm.nih.gov/genomes/all/GCA/001/121/785/GCA_001121785.1_7038_8_40</t>
  </si>
  <si>
    <t>GCA_001147205.1</t>
  </si>
  <si>
    <t>type strain: N</t>
  </si>
  <si>
    <t>https://ftp.ncbi.nlm.nih.gov/genomes/all/GCA/001/147/205/GCA_001147205.1_6259_8_18</t>
  </si>
  <si>
    <t>GCA_001179785.1</t>
  </si>
  <si>
    <t>CR03</t>
  </si>
  <si>
    <t>https://ftp.ncbi.nlm.nih.gov/genomes/all/GCA/001/179/785/GCA_001179785.1_CR03</t>
  </si>
  <si>
    <t>GCA_001188045.2</t>
  </si>
  <si>
    <t>FDAARGOS_57</t>
  </si>
  <si>
    <t>https://ftp.ncbi.nlm.nih.gov/genomes/all/GCA/001/188/045/GCA_001188045.2_ASM118804v2</t>
  </si>
  <si>
    <t>GCA_001188835.1</t>
  </si>
  <si>
    <t>https://ftp.ncbi.nlm.nih.gov/genomes/all/GCA/001/188/835/GCA_001188835.1_ASM118883v1</t>
  </si>
  <si>
    <t>GCA_001189495.1</t>
  </si>
  <si>
    <t>https://ftp.ncbi.nlm.nih.gov/genomes/all/GCA/001/189/495/GCA_001189495.1_ASM118949v1</t>
  </si>
  <si>
    <t>GCA_001189515.2</t>
  </si>
  <si>
    <t>HMT-807</t>
  </si>
  <si>
    <t>sp. HMT-807</t>
  </si>
  <si>
    <t>F0089</t>
  </si>
  <si>
    <t>https://ftp.ncbi.nlm.nih.gov/genomes/all/GCA/001/189/515/GCA_001189515.2_ASM118951v2</t>
  </si>
  <si>
    <t>GCA_001189535.1</t>
  </si>
  <si>
    <t>HMT-190</t>
  </si>
  <si>
    <t>Arsenicicoccus</t>
  </si>
  <si>
    <t>sp. HMT-190</t>
  </si>
  <si>
    <t>F0371</t>
  </si>
  <si>
    <t>https://ftp.ncbi.nlm.nih.gov/genomes/all/GCA/001/189/535/GCA_001189535.1_ASM118953v1</t>
  </si>
  <si>
    <t>GCA_001189555.1</t>
  </si>
  <si>
    <t>F0592</t>
  </si>
  <si>
    <t>https://ftp.ncbi.nlm.nih.gov/genomes/all/GCA/001/189/555/GCA_001189555.1_ASM118955v1</t>
  </si>
  <si>
    <t>GCA_001190115.1</t>
  </si>
  <si>
    <t>RHAA1</t>
  </si>
  <si>
    <t>https://ftp.ncbi.nlm.nih.gov/genomes/all/GCA/001/190/115/GCA_001190115.1_ASM119011v1</t>
  </si>
  <si>
    <t>GCA_001190745.1</t>
  </si>
  <si>
    <t>ATCC 33236</t>
  </si>
  <si>
    <t>https://ftp.ncbi.nlm.nih.gov/genomes/all/GCA/001/190/745/GCA_001190745.1_ASM119074v1</t>
  </si>
  <si>
    <t>GCA_001190755.1</t>
  </si>
  <si>
    <t>RIGS 9880</t>
  </si>
  <si>
    <t>https://ftp.ncbi.nlm.nih.gov/genomes/all/GCA/001/190/755/GCA_001190755.1_ASM119075v1</t>
  </si>
  <si>
    <t>GCA_001193755.1</t>
  </si>
  <si>
    <t>SMRU689</t>
  </si>
  <si>
    <t>https://ftp.ncbi.nlm.nih.gov/genomes/all/GCA/001/193/755/GCA_001193755.1_6730_6_17</t>
  </si>
  <si>
    <t>GCA_001201015.1</t>
  </si>
  <si>
    <t>CR04</t>
  </si>
  <si>
    <t>https://ftp.ncbi.nlm.nih.gov/genomes/all/GCA/001/201/015/GCA_001201015.1_CR04</t>
  </si>
  <si>
    <t>GCA_001206055.1</t>
  </si>
  <si>
    <t>SMRU688</t>
  </si>
  <si>
    <t>https://ftp.ncbi.nlm.nih.gov/genomes/all/GCA/001/206/055/GCA_001206055.1_6730_6_16</t>
  </si>
  <si>
    <t>GCA_001215085.1</t>
  </si>
  <si>
    <t>https://ftp.ncbi.nlm.nih.gov/genomes/all/GCA/001/215/085/GCA_001215085.1_CR03</t>
  </si>
  <si>
    <t>GCA_001220005.1</t>
  </si>
  <si>
    <t>CR05</t>
  </si>
  <si>
    <t>https://ftp.ncbi.nlm.nih.gov/genomes/all/GCA/001/220/005/GCA_001220005.1_CR05</t>
  </si>
  <si>
    <t>GCA_001220605.1</t>
  </si>
  <si>
    <t>CR09</t>
  </si>
  <si>
    <t>https://ftp.ncbi.nlm.nih.gov/genomes/all/GCA/001/220/605/GCA_001220605.1_CR09</t>
  </si>
  <si>
    <t>GCA_001223985.1</t>
  </si>
  <si>
    <t>278-10</t>
  </si>
  <si>
    <t>https://ftp.ncbi.nlm.nih.gov/genomes/all/GCA/001/223/985/GCA_001223985.1_7067_4_82</t>
  </si>
  <si>
    <t>GCA_001225905.1</t>
  </si>
  <si>
    <t>https://ftp.ncbi.nlm.nih.gov/genomes/all/GCA/001/225/905/GCA_001225905.1_7068_7_60</t>
  </si>
  <si>
    <t>GCA_001228405.1</t>
  </si>
  <si>
    <t>51-37</t>
  </si>
  <si>
    <t>https://ftp.ncbi.nlm.nih.gov/genomes/all/GCA/001/228/405/GCA_001228405.1_7067_4_60</t>
  </si>
  <si>
    <t>GCA_001228845.1</t>
  </si>
  <si>
    <t>W59</t>
  </si>
  <si>
    <t>https://ftp.ncbi.nlm.nih.gov/genomes/all/GCA/001/228/845/GCA_001228845.1_7068_7_21</t>
  </si>
  <si>
    <t>GCA_001233565.1</t>
  </si>
  <si>
    <t>CN1197</t>
  </si>
  <si>
    <t>https://ftp.ncbi.nlm.nih.gov/genomes/all/GCA/001/233/565/GCA_001233565.1_7067_4_89</t>
  </si>
  <si>
    <t>GCA_001237185.1</t>
  </si>
  <si>
    <t>https://ftp.ncbi.nlm.nih.gov/genomes/all/GCA/001/237/185/GCA_001237185.1_7068_7_50</t>
  </si>
  <si>
    <t>GCA_001239225.1</t>
  </si>
  <si>
    <t>2263-3461</t>
  </si>
  <si>
    <t>https://ftp.ncbi.nlm.nih.gov/genomes/all/GCA/001/239/225/GCA_001239225.1_7067_4_79</t>
  </si>
  <si>
    <t>W1435</t>
  </si>
  <si>
    <t>https://ftp.ncbi.nlm.nih.gov/genomes/all/GCA/001/262/015/GCA_001262015.1_ASM126201v1</t>
  </si>
  <si>
    <t>GCA_001262035.1</t>
  </si>
  <si>
    <t>W10433</t>
  </si>
  <si>
    <t>https://ftp.ncbi.nlm.nih.gov/genomes/all/GCA/001/262/035/GCA_001262035.1_ASM126203v1</t>
  </si>
  <si>
    <t>GCA_001262055.1</t>
  </si>
  <si>
    <t>HMT-671</t>
  </si>
  <si>
    <t>meyeri</t>
  </si>
  <si>
    <t>W712</t>
  </si>
  <si>
    <t>https://ftp.ncbi.nlm.nih.gov/genomes/all/GCA/001/262/055/GCA_001262055.1_ASM126205v1</t>
  </si>
  <si>
    <t>GCA_001262075.1</t>
  </si>
  <si>
    <t>HMT-894</t>
  </si>
  <si>
    <t>Ottowia</t>
  </si>
  <si>
    <t>sp. HMT-894</t>
  </si>
  <si>
    <t>W10237</t>
  </si>
  <si>
    <t>https://ftp.ncbi.nlm.nih.gov/genomes/all/GCA/001/262/075/GCA_001262075.1_ASM126207v1</t>
  </si>
  <si>
    <t>GCA_001263815.1</t>
  </si>
  <si>
    <t>A7436</t>
  </si>
  <si>
    <t>https://ftp.ncbi.nlm.nih.gov/genomes/all/GCA/001/263/815/GCA_001263815.1_ASM126381v1</t>
  </si>
  <si>
    <t>GCA_001267395.1</t>
  </si>
  <si>
    <t>HMT-880</t>
  </si>
  <si>
    <t>durans</t>
  </si>
  <si>
    <t>KLDS6.0933</t>
  </si>
  <si>
    <t>https://ftp.ncbi.nlm.nih.gov/genomes/all/GCA/001/267/395/GCA_001267395.1_ASM126739v1</t>
  </si>
  <si>
    <t>GCA_001267865.1</t>
  </si>
  <si>
    <t>KLDS 6.0930</t>
  </si>
  <si>
    <t>https://ftp.ncbi.nlm.nih.gov/genomes/all/GCA/001/267/865/GCA_001267865.1_ASM126786v1</t>
  </si>
  <si>
    <t>GCA_001269845.1</t>
  </si>
  <si>
    <t>HMT-612</t>
  </si>
  <si>
    <t>fluorescens</t>
  </si>
  <si>
    <t>DSM 50090</t>
  </si>
  <si>
    <t>https://ftp.ncbi.nlm.nih.gov/genomes/all/GCA/001/269/845/GCA_001269845.1_ASM126984v1</t>
  </si>
  <si>
    <t>GCA_001272795.1</t>
  </si>
  <si>
    <t>https://ftp.ncbi.nlm.nih.gov/genomes/all/GCA/001/272/795/GCA_001272795.1_ASM127279v1</t>
  </si>
  <si>
    <t>GCA_001272835.1</t>
  </si>
  <si>
    <t>https://ftp.ncbi.nlm.nih.gov/genomes/all/GCA/001/272/835/GCA_001272835.1_ASM127283v1</t>
  </si>
  <si>
    <t>sp. HMT-212</t>
  </si>
  <si>
    <t>W10393</t>
  </si>
  <si>
    <t>https://ftp.ncbi.nlm.nih.gov/genomes/all/GCA/001/274/535/GCA_001274535.1_ASM127453v1</t>
  </si>
  <si>
    <t>GCA_001274615.1</t>
  </si>
  <si>
    <t>AJW4</t>
  </si>
  <si>
    <t>https://ftp.ncbi.nlm.nih.gov/genomes/all/GCA/001/274/615/GCA_001274615.1_ASM127461v1</t>
  </si>
  <si>
    <t>GCA_001275345.1</t>
  </si>
  <si>
    <t>HMT-084</t>
  </si>
  <si>
    <t>palustris</t>
  </si>
  <si>
    <t>MU14/1</t>
  </si>
  <si>
    <t>https://ftp.ncbi.nlm.nih.gov/genomes/all/GCA/001/275/345/GCA_001275345.1_ASM127534v1</t>
  </si>
  <si>
    <t>GCA_001275565.2</t>
  </si>
  <si>
    <t>SCAID 187.0</t>
  </si>
  <si>
    <t>https://ftp.ncbi.nlm.nih.gov/genomes/all/GCA/001/275/565/GCA_001275565.2_ASM127556v2</t>
  </si>
  <si>
    <t>F0383</t>
  </si>
  <si>
    <t>https://ftp.ncbi.nlm.nih.gov/genomes/all/GCA/001/278/825/GCA_001278825.1_ASM127882v1</t>
  </si>
  <si>
    <t>GCA_001278845.1</t>
  </si>
  <si>
    <t>HMT-414</t>
  </si>
  <si>
    <t>sp. HMT-414</t>
  </si>
  <si>
    <t>F0588</t>
  </si>
  <si>
    <t>https://ftp.ncbi.nlm.nih.gov/genomes/all/GCA/001/278/845/GCA_001278845.1_ASM127884v1</t>
  </si>
  <si>
    <t>GCA_001279145.1</t>
  </si>
  <si>
    <t>215035-2-ISO5</t>
  </si>
  <si>
    <t>https://ftp.ncbi.nlm.nih.gov/genomes/all/GCA/001/279/145/GCA_001279145.1_ASM127914v1</t>
  </si>
  <si>
    <t>GCA_001281025.1</t>
  </si>
  <si>
    <t>KCOM 1350 (= ChDC B183)</t>
  </si>
  <si>
    <t>https://ftp.ncbi.nlm.nih.gov/genomes/all/GCA/001/281/025/GCA_001281025.1_ASM128102v1</t>
  </si>
  <si>
    <t>GCA_001281065.1</t>
  </si>
  <si>
    <t>KCOM 1861 (= ChDC B594)</t>
  </si>
  <si>
    <t>https://ftp.ncbi.nlm.nih.gov/genomes/all/GCA/001/281/065/GCA_001281065.1_ASM128106v1</t>
  </si>
  <si>
    <t>GCA_001281105.1</t>
  </si>
  <si>
    <t>KCOM 1506 (= ChDC B679)</t>
  </si>
  <si>
    <t>https://ftp.ncbi.nlm.nih.gov/genomes/all/GCA/001/281/105/GCA_001281105.1_ASM128110v1</t>
  </si>
  <si>
    <t>GCA_001281465.1</t>
  </si>
  <si>
    <t>HMT-027</t>
  </si>
  <si>
    <t>Cupriavidus</t>
  </si>
  <si>
    <t>gilardii</t>
  </si>
  <si>
    <t>https://ftp.ncbi.nlm.nih.gov/genomes/all/GCA/001/281/465/GCA_001281465.1_ASM128146v1</t>
  </si>
  <si>
    <t>GCA_001281505.1</t>
  </si>
  <si>
    <t>HMT-173</t>
  </si>
  <si>
    <t>Lawsonella</t>
  </si>
  <si>
    <t>clevelandensis</t>
  </si>
  <si>
    <t>X1698</t>
  </si>
  <si>
    <t>https://ftp.ncbi.nlm.nih.gov/genomes/all/GCA/001/281/505/GCA_001281505.1_ASM128150v1</t>
  </si>
  <si>
    <t>GCA_001293125.1</t>
  </si>
  <si>
    <t>X1036</t>
  </si>
  <si>
    <t>https://ftp.ncbi.nlm.nih.gov/genomes/all/GCA/001/293/125/GCA_001293125.1_ASM129312v1</t>
  </si>
  <si>
    <t>GCA_001296085.1</t>
  </si>
  <si>
    <t>KCOM 1279</t>
  </si>
  <si>
    <t>https://ftp.ncbi.nlm.nih.gov/genomes/all/GCA/001/296/085/GCA_001296085.1_ASM129608v1</t>
  </si>
  <si>
    <t>GCA_001296125.1</t>
  </si>
  <si>
    <t>KCOM 1231</t>
  </si>
  <si>
    <t>https://ftp.ncbi.nlm.nih.gov/genomes/all/GCA/001/296/125/GCA_001296125.1_ASM129612v1</t>
  </si>
  <si>
    <t>GCA_001296145.1</t>
  </si>
  <si>
    <t>KCOM 1325</t>
  </si>
  <si>
    <t>https://ftp.ncbi.nlm.nih.gov/genomes/all/GCA/001/296/145/GCA_001296145.1_ASM129614v1</t>
  </si>
  <si>
    <t>GCA_001296165.1</t>
  </si>
  <si>
    <t>KCOM 1322</t>
  </si>
  <si>
    <t>https://ftp.ncbi.nlm.nih.gov/genomes/all/GCA/001/296/165/GCA_001296165.1_ASM129616v1</t>
  </si>
  <si>
    <t>GCA_001296185.1</t>
  </si>
  <si>
    <t>KCOM 1250</t>
  </si>
  <si>
    <t>https://ftp.ncbi.nlm.nih.gov/genomes/all/GCA/001/296/185/GCA_001296185.1_ASM129618v1</t>
  </si>
  <si>
    <t>GCA_001296205.1</t>
  </si>
  <si>
    <t>KCOM 1545</t>
  </si>
  <si>
    <t>https://ftp.ncbi.nlm.nih.gov/genomes/all/GCA/001/296/205/GCA_001296205.1_ASM129620v1</t>
  </si>
  <si>
    <t>GCA_001297745.1</t>
  </si>
  <si>
    <t>Ando</t>
  </si>
  <si>
    <t>https://ftp.ncbi.nlm.nih.gov/genomes/all/GCA/001/297/745/GCA_001297745.1_ASM129774v1</t>
  </si>
  <si>
    <t>GCA_001298325.2</t>
  </si>
  <si>
    <t>BA01611</t>
  </si>
  <si>
    <t>https://ftp.ncbi.nlm.nih.gov/genomes/all/GCA/001/298/325/GCA_001298325.2_ASM129832v2</t>
  </si>
  <si>
    <t>GCA_001298465.1</t>
  </si>
  <si>
    <t>ATCC 33237</t>
  </si>
  <si>
    <t>https://ftp.ncbi.nlm.nih.gov/genomes/all/GCA/001/298/465/GCA_001298465.1_ASM129846v1</t>
  </si>
  <si>
    <t>GCA_001298675.1</t>
  </si>
  <si>
    <t>HMT-211</t>
  </si>
  <si>
    <t>Paenacidovorax</t>
  </si>
  <si>
    <t>caeni</t>
  </si>
  <si>
    <t>R-24608</t>
  </si>
  <si>
    <t>https://ftp.ncbi.nlm.nih.gov/genomes/all/GCA/001/298/675/GCA_001298675.1_Draft_Genome</t>
  </si>
  <si>
    <t>GCA_001307855.1</t>
  </si>
  <si>
    <t>HMT-028</t>
  </si>
  <si>
    <t>Oryzomicrobium</t>
  </si>
  <si>
    <t>terrae</t>
  </si>
  <si>
    <t>Paddy-1</t>
  </si>
  <si>
    <t>https://ftp.ncbi.nlm.nih.gov/genomes/all/GCA/001/307/855/GCA_001307855.1_ASM130785v1</t>
  </si>
  <si>
    <t>GCA_001310935.1</t>
  </si>
  <si>
    <t>JCM 2414</t>
  </si>
  <si>
    <t>https://ftp.ncbi.nlm.nih.gov/genomes/all/GCA/001/310/935/GCA_001310935.1_ASM131093v1</t>
  </si>
  <si>
    <t>GCA_001311355.1</t>
  </si>
  <si>
    <t>JCM 14109</t>
  </si>
  <si>
    <t>https://ftp.ncbi.nlm.nih.gov/genomes/all/GCA/001/311/355/GCA_001311355.1_ASM131135v1</t>
  </si>
  <si>
    <t>GCA_001311425.1</t>
  </si>
  <si>
    <t>JCM 15041</t>
  </si>
  <si>
    <t>https://ftp.ncbi.nlm.nih.gov/genomes/all/GCA/001/311/425/GCA_001311425.1_ASM131142v1</t>
  </si>
  <si>
    <t>GCA_001311445.1</t>
  </si>
  <si>
    <t>HMT-884</t>
  </si>
  <si>
    <t>rapi</t>
  </si>
  <si>
    <t>JCM 15042</t>
  </si>
  <si>
    <t>https://ftp.ncbi.nlm.nih.gov/genomes/all/GCA/001/311/445/GCA_001311445.1_ASM131144v1</t>
  </si>
  <si>
    <t>GCA_001314265.1</t>
  </si>
  <si>
    <t>https://ftp.ncbi.nlm.nih.gov/genomes/all/GCA/001/314/265/GCA_001314265.1_ASM131426v1</t>
  </si>
  <si>
    <t>thetaiotaomicron</t>
  </si>
  <si>
    <t>https://ftp.ncbi.nlm.nih.gov/genomes/all/GCA/001/314/975/GCA_001314975.1_ASM131497v1</t>
  </si>
  <si>
    <t>ovatus</t>
  </si>
  <si>
    <t>ATCC 8483</t>
  </si>
  <si>
    <t>https://ftp.ncbi.nlm.nih.gov/genomes/all/GCA/001/314/995/GCA_001314995.1_ASM131499v1</t>
  </si>
  <si>
    <t>GCA_001336595.1</t>
  </si>
  <si>
    <t>https://ftp.ncbi.nlm.nih.gov/genomes/all/GCA/001/336/595/GCA_001336595.1_6259_5_22</t>
  </si>
  <si>
    <t>GCA_001337855.1</t>
  </si>
  <si>
    <t>SMRU856</t>
  </si>
  <si>
    <t>https://ftp.ncbi.nlm.nih.gov/genomes/all/GCA/001/337/855/GCA_001337855.1_6775_2_16</t>
  </si>
  <si>
    <t>GCA_001339755.1</t>
  </si>
  <si>
    <t>SMRU737</t>
  </si>
  <si>
    <t>https://ftp.ncbi.nlm.nih.gov/genomes/all/GCA/001/339/755/GCA_001339755.1_6730_8_17</t>
  </si>
  <si>
    <t>GCA_001374975.1</t>
  </si>
  <si>
    <t>ATCC 9027</t>
  </si>
  <si>
    <t>https://ftp.ncbi.nlm.nih.gov/genomes/all/GCA/001/374/975/GCA_001374975.1_259_Rw151_contigs_500</t>
  </si>
  <si>
    <t>GCA_001402715.1</t>
  </si>
  <si>
    <t>B41</t>
  </si>
  <si>
    <t>https://ftp.ncbi.nlm.nih.gov/genomes/all/GCA/001/402/715/GCA_001402715.1_ASM140271v1</t>
  </si>
  <si>
    <t>GCA_001402725.1</t>
  </si>
  <si>
    <t>A52</t>
  </si>
  <si>
    <t>https://ftp.ncbi.nlm.nih.gov/genomes/all/GCA/001/402/725/GCA_001402725.1_ASM140272v1</t>
  </si>
  <si>
    <t>GCA_001405855.1</t>
  </si>
  <si>
    <t>HMT-964</t>
  </si>
  <si>
    <t>onderdonkii</t>
  </si>
  <si>
    <t>2789STDY5834947</t>
  </si>
  <si>
    <t>https://ftp.ncbi.nlm.nih.gov/genomes/all/GCA/001/405/855/GCA_001405855.1_14207_7_70</t>
  </si>
  <si>
    <t>GCA_001411485.1</t>
  </si>
  <si>
    <t>89a</t>
  </si>
  <si>
    <t>https://ftp.ncbi.nlm.nih.gov/genomes/all/GCA/001/411/485/GCA_001411485.1_ASM141148v1</t>
  </si>
  <si>
    <t>GCA_001411495.1</t>
  </si>
  <si>
    <t>UCB 717</t>
  </si>
  <si>
    <t>https://ftp.ncbi.nlm.nih.gov/genomes/all/GCA/001/411/495/GCA_001411495.1_ASM141149v1</t>
  </si>
  <si>
    <t>GCA_001412635.1</t>
  </si>
  <si>
    <t>J4211</t>
  </si>
  <si>
    <t>https://ftp.ncbi.nlm.nih.gov/genomes/all/GCA/001/412/635/GCA_001412635.1_ASM141263v1</t>
  </si>
  <si>
    <t>GCA_001422025.1</t>
  </si>
  <si>
    <t>HMT-037</t>
  </si>
  <si>
    <t>nitritireducens</t>
  </si>
  <si>
    <t>Leaf70</t>
  </si>
  <si>
    <t>https://ftp.ncbi.nlm.nih.gov/genomes/all/GCA/001/422/025/GCA_001422025.1_Leaf70</t>
  </si>
  <si>
    <t>GCA_001423805.1</t>
  </si>
  <si>
    <t>HMT-185</t>
  </si>
  <si>
    <t>ginsengisoli</t>
  </si>
  <si>
    <t>Leaf347</t>
  </si>
  <si>
    <t>https://ftp.ncbi.nlm.nih.gov/genomes/all/GCA/001/423/805/GCA_001423805.1_Leaf347</t>
  </si>
  <si>
    <t>GCA_001431425.1</t>
  </si>
  <si>
    <t>DSM 12575</t>
  </si>
  <si>
    <t>https://ftp.ncbi.nlm.nih.gov/genomes/all/GCA/001/431/425/GCA_001431425.1_ASM143142v1</t>
  </si>
  <si>
    <t>GCA_001433735.1</t>
  </si>
  <si>
    <t>DSM 20011</t>
  </si>
  <si>
    <t>https://ftp.ncbi.nlm.nih.gov/genomes/all/GCA/001/433/735/GCA_001433735.1_ASM143373v1</t>
  </si>
  <si>
    <t>GCA_001433755.1</t>
  </si>
  <si>
    <t>HMT-883</t>
  </si>
  <si>
    <t>pentosus</t>
  </si>
  <si>
    <t>DSM 20314</t>
  </si>
  <si>
    <t>https://ftp.ncbi.nlm.nih.gov/genomes/all/GCA/001/433/755/GCA_001433755.1_ASM143375v1</t>
  </si>
  <si>
    <t>GCA_001433855.1</t>
  </si>
  <si>
    <t>DSM 20054</t>
  </si>
  <si>
    <t>https://ftp.ncbi.nlm.nih.gov/genomes/all/GCA/001/433/855/GCA_001433855.1_ASM143385v1</t>
  </si>
  <si>
    <t>GCA_001433895.1</t>
  </si>
  <si>
    <t>DSM 20079</t>
  </si>
  <si>
    <t>https://ftp.ncbi.nlm.nih.gov/genomes/all/GCA/001/433/895/GCA_001433895.1_ASM143389v1</t>
  </si>
  <si>
    <t>GCA_001433955.1</t>
  </si>
  <si>
    <t>ChDC F306</t>
  </si>
  <si>
    <t>https://ftp.ncbi.nlm.nih.gov/genomes/all/GCA/001/433/955/GCA_001433955.1_ASM143395v1</t>
  </si>
  <si>
    <t>GCA_001433975.1</t>
  </si>
  <si>
    <t>https://ftp.ncbi.nlm.nih.gov/genomes/all/GCA/001/433/975/GCA_001433975.1_ASM143397v1</t>
  </si>
  <si>
    <t>GCA_001434005.1</t>
  </si>
  <si>
    <t>HMT-817</t>
  </si>
  <si>
    <t>crispatus</t>
  </si>
  <si>
    <t>DSM 20584</t>
  </si>
  <si>
    <t>https://ftp.ncbi.nlm.nih.gov/genomes/all/GCA/001/434/005/GCA_001434005.1_ASM143400v1</t>
  </si>
  <si>
    <t>GCA_001434135.1</t>
  </si>
  <si>
    <t>DSM 19906</t>
  </si>
  <si>
    <t>https://ftp.ncbi.nlm.nih.gov/genomes/all/GCA/001/434/135/GCA_001434135.1_ASM143413v1</t>
  </si>
  <si>
    <t>GCA_001434175.1</t>
  </si>
  <si>
    <t>CGMCC 1.2437</t>
  </si>
  <si>
    <t>https://ftp.ncbi.nlm.nih.gov/genomes/all/GCA/001/434/175/GCA_001434175.1_ASM143417v1</t>
  </si>
  <si>
    <t>GCA_001434465.1</t>
  </si>
  <si>
    <t>DSM 4864</t>
  </si>
  <si>
    <t>https://ftp.ncbi.nlm.nih.gov/genomes/all/GCA/001/434/465/GCA_001434465.1_ASM143446v1</t>
  </si>
  <si>
    <t>GCA_001434615.1</t>
  </si>
  <si>
    <t>https://ftp.ncbi.nlm.nih.gov/genomes/all/GCA/001/434/615/GCA_001434615.1_ASM143461v1</t>
  </si>
  <si>
    <t>GCA_001434735.1</t>
  </si>
  <si>
    <t>DSM 20057</t>
  </si>
  <si>
    <t>https://ftp.ncbi.nlm.nih.gov/genomes/all/GCA/001/434/735/GCA_001434735.1_ASM143473v1</t>
  </si>
  <si>
    <t>GCA_001435015.1</t>
  </si>
  <si>
    <t>https://ftp.ncbi.nlm.nih.gov/genomes/all/GCA/001/435/015/GCA_001435015.1_ASM143501v1</t>
  </si>
  <si>
    <t>GCA_001435215.1</t>
  </si>
  <si>
    <t>DSM 16365</t>
  </si>
  <si>
    <t>https://ftp.ncbi.nlm.nih.gov/genomes/all/GCA/001/435/215/GCA_001435215.1_ASM143521v1</t>
  </si>
  <si>
    <t>GCA_001435405.1</t>
  </si>
  <si>
    <t>DSM 20021</t>
  </si>
  <si>
    <t>https://ftp.ncbi.nlm.nih.gov/genomes/all/GCA/001/435/405/GCA_001435405.1_ASM143540v1</t>
  </si>
  <si>
    <t>GCA_001435895.1</t>
  </si>
  <si>
    <t>DSM 18390</t>
  </si>
  <si>
    <t>https://ftp.ncbi.nlm.nih.gov/genomes/all/GCA/001/435/895/GCA_001435895.1_ASM143589v1</t>
  </si>
  <si>
    <t>GCA_001435915.1</t>
  </si>
  <si>
    <t>DSM 5837</t>
  </si>
  <si>
    <t>https://ftp.ncbi.nlm.nih.gov/genomes/all/GCA/001/435/915/GCA_001435915.1_ASM143591v1</t>
  </si>
  <si>
    <t>GCA_001435935.1</t>
  </si>
  <si>
    <t>https://ftp.ncbi.nlm.nih.gov/genomes/all/GCA/001/435/935/GCA_001435935.1_ASM143593v1</t>
  </si>
  <si>
    <t>GCA_001435955.1</t>
  </si>
  <si>
    <t>DSM 20555</t>
  </si>
  <si>
    <t>https://ftp.ncbi.nlm.nih.gov/genomes/all/GCA/001/435/955/GCA_001435955.1_ASM143595v1</t>
  </si>
  <si>
    <t>GCA_001436255.1</t>
  </si>
  <si>
    <t>DSM 19907</t>
  </si>
  <si>
    <t>https://ftp.ncbi.nlm.nih.gov/genomes/all/GCA/001/436/255/GCA_001436255.1_ASM143625v1</t>
  </si>
  <si>
    <t>GCA_001436305.1</t>
  </si>
  <si>
    <t>https://ftp.ncbi.nlm.nih.gov/genomes/all/GCA/001/436/305/GCA_001436305.1_ASM143630v1</t>
  </si>
  <si>
    <t>GCA_001436385.1</t>
  </si>
  <si>
    <t>DSM 5622</t>
  </si>
  <si>
    <t>https://ftp.ncbi.nlm.nih.gov/genomes/all/GCA/001/436/385/GCA_001436385.1_ASM143638v1</t>
  </si>
  <si>
    <t>GCA_001436455.1</t>
  </si>
  <si>
    <t>DSM 20557</t>
  </si>
  <si>
    <t>https://ftp.ncbi.nlm.nih.gov/genomes/all/GCA/001/436/455/GCA_001436455.1_ASM143645v1</t>
  </si>
  <si>
    <t>GCA_001437015.1</t>
  </si>
  <si>
    <t>DSM 20586</t>
  </si>
  <si>
    <t>https://ftp.ncbi.nlm.nih.gov/genomes/all/GCA/001/437/015/GCA_001437015.1_ASM143701v1</t>
  </si>
  <si>
    <t>GCA_001437585.1</t>
  </si>
  <si>
    <t>https://ftp.ncbi.nlm.nih.gov/genomes/all/GCA/001/437/585/GCA_001437585.1_ASM143758v1</t>
  </si>
  <si>
    <t>GCA_001438885.1</t>
  </si>
  <si>
    <t>DSM 7090</t>
  </si>
  <si>
    <t>https://ftp.ncbi.nlm.nih.gov/genomes/all/GCA/001/438/885/GCA_001438885.1_ASM143888v1</t>
  </si>
  <si>
    <t>GCA_001444325.1</t>
  </si>
  <si>
    <t>A7A1-28</t>
  </si>
  <si>
    <t>https://ftp.ncbi.nlm.nih.gov/genomes/all/GCA/001/444/325/GCA_001444325.1_ASM144432v1</t>
  </si>
  <si>
    <t>GCA_001444445.1</t>
  </si>
  <si>
    <t>F0113</t>
  </si>
  <si>
    <t>https://ftp.ncbi.nlm.nih.gov/genomes/all/GCA/001/444/445/GCA_001444445.1_ASM144444v1</t>
  </si>
  <si>
    <t>GCA_001454905.1</t>
  </si>
  <si>
    <t>WSLC 1033</t>
  </si>
  <si>
    <t>https://ftp.ncbi.nlm.nih.gov/genomes/all/GCA/001/454/905/GCA_001454905.1_ASM145490v1</t>
  </si>
  <si>
    <t>GCA_001455085.1</t>
  </si>
  <si>
    <t>https://ftp.ncbi.nlm.nih.gov/genomes/all/GCA/001/455/085/GCA_001455085.1_ASM145508v1</t>
  </si>
  <si>
    <t>GCA_001455105.1</t>
  </si>
  <si>
    <t>https://ftp.ncbi.nlm.nih.gov/genomes/all/GCA/001/455/105/GCA_001455105.1_ASM145510v1</t>
  </si>
  <si>
    <t>GCA_001455125.1</t>
  </si>
  <si>
    <t>ChDC F319</t>
  </si>
  <si>
    <t>https://ftp.ncbi.nlm.nih.gov/genomes/all/GCA/001/455/125/GCA_001455125.1_ASM145512v1</t>
  </si>
  <si>
    <t>GCA_001455145.1</t>
  </si>
  <si>
    <t>https://ftp.ncbi.nlm.nih.gov/genomes/all/GCA/001/455/145/GCA_001455145.1_ASM145514v1</t>
  </si>
  <si>
    <t>GCA_001456385.1</t>
  </si>
  <si>
    <t>ATCC 19435</t>
  </si>
  <si>
    <t>https://ftp.ncbi.nlm.nih.gov/genomes/all/GCA/001/456/385/GCA_001456385.1_ASM145638v1</t>
  </si>
  <si>
    <t>GCA_001457455.1</t>
  </si>
  <si>
    <t>NCTC11397</t>
  </si>
  <si>
    <t>https://ftp.ncbi.nlm.nih.gov/genomes/all/GCA/001/457/455/GCA_001457455.1_NCTC11397</t>
  </si>
  <si>
    <t>GCA_001457475.1</t>
  </si>
  <si>
    <t>NCTC10807</t>
  </si>
  <si>
    <t>https://ftp.ncbi.nlm.nih.gov/genomes/all/GCA/001/457/475/GCA_001457475.1_NCTC10807</t>
  </si>
  <si>
    <t>GCA_001457555.1</t>
  </si>
  <si>
    <t>NCTC10562</t>
  </si>
  <si>
    <t>https://ftp.ncbi.nlm.nih.gov/genomes/all/GCA/001/457/555/GCA_001457555.1_NCTC10562</t>
  </si>
  <si>
    <t>GCA_001457615.1</t>
  </si>
  <si>
    <t>NCTC10332</t>
  </si>
  <si>
    <t>https://ftp.ncbi.nlm.nih.gov/genomes/all/GCA/001/457/615/GCA_001457615.1_NCTC10332</t>
  </si>
  <si>
    <t>GCA_001457635.1</t>
  </si>
  <si>
    <t>NCTC7465</t>
  </si>
  <si>
    <t>https://ftp.ncbi.nlm.nih.gov/genomes/all/GCA/001/457/635/GCA_001457635.1_NCTC7465</t>
  </si>
  <si>
    <t>GCA_001457655.1</t>
  </si>
  <si>
    <t>NCTC8143</t>
  </si>
  <si>
    <t>https://ftp.ncbi.nlm.nih.gov/genomes/all/GCA/001/457/655/GCA_001457655.1_NCTC8143</t>
  </si>
  <si>
    <t>GCA_001458475.1</t>
  </si>
  <si>
    <t>KWG1</t>
  </si>
  <si>
    <t>https://ftp.ncbi.nlm.nih.gov/genomes/all/GCA/001/458/475/GCA_001458475.1_KKKWG1</t>
  </si>
  <si>
    <t>GCA_001462375.1</t>
  </si>
  <si>
    <t>XH001</t>
  </si>
  <si>
    <t>https://ftp.ncbi.nlm.nih.gov/genomes/all/GCA/001/462/375/GCA_001462375.1_ASM146237v1</t>
  </si>
  <si>
    <t>GCA_001465675.1</t>
  </si>
  <si>
    <t>RIVM1607</t>
  </si>
  <si>
    <t>https://ftp.ncbi.nlm.nih.gov/genomes/all/GCA/001/465/675/GCA_001465675.1_ASM146567v1</t>
  </si>
  <si>
    <t>GCA_001466485.2</t>
  </si>
  <si>
    <t>AU37</t>
  </si>
  <si>
    <t>https://ftp.ncbi.nlm.nih.gov/genomes/all/GCA/001/466/485/GCA_001466485.2_ASM146648v2</t>
  </si>
  <si>
    <t>GCA_001469295.1</t>
  </si>
  <si>
    <t>ATCC 10558</t>
  </si>
  <si>
    <t>https://ftp.ncbi.nlm.nih.gov/genomes/all/GCA/001/469/295/GCA_001469295.1_ASM146929v1</t>
  </si>
  <si>
    <t>GCA_001469555.1</t>
  </si>
  <si>
    <t>PA_30_2_L1</t>
  </si>
  <si>
    <t>https://ftp.ncbi.nlm.nih.gov/genomes/all/GCA/001/469/555/GCA_001469555.1_ASM146955v1</t>
  </si>
  <si>
    <t>GCA_001469565.1</t>
  </si>
  <si>
    <t>PA_15_1_R1</t>
  </si>
  <si>
    <t>https://ftp.ncbi.nlm.nih.gov/genomes/all/GCA/001/469/565/GCA_001469565.1_ASM146956v1</t>
  </si>
  <si>
    <t>GCA_001469595.1</t>
  </si>
  <si>
    <t>PA_21_1_L1</t>
  </si>
  <si>
    <t>https://ftp.ncbi.nlm.nih.gov/genomes/all/GCA/001/469/595/GCA_001469595.1_ASM146959v1</t>
  </si>
  <si>
    <t>GCA_001469615.1</t>
  </si>
  <si>
    <t>PA_15_2_L1</t>
  </si>
  <si>
    <t>https://ftp.ncbi.nlm.nih.gov/genomes/all/GCA/001/469/615/GCA_001469615.1_ASM146961v1</t>
  </si>
  <si>
    <t>GCA_001469635.1</t>
  </si>
  <si>
    <t>PA_12_1_R1</t>
  </si>
  <si>
    <t>https://ftp.ncbi.nlm.nih.gov/genomes/all/GCA/001/469/635/GCA_001469635.1_ASM146963v1</t>
  </si>
  <si>
    <t>GCA_001469655.1</t>
  </si>
  <si>
    <t>PA_12_1_L1</t>
  </si>
  <si>
    <t>https://ftp.ncbi.nlm.nih.gov/genomes/all/GCA/001/469/655/GCA_001469655.1_ASM146965v1</t>
  </si>
  <si>
    <t>GCA_001471515.2</t>
  </si>
  <si>
    <t>FDAARGOS_130</t>
  </si>
  <si>
    <t>https://ftp.ncbi.nlm.nih.gov/genomes/all/GCA/001/471/515/GCA_001471515.2_ASM147151v2</t>
  </si>
  <si>
    <t>GCA_001471555.2</t>
  </si>
  <si>
    <t>FDAARGOS_173</t>
  </si>
  <si>
    <t>https://ftp.ncbi.nlm.nih.gov/genomes/all/GCA/001/471/555/GCA_001471555.2_ASM147155v2</t>
  </si>
  <si>
    <t>GCA_001471735.2</t>
  </si>
  <si>
    <t>FDAARGOS_146</t>
  </si>
  <si>
    <t>https://ftp.ncbi.nlm.nih.gov/genomes/all/GCA/001/471/735/GCA_001471735.2_ASM147173v2</t>
  </si>
  <si>
    <t>GCA_001471795.2</t>
  </si>
  <si>
    <t>FDAARGOS_151</t>
  </si>
  <si>
    <t>https://ftp.ncbi.nlm.nih.gov/genomes/all/GCA/001/471/795/GCA_001471795.2_ASM147179v2</t>
  </si>
  <si>
    <t>GCA_001483405.1</t>
  </si>
  <si>
    <t>Lm 3163</t>
  </si>
  <si>
    <t>https://ftp.ncbi.nlm.nih.gov/genomes/all/GCA/001/483/405/GCA_001483405.1_ASM148340v1</t>
  </si>
  <si>
    <t>GCA_001483775.1</t>
  </si>
  <si>
    <t>CD07_3</t>
  </si>
  <si>
    <t>https://ftp.ncbi.nlm.nih.gov/genomes/all/GCA/001/483/775/GCA_001483775.1_ASM148377v1</t>
  </si>
  <si>
    <t>GCA_001500315.1</t>
  </si>
  <si>
    <t>HMT-331</t>
  </si>
  <si>
    <t>auricularis</t>
  </si>
  <si>
    <t>DSM 20609</t>
  </si>
  <si>
    <t>https://ftp.ncbi.nlm.nih.gov/genomes/all/GCA/001/500/315/GCA_001500315.1_ASM150031v1</t>
  </si>
  <si>
    <t>GCA_001509915.1</t>
  </si>
  <si>
    <t>I979</t>
  </si>
  <si>
    <t>https://ftp.ncbi.nlm.nih.gov/genomes/all/GCA/001/509/915/GCA_001509915.1_ASM150991v1</t>
  </si>
  <si>
    <t>GCA_001510735.1</t>
  </si>
  <si>
    <t>ChDC F311</t>
  </si>
  <si>
    <t>https://ftp.ncbi.nlm.nih.gov/genomes/all/GCA/001/510/735/GCA_001510735.1_ASM151073v1</t>
  </si>
  <si>
    <t>GCA_001514435.1</t>
  </si>
  <si>
    <t>HMT-152</t>
  </si>
  <si>
    <t>thermophilus</t>
  </si>
  <si>
    <t>S9</t>
  </si>
  <si>
    <t>https://ftp.ncbi.nlm.nih.gov/genomes/all/GCA/001/514/435/GCA_001514435.1_ASM151443v1</t>
  </si>
  <si>
    <t>GCA_001514475.1</t>
  </si>
  <si>
    <t>NBRC 100933</t>
  </si>
  <si>
    <t>https://ftp.ncbi.nlm.nih.gov/genomes/all/GCA/001/514/475/GCA_001514475.1_ASM151447v1</t>
  </si>
  <si>
    <t>GCA_001516345.1</t>
  </si>
  <si>
    <t>H47921</t>
  </si>
  <si>
    <t>https://ftp.ncbi.nlm.nih.gov/genomes/all/GCA/001/516/345/GCA_001516345.1_ASM151634v1</t>
  </si>
  <si>
    <t>GCA_001517935.1</t>
  </si>
  <si>
    <t>HMT-837</t>
  </si>
  <si>
    <t>sanguinegens</t>
  </si>
  <si>
    <t>CCUG41628</t>
  </si>
  <si>
    <t>https://ftp.ncbi.nlm.nih.gov/genomes/all/GCA/001/517/935/GCA_001517935.1_ASM151793v1</t>
  </si>
  <si>
    <t>GCA_001528845.1</t>
  </si>
  <si>
    <t>NBRC 14074</t>
  </si>
  <si>
    <t>https://ftp.ncbi.nlm.nih.gov/genomes/all/GCA/001/528/845/GCA_001528845.1_ASM152884v1</t>
  </si>
  <si>
    <t>GCA_001543085.1</t>
  </si>
  <si>
    <t>JF</t>
  </si>
  <si>
    <t>https://ftp.ncbi.nlm.nih.gov/genomes/all/GCA/001/543/085/GCA_001543085.1_ASM154308v1</t>
  </si>
  <si>
    <t>GCA_001543285.1</t>
  </si>
  <si>
    <t>CCUG4311</t>
  </si>
  <si>
    <t>https://ftp.ncbi.nlm.nih.gov/genomes/all/GCA/001/543/285/GCA_001543285.1_ASM154328v1</t>
  </si>
  <si>
    <t>GCA_001544095.1</t>
  </si>
  <si>
    <t>NBRC 100478</t>
  </si>
  <si>
    <t>https://ftp.ncbi.nlm.nih.gov/genomes/all/GCA/001/544/095/GCA_001544095.1_ASM154409v1</t>
  </si>
  <si>
    <t>GCA_001544155.1</t>
  </si>
  <si>
    <t>NBRC 102503</t>
  </si>
  <si>
    <t>https://ftp.ncbi.nlm.nih.gov/genomes/all/GCA/001/544/155/GCA_001544155.1_ASM154415v1</t>
  </si>
  <si>
    <t>GCA_001544215.1</t>
  </si>
  <si>
    <t>NBRC 100479</t>
  </si>
  <si>
    <t>https://ftp.ncbi.nlm.nih.gov/genomes/all/GCA/001/544/215/GCA_001544215.1_ASM154421v1</t>
  </si>
  <si>
    <t>GCA_001544235.1</t>
  </si>
  <si>
    <t>NBRC 100480</t>
  </si>
  <si>
    <t>https://ftp.ncbi.nlm.nih.gov/genomes/all/GCA/001/544/235/GCA_001544235.1_ASM154423v1</t>
  </si>
  <si>
    <t>GCA_001546165.1</t>
  </si>
  <si>
    <t>MJR8151</t>
  </si>
  <si>
    <t>https://ftp.ncbi.nlm.nih.gov/genomes/all/GCA/001/546/165/GCA_001546165.1_ASM154616v1</t>
  </si>
  <si>
    <t>GCA_001546395.1</t>
  </si>
  <si>
    <t>CMW8396</t>
  </si>
  <si>
    <t>https://ftp.ncbi.nlm.nih.gov/genomes/all/GCA/001/546/395/GCA_001546395.1_ASM154639v1</t>
  </si>
  <si>
    <t>GCA_001546435.1</t>
  </si>
  <si>
    <t>MJR7757B</t>
  </si>
  <si>
    <t>https://ftp.ncbi.nlm.nih.gov/genomes/all/GCA/001/546/435/GCA_001546435.1_ASM154643v1</t>
  </si>
  <si>
    <t>GCA_001546565.2</t>
  </si>
  <si>
    <t>GED7760C</t>
  </si>
  <si>
    <t>https://ftp.ncbi.nlm.nih.gov/genomes/all/GCA/001/546/565/GCA_001546565.2_ASM154656v2</t>
  </si>
  <si>
    <t>GCA_001546845.1</t>
  </si>
  <si>
    <t>CMW7756B</t>
  </si>
  <si>
    <t>https://ftp.ncbi.nlm.nih.gov/genomes/all/GCA/001/546/845/GCA_001546845.1_ASM154684v1</t>
  </si>
  <si>
    <t>GCA_001546875.1</t>
  </si>
  <si>
    <t>MJR7694</t>
  </si>
  <si>
    <t>https://ftp.ncbi.nlm.nih.gov/genomes/all/GCA/001/546/875/GCA_001546875.1_ASM154687v1</t>
  </si>
  <si>
    <t>GCA_001547775.1</t>
  </si>
  <si>
    <t>NUM 4039</t>
  </si>
  <si>
    <t>https://ftp.ncbi.nlm.nih.gov/genomes/all/GCA/001/547/775/GCA_001547775.1_ASM154777v1</t>
  </si>
  <si>
    <t>GCA_001547835.1</t>
  </si>
  <si>
    <t>MTB314</t>
  </si>
  <si>
    <t>https://ftp.ncbi.nlm.nih.gov/genomes/all/GCA/001/547/835/GCA_001547835.1_ASM154783v1</t>
  </si>
  <si>
    <t>KS16</t>
  </si>
  <si>
    <t>https://ftp.ncbi.nlm.nih.gov/genomes/all/GCA/001/547/855/GCA_001547855.1_ASM154785v1</t>
  </si>
  <si>
    <t>https://ftp.ncbi.nlm.nih.gov/genomes/all/GCA/001/547/875/GCA_001547875.1_ASM154787v1</t>
  </si>
  <si>
    <t>GCA_001548195.1</t>
  </si>
  <si>
    <t>17-2</t>
  </si>
  <si>
    <t>https://ftp.ncbi.nlm.nih.gov/genomes/all/GCA/001/548/195/GCA_001548195.1_ASM154819v1</t>
  </si>
  <si>
    <t>GCA_001548235.1</t>
  </si>
  <si>
    <t>NUM-Rm6536</t>
  </si>
  <si>
    <t>https://ftp.ncbi.nlm.nih.gov/genomes/all/GCA/001/548/235/GCA_001548235.1_ASM154823v1</t>
  </si>
  <si>
    <t>GCA_001552395.1</t>
  </si>
  <si>
    <t>NBRC 15361</t>
  </si>
  <si>
    <t>https://ftp.ncbi.nlm.nih.gov/genomes/all/GCA/001/552/395/GCA_001552395.1_ASM155239v1</t>
  </si>
  <si>
    <t>GCA_001552955.1</t>
  </si>
  <si>
    <t>DNF00591</t>
  </si>
  <si>
    <t>https://ftp.ncbi.nlm.nih.gov/genomes/all/GCA/001/552/955/GCA_001552955.1_ASM155295v1</t>
  </si>
  <si>
    <t>GCA_001552975.1</t>
  </si>
  <si>
    <t>DNF00896</t>
  </si>
  <si>
    <t>https://ftp.ncbi.nlm.nih.gov/genomes/all/GCA/001/552/975/GCA_001552975.1_ASM155297v1</t>
  </si>
  <si>
    <t>GCA_001553035.1</t>
  </si>
  <si>
    <t>DNF01167</t>
  </si>
  <si>
    <t>https://ftp.ncbi.nlm.nih.gov/genomes/all/GCA/001/553/035/GCA_001553035.1_ASM155303v1</t>
  </si>
  <si>
    <t>KA00185</t>
  </si>
  <si>
    <t>https://ftp.ncbi.nlm.nih.gov/genomes/all/GCA/001/553/045/GCA_001553045.1_ASM155304v1</t>
  </si>
  <si>
    <t>GCA_001553055.1</t>
  </si>
  <si>
    <t>DNF00959</t>
  </si>
  <si>
    <t>https://ftp.ncbi.nlm.nih.gov/genomes/all/GCA/001/553/055/GCA_001553055.1_ASM155305v1</t>
  </si>
  <si>
    <t>GCA_001553145.1</t>
  </si>
  <si>
    <t>KA00810</t>
  </si>
  <si>
    <t>https://ftp.ncbi.nlm.nih.gov/genomes/all/GCA/001/553/145/GCA_001553145.1_ASM155314v1</t>
  </si>
  <si>
    <t>GCA_001553165.1</t>
  </si>
  <si>
    <t>KA00676</t>
  </si>
  <si>
    <t>https://ftp.ncbi.nlm.nih.gov/genomes/all/GCA/001/553/165/GCA_001553165.1_ASM155316v1</t>
  </si>
  <si>
    <t>GCA_001553215.1</t>
  </si>
  <si>
    <t>KA00683</t>
  </si>
  <si>
    <t>https://ftp.ncbi.nlm.nih.gov/genomes/all/GCA/001/553/215/GCA_001553215.1_ASM155321v1</t>
  </si>
  <si>
    <t>GCA_001553225.1</t>
  </si>
  <si>
    <t>DNF00307</t>
  </si>
  <si>
    <t>https://ftp.ncbi.nlm.nih.gov/genomes/all/GCA/001/553/225/GCA_001553225.1_ASM155322v1</t>
  </si>
  <si>
    <t>GCA_001553315.1</t>
  </si>
  <si>
    <t>HMT-156</t>
  </si>
  <si>
    <t>nakazawae</t>
  </si>
  <si>
    <t>DNF00926</t>
  </si>
  <si>
    <t>https://ftp.ncbi.nlm.nih.gov/genomes/all/GCA/001/553/315/GCA_001553315.1_ASM155331v1</t>
  </si>
  <si>
    <t>GCA_001553335.1</t>
  </si>
  <si>
    <t>DNF00876</t>
  </si>
  <si>
    <t>https://ftp.ncbi.nlm.nih.gov/genomes/all/GCA/001/553/335/GCA_001553335.1_ASM155333v1</t>
  </si>
  <si>
    <t>GCA_001553345.1</t>
  </si>
  <si>
    <t>DNF00869</t>
  </si>
  <si>
    <t>https://ftp.ncbi.nlm.nih.gov/genomes/all/GCA/001/553/345/GCA_001553345.1_ASM155334v1</t>
  </si>
  <si>
    <t>GCA_001553395.1</t>
  </si>
  <si>
    <t>DNF00751</t>
  </si>
  <si>
    <t>https://ftp.ncbi.nlm.nih.gov/genomes/all/GCA/001/553/395/GCA_001553395.1_ASM155339v1</t>
  </si>
  <si>
    <t>haemolytica</t>
  </si>
  <si>
    <t>CCUG 32990</t>
  </si>
  <si>
    <t>https://ftp.ncbi.nlm.nih.gov/genomes/all/GCA/001/553/545/GCA_001553545.1_ASM155354v1</t>
  </si>
  <si>
    <t>GCA_001553565.1</t>
  </si>
  <si>
    <t>HMT-746</t>
  </si>
  <si>
    <t>radicidentis</t>
  </si>
  <si>
    <t>CCUG 36733</t>
  </si>
  <si>
    <t>https://ftp.ncbi.nlm.nih.gov/genomes/all/GCA/001/553/565/GCA_001553565.1_ASM155356v1</t>
  </si>
  <si>
    <t>GCA_001553605.1</t>
  </si>
  <si>
    <t>CCUG 45958</t>
  </si>
  <si>
    <t>https://ftp.ncbi.nlm.nih.gov/genomes/all/GCA/001/553/605/GCA_001553605.1_ASM155360v1</t>
  </si>
  <si>
    <t>GCA_001553625.1</t>
  </si>
  <si>
    <t>HMT-703</t>
  </si>
  <si>
    <t>Desulfomicrobium</t>
  </si>
  <si>
    <t>DSM 12838</t>
  </si>
  <si>
    <t>https://ftp.ncbi.nlm.nih.gov/genomes/all/GCA/001/553/625/GCA_001553625.1_ASM155362v1</t>
  </si>
  <si>
    <t>sp. HMT-847</t>
  </si>
  <si>
    <t>F0260</t>
  </si>
  <si>
    <t>https://ftp.ncbi.nlm.nih.gov/genomes/all/GCA/001/553/645/GCA_001553645.1_ASM155364v1</t>
  </si>
  <si>
    <t>GCA_001553685.1</t>
  </si>
  <si>
    <t>F0610 (5-114)</t>
  </si>
  <si>
    <t>https://ftp.ncbi.nlm.nih.gov/genomes/all/GCA/001/553/685/GCA_001553685.1_ASM155368v1</t>
  </si>
  <si>
    <t>GCA_001553795.1</t>
  </si>
  <si>
    <t>MP4-504</t>
  </si>
  <si>
    <t>https://ftp.ncbi.nlm.nih.gov/genomes/all/GCA/001/553/795/GCA_001553795.1_ASM155379v1</t>
  </si>
  <si>
    <t>GCA_001553855.1</t>
  </si>
  <si>
    <t>CCUG 33482</t>
  </si>
  <si>
    <t>https://ftp.ncbi.nlm.nih.gov/genomes/all/GCA/001/553/855/GCA_001553855.1_ASM155385v1</t>
  </si>
  <si>
    <t>GCA_001553915.1</t>
  </si>
  <si>
    <t>HMT-928</t>
  </si>
  <si>
    <t>W2231</t>
  </si>
  <si>
    <t>https://ftp.ncbi.nlm.nih.gov/genomes/all/GCA/001/553/915/GCA_001553915.1_ASM155391v1</t>
  </si>
  <si>
    <t>GCA_001553935.1</t>
  </si>
  <si>
    <t>T14V</t>
  </si>
  <si>
    <t>https://ftp.ncbi.nlm.nih.gov/genomes/all/GCA/001/553/935/GCA_001553935.1_ASM155393v1</t>
  </si>
  <si>
    <t>GCA_001553955.1</t>
  </si>
  <si>
    <t>HMT-711</t>
  </si>
  <si>
    <t>osloensis</t>
  </si>
  <si>
    <t>CCUG 350</t>
  </si>
  <si>
    <t>https://ftp.ncbi.nlm.nih.gov/genomes/all/GCA/001/553/955/GCA_001553955.1_ASM155395v1</t>
  </si>
  <si>
    <t>GCA_001554015.1</t>
  </si>
  <si>
    <t>F0591</t>
  </si>
  <si>
    <t>https://ftp.ncbi.nlm.nih.gov/genomes/all/GCA/001/554/015/GCA_001554015.1_ASM155401v1</t>
  </si>
  <si>
    <t>GCA_001556605.1</t>
  </si>
  <si>
    <t>CCH8-G7</t>
  </si>
  <si>
    <t>https://ftp.ncbi.nlm.nih.gov/genomes/all/GCA/001/556/605/GCA_001556605.1_ASM155660v1</t>
  </si>
  <si>
    <t>GCA_001558215.1</t>
  </si>
  <si>
    <t>NG8</t>
  </si>
  <si>
    <t>https://ftp.ncbi.nlm.nih.gov/genomes/all/GCA/001/558/215/GCA_001558215.1_ASM155821v1</t>
  </si>
  <si>
    <t>GCA_001558775.1</t>
  </si>
  <si>
    <t>FDAARGOS_141</t>
  </si>
  <si>
    <t>https://ftp.ncbi.nlm.nih.gov/genomes/all/GCA/001/558/775/GCA_001558775.1_ASM155877v1</t>
  </si>
  <si>
    <t>GCA_001558815.2</t>
  </si>
  <si>
    <t>FDAARGOS_143</t>
  </si>
  <si>
    <t>https://ftp.ncbi.nlm.nih.gov/genomes/all/GCA/001/558/815/GCA_001558815.2_ASM155881v2</t>
  </si>
  <si>
    <t>GCA_001558875.2</t>
  </si>
  <si>
    <t>FDAARGOS_163</t>
  </si>
  <si>
    <t>https://ftp.ncbi.nlm.nih.gov/genomes/all/GCA/001/558/875/GCA_001558875.2_ASM155887v2</t>
  </si>
  <si>
    <t>GCA_001560895.1</t>
  </si>
  <si>
    <t>SVGS_061</t>
  </si>
  <si>
    <t>https://ftp.ncbi.nlm.nih.gov/genomes/all/GCA/001/560/895/GCA_001560895.1_ASM156089v1</t>
  </si>
  <si>
    <t>GCA_001562215.1</t>
  </si>
  <si>
    <t>YM1</t>
  </si>
  <si>
    <t>https://ftp.ncbi.nlm.nih.gov/genomes/all/GCA/001/562/215/GCA_001562215.1_ASM156221v1</t>
  </si>
  <si>
    <t>GCA_001562845.1</t>
  </si>
  <si>
    <t>CMW7778A</t>
  </si>
  <si>
    <t>https://ftp.ncbi.nlm.nih.gov/genomes/all/GCA/001/562/845/GCA_001562845.1_ASM156284v1</t>
  </si>
  <si>
    <t>GCA_001563595.1</t>
  </si>
  <si>
    <t>MJR8628A</t>
  </si>
  <si>
    <t>https://ftp.ncbi.nlm.nih.gov/genomes/all/GCA/001/563/595/GCA_001563595.1_ASM156359v1</t>
  </si>
  <si>
    <t>GCA_001570785.1</t>
  </si>
  <si>
    <t>NBRC 106157</t>
  </si>
  <si>
    <t>https://ftp.ncbi.nlm.nih.gov/genomes/all/GCA/001/570/785/GCA_001570785.1_ASM157078v1</t>
  </si>
  <si>
    <t>Cellulosimicrobium</t>
  </si>
  <si>
    <t>funkei</t>
  </si>
  <si>
    <t>NBRC 104118</t>
  </si>
  <si>
    <t>https://ftp.ncbi.nlm.nih.gov/genomes/all/GCA/001/570/825/GCA_001570825.1_ASM157082v1</t>
  </si>
  <si>
    <t>GCA_001570845.1</t>
  </si>
  <si>
    <t>HMT-368</t>
  </si>
  <si>
    <t>Dietzia</t>
  </si>
  <si>
    <t>cinnamea</t>
  </si>
  <si>
    <t>NBRC 105045</t>
  </si>
  <si>
    <t>https://ftp.ncbi.nlm.nih.gov/genomes/all/GCA/001/570/845/GCA_001570845.1_ASM157084v1</t>
  </si>
  <si>
    <t>GCA_001571065.1</t>
  </si>
  <si>
    <t>NBRC 102147</t>
  </si>
  <si>
    <t>https://ftp.ncbi.nlm.nih.gov/genomes/all/GCA/001/571/065/GCA_001571065.1_ASM157106v1</t>
  </si>
  <si>
    <t>GCA_001574405.1</t>
  </si>
  <si>
    <t>GED7880</t>
  </si>
  <si>
    <t>https://ftp.ncbi.nlm.nih.gov/genomes/all/GCA/001/574/405/GCA_001574405.1_ASM157440v1</t>
  </si>
  <si>
    <t>GCA_001578725.1</t>
  </si>
  <si>
    <t>DD04</t>
  </si>
  <si>
    <t>https://ftp.ncbi.nlm.nih.gov/genomes/all/GCA/001/578/725/GCA_001578725.1_ASM157872v1</t>
  </si>
  <si>
    <t>GCA_001578775.1</t>
  </si>
  <si>
    <t>DD08</t>
  </si>
  <si>
    <t>https://ftp.ncbi.nlm.nih.gov/genomes/all/GCA/001/578/775/GCA_001578775.1_ASM157877v1</t>
  </si>
  <si>
    <t>GCA_001579115.1</t>
  </si>
  <si>
    <t>DD09</t>
  </si>
  <si>
    <t>https://ftp.ncbi.nlm.nih.gov/genomes/all/GCA/001/579/115/GCA_001579115.1_ASM157911v1</t>
  </si>
  <si>
    <t>GCA_001579275.1</t>
  </si>
  <si>
    <t>HMT-062</t>
  </si>
  <si>
    <t>simulans</t>
  </si>
  <si>
    <t>1B08</t>
  </si>
  <si>
    <t>https://ftp.ncbi.nlm.nih.gov/genomes/all/GCA/001/579/275/GCA_001579275.1_ASM157927v1</t>
  </si>
  <si>
    <t>GCA_001579645.1</t>
  </si>
  <si>
    <t>DD18</t>
  </si>
  <si>
    <t>https://ftp.ncbi.nlm.nih.gov/genomes/all/GCA/001/579/645/GCA_001579645.1_ASM157964v1</t>
  </si>
  <si>
    <t>NRRL B-3805</t>
  </si>
  <si>
    <t>https://ftp.ncbi.nlm.nih.gov/genomes/all/GCA/001/580/405/GCA_001580405.1_ASM158040v1</t>
  </si>
  <si>
    <t>GCA_001586215.1</t>
  </si>
  <si>
    <t>PES1</t>
  </si>
  <si>
    <t>https://ftp.ncbi.nlm.nih.gov/genomes/all/GCA/001/586/215/GCA_001586215.1_ASM158621v1</t>
  </si>
  <si>
    <t>GCA_001586235.1</t>
  </si>
  <si>
    <t>Wattiau</t>
  </si>
  <si>
    <t>https://ftp.ncbi.nlm.nih.gov/genomes/all/GCA/001/586/235/GCA_001586235.1_ASM158623v1</t>
  </si>
  <si>
    <t>GCA_001587175.1</t>
  </si>
  <si>
    <t>A12</t>
  </si>
  <si>
    <t>https://ftp.ncbi.nlm.nih.gov/genomes/all/GCA/001/587/175/GCA_001587175.1_ASM158717v1</t>
  </si>
  <si>
    <t>GCA_001588615.1</t>
  </si>
  <si>
    <t>FSS8</t>
  </si>
  <si>
    <t>https://ftp.ncbi.nlm.nih.gov/genomes/all/GCA/001/588/615/GCA_001588615.1_ASM158861v1</t>
  </si>
  <si>
    <t>GCA_001588695.1</t>
  </si>
  <si>
    <t>JPIBVI</t>
  </si>
  <si>
    <t>https://ftp.ncbi.nlm.nih.gov/genomes/all/GCA/001/588/695/GCA_001588695.1_ASM158869v1</t>
  </si>
  <si>
    <t>GCA_001588715.1</t>
  </si>
  <si>
    <t>MB451</t>
  </si>
  <si>
    <t>https://ftp.ncbi.nlm.nih.gov/genomes/all/GCA/001/588/715/GCA_001588715.1_ASM158871v1</t>
  </si>
  <si>
    <t>GCA_001588725.1</t>
  </si>
  <si>
    <t>POW10</t>
  </si>
  <si>
    <t>https://ftp.ncbi.nlm.nih.gov/genomes/all/GCA/001/588/725/GCA_001588725.1_ASM158872v1</t>
  </si>
  <si>
    <t>GCA_001588735.1</t>
  </si>
  <si>
    <t>PV40</t>
  </si>
  <si>
    <t>https://ftp.ncbi.nlm.nih.gov/genomes/all/GCA/001/588/735/GCA_001588735.1_ASM158873v1</t>
  </si>
  <si>
    <t>GCA_001588775.1</t>
  </si>
  <si>
    <t>Blackburn</t>
  </si>
  <si>
    <t>https://ftp.ncbi.nlm.nih.gov/genomes/all/GCA/001/588/775/GCA_001588775.1_ASM158877v1</t>
  </si>
  <si>
    <t>GCA_001588795.1</t>
  </si>
  <si>
    <t>Channon</t>
  </si>
  <si>
    <t>https://ftp.ncbi.nlm.nih.gov/genomes/all/GCA/001/588/795/GCA_001588795.1_ASM158879v1</t>
  </si>
  <si>
    <t>GCA_001588855.1</t>
  </si>
  <si>
    <t>DOBICBV2</t>
  </si>
  <si>
    <t>https://ftp.ncbi.nlm.nih.gov/genomes/all/GCA/001/588/855/GCA_001588855.1_ASM158885v1</t>
  </si>
  <si>
    <t>GCA_001588875.1</t>
  </si>
  <si>
    <t>FSS4</t>
  </si>
  <si>
    <t>https://ftp.ncbi.nlm.nih.gov/genomes/all/GCA/001/588/875/GCA_001588875.1_ASM158887v1</t>
  </si>
  <si>
    <t>GCA_001588895.1</t>
  </si>
  <si>
    <t>FSS9</t>
  </si>
  <si>
    <t>https://ftp.ncbi.nlm.nih.gov/genomes/all/GCA/001/588/895/GCA_001588895.1_ASM158889v1</t>
  </si>
  <si>
    <t>GCA_001588905.1</t>
  </si>
  <si>
    <t>JPIIBBV4</t>
  </si>
  <si>
    <t>https://ftp.ncbi.nlm.nih.gov/genomes/all/GCA/001/588/905/GCA_001588905.1_ASM158890v1</t>
  </si>
  <si>
    <t>GCA_001588935.1</t>
  </si>
  <si>
    <t>M5</t>
  </si>
  <si>
    <t>https://ftp.ncbi.nlm.nih.gov/genomes/all/GCA/001/588/935/GCA_001588935.1_ASM158893v1</t>
  </si>
  <si>
    <t>GCA_001588955.1</t>
  </si>
  <si>
    <t>M99</t>
  </si>
  <si>
    <t>https://ftp.ncbi.nlm.nih.gov/genomes/all/GCA/001/588/955/GCA_001588955.1_ASM158895v1</t>
  </si>
  <si>
    <t>GCA_001588975.1</t>
  </si>
  <si>
    <t>MW10</t>
  </si>
  <si>
    <t>https://ftp.ncbi.nlm.nih.gov/genomes/all/GCA/001/588/975/GCA_001588975.1_ASM158897v1</t>
  </si>
  <si>
    <t>GCA_001588985.1</t>
  </si>
  <si>
    <t>MB666</t>
  </si>
  <si>
    <t>https://ftp.ncbi.nlm.nih.gov/genomes/all/GCA/001/588/985/GCA_001588985.1_ASM158898v1</t>
  </si>
  <si>
    <t>GCA_001589035.1</t>
  </si>
  <si>
    <t>PK488</t>
  </si>
  <si>
    <t>https://ftp.ncbi.nlm.nih.gov/genomes/all/GCA/001/589/035/GCA_001589035.1_ASM158903v1</t>
  </si>
  <si>
    <t>GCA_001589055.1</t>
  </si>
  <si>
    <t>SK120</t>
  </si>
  <si>
    <t>https://ftp.ncbi.nlm.nih.gov/genomes/all/GCA/001/589/055/GCA_001589055.1_ASM158905v1</t>
  </si>
  <si>
    <t>GCA_001589065.1</t>
  </si>
  <si>
    <t>SK12</t>
  </si>
  <si>
    <t>https://ftp.ncbi.nlm.nih.gov/genomes/all/GCA/001/589/065/GCA_001589065.1_ASM158906v1</t>
  </si>
  <si>
    <t>GCA_001589095.1</t>
  </si>
  <si>
    <t>SK184</t>
  </si>
  <si>
    <t>https://ftp.ncbi.nlm.nih.gov/genomes/all/GCA/001/589/095/GCA_001589095.1_ASM158909v1</t>
  </si>
  <si>
    <t>GCA_001589145.1</t>
  </si>
  <si>
    <t>FSS2</t>
  </si>
  <si>
    <t>https://ftp.ncbi.nlm.nih.gov/genomes/all/GCA/001/589/145/GCA_001589145.1_ASM158914v1</t>
  </si>
  <si>
    <t>GCA_001590945.1</t>
  </si>
  <si>
    <t>NBRC 14940</t>
  </si>
  <si>
    <t>https://ftp.ncbi.nlm.nih.gov/genomes/all/GCA/001/590/945/GCA_001590945.1_ASM159094v1</t>
  </si>
  <si>
    <t>GCA_001591205.1</t>
  </si>
  <si>
    <t>NBRC 14161</t>
  </si>
  <si>
    <t>https://ftp.ncbi.nlm.nih.gov/genomes/all/GCA/001/591/205/GCA_001591205.1_ASM159120v1</t>
  </si>
  <si>
    <t>GCA_001591365.1</t>
  </si>
  <si>
    <t>NBRC 15149</t>
  </si>
  <si>
    <t>https://ftp.ncbi.nlm.nih.gov/genomes/all/GCA/001/591/365/GCA_001591365.1_ASM159136v1</t>
  </si>
  <si>
    <t>GCA_001591845.1</t>
  </si>
  <si>
    <t>NBRC 13951</t>
  </si>
  <si>
    <t>https://ftp.ncbi.nlm.nih.gov/genomes/all/GCA/001/591/845/GCA_001591845.1_ASM159184v1</t>
  </si>
  <si>
    <t>GCA_001592325.1</t>
  </si>
  <si>
    <t>NBRC 14587</t>
  </si>
  <si>
    <t>https://ftp.ncbi.nlm.nih.gov/genomes/all/GCA/001/592/325/GCA_001592325.1_ASM159232v1</t>
  </si>
  <si>
    <t>GCA_001593525.1</t>
  </si>
  <si>
    <t>NCTC 7863</t>
  </si>
  <si>
    <t>https://ftp.ncbi.nlm.nih.gov/genomes/all/GCA/001/593/525/GCA_001593525.1_ASM159352v1</t>
  </si>
  <si>
    <t>GCA_001594245.1</t>
  </si>
  <si>
    <t>VT1169</t>
  </si>
  <si>
    <t>https://ftp.ncbi.nlm.nih.gov/genomes/all/GCA/001/594/245/GCA_001594245.1_ASM159424v1</t>
  </si>
  <si>
    <t>GCA_001594265.1</t>
  </si>
  <si>
    <t>https://ftp.ncbi.nlm.nih.gov/genomes/all/GCA/001/594/265/GCA_001594265.1_ASM159426v1</t>
  </si>
  <si>
    <t>GCA_001594285.1</t>
  </si>
  <si>
    <t>ATCC 49046</t>
  </si>
  <si>
    <t>https://ftp.ncbi.nlm.nih.gov/genomes/all/GCA/001/594/285/GCA_001594285.1_ASM159428v1</t>
  </si>
  <si>
    <t>GCA_001596475.1</t>
  </si>
  <si>
    <t>LS_1260</t>
  </si>
  <si>
    <t>https://ftp.ncbi.nlm.nih.gov/genomes/all/GCA/001/596/475/GCA_001596475.1_ASM159647v1</t>
  </si>
  <si>
    <t>GCA_001596485.1</t>
  </si>
  <si>
    <t>LS_1264</t>
  </si>
  <si>
    <t>https://ftp.ncbi.nlm.nih.gov/genomes/all/GCA/001/596/485/GCA_001596485.1_ASM159648v1</t>
  </si>
  <si>
    <t>GCA_001596495.1</t>
  </si>
  <si>
    <t>LS_1197</t>
  </si>
  <si>
    <t>https://ftp.ncbi.nlm.nih.gov/genomes/all/GCA/001/596/495/GCA_001596495.1_ASM159649v1</t>
  </si>
  <si>
    <t>GCA_001597305.1</t>
  </si>
  <si>
    <t>LS_1195</t>
  </si>
  <si>
    <t>https://ftp.ncbi.nlm.nih.gov/genomes/all/GCA/001/597/305/GCA_001597305.1_ASM159730v1</t>
  </si>
  <si>
    <t>GCA_001597315.1</t>
  </si>
  <si>
    <t>LS_1266</t>
  </si>
  <si>
    <t>https://ftp.ncbi.nlm.nih.gov/genomes/all/GCA/001/597/315/GCA_001597315.1_ASM159731v1</t>
  </si>
  <si>
    <t>GCA_001597325.1</t>
  </si>
  <si>
    <t>LS_1280</t>
  </si>
  <si>
    <t>https://ftp.ncbi.nlm.nih.gov/genomes/all/GCA/001/597/325/GCA_001597325.1_ASM159732v1</t>
  </si>
  <si>
    <t>GCA_001597335.1</t>
  </si>
  <si>
    <t>LS_1272</t>
  </si>
  <si>
    <t>https://ftp.ncbi.nlm.nih.gov/genomes/all/GCA/001/597/335/GCA_001597335.1_ASM159733v1</t>
  </si>
  <si>
    <t>GCA_001597385.1</t>
  </si>
  <si>
    <t>LS_1291</t>
  </si>
  <si>
    <t>https://ftp.ncbi.nlm.nih.gov/genomes/all/GCA/001/597/385/GCA_001597385.1_ASM159738v1</t>
  </si>
  <si>
    <t>GCA_001597395.1</t>
  </si>
  <si>
    <t>F1248</t>
  </si>
  <si>
    <t>https://ftp.ncbi.nlm.nih.gov/genomes/all/GCA/001/597/395/GCA_001597395.1_ASM159739v1</t>
  </si>
  <si>
    <t>GCA_001597405.1</t>
  </si>
  <si>
    <t>F1285</t>
  </si>
  <si>
    <t>https://ftp.ncbi.nlm.nih.gov/genomes/all/GCA/001/597/405/GCA_001597405.1_ASM159740v1</t>
  </si>
  <si>
    <t>GCA_001597445.1</t>
  </si>
  <si>
    <t>F1250</t>
  </si>
  <si>
    <t>https://ftp.ncbi.nlm.nih.gov/genomes/all/GCA/001/597/445/GCA_001597445.1_ASM159744v1</t>
  </si>
  <si>
    <t>GCA_001597465.1</t>
  </si>
  <si>
    <t>F1267</t>
  </si>
  <si>
    <t>https://ftp.ncbi.nlm.nih.gov/genomes/all/GCA/001/597/465/GCA_001597465.1_ASM159746v1</t>
  </si>
  <si>
    <t>GCA_001597475.1</t>
  </si>
  <si>
    <t>F1309</t>
  </si>
  <si>
    <t>https://ftp.ncbi.nlm.nih.gov/genomes/all/GCA/001/597/475/GCA_001597475.1_ASM159747v1</t>
  </si>
  <si>
    <t>GCA_001597485.1</t>
  </si>
  <si>
    <t>F1314</t>
  </si>
  <si>
    <t>https://ftp.ncbi.nlm.nih.gov/genomes/all/GCA/001/597/485/GCA_001597485.1_ASM159748v1</t>
  </si>
  <si>
    <t>GCA_001597525.1</t>
  </si>
  <si>
    <t>F1353</t>
  </si>
  <si>
    <t>https://ftp.ncbi.nlm.nih.gov/genomes/all/GCA/001/597/525/GCA_001597525.1_ASM159752v1</t>
  </si>
  <si>
    <t>GCA_001597545.1</t>
  </si>
  <si>
    <t>F1330</t>
  </si>
  <si>
    <t>https://ftp.ncbi.nlm.nih.gov/genomes/all/GCA/001/597/545/GCA_001597545.1_ASM159754v1</t>
  </si>
  <si>
    <t>GCA_001597565.1</t>
  </si>
  <si>
    <t>F1365</t>
  </si>
  <si>
    <t>https://ftp.ncbi.nlm.nih.gov/genomes/all/GCA/001/597/565/GCA_001597565.1_ASM159756v1</t>
  </si>
  <si>
    <t>GCA_001597575.1</t>
  </si>
  <si>
    <t>F1351</t>
  </si>
  <si>
    <t>https://ftp.ncbi.nlm.nih.gov/genomes/all/GCA/001/597/575/GCA_001597575.1_ASM159757v1</t>
  </si>
  <si>
    <t>GCA_001598595.1</t>
  </si>
  <si>
    <t>NBRC 15126</t>
  </si>
  <si>
    <t>https://ftp.ncbi.nlm.nih.gov/genomes/all/GCA/001/598/595/GCA_001598595.1_ASM159859v1</t>
  </si>
  <si>
    <t>GCA_001598655.1</t>
  </si>
  <si>
    <t>NBRC 13691</t>
  </si>
  <si>
    <t>https://ftp.ncbi.nlm.nih.gov/genomes/all/GCA/001/598/655/GCA_001598655.1_ASM159865v1</t>
  </si>
  <si>
    <t>GCA_001598795.1</t>
  </si>
  <si>
    <t>NBRC 14950</t>
  </si>
  <si>
    <t>https://ftp.ncbi.nlm.nih.gov/genomes/all/GCA/001/598/795/GCA_001598795.1_ASM159879v1</t>
  </si>
  <si>
    <t>GCA_001611425.1</t>
  </si>
  <si>
    <t>ST20130939</t>
  </si>
  <si>
    <t>https://ftp.ncbi.nlm.nih.gov/genomes/all/GCA/001/611/425/GCA_001611425.1_ASM161142v1</t>
  </si>
  <si>
    <t>GCA_001611905.1</t>
  </si>
  <si>
    <t>YZ</t>
  </si>
  <si>
    <t>https://ftp.ncbi.nlm.nih.gov/genomes/all/GCA/001/611/905/GCA_001611905.1_ASM161190v1</t>
  </si>
  <si>
    <t>GCA_001611955.1</t>
  </si>
  <si>
    <t>S167</t>
  </si>
  <si>
    <t>https://ftp.ncbi.nlm.nih.gov/genomes/all/GCA/001/611/955/GCA_001611955.1_ASM161195v1</t>
  </si>
  <si>
    <t>GCA_001618015.1</t>
  </si>
  <si>
    <t>CD-NF1</t>
  </si>
  <si>
    <t>https://ftp.ncbi.nlm.nih.gov/genomes/all/GCA/001/618/015/GCA_001618015.1_ASM161801v1</t>
  </si>
  <si>
    <t>GCA_001618065.1</t>
  </si>
  <si>
    <t>CD-NF2</t>
  </si>
  <si>
    <t>https://ftp.ncbi.nlm.nih.gov/genomes/all/GCA/001/618/065/GCA_001618065.1_ASM161806v1</t>
  </si>
  <si>
    <t>GCA_001618075.1</t>
  </si>
  <si>
    <t>CD-NF3</t>
  </si>
  <si>
    <t>https://ftp.ncbi.nlm.nih.gov/genomes/all/GCA/001/618/075/GCA_001618075.1_ASM161807v1</t>
  </si>
  <si>
    <t>GCA_001618085.1</t>
  </si>
  <si>
    <t>CNF</t>
  </si>
  <si>
    <t>https://ftp.ncbi.nlm.nih.gov/genomes/all/GCA/001/618/085/GCA_001618085.1_ASM161808v1</t>
  </si>
  <si>
    <t>GCA_001618905.1</t>
  </si>
  <si>
    <t>ZLR003</t>
  </si>
  <si>
    <t>https://ftp.ncbi.nlm.nih.gov/genomes/all/GCA/001/618/905/GCA_001618905.1_ASM161890v1</t>
  </si>
  <si>
    <t>GCA_001625005.1</t>
  </si>
  <si>
    <t>ATCC 55676</t>
  </si>
  <si>
    <t>https://ftp.ncbi.nlm.nih.gov/genomes/all/GCA/001/625/005/GCA_001625005.1_ASM162500v1</t>
  </si>
  <si>
    <t>GCA_001630765.1</t>
  </si>
  <si>
    <t>DSM 43672</t>
  </si>
  <si>
    <t>https://ftp.ncbi.nlm.nih.gov/genomes/all/GCA/001/630/765/GCA_001630765.1_scaffolds</t>
  </si>
  <si>
    <t>GCA_001632285.1</t>
  </si>
  <si>
    <t>CCUG 353</t>
  </si>
  <si>
    <t>https://ftp.ncbi.nlm.nih.gov/genomes/all/GCA/001/632/285/GCA_001632285.1_ASM163228v1</t>
  </si>
  <si>
    <t>https://ftp.ncbi.nlm.nih.gov/genomes/all/GCA/001/632/305/GCA_001632305.1_ASM163230v1</t>
  </si>
  <si>
    <t>SLM1</t>
  </si>
  <si>
    <t>https://ftp.ncbi.nlm.nih.gov/genomes/all/GCA/001/633/025/GCA_001633025.1_ASM163302v1</t>
  </si>
  <si>
    <t>GCA_001639025.1</t>
  </si>
  <si>
    <t>LCDC880199</t>
  </si>
  <si>
    <t>https://ftp.ncbi.nlm.nih.gov/genomes/all/GCA/001/639/025/GCA_001639025.1_ASM163902v1</t>
  </si>
  <si>
    <t>GCA_001639275.1</t>
  </si>
  <si>
    <t>DSM 7256</t>
  </si>
  <si>
    <t>https://ftp.ncbi.nlm.nih.gov/genomes/all/GCA/001/639/275/GCA_001639275.1_ASM163927v1</t>
  </si>
  <si>
    <t>GCA_001639375.1</t>
  </si>
  <si>
    <t>CCUG 24891</t>
  </si>
  <si>
    <t>https://ftp.ncbi.nlm.nih.gov/genomes/all/GCA/001/639/375/GCA_001639375.1_ASM163937v1</t>
  </si>
  <si>
    <t>dorei</t>
  </si>
  <si>
    <t>CL03T12C01</t>
  </si>
  <si>
    <t>https://ftp.ncbi.nlm.nih.gov/genomes/all/GCA/001/640/865/GCA_001640865.1_ASM164086v1</t>
  </si>
  <si>
    <t>GCA_001642025.1</t>
  </si>
  <si>
    <t>NTS 31307302</t>
  </si>
  <si>
    <t>https://ftp.ncbi.nlm.nih.gov/genomes/all/GCA/001/642/025/GCA_001642025.1_ASM164202v1</t>
  </si>
  <si>
    <t>GCA_001646625.1</t>
  </si>
  <si>
    <t>W14</t>
  </si>
  <si>
    <t>https://ftp.ncbi.nlm.nih.gov/genomes/all/GCA/001/646/625/GCA_001646625.1_ASM164662v1</t>
  </si>
  <si>
    <t>GCA_001647695.1</t>
  </si>
  <si>
    <t>VAN2</t>
  </si>
  <si>
    <t>https://ftp.ncbi.nlm.nih.gov/genomes/all/GCA/001/647/695/GCA_001647695.1_ASM164769v1</t>
  </si>
  <si>
    <t>GCA_001647765.1</t>
  </si>
  <si>
    <t>VAN4</t>
  </si>
  <si>
    <t>https://ftp.ncbi.nlm.nih.gov/genomes/all/GCA/001/647/765/GCA_001647765.1_ASM164776v1</t>
  </si>
  <si>
    <t>GCA_001647795.1</t>
  </si>
  <si>
    <t>VAN5</t>
  </si>
  <si>
    <t>https://ftp.ncbi.nlm.nih.gov/genomes/all/GCA/001/647/795/GCA_001647795.1_ASM164779v1</t>
  </si>
  <si>
    <t>GCA_001647855.1</t>
  </si>
  <si>
    <t>GHA3</t>
  </si>
  <si>
    <t>https://ftp.ncbi.nlm.nih.gov/genomes/all/GCA/001/647/855/GCA_001647855.1_ASM164785v1</t>
  </si>
  <si>
    <t>GCA_001647875.1</t>
  </si>
  <si>
    <t>GHA5</t>
  </si>
  <si>
    <t>https://ftp.ncbi.nlm.nih.gov/genomes/all/GCA/001/647/875/GCA_001647875.1_ASM164787v1</t>
  </si>
  <si>
    <t>GCA_001647915.1</t>
  </si>
  <si>
    <t>GHA9</t>
  </si>
  <si>
    <t>https://ftp.ncbi.nlm.nih.gov/genomes/all/GCA/001/647/915/GCA_001647915.1_ASM164791v1</t>
  </si>
  <si>
    <t>GCA_001648235.1</t>
  </si>
  <si>
    <t>NML01-0328</t>
  </si>
  <si>
    <t>https://ftp.ncbi.nlm.nih.gov/genomes/all/GCA/001/648/235/GCA_001648235.1_ASM164823v1</t>
  </si>
  <si>
    <t>GCA_001648245.1</t>
  </si>
  <si>
    <t>NML04-0072</t>
  </si>
  <si>
    <t>https://ftp.ncbi.nlm.nih.gov/genomes/all/GCA/001/648/245/GCA_001648245.1_ASM164824v1</t>
  </si>
  <si>
    <t>GCA_001648255.1</t>
  </si>
  <si>
    <t>NML01-0040</t>
  </si>
  <si>
    <t>https://ftp.ncbi.nlm.nih.gov/genomes/all/GCA/001/648/255/GCA_001648255.1_ASM164825v1</t>
  </si>
  <si>
    <t>NML120819</t>
  </si>
  <si>
    <t>https://ftp.ncbi.nlm.nih.gov/genomes/all/GCA/001/648/265/GCA_001648265.1_ASM164826v1</t>
  </si>
  <si>
    <t>GCA_001648315.1</t>
  </si>
  <si>
    <t>NML130388</t>
  </si>
  <si>
    <t>https://ftp.ncbi.nlm.nih.gov/genomes/all/GCA/001/648/315/GCA_001648315.1_ASM164831v1</t>
  </si>
  <si>
    <t>GCA_001648335.1</t>
  </si>
  <si>
    <t>NML140207</t>
  </si>
  <si>
    <t>https://ftp.ncbi.nlm.nih.gov/genomes/all/GCA/001/648/335/GCA_001648335.1_ASM164833v1</t>
  </si>
  <si>
    <t>GCA_001648835.1</t>
  </si>
  <si>
    <t>https://ftp.ncbi.nlm.nih.gov/genomes/all/GCA/001/648/835/GCA_001648835.1_ASM164883v1</t>
  </si>
  <si>
    <t>GCA_001650475.1</t>
  </si>
  <si>
    <t>H36</t>
  </si>
  <si>
    <t>https://ftp.ncbi.nlm.nih.gov/genomes/all/GCA/001/650/475/GCA_001650475.1_ASM165047v1</t>
  </si>
  <si>
    <t>BA112</t>
  </si>
  <si>
    <t>https://ftp.ncbi.nlm.nih.gov/genomes/all/GCA/001/652/275/GCA_001652275.1_ASM165227v1</t>
  </si>
  <si>
    <t>GCA_001653495.1</t>
  </si>
  <si>
    <t>https://ftp.ncbi.nlm.nih.gov/genomes/all/GCA/001/653/495/GCA_001653495.1_ASM165349v1</t>
  </si>
  <si>
    <t>GCA_001656095.1</t>
  </si>
  <si>
    <t>F18</t>
  </si>
  <si>
    <t>https://ftp.ncbi.nlm.nih.gov/genomes/all/GCA/001/656/095/GCA_001656095.1_ASM165609v1</t>
  </si>
  <si>
    <t>GCA_001656115.1</t>
  </si>
  <si>
    <t>https://ftp.ncbi.nlm.nih.gov/genomes/all/GCA/001/656/115/GCA_001656115.1_ASM165611v1</t>
  </si>
  <si>
    <t>GCA_001656255.1</t>
  </si>
  <si>
    <t>Z18</t>
  </si>
  <si>
    <t>https://ftp.ncbi.nlm.nih.gov/genomes/all/GCA/001/656/255/GCA_001656255.1_ASM165625v1</t>
  </si>
  <si>
    <t>GCA_001656455.1</t>
  </si>
  <si>
    <t>N12</t>
  </si>
  <si>
    <t>https://ftp.ncbi.nlm.nih.gov/genomes/all/GCA/001/656/455/GCA_001656455.1_ASM165645v1</t>
  </si>
  <si>
    <t>GCA_001656475.1</t>
  </si>
  <si>
    <t>N1</t>
  </si>
  <si>
    <t>https://ftp.ncbi.nlm.nih.gov/genomes/all/GCA/001/656/475/GCA_001656475.1_ASM165647v1</t>
  </si>
  <si>
    <t>GCA_001657905.1</t>
  </si>
  <si>
    <t>22-04 S5</t>
  </si>
  <si>
    <t>https://ftp.ncbi.nlm.nih.gov/genomes/all/GCA/001/657/905/GCA_001657905.1_ASM165790v1</t>
  </si>
  <si>
    <t>GCA_001657915.1</t>
  </si>
  <si>
    <t>22-06 S6</t>
  </si>
  <si>
    <t>https://ftp.ncbi.nlm.nih.gov/genomes/all/GCA/001/657/915/GCA_001657915.1_ASM165791v1</t>
  </si>
  <si>
    <t>GCA_001659645.1</t>
  </si>
  <si>
    <t>20-12 S2</t>
  </si>
  <si>
    <t>https://ftp.ncbi.nlm.nih.gov/genomes/all/GCA/001/659/645/GCA_001659645.1_ASM165964v1</t>
  </si>
  <si>
    <t>GCA_001665955.1</t>
  </si>
  <si>
    <t>EPI-003-04-2554_SCH2473622</t>
  </si>
  <si>
    <t>https://ftp.ncbi.nlm.nih.gov/genomes/all/GCA/001/665/955/GCA_001665955.1_ASM166595v1</t>
  </si>
  <si>
    <t>GCA_001671545.1</t>
  </si>
  <si>
    <t>R7ANS::ICEMcbSym1271</t>
  </si>
  <si>
    <t>https://ftp.ncbi.nlm.nih.gov/genomes/all/GCA/001/671/545/GCA_001671545.1_ASM167154v1</t>
  </si>
  <si>
    <t>GCA_001679005.1</t>
  </si>
  <si>
    <t>HMT-098</t>
  </si>
  <si>
    <t>nonliquefaciens</t>
  </si>
  <si>
    <t>CCUG 348</t>
  </si>
  <si>
    <t>https://ftp.ncbi.nlm.nih.gov/genomes/all/GCA/001/679/005/GCA_001679005.1_ASM167900v1</t>
  </si>
  <si>
    <t>GCA_001679045.1</t>
  </si>
  <si>
    <t>CCUG 12834</t>
  </si>
  <si>
    <t>https://ftp.ncbi.nlm.nih.gov/genomes/all/GCA/001/679/045/GCA_001679045.1_ASM167904v1</t>
  </si>
  <si>
    <t>GCA_001679075.1</t>
  </si>
  <si>
    <t>CCUG 58286</t>
  </si>
  <si>
    <t>https://ftp.ncbi.nlm.nih.gov/genomes/all/GCA/001/679/075/GCA_001679075.1_ASM167907v1</t>
  </si>
  <si>
    <t>GCA_001679105.1</t>
  </si>
  <si>
    <t>CCUG 18283</t>
  </si>
  <si>
    <t>https://ftp.ncbi.nlm.nih.gov/genomes/all/GCA/001/679/105/GCA_001679105.1_ASM167910v1</t>
  </si>
  <si>
    <t>GCA_001679125.1</t>
  </si>
  <si>
    <t>CCUG 47514</t>
  </si>
  <si>
    <t>https://ftp.ncbi.nlm.nih.gov/genomes/all/GCA/001/679/125/GCA_001679125.1_ASM167912v1</t>
  </si>
  <si>
    <t>GCA_001679135.1</t>
  </si>
  <si>
    <t>CCUG 24149</t>
  </si>
  <si>
    <t>https://ftp.ncbi.nlm.nih.gov/genomes/all/GCA/001/679/135/GCA_001679135.1_ASM167913v1</t>
  </si>
  <si>
    <t>GCA_001679155.1</t>
  </si>
  <si>
    <t>CCUG 60284</t>
  </si>
  <si>
    <t>https://ftp.ncbi.nlm.nih.gov/genomes/all/GCA/001/679/155/GCA_001679155.1_ASM167915v1</t>
  </si>
  <si>
    <t>GCA_001679175.1</t>
  </si>
  <si>
    <t>https://ftp.ncbi.nlm.nih.gov/genomes/all/GCA/001/679/175/GCA_001679175.1_ASM167917v1</t>
  </si>
  <si>
    <t>GCA_001679305.1</t>
  </si>
  <si>
    <t>CCUG 628</t>
  </si>
  <si>
    <t>https://ftp.ncbi.nlm.nih.gov/genomes/all/GCA/001/679/305/GCA_001679305.1_ASM167930v1</t>
  </si>
  <si>
    <t>GCA_001679325.1</t>
  </si>
  <si>
    <t>CCUG 62654</t>
  </si>
  <si>
    <t>https://ftp.ncbi.nlm.nih.gov/genomes/all/GCA/001/679/325/GCA_001679325.1_ASM167932v1</t>
  </si>
  <si>
    <t>GCA_001679335.1</t>
  </si>
  <si>
    <t>CCUG 26840</t>
  </si>
  <si>
    <t>https://ftp.ncbi.nlm.nih.gov/genomes/all/GCA/001/679/335/GCA_001679335.1_ASM167933v1</t>
  </si>
  <si>
    <t>GCA_001679345.1</t>
  </si>
  <si>
    <t>CCUG 57283</t>
  </si>
  <si>
    <t>https://ftp.ncbi.nlm.nih.gov/genomes/all/GCA/001/679/345/GCA_001679345.1_ASM167934v1</t>
  </si>
  <si>
    <t>GCA_001679405.1</t>
  </si>
  <si>
    <t>CCUG 58848</t>
  </si>
  <si>
    <t>https://ftp.ncbi.nlm.nih.gov/genomes/all/GCA/001/679/405/GCA_001679405.1_ASM167940v1</t>
  </si>
  <si>
    <t>GCA_001679445.1</t>
  </si>
  <si>
    <t>CCUG 39154</t>
  </si>
  <si>
    <t>https://ftp.ncbi.nlm.nih.gov/genomes/all/GCA/001/679/445/GCA_001679445.1_ASM167944v1</t>
  </si>
  <si>
    <t>GCA_001679455.1</t>
  </si>
  <si>
    <t>CCUG 62655</t>
  </si>
  <si>
    <t>https://ftp.ncbi.nlm.nih.gov/genomes/all/GCA/001/679/455/GCA_001679455.1_ASM167945v1</t>
  </si>
  <si>
    <t>GCA_001679485.1</t>
  </si>
  <si>
    <t>CCUG 60358</t>
  </si>
  <si>
    <t>https://ftp.ncbi.nlm.nih.gov/genomes/all/GCA/001/679/485/GCA_001679485.1_ASM167948v1</t>
  </si>
  <si>
    <t>GCA_001679495.1</t>
  </si>
  <si>
    <t>CCUG 66565</t>
  </si>
  <si>
    <t>https://ftp.ncbi.nlm.nih.gov/genomes/all/GCA/001/679/495/GCA_001679495.1_ASM167949v1</t>
  </si>
  <si>
    <t>GCA_001680765.1</t>
  </si>
  <si>
    <t>ATCC 19415</t>
  </si>
  <si>
    <t>https://ftp.ncbi.nlm.nih.gov/genomes/all/GCA/001/680/765/GCA_001680765.1_ASM168076v1</t>
  </si>
  <si>
    <t>GCA_001680775.1</t>
  </si>
  <si>
    <t>ATCC 9796</t>
  </si>
  <si>
    <t>https://ftp.ncbi.nlm.nih.gov/genomes/all/GCA/001/680/775/GCA_001680775.1_ASM168077v1</t>
  </si>
  <si>
    <t>GCA_001680805.1</t>
  </si>
  <si>
    <t>ATCC 7901</t>
  </si>
  <si>
    <t>https://ftp.ncbi.nlm.nih.gov/genomes/all/GCA/001/680/805/GCA_001680805.1_ASM168080v1</t>
  </si>
  <si>
    <t>GCA_001683095.1</t>
  </si>
  <si>
    <t>Parent1</t>
  </si>
  <si>
    <t>https://ftp.ncbi.nlm.nih.gov/genomes/all/GCA/001/683/095/GCA_001683095.1_ASM168309v1</t>
  </si>
  <si>
    <t>GCA_001683135.1</t>
  </si>
  <si>
    <t>PR01</t>
  </si>
  <si>
    <t>https://ftp.ncbi.nlm.nih.gov/genomes/all/GCA/001/683/135/GCA_001683135.1_ASM168313v1</t>
  </si>
  <si>
    <t>GCA_001683335.1</t>
  </si>
  <si>
    <t>HMT-126</t>
  </si>
  <si>
    <t>sp. HMT-126</t>
  </si>
  <si>
    <t>W7667</t>
  </si>
  <si>
    <t>https://ftp.ncbi.nlm.nih.gov/genomes/all/GCA/001/683/335/GCA_001683335.1_ASM168333v1</t>
  </si>
  <si>
    <t>GCA_001683355.1</t>
  </si>
  <si>
    <t>W2052</t>
  </si>
  <si>
    <t>https://ftp.ncbi.nlm.nih.gov/genomes/all/GCA/001/683/355/GCA_001683355.1_ASM168335v1</t>
  </si>
  <si>
    <t>GCA_001683375.1</t>
  </si>
  <si>
    <t>W10853</t>
  </si>
  <si>
    <t>https://ftp.ncbi.nlm.nih.gov/genomes/all/GCA/001/683/375/GCA_001683375.1_ASM168337v1</t>
  </si>
  <si>
    <t>GCA_001688645.2</t>
  </si>
  <si>
    <t>YL2</t>
  </si>
  <si>
    <t>https://ftp.ncbi.nlm.nih.gov/genomes/all/GCA/001/688/645/GCA_001688645.2_ASM168864v2</t>
  </si>
  <si>
    <t>YL44</t>
  </si>
  <si>
    <t>https://ftp.ncbi.nlm.nih.gov/genomes/all/GCA/001/688/765/GCA_001688765.2_ASM168876v2</t>
  </si>
  <si>
    <t>GCA_001690155.1</t>
  </si>
  <si>
    <t>IDH781</t>
  </si>
  <si>
    <t>https://ftp.ncbi.nlm.nih.gov/genomes/all/GCA/001/690/155/GCA_001690155.1_ASM169015v1</t>
  </si>
  <si>
    <t>GCA_001692965.1</t>
  </si>
  <si>
    <t>UCD-PD2</t>
  </si>
  <si>
    <t>https://ftp.ncbi.nlm.nih.gov/genomes/all/GCA/001/692/965/GCA_001692965.1_ASM169296v1</t>
  </si>
  <si>
    <t>GCA_001697105.1</t>
  </si>
  <si>
    <t>DE8669</t>
  </si>
  <si>
    <t>https://ftp.ncbi.nlm.nih.gov/genomes/all/GCA/001/697/105/GCA_001697105.1_ASM169710v1</t>
  </si>
  <si>
    <t>GCA_001697125.1</t>
  </si>
  <si>
    <t>DE10444</t>
  </si>
  <si>
    <t>https://ftp.ncbi.nlm.nih.gov/genomes/all/GCA/001/697/125/GCA_001697125.1_ASM169712v1</t>
  </si>
  <si>
    <t>GCA_001697165.1</t>
  </si>
  <si>
    <t>DE8555</t>
  </si>
  <si>
    <t>https://ftp.ncbi.nlm.nih.gov/genomes/all/GCA/001/697/165/GCA_001697165.1_ASM169716v1</t>
  </si>
  <si>
    <t>GCA_001697205.1</t>
  </si>
  <si>
    <t>WUE2121</t>
  </si>
  <si>
    <t>https://ftp.ncbi.nlm.nih.gov/genomes/all/GCA/001/697/205/GCA_001697205.1_ASM169720v1</t>
  </si>
  <si>
    <t>GCA_001697265.1</t>
  </si>
  <si>
    <t>KCTC 3135</t>
  </si>
  <si>
    <t>https://ftp.ncbi.nlm.nih.gov/genomes/all/GCA/001/697/265/GCA_001697265.1_ASM169726v1</t>
  </si>
  <si>
    <t>GCA_001697305.1</t>
  </si>
  <si>
    <t>M22718</t>
  </si>
  <si>
    <t>https://ftp.ncbi.nlm.nih.gov/genomes/all/GCA/001/697/305/GCA_001697305.1_ASM169730v1</t>
  </si>
  <si>
    <t>GCA_001697325.1</t>
  </si>
  <si>
    <t>M12752</t>
  </si>
  <si>
    <t>https://ftp.ncbi.nlm.nih.gov/genomes/all/GCA/001/697/325/GCA_001697325.1_ASM169732v1</t>
  </si>
  <si>
    <t>GCA_001697345.1</t>
  </si>
  <si>
    <t>M22819</t>
  </si>
  <si>
    <t>https://ftp.ncbi.nlm.nih.gov/genomes/all/GCA/001/697/345/GCA_001697345.1_ASM169734v1</t>
  </si>
  <si>
    <t>GCA_001697365.1</t>
  </si>
  <si>
    <t>M22809</t>
  </si>
  <si>
    <t>https://ftp.ncbi.nlm.nih.gov/genomes/all/GCA/001/697/365/GCA_001697365.1_ASM169736v1</t>
  </si>
  <si>
    <t>GCA_001697385.1</t>
  </si>
  <si>
    <t>M09293</t>
  </si>
  <si>
    <t>https://ftp.ncbi.nlm.nih.gov/genomes/all/GCA/001/697/385/GCA_001697385.1_ASM169738v1</t>
  </si>
  <si>
    <t>GCA_001697405.1</t>
  </si>
  <si>
    <t>M22189</t>
  </si>
  <si>
    <t>https://ftp.ncbi.nlm.nih.gov/genomes/all/GCA/001/697/405/GCA_001697405.1_ASM169740v1</t>
  </si>
  <si>
    <t>GCA_001697425.1</t>
  </si>
  <si>
    <t>M07149</t>
  </si>
  <si>
    <t>https://ftp.ncbi.nlm.nih.gov/genomes/all/GCA/001/697/425/GCA_001697425.1_ASM169742v1</t>
  </si>
  <si>
    <t>GCA_001697465.1</t>
  </si>
  <si>
    <t>M08001</t>
  </si>
  <si>
    <t>https://ftp.ncbi.nlm.nih.gov/genomes/all/GCA/001/697/465/GCA_001697465.1_ASM169746v1</t>
  </si>
  <si>
    <t>GCA_001697485.1</t>
  </si>
  <si>
    <t>M22748</t>
  </si>
  <si>
    <t>https://ftp.ncbi.nlm.nih.gov/genomes/all/GCA/001/697/485/GCA_001697485.1_ASM169748v1</t>
  </si>
  <si>
    <t>GCA_001697545.1</t>
  </si>
  <si>
    <t>M22769</t>
  </si>
  <si>
    <t>https://ftp.ncbi.nlm.nih.gov/genomes/all/GCA/001/697/545/GCA_001697545.1_ASM169754v1</t>
  </si>
  <si>
    <t>GCA_001697565.1</t>
  </si>
  <si>
    <t>M22745</t>
  </si>
  <si>
    <t>https://ftp.ncbi.nlm.nih.gov/genomes/all/GCA/001/697/565/GCA_001697565.1_ASM169756v1</t>
  </si>
  <si>
    <t>GCA_001697585.1</t>
  </si>
  <si>
    <t>M24730</t>
  </si>
  <si>
    <t>https://ftp.ncbi.nlm.nih.gov/genomes/all/GCA/001/697/585/GCA_001697585.1_ASM169758v1</t>
  </si>
  <si>
    <t>GCA_001697605.1</t>
  </si>
  <si>
    <t>M22801</t>
  </si>
  <si>
    <t>https://ftp.ncbi.nlm.nih.gov/genomes/all/GCA/001/697/605/GCA_001697605.1_ASM169760v1</t>
  </si>
  <si>
    <t>GCA_001697625.1</t>
  </si>
  <si>
    <t>M22804</t>
  </si>
  <si>
    <t>https://ftp.ncbi.nlm.nih.gov/genomes/all/GCA/001/697/625/GCA_001697625.1_ASM169762v1</t>
  </si>
  <si>
    <t>GCA_001697645.1</t>
  </si>
  <si>
    <t>M25438</t>
  </si>
  <si>
    <t>https://ftp.ncbi.nlm.nih.gov/genomes/all/GCA/001/697/645/GCA_001697645.1_ASM169764v1</t>
  </si>
  <si>
    <t>GCA_001697665.1</t>
  </si>
  <si>
    <t>M23413</t>
  </si>
  <si>
    <t>https://ftp.ncbi.nlm.nih.gov/genomes/all/GCA/001/697/665/GCA_001697665.1_ASM169766v1</t>
  </si>
  <si>
    <t>GCA_001697685.1</t>
  </si>
  <si>
    <t>M22722</t>
  </si>
  <si>
    <t>https://ftp.ncbi.nlm.nih.gov/genomes/all/GCA/001/697/685/GCA_001697685.1_ASM169768v1</t>
  </si>
  <si>
    <t>GCA_001697705.1</t>
  </si>
  <si>
    <t>M25070</t>
  </si>
  <si>
    <t>https://ftp.ncbi.nlm.nih.gov/genomes/all/GCA/001/697/705/GCA_001697705.1_ASM169770v1</t>
  </si>
  <si>
    <t>GCA_001697725.1</t>
  </si>
  <si>
    <t>M09261</t>
  </si>
  <si>
    <t>https://ftp.ncbi.nlm.nih.gov/genomes/all/GCA/001/697/725/GCA_001697725.1_ASM169772v1</t>
  </si>
  <si>
    <t>GCA_001697745.1</t>
  </si>
  <si>
    <t>M25462</t>
  </si>
  <si>
    <t>https://ftp.ncbi.nlm.nih.gov/genomes/all/GCA/001/697/745/GCA_001697745.1_ASM169774v1</t>
  </si>
  <si>
    <t>GCA_001697765.1</t>
  </si>
  <si>
    <t>M27559</t>
  </si>
  <si>
    <t>https://ftp.ncbi.nlm.nih.gov/genomes/all/GCA/001/697/765/GCA_001697765.1_ASM169776v1</t>
  </si>
  <si>
    <t>GCA_001697805.1</t>
  </si>
  <si>
    <t>M22759</t>
  </si>
  <si>
    <t>https://ftp.ncbi.nlm.nih.gov/genomes/all/GCA/001/697/805/GCA_001697805.1_ASM169780v1</t>
  </si>
  <si>
    <t>GCA_001697825.1</t>
  </si>
  <si>
    <t>M25087</t>
  </si>
  <si>
    <t>https://ftp.ncbi.nlm.nih.gov/genomes/all/GCA/001/697/825/GCA_001697825.1_ASM169782v1</t>
  </si>
  <si>
    <t>GCA_001697845.1</t>
  </si>
  <si>
    <t>M22783</t>
  </si>
  <si>
    <t>https://ftp.ncbi.nlm.nih.gov/genomes/all/GCA/001/697/845/GCA_001697845.1_ASM169784v1</t>
  </si>
  <si>
    <t>GCA_001697865.1</t>
  </si>
  <si>
    <t>M22828</t>
  </si>
  <si>
    <t>https://ftp.ncbi.nlm.nih.gov/genomes/all/GCA/001/697/865/GCA_001697865.1_ASM169786v1</t>
  </si>
  <si>
    <t>GCA_001697885.1</t>
  </si>
  <si>
    <t>M25459</t>
  </si>
  <si>
    <t>https://ftp.ncbi.nlm.nih.gov/genomes/all/GCA/001/697/885/GCA_001697885.1_ASM169788v1</t>
  </si>
  <si>
    <t>GCA_001697925.1</t>
  </si>
  <si>
    <t>M07161</t>
  </si>
  <si>
    <t>https://ftp.ncbi.nlm.nih.gov/genomes/all/GCA/001/697/925/GCA_001697925.1_ASM169792v1</t>
  </si>
  <si>
    <t>GCA_001697945.1</t>
  </si>
  <si>
    <t>M25476</t>
  </si>
  <si>
    <t>https://ftp.ncbi.nlm.nih.gov/genomes/all/GCA/001/697/945/GCA_001697945.1_ASM169794v1</t>
  </si>
  <si>
    <t>GCA_001697965.1</t>
  </si>
  <si>
    <t>M25456</t>
  </si>
  <si>
    <t>https://ftp.ncbi.nlm.nih.gov/genomes/all/GCA/001/697/965/GCA_001697965.1_ASM169796v1</t>
  </si>
  <si>
    <t>GCA_001697985.1</t>
  </si>
  <si>
    <t>M25419</t>
  </si>
  <si>
    <t>https://ftp.ncbi.nlm.nih.gov/genomes/all/GCA/001/697/985/GCA_001697985.1_ASM169798v1</t>
  </si>
  <si>
    <t>GCA_001698025.1</t>
  </si>
  <si>
    <t>M22822</t>
  </si>
  <si>
    <t>https://ftp.ncbi.nlm.nih.gov/genomes/all/GCA/001/698/025/GCA_001698025.1_ASM169802v1</t>
  </si>
  <si>
    <t>GCA_001698045.1</t>
  </si>
  <si>
    <t>M07162</t>
  </si>
  <si>
    <t>https://ftp.ncbi.nlm.nih.gov/genomes/all/GCA/001/698/045/GCA_001698045.1_ASM169804v1</t>
  </si>
  <si>
    <t>GCA_001698065.1</t>
  </si>
  <si>
    <t>M08000</t>
  </si>
  <si>
    <t>https://ftp.ncbi.nlm.nih.gov/genomes/all/GCA/001/698/065/GCA_001698065.1_ASM169806v1</t>
  </si>
  <si>
    <t>GCA_001698085.1</t>
  </si>
  <si>
    <t>M24705</t>
  </si>
  <si>
    <t>https://ftp.ncbi.nlm.nih.gov/genomes/all/GCA/001/698/085/GCA_001698085.1_ASM169808v1</t>
  </si>
  <si>
    <t>GCA_001700755.2</t>
  </si>
  <si>
    <t>DSM 20700</t>
  </si>
  <si>
    <t>https://ftp.ncbi.nlm.nih.gov/genomes/all/GCA/001/700/755/GCA_001700755.2_ASM170075v2</t>
  </si>
  <si>
    <t>GCA_001700965.1</t>
  </si>
  <si>
    <t>https://ftp.ncbi.nlm.nih.gov/genomes/all/GCA/001/700/965/GCA_001700965.1_ASM170096v1</t>
  </si>
  <si>
    <t>GCA_001703515.1</t>
  </si>
  <si>
    <t>TMW 2.1564</t>
  </si>
  <si>
    <t>https://ftp.ncbi.nlm.nih.gov/genomes/all/GCA/001/703/515/GCA_001703515.1_ASM170351v1</t>
  </si>
  <si>
    <t>GCA_001703535.1</t>
  </si>
  <si>
    <t>TMW 2.1572</t>
  </si>
  <si>
    <t>https://ftp.ncbi.nlm.nih.gov/genomes/all/GCA/001/703/535/GCA_001703535.1_ASM170353v1</t>
  </si>
  <si>
    <t>GCA_001703615.1</t>
  </si>
  <si>
    <t>AD01</t>
  </si>
  <si>
    <t>https://ftp.ncbi.nlm.nih.gov/genomes/all/GCA/001/703/615/GCA_001703615.1_ASM170361v1</t>
  </si>
  <si>
    <t>GCA_001708445.1</t>
  </si>
  <si>
    <t>L321</t>
  </si>
  <si>
    <t>https://ftp.ncbi.nlm.nih.gov/genomes/all/GCA/001/708/445/GCA_001708445.1_ASM170844v1</t>
  </si>
  <si>
    <t>GCA_001714705.1</t>
  </si>
  <si>
    <t>DPC 6544</t>
  </si>
  <si>
    <t>https://ftp.ncbi.nlm.nih.gov/genomes/all/GCA/001/714/705/GCA_001714705.1_ASM171470v1</t>
  </si>
  <si>
    <t>GCA_001714745.1</t>
  </si>
  <si>
    <t>BS15</t>
  </si>
  <si>
    <t>https://ftp.ncbi.nlm.nih.gov/genomes/all/GCA/001/714/745/GCA_001714745.1_ASM171474v1</t>
  </si>
  <si>
    <t>GCA_001715655.1</t>
  </si>
  <si>
    <t>https://ftp.ncbi.nlm.nih.gov/genomes/all/GCA/001/715/655/GCA_001715655.1_ASM171565v1</t>
  </si>
  <si>
    <t>GCA_001715725.1</t>
  </si>
  <si>
    <t>Bth-7810</t>
  </si>
  <si>
    <t>https://ftp.ncbi.nlm.nih.gov/genomes/all/GCA/001/715/725/GCA_001715725.1_ASM171572v1</t>
  </si>
  <si>
    <t>GCA_001717505.1</t>
  </si>
  <si>
    <t>F0677</t>
  </si>
  <si>
    <t>https://ftp.ncbi.nlm.nih.gov/genomes/all/GCA/001/717/505/GCA_001717505.1_ASM171750v1</t>
  </si>
  <si>
    <t>GCA_001717525.2</t>
  </si>
  <si>
    <t>HMT-286</t>
  </si>
  <si>
    <t>serpentiformis</t>
  </si>
  <si>
    <t>W11667</t>
  </si>
  <si>
    <t>https://ftp.ncbi.nlm.nih.gov/genomes/all/GCA/001/717/525/GCA_001717525.2_ASM171752v2</t>
  </si>
  <si>
    <t>W11661</t>
  </si>
  <si>
    <t>https://ftp.ncbi.nlm.nih.gov/genomes/all/GCA/001/717/545/GCA_001717545.1_ASM171754v1</t>
  </si>
  <si>
    <t>GCA_001717565.1</t>
  </si>
  <si>
    <t>F0672</t>
  </si>
  <si>
    <t>https://ftp.ncbi.nlm.nih.gov/genomes/all/GCA/001/717/565/GCA_001717565.1_ASM171756v1</t>
  </si>
  <si>
    <t>GCA_001717585.1</t>
  </si>
  <si>
    <t>HMT-920</t>
  </si>
  <si>
    <t>sp. HMT-920</t>
  </si>
  <si>
    <t>W5150</t>
  </si>
  <si>
    <t>https://ftp.ncbi.nlm.nih.gov/genomes/all/GCA/001/717/585/GCA_001717585.1_ASM171758v1</t>
  </si>
  <si>
    <t>GCA_001718835.1</t>
  </si>
  <si>
    <t>MSMB1184WGS</t>
  </si>
  <si>
    <t>https://ftp.ncbi.nlm.nih.gov/genomes/all/GCA/001/718/835/GCA_001718835.1_ASM171883v1</t>
  </si>
  <si>
    <t>GCA_001721925.1</t>
  </si>
  <si>
    <t>LRB</t>
  </si>
  <si>
    <t>https://ftp.ncbi.nlm.nih.gov/genomes/all/GCA/001/721/925/GCA_001721925.1_ASM172192v1</t>
  </si>
  <si>
    <t>GCA_001722255.1</t>
  </si>
  <si>
    <t>ICIS 53</t>
  </si>
  <si>
    <t>https://ftp.ncbi.nlm.nih.gov/genomes/all/GCA/001/722/255/GCA_001722255.1_ASM172225v1</t>
  </si>
  <si>
    <t>GCA_001725695.1</t>
  </si>
  <si>
    <t>https://ftp.ncbi.nlm.nih.gov/genomes/all/GCA/001/725/695/GCA_001725695.1_ASM172569v1</t>
  </si>
  <si>
    <t>GCA_001726065.1</t>
  </si>
  <si>
    <t>https://ftp.ncbi.nlm.nih.gov/genomes/all/GCA/001/726/065/GCA_001726065.1_ASM172606v1</t>
  </si>
  <si>
    <t>GCA_001746855.1</t>
  </si>
  <si>
    <t>hongkongensis</t>
  </si>
  <si>
    <t>HKU8</t>
  </si>
  <si>
    <t>https://ftp.ncbi.nlm.nih.gov/genomes/all/GCA/001/746/855/GCA_001746855.1_ASM174685v1</t>
  </si>
  <si>
    <t>GCA_001747495.1</t>
  </si>
  <si>
    <t>HMT-422</t>
  </si>
  <si>
    <t>Cloacibacterium</t>
  </si>
  <si>
    <t>normanense</t>
  </si>
  <si>
    <t>NRS-1</t>
  </si>
  <si>
    <t>https://ftp.ncbi.nlm.nih.gov/genomes/all/GCA/001/747/495/GCA_001747495.1_ASM174749v1</t>
  </si>
  <si>
    <t>GCA_001750825.1</t>
  </si>
  <si>
    <t>https://ftp.ncbi.nlm.nih.gov/genomes/all/GCA/001/750/825/GCA_001750825.1_ASM175082v1</t>
  </si>
  <si>
    <t>GCA_001806915.1</t>
  </si>
  <si>
    <t>HMSC30F09</t>
  </si>
  <si>
    <t>https://ftp.ncbi.nlm.nih.gov/genomes/all/GCA/001/806/915/GCA_001806915.1_ASM180691v1</t>
  </si>
  <si>
    <t>GCA_001806975.1</t>
  </si>
  <si>
    <t>HMSC10H05</t>
  </si>
  <si>
    <t>https://ftp.ncbi.nlm.nih.gov/genomes/all/GCA/001/806/975/GCA_001806975.1_ASM180697v1</t>
  </si>
  <si>
    <t>GCA_001807045.1</t>
  </si>
  <si>
    <t>HMSC11H10</t>
  </si>
  <si>
    <t>https://ftp.ncbi.nlm.nih.gov/genomes/all/GCA/001/807/045/GCA_001807045.1_ASM180704v1</t>
  </si>
  <si>
    <t>GCA_001807075.1</t>
  </si>
  <si>
    <t>HMSC14B06</t>
  </si>
  <si>
    <t>https://ftp.ncbi.nlm.nih.gov/genomes/all/GCA/001/807/075/GCA_001807075.1_ASM180707v1</t>
  </si>
  <si>
    <t>GCA_001807105.1</t>
  </si>
  <si>
    <t>HMSC14H10</t>
  </si>
  <si>
    <t>https://ftp.ncbi.nlm.nih.gov/genomes/all/GCA/001/807/105/GCA_001807105.1_ASM180710v1</t>
  </si>
  <si>
    <t>GCA_001807205.1</t>
  </si>
  <si>
    <t>HMSC05D03</t>
  </si>
  <si>
    <t>https://ftp.ncbi.nlm.nih.gov/genomes/all/GCA/001/807/205/GCA_001807205.1_ASM180720v1</t>
  </si>
  <si>
    <t>GCA_001807215.1</t>
  </si>
  <si>
    <t>HMSC05D08</t>
  </si>
  <si>
    <t>https://ftp.ncbi.nlm.nih.gov/genomes/all/GCA/001/807/215/GCA_001807215.1_ASM180721v1</t>
  </si>
  <si>
    <t>GCA_001807225.1</t>
  </si>
  <si>
    <t>HMSC05E07</t>
  </si>
  <si>
    <t>https://ftp.ncbi.nlm.nih.gov/genomes/all/GCA/001/807/225/GCA_001807225.1_ASM180722v1</t>
  </si>
  <si>
    <t>GCA_001807295.1</t>
  </si>
  <si>
    <t>HMSC06C06</t>
  </si>
  <si>
    <t>https://ftp.ncbi.nlm.nih.gov/genomes/all/GCA/001/807/295/GCA_001807295.1_ASM180729v1</t>
  </si>
  <si>
    <t>GCA_001807315.1</t>
  </si>
  <si>
    <t>HMSC06D04</t>
  </si>
  <si>
    <t>https://ftp.ncbi.nlm.nih.gov/genomes/all/GCA/001/807/315/GCA_001807315.1_ASM180731v1</t>
  </si>
  <si>
    <t>GCA_001807345.1</t>
  </si>
  <si>
    <t>HMSC06F07</t>
  </si>
  <si>
    <t>https://ftp.ncbi.nlm.nih.gov/genomes/all/GCA/001/807/345/GCA_001807345.1_ASM180734v1</t>
  </si>
  <si>
    <t>GCA_001807365.1</t>
  </si>
  <si>
    <t>HMSC06G04</t>
  </si>
  <si>
    <t>https://ftp.ncbi.nlm.nih.gov/genomes/all/GCA/001/807/365/GCA_001807365.1_ASM180736v1</t>
  </si>
  <si>
    <t>GCA_001807465.1</t>
  </si>
  <si>
    <t>HMSC08A09</t>
  </si>
  <si>
    <t>https://ftp.ncbi.nlm.nih.gov/genomes/all/GCA/001/807/465/GCA_001807465.1_ASM180746v1</t>
  </si>
  <si>
    <t>GCA_001807495.1</t>
  </si>
  <si>
    <t>HMSC08C04</t>
  </si>
  <si>
    <t>https://ftp.ncbi.nlm.nih.gov/genomes/all/GCA/001/807/495/GCA_001807495.1_ASM180749v1</t>
  </si>
  <si>
    <t>GCA_001807585.1</t>
  </si>
  <si>
    <t>HMSC08H10</t>
  </si>
  <si>
    <t>https://ftp.ncbi.nlm.nih.gov/genomes/all/GCA/001/807/585/GCA_001807585.1_ASM180758v1</t>
  </si>
  <si>
    <t>GCA_001807625.1</t>
  </si>
  <si>
    <t>HMSC03D10</t>
  </si>
  <si>
    <t>https://ftp.ncbi.nlm.nih.gov/genomes/all/GCA/001/807/625/GCA_001807625.1_ASM180762v1</t>
  </si>
  <si>
    <t>GCA_001807725.1</t>
  </si>
  <si>
    <t>HMSC31F03</t>
  </si>
  <si>
    <t>https://ftp.ncbi.nlm.nih.gov/genomes/all/GCA/001/807/725/GCA_001807725.1_ASM180772v1</t>
  </si>
  <si>
    <t>GCA_001807735.1</t>
  </si>
  <si>
    <t>HMSC31F04</t>
  </si>
  <si>
    <t>https://ftp.ncbi.nlm.nih.gov/genomes/all/GCA/001/807/735/GCA_001807735.1_ASM180773v1</t>
  </si>
  <si>
    <t>GCA_001807785.1</t>
  </si>
  <si>
    <t>HMSC10A01</t>
  </si>
  <si>
    <t>https://ftp.ncbi.nlm.nih.gov/genomes/all/GCA/001/807/785/GCA_001807785.1_ASM180778v1</t>
  </si>
  <si>
    <t>GCA_001808255.1</t>
  </si>
  <si>
    <t>HMSC15G01</t>
  </si>
  <si>
    <t>https://ftp.ncbi.nlm.nih.gov/genomes/all/GCA/001/808/255/GCA_001808255.1_ASM180825v1</t>
  </si>
  <si>
    <t>GCA_001808345.1</t>
  </si>
  <si>
    <t>HMSC06C11</t>
  </si>
  <si>
    <t>https://ftp.ncbi.nlm.nih.gov/genomes/all/GCA/001/808/345/GCA_001808345.1_ASM180834v1</t>
  </si>
  <si>
    <t>GCA_001808385.1</t>
  </si>
  <si>
    <t>HMSC08A08</t>
  </si>
  <si>
    <t>https://ftp.ncbi.nlm.nih.gov/genomes/all/GCA/001/808/385/GCA_001808385.1_ASM180838v1</t>
  </si>
  <si>
    <t>GCA_001808725.1</t>
  </si>
  <si>
    <t>HMSC074F05</t>
  </si>
  <si>
    <t>https://ftp.ncbi.nlm.nih.gov/genomes/all/GCA/001/808/725/GCA_001808725.1_ASM180872v1</t>
  </si>
  <si>
    <t>GCA_001808745.1</t>
  </si>
  <si>
    <t>HMSC057G03</t>
  </si>
  <si>
    <t>https://ftp.ncbi.nlm.nih.gov/genomes/all/GCA/001/808/745/GCA_001808745.1_ASM180874v1</t>
  </si>
  <si>
    <t>GCA_001808865.1</t>
  </si>
  <si>
    <t>HMSC061D10</t>
  </si>
  <si>
    <t>https://ftp.ncbi.nlm.nih.gov/genomes/all/GCA/001/808/865/GCA_001808865.1_ASM180886v1</t>
  </si>
  <si>
    <t>GCA_001808875.1</t>
  </si>
  <si>
    <t>HMSC064E01</t>
  </si>
  <si>
    <t>https://ftp.ncbi.nlm.nih.gov/genomes/all/GCA/001/808/875/GCA_001808875.1_ASM180887v1</t>
  </si>
  <si>
    <t>GCA_001808895.1</t>
  </si>
  <si>
    <t>HMSC070E08</t>
  </si>
  <si>
    <t>https://ftp.ncbi.nlm.nih.gov/genomes/all/GCA/001/808/895/GCA_001808895.1_ASM180889v1</t>
  </si>
  <si>
    <t>GCA_001808945.1</t>
  </si>
  <si>
    <t>HMSC071B01</t>
  </si>
  <si>
    <t>https://ftp.ncbi.nlm.nih.gov/genomes/all/GCA/001/808/945/GCA_001808945.1_ASM180894v1</t>
  </si>
  <si>
    <t>GCA_001808955.1</t>
  </si>
  <si>
    <t>HMSC078H08</t>
  </si>
  <si>
    <t>https://ftp.ncbi.nlm.nih.gov/genomes/all/GCA/001/808/955/GCA_001808955.1_ASM180895v1</t>
  </si>
  <si>
    <t>GCA_001809035.1</t>
  </si>
  <si>
    <t>HMSC061C02</t>
  </si>
  <si>
    <t>https://ftp.ncbi.nlm.nih.gov/genomes/all/GCA/001/809/035/GCA_001809035.1_ASM180903v1</t>
  </si>
  <si>
    <t>GCA_001809055.1</t>
  </si>
  <si>
    <t>HMSC034B05</t>
  </si>
  <si>
    <t>https://ftp.ncbi.nlm.nih.gov/genomes/all/GCA/001/809/055/GCA_001809055.1_ASM180905v1</t>
  </si>
  <si>
    <t>GCA_001809065.1</t>
  </si>
  <si>
    <t>HMSC055G02</t>
  </si>
  <si>
    <t>https://ftp.ncbi.nlm.nih.gov/genomes/all/GCA/001/809/065/GCA_001809065.1_ASM180906v1</t>
  </si>
  <si>
    <t>GCA_001809115.1</t>
  </si>
  <si>
    <t>HMSC071F11</t>
  </si>
  <si>
    <t>https://ftp.ncbi.nlm.nih.gov/genomes/all/GCA/001/809/115/GCA_001809115.1_ASM180911v1</t>
  </si>
  <si>
    <t>GCA_001809225.1</t>
  </si>
  <si>
    <t>HMSC077G07</t>
  </si>
  <si>
    <t>https://ftp.ncbi.nlm.nih.gov/genomes/all/GCA/001/809/225/GCA_001809225.1_ASM180922v1</t>
  </si>
  <si>
    <t>GCA_001809235.1</t>
  </si>
  <si>
    <t>HMSC072A04</t>
  </si>
  <si>
    <t>https://ftp.ncbi.nlm.nih.gov/genomes/all/GCA/001/809/235/GCA_001809235.1_ASM180923v1</t>
  </si>
  <si>
    <t>GCA_001809245.1</t>
  </si>
  <si>
    <t>HMSC059F02</t>
  </si>
  <si>
    <t>https://ftp.ncbi.nlm.nih.gov/genomes/all/GCA/001/809/245/GCA_001809245.1_ASM180924v1</t>
  </si>
  <si>
    <t>GCA_001809345.1</t>
  </si>
  <si>
    <t>HMSC072B12</t>
  </si>
  <si>
    <t>https://ftp.ncbi.nlm.nih.gov/genomes/all/GCA/001/809/345/GCA_001809345.1_ASM180934v1</t>
  </si>
  <si>
    <t>GCA_001809405.1</t>
  </si>
  <si>
    <t>HMT-445</t>
  </si>
  <si>
    <t>hesseae</t>
  </si>
  <si>
    <t>HMSC055A01</t>
  </si>
  <si>
    <t>https://ftp.ncbi.nlm.nih.gov/genomes/all/GCA/001/809/405/GCA_001809405.1_ASM180940v1</t>
  </si>
  <si>
    <t>GCA_001809415.1</t>
  </si>
  <si>
    <t>HMSC058E10</t>
  </si>
  <si>
    <t>https://ftp.ncbi.nlm.nih.gov/genomes/all/GCA/001/809/415/GCA_001809415.1_ASM180941v1</t>
  </si>
  <si>
    <t>GCA_001809455.1</t>
  </si>
  <si>
    <t>HMSC074C11</t>
  </si>
  <si>
    <t>https://ftp.ncbi.nlm.nih.gov/genomes/all/GCA/001/809/455/GCA_001809455.1_ASM180945v1</t>
  </si>
  <si>
    <t>GCA_001809525.1</t>
  </si>
  <si>
    <t>HMSC064D08</t>
  </si>
  <si>
    <t>https://ftp.ncbi.nlm.nih.gov/genomes/all/GCA/001/809/525/GCA_001809525.1_ASM180952v1</t>
  </si>
  <si>
    <t>GCA_001809565.1</t>
  </si>
  <si>
    <t>HMSC072B03</t>
  </si>
  <si>
    <t>https://ftp.ncbi.nlm.nih.gov/genomes/all/GCA/001/809/565/GCA_001809565.1_ASM180956v1</t>
  </si>
  <si>
    <t>GCA_001809585.1</t>
  </si>
  <si>
    <t>HMSC072C05</t>
  </si>
  <si>
    <t>https://ftp.ncbi.nlm.nih.gov/genomes/all/GCA/001/809/585/GCA_001809585.1_ASM180958v1</t>
  </si>
  <si>
    <t>GCA_001809595.1</t>
  </si>
  <si>
    <t>HMSC055F11</t>
  </si>
  <si>
    <t>https://ftp.ncbi.nlm.nih.gov/genomes/all/GCA/001/809/595/GCA_001809595.1_ASM180959v1</t>
  </si>
  <si>
    <t>GCA_001809695.1</t>
  </si>
  <si>
    <t>HMSC063A05</t>
  </si>
  <si>
    <t>https://ftp.ncbi.nlm.nih.gov/genomes/all/GCA/001/809/695/GCA_001809695.1_ASM180969v1</t>
  </si>
  <si>
    <t>GCA_001809885.1</t>
  </si>
  <si>
    <t>HMSC058E07</t>
  </si>
  <si>
    <t>https://ftp.ncbi.nlm.nih.gov/genomes/all/GCA/001/809/885/GCA_001809885.1_ASM180988v1</t>
  </si>
  <si>
    <t>GCA_001809925.1</t>
  </si>
  <si>
    <t>HMSC064H12</t>
  </si>
  <si>
    <t>https://ftp.ncbi.nlm.nih.gov/genomes/all/GCA/001/809/925/GCA_001809925.1_ASM180992v1</t>
  </si>
  <si>
    <t>GCA_001810035.1</t>
  </si>
  <si>
    <t>HMSC058F07</t>
  </si>
  <si>
    <t>https://ftp.ncbi.nlm.nih.gov/genomes/all/GCA/001/810/035/GCA_001810035.1_ASM181003v1</t>
  </si>
  <si>
    <t>GCA_001810085.1</t>
  </si>
  <si>
    <t>HMSC072A02</t>
  </si>
  <si>
    <t>https://ftp.ncbi.nlm.nih.gov/genomes/all/GCA/001/810/085/GCA_001810085.1_ASM181008v1</t>
  </si>
  <si>
    <t>GCA_001810105.1</t>
  </si>
  <si>
    <t>HMSC068C04</t>
  </si>
  <si>
    <t>https://ftp.ncbi.nlm.nih.gov/genomes/all/GCA/001/810/105/GCA_001810105.1_ASM181010v1</t>
  </si>
  <si>
    <t>GCA_001810135.1</t>
  </si>
  <si>
    <t>HMSC069D01</t>
  </si>
  <si>
    <t>https://ftp.ncbi.nlm.nih.gov/genomes/all/GCA/001/810/135/GCA_001810135.1_ASM181013v1</t>
  </si>
  <si>
    <t>GCA_001810165.1</t>
  </si>
  <si>
    <t>HMSC070A01</t>
  </si>
  <si>
    <t>https://ftp.ncbi.nlm.nih.gov/genomes/all/GCA/001/810/165/GCA_001810165.1_ASM181016v1</t>
  </si>
  <si>
    <t>GCA_001810195.1</t>
  </si>
  <si>
    <t>HMSC077G01</t>
  </si>
  <si>
    <t>https://ftp.ncbi.nlm.nih.gov/genomes/all/GCA/001/810/195/GCA_001810195.1_ASM181019v1</t>
  </si>
  <si>
    <t>GCA_001810345.1</t>
  </si>
  <si>
    <t>HMSC061E01</t>
  </si>
  <si>
    <t>https://ftp.ncbi.nlm.nih.gov/genomes/all/GCA/001/810/345/GCA_001810345.1_ASM181034v1</t>
  </si>
  <si>
    <t>GCA_001810515.1</t>
  </si>
  <si>
    <t>HMSC075F09</t>
  </si>
  <si>
    <t>https://ftp.ncbi.nlm.nih.gov/genomes/all/GCA/001/810/515/GCA_001810515.1_ASM181051v1</t>
  </si>
  <si>
    <t>GCA_001810545.1</t>
  </si>
  <si>
    <t>HMSC066D02</t>
  </si>
  <si>
    <t>https://ftp.ncbi.nlm.nih.gov/genomes/all/GCA/001/810/545/GCA_001810545.1_ASM181054v1</t>
  </si>
  <si>
    <t>GCA_001810555.1</t>
  </si>
  <si>
    <t>HMSC063G05</t>
  </si>
  <si>
    <t>https://ftp.ncbi.nlm.nih.gov/genomes/all/GCA/001/810/555/GCA_001810555.1_ASM181055v1</t>
  </si>
  <si>
    <t>GCA_001810585.1</t>
  </si>
  <si>
    <t>HMSC077C02</t>
  </si>
  <si>
    <t>https://ftp.ncbi.nlm.nih.gov/genomes/all/GCA/001/810/585/GCA_001810585.1_ASM181058v1</t>
  </si>
  <si>
    <t>GCA_001810635.1</t>
  </si>
  <si>
    <t>HMSC067H10</t>
  </si>
  <si>
    <t>https://ftp.ncbi.nlm.nih.gov/genomes/all/GCA/001/810/635/GCA_001810635.1_ASM181063v1</t>
  </si>
  <si>
    <t>GCA_001810695.1</t>
  </si>
  <si>
    <t>HMSC065D07</t>
  </si>
  <si>
    <t>https://ftp.ncbi.nlm.nih.gov/genomes/all/GCA/001/810/695/GCA_001810695.1_ASM181069v1</t>
  </si>
  <si>
    <t>GCA_001810775.1</t>
  </si>
  <si>
    <t>HMSC062H08</t>
  </si>
  <si>
    <t>https://ftp.ncbi.nlm.nih.gov/genomes/all/GCA/001/810/775/GCA_001810775.1_ASM181077v1</t>
  </si>
  <si>
    <t>GCA_001810995.1</t>
  </si>
  <si>
    <t>HMSC064B12</t>
  </si>
  <si>
    <t>https://ftp.ncbi.nlm.nih.gov/genomes/all/GCA/001/810/995/GCA_001810995.1_ASM181099v1</t>
  </si>
  <si>
    <t>GCA_001811025.1</t>
  </si>
  <si>
    <t>HMSC066D03</t>
  </si>
  <si>
    <t>https://ftp.ncbi.nlm.nih.gov/genomes/all/GCA/001/811/025/GCA_001811025.1_ASM181102v1</t>
  </si>
  <si>
    <t>GCA_001811065.1</t>
  </si>
  <si>
    <t>HMSC075C12</t>
  </si>
  <si>
    <t>https://ftp.ncbi.nlm.nih.gov/genomes/all/GCA/001/811/065/GCA_001811065.1_ASM181106v1</t>
  </si>
  <si>
    <t>GCA_001811075.1</t>
  </si>
  <si>
    <t>HMSC069C03</t>
  </si>
  <si>
    <t>https://ftp.ncbi.nlm.nih.gov/genomes/all/GCA/001/811/075/GCA_001811075.1_ASM181107v1</t>
  </si>
  <si>
    <t>GCA_001811085.1</t>
  </si>
  <si>
    <t>HMSC062B01</t>
  </si>
  <si>
    <t>https://ftp.ncbi.nlm.nih.gov/genomes/all/GCA/001/811/085/GCA_001811085.1_ASM181108v1</t>
  </si>
  <si>
    <t>GCA_001811145.1</t>
  </si>
  <si>
    <t>HMSC062A03</t>
  </si>
  <si>
    <t>https://ftp.ncbi.nlm.nih.gov/genomes/all/GCA/001/811/145/GCA_001811145.1_ASM181114v1</t>
  </si>
  <si>
    <t>GCA_001811205.1</t>
  </si>
  <si>
    <t>HMSC063F04</t>
  </si>
  <si>
    <t>https://ftp.ncbi.nlm.nih.gov/genomes/all/GCA/001/811/205/GCA_001811205.1_ASM181120v1</t>
  </si>
  <si>
    <t>GCA_001811325.1</t>
  </si>
  <si>
    <t>HMSC071B05</t>
  </si>
  <si>
    <t>https://ftp.ncbi.nlm.nih.gov/genomes/all/GCA/001/811/325/GCA_001811325.1_ASM181132v1</t>
  </si>
  <si>
    <t>GCA_001811365.1</t>
  </si>
  <si>
    <t>HMSC061E12</t>
  </si>
  <si>
    <t>https://ftp.ncbi.nlm.nih.gov/genomes/all/GCA/001/811/365/GCA_001811365.1_ASM181136v1</t>
  </si>
  <si>
    <t>GCA_001811395.1</t>
  </si>
  <si>
    <t>HMSC064C01</t>
  </si>
  <si>
    <t>https://ftp.ncbi.nlm.nih.gov/genomes/all/GCA/001/811/395/GCA_001811395.1_ASM181139v1</t>
  </si>
  <si>
    <t>GCA_001811425.1</t>
  </si>
  <si>
    <t>HMSC062D09</t>
  </si>
  <si>
    <t>https://ftp.ncbi.nlm.nih.gov/genomes/all/GCA/001/811/425/GCA_001811425.1_ASM181142v1</t>
  </si>
  <si>
    <t>GCA_001811455.1</t>
  </si>
  <si>
    <t>HMSC065G12</t>
  </si>
  <si>
    <t>https://ftp.ncbi.nlm.nih.gov/genomes/all/GCA/001/811/455/GCA_001811455.1_ASM181145v1</t>
  </si>
  <si>
    <t>GCA_001811565.1</t>
  </si>
  <si>
    <t>HMSC078A10</t>
  </si>
  <si>
    <t>https://ftp.ncbi.nlm.nih.gov/genomes/all/GCA/001/811/565/GCA_001811565.1_ASM181156v1</t>
  </si>
  <si>
    <t>GCA_001811805.1</t>
  </si>
  <si>
    <t>HMSC064E08</t>
  </si>
  <si>
    <t>https://ftp.ncbi.nlm.nih.gov/genomes/all/GCA/001/811/805/GCA_001811805.1_ASM181180v1</t>
  </si>
  <si>
    <t>GCA_001811855.1</t>
  </si>
  <si>
    <t>HMSC063B05</t>
  </si>
  <si>
    <t>https://ftp.ncbi.nlm.nih.gov/genomes/all/GCA/001/811/855/GCA_001811855.1_ASM181185v1</t>
  </si>
  <si>
    <t>GCA_001811945.1</t>
  </si>
  <si>
    <t>HMSC071A01</t>
  </si>
  <si>
    <t>https://ftp.ncbi.nlm.nih.gov/genomes/all/GCA/001/811/945/GCA_001811945.1_ASM181194v1</t>
  </si>
  <si>
    <t>GCA_001812015.1</t>
  </si>
  <si>
    <t>HMSC073D05</t>
  </si>
  <si>
    <t>https://ftp.ncbi.nlm.nih.gov/genomes/all/GCA/001/812/015/GCA_001812015.1_ASM181201v1</t>
  </si>
  <si>
    <t>GCA_001812045.1</t>
  </si>
  <si>
    <t>HMT-197</t>
  </si>
  <si>
    <t>rhizophila</t>
  </si>
  <si>
    <t>HMSC066H03</t>
  </si>
  <si>
    <t>https://ftp.ncbi.nlm.nih.gov/genomes/all/GCA/001/812/045/GCA_001812045.1_ASM181204v1</t>
  </si>
  <si>
    <t>GCA_001812055.1</t>
  </si>
  <si>
    <t>HMSC067H04</t>
  </si>
  <si>
    <t>https://ftp.ncbi.nlm.nih.gov/genomes/all/GCA/001/812/055/GCA_001812055.1_ASM181205v1</t>
  </si>
  <si>
    <t>GCA_001812085.1</t>
  </si>
  <si>
    <t>HMSC065C12</t>
  </si>
  <si>
    <t>https://ftp.ncbi.nlm.nih.gov/genomes/all/GCA/001/812/085/GCA_001812085.1_ASM181208v1</t>
  </si>
  <si>
    <t>GCA_001812205.1</t>
  </si>
  <si>
    <t>HMSC069C10</t>
  </si>
  <si>
    <t>https://ftp.ncbi.nlm.nih.gov/genomes/all/GCA/001/812/205/GCA_001812205.1_ASM181220v1</t>
  </si>
  <si>
    <t>GCA_001812225.1</t>
  </si>
  <si>
    <t>HMT-609</t>
  </si>
  <si>
    <t>flava</t>
  </si>
  <si>
    <t>HMSC072F04</t>
  </si>
  <si>
    <t>https://ftp.ncbi.nlm.nih.gov/genomes/all/GCA/001/812/225/GCA_001812225.1_ASM181222v1</t>
  </si>
  <si>
    <t>GCA_001812285.1</t>
  </si>
  <si>
    <t>HMSC065B04</t>
  </si>
  <si>
    <t>https://ftp.ncbi.nlm.nih.gov/genomes/all/GCA/001/812/285/GCA_001812285.1_ASM181228v1</t>
  </si>
  <si>
    <t>GCA_001812505.1</t>
  </si>
  <si>
    <t>HMSC064E10</t>
  </si>
  <si>
    <t>https://ftp.ncbi.nlm.nih.gov/genomes/all/GCA/001/812/505/GCA_001812505.1_ASM181250v1</t>
  </si>
  <si>
    <t>GCA_001812605.1</t>
  </si>
  <si>
    <t>HMSC073G10</t>
  </si>
  <si>
    <t>https://ftp.ncbi.nlm.nih.gov/genomes/all/GCA/001/812/605/GCA_001812605.1_ASM181260v1</t>
  </si>
  <si>
    <t>GCA_001812725.1</t>
  </si>
  <si>
    <t>HMSC067G12</t>
  </si>
  <si>
    <t>https://ftp.ncbi.nlm.nih.gov/genomes/all/GCA/001/812/725/GCA_001812725.1_ASM181272v1</t>
  </si>
  <si>
    <t>GCA_001812735.1</t>
  </si>
  <si>
    <t>HMSC069H12</t>
  </si>
  <si>
    <t>https://ftp.ncbi.nlm.nih.gov/genomes/all/GCA/001/812/735/GCA_001812735.1_ASM181273v1</t>
  </si>
  <si>
    <t>GCA_001812775.1</t>
  </si>
  <si>
    <t>HMSC068F09</t>
  </si>
  <si>
    <t>https://ftp.ncbi.nlm.nih.gov/genomes/all/GCA/001/812/775/GCA_001812775.1_ASM181277v1</t>
  </si>
  <si>
    <t>GCA_001812845.1</t>
  </si>
  <si>
    <t>HMSC065H09</t>
  </si>
  <si>
    <t>https://ftp.ncbi.nlm.nih.gov/genomes/all/GCA/001/812/845/GCA_001812845.1_ASM181284v1</t>
  </si>
  <si>
    <t>GCA_001812885.1</t>
  </si>
  <si>
    <t>HMSC067G11</t>
  </si>
  <si>
    <t>https://ftp.ncbi.nlm.nih.gov/genomes/all/GCA/001/812/885/GCA_001812885.1_ASM181288v1</t>
  </si>
  <si>
    <t>GCA_001812895.1</t>
  </si>
  <si>
    <t>HMSC069C04</t>
  </si>
  <si>
    <t>https://ftp.ncbi.nlm.nih.gov/genomes/all/GCA/001/812/895/GCA_001812895.1_ASM181289v1</t>
  </si>
  <si>
    <t>GCA_001812965.1</t>
  </si>
  <si>
    <t>HMT-144</t>
  </si>
  <si>
    <t>oris clade-144</t>
  </si>
  <si>
    <t>HMSC075C01</t>
  </si>
  <si>
    <t>https://ftp.ncbi.nlm.nih.gov/genomes/all/GCA/001/812/965/GCA_001812965.1_ASM181296v1</t>
  </si>
  <si>
    <t>GCA_001812975.1</t>
  </si>
  <si>
    <t>HMSC073B08</t>
  </si>
  <si>
    <t>https://ftp.ncbi.nlm.nih.gov/genomes/all/GCA/001/812/975/GCA_001812975.1_ASM181297v1</t>
  </si>
  <si>
    <t>GCA_001813035.1</t>
  </si>
  <si>
    <t>HMSC071H03</t>
  </si>
  <si>
    <t>https://ftp.ncbi.nlm.nih.gov/genomes/all/GCA/001/813/035/GCA_001813035.1_ASM181303v1</t>
  </si>
  <si>
    <t>GCA_001813105.1</t>
  </si>
  <si>
    <t>HMSC072C09</t>
  </si>
  <si>
    <t>https://ftp.ncbi.nlm.nih.gov/genomes/all/GCA/001/813/105/GCA_001813105.1_ASM181310v1</t>
  </si>
  <si>
    <t>GCA_001813145.1</t>
  </si>
  <si>
    <t>HMSC066G02</t>
  </si>
  <si>
    <t>https://ftp.ncbi.nlm.nih.gov/genomes/all/GCA/001/813/145/GCA_001813145.1_ASM181314v1</t>
  </si>
  <si>
    <t>GCA_001813175.1</t>
  </si>
  <si>
    <t>HMSC069E04</t>
  </si>
  <si>
    <t>https://ftp.ncbi.nlm.nih.gov/genomes/all/GCA/001/813/175/GCA_001813175.1_ASM181317v1</t>
  </si>
  <si>
    <t>GCA_001813205.1</t>
  </si>
  <si>
    <t>HMSC064B08</t>
  </si>
  <si>
    <t>https://ftp.ncbi.nlm.nih.gov/genomes/all/GCA/001/813/205/GCA_001813205.1_ASM181320v1</t>
  </si>
  <si>
    <t>GCA_001813295.1</t>
  </si>
  <si>
    <t>HMSC072G04</t>
  </si>
  <si>
    <t>https://ftp.ncbi.nlm.nih.gov/genomes/all/GCA/001/813/295/GCA_001813295.1_ASM181329v1</t>
  </si>
  <si>
    <t>GCA_001813335.1</t>
  </si>
  <si>
    <t>HMSC055H02</t>
  </si>
  <si>
    <t>https://ftp.ncbi.nlm.nih.gov/genomes/all/GCA/001/813/335/GCA_001813335.1_ASM181333v1</t>
  </si>
  <si>
    <t>GCA_001813425.1</t>
  </si>
  <si>
    <t>HMSC056E09</t>
  </si>
  <si>
    <t>https://ftp.ncbi.nlm.nih.gov/genomes/all/GCA/001/813/425/GCA_001813425.1_ASM181342v1</t>
  </si>
  <si>
    <t>GCA_001813505.1</t>
  </si>
  <si>
    <t>HMSC061E03</t>
  </si>
  <si>
    <t>https://ftp.ncbi.nlm.nih.gov/genomes/all/GCA/001/813/505/GCA_001813505.1_ASM181350v1</t>
  </si>
  <si>
    <t>GCA_001813565.1</t>
  </si>
  <si>
    <t>HMSC068E02</t>
  </si>
  <si>
    <t>https://ftp.ncbi.nlm.nih.gov/genomes/all/GCA/001/813/565/GCA_001813565.1_ASM181356v1</t>
  </si>
  <si>
    <t>GCA_001813675.1</t>
  </si>
  <si>
    <t>HMSC078D09</t>
  </si>
  <si>
    <t>https://ftp.ncbi.nlm.nih.gov/genomes/all/GCA/001/813/675/GCA_001813675.1_ASM181367v1</t>
  </si>
  <si>
    <t>GCA_001813685.1</t>
  </si>
  <si>
    <t>HMSC061E04</t>
  </si>
  <si>
    <t>https://ftp.ncbi.nlm.nih.gov/genomes/all/GCA/001/813/685/GCA_001813685.1_ASM181368v1</t>
  </si>
  <si>
    <t>GCA_001813725.1</t>
  </si>
  <si>
    <t>HMSC072B04</t>
  </si>
  <si>
    <t>https://ftp.ncbi.nlm.nih.gov/genomes/all/GCA/001/813/725/GCA_001813725.1_ASM181372v1</t>
  </si>
  <si>
    <t>GCA_001813745.1</t>
  </si>
  <si>
    <t>HMSC065F01</t>
  </si>
  <si>
    <t>https://ftp.ncbi.nlm.nih.gov/genomes/all/GCA/001/813/745/GCA_001813745.1_ASM181374v1</t>
  </si>
  <si>
    <t>GCA_001813755.1</t>
  </si>
  <si>
    <t>HMSC074H12</t>
  </si>
  <si>
    <t>https://ftp.ncbi.nlm.nih.gov/genomes/all/GCA/001/813/755/GCA_001813755.1_ASM181375v1</t>
  </si>
  <si>
    <t>GCA_001813805.1</t>
  </si>
  <si>
    <t>HMSC066F10</t>
  </si>
  <si>
    <t>https://ftp.ncbi.nlm.nih.gov/genomes/all/GCA/001/813/805/GCA_001813805.1_ASM181380v1</t>
  </si>
  <si>
    <t>GCA_001813895.1</t>
  </si>
  <si>
    <t>HMSC071C12</t>
  </si>
  <si>
    <t>https://ftp.ncbi.nlm.nih.gov/genomes/all/GCA/001/813/895/GCA_001813895.1_ASM181389v1</t>
  </si>
  <si>
    <t>GCA_001813925.1</t>
  </si>
  <si>
    <t>HMSC072D12</t>
  </si>
  <si>
    <t>https://ftp.ncbi.nlm.nih.gov/genomes/all/GCA/001/813/925/GCA_001813925.1_ASM181392v1</t>
  </si>
  <si>
    <t>GCA_001813965.1</t>
  </si>
  <si>
    <t>HMSC072E10</t>
  </si>
  <si>
    <t>https://ftp.ncbi.nlm.nih.gov/genomes/all/GCA/001/813/965/GCA_001813965.1_ASM181396v1</t>
  </si>
  <si>
    <t>GCA_001813985.1</t>
  </si>
  <si>
    <t>HMSC062G12</t>
  </si>
  <si>
    <t>https://ftp.ncbi.nlm.nih.gov/genomes/all/GCA/001/813/985/GCA_001813985.1_ASM181398v1</t>
  </si>
  <si>
    <t>GCA_001814055.1</t>
  </si>
  <si>
    <t>HMSC073C03</t>
  </si>
  <si>
    <t>https://ftp.ncbi.nlm.nih.gov/genomes/all/GCA/001/814/055/GCA_001814055.1_ASM181405v1</t>
  </si>
  <si>
    <t>GCA_001814095.1</t>
  </si>
  <si>
    <t>HMSC068C12</t>
  </si>
  <si>
    <t>https://ftp.ncbi.nlm.nih.gov/genomes/all/GCA/001/814/095/GCA_001814095.1_ASM181409v1</t>
  </si>
  <si>
    <t>GCA_001814205.1</t>
  </si>
  <si>
    <t>HMSC036D11</t>
  </si>
  <si>
    <t>https://ftp.ncbi.nlm.nih.gov/genomes/all/GCA/001/814/205/GCA_001814205.1_ASM181420v1</t>
  </si>
  <si>
    <t>GCA_001814215.1</t>
  </si>
  <si>
    <t>HMSC062D07</t>
  </si>
  <si>
    <t>https://ftp.ncbi.nlm.nih.gov/genomes/all/GCA/001/814/215/GCA_001814215.1_ASM181421v1</t>
  </si>
  <si>
    <t>GCA_001814235.1</t>
  </si>
  <si>
    <t>HMSC070B05</t>
  </si>
  <si>
    <t>https://ftp.ncbi.nlm.nih.gov/genomes/all/GCA/001/814/235/GCA_001814235.1_ASM181423v1</t>
  </si>
  <si>
    <t>GCA_001814295.1</t>
  </si>
  <si>
    <t>HMSC067A03</t>
  </si>
  <si>
    <t>https://ftp.ncbi.nlm.nih.gov/genomes/all/GCA/001/814/295/GCA_001814295.1_ASM181429v1</t>
  </si>
  <si>
    <t>GCA_001814445.1</t>
  </si>
  <si>
    <t>HMSC066B07</t>
  </si>
  <si>
    <t>https://ftp.ncbi.nlm.nih.gov/genomes/all/GCA/001/814/445/GCA_001814445.1_ASM181444v1</t>
  </si>
  <si>
    <t>GCA_001814485.1</t>
  </si>
  <si>
    <t>HMSC066G07</t>
  </si>
  <si>
    <t>https://ftp.ncbi.nlm.nih.gov/genomes/all/GCA/001/814/485/GCA_001814485.1_ASM181448v1</t>
  </si>
  <si>
    <t>GCA_001814525.1</t>
  </si>
  <si>
    <t>HMSC078C09</t>
  </si>
  <si>
    <t>https://ftp.ncbi.nlm.nih.gov/genomes/all/GCA/001/814/525/GCA_001814525.1_ASM181452v1</t>
  </si>
  <si>
    <t>GCA_001814645.1</t>
  </si>
  <si>
    <t>HMSC076D04</t>
  </si>
  <si>
    <t>https://ftp.ncbi.nlm.nih.gov/genomes/all/GCA/001/814/645/GCA_001814645.1_ASM181464v1</t>
  </si>
  <si>
    <t>GCA_001814655.1</t>
  </si>
  <si>
    <t>HMSC069C01</t>
  </si>
  <si>
    <t>https://ftp.ncbi.nlm.nih.gov/genomes/all/GCA/001/814/655/GCA_001814655.1_ASM181465v1</t>
  </si>
  <si>
    <t>GCA_001814685.1</t>
  </si>
  <si>
    <t>HMSC077E09</t>
  </si>
  <si>
    <t>https://ftp.ncbi.nlm.nih.gov/genomes/all/GCA/001/814/685/GCA_001814685.1_ASM181468v1</t>
  </si>
  <si>
    <t>GCA_001814885.1</t>
  </si>
  <si>
    <t>HMSC068G04</t>
  </si>
  <si>
    <t>https://ftp.ncbi.nlm.nih.gov/genomes/all/GCA/001/814/885/GCA_001814885.1_ASM181488v1</t>
  </si>
  <si>
    <t>GCA_001814945.1</t>
  </si>
  <si>
    <t>HMSC066C02</t>
  </si>
  <si>
    <t>https://ftp.ncbi.nlm.nih.gov/genomes/all/GCA/001/814/945/GCA_001814945.1_ASM181494v1</t>
  </si>
  <si>
    <t>GCA_001814995.1</t>
  </si>
  <si>
    <t>HMSC066H02</t>
  </si>
  <si>
    <t>https://ftp.ncbi.nlm.nih.gov/genomes/all/GCA/001/814/995/GCA_001814995.1_ASM181499v1</t>
  </si>
  <si>
    <t>GCA_001815045.1</t>
  </si>
  <si>
    <t>HMSC065E03</t>
  </si>
  <si>
    <t>https://ftp.ncbi.nlm.nih.gov/genomes/all/GCA/001/815/045/GCA_001815045.1_ASM181504v1</t>
  </si>
  <si>
    <t>GCA_001815155.1</t>
  </si>
  <si>
    <t>HMSC065D09</t>
  </si>
  <si>
    <t>https://ftp.ncbi.nlm.nih.gov/genomes/all/GCA/001/815/155/GCA_001815155.1_ASM181515v1</t>
  </si>
  <si>
    <t>GCA_001815285.1</t>
  </si>
  <si>
    <t>HMSC065D02</t>
  </si>
  <si>
    <t>https://ftp.ncbi.nlm.nih.gov/genomes/all/GCA/001/815/285/GCA_001815285.1_ASM181528v1</t>
  </si>
  <si>
    <t>GCA_001815315.1</t>
  </si>
  <si>
    <t>HMSC077E08</t>
  </si>
  <si>
    <t>https://ftp.ncbi.nlm.nih.gov/genomes/all/GCA/001/815/315/GCA_001815315.1_ASM181531v1</t>
  </si>
  <si>
    <t>GCA_001815355.1</t>
  </si>
  <si>
    <t>HMSC068C11</t>
  </si>
  <si>
    <t>https://ftp.ncbi.nlm.nih.gov/genomes/all/GCA/001/815/355/GCA_001815355.1_ASM181535v1</t>
  </si>
  <si>
    <t>GCA_001815375.1</t>
  </si>
  <si>
    <t>HMSC065C04</t>
  </si>
  <si>
    <t>https://ftp.ncbi.nlm.nih.gov/genomes/all/GCA/001/815/375/GCA_001815375.1_ASM181537v1</t>
  </si>
  <si>
    <t>GCA_001815545.1</t>
  </si>
  <si>
    <t>HMSC073A11</t>
  </si>
  <si>
    <t>https://ftp.ncbi.nlm.nih.gov/genomes/all/GCA/001/815/545/GCA_001815545.1_ASM181554v1</t>
  </si>
  <si>
    <t>GCA_001815615.1</t>
  </si>
  <si>
    <t>HMSC075C10</t>
  </si>
  <si>
    <t>https://ftp.ncbi.nlm.nih.gov/genomes/all/GCA/001/815/615/GCA_001815615.1_ASM181561v1</t>
  </si>
  <si>
    <t>GCA_001815685.1</t>
  </si>
  <si>
    <t>HMSC056A03</t>
  </si>
  <si>
    <t>https://ftp.ncbi.nlm.nih.gov/genomes/all/GCA/001/815/685/GCA_001815685.1_ASM181568v1</t>
  </si>
  <si>
    <t>GCA_001815715.1</t>
  </si>
  <si>
    <t>HMSC064B11</t>
  </si>
  <si>
    <t>https://ftp.ncbi.nlm.nih.gov/genomes/all/GCA/001/815/715/GCA_001815715.1_ASM181571v1</t>
  </si>
  <si>
    <t>GCA_001815745.1</t>
  </si>
  <si>
    <t>HMSC064E07</t>
  </si>
  <si>
    <t>https://ftp.ncbi.nlm.nih.gov/genomes/all/GCA/001/815/745/GCA_001815745.1_ASM181574v1</t>
  </si>
  <si>
    <t>GCA_001815755.1</t>
  </si>
  <si>
    <t>HMSC061C12</t>
  </si>
  <si>
    <t>https://ftp.ncbi.nlm.nih.gov/genomes/all/GCA/001/815/755/GCA_001815755.1_ASM181575v1</t>
  </si>
  <si>
    <t>GCA_001815785.1</t>
  </si>
  <si>
    <t>HMSC056F09</t>
  </si>
  <si>
    <t>https://ftp.ncbi.nlm.nih.gov/genomes/all/GCA/001/815/785/GCA_001815785.1_ASM181578v1</t>
  </si>
  <si>
    <t>GCA_001815865.1</t>
  </si>
  <si>
    <t>HMT-427</t>
  </si>
  <si>
    <t>sp. HMT-427</t>
  </si>
  <si>
    <t>HMSC24B09</t>
  </si>
  <si>
    <t>https://ftp.ncbi.nlm.nih.gov/genomes/all/GCA/001/815/865/GCA_001815865.1_ASM181586v1</t>
  </si>
  <si>
    <t>GCA_001836065.1</t>
  </si>
  <si>
    <t>HMSC035E02</t>
  </si>
  <si>
    <t>https://ftp.ncbi.nlm.nih.gov/genomes/all/GCA/001/836/065/GCA_001836065.1_ASM183606v1</t>
  </si>
  <si>
    <t>GCA_001836225.1</t>
  </si>
  <si>
    <t>HMSC036D05</t>
  </si>
  <si>
    <t>https://ftp.ncbi.nlm.nih.gov/genomes/all/GCA/001/836/225/GCA_001836225.1_ASM183622v1</t>
  </si>
  <si>
    <t>GCA_001836315.1</t>
  </si>
  <si>
    <t>HMSC056A04</t>
  </si>
  <si>
    <t>https://ftp.ncbi.nlm.nih.gov/genomes/all/GCA/001/836/315/GCA_001836315.1_ASM183631v1</t>
  </si>
  <si>
    <t>GCA_001836705.1</t>
  </si>
  <si>
    <t>HMSC061B04</t>
  </si>
  <si>
    <t>https://ftp.ncbi.nlm.nih.gov/genomes/all/GCA/001/836/705/GCA_001836705.1_ASM183670v1</t>
  </si>
  <si>
    <t>GCA_001836735.1</t>
  </si>
  <si>
    <t>HMSC061D12</t>
  </si>
  <si>
    <t>https://ftp.ncbi.nlm.nih.gov/genomes/all/GCA/001/836/735/GCA_001836735.1_ASM183673v1</t>
  </si>
  <si>
    <t>GCA_001836795.1</t>
  </si>
  <si>
    <t>HMSC061H08</t>
  </si>
  <si>
    <t>https://ftp.ncbi.nlm.nih.gov/genomes/all/GCA/001/836/795/GCA_001836795.1_ASM183679v1</t>
  </si>
  <si>
    <t>GCA_001836905.1</t>
  </si>
  <si>
    <t>HMSC062F03</t>
  </si>
  <si>
    <t>https://ftp.ncbi.nlm.nih.gov/genomes/all/GCA/001/836/905/GCA_001836905.1_ASM183690v1</t>
  </si>
  <si>
    <t>GCA_001837185.1</t>
  </si>
  <si>
    <t>HMSC064D07</t>
  </si>
  <si>
    <t>https://ftp.ncbi.nlm.nih.gov/genomes/all/GCA/001/837/185/GCA_001837185.1_ASM183718v1</t>
  </si>
  <si>
    <t>GCA_001837245.1</t>
  </si>
  <si>
    <t>HMSC064F03</t>
  </si>
  <si>
    <t>https://ftp.ncbi.nlm.nih.gov/genomes/all/GCA/001/837/245/GCA_001837245.1_ASM183724v1</t>
  </si>
  <si>
    <t>GCA_001837265.1</t>
  </si>
  <si>
    <t>HMSC064F07</t>
  </si>
  <si>
    <t>https://ftp.ncbi.nlm.nih.gov/genomes/all/GCA/001/837/265/GCA_001837265.1_ASM183726v1</t>
  </si>
  <si>
    <t>GCA_001837295.1</t>
  </si>
  <si>
    <t>HMSC065C03</t>
  </si>
  <si>
    <t>https://ftp.ncbi.nlm.nih.gov/genomes/all/GCA/001/837/295/GCA_001837295.1_ASM183729v1</t>
  </si>
  <si>
    <t>GCA_001837365.1</t>
  </si>
  <si>
    <t>HMSC066F04</t>
  </si>
  <si>
    <t>https://ftp.ncbi.nlm.nih.gov/genomes/all/GCA/001/837/365/GCA_001837365.1_ASM183736v1</t>
  </si>
  <si>
    <t>GCA_001837375.1</t>
  </si>
  <si>
    <t>HMSC066H01</t>
  </si>
  <si>
    <t>https://ftp.ncbi.nlm.nih.gov/genomes/all/GCA/001/837/375/GCA_001837375.1_ASM183737v1</t>
  </si>
  <si>
    <t>GCA_001837635.1</t>
  </si>
  <si>
    <t>HMSC070H10</t>
  </si>
  <si>
    <t>https://ftp.ncbi.nlm.nih.gov/genomes/all/GCA/001/837/635/GCA_001837635.1_ASM183763v1</t>
  </si>
  <si>
    <t>GCA_001837705.1</t>
  </si>
  <si>
    <t>HMSC072B08</t>
  </si>
  <si>
    <t>https://ftp.ncbi.nlm.nih.gov/genomes/all/GCA/001/837/705/GCA_001837705.1_ASM183770v1</t>
  </si>
  <si>
    <t>GCA_001837775.1</t>
  </si>
  <si>
    <t>HMSC073H12</t>
  </si>
  <si>
    <t>https://ftp.ncbi.nlm.nih.gov/genomes/all/GCA/001/837/775/GCA_001837775.1_ASM183777v1</t>
  </si>
  <si>
    <t>GCA_001837905.1</t>
  </si>
  <si>
    <t>HMSC076C09</t>
  </si>
  <si>
    <t>https://ftp.ncbi.nlm.nih.gov/genomes/all/GCA/001/837/905/GCA_001837905.1_ASM183790v1</t>
  </si>
  <si>
    <t>GCA_001838065.1</t>
  </si>
  <si>
    <t>HMSC078C12</t>
  </si>
  <si>
    <t>https://ftp.ncbi.nlm.nih.gov/genomes/all/GCA/001/838/065/GCA_001838065.1_ASM183806v1</t>
  </si>
  <si>
    <t>GCA_001838135.1</t>
  </si>
  <si>
    <t>HMSC078H04</t>
  </si>
  <si>
    <t>https://ftp.ncbi.nlm.nih.gov/genomes/all/GCA/001/838/135/GCA_001838135.1_ASM183813v1</t>
  </si>
  <si>
    <t>GCA_001838205.1</t>
  </si>
  <si>
    <t>HMSC072B09</t>
  </si>
  <si>
    <t>https://ftp.ncbi.nlm.nih.gov/genomes/all/GCA/001/838/205/GCA_001838205.1_ASM183820v1</t>
  </si>
  <si>
    <t>GCA_001838215.1</t>
  </si>
  <si>
    <t>HMSC061H03</t>
  </si>
  <si>
    <t>https://ftp.ncbi.nlm.nih.gov/genomes/all/GCA/001/838/215/GCA_001838215.1_ASM183821v1</t>
  </si>
  <si>
    <t>GCA_001838285.1</t>
  </si>
  <si>
    <t>HMSC074C03</t>
  </si>
  <si>
    <t>https://ftp.ncbi.nlm.nih.gov/genomes/all/GCA/001/838/285/GCA_001838285.1_ASM183828v1</t>
  </si>
  <si>
    <t>GCA_001838295.1</t>
  </si>
  <si>
    <t>HMSC074C04</t>
  </si>
  <si>
    <t>https://ftp.ncbi.nlm.nih.gov/genomes/all/GCA/001/838/295/GCA_001838295.1_ASM183829v1</t>
  </si>
  <si>
    <t>GCA_001838325.1</t>
  </si>
  <si>
    <t>HMSC074C05</t>
  </si>
  <si>
    <t>https://ftp.ncbi.nlm.nih.gov/genomes/all/GCA/001/838/325/GCA_001838325.1_ASM183832v1</t>
  </si>
  <si>
    <t>GCA_001838365.1</t>
  </si>
  <si>
    <t>HMSC064F04</t>
  </si>
  <si>
    <t>https://ftp.ncbi.nlm.nih.gov/genomes/all/GCA/001/838/365/GCA_001838365.1_ASM183836v1</t>
  </si>
  <si>
    <t>GCA_001838375.1</t>
  </si>
  <si>
    <t>HMSC070E12</t>
  </si>
  <si>
    <t>https://ftp.ncbi.nlm.nih.gov/genomes/all/GCA/001/838/375/GCA_001838375.1_ASM183837v1</t>
  </si>
  <si>
    <t>GCA_001838535.1</t>
  </si>
  <si>
    <t>HMSC034F03</t>
  </si>
  <si>
    <t>https://ftp.ncbi.nlm.nih.gov/genomes/all/GCA/001/838/535/GCA_001838535.1_ASM183853v1</t>
  </si>
  <si>
    <t>GCA_001838575.1</t>
  </si>
  <si>
    <t>HMSC034B03</t>
  </si>
  <si>
    <t>https://ftp.ncbi.nlm.nih.gov/genomes/all/GCA/001/838/575/GCA_001838575.1_ASM183857v1</t>
  </si>
  <si>
    <t>GCA_001838615.1</t>
  </si>
  <si>
    <t>HMSC61B11</t>
  </si>
  <si>
    <t>https://ftp.ncbi.nlm.nih.gov/genomes/all/GCA/001/838/615/GCA_001838615.1_ASM183861v1</t>
  </si>
  <si>
    <t>GCA_001838635.1</t>
  </si>
  <si>
    <t>HMSC71H05</t>
  </si>
  <si>
    <t>https://ftp.ncbi.nlm.nih.gov/genomes/all/GCA/001/838/635/GCA_001838635.1_ASM183863v1</t>
  </si>
  <si>
    <t>GCA_001839105.1</t>
  </si>
  <si>
    <t>HMSC62A08</t>
  </si>
  <si>
    <t>https://ftp.ncbi.nlm.nih.gov/genomes/all/GCA/001/839/105/GCA_001839105.1_ASM183910v1</t>
  </si>
  <si>
    <t>GCA_001839505.1</t>
  </si>
  <si>
    <t>HMSC34B10</t>
  </si>
  <si>
    <t>https://ftp.ncbi.nlm.nih.gov/genomes/all/GCA/001/839/505/GCA_001839505.1_ASM183950v1</t>
  </si>
  <si>
    <t>GCA_001854465.1</t>
  </si>
  <si>
    <t>AB1</t>
  </si>
  <si>
    <t>https://ftp.ncbi.nlm.nih.gov/genomes/all/GCA/001/854/465/GCA_001854465.1_ASM185446v1</t>
  </si>
  <si>
    <t>GCA_001856725.1</t>
  </si>
  <si>
    <t>NML-Hia-1</t>
  </si>
  <si>
    <t>https://ftp.ncbi.nlm.nih.gov/genomes/all/GCA/001/856/725/GCA_001856725.1_ASM185672v1</t>
  </si>
  <si>
    <t>GCA_001866575.1</t>
  </si>
  <si>
    <t>T13</t>
  </si>
  <si>
    <t>https://ftp.ncbi.nlm.nih.gov/genomes/all/GCA/001/866/575/GCA_001866575.1_ASM186657v1</t>
  </si>
  <si>
    <t>GCA_001866585.1</t>
  </si>
  <si>
    <t>T15</t>
  </si>
  <si>
    <t>https://ftp.ncbi.nlm.nih.gov/genomes/all/GCA/001/866/585/GCA_001866585.1_ASM186658v1</t>
  </si>
  <si>
    <t>GCA_001866625.1</t>
  </si>
  <si>
    <t>T14</t>
  </si>
  <si>
    <t>https://ftp.ncbi.nlm.nih.gov/genomes/all/GCA/001/866/625/GCA_001866625.1_ASM186662v1</t>
  </si>
  <si>
    <t>GCA_001875655.1</t>
  </si>
  <si>
    <t>https://ftp.ncbi.nlm.nih.gov/genomes/all/GCA/001/875/655/GCA_001875655.1_ASM187565v1</t>
  </si>
  <si>
    <t>GCA_001885595.1</t>
  </si>
  <si>
    <t>SC15-3744</t>
  </si>
  <si>
    <t>https://ftp.ncbi.nlm.nih.gov/genomes/all/GCA/001/885/595/GCA_001885595.1_ASM188559v1</t>
  </si>
  <si>
    <t>GCA_001885845.1</t>
  </si>
  <si>
    <t>DSM 20680</t>
  </si>
  <si>
    <t>https://ftp.ncbi.nlm.nih.gov/genomes/all/GCA/001/885/845/GCA_001885845.1_ASM188584v1</t>
  </si>
  <si>
    <t>GCA_001885995.1</t>
  </si>
  <si>
    <t>https://ftp.ncbi.nlm.nih.gov/genomes/all/GCA/001/885/995/GCA_001885995.1_ASM188599v1</t>
  </si>
  <si>
    <t>GCA_001886235.1</t>
  </si>
  <si>
    <t>DSM 20726</t>
  </si>
  <si>
    <t>https://ftp.ncbi.nlm.nih.gov/genomes/all/GCA/001/886/235/GCA_001886235.1_ASM188623v1</t>
  </si>
  <si>
    <t>GCA_001886655.1</t>
  </si>
  <si>
    <t>HK171</t>
  </si>
  <si>
    <t>https://ftp.ncbi.nlm.nih.gov/genomes/all/GCA/001/886/655/GCA_001886655.1_ASM188665v1</t>
  </si>
  <si>
    <t>Janibacter</t>
  </si>
  <si>
    <t>indicus</t>
  </si>
  <si>
    <t>YFY001</t>
  </si>
  <si>
    <t>https://ftp.ncbi.nlm.nih.gov/genomes/all/GCA/001/889/125/GCA_001889125.1_ASM188912v1</t>
  </si>
  <si>
    <t>GCA_001895805.1</t>
  </si>
  <si>
    <t>I0004000-1</t>
  </si>
  <si>
    <t>https://ftp.ncbi.nlm.nih.gov/genomes/all/GCA/001/895/805/GCA_001895805.1_ASM189580v1</t>
  </si>
  <si>
    <t>GCA_001896045.1</t>
  </si>
  <si>
    <t>SP49</t>
  </si>
  <si>
    <t>https://ftp.ncbi.nlm.nih.gov/genomes/all/GCA/001/896/045/GCA_001896045.1_ASM189604v1</t>
  </si>
  <si>
    <t>GCA_001896065.1</t>
  </si>
  <si>
    <t>SP61</t>
  </si>
  <si>
    <t>https://ftp.ncbi.nlm.nih.gov/genomes/all/GCA/001/896/065/GCA_001896065.1_ASM189606v1</t>
  </si>
  <si>
    <t>GCA_001896085.1</t>
  </si>
  <si>
    <t>SP64</t>
  </si>
  <si>
    <t>https://ftp.ncbi.nlm.nih.gov/genomes/all/GCA/001/896/085/GCA_001896085.1_ASM189608v1</t>
  </si>
  <si>
    <t>GCA_001897265.1</t>
  </si>
  <si>
    <t>71-23</t>
  </si>
  <si>
    <t>https://ftp.ncbi.nlm.nih.gov/genomes/all/GCA/001/897/265/GCA_001897265.1_ASM189726v1</t>
  </si>
  <si>
    <t>GCA_001908715.1</t>
  </si>
  <si>
    <t>CAV1217</t>
  </si>
  <si>
    <t>https://ftp.ncbi.nlm.nih.gov/genomes/all/GCA/001/908/715/GCA_001908715.1_ASM190871v1</t>
  </si>
  <si>
    <t>GCA_001908895.1</t>
  </si>
  <si>
    <t>Kp_Goe_821588</t>
  </si>
  <si>
    <t>https://ftp.ncbi.nlm.nih.gov/genomes/all/GCA/001/908/895/GCA_001908895.1_ASM190889v1</t>
  </si>
  <si>
    <t>GCA_001913265.1</t>
  </si>
  <si>
    <t>DSM 44123</t>
  </si>
  <si>
    <t>https://ftp.ncbi.nlm.nih.gov/genomes/all/GCA/001/913/265/GCA_001913265.1_CdipDSM44123</t>
  </si>
  <si>
    <t>GCA_001914075.1</t>
  </si>
  <si>
    <t>0528Y_59_11</t>
  </si>
  <si>
    <t>https://ftp.ncbi.nlm.nih.gov/genomes/all/GCA/001/914/075/GCA_001914075.1_ASM191407v1</t>
  </si>
  <si>
    <t>oris clade-169</t>
  </si>
  <si>
    <t>F4D1</t>
  </si>
  <si>
    <t>https://ftp.ncbi.nlm.nih.gov/genomes/all/GCA/001/929/365/GCA_001929365.1_ASM192936v1</t>
  </si>
  <si>
    <t>GCA_001929375.1</t>
  </si>
  <si>
    <t>HMT-079</t>
  </si>
  <si>
    <t>oris clade-079</t>
  </si>
  <si>
    <t>S64C</t>
  </si>
  <si>
    <t>https://ftp.ncbi.nlm.nih.gov/genomes/all/GCA/001/929/375/GCA_001929375.1_ASM192937v1</t>
  </si>
  <si>
    <t>GCA_001936235.1</t>
  </si>
  <si>
    <t>SNUV360</t>
  </si>
  <si>
    <t>https://ftp.ncbi.nlm.nih.gov/genomes/all/GCA/001/936/235/GCA_001936235.1_ASM193623v1</t>
  </si>
  <si>
    <t>GCA_001937365.1</t>
  </si>
  <si>
    <t>R21091</t>
  </si>
  <si>
    <t>https://ftp.ncbi.nlm.nih.gov/genomes/all/GCA/001/937/365/GCA_001937365.1_ASM193736v1</t>
  </si>
  <si>
    <t>GCA_001937385.1</t>
  </si>
  <si>
    <t>MMRCO6-1</t>
  </si>
  <si>
    <t>https://ftp.ncbi.nlm.nih.gov/genomes/all/GCA/001/937/385/GCA_001937385.1_ASM193738v1</t>
  </si>
  <si>
    <t>GCA_001937415.1</t>
  </si>
  <si>
    <t>M48-1B-1</t>
  </si>
  <si>
    <t>https://ftp.ncbi.nlm.nih.gov/genomes/all/GCA/001/937/415/GCA_001937415.1_ASM193741v1</t>
  </si>
  <si>
    <t>GCA_001937425.1</t>
  </si>
  <si>
    <t>F28B1</t>
  </si>
  <si>
    <t>https://ftp.ncbi.nlm.nih.gov/genomes/all/GCA/001/937/425/GCA_001937425.1_ASM193742v1</t>
  </si>
  <si>
    <t>GCA_001937445.1</t>
  </si>
  <si>
    <t>WE8B-23</t>
  </si>
  <si>
    <t>https://ftp.ncbi.nlm.nih.gov/genomes/all/GCA/001/937/445/GCA_001937445.1_ASM193744v1</t>
  </si>
  <si>
    <t>GCA_001937475.1</t>
  </si>
  <si>
    <t>R19039</t>
  </si>
  <si>
    <t>https://ftp.ncbi.nlm.nih.gov/genomes/all/GCA/001/937/475/GCA_001937475.1_ASM193747v1</t>
  </si>
  <si>
    <t>GCA_001937485.1</t>
  </si>
  <si>
    <t>CCUG 34286</t>
  </si>
  <si>
    <t>https://ftp.ncbi.nlm.nih.gov/genomes/all/GCA/001/937/485/GCA_001937485.1_ASM193748v1</t>
  </si>
  <si>
    <t>GCA_001937505.1</t>
  </si>
  <si>
    <t>R11372</t>
  </si>
  <si>
    <t>https://ftp.ncbi.nlm.nih.gov/genomes/all/GCA/001/937/505/GCA_001937505.1_ASM193750v1</t>
  </si>
  <si>
    <t>GCA_001937535.1</t>
  </si>
  <si>
    <t>R23275</t>
  </si>
  <si>
    <t>https://ftp.ncbi.nlm.nih.gov/genomes/all/GCA/001/937/535/GCA_001937535.1_ASM193753v1</t>
  </si>
  <si>
    <t>W11-1-1</t>
  </si>
  <si>
    <t>https://ftp.ncbi.nlm.nih.gov/genomes/all/GCA/001/937/545/GCA_001937545.1_ASM193754v1</t>
  </si>
  <si>
    <t>GCA_001937555.1</t>
  </si>
  <si>
    <t>G53E</t>
  </si>
  <si>
    <t>https://ftp.ncbi.nlm.nih.gov/genomes/all/GCA/001/937/555/GCA_001937555.1_ASM193755v1</t>
  </si>
  <si>
    <t>GCA_001937595.1</t>
  </si>
  <si>
    <t>W8-2-3</t>
  </si>
  <si>
    <t>https://ftp.ncbi.nlm.nih.gov/genomes/all/GCA/001/937/595/GCA_001937595.1_ASM193759v1</t>
  </si>
  <si>
    <t>GCA_001937605.1</t>
  </si>
  <si>
    <t>R13240</t>
  </si>
  <si>
    <t>https://ftp.ncbi.nlm.nih.gov/genomes/all/GCA/001/937/605/GCA_001937605.1_ASM193760v1</t>
  </si>
  <si>
    <t>GCA_001937615.1</t>
  </si>
  <si>
    <t>R8152</t>
  </si>
  <si>
    <t>https://ftp.ncbi.nlm.nih.gov/genomes/all/GCA/001/937/615/GCA_001937615.1_ASM193761v1</t>
  </si>
  <si>
    <t>GCA_001937655.1</t>
  </si>
  <si>
    <t>S24V</t>
  </si>
  <si>
    <t>https://ftp.ncbi.nlm.nih.gov/genomes/all/GCA/001/937/655/GCA_001937655.1_ASM193765v1</t>
  </si>
  <si>
    <t>oris clade-171</t>
  </si>
  <si>
    <t>CCUG 33920</t>
  </si>
  <si>
    <t>https://ftp.ncbi.nlm.nih.gov/genomes/all/GCA/001/937/675/GCA_001937675.1_ASM193767v1</t>
  </si>
  <si>
    <t>GCA_001937715.1</t>
  </si>
  <si>
    <t>A7A-1</t>
  </si>
  <si>
    <t>https://ftp.ncbi.nlm.nih.gov/genomes/all/GCA/001/937/715/GCA_001937715.1_ASM193771v1</t>
  </si>
  <si>
    <t>GCA_001937725.1</t>
  </si>
  <si>
    <t>A19A-1</t>
  </si>
  <si>
    <t>https://ftp.ncbi.nlm.nih.gov/genomes/all/GCA/001/937/725/GCA_001937725.1_ASM193772v1</t>
  </si>
  <si>
    <t>GCA_001937735.1</t>
  </si>
  <si>
    <t>WE6B-3</t>
  </si>
  <si>
    <t>https://ftp.ncbi.nlm.nih.gov/genomes/all/GCA/001/937/735/GCA_001937735.1_ASM193773v1</t>
  </si>
  <si>
    <t>https://ftp.ncbi.nlm.nih.gov/genomes/all/GCA/001/938/785/GCA_001938785.1_ASM193878v1</t>
  </si>
  <si>
    <t>GCA_001949885.1</t>
  </si>
  <si>
    <t>65114 B Hi-3</t>
  </si>
  <si>
    <t>https://ftp.ncbi.nlm.nih.gov/genomes/all/GCA/001/949/885/GCA_001949885.1_ASM194988v1</t>
  </si>
  <si>
    <t>GCA_001949895.1</t>
  </si>
  <si>
    <t>60884 B Hi-2</t>
  </si>
  <si>
    <t>https://ftp.ncbi.nlm.nih.gov/genomes/all/GCA/001/949/895/GCA_001949895.1_ASM194989v1</t>
  </si>
  <si>
    <t>GCA_001953155.1</t>
  </si>
  <si>
    <t>GV37</t>
  </si>
  <si>
    <t>https://ftp.ncbi.nlm.nih.gov/genomes/all/GCA/001/953/155/GCA_001953155.1_ASM195315v1</t>
  </si>
  <si>
    <t>GCA_001953935.1</t>
  </si>
  <si>
    <t>strain 17</t>
  </si>
  <si>
    <t>https://ftp.ncbi.nlm.nih.gov/genomes/all/GCA/001/953/935/GCA_001953935.1_ASM195393v1</t>
  </si>
  <si>
    <t>GCA_001953955.1</t>
  </si>
  <si>
    <t>https://ftp.ncbi.nlm.nih.gov/genomes/all/GCA/001/953/955/GCA_001953955.1_ASM195395v1</t>
  </si>
  <si>
    <t>FSL R5-0817</t>
  </si>
  <si>
    <t>https://ftp.ncbi.nlm.nih.gov/genomes/all/GCA/001/955/865/GCA_001955865.1_ASM195586v1</t>
  </si>
  <si>
    <t>GCA_001956355.1</t>
  </si>
  <si>
    <t>F12B1</t>
  </si>
  <si>
    <t>https://ftp.ncbi.nlm.nih.gov/genomes/all/GCA/001/956/355/GCA_001956355.1_ASM195635v1</t>
  </si>
  <si>
    <t>GCA_001956365.1</t>
  </si>
  <si>
    <t>Pn6N</t>
  </si>
  <si>
    <t>https://ftp.ncbi.nlm.nih.gov/genomes/all/GCA/001/956/365/GCA_001956365.1_ASM195636v1</t>
  </si>
  <si>
    <t>GCA_001956415.1</t>
  </si>
  <si>
    <t>MMRC12-1</t>
  </si>
  <si>
    <t>https://ftp.ncbi.nlm.nih.gov/genomes/all/GCA/001/956/415/GCA_001956415.1_ASM195641v1</t>
  </si>
  <si>
    <t>GCA_001956435.1</t>
  </si>
  <si>
    <t>F6E1</t>
  </si>
  <si>
    <t>https://ftp.ncbi.nlm.nih.gov/genomes/all/GCA/001/956/435/GCA_001956435.1_ASM195643v1</t>
  </si>
  <si>
    <t>GCA_001956445.1</t>
  </si>
  <si>
    <t>CCUG 37599</t>
  </si>
  <si>
    <t>https://ftp.ncbi.nlm.nih.gov/genomes/all/GCA/001/956/445/GCA_001956445.1_ASM195644v1</t>
  </si>
  <si>
    <t>GCA_001956475.1</t>
  </si>
  <si>
    <t>T23P-1</t>
  </si>
  <si>
    <t>https://ftp.ncbi.nlm.nih.gov/genomes/all/GCA/001/956/475/GCA_001956475.1_ASM195647v1</t>
  </si>
  <si>
    <t>GCA_001956485.1</t>
  </si>
  <si>
    <t>S44D</t>
  </si>
  <si>
    <t>https://ftp.ncbi.nlm.nih.gov/genomes/all/GCA/001/956/485/GCA_001956485.1_ASM195648v1</t>
  </si>
  <si>
    <t>GCA_001956505.1</t>
  </si>
  <si>
    <t>R24330</t>
  </si>
  <si>
    <t>https://ftp.ncbi.nlm.nih.gov/genomes/all/GCA/001/956/505/GCA_001956505.1_ASM195650v1</t>
  </si>
  <si>
    <t>GCA_001956515.1</t>
  </si>
  <si>
    <t>S43L</t>
  </si>
  <si>
    <t>https://ftp.ncbi.nlm.nih.gov/genomes/all/GCA/001/956/515/GCA_001956515.1_ASM195651v1</t>
  </si>
  <si>
    <t>GCA_001956555.1</t>
  </si>
  <si>
    <t>MB-1</t>
  </si>
  <si>
    <t>https://ftp.ncbi.nlm.nih.gov/genomes/all/GCA/001/956/555/GCA_001956555.1_ASM195655v1</t>
  </si>
  <si>
    <t>GCA_001956565.1</t>
  </si>
  <si>
    <t>CCUG 35334</t>
  </si>
  <si>
    <t>https://ftp.ncbi.nlm.nih.gov/genomes/all/GCA/001/956/565/GCA_001956565.1_ASM195656v1</t>
  </si>
  <si>
    <t>GCA_001956575.1</t>
  </si>
  <si>
    <t>S65A</t>
  </si>
  <si>
    <t>https://ftp.ncbi.nlm.nih.gov/genomes/all/GCA/001/956/575/GCA_001956575.1_ASM195657v1</t>
  </si>
  <si>
    <t>GCA_001956585.1</t>
  </si>
  <si>
    <t>NCTC 10301</t>
  </si>
  <si>
    <t>https://ftp.ncbi.nlm.nih.gov/genomes/all/GCA/001/956/585/GCA_001956585.1_ASM195658v1</t>
  </si>
  <si>
    <t>GCA_001956635.1</t>
  </si>
  <si>
    <t>G127B</t>
  </si>
  <si>
    <t>https://ftp.ncbi.nlm.nih.gov/genomes/all/GCA/001/956/635/GCA_001956635.1_ASM195663v1</t>
  </si>
  <si>
    <t>GCA_001956655.2</t>
  </si>
  <si>
    <t>14.1.R1</t>
  </si>
  <si>
    <t>https://ftp.ncbi.nlm.nih.gov/genomes/all/GCA/001/956/655/GCA_001956655.2_ASM195665v2</t>
  </si>
  <si>
    <t>GCA_001956755.1</t>
  </si>
  <si>
    <t>SJTUF_J27</t>
  </si>
  <si>
    <t>https://ftp.ncbi.nlm.nih.gov/genomes/all/GCA/001/956/755/GCA_001956755.1_ASM195675v1</t>
  </si>
  <si>
    <t>GCA_001974965.1</t>
  </si>
  <si>
    <t>https://ftp.ncbi.nlm.nih.gov/genomes/all/GCA/001/974/965/GCA_001974965.1_ASM197496v1</t>
  </si>
  <si>
    <t>GCA_001975925.1</t>
  </si>
  <si>
    <t>ICIS 9</t>
  </si>
  <si>
    <t>https://ftp.ncbi.nlm.nih.gov/genomes/all/GCA/001/975/925/GCA_001975925.1_ASM197592v1</t>
  </si>
  <si>
    <t>GCA_001982785.1</t>
  </si>
  <si>
    <t>CCUG 4207</t>
  </si>
  <si>
    <t>https://ftp.ncbi.nlm.nih.gov/genomes/all/GCA/001/982/785/GCA_001982785.1_ASM198278v1</t>
  </si>
  <si>
    <t>GCA_001983955.1</t>
  </si>
  <si>
    <t>S.MIT/ORALIS-351</t>
  </si>
  <si>
    <t>https://ftp.ncbi.nlm.nih.gov/genomes/all/GCA/001/983/955/GCA_001983955.1_ASM198395v1</t>
  </si>
  <si>
    <t>GCA_001985445.1</t>
  </si>
  <si>
    <t>H784</t>
  </si>
  <si>
    <t>https://ftp.ncbi.nlm.nih.gov/genomes/all/GCA/001/985/445/GCA_001985445.1_ASM198544v1</t>
  </si>
  <si>
    <t>GCA_001988495.1</t>
  </si>
  <si>
    <t>J300</t>
  </si>
  <si>
    <t>https://ftp.ncbi.nlm.nih.gov/genomes/all/GCA/001/988/495/GCA_001988495.1_ASM198849v1</t>
  </si>
  <si>
    <t>GCA_001997185.1</t>
  </si>
  <si>
    <t>ATCC 13637</t>
  </si>
  <si>
    <t>https://ftp.ncbi.nlm.nih.gov/genomes/all/GCA/001/997/185/GCA_001997185.1_ASM199718v1</t>
  </si>
  <si>
    <t>GCA_001997265.1</t>
  </si>
  <si>
    <t>CDPH_C53</t>
  </si>
  <si>
    <t>https://ftp.ncbi.nlm.nih.gov/genomes/all/GCA/001/997/265/GCA_001997265.1_ASM199726v1</t>
  </si>
  <si>
    <t>GCA_001999385.1</t>
  </si>
  <si>
    <t>https://ftp.ncbi.nlm.nih.gov/genomes/all/GCA/001/999/385/GCA_001999385.1_ASM199938v1</t>
  </si>
  <si>
    <t>GCA_002003685.1</t>
  </si>
  <si>
    <t>HHS 22</t>
  </si>
  <si>
    <t>https://ftp.ncbi.nlm.nih.gov/genomes/all/GCA/002/003/685/GCA_002003685.1_ASM200368v1</t>
  </si>
  <si>
    <t>GCA_002005185.1</t>
  </si>
  <si>
    <t>UTDB1-3</t>
  </si>
  <si>
    <t>https://ftp.ncbi.nlm.nih.gov/genomes/all/GCA/002/005/185/GCA_002005185.1_ASM200518v1</t>
  </si>
  <si>
    <t>GCA_002005545.1</t>
  </si>
  <si>
    <t>321A</t>
  </si>
  <si>
    <t>https://ftp.ncbi.nlm.nih.gov/genomes/all/GCA/002/005/545/GCA_002005545.1_ASM200554v1</t>
  </si>
  <si>
    <t>GCA_002005795.1</t>
  </si>
  <si>
    <t>15S00348</t>
  </si>
  <si>
    <t>https://ftp.ncbi.nlm.nih.gov/genomes/all/GCA/002/005/795/GCA_002005795.1_ASM200579v1</t>
  </si>
  <si>
    <t>GCA_002014755.1</t>
  </si>
  <si>
    <t>CCUG 31611</t>
  </si>
  <si>
    <t>https://ftp.ncbi.nlm.nih.gov/genomes/all/GCA/002/014/755/GCA_002014755.1_ASM201475v1</t>
  </si>
  <si>
    <t>GCA_002014765.1</t>
  </si>
  <si>
    <t>HMT-154</t>
  </si>
  <si>
    <t>lincolnii</t>
  </si>
  <si>
    <t>CCUG 9405</t>
  </si>
  <si>
    <t>https://ftp.ncbi.nlm.nih.gov/genomes/all/GCA/002/014/765/GCA_002014765.1_ASM201476v1</t>
  </si>
  <si>
    <t>GCA_002014795.1</t>
  </si>
  <si>
    <t>CCUG 63687</t>
  </si>
  <si>
    <t>https://ftp.ncbi.nlm.nih.gov/genomes/all/GCA/002/014/795/GCA_002014795.1_ASM201479v1</t>
  </si>
  <si>
    <t>GCA_002014875.1</t>
  </si>
  <si>
    <t>CCUG 61082</t>
  </si>
  <si>
    <t>https://ftp.ncbi.nlm.nih.gov/genomes/all/GCA/002/014/875/GCA_002014875.1_ASM201487v1</t>
  </si>
  <si>
    <t>GCA_002014885.1</t>
  </si>
  <si>
    <t>CCUG 13229</t>
  </si>
  <si>
    <t>https://ftp.ncbi.nlm.nih.gov/genomes/all/GCA/002/014/885/GCA_002014885.1_ASM201488v1</t>
  </si>
  <si>
    <t>GCA_002014925.1</t>
  </si>
  <si>
    <t>CCUG 62647</t>
  </si>
  <si>
    <t>https://ftp.ncbi.nlm.nih.gov/genomes/all/GCA/002/014/925/GCA_002014925.1_ASM201492v1</t>
  </si>
  <si>
    <t>GCA_002014955.1</t>
  </si>
  <si>
    <t>CCUG 63747</t>
  </si>
  <si>
    <t>https://ftp.ncbi.nlm.nih.gov/genomes/all/GCA/002/014/955/GCA_002014955.1_ASM201495v1</t>
  </si>
  <si>
    <t>GCA_002015035.1</t>
  </si>
  <si>
    <t>CCUG 3716</t>
  </si>
  <si>
    <t>https://ftp.ncbi.nlm.nih.gov/genomes/all/GCA/002/015/035/GCA_002015035.1_ASM201503v1</t>
  </si>
  <si>
    <t>GCA_002015045.1</t>
  </si>
  <si>
    <t>CCUG 3718</t>
  </si>
  <si>
    <t>https://ftp.ncbi.nlm.nih.gov/genomes/all/GCA/002/015/045/GCA_002015045.1_ASM201504v1</t>
  </si>
  <si>
    <t>GCA_002015155.1</t>
  </si>
  <si>
    <t>CCUG 4438</t>
  </si>
  <si>
    <t>https://ftp.ncbi.nlm.nih.gov/genomes/all/GCA/002/015/155/GCA_002015155.1_ASM201515v1</t>
  </si>
  <si>
    <t>GCA_002022685.1</t>
  </si>
  <si>
    <t>R1</t>
  </si>
  <si>
    <t>https://ftp.ncbi.nlm.nih.gov/genomes/all/GCA/002/022/685/GCA_002022685.1_ASM202268v1</t>
  </si>
  <si>
    <t>GCA_002022745.1</t>
  </si>
  <si>
    <t>https://ftp.ncbi.nlm.nih.gov/genomes/all/GCA/002/022/745/GCA_002022745.1_ASM202274v1</t>
  </si>
  <si>
    <t>GCA_002026425.1</t>
  </si>
  <si>
    <t>MMP1</t>
  </si>
  <si>
    <t>https://ftp.ncbi.nlm.nih.gov/genomes/all/GCA/002/026/425/GCA_002026425.1_ASM202642v1</t>
  </si>
  <si>
    <t>GCA_002055535.1</t>
  </si>
  <si>
    <t>NCTC8198</t>
  </si>
  <si>
    <t>https://ftp.ncbi.nlm.nih.gov/genomes/all/GCA/002/055/535/GCA_002055535.1_NCTC8198</t>
  </si>
  <si>
    <t>GCA_002055685.1</t>
  </si>
  <si>
    <t>AR_0059</t>
  </si>
  <si>
    <t>https://ftp.ncbi.nlm.nih.gov/genomes/all/GCA/002/055/685/GCA_002055685.1_ASM205568v1</t>
  </si>
  <si>
    <t>GCA_002055965.1</t>
  </si>
  <si>
    <t>NCIB 3610</t>
  </si>
  <si>
    <t>https://ftp.ncbi.nlm.nih.gov/genomes/all/GCA/002/055/965/GCA_002055965.1_ASM205596v1</t>
  </si>
  <si>
    <t>GCA_002073215.2</t>
  </si>
  <si>
    <t>FDAARGOS_213</t>
  </si>
  <si>
    <t>https://ftp.ncbi.nlm.nih.gov/genomes/all/GCA/002/073/215/GCA_002073215.2_ASM207321v2</t>
  </si>
  <si>
    <t>GCA_002073235.2</t>
  </si>
  <si>
    <t>FDAARGOS_214</t>
  </si>
  <si>
    <t>https://ftp.ncbi.nlm.nih.gov/genomes/all/GCA/002/073/235/GCA_002073235.2_ASM207323v2</t>
  </si>
  <si>
    <t>GCA_002073275.2</t>
  </si>
  <si>
    <t>FDAARGOS_215</t>
  </si>
  <si>
    <t>https://ftp.ncbi.nlm.nih.gov/genomes/all/GCA/002/073/275/GCA_002073275.2_ASM207327v2</t>
  </si>
  <si>
    <t>GCA_002073355.2</t>
  </si>
  <si>
    <t>FDAARGOS_233</t>
  </si>
  <si>
    <t>https://ftp.ncbi.nlm.nih.gov/genomes/all/GCA/002/073/355/GCA_002073355.2_ASM207335v2</t>
  </si>
  <si>
    <t>GCA_002073395.2</t>
  </si>
  <si>
    <t>FDAARGOS_222</t>
  </si>
  <si>
    <t>https://ftp.ncbi.nlm.nih.gov/genomes/all/GCA/002/073/395/GCA_002073395.2_ASM207339v2</t>
  </si>
  <si>
    <t>GCA_002073435.2</t>
  </si>
  <si>
    <t>FDAARGOS_257</t>
  </si>
  <si>
    <t>https://ftp.ncbi.nlm.nih.gov/genomes/all/GCA/002/073/435/GCA_002073435.2_ASM207343v2</t>
  </si>
  <si>
    <t>GCA_002073475.2</t>
  </si>
  <si>
    <t>FDAARGOS_199</t>
  </si>
  <si>
    <t>https://ftp.ncbi.nlm.nih.gov/genomes/all/GCA/002/073/475/GCA_002073475.2_ASM207347v2</t>
  </si>
  <si>
    <t>GCA_002073515.2</t>
  </si>
  <si>
    <t>FDAARGOS_251</t>
  </si>
  <si>
    <t>https://ftp.ncbi.nlm.nih.gov/genomes/all/GCA/002/073/515/GCA_002073515.2_ASM207351v2</t>
  </si>
  <si>
    <t>GCA_002073555.2</t>
  </si>
  <si>
    <t>FDAARGOS_211</t>
  </si>
  <si>
    <t>https://ftp.ncbi.nlm.nih.gov/genomes/all/GCA/002/073/555/GCA_002073555.2_ASM207355v2</t>
  </si>
  <si>
    <t>GCA_002073575.2</t>
  </si>
  <si>
    <t>FDAARGOS_209</t>
  </si>
  <si>
    <t>https://ftp.ncbi.nlm.nih.gov/genomes/all/GCA/002/073/575/GCA_002073575.2_ASM207357v2</t>
  </si>
  <si>
    <t>GCA_002073595.2</t>
  </si>
  <si>
    <t>FDAARGOS_210</t>
  </si>
  <si>
    <t>https://ftp.ncbi.nlm.nih.gov/genomes/all/GCA/002/073/595/GCA_002073595.2_ASM207359v2</t>
  </si>
  <si>
    <t>GCA_002073635.2</t>
  </si>
  <si>
    <t>FDAARGOS_252</t>
  </si>
  <si>
    <t>https://ftp.ncbi.nlm.nih.gov/genomes/all/GCA/002/073/635/GCA_002073635.2_ASM207363v2</t>
  </si>
  <si>
    <t>GCA_002073675.2</t>
  </si>
  <si>
    <t>FDAARGOS_212</t>
  </si>
  <si>
    <t>https://ftp.ncbi.nlm.nih.gov/genomes/all/GCA/002/073/675/GCA_002073675.2_ASM207367v2</t>
  </si>
  <si>
    <t>GCA_002073715.2</t>
  </si>
  <si>
    <t>FDAARGOS_260</t>
  </si>
  <si>
    <t>https://ftp.ncbi.nlm.nih.gov/genomes/all/GCA/002/073/715/GCA_002073715.2_ASM207371v2</t>
  </si>
  <si>
    <t>GCA_002073815.2</t>
  </si>
  <si>
    <t>FDAARGOS_192</t>
  </si>
  <si>
    <t>https://ftp.ncbi.nlm.nih.gov/genomes/all/GCA/002/073/815/GCA_002073815.2_ASM207381v2</t>
  </si>
  <si>
    <t>GCA_002073835.2</t>
  </si>
  <si>
    <t>FDAARGOS_259</t>
  </si>
  <si>
    <t>https://ftp.ncbi.nlm.nih.gov/genomes/all/GCA/002/073/835/GCA_002073835.2_ASM207383v2</t>
  </si>
  <si>
    <t>GCA_002075815.1</t>
  </si>
  <si>
    <t>COL-201504-11</t>
  </si>
  <si>
    <t>https://ftp.ncbi.nlm.nih.gov/genomes/all/GCA/002/075/815/GCA_002075815.1_ASM207581v1</t>
  </si>
  <si>
    <t>GCA_002079585.1</t>
  </si>
  <si>
    <t>DSM 20554</t>
  </si>
  <si>
    <t>https://ftp.ncbi.nlm.nih.gov/genomes/all/GCA/002/079/585/GCA_002079585.1_ASM207958v1</t>
  </si>
  <si>
    <t>GCA_002080125.1</t>
  </si>
  <si>
    <t>CCRI-195ME</t>
  </si>
  <si>
    <t>https://ftp.ncbi.nlm.nih.gov/genomes/all/GCA/002/080/125/GCA_002080125.1_ASM208012v1</t>
  </si>
  <si>
    <t>GCA_002082765.1</t>
  </si>
  <si>
    <t>OK5</t>
  </si>
  <si>
    <t>https://ftp.ncbi.nlm.nih.gov/genomes/all/GCA/002/082/765/GCA_002082765.1_ASM208276v1</t>
  </si>
  <si>
    <t>GCA_002083125.2</t>
  </si>
  <si>
    <t>FDAARGOS_248</t>
  </si>
  <si>
    <t>https://ftp.ncbi.nlm.nih.gov/genomes/all/GCA/002/083/125/GCA_002083125.2_ASM208312v2</t>
  </si>
  <si>
    <t>GCA_002083135.2</t>
  </si>
  <si>
    <t>FDAARGOS_249</t>
  </si>
  <si>
    <t>https://ftp.ncbi.nlm.nih.gov/genomes/all/GCA/002/083/135/GCA_002083135.2_ASM208313v2</t>
  </si>
  <si>
    <t>GCA_002083175.2</t>
  </si>
  <si>
    <t>FDAARGOS_258</t>
  </si>
  <si>
    <t>https://ftp.ncbi.nlm.nih.gov/genomes/all/GCA/002/083/175/GCA_002083175.2_ASM208317v2</t>
  </si>
  <si>
    <t>GCA_002087075.1</t>
  </si>
  <si>
    <t>CCUG 49455</t>
  </si>
  <si>
    <t>https://ftp.ncbi.nlm.nih.gov/genomes/all/GCA/002/087/075/GCA_002087075.1_ASM208707v1</t>
  </si>
  <si>
    <t>GCA_002087975.1</t>
  </si>
  <si>
    <t>ATCC 14990</t>
  </si>
  <si>
    <t>https://ftp.ncbi.nlm.nih.gov/genomes/all/GCA/002/087/975/GCA_002087975.1_ASM208797v1</t>
  </si>
  <si>
    <t>GCA_002088015.1</t>
  </si>
  <si>
    <t>ATCC 33820</t>
  </si>
  <si>
    <t>https://ftp.ncbi.nlm.nih.gov/genomes/all/GCA/002/088/015/GCA_002088015.1_ASM208801v1</t>
  </si>
  <si>
    <t>GCA_002088025.1</t>
  </si>
  <si>
    <t>ATCC 33397</t>
  </si>
  <si>
    <t>https://ftp.ncbi.nlm.nih.gov/genomes/all/GCA/002/088/025/GCA_002088025.1_ASM208802v1</t>
  </si>
  <si>
    <t>GCA_002090215.1</t>
  </si>
  <si>
    <t>S63-tet-R</t>
  </si>
  <si>
    <t>https://ftp.ncbi.nlm.nih.gov/genomes/all/GCA/002/090/215/GCA_002090215.1_ASM209021v1</t>
  </si>
  <si>
    <t>GCA_002091595.1</t>
  </si>
  <si>
    <t>NBRC 14160</t>
  </si>
  <si>
    <t>https://ftp.ncbi.nlm.nih.gov/genomes/all/GCA/002/091/595/GCA_002091595.1_ASM209159v1</t>
  </si>
  <si>
    <t>GCA_002091675.1</t>
  </si>
  <si>
    <t>HMT-344</t>
  </si>
  <si>
    <t>luteola</t>
  </si>
  <si>
    <t>NBRC 103146</t>
  </si>
  <si>
    <t>https://ftp.ncbi.nlm.nih.gov/genomes/all/GCA/002/091/675/GCA_002091675.1_ASM209167v1</t>
  </si>
  <si>
    <t>GCA_002091815.1</t>
  </si>
  <si>
    <t>NBRC 13583</t>
  </si>
  <si>
    <t>https://ftp.ncbi.nlm.nih.gov/genomes/all/GCA/002/091/815/GCA_002091815.1_ASM209181v1</t>
  </si>
  <si>
    <t>GCA_002093515.1</t>
  </si>
  <si>
    <t>AZ_14</t>
  </si>
  <si>
    <t>https://ftp.ncbi.nlm.nih.gov/genomes/all/GCA/002/093/515/GCA_002093515.1_ASM209351v1</t>
  </si>
  <si>
    <t>GCA_002093575.1</t>
  </si>
  <si>
    <t>https://ftp.ncbi.nlm.nih.gov/genomes/all/GCA/002/093/575/GCA_002093575.1_ASM209357v1</t>
  </si>
  <si>
    <t>GCA_002093995.1</t>
  </si>
  <si>
    <t>34-09 S8</t>
  </si>
  <si>
    <t>https://ftp.ncbi.nlm.nih.gov/genomes/all/GCA/002/093/995/GCA_002093995.1_ASM209399v1</t>
  </si>
  <si>
    <t>GCA_002094005.1</t>
  </si>
  <si>
    <t>85-06 S24</t>
  </si>
  <si>
    <t>https://ftp.ncbi.nlm.nih.gov/genomes/all/GCA/002/094/005/GCA_002094005.1_ASM209400v1</t>
  </si>
  <si>
    <t>GCA_002094955.1</t>
  </si>
  <si>
    <t>ATCC 27945</t>
  </si>
  <si>
    <t>https://ftp.ncbi.nlm.nih.gov/genomes/all/GCA/002/094/955/GCA_002094955.1_ASM209495v1</t>
  </si>
  <si>
    <t>GCA_002094975.1</t>
  </si>
  <si>
    <t>ATCC 25975</t>
  </si>
  <si>
    <t>https://ftp.ncbi.nlm.nih.gov/genomes/all/GCA/002/094/975/GCA_002094975.1_ASM209497v1</t>
  </si>
  <si>
    <t>GCA_002096075.1</t>
  </si>
  <si>
    <t>VISLISI_37</t>
  </si>
  <si>
    <t>https://ftp.ncbi.nlm.nih.gov/genomes/all/GCA/002/096/075/GCA_002096075.1_ASM209607v1</t>
  </si>
  <si>
    <t>GCA_002096115.1</t>
  </si>
  <si>
    <t>VISLISI_21</t>
  </si>
  <si>
    <t>https://ftp.ncbi.nlm.nih.gov/genomes/all/GCA/002/096/115/GCA_002096115.1_ASM209611v1</t>
  </si>
  <si>
    <t>GCA_002096135.1</t>
  </si>
  <si>
    <t>VISLISI_25</t>
  </si>
  <si>
    <t>https://ftp.ncbi.nlm.nih.gov/genomes/all/GCA/002/096/135/GCA_002096135.1_ASM209613v1</t>
  </si>
  <si>
    <t>GCA_002096155.1</t>
  </si>
  <si>
    <t>VISLISI_27</t>
  </si>
  <si>
    <t>https://ftp.ncbi.nlm.nih.gov/genomes/all/GCA/002/096/155/GCA_002096155.1_ASM209615v1</t>
  </si>
  <si>
    <t>GCA_002096175.1</t>
  </si>
  <si>
    <t>OD_338919_11</t>
  </si>
  <si>
    <t>https://ftp.ncbi.nlm.nih.gov/genomes/all/GCA/002/096/175/GCA_002096175.1_ASM209617v1</t>
  </si>
  <si>
    <t>GCA_002096215.1</t>
  </si>
  <si>
    <t>OD_348934_12</t>
  </si>
  <si>
    <t>https://ftp.ncbi.nlm.nih.gov/genomes/all/GCA/002/096/215/GCA_002096215.1_ASM209621v1</t>
  </si>
  <si>
    <t>GCA_002096275.1</t>
  </si>
  <si>
    <t>OD_314165_09</t>
  </si>
  <si>
    <t>https://ftp.ncbi.nlm.nih.gov/genomes/all/GCA/002/096/275/GCA_002096275.1_ASM209627v1</t>
  </si>
  <si>
    <t>GCA_002096295.1</t>
  </si>
  <si>
    <t>RH_48720_11</t>
  </si>
  <si>
    <t>https://ftp.ncbi.nlm.nih.gov/genomes/all/GCA/002/096/295/GCA_002096295.1_ASM209629v1</t>
  </si>
  <si>
    <t>GCA_002096355.1</t>
  </si>
  <si>
    <t>OD_326128_08</t>
  </si>
  <si>
    <t>https://ftp.ncbi.nlm.nih.gov/genomes/all/GCA/002/096/355/GCA_002096355.1_ASM209635v1</t>
  </si>
  <si>
    <t>GCA_002096375.1</t>
  </si>
  <si>
    <t>RH_8610_08</t>
  </si>
  <si>
    <t>https://ftp.ncbi.nlm.nih.gov/genomes/all/GCA/002/096/375/GCA_002096375.1_ASM209637v1</t>
  </si>
  <si>
    <t>GCA_002096435.1</t>
  </si>
  <si>
    <t>Y_11577_11</t>
  </si>
  <si>
    <t>https://ftp.ncbi.nlm.nih.gov/genomes/all/GCA/002/096/435/GCA_002096435.1_ASM209643v1</t>
  </si>
  <si>
    <t>GCA_002096445.1</t>
  </si>
  <si>
    <t>RH_57980_07</t>
  </si>
  <si>
    <t>https://ftp.ncbi.nlm.nih.gov/genomes/all/GCA/002/096/445/GCA_002096445.1_ASM209644v1</t>
  </si>
  <si>
    <t>GCA_002096455.1</t>
  </si>
  <si>
    <t>RH_50443_09</t>
  </si>
  <si>
    <t>https://ftp.ncbi.nlm.nih.gov/genomes/all/GCA/002/096/455/GCA_002096455.1_ASM209645v1</t>
  </si>
  <si>
    <t>GCA_002096495.1</t>
  </si>
  <si>
    <t>OD_336064_07</t>
  </si>
  <si>
    <t>https://ftp.ncbi.nlm.nih.gov/genomes/all/GCA/002/096/495/GCA_002096495.1_ASM209649v1</t>
  </si>
  <si>
    <t>GCA_002096515.1</t>
  </si>
  <si>
    <t>OD_332610_07</t>
  </si>
  <si>
    <t>https://ftp.ncbi.nlm.nih.gov/genomes/all/GCA/002/096/515/GCA_002096515.1_ASM209651v1</t>
  </si>
  <si>
    <t>GCA_002096525.1</t>
  </si>
  <si>
    <t>RH_34706_11</t>
  </si>
  <si>
    <t>https://ftp.ncbi.nlm.nih.gov/genomes/all/GCA/002/096/525/GCA_002096525.1_ASM209652v1</t>
  </si>
  <si>
    <t>GCA_002096535.1</t>
  </si>
  <si>
    <t>RH_1735_08</t>
  </si>
  <si>
    <t>https://ftp.ncbi.nlm.nih.gov/genomes/all/GCA/002/096/535/GCA_002096535.1_ASM209653v1</t>
  </si>
  <si>
    <t>GCA_002096575.1</t>
  </si>
  <si>
    <t>OD_321121_09</t>
  </si>
  <si>
    <t>https://ftp.ncbi.nlm.nih.gov/genomes/all/GCA/002/096/575/GCA_002096575.1_ASM209657v1</t>
  </si>
  <si>
    <t>GCA_002096595.1</t>
  </si>
  <si>
    <t>OD_311844-09</t>
  </si>
  <si>
    <t>https://ftp.ncbi.nlm.nih.gov/genomes/all/GCA/002/096/595/GCA_002096595.1_ASM209659v1</t>
  </si>
  <si>
    <t>GCA_002096675.1</t>
  </si>
  <si>
    <t>RH_55407_11</t>
  </si>
  <si>
    <t>https://ftp.ncbi.nlm.nih.gov/genomes/all/GCA/002/096/675/GCA_002096675.1_ASM209667v1</t>
  </si>
  <si>
    <t>GCA_002096695.1</t>
  </si>
  <si>
    <t>Y_052157_08</t>
  </si>
  <si>
    <t>https://ftp.ncbi.nlm.nih.gov/genomes/all/GCA/002/096/695/GCA_002096695.1_ASM209669v1</t>
  </si>
  <si>
    <t>GCA_002096735.1</t>
  </si>
  <si>
    <t>RH_8961_10</t>
  </si>
  <si>
    <t>https://ftp.ncbi.nlm.nih.gov/genomes/all/GCA/002/096/735/GCA_002096735.1_ASM209673v1</t>
  </si>
  <si>
    <t>GCA_002096755.1</t>
  </si>
  <si>
    <t>RH_50275_09</t>
  </si>
  <si>
    <t>https://ftp.ncbi.nlm.nih.gov/genomes/all/GCA/002/096/755/GCA_002096755.1_ASM209675v1</t>
  </si>
  <si>
    <t>GCA_002096815.1</t>
  </si>
  <si>
    <t>RH_12363_08</t>
  </si>
  <si>
    <t>https://ftp.ncbi.nlm.nih.gov/genomes/all/GCA/002/096/815/GCA_002096815.1_ASM209681v1</t>
  </si>
  <si>
    <t>GCA_002096835.1</t>
  </si>
  <si>
    <t>RH_43861_09</t>
  </si>
  <si>
    <t>https://ftp.ncbi.nlm.nih.gov/genomes/all/GCA/002/096/835/GCA_002096835.1_ASM209683v1</t>
  </si>
  <si>
    <t>GCA_002096855.1</t>
  </si>
  <si>
    <t>RH_17439_08</t>
  </si>
  <si>
    <t>https://ftp.ncbi.nlm.nih.gov/genomes/all/GCA/002/096/855/GCA_002096855.1_ASM209685v1</t>
  </si>
  <si>
    <t>GCA_002096895.1</t>
  </si>
  <si>
    <t>RH_17024_08</t>
  </si>
  <si>
    <t>https://ftp.ncbi.nlm.nih.gov/genomes/all/GCA/002/096/895/GCA_002096895.1_ASM209689v1</t>
  </si>
  <si>
    <t>GCA_002096935.1</t>
  </si>
  <si>
    <t>B_5756_13</t>
  </si>
  <si>
    <t>https://ftp.ncbi.nlm.nih.gov/genomes/all/GCA/002/096/935/GCA_002096935.1_ASM209693v1</t>
  </si>
  <si>
    <t>GCA_002096975.1</t>
  </si>
  <si>
    <t>C_33</t>
  </si>
  <si>
    <t>https://ftp.ncbi.nlm.nih.gov/genomes/all/GCA/002/096/975/GCA_002096975.1_ASM209697v1</t>
  </si>
  <si>
    <t>GCA_002097035.1</t>
  </si>
  <si>
    <t>VISLISI_22</t>
  </si>
  <si>
    <t>https://ftp.ncbi.nlm.nih.gov/genomes/all/GCA/002/097/035/GCA_002097035.1_ASM209703v1</t>
  </si>
  <si>
    <t>GCA_002097595.2</t>
  </si>
  <si>
    <t>M92</t>
  </si>
  <si>
    <t>https://ftp.ncbi.nlm.nih.gov/genomes/all/GCA/002/097/595/GCA_002097595.2_ASM209759v2</t>
  </si>
  <si>
    <t>GCA_002104555.1</t>
  </si>
  <si>
    <t>VISLISI_33</t>
  </si>
  <si>
    <t>https://ftp.ncbi.nlm.nih.gov/genomes/all/GCA/002/104/555/GCA_002104555.1_ASM210455v1</t>
  </si>
  <si>
    <t>GCA_002114275.1</t>
  </si>
  <si>
    <t>IPK_TSA25</t>
  </si>
  <si>
    <t>https://ftp.ncbi.nlm.nih.gov/genomes/all/GCA/002/114/275/GCA_002114275.1_ASM211427v1</t>
  </si>
  <si>
    <t>GCA_002119785.3</t>
  </si>
  <si>
    <t>ZS207</t>
  </si>
  <si>
    <t>https://ftp.ncbi.nlm.nih.gov/genomes/all/GCA/002/119/785/GCA_002119785.3_ASM211978v3</t>
  </si>
  <si>
    <t>GCA_002127985.1</t>
  </si>
  <si>
    <t>https://ftp.ncbi.nlm.nih.gov/genomes/all/GCA/002/127/985/GCA_002127985.1_ASM212798v1</t>
  </si>
  <si>
    <t>GCA_002128185.1</t>
  </si>
  <si>
    <t>K27</t>
  </si>
  <si>
    <t>https://ftp.ncbi.nlm.nih.gov/genomes/all/GCA/002/128/185/GCA_002128185.1_ASM212818v1</t>
  </si>
  <si>
    <t>GCA_002138415.1</t>
  </si>
  <si>
    <t>OUC_Est10</t>
  </si>
  <si>
    <t>https://ftp.ncbi.nlm.nih.gov/genomes/all/GCA/002/138/415/GCA_002138415.1_ASM213841v1</t>
  </si>
  <si>
    <t>GCA_002148255.1</t>
  </si>
  <si>
    <t>C592</t>
  </si>
  <si>
    <t>https://ftp.ncbi.nlm.nih.gov/genomes/all/GCA/002/148/255/GCA_002148255.1_ASM214825v1</t>
  </si>
  <si>
    <t>GCA_002149965.1</t>
  </si>
  <si>
    <t>HMT-342</t>
  </si>
  <si>
    <t>Novosphingobium</t>
  </si>
  <si>
    <t>panipatense</t>
  </si>
  <si>
    <t>P5:ABC</t>
  </si>
  <si>
    <t>https://ftp.ncbi.nlm.nih.gov/genomes/all/GCA/002/149/965/GCA_002149965.1_ASM214996v1</t>
  </si>
  <si>
    <t>GCA_002155285.1</t>
  </si>
  <si>
    <t>KCOM 1054 (= ChDC YM3)</t>
  </si>
  <si>
    <t>https://ftp.ncbi.nlm.nih.gov/genomes/all/GCA/002/155/285/GCA_002155285.1_ASM215528v1</t>
  </si>
  <si>
    <t>Erythrobacter</t>
  </si>
  <si>
    <t>tepidarius</t>
  </si>
  <si>
    <t>DSM 10594</t>
  </si>
  <si>
    <t>https://ftp.ncbi.nlm.nih.gov/genomes/all/GCA/002/155/695/GCA_002155695.1_ASM215569v1</t>
  </si>
  <si>
    <t>GCA_002156725.1</t>
  </si>
  <si>
    <t>BK13043</t>
  </si>
  <si>
    <t>https://ftp.ncbi.nlm.nih.gov/genomes/all/GCA/002/156/725/GCA_002156725.1_ASM215672v1</t>
  </si>
  <si>
    <t>GCA_002156805.1</t>
  </si>
  <si>
    <t>KC-Na-01</t>
  </si>
  <si>
    <t>https://ftp.ncbi.nlm.nih.gov/genomes/all/GCA/002/156/805/GCA_002156805.1_ASM215680v1</t>
  </si>
  <si>
    <t>GCA_002157665.1</t>
  </si>
  <si>
    <t>HM</t>
  </si>
  <si>
    <t>https://ftp.ncbi.nlm.nih.gov/genomes/all/GCA/002/157/665/GCA_002157665.1_ASM215766v1</t>
  </si>
  <si>
    <t>GCA_002159215.1</t>
  </si>
  <si>
    <t>An90</t>
  </si>
  <si>
    <t>https://ftp.ncbi.nlm.nih.gov/genomes/all/GCA/002/159/215/GCA_002159215.1_ASM215921v1</t>
  </si>
  <si>
    <t>GCA_002165435.1</t>
  </si>
  <si>
    <t>SH06</t>
  </si>
  <si>
    <t>https://ftp.ncbi.nlm.nih.gov/genomes/all/GCA/002/165/435/GCA_002165435.1_ASM216543v1</t>
  </si>
  <si>
    <t>GCA_002165785.1</t>
  </si>
  <si>
    <t>Lasto28.99</t>
  </si>
  <si>
    <t>https://ftp.ncbi.nlm.nih.gov/genomes/all/GCA/002/165/785/GCA_002165785.1_ASM216578v1</t>
  </si>
  <si>
    <t>GCA_002165815.1</t>
  </si>
  <si>
    <t>CCUG 19995</t>
  </si>
  <si>
    <t>https://ftp.ncbi.nlm.nih.gov/genomes/all/GCA/002/165/815/GCA_002165815.1_ASM216581v1</t>
  </si>
  <si>
    <t>GCA_002165825.1</t>
  </si>
  <si>
    <t>Lasto127.99</t>
  </si>
  <si>
    <t>https://ftp.ncbi.nlm.nih.gov/genomes/all/GCA/002/165/825/GCA_002165825.1_ASM216582v1</t>
  </si>
  <si>
    <t>GCA_002165895.1</t>
  </si>
  <si>
    <t>Lasto205.94</t>
  </si>
  <si>
    <t>https://ftp.ncbi.nlm.nih.gov/genomes/all/GCA/002/165/895/GCA_002165895.1_ASM216589v1</t>
  </si>
  <si>
    <t>GCA_002172955.1</t>
  </si>
  <si>
    <t>TMED4</t>
  </si>
  <si>
    <t>https://ftp.ncbi.nlm.nih.gov/genomes/all/GCA/002/172/955/GCA_002172955.1_ASM217295v1</t>
  </si>
  <si>
    <t>GCA_002176835.1</t>
  </si>
  <si>
    <t>UMNLJ22</t>
  </si>
  <si>
    <t>https://ftp.ncbi.nlm.nih.gov/genomes/all/GCA/002/176/835/GCA_002176835.1_ASM217683v1</t>
  </si>
  <si>
    <t>GCA_002179995.1</t>
  </si>
  <si>
    <t>B14</t>
  </si>
  <si>
    <t>https://ftp.ncbi.nlm.nih.gov/genomes/all/GCA/002/179/995/GCA_002179995.1_ASM217999v1</t>
  </si>
  <si>
    <t>GCA_002192215.1</t>
  </si>
  <si>
    <t>LC5</t>
  </si>
  <si>
    <t>https://ftp.ncbi.nlm.nih.gov/genomes/all/GCA/002/192/215/GCA_002192215.1_ASM219221v1</t>
  </si>
  <si>
    <t>GCA_002192435.1</t>
  </si>
  <si>
    <t>LAC FRN-92</t>
  </si>
  <si>
    <t>https://ftp.ncbi.nlm.nih.gov/genomes/all/GCA/002/192/435/GCA_002192435.1_ASM219243v1</t>
  </si>
  <si>
    <t>GCA_002196895.1</t>
  </si>
  <si>
    <t>H1892</t>
  </si>
  <si>
    <t>https://ftp.ncbi.nlm.nih.gov/genomes/all/GCA/002/196/895/GCA_002196895.1_ASM219689v1</t>
  </si>
  <si>
    <t>GCA_002196905.1</t>
  </si>
  <si>
    <t>H2381</t>
  </si>
  <si>
    <t>https://ftp.ncbi.nlm.nih.gov/genomes/all/GCA/002/196/905/GCA_002196905.1_ASM219690v1</t>
  </si>
  <si>
    <t>GCA_002196965.1</t>
  </si>
  <si>
    <t>G1212</t>
  </si>
  <si>
    <t>https://ftp.ncbi.nlm.nih.gov/genomes/all/GCA/002/196/965/GCA_002196965.1_ASM219696v1</t>
  </si>
  <si>
    <t>GCA_002197205.1</t>
  </si>
  <si>
    <t>CUGBS591</t>
  </si>
  <si>
    <t>https://ftp.ncbi.nlm.nih.gov/genomes/all/GCA/002/197/205/GCA_002197205.1_ASM219720v1</t>
  </si>
  <si>
    <t>GCA_002197485.1</t>
  </si>
  <si>
    <t>52-1A</t>
  </si>
  <si>
    <t>https://ftp.ncbi.nlm.nih.gov/genomes/all/GCA/002/197/485/GCA_002197485.1_ASM219748v1</t>
  </si>
  <si>
    <t>GCA_002197815.1</t>
  </si>
  <si>
    <t>DSM 1045</t>
  </si>
  <si>
    <t>https://ftp.ncbi.nlm.nih.gov/genomes/all/GCA/002/197/815/GCA_002197815.1_ASM219781v1</t>
  </si>
  <si>
    <t>GCA_002202115.1</t>
  </si>
  <si>
    <t>KCOM 1260 (=ChDC F218)</t>
  </si>
  <si>
    <t>https://ftp.ncbi.nlm.nih.gov/genomes/all/GCA/002/202/115/GCA_002202115.1_ASM220211v1</t>
  </si>
  <si>
    <t>GCA_002204395.1</t>
  </si>
  <si>
    <t>KCOM 1378</t>
  </si>
  <si>
    <t>https://ftp.ncbi.nlm.nih.gov/genomes/all/GCA/002/204/395/GCA_002204395.1_ASM220439v1</t>
  </si>
  <si>
    <t>GCA_002204405.1</t>
  </si>
  <si>
    <t>KCOM 1107</t>
  </si>
  <si>
    <t>https://ftp.ncbi.nlm.nih.gov/genomes/all/GCA/002/204/405/GCA_002204405.1_ASM220440v1</t>
  </si>
  <si>
    <t>GCA_002204435.1</t>
  </si>
  <si>
    <t>KCOM 1001</t>
  </si>
  <si>
    <t>https://ftp.ncbi.nlm.nih.gov/genomes/all/GCA/002/204/435/GCA_002204435.1_ASM220443v1</t>
  </si>
  <si>
    <t>GCA_002204455.1</t>
  </si>
  <si>
    <t>KCOM 2797</t>
  </si>
  <si>
    <t>https://ftp.ncbi.nlm.nih.gov/genomes/all/GCA/002/204/455/GCA_002204455.1_ASM220445v1</t>
  </si>
  <si>
    <t>GCA_002204475.1</t>
  </si>
  <si>
    <t>KCOM 1102</t>
  </si>
  <si>
    <t>https://ftp.ncbi.nlm.nih.gov/genomes/all/GCA/002/204/475/GCA_002204475.1_ASM220447v1</t>
  </si>
  <si>
    <t>GCA_002205515.1</t>
  </si>
  <si>
    <t>hebnu3h04</t>
  </si>
  <si>
    <t>https://ftp.ncbi.nlm.nih.gov/genomes/all/GCA/002/205/515/GCA_002205515.1_ASM220551v1</t>
  </si>
  <si>
    <t>GCA_002205535.1</t>
  </si>
  <si>
    <t>hebnu3h05</t>
  </si>
  <si>
    <t>https://ftp.ncbi.nlm.nih.gov/genomes/all/GCA/002/205/535/GCA_002205535.1_ASM220553v1</t>
  </si>
  <si>
    <t>GCA_002205555.1</t>
  </si>
  <si>
    <t>HMT-590</t>
  </si>
  <si>
    <t>Brevundimonas</t>
  </si>
  <si>
    <t>diminuta</t>
  </si>
  <si>
    <t>BZC3</t>
  </si>
  <si>
    <t>https://ftp.ncbi.nlm.nih.gov/genomes/all/GCA/002/205/555/GCA_002205555.1_ASM220555v1</t>
  </si>
  <si>
    <t>GCA_002205595.1</t>
  </si>
  <si>
    <t>hebnu1229</t>
  </si>
  <si>
    <t>https://ftp.ncbi.nlm.nih.gov/genomes/all/GCA/002/205/595/GCA_002205595.1_ASM220559v1</t>
  </si>
  <si>
    <t>GCA_002205735.1</t>
  </si>
  <si>
    <t>hebnu uu3</t>
  </si>
  <si>
    <t>https://ftp.ncbi.nlm.nih.gov/genomes/all/GCA/002/205/735/GCA_002205735.1_ASM220573v1</t>
  </si>
  <si>
    <t>GCA_002206065.1</t>
  </si>
  <si>
    <t>SJD5</t>
  </si>
  <si>
    <t>https://ftp.ncbi.nlm.nih.gov/genomes/all/GCA/002/206/065/GCA_002206065.1_SJD5</t>
  </si>
  <si>
    <t>GCA_002206085.1</t>
  </si>
  <si>
    <t>SJD4</t>
  </si>
  <si>
    <t>https://ftp.ncbi.nlm.nih.gov/genomes/all/GCA/002/206/085/GCA_002206085.1_SJD4</t>
  </si>
  <si>
    <t>GCA_002206105.1</t>
  </si>
  <si>
    <t>SJD11</t>
  </si>
  <si>
    <t>https://ftp.ncbi.nlm.nih.gov/genomes/all/GCA/002/206/105/GCA_002206105.1_SJD11</t>
  </si>
  <si>
    <t>GCA_002206485.2</t>
  </si>
  <si>
    <t>FDAARGOS_303</t>
  </si>
  <si>
    <t>https://ftp.ncbi.nlm.nih.gov/genomes/all/GCA/002/206/485/GCA_002206485.2_ASM220648v2</t>
  </si>
  <si>
    <t>GCA_002208045.1</t>
  </si>
  <si>
    <t>SJD12</t>
  </si>
  <si>
    <t>https://ftp.ncbi.nlm.nih.gov/genomes/all/GCA/002/208/045/GCA_002208045.1_SJD12</t>
  </si>
  <si>
    <t>GCA_002208685.2</t>
  </si>
  <si>
    <t>FDAARGOS_302</t>
  </si>
  <si>
    <t>https://ftp.ncbi.nlm.nih.gov/genomes/all/GCA/002/208/685/GCA_002208685.2_ASM220868v2</t>
  </si>
  <si>
    <t>FDAARGOS_306</t>
  </si>
  <si>
    <t>https://ftp.ncbi.nlm.nih.gov/genomes/all/GCA/002/208/725/GCA_002208725.2_ASM220872v2</t>
  </si>
  <si>
    <t>GCA_002208805.2</t>
  </si>
  <si>
    <t>HMT-142</t>
  </si>
  <si>
    <t>pettenkoferi</t>
  </si>
  <si>
    <t>FDAARGOS_288</t>
  </si>
  <si>
    <t>https://ftp.ncbi.nlm.nih.gov/genomes/all/GCA/002/208/805/GCA_002208805.2_ASM220880v2</t>
  </si>
  <si>
    <t>ChDC OS43</t>
  </si>
  <si>
    <t>https://ftp.ncbi.nlm.nih.gov/genomes/all/GCA/002/209/445/GCA_002209445.1_ASM220944v1</t>
  </si>
  <si>
    <t>GCA_002211605.1</t>
  </si>
  <si>
    <t>ChDC F317</t>
  </si>
  <si>
    <t>https://ftp.ncbi.nlm.nih.gov/genomes/all/GCA/002/211/605/GCA_002211605.1_ASM221160v1</t>
  </si>
  <si>
    <t>GCA_002211625.1</t>
  </si>
  <si>
    <t>KCOM 1275</t>
  </si>
  <si>
    <t>https://ftp.ncbi.nlm.nih.gov/genomes/all/GCA/002/211/625/GCA_002211625.1_ASM221162v1</t>
  </si>
  <si>
    <t>GCA_002211645.1</t>
  </si>
  <si>
    <t>ChDC F332</t>
  </si>
  <si>
    <t>https://ftp.ncbi.nlm.nih.gov/genomes/all/GCA/002/211/645/GCA_002211645.1_ASM221164v1</t>
  </si>
  <si>
    <t>GCA_002212845.1</t>
  </si>
  <si>
    <t>PKUSS-6</t>
  </si>
  <si>
    <t>https://ftp.ncbi.nlm.nih.gov/genomes/all/GCA/002/212/845/GCA_002212845.1_ASM221284v1</t>
  </si>
  <si>
    <t>GCA_002212855.1</t>
  </si>
  <si>
    <t>PKUSS-2</t>
  </si>
  <si>
    <t>https://ftp.ncbi.nlm.nih.gov/genomes/all/GCA/002/212/855/GCA_002212855.1_ASM221285v1</t>
  </si>
  <si>
    <t>GCA_002212885.1</t>
  </si>
  <si>
    <t>PKUSS-4</t>
  </si>
  <si>
    <t>https://ftp.ncbi.nlm.nih.gov/genomes/all/GCA/002/212/885/GCA_002212885.1_ASM221288v1</t>
  </si>
  <si>
    <t>GCA_002212905.1</t>
  </si>
  <si>
    <t>PKUSS-5</t>
  </si>
  <si>
    <t>https://ftp.ncbi.nlm.nih.gov/genomes/all/GCA/002/212/905/GCA_002212905.1_ASM221290v1</t>
  </si>
  <si>
    <t>GCA_002212925.1</t>
  </si>
  <si>
    <t>PKUSS-8</t>
  </si>
  <si>
    <t>https://ftp.ncbi.nlm.nih.gov/genomes/all/GCA/002/212/925/GCA_002212925.1_ASM221292v1</t>
  </si>
  <si>
    <t>GCA_002212935.1</t>
  </si>
  <si>
    <t>PKUSS-9</t>
  </si>
  <si>
    <t>https://ftp.ncbi.nlm.nih.gov/genomes/all/GCA/002/212/935/GCA_002212935.1_ASM221293v1</t>
  </si>
  <si>
    <t>GCA_002212965.1</t>
  </si>
  <si>
    <t>PKUSS-11</t>
  </si>
  <si>
    <t>https://ftp.ncbi.nlm.nih.gov/genomes/all/GCA/002/212/965/GCA_002212965.1_ASM221296v1</t>
  </si>
  <si>
    <t>GCA_002212995.1</t>
  </si>
  <si>
    <t>PKUSS-7</t>
  </si>
  <si>
    <t>https://ftp.ncbi.nlm.nih.gov/genomes/all/GCA/002/212/995/GCA_002212995.1_ASM221299v1</t>
  </si>
  <si>
    <t>GCA_002213005.1</t>
  </si>
  <si>
    <t>PKUSS-3</t>
  </si>
  <si>
    <t>https://ftp.ncbi.nlm.nih.gov/genomes/all/GCA/002/213/005/GCA_002213005.1_ASM221300v1</t>
  </si>
  <si>
    <t>GCA_002213035.1</t>
  </si>
  <si>
    <t>PKUSS-10</t>
  </si>
  <si>
    <t>https://ftp.ncbi.nlm.nih.gov/genomes/all/GCA/002/213/035/GCA_002213035.1_ASM221303v1</t>
  </si>
  <si>
    <t>GCA_002213065.1</t>
  </si>
  <si>
    <t>PKUSS-1</t>
  </si>
  <si>
    <t>https://ftp.ncbi.nlm.nih.gov/genomes/all/GCA/002/213/065/GCA_002213065.1_ASM221306v1</t>
  </si>
  <si>
    <t>GCA_002214645.1</t>
  </si>
  <si>
    <t>SL-205</t>
  </si>
  <si>
    <t>https://ftp.ncbi.nlm.nih.gov/genomes/all/GCA/002/214/645/GCA_002214645.1_ASM221464v1</t>
  </si>
  <si>
    <t>GCA_002215535.1</t>
  </si>
  <si>
    <t>AMT</t>
  </si>
  <si>
    <t>https://ftp.ncbi.nlm.nih.gov/genomes/all/GCA/002/215/535/GCA_002215535.1_ASM221553v1</t>
  </si>
  <si>
    <t>GCA_002220735.1</t>
  </si>
  <si>
    <t>HMT-776</t>
  </si>
  <si>
    <t>CCUG 20703</t>
  </si>
  <si>
    <t>https://ftp.ncbi.nlm.nih.gov/genomes/all/GCA/002/220/735/GCA_002220735.1_ASM222073v1</t>
  </si>
  <si>
    <t>GCA_002220755.1</t>
  </si>
  <si>
    <t>LMG 17589</t>
  </si>
  <si>
    <t>https://ftp.ncbi.nlm.nih.gov/genomes/all/GCA/002/220/755/GCA_002220755.1_ASM222075v1</t>
  </si>
  <si>
    <t>GCA_002220775.1</t>
  </si>
  <si>
    <t>RM8705</t>
  </si>
  <si>
    <t>https://ftp.ncbi.nlm.nih.gov/genomes/all/GCA/002/220/775/GCA_002220775.1_ASM222077v1</t>
  </si>
  <si>
    <t>GCA_002220795.1</t>
  </si>
  <si>
    <t>RM3237</t>
  </si>
  <si>
    <t>https://ftp.ncbi.nlm.nih.gov/genomes/all/GCA/002/220/795/GCA_002220795.1_ASM222079v1</t>
  </si>
  <si>
    <t>caccae</t>
  </si>
  <si>
    <t>ATCC 43185</t>
  </si>
  <si>
    <t>https://ftp.ncbi.nlm.nih.gov/genomes/all/GCA/002/222/615/GCA_002222615.2_ASM222261v2</t>
  </si>
  <si>
    <t>GCA_002224675.1</t>
  </si>
  <si>
    <t>copri</t>
  </si>
  <si>
    <t>Indica</t>
  </si>
  <si>
    <t>https://ftp.ncbi.nlm.nih.gov/genomes/all/GCA/002/224/675/GCA_002224675.1_ASM222467v1</t>
  </si>
  <si>
    <t>GCA_002237445.1</t>
  </si>
  <si>
    <t>KEM232</t>
  </si>
  <si>
    <t>https://ftp.ncbi.nlm.nih.gov/genomes/all/GCA/002/237/445/GCA_002237445.1_ASM223744v1</t>
  </si>
  <si>
    <t>sp. HMT-498</t>
  </si>
  <si>
    <t>F0590</t>
  </si>
  <si>
    <t>https://ftp.ncbi.nlm.nih.gov/genomes/all/GCA/002/240/055/GCA_002240055.1_ASM224005v1</t>
  </si>
  <si>
    <t>GCA_002243215.1</t>
  </si>
  <si>
    <t>09T494</t>
  </si>
  <si>
    <t>https://ftp.ncbi.nlm.nih.gov/genomes/all/GCA/002/243/215/GCA_002243215.1_ASM224321v1</t>
  </si>
  <si>
    <t>GCA_002243385.1</t>
  </si>
  <si>
    <t>HMT-742</t>
  </si>
  <si>
    <t>pumilum</t>
  </si>
  <si>
    <t>ATCC 700696</t>
  </si>
  <si>
    <t>https://ftp.ncbi.nlm.nih.gov/genomes/all/GCA/002/243/385/GCA_002243385.1_ASM224338v1</t>
  </si>
  <si>
    <t>GCA_002243405.1</t>
  </si>
  <si>
    <t>W7671</t>
  </si>
  <si>
    <t>https://ftp.ncbi.nlm.nih.gov/genomes/all/GCA/002/243/405/GCA_002243405.1_ASM224340v1</t>
  </si>
  <si>
    <t>GCA_002243705.1</t>
  </si>
  <si>
    <t>DSM 2641T</t>
  </si>
  <si>
    <t>https://ftp.ncbi.nlm.nih.gov/genomes/all/GCA/002/243/705/GCA_002243705.1_ASM224370v1</t>
  </si>
  <si>
    <t>GCA_002248115.3</t>
  </si>
  <si>
    <t>KPCTRSRTH07</t>
  </si>
  <si>
    <t>https://ftp.ncbi.nlm.nih.gov/genomes/all/GCA/002/248/115/GCA_002248115.3_ASM224811v3</t>
  </si>
  <si>
    <t>GCA_002250095.2</t>
  </si>
  <si>
    <t>K93G</t>
  </si>
  <si>
    <t>https://ftp.ncbi.nlm.nih.gov/genomes/all/GCA/002/250/095/GCA_002250095.2_ASM225009v2</t>
  </si>
  <si>
    <t>Alkalihalobacillus</t>
  </si>
  <si>
    <t>clausii</t>
  </si>
  <si>
    <t>DSM 8716</t>
  </si>
  <si>
    <t>https://ftp.ncbi.nlm.nih.gov/genomes/all/GCA/002/250/115/GCA_002250115.1_ASM225011v1</t>
  </si>
  <si>
    <t>GCA_002252535.1</t>
  </si>
  <si>
    <t>LUP21</t>
  </si>
  <si>
    <t>https://ftp.ncbi.nlm.nih.gov/genomes/all/GCA/002/252/535/GCA_002252535.1_ASM225253v1</t>
  </si>
  <si>
    <t>GCA_002266475.1</t>
  </si>
  <si>
    <t>KCOM 1157</t>
  </si>
  <si>
    <t>https://ftp.ncbi.nlm.nih.gov/genomes/all/GCA/002/266/475/GCA_002266475.1_ASM226647v1</t>
  </si>
  <si>
    <t>GCA_002266485.1</t>
  </si>
  <si>
    <t>KCOM 1299</t>
  </si>
  <si>
    <t>https://ftp.ncbi.nlm.nih.gov/genomes/all/GCA/002/266/485/GCA_002266485.1_ASM226648v1</t>
  </si>
  <si>
    <t>GCA_002273005.1</t>
  </si>
  <si>
    <t>HMT-207</t>
  </si>
  <si>
    <t>gottingense</t>
  </si>
  <si>
    <t>NBT06-6</t>
  </si>
  <si>
    <t>https://ftp.ncbi.nlm.nih.gov/genomes/all/GCA/002/273/005/GCA_002273005.1_ASM227300v1</t>
  </si>
  <si>
    <t>GCA_002276615.1</t>
  </si>
  <si>
    <t>OG2-2</t>
  </si>
  <si>
    <t>https://ftp.ncbi.nlm.nih.gov/genomes/all/GCA/002/276/615/GCA_002276615.1_ASM227661v1</t>
  </si>
  <si>
    <t>GCA_002276695.1</t>
  </si>
  <si>
    <t>OG2-1</t>
  </si>
  <si>
    <t>https://ftp.ncbi.nlm.nih.gov/genomes/all/GCA/002/276/695/GCA_002276695.1_ASM227669v1</t>
  </si>
  <si>
    <t>GCA_002277935.1</t>
  </si>
  <si>
    <t>BDGP3</t>
  </si>
  <si>
    <t>https://ftp.ncbi.nlm.nih.gov/genomes/all/GCA/002/277/935/GCA_002277935.1_ASM227793v1</t>
  </si>
  <si>
    <t>GCA_002285075.1</t>
  </si>
  <si>
    <t>NML93-0607</t>
  </si>
  <si>
    <t>https://ftp.ncbi.nlm.nih.gov/genomes/all/GCA/002/285/075/GCA_002285075.1_ASM228507v1</t>
  </si>
  <si>
    <t>GCA_002285085.1</t>
  </si>
  <si>
    <t>NML 150383</t>
  </si>
  <si>
    <t>https://ftp.ncbi.nlm.nih.gov/genomes/all/GCA/002/285/085/GCA_002285085.1_ASM228508v1</t>
  </si>
  <si>
    <t>GCA_002285115.1</t>
  </si>
  <si>
    <t>NML92-0415</t>
  </si>
  <si>
    <t>https://ftp.ncbi.nlm.nih.gov/genomes/all/GCA/002/285/115/GCA_002285115.1_ASM228511v1</t>
  </si>
  <si>
    <t>GCA_002285125.1</t>
  </si>
  <si>
    <t>NML99-0020</t>
  </si>
  <si>
    <t>https://ftp.ncbi.nlm.nih.gov/genomes/all/GCA/002/285/125/GCA_002285125.1_ASM228512v1</t>
  </si>
  <si>
    <t>GCA_002285155.1</t>
  </si>
  <si>
    <t>NML 120412</t>
  </si>
  <si>
    <t>https://ftp.ncbi.nlm.nih.gov/genomes/all/GCA/002/285/155/GCA_002285155.1_ASM228515v1</t>
  </si>
  <si>
    <t>GCA_002285175.1</t>
  </si>
  <si>
    <t>NML00-0156</t>
  </si>
  <si>
    <t>https://ftp.ncbi.nlm.nih.gov/genomes/all/GCA/002/285/175/GCA_002285175.1_ASM228517v1</t>
  </si>
  <si>
    <t>GCA_002286215.1</t>
  </si>
  <si>
    <t>LA1</t>
  </si>
  <si>
    <t>https://ftp.ncbi.nlm.nih.gov/genomes/all/GCA/002/286/215/GCA_002286215.1_ASM228621v1</t>
  </si>
  <si>
    <t>GCA_002289235.2</t>
  </si>
  <si>
    <t>FDAARGOS_256</t>
  </si>
  <si>
    <t>https://ftp.ncbi.nlm.nih.gov/genomes/all/GCA/002/289/235/GCA_002289235.2_ASM228923v2</t>
  </si>
  <si>
    <t>KC1668</t>
  </si>
  <si>
    <t>https://ftp.ncbi.nlm.nih.gov/genomes/all/GCA/002/302/395/GCA_002302395.1_ASM230239v1</t>
  </si>
  <si>
    <t>H1496</t>
  </si>
  <si>
    <t>https://ftp.ncbi.nlm.nih.gov/genomes/all/GCA/002/302/415/GCA_002302415.1_ASM230241v1</t>
  </si>
  <si>
    <t>D1179</t>
  </si>
  <si>
    <t>https://ftp.ncbi.nlm.nih.gov/genomes/all/GCA/002/302/495/GCA_002302495.1_ASM230249v1</t>
  </si>
  <si>
    <t>H4486</t>
  </si>
  <si>
    <t>https://ftp.ncbi.nlm.nih.gov/genomes/all/GCA/002/302/595/GCA_002302595.1_ASM230259v1</t>
  </si>
  <si>
    <t>H6253</t>
  </si>
  <si>
    <t>https://ftp.ncbi.nlm.nih.gov/genomes/all/GCA/002/302/615/GCA_002302615.1_ASM230261v1</t>
  </si>
  <si>
    <t>GCA_002310875.1</t>
  </si>
  <si>
    <t>T21</t>
  </si>
  <si>
    <t>https://ftp.ncbi.nlm.nih.gov/genomes/all/GCA/002/310/875/GCA_002310875.1_ASM231087v1</t>
  </si>
  <si>
    <t>H6490</t>
  </si>
  <si>
    <t>https://ftp.ncbi.nlm.nih.gov/genomes/all/GCA/002/312/885/GCA_002312885.1_ASM231288v1</t>
  </si>
  <si>
    <t>GCA_002318615.1</t>
  </si>
  <si>
    <t>NlUS07x1</t>
  </si>
  <si>
    <t>https://ftp.ncbi.nlm.nih.gov/genomes/all/GCA/002/318/615/GCA_002318615.1_ASM231861v1</t>
  </si>
  <si>
    <t>GCA_002351405.1</t>
  </si>
  <si>
    <t>AH4003</t>
  </si>
  <si>
    <t>https://ftp.ncbi.nlm.nih.gov/genomes/all/GCA/002/351/405/GCA_002351405.1_ASM235140v1</t>
  </si>
  <si>
    <t>GCA_002355195.1</t>
  </si>
  <si>
    <t>OMA14</t>
  </si>
  <si>
    <t>https://ftp.ncbi.nlm.nih.gov/genomes/all/GCA/002/355/195/GCA_002355195.1_ASM235519v1</t>
  </si>
  <si>
    <t>GCA_002355935.1</t>
  </si>
  <si>
    <t>JCM 11412</t>
  </si>
  <si>
    <t>https://ftp.ncbi.nlm.nih.gov/genomes/all/GCA/002/355/935/GCA_002355935.1_ASM235593v1</t>
  </si>
  <si>
    <t>GCA_002356055.1</t>
  </si>
  <si>
    <t>TYG1620</t>
  </si>
  <si>
    <t>https://ftp.ncbi.nlm.nih.gov/genomes/all/GCA/002/356/055/GCA_002356055.1_ASM235605v1</t>
  </si>
  <si>
    <t>GCA_002356175.1</t>
  </si>
  <si>
    <t>TW2795</t>
  </si>
  <si>
    <t>https://ftp.ncbi.nlm.nih.gov/genomes/all/GCA/002/356/175/GCA_002356175.1_ASM235617v1</t>
  </si>
  <si>
    <t>GCA_002356415.1</t>
  </si>
  <si>
    <t>osk_001</t>
  </si>
  <si>
    <t>https://ftp.ncbi.nlm.nih.gov/genomes/all/GCA/002/356/415/GCA_002356415.1_ASM235641v1</t>
  </si>
  <si>
    <t>GCA_002357995.1</t>
  </si>
  <si>
    <t>KK0981</t>
  </si>
  <si>
    <t>https://ftp.ncbi.nlm.nih.gov/genomes/all/GCA/002/357/995/GCA_002357995.1_ASM235799v1</t>
  </si>
  <si>
    <t>GCA_002359915.1</t>
  </si>
  <si>
    <t>HMT-792</t>
  </si>
  <si>
    <t>nagyae</t>
  </si>
  <si>
    <t>UBA2626</t>
  </si>
  <si>
    <t>https://ftp.ncbi.nlm.nih.gov/genomes/all/GCA/002/359/915/GCA_002359915.1_ASM235991v1</t>
  </si>
  <si>
    <t>GCA_002381265.1</t>
  </si>
  <si>
    <t>BI</t>
  </si>
  <si>
    <t>https://ftp.ncbi.nlm.nih.gov/genomes/all/GCA/002/381/265/GCA_002381265.1_ASM238126v1</t>
  </si>
  <si>
    <t>GCA_002386285.1</t>
  </si>
  <si>
    <t>FDAARGOS_371</t>
  </si>
  <si>
    <t>https://ftp.ncbi.nlm.nih.gov/genomes/all/GCA/002/386/285/GCA_002386285.1_ASM238628v1</t>
  </si>
  <si>
    <t>GCA_002386345.1</t>
  </si>
  <si>
    <t>FDAARGOS_367</t>
  </si>
  <si>
    <t>https://ftp.ncbi.nlm.nih.gov/genomes/all/GCA/002/386/345/GCA_002386345.1_ASM238634v1</t>
  </si>
  <si>
    <t>GCA_002386365.1</t>
  </si>
  <si>
    <t>FDAARGOS_369</t>
  </si>
  <si>
    <t>https://ftp.ncbi.nlm.nih.gov/genomes/all/GCA/002/386/365/GCA_002386365.1_ASM238636v1</t>
  </si>
  <si>
    <t>GCA_002407165.1</t>
  </si>
  <si>
    <t>FDAARGOS_377</t>
  </si>
  <si>
    <t>https://ftp.ncbi.nlm.nih.gov/genomes/all/GCA/002/407/165/GCA_002407165.1_ASM240716v1</t>
  </si>
  <si>
    <t>GCA_002417615.1</t>
  </si>
  <si>
    <t>12230 MIT 2016</t>
  </si>
  <si>
    <t>https://ftp.ncbi.nlm.nih.gov/genomes/all/GCA/002/417/615/GCA_002417615.1_ASM241761v1</t>
  </si>
  <si>
    <t>GCA_002438315.1</t>
  </si>
  <si>
    <t>UBA6293</t>
  </si>
  <si>
    <t>https://ftp.ncbi.nlm.nih.gov/genomes/all/GCA/002/438/315/GCA_002438315.1_ASM243831v1</t>
  </si>
  <si>
    <t>GCA_002441815.1</t>
  </si>
  <si>
    <t>https://ftp.ncbi.nlm.nih.gov/genomes/all/GCA/002/441/815/GCA_002441815.1_ASM244181v1</t>
  </si>
  <si>
    <t>GCA_002442515.1</t>
  </si>
  <si>
    <t>BII</t>
  </si>
  <si>
    <t>https://ftp.ncbi.nlm.nih.gov/genomes/all/GCA/002/442/515/GCA_002442515.1_ASM244251v1</t>
  </si>
  <si>
    <t>GCA_002442915.1</t>
  </si>
  <si>
    <t>HMT-141</t>
  </si>
  <si>
    <t>pasteuri</t>
  </si>
  <si>
    <t>JS7</t>
  </si>
  <si>
    <t>https://ftp.ncbi.nlm.nih.gov/genomes/all/GCA/002/442/915/GCA_002442915.1_ASM244291v1</t>
  </si>
  <si>
    <t>GCA_002443035.1</t>
  </si>
  <si>
    <t>B59671</t>
  </si>
  <si>
    <t>https://ftp.ncbi.nlm.nih.gov/genomes/all/GCA/002/443/035/GCA_002443035.1_ASM244303v1</t>
  </si>
  <si>
    <t>GCA_002443115.1</t>
  </si>
  <si>
    <t>32T</t>
  </si>
  <si>
    <t>https://ftp.ncbi.nlm.nih.gov/genomes/all/GCA/002/443/115/GCA_002443115.1_ASM244311v1</t>
  </si>
  <si>
    <t>WW11663</t>
  </si>
  <si>
    <t>https://ftp.ncbi.nlm.nih.gov/genomes/all/GCA/002/529/085/GCA_002529085.1_ASM252908v1</t>
  </si>
  <si>
    <t>GCA_002529125.1</t>
  </si>
  <si>
    <t>WW5127</t>
  </si>
  <si>
    <t>https://ftp.ncbi.nlm.nih.gov/genomes/all/GCA/002/529/125/GCA_002529125.1_ASM252912v1</t>
  </si>
  <si>
    <t>GCA_002529145.1</t>
  </si>
  <si>
    <t>WW3039</t>
  </si>
  <si>
    <t>https://ftp.ncbi.nlm.nih.gov/genomes/all/GCA/002/529/145/GCA_002529145.1_ASM252914v1</t>
  </si>
  <si>
    <t>GCA_002529155.1</t>
  </si>
  <si>
    <t>WW2903</t>
  </si>
  <si>
    <t>https://ftp.ncbi.nlm.nih.gov/genomes/all/GCA/002/529/155/GCA_002529155.1_ASM252915v1</t>
  </si>
  <si>
    <t>GCA_002529185.1</t>
  </si>
  <si>
    <t>WW2866</t>
  </si>
  <si>
    <t>https://ftp.ncbi.nlm.nih.gov/genomes/all/GCA/002/529/185/GCA_002529185.1_ASM252918v1</t>
  </si>
  <si>
    <t>GCA_002529205.1</t>
  </si>
  <si>
    <t>WW5019</t>
  </si>
  <si>
    <t>https://ftp.ncbi.nlm.nih.gov/genomes/all/GCA/002/529/205/GCA_002529205.1_ASM252920v1</t>
  </si>
  <si>
    <t>GCA_002529225.1</t>
  </si>
  <si>
    <t>WW2834</t>
  </si>
  <si>
    <t>https://ftp.ncbi.nlm.nih.gov/genomes/all/GCA/002/529/225/GCA_002529225.1_ASM252922v1</t>
  </si>
  <si>
    <t>GCA_002529235.1</t>
  </si>
  <si>
    <t>WW3040</t>
  </si>
  <si>
    <t>https://ftp.ncbi.nlm.nih.gov/genomes/all/GCA/002/529/235/GCA_002529235.1_ASM252923v1</t>
  </si>
  <si>
    <t>GCA_002529285.1</t>
  </si>
  <si>
    <t>WW2931</t>
  </si>
  <si>
    <t>https://ftp.ncbi.nlm.nih.gov/genomes/all/GCA/002/529/285/GCA_002529285.1_ASM252928v1</t>
  </si>
  <si>
    <t>WW10960</t>
  </si>
  <si>
    <t>https://ftp.ncbi.nlm.nih.gov/genomes/all/GCA/002/529/295/GCA_002529295.1_ASM252929v1</t>
  </si>
  <si>
    <t>GCA_002529305.1</t>
  </si>
  <si>
    <t>WW855</t>
  </si>
  <si>
    <t>https://ftp.ncbi.nlm.nih.gov/genomes/all/GCA/002/529/305/GCA_002529305.1_ASM252930v1</t>
  </si>
  <si>
    <t>GCA_002529345.1</t>
  </si>
  <si>
    <t>WW2952</t>
  </si>
  <si>
    <t>https://ftp.ncbi.nlm.nih.gov/genomes/all/GCA/002/529/345/GCA_002529345.1_ASM252934v1</t>
  </si>
  <si>
    <t>GCA_002529355.1</t>
  </si>
  <si>
    <t>WW2885</t>
  </si>
  <si>
    <t>https://ftp.ncbi.nlm.nih.gov/genomes/all/GCA/002/529/355/GCA_002529355.1_ASM252935v1</t>
  </si>
  <si>
    <t>GCA_002529365.1</t>
  </si>
  <si>
    <t>WW3102</t>
  </si>
  <si>
    <t>https://ftp.ncbi.nlm.nih.gov/genomes/all/GCA/002/529/365/GCA_002529365.1_ASM252936v1</t>
  </si>
  <si>
    <t>GCA_002529375.1</t>
  </si>
  <si>
    <t>WW2842</t>
  </si>
  <si>
    <t>https://ftp.ncbi.nlm.nih.gov/genomes/all/GCA/002/529/375/GCA_002529375.1_ASM252937v1</t>
  </si>
  <si>
    <t>GCA_002529425.1</t>
  </si>
  <si>
    <t>WW2096</t>
  </si>
  <si>
    <t>https://ftp.ncbi.nlm.nih.gov/genomes/all/GCA/002/529/425/GCA_002529425.1_ASM252942v1</t>
  </si>
  <si>
    <t>GCA_002529435.1</t>
  </si>
  <si>
    <t>WW414</t>
  </si>
  <si>
    <t>https://ftp.ncbi.nlm.nih.gov/genomes/all/GCA/002/529/435/GCA_002529435.1_ASM252943v1</t>
  </si>
  <si>
    <t>GCA_002554715.1</t>
  </si>
  <si>
    <t>https://ftp.ncbi.nlm.nih.gov/genomes/all/GCA/002/554/715/GCA_002554715.1_ASM255471v1</t>
  </si>
  <si>
    <t>GCA_002556585.1</t>
  </si>
  <si>
    <t>M26417</t>
  </si>
  <si>
    <t>https://ftp.ncbi.nlm.nih.gov/genomes/all/GCA/002/556/585/GCA_002556585.1_ASM255658v1</t>
  </si>
  <si>
    <t>GCA_002573475.1</t>
  </si>
  <si>
    <t>KCOM 1280 (= ChDC F318)</t>
  </si>
  <si>
    <t>https://ftp.ncbi.nlm.nih.gov/genomes/all/GCA/002/573/475/GCA_002573475.1_ASM257347v1</t>
  </si>
  <si>
    <t>GCA_002578695.1</t>
  </si>
  <si>
    <t>CI878</t>
  </si>
  <si>
    <t>https://ftp.ncbi.nlm.nih.gov/genomes/all/GCA/002/578/695/GCA_002578695.1_ASM257869v1</t>
  </si>
  <si>
    <t>GCA_002578705.1</t>
  </si>
  <si>
    <t>CI855</t>
  </si>
  <si>
    <t>https://ftp.ncbi.nlm.nih.gov/genomes/all/GCA/002/578/705/GCA_002578705.1_ASM257870v1</t>
  </si>
  <si>
    <t>GCA_002578765.1</t>
  </si>
  <si>
    <t>CI853</t>
  </si>
  <si>
    <t>https://ftp.ncbi.nlm.nih.gov/genomes/all/GCA/002/578/765/GCA_002578765.1_ASM257876v1</t>
  </si>
  <si>
    <t>GCA_002578825.1</t>
  </si>
  <si>
    <t>CI882</t>
  </si>
  <si>
    <t>https://ftp.ncbi.nlm.nih.gov/genomes/all/GCA/002/578/825/GCA_002578825.1_ASM257882v1</t>
  </si>
  <si>
    <t>GCA_002578835.1</t>
  </si>
  <si>
    <t>CI828</t>
  </si>
  <si>
    <t>https://ftp.ncbi.nlm.nih.gov/genomes/all/GCA/002/578/835/GCA_002578835.1_ASM257883v1</t>
  </si>
  <si>
    <t>GCA_002591175.1</t>
  </si>
  <si>
    <t>FDAARGOS_378</t>
  </si>
  <si>
    <t>https://ftp.ncbi.nlm.nih.gov/genomes/all/GCA/002/591/175/GCA_002591175.1_ASM259117v1</t>
  </si>
  <si>
    <t>GCA_002591215.1</t>
  </si>
  <si>
    <t>FDAARGOS_381</t>
  </si>
  <si>
    <t>https://ftp.ncbi.nlm.nih.gov/genomes/all/GCA/002/591/215/GCA_002591215.1_ASM259121v1</t>
  </si>
  <si>
    <t>GCA_002591465.1</t>
  </si>
  <si>
    <t>KCOM 1274 (=ChDC F309)</t>
  </si>
  <si>
    <t>https://ftp.ncbi.nlm.nih.gov/genomes/all/GCA/002/591/465/GCA_002591465.1_ASM259146v1</t>
  </si>
  <si>
    <t>GCA_002591475.1</t>
  </si>
  <si>
    <t>KCOM 1267(=ChDC F290)</t>
  </si>
  <si>
    <t>https://ftp.ncbi.nlm.nih.gov/genomes/all/GCA/002/591/475/GCA_002591475.1_ASM259147v1</t>
  </si>
  <si>
    <t>GCA_002591505.1</t>
  </si>
  <si>
    <t>KCOM 1248 (=ChDC F113)</t>
  </si>
  <si>
    <t>https://ftp.ncbi.nlm.nih.gov/genomes/all/GCA/002/591/505/GCA_002591505.1_ASM259150v1</t>
  </si>
  <si>
    <t>GCA_002591515.1</t>
  </si>
  <si>
    <t>KCOM 1271 (=ChDC F305)</t>
  </si>
  <si>
    <t>https://ftp.ncbi.nlm.nih.gov/genomes/all/GCA/002/591/515/GCA_002591515.1_ASM259151v1</t>
  </si>
  <si>
    <t>GCA_002591545.1</t>
  </si>
  <si>
    <t>KCOM 1257 (=ChDC F186)</t>
  </si>
  <si>
    <t>https://ftp.ncbi.nlm.nih.gov/genomes/all/GCA/002/591/545/GCA_002591545.1_ASM259154v1</t>
  </si>
  <si>
    <t>GCA_002591555.1</t>
  </si>
  <si>
    <t>KCOM 1002 (=ChDC F175)</t>
  </si>
  <si>
    <t>https://ftp.ncbi.nlm.nih.gov/genomes/all/GCA/002/591/555/GCA_002591555.1_ASM259155v1</t>
  </si>
  <si>
    <t>GCA_002591585.1</t>
  </si>
  <si>
    <t>KCOM 1278 (=ChDC F313)</t>
  </si>
  <si>
    <t>https://ftp.ncbi.nlm.nih.gov/genomes/all/GCA/002/591/585/GCA_002591585.1_ASM259158v1</t>
  </si>
  <si>
    <t>GCA_002591645.1</t>
  </si>
  <si>
    <t>KCOM 1330 (=ChDC F330)</t>
  </si>
  <si>
    <t>https://ftp.ncbi.nlm.nih.gov/genomes/all/GCA/002/591/645/GCA_002591645.1_ASM259164v1</t>
  </si>
  <si>
    <t>GCA_002633865.1</t>
  </si>
  <si>
    <t>CFSAN007894</t>
  </si>
  <si>
    <t>https://ftp.ncbi.nlm.nih.gov/genomes/all/GCA/002/633/865/GCA_002633865.1_ASM263386v1</t>
  </si>
  <si>
    <t>GCA_002689225.1</t>
  </si>
  <si>
    <t>MED728</t>
  </si>
  <si>
    <t>https://ftp.ncbi.nlm.nih.gov/genomes/all/GCA/002/689/225/GCA_002689225.1_ASM268922v1</t>
  </si>
  <si>
    <t>GCA_002694325.1</t>
  </si>
  <si>
    <t>IN25</t>
  </si>
  <si>
    <t>https://ftp.ncbi.nlm.nih.gov/genomes/all/GCA/002/694/325/GCA_002694325.1_ASM269432v1</t>
  </si>
  <si>
    <t>GCA_002742685.1</t>
  </si>
  <si>
    <t>KU2-6_11</t>
  </si>
  <si>
    <t>https://ftp.ncbi.nlm.nih.gov/genomes/all/GCA/002/742/685/GCA_002742685.1_ASM274268v1</t>
  </si>
  <si>
    <t>GCA_002749495.1</t>
  </si>
  <si>
    <t>TT13</t>
  </si>
  <si>
    <t>https://ftp.ncbi.nlm.nih.gov/genomes/all/GCA/002/749/495/GCA_002749495.1_ASM274949v1</t>
  </si>
  <si>
    <t>GCA_002749995.1</t>
  </si>
  <si>
    <t>KCOM 2880</t>
  </si>
  <si>
    <t>https://ftp.ncbi.nlm.nih.gov/genomes/all/GCA/002/749/995/GCA_002749995.1_ASM274999v1</t>
  </si>
  <si>
    <t>GCA_002753835.1</t>
  </si>
  <si>
    <t>KCOM 1653</t>
  </si>
  <si>
    <t>https://ftp.ncbi.nlm.nih.gov/genomes/all/GCA/002/753/835/GCA_002753835.1_ASM275383v1</t>
  </si>
  <si>
    <t>GCA_002753855.1</t>
  </si>
  <si>
    <t>KCOM 1101</t>
  </si>
  <si>
    <t>https://ftp.ncbi.nlm.nih.gov/genomes/all/GCA/002/753/855/GCA_002753855.1_ASM275385v1</t>
  </si>
  <si>
    <t>GCA_002753935.1</t>
  </si>
  <si>
    <t>KCOM 3131</t>
  </si>
  <si>
    <t>https://ftp.ncbi.nlm.nih.gov/genomes/all/GCA/002/753/935/GCA_002753935.1_ASM275393v1</t>
  </si>
  <si>
    <t>GCA_002753955.1</t>
  </si>
  <si>
    <t>KCOM 2799</t>
  </si>
  <si>
    <t>https://ftp.ncbi.nlm.nih.gov/genomes/all/GCA/002/753/955/GCA_002753955.1_ASM275395v1</t>
  </si>
  <si>
    <t>GCA_002753975.1</t>
  </si>
  <si>
    <t>KCOM 2801</t>
  </si>
  <si>
    <t>https://ftp.ncbi.nlm.nih.gov/genomes/all/GCA/002/753/975/GCA_002753975.1_ASM275397v1</t>
  </si>
  <si>
    <t>GCA_002754015.1</t>
  </si>
  <si>
    <t>KCOM 2802</t>
  </si>
  <si>
    <t>https://ftp.ncbi.nlm.nih.gov/genomes/all/GCA/002/754/015/GCA_002754015.1_ASM275401v1</t>
  </si>
  <si>
    <t>GCA_002754035.1</t>
  </si>
  <si>
    <t>KCOM 2803</t>
  </si>
  <si>
    <t>https://ftp.ncbi.nlm.nih.gov/genomes/all/GCA/002/754/035/GCA_002754035.1_ASM275403v1</t>
  </si>
  <si>
    <t>GCA_002754055.1</t>
  </si>
  <si>
    <t>KCOM 2804</t>
  </si>
  <si>
    <t>https://ftp.ncbi.nlm.nih.gov/genomes/all/GCA/002/754/055/GCA_002754055.1_ASM275405v1</t>
  </si>
  <si>
    <t>GCA_002754075.1</t>
  </si>
  <si>
    <t>KCOM 2805</t>
  </si>
  <si>
    <t>https://ftp.ncbi.nlm.nih.gov/genomes/all/GCA/002/754/075/GCA_002754075.1_ASM275407v1</t>
  </si>
  <si>
    <t>GCA_002754095.1</t>
  </si>
  <si>
    <t>KCOM 3001</t>
  </si>
  <si>
    <t>https://ftp.ncbi.nlm.nih.gov/genomes/all/GCA/002/754/095/GCA_002754095.1_ASM275409v1</t>
  </si>
  <si>
    <t>GCA_002754115.1</t>
  </si>
  <si>
    <t>KCOM 2796</t>
  </si>
  <si>
    <t>https://ftp.ncbi.nlm.nih.gov/genomes/all/GCA/002/754/115/GCA_002754115.1_ASM275411v1</t>
  </si>
  <si>
    <t>GCA_002754135.1</t>
  </si>
  <si>
    <t>KCOM 2798</t>
  </si>
  <si>
    <t>https://ftp.ncbi.nlm.nih.gov/genomes/all/GCA/002/754/135/GCA_002754135.1_ASM275413v1</t>
  </si>
  <si>
    <t>GCA_002754155.1</t>
  </si>
  <si>
    <t>KCOM 2800</t>
  </si>
  <si>
    <t>https://ftp.ncbi.nlm.nih.gov/genomes/all/GCA/002/754/155/GCA_002754155.1_ASM275415v1</t>
  </si>
  <si>
    <t>GCA_002754815.1</t>
  </si>
  <si>
    <t>FDAARGOS_362</t>
  </si>
  <si>
    <t>https://ftp.ncbi.nlm.nih.gov/genomes/all/GCA/002/754/815/GCA_002754815.1_ASM275481v1</t>
  </si>
  <si>
    <t>GCA_002761215.1</t>
  </si>
  <si>
    <t>HMT-871</t>
  </si>
  <si>
    <t>Patescibacteria [C1 O1 F1 G1]</t>
  </si>
  <si>
    <t>bacterium HMT-871</t>
  </si>
  <si>
    <t>HOT-871</t>
  </si>
  <si>
    <t>https://ftp.ncbi.nlm.nih.gov/genomes/all/GCA/002/761/215/GCA_002761215.1_ASM276121v1</t>
  </si>
  <si>
    <t>GCA_002761915.1</t>
  </si>
  <si>
    <t>KCOM 1265</t>
  </si>
  <si>
    <t>https://ftp.ncbi.nlm.nih.gov/genomes/all/GCA/002/761/915/GCA_002761915.1_ASM276191v1</t>
  </si>
  <si>
    <t>GCA_002761935.1</t>
  </si>
  <si>
    <t>HMT-429</t>
  </si>
  <si>
    <t>pseudoperiodonticum</t>
  </si>
  <si>
    <t>KCOM 1321</t>
  </si>
  <si>
    <t>https://ftp.ncbi.nlm.nih.gov/genomes/all/GCA/002/761/935/GCA_002761935.1_ASM276193v1</t>
  </si>
  <si>
    <t>GCA_002761955.1</t>
  </si>
  <si>
    <t>KCOM 1259</t>
  </si>
  <si>
    <t>https://ftp.ncbi.nlm.nih.gov/genomes/all/GCA/002/761/955/GCA_002761955.1_ASM276195v1</t>
  </si>
  <si>
    <t>GCA_002761995.1</t>
  </si>
  <si>
    <t>P1_CP</t>
  </si>
  <si>
    <t>https://ftp.ncbi.nlm.nih.gov/genomes/all/GCA/002/761/995/GCA_002761995.1_ASM276199v1</t>
  </si>
  <si>
    <t>GCA_002762005.1</t>
  </si>
  <si>
    <t>P2_CP</t>
  </si>
  <si>
    <t>https://ftp.ncbi.nlm.nih.gov/genomes/all/GCA/002/762/005/GCA_002762005.1_ASM276200v1</t>
  </si>
  <si>
    <t>GCA_002762015.1</t>
  </si>
  <si>
    <t>P2_LM</t>
  </si>
  <si>
    <t>https://ftp.ncbi.nlm.nih.gov/genomes/all/GCA/002/762/015/GCA_002762015.1_ASM276201v1</t>
  </si>
  <si>
    <t>GCA_002762025.1</t>
  </si>
  <si>
    <t>P1_LM</t>
  </si>
  <si>
    <t>https://ftp.ncbi.nlm.nih.gov/genomes/all/GCA/002/762/025/GCA_002762025.1_ASM276202v1</t>
  </si>
  <si>
    <t>GCA_002762425.1</t>
  </si>
  <si>
    <t>KCOM 2069</t>
  </si>
  <si>
    <t>https://ftp.ncbi.nlm.nih.gov/genomes/all/GCA/002/762/425/GCA_002762425.1_ASM276242v1</t>
  </si>
  <si>
    <t>GCA_002763535.1</t>
  </si>
  <si>
    <t>KCOM 2033</t>
  </si>
  <si>
    <t>https://ftp.ncbi.nlm.nih.gov/genomes/all/GCA/002/763/535/GCA_002763535.1_ASM276353v1</t>
  </si>
  <si>
    <t>GCA_002763575.1</t>
  </si>
  <si>
    <t>KCOM 2836</t>
  </si>
  <si>
    <t>https://ftp.ncbi.nlm.nih.gov/genomes/all/GCA/002/763/575/GCA_002763575.1_ASM276357v1</t>
  </si>
  <si>
    <t>GCA_002763595.1</t>
  </si>
  <si>
    <t>KCOM 1283</t>
  </si>
  <si>
    <t>https://ftp.ncbi.nlm.nih.gov/genomes/all/GCA/002/763/595/GCA_002763595.1_ASM276359v1</t>
  </si>
  <si>
    <t>GCA_002763625.1</t>
  </si>
  <si>
    <t>KCOM 1261</t>
  </si>
  <si>
    <t>https://ftp.ncbi.nlm.nih.gov/genomes/all/GCA/002/763/625/GCA_002763625.1_ASM276362v1</t>
  </si>
  <si>
    <t>GCA_002763695.1</t>
  </si>
  <si>
    <t>KCOM 1263</t>
  </si>
  <si>
    <t>https://ftp.ncbi.nlm.nih.gov/genomes/all/GCA/002/763/695/GCA_002763695.1_ASM276369v1</t>
  </si>
  <si>
    <t>GCA_002763715.1</t>
  </si>
  <si>
    <t>KCOM 1949</t>
  </si>
  <si>
    <t>https://ftp.ncbi.nlm.nih.gov/genomes/all/GCA/002/763/715/GCA_002763715.1_ASM276371v1</t>
  </si>
  <si>
    <t>GCA_002763735.1</t>
  </si>
  <si>
    <t>KCOM 1277</t>
  </si>
  <si>
    <t>https://ftp.ncbi.nlm.nih.gov/genomes/all/GCA/002/763/735/GCA_002763735.1_ASM276373v1</t>
  </si>
  <si>
    <t>GCA_002763745.1</t>
  </si>
  <si>
    <t>KCOM 2837</t>
  </si>
  <si>
    <t>https://ftp.ncbi.nlm.nih.gov/genomes/all/GCA/002/763/745/GCA_002763745.1_ASM276374v1</t>
  </si>
  <si>
    <t>GCA_002763775.1</t>
  </si>
  <si>
    <t>KCOM 1282</t>
  </si>
  <si>
    <t>https://ftp.ncbi.nlm.nih.gov/genomes/all/GCA/002/763/775/GCA_002763775.1_ASM276377v1</t>
  </si>
  <si>
    <t>GCA_002763785.1</t>
  </si>
  <si>
    <t>KCOM 2838</t>
  </si>
  <si>
    <t>https://ftp.ncbi.nlm.nih.gov/genomes/all/GCA/002/763/785/GCA_002763785.1_ASM276378v1</t>
  </si>
  <si>
    <t>GCA_002763815.1</t>
  </si>
  <si>
    <t>KCOM 2305</t>
  </si>
  <si>
    <t>https://ftp.ncbi.nlm.nih.gov/genomes/all/GCA/002/763/815/GCA_002763815.1_ASM276381v1</t>
  </si>
  <si>
    <t>GCA_002763845.1</t>
  </si>
  <si>
    <t>KCOM 1933</t>
  </si>
  <si>
    <t>https://ftp.ncbi.nlm.nih.gov/genomes/all/GCA/002/763/845/GCA_002763845.1_ASM276384v1</t>
  </si>
  <si>
    <t>GCA_002763875.1</t>
  </si>
  <si>
    <t>KCOM 2555</t>
  </si>
  <si>
    <t>https://ftp.ncbi.nlm.nih.gov/genomes/all/GCA/002/763/875/GCA_002763875.1_ASM276387v1</t>
  </si>
  <si>
    <t>GCA_002763915.1</t>
  </si>
  <si>
    <t>KCOM 1262</t>
  </si>
  <si>
    <t>https://ftp.ncbi.nlm.nih.gov/genomes/all/GCA/002/763/915/GCA_002763915.1_ASM276391v1</t>
  </si>
  <si>
    <t>GCA_002763925.1</t>
  </si>
  <si>
    <t>KCOM 2653</t>
  </si>
  <si>
    <t>https://ftp.ncbi.nlm.nih.gov/genomes/all/GCA/002/763/925/GCA_002763925.1_ASM276392v1</t>
  </si>
  <si>
    <t>GCA_002763955.1</t>
  </si>
  <si>
    <t>KCOM 1741</t>
  </si>
  <si>
    <t>https://ftp.ncbi.nlm.nih.gov/genomes/all/GCA/002/763/955/GCA_002763955.1_ASM276395v1</t>
  </si>
  <si>
    <t>GCA_002763975.1</t>
  </si>
  <si>
    <t>KCOM 1944</t>
  </si>
  <si>
    <t>https://ftp.ncbi.nlm.nih.gov/genomes/all/GCA/002/763/975/GCA_002763975.1_ASM276397v1</t>
  </si>
  <si>
    <t>GCA_002764055.1</t>
  </si>
  <si>
    <t>KCOM 2931</t>
  </si>
  <si>
    <t>https://ftp.ncbi.nlm.nih.gov/genomes/all/GCA/002/764/055/GCA_002764055.1_ASM276405v1</t>
  </si>
  <si>
    <t>GCA_002775055.1</t>
  </si>
  <si>
    <t>https://ftp.ncbi.nlm.nih.gov/genomes/all/GCA/002/775/055/GCA_002775055.1_ASM277505v1</t>
  </si>
  <si>
    <t>GCA_002775105.1</t>
  </si>
  <si>
    <t>https://ftp.ncbi.nlm.nih.gov/genomes/all/GCA/002/775/105/GCA_002775105.1_ASM277510v1</t>
  </si>
  <si>
    <t>GCA_002780495.1</t>
  </si>
  <si>
    <t>https://ftp.ncbi.nlm.nih.gov/genomes/all/GCA/002/780/495/GCA_002780495.1_ASM278049v1</t>
  </si>
  <si>
    <t>GCA_002780525.1</t>
  </si>
  <si>
    <t>CipR71</t>
  </si>
  <si>
    <t>https://ftp.ncbi.nlm.nih.gov/genomes/all/GCA/002/780/525/GCA_002780525.1_ASM278052v1</t>
  </si>
  <si>
    <t>GCA_002794335.1</t>
  </si>
  <si>
    <t>KCOM 1779</t>
  </si>
  <si>
    <t>https://ftp.ncbi.nlm.nih.gov/genomes/all/GCA/002/794/335/GCA_002794335.1_ASM279433v1</t>
  </si>
  <si>
    <t>GCA_002797135.1</t>
  </si>
  <si>
    <t>KCOM 1945</t>
  </si>
  <si>
    <t>https://ftp.ncbi.nlm.nih.gov/genomes/all/GCA/002/797/135/GCA_002797135.1_ASM279713v1</t>
  </si>
  <si>
    <t>GCA_002797155.1</t>
  </si>
  <si>
    <t>KCOM 2698</t>
  </si>
  <si>
    <t>https://ftp.ncbi.nlm.nih.gov/genomes/all/GCA/002/797/155/GCA_002797155.1_ASM279715v1</t>
  </si>
  <si>
    <t>GCA_002797175.1</t>
  </si>
  <si>
    <t>KCOM 2833</t>
  </si>
  <si>
    <t>https://ftp.ncbi.nlm.nih.gov/genomes/all/GCA/002/797/175/GCA_002797175.1_ASM279717v1</t>
  </si>
  <si>
    <t>GCA_002797185.1</t>
  </si>
  <si>
    <t>KCOM 2832</t>
  </si>
  <si>
    <t>https://ftp.ncbi.nlm.nih.gov/genomes/all/GCA/002/797/185/GCA_002797185.1_ASM279718v1</t>
  </si>
  <si>
    <t>GCA_002803965.1</t>
  </si>
  <si>
    <t>https://ftp.ncbi.nlm.nih.gov/genomes/all/GCA/002/803/965/GCA_002803965.1_ASM280396v1</t>
  </si>
  <si>
    <t>GCA_002804085.1</t>
  </si>
  <si>
    <t>https://ftp.ncbi.nlm.nih.gov/genomes/all/GCA/002/804/085/GCA_002804085.1_ASM280408v1</t>
  </si>
  <si>
    <t>GCA_002813535.1</t>
  </si>
  <si>
    <t>BHN97x</t>
  </si>
  <si>
    <t>https://ftp.ncbi.nlm.nih.gov/genomes/all/GCA/002/813/535/GCA_002813535.1_ASM281353v1</t>
  </si>
  <si>
    <t>GCA_002835695.1</t>
  </si>
  <si>
    <t>16-1433</t>
  </si>
  <si>
    <t>https://ftp.ncbi.nlm.nih.gov/genomes/all/GCA/002/835/695/GCA_002835695.1_ASM283569v1</t>
  </si>
  <si>
    <t>GCA_002838445.1</t>
  </si>
  <si>
    <t>DRBB27</t>
  </si>
  <si>
    <t>https://ftp.ncbi.nlm.nih.gov/genomes/all/GCA/002/838/445/GCA_002838445.1_ASM283844v1</t>
  </si>
  <si>
    <t>GCA_002838665.1</t>
  </si>
  <si>
    <t>NRBB27</t>
  </si>
  <si>
    <t>https://ftp.ncbi.nlm.nih.gov/genomes/all/GCA/002/838/665/GCA_002838665.1_ASM283866v1</t>
  </si>
  <si>
    <t>GCA_002838685.1</t>
  </si>
  <si>
    <t>NRBB49</t>
  </si>
  <si>
    <t>https://ftp.ncbi.nlm.nih.gov/genomes/all/GCA/002/838/685/GCA_002838685.1_ASM283868v1</t>
  </si>
  <si>
    <t>GCA_002847525.1</t>
  </si>
  <si>
    <t>UMB0018</t>
  </si>
  <si>
    <t>https://ftp.ncbi.nlm.nih.gov/genomes/all/GCA/002/847/525/GCA_002847525.1_ASM284752v1</t>
  </si>
  <si>
    <t>UMB0183</t>
  </si>
  <si>
    <t>https://ftp.ncbi.nlm.nih.gov/genomes/all/GCA/002/847/555/GCA_002847555.1_ASM284755v1</t>
  </si>
  <si>
    <t>GCA_002847585.1</t>
  </si>
  <si>
    <t>UMB0181</t>
  </si>
  <si>
    <t>https://ftp.ncbi.nlm.nih.gov/genomes/all/GCA/002/847/585/GCA_002847585.1_ASM284758v1</t>
  </si>
  <si>
    <t>GCA_002847685.2</t>
  </si>
  <si>
    <t>UMB0490</t>
  </si>
  <si>
    <t>https://ftp.ncbi.nlm.nih.gov/genomes/all/GCA/002/847/685/GCA_002847685.2_ASM284768v2</t>
  </si>
  <si>
    <t>GCA_002847745.1</t>
  </si>
  <si>
    <t>HMT-017</t>
  </si>
  <si>
    <t>octavius</t>
  </si>
  <si>
    <t>UMB0119</t>
  </si>
  <si>
    <t>https://ftp.ncbi.nlm.nih.gov/genomes/all/GCA/002/847/745/GCA_002847745.1_ASM284774v1</t>
  </si>
  <si>
    <t>GCA_002847765.1</t>
  </si>
  <si>
    <t>UMB0064</t>
  </si>
  <si>
    <t>https://ftp.ncbi.nlm.nih.gov/genomes/all/GCA/002/847/765/GCA_002847765.1_ASM284776v1</t>
  </si>
  <si>
    <t>GCA_002847785.1</t>
  </si>
  <si>
    <t>UMB0042</t>
  </si>
  <si>
    <t>https://ftp.ncbi.nlm.nih.gov/genomes/all/GCA/002/847/785/GCA_002847785.1_ASM284778v1</t>
  </si>
  <si>
    <t>GCA_002847925.1</t>
  </si>
  <si>
    <t>UMB0371</t>
  </si>
  <si>
    <t>https://ftp.ncbi.nlm.nih.gov/genomes/all/GCA/002/847/925/GCA_002847925.1_ASM284792v1</t>
  </si>
  <si>
    <t>GCA_002847985.1</t>
  </si>
  <si>
    <t>UMB0210</t>
  </si>
  <si>
    <t>https://ftp.ncbi.nlm.nih.gov/genomes/all/GCA/002/847/985/GCA_002847985.1_ASM284798v1</t>
  </si>
  <si>
    <t>GCA_002848085.1</t>
  </si>
  <si>
    <t>UMB0142</t>
  </si>
  <si>
    <t>https://ftp.ncbi.nlm.nih.gov/genomes/all/GCA/002/848/085/GCA_002848085.1_ASM284808v1</t>
  </si>
  <si>
    <t>GCA_002849515.1</t>
  </si>
  <si>
    <t>NRRL B-442</t>
  </si>
  <si>
    <t>https://ftp.ncbi.nlm.nih.gov/genomes/all/GCA/002/849/515/GCA_002849515.1_ASM284951v1</t>
  </si>
  <si>
    <t>CD3:33</t>
  </si>
  <si>
    <t>https://ftp.ncbi.nlm.nih.gov/genomes/all/GCA/002/849/795/GCA_002849795.1_ASM284979v1</t>
  </si>
  <si>
    <t>GCA_002850315.1</t>
  </si>
  <si>
    <t>DAR1907</t>
  </si>
  <si>
    <t>https://ftp.ncbi.nlm.nih.gov/genomes/all/GCA/002/850/315/GCA_002850315.1_ASM285031v1</t>
  </si>
  <si>
    <t>GCA_002850375.1</t>
  </si>
  <si>
    <t>K1</t>
  </si>
  <si>
    <t>https://ftp.ncbi.nlm.nih.gov/genomes/all/GCA/002/850/375/GCA_002850375.1_ASM285037v1</t>
  </si>
  <si>
    <t>GCA_002850575.1</t>
  </si>
  <si>
    <t>HMT-565</t>
  </si>
  <si>
    <t>cancerogenus</t>
  </si>
  <si>
    <t>CR-Eb1</t>
  </si>
  <si>
    <t>https://ftp.ncbi.nlm.nih.gov/genomes/all/GCA/002/850/575/GCA_002850575.1_ASM285057v1</t>
  </si>
  <si>
    <t>GCA_002860765.1</t>
  </si>
  <si>
    <t>UMB0028</t>
  </si>
  <si>
    <t>https://ftp.ncbi.nlm.nih.gov/genomes/all/GCA/002/860/765/GCA_002860765.1_ASM286076v1</t>
  </si>
  <si>
    <t>GCA_002860785.1</t>
  </si>
  <si>
    <t>UMB0051</t>
  </si>
  <si>
    <t>https://ftp.ncbi.nlm.nih.gov/genomes/all/GCA/002/860/785/GCA_002860785.1_ASM286078v1</t>
  </si>
  <si>
    <t>GCA_002860825.1</t>
  </si>
  <si>
    <t>UMB0079</t>
  </si>
  <si>
    <t>https://ftp.ncbi.nlm.nih.gov/genomes/all/GCA/002/860/825/GCA_002860825.1_ASM286082v1</t>
  </si>
  <si>
    <t>GCA_002860865.1</t>
  </si>
  <si>
    <t>UMB1341</t>
  </si>
  <si>
    <t>https://ftp.ncbi.nlm.nih.gov/genomes/all/GCA/002/860/865/GCA_002860865.1_ASM286086v1</t>
  </si>
  <si>
    <t>GCA_002860885.1</t>
  </si>
  <si>
    <t>UMB0008</t>
  </si>
  <si>
    <t>https://ftp.ncbi.nlm.nih.gov/genomes/all/GCA/002/860/885/GCA_002860885.1_ASM286088v1</t>
  </si>
  <si>
    <t>GCA_002860985.1</t>
  </si>
  <si>
    <t>UMB0272</t>
  </si>
  <si>
    <t>https://ftp.ncbi.nlm.nih.gov/genomes/all/GCA/002/860/985/GCA_002860985.1_ASM286098v1</t>
  </si>
  <si>
    <t>GCA_002861015.1</t>
  </si>
  <si>
    <t>UMB0024</t>
  </si>
  <si>
    <t>https://ftp.ncbi.nlm.nih.gov/genomes/all/GCA/002/861/015/GCA_002861015.1_ASM286101v1</t>
  </si>
  <si>
    <t>GCA_002861025.1</t>
  </si>
  <si>
    <t>UMB0083</t>
  </si>
  <si>
    <t>https://ftp.ncbi.nlm.nih.gov/genomes/all/GCA/002/861/025/GCA_002861025.1_ASM286102v1</t>
  </si>
  <si>
    <t>GCA_002861125.1</t>
  </si>
  <si>
    <t>UMB0912</t>
  </si>
  <si>
    <t>https://ftp.ncbi.nlm.nih.gov/genomes/all/GCA/002/861/125/GCA_002861125.1_ASM286112v1</t>
  </si>
  <si>
    <t>GCA_002861145.1</t>
  </si>
  <si>
    <t>UMB0913</t>
  </si>
  <si>
    <t>https://ftp.ncbi.nlm.nih.gov/genomes/all/GCA/002/861/145/GCA_002861145.1_ASM286114v1</t>
  </si>
  <si>
    <t>GCA_002861345.1</t>
  </si>
  <si>
    <t>HMT-341</t>
  </si>
  <si>
    <t>coyleae</t>
  </si>
  <si>
    <t>UMB0989</t>
  </si>
  <si>
    <t>https://ftp.ncbi.nlm.nih.gov/genomes/all/GCA/002/861/345/GCA_002861345.1_ASM286134v1</t>
  </si>
  <si>
    <t>GCA_002861365.1</t>
  </si>
  <si>
    <t>UMB0147</t>
  </si>
  <si>
    <t>https://ftp.ncbi.nlm.nih.gov/genomes/all/GCA/002/861/365/GCA_002861365.1_ASM286136v1</t>
  </si>
  <si>
    <t>GCA_002861385.2</t>
  </si>
  <si>
    <t>UMB0043</t>
  </si>
  <si>
    <t>https://ftp.ncbi.nlm.nih.gov/genomes/all/GCA/002/861/385/GCA_002861385.2_ASM286138v2</t>
  </si>
  <si>
    <t>GCA_002861405.1</t>
  </si>
  <si>
    <t>UMB0338</t>
  </si>
  <si>
    <t>https://ftp.ncbi.nlm.nih.gov/genomes/all/GCA/002/861/405/GCA_002861405.1_ASM286140v1</t>
  </si>
  <si>
    <t>GCA_002861485.1</t>
  </si>
  <si>
    <t>UMB0006</t>
  </si>
  <si>
    <t>https://ftp.ncbi.nlm.nih.gov/genomes/all/GCA/002/861/485/GCA_002861485.1_ASM286148v1</t>
  </si>
  <si>
    <t>GCA_002861865.1</t>
  </si>
  <si>
    <t>UMB0131</t>
  </si>
  <si>
    <t>https://ftp.ncbi.nlm.nih.gov/genomes/all/GCA/002/861/865/GCA_002861865.1_ASM286186v1</t>
  </si>
  <si>
    <t>GCA_002862065.1</t>
  </si>
  <si>
    <t>UMB0682</t>
  </si>
  <si>
    <t>https://ftp.ncbi.nlm.nih.gov/genomes/all/GCA/002/862/065/GCA_002862065.1_ASM286206v1</t>
  </si>
  <si>
    <t>GCA_002863285.1</t>
  </si>
  <si>
    <t>UMB0321</t>
  </si>
  <si>
    <t>https://ftp.ncbi.nlm.nih.gov/genomes/all/GCA/002/863/285/GCA_002863285.1_ASM286328v1</t>
  </si>
  <si>
    <t>GCA_002863305.2</t>
  </si>
  <si>
    <t>UMB0023</t>
  </si>
  <si>
    <t>https://ftp.ncbi.nlm.nih.gov/genomes/all/GCA/002/863/305/GCA_002863305.2_ASM286330v2</t>
  </si>
  <si>
    <t>GCA_002865925.1</t>
  </si>
  <si>
    <t>https://ftp.ncbi.nlm.nih.gov/genomes/all/GCA/002/865/925/GCA_002865925.1_ASM286592v1</t>
  </si>
  <si>
    <t>GCA_002871315.1</t>
  </si>
  <si>
    <t>UMB0079b</t>
  </si>
  <si>
    <t>https://ftp.ncbi.nlm.nih.gov/genomes/all/GCA/002/871/315/GCA_002871315.1_ASM287131v1</t>
  </si>
  <si>
    <t>GCA_002871615.1</t>
  </si>
  <si>
    <t>UMB0186</t>
  </si>
  <si>
    <t>https://ftp.ncbi.nlm.nih.gov/genomes/all/GCA/002/871/615/GCA_002871615.1_ASM287161v1</t>
  </si>
  <si>
    <t>GCA_002871735.1</t>
  </si>
  <si>
    <t>UMB1300</t>
  </si>
  <si>
    <t>https://ftp.ncbi.nlm.nih.gov/genomes/all/GCA/002/871/735/GCA_002871735.1_ASM287173v1</t>
  </si>
  <si>
    <t>GCA_002871755.1</t>
  </si>
  <si>
    <t>UMB0869</t>
  </si>
  <si>
    <t>https://ftp.ncbi.nlm.nih.gov/genomes/all/GCA/002/871/755/GCA_002871755.1_ASM287175v1</t>
  </si>
  <si>
    <t>GCA_002871935.1</t>
  </si>
  <si>
    <t>UMB0240</t>
  </si>
  <si>
    <t>https://ftp.ncbi.nlm.nih.gov/genomes/all/GCA/002/871/935/GCA_002871935.1_ASM287193v1</t>
  </si>
  <si>
    <t>UMB0286</t>
  </si>
  <si>
    <t>https://ftp.ncbi.nlm.nih.gov/genomes/all/GCA/002/871/975/GCA_002871975.1_ASM287197v1</t>
  </si>
  <si>
    <t>GCA_002879575.1</t>
  </si>
  <si>
    <t>https://ftp.ncbi.nlm.nih.gov/genomes/all/GCA/002/879/575/GCA_002879575.1_ASM287957v1</t>
  </si>
  <si>
    <t>GCA_002879585.1</t>
  </si>
  <si>
    <t>https://ftp.ncbi.nlm.nih.gov/genomes/all/GCA/002/879/585/GCA_002879585.1_ASM287958v1</t>
  </si>
  <si>
    <t>GCA_002879755.1</t>
  </si>
  <si>
    <t>LC4</t>
  </si>
  <si>
    <t>https://ftp.ncbi.nlm.nih.gov/genomes/all/GCA/002/879/755/GCA_002879755.1_ASM287975v1</t>
  </si>
  <si>
    <t>GCA_002881355.1</t>
  </si>
  <si>
    <t>SA85</t>
  </si>
  <si>
    <t>https://ftp.ncbi.nlm.nih.gov/genomes/all/GCA/002/881/355/GCA_002881355.1_ASM288135v1</t>
  </si>
  <si>
    <t>GCA_002881535.1</t>
  </si>
  <si>
    <t>SA220</t>
  </si>
  <si>
    <t>https://ftp.ncbi.nlm.nih.gov/genomes/all/GCA/002/881/535/GCA_002881535.1_ASM288153v1</t>
  </si>
  <si>
    <t>GCA_002882375.1</t>
  </si>
  <si>
    <t>SA330</t>
  </si>
  <si>
    <t>https://ftp.ncbi.nlm.nih.gov/genomes/all/GCA/002/882/375/GCA_002882375.1_ASM288237v1</t>
  </si>
  <si>
    <t>GCA_002884615.1</t>
  </si>
  <si>
    <t>UMB0834</t>
  </si>
  <si>
    <t>https://ftp.ncbi.nlm.nih.gov/genomes/all/GCA/002/884/615/GCA_002884615.1_ASM288461v1</t>
  </si>
  <si>
    <t>UMB0536</t>
  </si>
  <si>
    <t>https://ftp.ncbi.nlm.nih.gov/genomes/all/GCA/002/884/635/GCA_002884635.1_ASM288463v1</t>
  </si>
  <si>
    <t>GCA_002884755.1</t>
  </si>
  <si>
    <t>UMB0748</t>
  </si>
  <si>
    <t>https://ftp.ncbi.nlm.nih.gov/genomes/all/GCA/002/884/755/GCA_002884755.1_ASM288475v1</t>
  </si>
  <si>
    <t>GCA_002884795.1</t>
  </si>
  <si>
    <t>UMB1642</t>
  </si>
  <si>
    <t>https://ftp.ncbi.nlm.nih.gov/genomes/all/GCA/002/884/795/GCA_002884795.1_ASM288479v1</t>
  </si>
  <si>
    <t>GCA_002884815.1</t>
  </si>
  <si>
    <t>HMT-846</t>
  </si>
  <si>
    <t>piotii</t>
  </si>
  <si>
    <t>UMB0663</t>
  </si>
  <si>
    <t>https://ftp.ncbi.nlm.nih.gov/genomes/all/GCA/002/884/815/GCA_002884815.1_ASM288481v1</t>
  </si>
  <si>
    <t>GCA_002884895.1</t>
  </si>
  <si>
    <t>UMB0249</t>
  </si>
  <si>
    <t>https://ftp.ncbi.nlm.nih.gov/genomes/all/GCA/002/884/895/GCA_002884895.1_ASM288489v1</t>
  </si>
  <si>
    <t>GCA_002884935.1</t>
  </si>
  <si>
    <t>UMB0792</t>
  </si>
  <si>
    <t>https://ftp.ncbi.nlm.nih.gov/genomes/all/GCA/002/884/935/GCA_002884935.1_ASM288493v1</t>
  </si>
  <si>
    <t>GCA_002886865.1</t>
  </si>
  <si>
    <t>GG-186-10</t>
  </si>
  <si>
    <t>https://ftp.ncbi.nlm.nih.gov/genomes/all/GCA/002/886/865/GCA_002886865.1_ASM288686v1</t>
  </si>
  <si>
    <t>GCA_002891235.1</t>
  </si>
  <si>
    <t>FDAARGOS_232</t>
  </si>
  <si>
    <t>https://ftp.ncbi.nlm.nih.gov/genomes/all/GCA/002/891/235/GCA_002891235.1_ASM289123v1</t>
  </si>
  <si>
    <t>GCA_002892555.1</t>
  </si>
  <si>
    <t>TDC 60</t>
  </si>
  <si>
    <t>https://ftp.ncbi.nlm.nih.gov/genomes/all/GCA/002/892/555/GCA_002892555.1_ASM289255v1</t>
  </si>
  <si>
    <t>GCA_002892575.1</t>
  </si>
  <si>
    <t>https://ftp.ncbi.nlm.nih.gov/genomes/all/GCA/002/892/575/GCA_002892575.1_ASM289257v1</t>
  </si>
  <si>
    <t>GCA_002892595.1</t>
  </si>
  <si>
    <t>https://ftp.ncbi.nlm.nih.gov/genomes/all/GCA/002/892/595/GCA_002892595.1_ASM289259v1</t>
  </si>
  <si>
    <t>DNF00076</t>
  </si>
  <si>
    <t>https://ftp.ncbi.nlm.nih.gov/genomes/all/GCA/002/894/165/GCA_002894165.1_ASM289416v1</t>
  </si>
  <si>
    <t>GCA_002901705.1</t>
  </si>
  <si>
    <t>NCTC 12217</t>
  </si>
  <si>
    <t>https://ftp.ncbi.nlm.nih.gov/genomes/all/GCA/002/901/705/GCA_002901705.1_ASM290170v1</t>
  </si>
  <si>
    <t>GCA_002901765.1</t>
  </si>
  <si>
    <t>NCTC 11044</t>
  </si>
  <si>
    <t>https://ftp.ncbi.nlm.nih.gov/genomes/all/GCA/002/901/765/GCA_002901765.1_ASM290176v1</t>
  </si>
  <si>
    <t>GCA_002901805.1</t>
  </si>
  <si>
    <t>NCTC 11042</t>
  </si>
  <si>
    <t>https://ftp.ncbi.nlm.nih.gov/genomes/all/GCA/002/901/805/GCA_002901805.1_ASM290180v1</t>
  </si>
  <si>
    <t>GCA_002901845.1</t>
  </si>
  <si>
    <t>NCTC 11320</t>
  </si>
  <si>
    <t>https://ftp.ncbi.nlm.nih.gov/genomes/all/GCA/002/901/845/GCA_002901845.1_ASM290184v1</t>
  </si>
  <si>
    <t>GCA_002901875.1</t>
  </si>
  <si>
    <t>NCTC 11047</t>
  </si>
  <si>
    <t>https://ftp.ncbi.nlm.nih.gov/genomes/all/GCA/002/901/875/GCA_002901875.1_ASM290187v1</t>
  </si>
  <si>
    <t>GCA_002902325.1</t>
  </si>
  <si>
    <t>NCTC 11045</t>
  </si>
  <si>
    <t>https://ftp.ncbi.nlm.nih.gov/genomes/all/GCA/002/902/325/GCA_002902325.1_ASM290232v1</t>
  </si>
  <si>
    <t>GCA_002902365.1</t>
  </si>
  <si>
    <t>HMT-117</t>
  </si>
  <si>
    <t>cohnii</t>
  </si>
  <si>
    <t>NCTC 11041</t>
  </si>
  <si>
    <t>https://ftp.ncbi.nlm.nih.gov/genomes/all/GCA/002/902/365/GCA_002902365.1_ASM290236v1</t>
  </si>
  <si>
    <t>GCA_002902455.1</t>
  </si>
  <si>
    <t>NCTC 12101</t>
  </si>
  <si>
    <t>https://ftp.ncbi.nlm.nih.gov/genomes/all/GCA/002/902/455/GCA_002902455.1_ASM290245v1</t>
  </si>
  <si>
    <t>GCA_002902685.1</t>
  </si>
  <si>
    <t>CCUG 51270</t>
  </si>
  <si>
    <t>https://ftp.ncbi.nlm.nih.gov/genomes/all/GCA/002/902/685/GCA_002902685.1_ASM290268v1</t>
  </si>
  <si>
    <t>GCA_002902725.1</t>
  </si>
  <si>
    <t>NCTC 12196</t>
  </si>
  <si>
    <t>https://ftp.ncbi.nlm.nih.gov/genomes/all/GCA/002/902/725/GCA_002902725.1_ASM290272v1</t>
  </si>
  <si>
    <t>GCA_002906595.1</t>
  </si>
  <si>
    <t>83131A</t>
  </si>
  <si>
    <t>https://ftp.ncbi.nlm.nih.gov/genomes/all/GCA/002/906/595/GCA_002906595.1_ASM290659v1</t>
  </si>
  <si>
    <t>GCA_002906615.1</t>
  </si>
  <si>
    <t>83131B</t>
  </si>
  <si>
    <t>https://ftp.ncbi.nlm.nih.gov/genomes/all/GCA/002/906/615/GCA_002906615.1_ASM290661v1</t>
  </si>
  <si>
    <t>GCA_002912505.1</t>
  </si>
  <si>
    <t>AAUH-2HCtra</t>
  </si>
  <si>
    <t>https://ftp.ncbi.nlm.nih.gov/genomes/all/GCA/002/912/505/GCA_002912505.1_ASM291250v1</t>
  </si>
  <si>
    <t>GCA_002912595.1</t>
  </si>
  <si>
    <t>AAUH-47UCil</t>
  </si>
  <si>
    <t>https://ftp.ncbi.nlm.nih.gov/genomes/all/GCA/002/912/595/GCA_002912595.1_ASM291259v1</t>
  </si>
  <si>
    <t>GCA_002912605.1</t>
  </si>
  <si>
    <t>AAUH-48UCil-a</t>
  </si>
  <si>
    <t>https://ftp.ncbi.nlm.nih.gov/genomes/all/GCA/002/912/605/GCA_002912605.1_ASM291260v1</t>
  </si>
  <si>
    <t>GCA_002912675.1</t>
  </si>
  <si>
    <t>AAUH-47UCil-a</t>
  </si>
  <si>
    <t>https://ftp.ncbi.nlm.nih.gov/genomes/all/GCA/002/912/675/GCA_002912675.1_ASM291267v1</t>
  </si>
  <si>
    <t>GCA_002912705.1</t>
  </si>
  <si>
    <t>AAUH-10HCdes</t>
  </si>
  <si>
    <t>https://ftp.ncbi.nlm.nih.gov/genomes/all/GCA/002/912/705/GCA_002912705.1_ASM291270v1</t>
  </si>
  <si>
    <t>GCA_002912735.1</t>
  </si>
  <si>
    <t>AAUH-10HCdes3</t>
  </si>
  <si>
    <t>https://ftp.ncbi.nlm.nih.gov/genomes/all/GCA/002/912/735/GCA_002912735.1_ASM291273v1</t>
  </si>
  <si>
    <t>GCA_002912805.1</t>
  </si>
  <si>
    <t>AAUH-10HCdes4</t>
  </si>
  <si>
    <t>https://ftp.ncbi.nlm.nih.gov/genomes/all/GCA/002/912/805/GCA_002912805.1_ASM291280v1</t>
  </si>
  <si>
    <t>GCA_002912895.1</t>
  </si>
  <si>
    <t>AAUH-2010376221</t>
  </si>
  <si>
    <t>https://ftp.ncbi.nlm.nih.gov/genomes/all/GCA/002/912/895/GCA_002912895.1_ASM291289v1</t>
  </si>
  <si>
    <t>GCA_002912995.1</t>
  </si>
  <si>
    <t>AAUH-12CDti4-a</t>
  </si>
  <si>
    <t>https://ftp.ncbi.nlm.nih.gov/genomes/all/GCA/002/912/995/GCA_002912995.1_ASM291299v1</t>
  </si>
  <si>
    <t>GCA_002913065.1</t>
  </si>
  <si>
    <t>AAUH-12CDti5-a</t>
  </si>
  <si>
    <t>https://ftp.ncbi.nlm.nih.gov/genomes/all/GCA/002/913/065/GCA_002913065.1_ASM291306v1</t>
  </si>
  <si>
    <t>GCA_002913085.1</t>
  </si>
  <si>
    <t>AAUH-12CDdes2</t>
  </si>
  <si>
    <t>https://ftp.ncbi.nlm.nih.gov/genomes/all/GCA/002/913/085/GCA_002913085.1_ASM291308v1</t>
  </si>
  <si>
    <t>GCA_002913095.1</t>
  </si>
  <si>
    <t>AAUH-16UCo-a</t>
  </si>
  <si>
    <t>https://ftp.ncbi.nlm.nih.gov/genomes/all/GCA/002/913/095/GCA_002913095.1_ASM291309v1</t>
  </si>
  <si>
    <t>GCA_002913145.1</t>
  </si>
  <si>
    <t>AAUH-12CDsig</t>
  </si>
  <si>
    <t>https://ftp.ncbi.nlm.nih.gov/genomes/all/GCA/002/913/145/GCA_002913145.1_ASM291314v1</t>
  </si>
  <si>
    <t>GCA_002913155.1</t>
  </si>
  <si>
    <t>AAUH-11UCdes-a</t>
  </si>
  <si>
    <t>https://ftp.ncbi.nlm.nih.gov/genomes/all/GCA/002/913/155/GCA_002913155.1_ASM291315v1</t>
  </si>
  <si>
    <t>GCA_002913195.1</t>
  </si>
  <si>
    <t>AAUH-15UCpp</t>
  </si>
  <si>
    <t>https://ftp.ncbi.nlm.nih.gov/genomes/all/GCA/002/913/195/GCA_002913195.1_ASM291319v1</t>
  </si>
  <si>
    <t>GCA_002913245.1</t>
  </si>
  <si>
    <t>AAUH-35UCil2-a</t>
  </si>
  <si>
    <t>https://ftp.ncbi.nlm.nih.gov/genomes/all/GCA/002/913/245/GCA_002913245.1_ASM291324v1</t>
  </si>
  <si>
    <t>GCA_002913265.1</t>
  </si>
  <si>
    <t>AAUH-35UCil3-a</t>
  </si>
  <si>
    <t>https://ftp.ncbi.nlm.nih.gov/genomes/all/GCA/002/913/265/GCA_002913265.1_ASM291326v1</t>
  </si>
  <si>
    <t>GCA_002913305.1</t>
  </si>
  <si>
    <t>AAUH-3UCce2</t>
  </si>
  <si>
    <t>https://ftp.ncbi.nlm.nih.gov/genomes/all/GCA/002/913/305/GCA_002913305.1_ASM291330v1</t>
  </si>
  <si>
    <t>GCA_002913325.1</t>
  </si>
  <si>
    <t>AAUH-35UCpp</t>
  </si>
  <si>
    <t>https://ftp.ncbi.nlm.nih.gov/genomes/all/GCA/002/913/325/GCA_002913325.1_ASM291332v1</t>
  </si>
  <si>
    <t>GCA_002913385.1</t>
  </si>
  <si>
    <t>AAUH-43UCf</t>
  </si>
  <si>
    <t>https://ftp.ncbi.nlm.nih.gov/genomes/all/GCA/002/913/385/GCA_002913385.1_ASM291338v1</t>
  </si>
  <si>
    <t>GCA_002913465.1</t>
  </si>
  <si>
    <t>AAUH-8UCo</t>
  </si>
  <si>
    <t>https://ftp.ncbi.nlm.nih.gov/genomes/all/GCA/002/913/465/GCA_002913465.1_ASM291346v1</t>
  </si>
  <si>
    <t>GCA_002913525.1</t>
  </si>
  <si>
    <t>AAUH-11UCsig-a</t>
  </si>
  <si>
    <t>https://ftp.ncbi.nlm.nih.gov/genomes/all/GCA/002/913/525/GCA_002913525.1_ASM291352v1</t>
  </si>
  <si>
    <t>GCA_002913545.1</t>
  </si>
  <si>
    <t>AAUH-9UCpp</t>
  </si>
  <si>
    <t>https://ftp.ncbi.nlm.nih.gov/genomes/all/GCA/002/913/545/GCA_002913545.1_ASM291354v1</t>
  </si>
  <si>
    <t>GCA_002913635.1</t>
  </si>
  <si>
    <t>AAUH-43UCce-a</t>
  </si>
  <si>
    <t>https://ftp.ncbi.nlm.nih.gov/genomes/all/GCA/002/913/635/GCA_002913635.1_ASM291363v1</t>
  </si>
  <si>
    <t>GCA_002913665.1</t>
  </si>
  <si>
    <t>AAUH-15UCdp-a</t>
  </si>
  <si>
    <t>https://ftp.ncbi.nlm.nih.gov/genomes/all/GCA/002/913/665/GCA_002913665.1_ASM291366v1</t>
  </si>
  <si>
    <t>GCA_002913715.1</t>
  </si>
  <si>
    <t>AAUH-12CDti2-a</t>
  </si>
  <si>
    <t>https://ftp.ncbi.nlm.nih.gov/genomes/all/GCA/002/913/715/GCA_002913715.1_ASM291371v1</t>
  </si>
  <si>
    <t>GCA_002913765.1</t>
  </si>
  <si>
    <t>AAUH-10UCil-a</t>
  </si>
  <si>
    <t>https://ftp.ncbi.nlm.nih.gov/genomes/all/GCA/002/913/765/GCA_002913765.1_ASM291376v1</t>
  </si>
  <si>
    <t>GCA_002913785.1</t>
  </si>
  <si>
    <t>AAUH-22UCpp-a</t>
  </si>
  <si>
    <t>https://ftp.ncbi.nlm.nih.gov/genomes/all/GCA/002/913/785/GCA_002913785.1_ASM291378v1</t>
  </si>
  <si>
    <t>GCA_002913895.1</t>
  </si>
  <si>
    <t>AAUH-48UCdp-a</t>
  </si>
  <si>
    <t>https://ftp.ncbi.nlm.nih.gov/genomes/all/GCA/002/913/895/GCA_002913895.1_ASM291389v1</t>
  </si>
  <si>
    <t>GCA_002914045.1</t>
  </si>
  <si>
    <t>AAUH-25Df</t>
  </si>
  <si>
    <t>https://ftp.ncbi.nlm.nih.gov/genomes/all/GCA/002/914/045/GCA_002914045.1_ASM291404v1</t>
  </si>
  <si>
    <t>GCA_002914065.1</t>
  </si>
  <si>
    <t>AAUH-12CDtra2-a</t>
  </si>
  <si>
    <t>https://ftp.ncbi.nlm.nih.gov/genomes/all/GCA/002/914/065/GCA_002914065.1_ASM291406v1</t>
  </si>
  <si>
    <t>GCA_002914085.1</t>
  </si>
  <si>
    <t>AAUH-9UCdp</t>
  </si>
  <si>
    <t>https://ftp.ncbi.nlm.nih.gov/genomes/all/GCA/002/914/085/GCA_002914085.1_ASM291408v1</t>
  </si>
  <si>
    <t>GCA_002914105.1</t>
  </si>
  <si>
    <t>AAUH-12CDdes4</t>
  </si>
  <si>
    <t>https://ftp.ncbi.nlm.nih.gov/genomes/all/GCA/002/914/105/GCA_002914105.1_ASM291410v1</t>
  </si>
  <si>
    <t>GCA_002914115.1</t>
  </si>
  <si>
    <t>AAUH-12CDce</t>
  </si>
  <si>
    <t>https://ftp.ncbi.nlm.nih.gov/genomes/all/GCA/002/914/115/GCA_002914115.1_ASM291411v1</t>
  </si>
  <si>
    <t>GCA_002914145.1</t>
  </si>
  <si>
    <t>AAUH-16UCf3</t>
  </si>
  <si>
    <t>https://ftp.ncbi.nlm.nih.gov/genomes/all/GCA/002/914/145/GCA_002914145.1_ASM291414v1</t>
  </si>
  <si>
    <t>GCA_002914325.1</t>
  </si>
  <si>
    <t>AAUH-16UCdp5</t>
  </si>
  <si>
    <t>https://ftp.ncbi.nlm.nih.gov/genomes/all/GCA/002/914/325/GCA_002914325.1_ASM291432v1</t>
  </si>
  <si>
    <t>GCA_002914345.1</t>
  </si>
  <si>
    <t>AAUH-10UCf2</t>
  </si>
  <si>
    <t>https://ftp.ncbi.nlm.nih.gov/genomes/all/GCA/002/914/345/GCA_002914345.1_ASM291434v1</t>
  </si>
  <si>
    <t>GCA_002914355.1</t>
  </si>
  <si>
    <t>AAUH-12CDdes3</t>
  </si>
  <si>
    <t>https://ftp.ncbi.nlm.nih.gov/genomes/all/GCA/002/914/355/GCA_002914355.1_ASM291435v1</t>
  </si>
  <si>
    <t>GCA_002916785.1</t>
  </si>
  <si>
    <t>LR2014-1</t>
  </si>
  <si>
    <t>https://ftp.ncbi.nlm.nih.gov/genomes/all/GCA/002/916/785/GCA_002916785.1_ASM291678v1</t>
  </si>
  <si>
    <t>GCA_002925865.1</t>
  </si>
  <si>
    <t>F6-1</t>
  </si>
  <si>
    <t>https://ftp.ncbi.nlm.nih.gov/genomes/all/GCA/002/925/865/GCA_002925865.1_ASM292586v1</t>
  </si>
  <si>
    <t>GCA_002933415.1</t>
  </si>
  <si>
    <t>HMT-024</t>
  </si>
  <si>
    <t>Schlegelella</t>
  </si>
  <si>
    <t>thermodepolymerans</t>
  </si>
  <si>
    <t>DSM 15344</t>
  </si>
  <si>
    <t>https://ftp.ncbi.nlm.nih.gov/genomes/all/GCA/002/933/415/GCA_002933415.1_ASM293341v1</t>
  </si>
  <si>
    <t>GCA_002940975.1</t>
  </si>
  <si>
    <t>UMB0328</t>
  </si>
  <si>
    <t>https://ftp.ncbi.nlm.nih.gov/genomes/all/GCA/002/940/975/GCA_002940975.1_ASM294097v1</t>
  </si>
  <si>
    <t>GCA_002943685.1</t>
  </si>
  <si>
    <t>ATCC 13525</t>
  </si>
  <si>
    <t>https://ftp.ncbi.nlm.nih.gov/genomes/all/GCA/002/943/685/GCA_002943685.1_ASM294368v1</t>
  </si>
  <si>
    <t>GCA_002944995.1</t>
  </si>
  <si>
    <t>FDAARGOS_153</t>
  </si>
  <si>
    <t>https://ftp.ncbi.nlm.nih.gov/genomes/all/GCA/002/944/995/GCA_002944995.1_ASM294499v1</t>
  </si>
  <si>
    <t>GCA_002951505.1</t>
  </si>
  <si>
    <t>C34847</t>
  </si>
  <si>
    <t>https://ftp.ncbi.nlm.nih.gov/genomes/all/GCA/002/951/505/GCA_002951505.1_ASM295150v1</t>
  </si>
  <si>
    <t>GCA_002951575.1</t>
  </si>
  <si>
    <t>M21273</t>
  </si>
  <si>
    <t>https://ftp.ncbi.nlm.nih.gov/genomes/all/GCA/002/951/575/GCA_002951575.1_ASM295157v1</t>
  </si>
  <si>
    <t>GCA_002951835.1</t>
  </si>
  <si>
    <t>https://ftp.ncbi.nlm.nih.gov/genomes/all/GCA/002/951/835/GCA_002951835.1_ASM295183v1</t>
  </si>
  <si>
    <t>GCA_002952055.1</t>
  </si>
  <si>
    <t>HMT-041</t>
  </si>
  <si>
    <t>Desulfobulbus</t>
  </si>
  <si>
    <t>HOT041/ORNL</t>
  </si>
  <si>
    <t>https://ftp.ncbi.nlm.nih.gov/genomes/all/GCA/002/952/055/GCA_002952055.1_ASM295205v1</t>
  </si>
  <si>
    <t>GCA_002952715.2</t>
  </si>
  <si>
    <t>SGAir0252</t>
  </si>
  <si>
    <t>https://ftp.ncbi.nlm.nih.gov/genomes/all/GCA/002/952/715/GCA_002952715.2_ASM295271v2</t>
  </si>
  <si>
    <t>GCA_002954055.1</t>
  </si>
  <si>
    <t>FDAARGOS_161</t>
  </si>
  <si>
    <t>https://ftp.ncbi.nlm.nih.gov/genomes/all/GCA/002/954/055/GCA_002954055.1_ASM295405v1</t>
  </si>
  <si>
    <t>GCA_002954105.1</t>
  </si>
  <si>
    <t>FDAARGOS_136</t>
  </si>
  <si>
    <t>https://ftp.ncbi.nlm.nih.gov/genomes/all/GCA/002/954/105/GCA_002954105.1_ASM295410v1</t>
  </si>
  <si>
    <t>https://ftp.ncbi.nlm.nih.gov/genomes/all/GCA/002/959/715/GCA_002959715.1_ASM295971v1</t>
  </si>
  <si>
    <t>GCA_002959775.1</t>
  </si>
  <si>
    <t>JCM 15642</t>
  </si>
  <si>
    <t>https://ftp.ncbi.nlm.nih.gov/genomes/all/GCA/002/959/775/GCA_002959775.1_ASM295977v1</t>
  </si>
  <si>
    <t>GCA_002959795.1</t>
  </si>
  <si>
    <t>S13054-11</t>
  </si>
  <si>
    <t>https://ftp.ncbi.nlm.nih.gov/genomes/all/GCA/002/959/795/GCA_002959795.1_ASM295979v1</t>
  </si>
  <si>
    <t>GCA_002959815.1</t>
  </si>
  <si>
    <t>T34266-5</t>
  </si>
  <si>
    <t>https://ftp.ncbi.nlm.nih.gov/genomes/all/GCA/002/959/815/GCA_002959815.1_ASM295981v1</t>
  </si>
  <si>
    <t>GCA_002959835.1</t>
  </si>
  <si>
    <t>S13053-19</t>
  </si>
  <si>
    <t>https://ftp.ncbi.nlm.nih.gov/genomes/all/GCA/002/959/835/GCA_002959835.1_ASM295983v1</t>
  </si>
  <si>
    <t>GCA_002959855.1</t>
  </si>
  <si>
    <t>JCM 15641</t>
  </si>
  <si>
    <t>https://ftp.ncbi.nlm.nih.gov/genomes/all/GCA/002/959/855/GCA_002959855.1_ASM295985v1</t>
  </si>
  <si>
    <t>GCA_002959915.1</t>
  </si>
  <si>
    <t>ATCC 17744</t>
  </si>
  <si>
    <t>https://ftp.ncbi.nlm.nih.gov/genomes/all/GCA/002/959/915/GCA_002959915.1_ASM295991v1</t>
  </si>
  <si>
    <t>GCA_002959935.1</t>
  </si>
  <si>
    <t>Y6</t>
  </si>
  <si>
    <t>https://ftp.ncbi.nlm.nih.gov/genomes/all/GCA/002/959/935/GCA_002959935.1_ASM295993v1</t>
  </si>
  <si>
    <t>GCA_002966575.1</t>
  </si>
  <si>
    <t>48P106H1</t>
  </si>
  <si>
    <t>https://ftp.ncbi.nlm.nih.gov/genomes/all/GCA/002/966/575/GCA_002966575.1_ASM296657v1</t>
  </si>
  <si>
    <t>GCA_002966595.1</t>
  </si>
  <si>
    <t>48P153H1</t>
  </si>
  <si>
    <t>https://ftp.ncbi.nlm.nih.gov/genomes/all/GCA/002/966/595/GCA_002966595.1_ASM296659v1</t>
  </si>
  <si>
    <t>GCA_002966615.1</t>
  </si>
  <si>
    <t>5P28H1</t>
  </si>
  <si>
    <t>https://ftp.ncbi.nlm.nih.gov/genomes/all/GCA/002/966/615/GCA_002966615.1_ASM296661v1</t>
  </si>
  <si>
    <t>GCA_002966635.1</t>
  </si>
  <si>
    <t>5P54H1</t>
  </si>
  <si>
    <t>https://ftp.ncbi.nlm.nih.gov/genomes/all/GCA/002/966/635/GCA_002966635.1_ASM296663v1</t>
  </si>
  <si>
    <t>GCA_002966655.1</t>
  </si>
  <si>
    <t>67P38H1</t>
  </si>
  <si>
    <t>https://ftp.ncbi.nlm.nih.gov/genomes/all/GCA/002/966/655/GCA_002966655.1_ASM296665v1</t>
  </si>
  <si>
    <t>GCA_002966675.1</t>
  </si>
  <si>
    <t>67P56H1</t>
  </si>
  <si>
    <t>https://ftp.ncbi.nlm.nih.gov/genomes/all/GCA/002/966/675/GCA_002966675.1_ASM296667v1</t>
  </si>
  <si>
    <t>GCA_002966695.1</t>
  </si>
  <si>
    <t>6P24H2</t>
  </si>
  <si>
    <t>https://ftp.ncbi.nlm.nih.gov/genomes/all/GCA/002/966/695/GCA_002966695.1_ASM296669v1</t>
  </si>
  <si>
    <t>GCA_002966715.1</t>
  </si>
  <si>
    <t>6P32H1</t>
  </si>
  <si>
    <t>https://ftp.ncbi.nlm.nih.gov/genomes/all/GCA/002/966/715/GCA_002966715.1_ASM296671v1</t>
  </si>
  <si>
    <t>GCA_002966735.1</t>
  </si>
  <si>
    <t>11P6H</t>
  </si>
  <si>
    <t>https://ftp.ncbi.nlm.nih.gov/genomes/all/GCA/002/966/735/GCA_002966735.1_ASM296673v1</t>
  </si>
  <si>
    <t>GCA_002984125.1</t>
  </si>
  <si>
    <t>FDAARGOS_304</t>
  </si>
  <si>
    <t>https://ftp.ncbi.nlm.nih.gov/genomes/all/GCA/002/984/125/GCA_002984125.1_ASM298412v1</t>
  </si>
  <si>
    <t>GCA_002988215.2</t>
  </si>
  <si>
    <t>93P28H1</t>
  </si>
  <si>
    <t>https://ftp.ncbi.nlm.nih.gov/genomes/all/GCA/002/988/215/GCA_002988215.2_ASM298821v2</t>
  </si>
  <si>
    <t>GCA_002988885.2</t>
  </si>
  <si>
    <t>93P10H1</t>
  </si>
  <si>
    <t>https://ftp.ncbi.nlm.nih.gov/genomes/all/GCA/002/988/885/GCA_002988885.2_ASM298888v2</t>
  </si>
  <si>
    <t>GCA_002993105.1</t>
  </si>
  <si>
    <t>DSSKY-A-001</t>
  </si>
  <si>
    <t>https://ftp.ncbi.nlm.nih.gov/genomes/all/GCA/002/993/105/GCA_002993105.1_ASM299310v1</t>
  </si>
  <si>
    <t>GCA_002995555.1</t>
  </si>
  <si>
    <t>LAR01</t>
  </si>
  <si>
    <t>https://ftp.ncbi.nlm.nih.gov/genomes/all/GCA/002/995/555/GCA_002995555.1_ASM299555v1</t>
  </si>
  <si>
    <t>GCA_002998295.1</t>
  </si>
  <si>
    <t>HMT-935</t>
  </si>
  <si>
    <t>Fastidiosipila</t>
  </si>
  <si>
    <t>CCUG 47711</t>
  </si>
  <si>
    <t>https://ftp.ncbi.nlm.nih.gov/genomes/all/GCA/002/998/295/GCA_002998295.1_ASM299829v1</t>
  </si>
  <si>
    <t>Victivallis</t>
  </si>
  <si>
    <t>CCUG 44730</t>
  </si>
  <si>
    <t>https://ftp.ncbi.nlm.nih.gov/genomes/all/GCA/002/998/355/GCA_002998355.1_ASM299835v1</t>
  </si>
  <si>
    <t>zoogleoformans</t>
  </si>
  <si>
    <t>ATCC 33285</t>
  </si>
  <si>
    <t>https://ftp.ncbi.nlm.nih.gov/genomes/all/GCA/002/998/435/GCA_002998435.1_ASM299843v1</t>
  </si>
  <si>
    <t>heparinolyticus</t>
  </si>
  <si>
    <t>F0111</t>
  </si>
  <si>
    <t>https://ftp.ncbi.nlm.nih.gov/genomes/all/GCA/002/998/535/GCA_002998535.1_ASM299853v1</t>
  </si>
  <si>
    <t>GCA_002998595.1</t>
  </si>
  <si>
    <t>F0629</t>
  </si>
  <si>
    <t>https://ftp.ncbi.nlm.nih.gov/genomes/all/GCA/002/998/595/GCA_002998595.1_ASM299859v1</t>
  </si>
  <si>
    <t>GCA_002998695.1</t>
  </si>
  <si>
    <t>W2294</t>
  </si>
  <si>
    <t>https://ftp.ncbi.nlm.nih.gov/genomes/all/GCA/002/998/695/GCA_002998695.1_ASM299869v1</t>
  </si>
  <si>
    <t>F0512</t>
  </si>
  <si>
    <t>https://ftp.ncbi.nlm.nih.gov/genomes/all/GCA/002/998/835/GCA_002998835.1_ASM299883v1</t>
  </si>
  <si>
    <t>GCA_002998925.1</t>
  </si>
  <si>
    <t>HMT-593</t>
  </si>
  <si>
    <t>diversum</t>
  </si>
  <si>
    <t>CCUG 47132</t>
  </si>
  <si>
    <t>https://ftp.ncbi.nlm.nih.gov/genomes/all/GCA/002/998/925/GCA_002998925.1_ASM299892v1</t>
  </si>
  <si>
    <t>GCA_002999035.1</t>
  </si>
  <si>
    <t>HMT-500</t>
  </si>
  <si>
    <t>Lachnospiraceae [G8]</t>
  </si>
  <si>
    <t>bacterium HMT-500</t>
  </si>
  <si>
    <t>W11650</t>
  </si>
  <si>
    <t>https://ftp.ncbi.nlm.nih.gov/genomes/all/GCA/002/999/035/GCA_002999035.1_ASM299903v1</t>
  </si>
  <si>
    <t>sp. HMT-878</t>
  </si>
  <si>
    <t>F0545</t>
  </si>
  <si>
    <t>https://ftp.ncbi.nlm.nih.gov/genomes/all/GCA/002/999/135/GCA_002999135.1_ASM299913v1</t>
  </si>
  <si>
    <t>GCA_002999155.1</t>
  </si>
  <si>
    <t>W5195</t>
  </si>
  <si>
    <t>https://ftp.ncbi.nlm.nih.gov/genomes/all/GCA/002/999/155/GCA_002999155.1_ASM299915v1</t>
  </si>
  <si>
    <t>GCA_002999235.1</t>
  </si>
  <si>
    <t>HMT-897</t>
  </si>
  <si>
    <t>sp. HMT-897</t>
  </si>
  <si>
    <t>F0631</t>
  </si>
  <si>
    <t>https://ftp.ncbi.nlm.nih.gov/genomes/all/GCA/002/999/235/GCA_002999235.1_ASM299923v1</t>
  </si>
  <si>
    <t>GCA_002999475.1</t>
  </si>
  <si>
    <t>https://ftp.ncbi.nlm.nih.gov/genomes/all/GCA/002/999/475/GCA_002999475.1_ASM299947v1</t>
  </si>
  <si>
    <t>GCA_002999555.1</t>
  </si>
  <si>
    <t>OUP21</t>
  </si>
  <si>
    <t>https://ftp.ncbi.nlm.nih.gov/genomes/all/GCA/002/999/555/GCA_002999555.1_ASM299955v1</t>
  </si>
  <si>
    <t>GCA_002999595.1</t>
  </si>
  <si>
    <t>OUP10</t>
  </si>
  <si>
    <t>https://ftp.ncbi.nlm.nih.gov/genomes/all/GCA/002/999/595/GCA_002999595.1_ASM299959v1</t>
  </si>
  <si>
    <t>GCA_003019295.1</t>
  </si>
  <si>
    <t>https://ftp.ncbi.nlm.nih.gov/genomes/all/GCA/003/019/295/GCA_003019295.1_ASM301929v1</t>
  </si>
  <si>
    <t>GCA_003019695.1</t>
  </si>
  <si>
    <t>https://ftp.ncbi.nlm.nih.gov/genomes/all/GCA/003/019/695/GCA_003019695.1_ASM301969v1</t>
  </si>
  <si>
    <t>GCA_003019715.1</t>
  </si>
  <si>
    <t>1_1_36S</t>
  </si>
  <si>
    <t>https://ftp.ncbi.nlm.nih.gov/genomes/all/GCA/003/019/715/GCA_003019715.1_ASM301971v1</t>
  </si>
  <si>
    <t>GCA_003019755.1</t>
  </si>
  <si>
    <t>https://ftp.ncbi.nlm.nih.gov/genomes/all/GCA/003/019/755/GCA_003019755.1_ASM301975v1</t>
  </si>
  <si>
    <t>GCA_003019785.1</t>
  </si>
  <si>
    <t>https://ftp.ncbi.nlm.nih.gov/genomes/all/GCA/003/019/785/GCA_003019785.1_ASM301978v1</t>
  </si>
  <si>
    <t>GCA_003028315.1</t>
  </si>
  <si>
    <t>ATCC 19696</t>
  </si>
  <si>
    <t>https://ftp.ncbi.nlm.nih.gov/genomes/all/GCA/003/028/315/GCA_003028315.1_ASM302831v1</t>
  </si>
  <si>
    <t>GCA_003030305.1</t>
  </si>
  <si>
    <t>https://ftp.ncbi.nlm.nih.gov/genomes/all/GCA/003/030/305/GCA_003030305.1_ASM303030v1</t>
  </si>
  <si>
    <t>GCA_003031285.1</t>
  </si>
  <si>
    <t>TF3198</t>
  </si>
  <si>
    <t>https://ftp.ncbi.nlm.nih.gov/genomes/all/GCA/003/031/285/GCA_003031285.1_ASM303128v1</t>
  </si>
  <si>
    <t>GCA_003033925.1</t>
  </si>
  <si>
    <t>W11666</t>
  </si>
  <si>
    <t>https://ftp.ncbi.nlm.nih.gov/genomes/all/GCA/003/033/925/GCA_003033925.1_ASM303392v1</t>
  </si>
  <si>
    <t>W10507</t>
  </si>
  <si>
    <t>https://ftp.ncbi.nlm.nih.gov/genomes/all/GCA/003/033/945/GCA_003033945.1_ASM303394v1</t>
  </si>
  <si>
    <t>GCA_003040695.1</t>
  </si>
  <si>
    <t>SNUC 3034</t>
  </si>
  <si>
    <t>https://ftp.ncbi.nlm.nih.gov/genomes/all/GCA/003/040/695/GCA_003040695.1_ASM304069v1</t>
  </si>
  <si>
    <t>GCA_003040715.1</t>
  </si>
  <si>
    <t>SNUC 993</t>
  </si>
  <si>
    <t>https://ftp.ncbi.nlm.nih.gov/genomes/all/GCA/003/040/715/GCA_003040715.1_ASM304071v1</t>
  </si>
  <si>
    <t>GCA_003041075.1</t>
  </si>
  <si>
    <t>SNUC 791</t>
  </si>
  <si>
    <t>https://ftp.ncbi.nlm.nih.gov/genomes/all/GCA/003/041/075/GCA_003041075.1_ASM304107v1</t>
  </si>
  <si>
    <t>illustrans</t>
  </si>
  <si>
    <t>W6195</t>
  </si>
  <si>
    <t>https://ftp.ncbi.nlm.nih.gov/genomes/all/GCA/003/043/925/GCA_003043925.1_ASM304392v1</t>
  </si>
  <si>
    <t>F0648</t>
  </si>
  <si>
    <t>https://ftp.ncbi.nlm.nih.gov/genomes/all/GCA/003/043/935/GCA_003043935.1_ASM304393v1</t>
  </si>
  <si>
    <t>GCA_003043945.1</t>
  </si>
  <si>
    <t>HMT-376</t>
  </si>
  <si>
    <t>sp. HMT-376</t>
  </si>
  <si>
    <t>F0043</t>
  </si>
  <si>
    <t>https://ftp.ncbi.nlm.nih.gov/genomes/all/GCA/003/043/945/GCA_003043945.1_ASM304394v1</t>
  </si>
  <si>
    <t>GCA_003043955.1</t>
  </si>
  <si>
    <t>HMT-096</t>
  </si>
  <si>
    <t>Lachnospiraceae [G2]</t>
  </si>
  <si>
    <t>bacterium HMT-096</t>
  </si>
  <si>
    <t>F0428</t>
  </si>
  <si>
    <t>https://ftp.ncbi.nlm.nih.gov/genomes/all/GCA/003/043/955/GCA_003043955.1_ASM304395v1</t>
  </si>
  <si>
    <t>GCA_003044345.1</t>
  </si>
  <si>
    <t>C2006001571</t>
  </si>
  <si>
    <t>https://ftp.ncbi.nlm.nih.gov/genomes/all/GCA/003/044/345/GCA_003044345.1_ASM304434v1</t>
  </si>
  <si>
    <t>GCA_003044355.1</t>
  </si>
  <si>
    <t>C2005001510</t>
  </si>
  <si>
    <t>https://ftp.ncbi.nlm.nih.gov/genomes/all/GCA/003/044/355/GCA_003044355.1_ASM304435v1</t>
  </si>
  <si>
    <t>GCA_003044385.1</t>
  </si>
  <si>
    <t>C2007002879</t>
  </si>
  <si>
    <t>https://ftp.ncbi.nlm.nih.gov/genomes/all/GCA/003/044/385/GCA_003044385.1_ASM304438v1</t>
  </si>
  <si>
    <t>GCA_003044395.1</t>
  </si>
  <si>
    <t>C2004002444</t>
  </si>
  <si>
    <t>https://ftp.ncbi.nlm.nih.gov/genomes/all/GCA/003/044/395/GCA_003044395.1_ASM304439v1</t>
  </si>
  <si>
    <t>GCA_003044425.1</t>
  </si>
  <si>
    <t>C2007003584</t>
  </si>
  <si>
    <t>https://ftp.ncbi.nlm.nih.gov/genomes/all/GCA/003/044/425/GCA_003044425.1_ASM304442v1</t>
  </si>
  <si>
    <t>GCA_003044445.1</t>
  </si>
  <si>
    <t>C2008000159</t>
  </si>
  <si>
    <t>https://ftp.ncbi.nlm.nih.gov/genomes/all/GCA/003/044/445/GCA_003044445.1_ASM304444v1</t>
  </si>
  <si>
    <t>GCA_003044505.1</t>
  </si>
  <si>
    <t>C2008001664</t>
  </si>
  <si>
    <t>https://ftp.ncbi.nlm.nih.gov/genomes/all/GCA/003/044/505/GCA_003044505.1_ASM304450v1</t>
  </si>
  <si>
    <t>GCA_003044525.1</t>
  </si>
  <si>
    <t>C2009010520</t>
  </si>
  <si>
    <t>https://ftp.ncbi.nlm.nih.gov/genomes/all/GCA/003/044/525/GCA_003044525.1_ASM304452v1</t>
  </si>
  <si>
    <t>GCA_003044545.1</t>
  </si>
  <si>
    <t>C2009035459</t>
  </si>
  <si>
    <t>https://ftp.ncbi.nlm.nih.gov/genomes/all/GCA/003/044/545/GCA_003044545.1_ASM304454v1</t>
  </si>
  <si>
    <t>GCA_003044565.1</t>
  </si>
  <si>
    <t>C2010005502</t>
  </si>
  <si>
    <t>https://ftp.ncbi.nlm.nih.gov/genomes/all/GCA/003/044/565/GCA_003044565.1_ASM304456v1</t>
  </si>
  <si>
    <t>GCA_003044585.1</t>
  </si>
  <si>
    <t>C2011004960</t>
  </si>
  <si>
    <t>https://ftp.ncbi.nlm.nih.gov/genomes/all/GCA/003/044/585/GCA_003044585.1_ASM304458v1</t>
  </si>
  <si>
    <t>GCA_003044605.1</t>
  </si>
  <si>
    <t>C2010010207</t>
  </si>
  <si>
    <t>https://ftp.ncbi.nlm.nih.gov/genomes/all/GCA/003/044/605/GCA_003044605.1_ASM304460v1</t>
  </si>
  <si>
    <t>GCA_003044625.1</t>
  </si>
  <si>
    <t>C2011003085</t>
  </si>
  <si>
    <t>https://ftp.ncbi.nlm.nih.gov/genomes/all/GCA/003/044/625/GCA_003044625.1_ASM304462v1</t>
  </si>
  <si>
    <t>GCA_003044645.1</t>
  </si>
  <si>
    <t>C2011009653</t>
  </si>
  <si>
    <t>https://ftp.ncbi.nlm.nih.gov/genomes/all/GCA/003/044/645/GCA_003044645.1_ASM304464v1</t>
  </si>
  <si>
    <t>GCA_003044665.1</t>
  </si>
  <si>
    <t>C2011033015</t>
  </si>
  <si>
    <t>https://ftp.ncbi.nlm.nih.gov/genomes/all/GCA/003/044/665/GCA_003044665.1_ASM304466v1</t>
  </si>
  <si>
    <t>GCA_003044675.1</t>
  </si>
  <si>
    <t>C2012028592</t>
  </si>
  <si>
    <t>https://ftp.ncbi.nlm.nih.gov/genomes/all/GCA/003/044/675/GCA_003044675.1_ASM304467v1</t>
  </si>
  <si>
    <t>GCA_003044725.1</t>
  </si>
  <si>
    <t>C2013018262</t>
  </si>
  <si>
    <t>https://ftp.ncbi.nlm.nih.gov/genomes/all/GCA/003/044/725/GCA_003044725.1_ASM304472v1</t>
  </si>
  <si>
    <t>GCA_003044745.1</t>
  </si>
  <si>
    <t>C2013024221</t>
  </si>
  <si>
    <t>https://ftp.ncbi.nlm.nih.gov/genomes/all/GCA/003/044/745/GCA_003044745.1_ASM304474v1</t>
  </si>
  <si>
    <t>GCA_003044765.1</t>
  </si>
  <si>
    <t>C2014002478</t>
  </si>
  <si>
    <t>https://ftp.ncbi.nlm.nih.gov/genomes/all/GCA/003/044/765/GCA_003044765.1_ASM304476v1</t>
  </si>
  <si>
    <t>GCA_003044785.1</t>
  </si>
  <si>
    <t>C2014003241</t>
  </si>
  <si>
    <t>https://ftp.ncbi.nlm.nih.gov/genomes/all/GCA/003/044/785/GCA_003044785.1_ASM304478v1</t>
  </si>
  <si>
    <t>GCA_003044825.1</t>
  </si>
  <si>
    <t>C2014013859</t>
  </si>
  <si>
    <t>https://ftp.ncbi.nlm.nih.gov/genomes/all/GCA/003/044/825/GCA_003044825.1_ASM304482v1</t>
  </si>
  <si>
    <t>GCA_003044845.1</t>
  </si>
  <si>
    <t>C2008002238</t>
  </si>
  <si>
    <t>https://ftp.ncbi.nlm.nih.gov/genomes/all/GCA/003/044/845/GCA_003044845.1_ASM304484v1</t>
  </si>
  <si>
    <t>GCA_003044855.1</t>
  </si>
  <si>
    <t>C2014019557</t>
  </si>
  <si>
    <t>https://ftp.ncbi.nlm.nih.gov/genomes/all/GCA/003/044/855/GCA_003044855.1_ASM304485v1</t>
  </si>
  <si>
    <t>GCA_003044885.1</t>
  </si>
  <si>
    <t>C2010015191</t>
  </si>
  <si>
    <t>https://ftp.ncbi.nlm.nih.gov/genomes/all/GCA/003/044/885/GCA_003044885.1_ASM304488v1</t>
  </si>
  <si>
    <t>GCA_003044905.1</t>
  </si>
  <si>
    <t>C2009028987</t>
  </si>
  <si>
    <t>https://ftp.ncbi.nlm.nih.gov/genomes/all/GCA/003/044/905/GCA_003044905.1_ASM304490v1</t>
  </si>
  <si>
    <t>GCA_003044925.1</t>
  </si>
  <si>
    <t>C2011020198</t>
  </si>
  <si>
    <t>https://ftp.ncbi.nlm.nih.gov/genomes/all/GCA/003/044/925/GCA_003044925.1_ASM304492v1</t>
  </si>
  <si>
    <t>GCA_003044935.1</t>
  </si>
  <si>
    <t>C2012011976</t>
  </si>
  <si>
    <t>https://ftp.ncbi.nlm.nih.gov/genomes/all/GCA/003/044/935/GCA_003044935.1_ASM304493v1</t>
  </si>
  <si>
    <t>GCA_003044965.1</t>
  </si>
  <si>
    <t>C2011020199</t>
  </si>
  <si>
    <t>https://ftp.ncbi.nlm.nih.gov/genomes/all/GCA/003/044/965/GCA_003044965.1_ASM304496v1</t>
  </si>
  <si>
    <t>GCA_003044985.1</t>
  </si>
  <si>
    <t>C2013010062</t>
  </si>
  <si>
    <t>https://ftp.ncbi.nlm.nih.gov/genomes/all/GCA/003/044/985/GCA_003044985.1_ASM304498v1</t>
  </si>
  <si>
    <t>GCA_003044995.1</t>
  </si>
  <si>
    <t>C2013013825</t>
  </si>
  <si>
    <t>https://ftp.ncbi.nlm.nih.gov/genomes/all/GCA/003/044/995/GCA_003044995.1_ASM304499v1</t>
  </si>
  <si>
    <t>GCA_003045025.1</t>
  </si>
  <si>
    <t>C2014021188</t>
  </si>
  <si>
    <t>https://ftp.ncbi.nlm.nih.gov/genomes/all/GCA/003/045/025/GCA_003045025.1_ASM304502v1</t>
  </si>
  <si>
    <t>GCA_003045035.1</t>
  </si>
  <si>
    <t>C2013011231</t>
  </si>
  <si>
    <t>https://ftp.ncbi.nlm.nih.gov/genomes/all/GCA/003/045/035/GCA_003045035.1_ASM304503v1</t>
  </si>
  <si>
    <t>GCA_003047065.1</t>
  </si>
  <si>
    <t>https://ftp.ncbi.nlm.nih.gov/genomes/all/GCA/003/047/065/GCA_003047065.1_ASM304706v1</t>
  </si>
  <si>
    <t>GCA_003048375.1</t>
  </si>
  <si>
    <t>P2CDO4</t>
  </si>
  <si>
    <t>https://ftp.ncbi.nlm.nih.gov/genomes/all/GCA/003/048/375/GCA_003048375.1_ASM304837v1</t>
  </si>
  <si>
    <t>GCA_003048445.1</t>
  </si>
  <si>
    <t>P26UCO-S1</t>
  </si>
  <si>
    <t>https://ftp.ncbi.nlm.nih.gov/genomes/all/GCA/003/048/445/GCA_003048445.1_ASM304844v1</t>
  </si>
  <si>
    <t>GCA_003048575.1</t>
  </si>
  <si>
    <t>H10O-S1</t>
  </si>
  <si>
    <t>https://ftp.ncbi.nlm.nih.gov/genomes/all/GCA/003/048/575/GCA_003048575.1_ASM304857v1</t>
  </si>
  <si>
    <t>GCA_003048595.2</t>
  </si>
  <si>
    <t>P26UCO-S2</t>
  </si>
  <si>
    <t>https://ftp.ncbi.nlm.nih.gov/genomes/all/GCA/003/048/595/GCA_003048595.2_ASM304859v2</t>
  </si>
  <si>
    <t>GCA_003048605.1</t>
  </si>
  <si>
    <t>H11O-S2</t>
  </si>
  <si>
    <t>https://ftp.ncbi.nlm.nih.gov/genomes/all/GCA/003/048/605/GCA_003048605.1_ASM304860v1</t>
  </si>
  <si>
    <t>GCA_003048615.2</t>
  </si>
  <si>
    <t>H16O-S1</t>
  </si>
  <si>
    <t>https://ftp.ncbi.nlm.nih.gov/genomes/all/GCA/003/048/615/GCA_003048615.2_ASM304861v2</t>
  </si>
  <si>
    <t>GCA_003048645.1</t>
  </si>
  <si>
    <t>P16UCO-S2</t>
  </si>
  <si>
    <t>https://ftp.ncbi.nlm.nih.gov/genomes/all/GCA/003/048/645/GCA_003048645.1_ASM304864v1</t>
  </si>
  <si>
    <t>GCA_003048675.2</t>
  </si>
  <si>
    <t>P1CDO2</t>
  </si>
  <si>
    <t>https://ftp.ncbi.nlm.nih.gov/genomes/all/GCA/003/048/675/GCA_003048675.2_ASM304867v2</t>
  </si>
  <si>
    <t>GCA_003048685.2</t>
  </si>
  <si>
    <t>P1CDO3</t>
  </si>
  <si>
    <t>https://ftp.ncbi.nlm.nih.gov/genomes/all/GCA/003/048/685/GCA_003048685.2_ASM304868v2</t>
  </si>
  <si>
    <t>GCA_003048695.2</t>
  </si>
  <si>
    <t>P10CDO-S2</t>
  </si>
  <si>
    <t>https://ftp.ncbi.nlm.nih.gov/genomes/all/GCA/003/048/695/GCA_003048695.2_ASM304869v2</t>
  </si>
  <si>
    <t>GCA_003048705.1</t>
  </si>
  <si>
    <t>H29O-S1</t>
  </si>
  <si>
    <t>https://ftp.ncbi.nlm.nih.gov/genomes/all/GCA/003/048/705/GCA_003048705.1_ASM304870v1</t>
  </si>
  <si>
    <t>GCA_003048755.1</t>
  </si>
  <si>
    <t>H12O-S1</t>
  </si>
  <si>
    <t>https://ftp.ncbi.nlm.nih.gov/genomes/all/GCA/003/048/755/GCA_003048755.1_ASM304875v1</t>
  </si>
  <si>
    <t>GCA_003048765.1</t>
  </si>
  <si>
    <t>P27CDO-S1</t>
  </si>
  <si>
    <t>https://ftp.ncbi.nlm.nih.gov/genomes/all/GCA/003/048/765/GCA_003048765.1_ASM304876v1</t>
  </si>
  <si>
    <t>GCA_003048775.2</t>
  </si>
  <si>
    <t>P27CDO-S2</t>
  </si>
  <si>
    <t>https://ftp.ncbi.nlm.nih.gov/genomes/all/GCA/003/048/775/GCA_003048775.2_ASM304877v2</t>
  </si>
  <si>
    <t>GCA_003048815.1</t>
  </si>
  <si>
    <t>H9O-S1</t>
  </si>
  <si>
    <t>https://ftp.ncbi.nlm.nih.gov/genomes/all/GCA/003/048/815/GCA_003048815.1_ASM304881v1</t>
  </si>
  <si>
    <t>GCA_003048835.2</t>
  </si>
  <si>
    <t>P13UCO-S1</t>
  </si>
  <si>
    <t>https://ftp.ncbi.nlm.nih.gov/genomes/all/GCA/003/048/835/GCA_003048835.2_ASM304883v2</t>
  </si>
  <si>
    <t>GCA_003048845.1</t>
  </si>
  <si>
    <t>P16UCO-S1</t>
  </si>
  <si>
    <t>https://ftp.ncbi.nlm.nih.gov/genomes/all/GCA/003/048/845/GCA_003048845.1_ASM304884v1</t>
  </si>
  <si>
    <t>GCA_003048875.2</t>
  </si>
  <si>
    <t>P11CDO-S1</t>
  </si>
  <si>
    <t>https://ftp.ncbi.nlm.nih.gov/genomes/all/GCA/003/048/875/GCA_003048875.2_ASM304887v2</t>
  </si>
  <si>
    <t>GCA_003048895.1</t>
  </si>
  <si>
    <t>P7UCO-S2</t>
  </si>
  <si>
    <t>https://ftp.ncbi.nlm.nih.gov/genomes/all/GCA/003/048/895/GCA_003048895.1_ASM304889v1</t>
  </si>
  <si>
    <t>GCA_003048965.1</t>
  </si>
  <si>
    <t>H26O-S1</t>
  </si>
  <si>
    <t>https://ftp.ncbi.nlm.nih.gov/genomes/all/GCA/003/048/965/GCA_003048965.1_ASM304896v1</t>
  </si>
  <si>
    <t>GCA_003048985.1</t>
  </si>
  <si>
    <t>H20O-S1</t>
  </si>
  <si>
    <t>https://ftp.ncbi.nlm.nih.gov/genomes/all/GCA/003/048/985/GCA_003048985.1_ASM304898v1</t>
  </si>
  <si>
    <t>GCA_003048995.1</t>
  </si>
  <si>
    <t>H15O-S1</t>
  </si>
  <si>
    <t>https://ftp.ncbi.nlm.nih.gov/genomes/all/GCA/003/048/995/GCA_003048995.1_ASM304899v1</t>
  </si>
  <si>
    <t>GCA_003049025.1</t>
  </si>
  <si>
    <t>H11O-S1</t>
  </si>
  <si>
    <t>https://ftp.ncbi.nlm.nih.gov/genomes/all/GCA/003/049/025/GCA_003049025.1_ASM304902v1</t>
  </si>
  <si>
    <t>GCA_003049045.1</t>
  </si>
  <si>
    <t>H7O-S1</t>
  </si>
  <si>
    <t>https://ftp.ncbi.nlm.nih.gov/genomes/all/GCA/003/049/045/GCA_003049045.1_ASM304904v1</t>
  </si>
  <si>
    <t>GCA_003049065.1</t>
  </si>
  <si>
    <t>H3O1</t>
  </si>
  <si>
    <t>https://ftp.ncbi.nlm.nih.gov/genomes/all/GCA/003/049/065/GCA_003049065.1_ASM304906v1</t>
  </si>
  <si>
    <t>GCA_003049525.1</t>
  </si>
  <si>
    <t>ATCC 7055</t>
  </si>
  <si>
    <t>https://ftp.ncbi.nlm.nih.gov/genomes/all/GCA/003/049/525/GCA_003049525.1_ASM304952v1</t>
  </si>
  <si>
    <t>DSM 22902</t>
  </si>
  <si>
    <t>https://ftp.ncbi.nlm.nih.gov/genomes/all/GCA/003/054/025/GCA_003054025.1_ASM305402v1</t>
  </si>
  <si>
    <t>GCA_003072625.1</t>
  </si>
  <si>
    <t>WHH1689</t>
  </si>
  <si>
    <t>https://ftp.ncbi.nlm.nih.gov/genomes/all/GCA/003/072/625/GCA_003072625.1_ASM307262v1</t>
  </si>
  <si>
    <t>GCA_003116505.1</t>
  </si>
  <si>
    <t>H19O-S1</t>
  </si>
  <si>
    <t>https://ftp.ncbi.nlm.nih.gov/genomes/all/GCA/003/116/505/GCA_003116505.1_ASM311650v1</t>
  </si>
  <si>
    <t>GCA_003122005.1</t>
  </si>
  <si>
    <t>https://ftp.ncbi.nlm.nih.gov/genomes/all/GCA/003/122/005/GCA_003122005.1_ASM312200v1</t>
  </si>
  <si>
    <t>GCA_003129975.1</t>
  </si>
  <si>
    <t>HMT-426</t>
  </si>
  <si>
    <t>kilianii</t>
  </si>
  <si>
    <t>PN_755</t>
  </si>
  <si>
    <t>https://ftp.ncbi.nlm.nih.gov/genomes/all/GCA/003/129/975/GCA_003129975.1_ASM312997v1</t>
  </si>
  <si>
    <t>GCA_003130015.1</t>
  </si>
  <si>
    <t>PN_649</t>
  </si>
  <si>
    <t>https://ftp.ncbi.nlm.nih.gov/genomes/all/GCA/003/130/015/GCA_003130015.1_ASM313001v1</t>
  </si>
  <si>
    <t>GCA_003130035.1</t>
  </si>
  <si>
    <t>PN_537</t>
  </si>
  <si>
    <t>https://ftp.ncbi.nlm.nih.gov/genomes/all/GCA/003/130/035/GCA_003130035.1_ASM313003v1</t>
  </si>
  <si>
    <t>GCA_003130055.1</t>
  </si>
  <si>
    <t>PN_452</t>
  </si>
  <si>
    <t>https://ftp.ncbi.nlm.nih.gov/genomes/all/GCA/003/130/055/GCA_003130055.1_ASM313005v1</t>
  </si>
  <si>
    <t>GCA_003130075.1</t>
  </si>
  <si>
    <t>HK_296</t>
  </si>
  <si>
    <t>https://ftp.ncbi.nlm.nih.gov/genomes/all/GCA/003/130/075/GCA_003130075.1_ASM313007v1</t>
  </si>
  <si>
    <t>GCA_003130095.1</t>
  </si>
  <si>
    <t>CCUG 46700</t>
  </si>
  <si>
    <t>https://ftp.ncbi.nlm.nih.gov/genomes/all/GCA/003/130/095/GCA_003130095.1_ASM313009v1</t>
  </si>
  <si>
    <t>GCA_003130125.1</t>
  </si>
  <si>
    <t>PN_517</t>
  </si>
  <si>
    <t>https://ftp.ncbi.nlm.nih.gov/genomes/all/GCA/003/130/125/GCA_003130125.1_ASM313012v1</t>
  </si>
  <si>
    <t>GCA_003130145.1</t>
  </si>
  <si>
    <t>PN_444</t>
  </si>
  <si>
    <t>https://ftp.ncbi.nlm.nih.gov/genomes/all/GCA/003/130/145/GCA_003130145.1_ASM313014v1</t>
  </si>
  <si>
    <t>GCA_003130165.1</t>
  </si>
  <si>
    <t>PN_800</t>
  </si>
  <si>
    <t>https://ftp.ncbi.nlm.nih.gov/genomes/all/GCA/003/130/165/GCA_003130165.1_ASM313016v1</t>
  </si>
  <si>
    <t>GCA_003130195.1</t>
  </si>
  <si>
    <t>PN_521</t>
  </si>
  <si>
    <t>https://ftp.ncbi.nlm.nih.gov/genomes/all/GCA/003/130/195/GCA_003130195.1_ASM313019v1</t>
  </si>
  <si>
    <t>GCA_003130255.1</t>
  </si>
  <si>
    <t>PN_528</t>
  </si>
  <si>
    <t>https://ftp.ncbi.nlm.nih.gov/genomes/all/GCA/003/130/255/GCA_003130255.1_ASM313025v1</t>
  </si>
  <si>
    <t>GCA_003130285.1</t>
  </si>
  <si>
    <t>PN_522</t>
  </si>
  <si>
    <t>https://ftp.ncbi.nlm.nih.gov/genomes/all/GCA/003/130/285/GCA_003130285.1_ASM313028v1</t>
  </si>
  <si>
    <t>GCA_003130305.1</t>
  </si>
  <si>
    <t>PN_516</t>
  </si>
  <si>
    <t>https://ftp.ncbi.nlm.nih.gov/genomes/all/GCA/003/130/305/GCA_003130305.1_ASM313030v1</t>
  </si>
  <si>
    <t>GCA_003130325.1</t>
  </si>
  <si>
    <t>PN_651</t>
  </si>
  <si>
    <t>https://ftp.ncbi.nlm.nih.gov/genomes/all/GCA/003/130/325/GCA_003130325.1_ASM313032v1</t>
  </si>
  <si>
    <t>GCA_003130345.1</t>
  </si>
  <si>
    <t>PN_450</t>
  </si>
  <si>
    <t>https://ftp.ncbi.nlm.nih.gov/genomes/all/GCA/003/130/345/GCA_003130345.1_ASM313034v1</t>
  </si>
  <si>
    <t>GCA_003130365.1</t>
  </si>
  <si>
    <t>HK_319</t>
  </si>
  <si>
    <t>https://ftp.ncbi.nlm.nih.gov/genomes/all/GCA/003/130/365/GCA_003130365.1_ASM313036v1</t>
  </si>
  <si>
    <t>GCA_003130375.1</t>
  </si>
  <si>
    <t>CCUG 11575</t>
  </si>
  <si>
    <t>https://ftp.ncbi.nlm.nih.gov/genomes/all/GCA/003/130/375/GCA_003130375.1_ASM313037v1</t>
  </si>
  <si>
    <t>GCA_003130645.1</t>
  </si>
  <si>
    <t>MELO_94</t>
  </si>
  <si>
    <t>https://ftp.ncbi.nlm.nih.gov/genomes/all/GCA/003/130/645/GCA_003130645.1_ASM313064v1</t>
  </si>
  <si>
    <t>GCA_003130665.1</t>
  </si>
  <si>
    <t>MELO_68</t>
  </si>
  <si>
    <t>https://ftp.ncbi.nlm.nih.gov/genomes/all/GCA/003/130/665/GCA_003130665.1_ASM313066v1</t>
  </si>
  <si>
    <t>GCA_003130675.1</t>
  </si>
  <si>
    <t>MELO_83</t>
  </si>
  <si>
    <t>https://ftp.ncbi.nlm.nih.gov/genomes/all/GCA/003/130/675/GCA_003130675.1_ASM313067v1</t>
  </si>
  <si>
    <t>GCA_003172975.1</t>
  </si>
  <si>
    <t>https://ftp.ncbi.nlm.nih.gov/genomes/all/GCA/003/172/975/GCA_003172975.1_ASM317297v1</t>
  </si>
  <si>
    <t>GCA_003172995.1</t>
  </si>
  <si>
    <t>SL1</t>
  </si>
  <si>
    <t>https://ftp.ncbi.nlm.nih.gov/genomes/all/GCA/003/172/995/GCA_003172995.1_ASM317299v1</t>
  </si>
  <si>
    <t>GCA_003176795.1</t>
  </si>
  <si>
    <t>NIDR 6715-7</t>
  </si>
  <si>
    <t>https://ftp.ncbi.nlm.nih.gov/genomes/all/GCA/003/176/795/GCA_003176795.1_ASM317679v1</t>
  </si>
  <si>
    <t>GCA_003176815.1</t>
  </si>
  <si>
    <t>NIDR 6715-15</t>
  </si>
  <si>
    <t>https://ftp.ncbi.nlm.nih.gov/genomes/all/GCA/003/176/815/GCA_003176815.1_ASM317681v1</t>
  </si>
  <si>
    <t>GCA_003182075.1</t>
  </si>
  <si>
    <t>DSM 20470</t>
  </si>
  <si>
    <t>https://ftp.ncbi.nlm.nih.gov/genomes/all/GCA/003/182/075/GCA_003182075.1_ASM318207v1</t>
  </si>
  <si>
    <t>GCA_003182515.1</t>
  </si>
  <si>
    <t>8486cho</t>
  </si>
  <si>
    <t>https://ftp.ncbi.nlm.nih.gov/genomes/all/GCA/003/182/515/GCA_003182515.1_ASM318251v1</t>
  </si>
  <si>
    <t>Cedars</t>
  </si>
  <si>
    <t>https://ftp.ncbi.nlm.nih.gov/genomes/all/GCA/003/184/205/GCA_003184205.1_ASM318420v1</t>
  </si>
  <si>
    <t>GCA_003184385.1</t>
  </si>
  <si>
    <t>10P129H1</t>
  </si>
  <si>
    <t>https://ftp.ncbi.nlm.nih.gov/genomes/all/GCA/003/184/385/GCA_003184385.1_ASM318438v1</t>
  </si>
  <si>
    <t>GCA_003184405.1</t>
  </si>
  <si>
    <t>84P36H1</t>
  </si>
  <si>
    <t>https://ftp.ncbi.nlm.nih.gov/genomes/all/GCA/003/184/405/GCA_003184405.1_ASM318440v1</t>
  </si>
  <si>
    <t>GCA_003193745.1</t>
  </si>
  <si>
    <t>AR_0470</t>
  </si>
  <si>
    <t>https://ftp.ncbi.nlm.nih.gov/genomes/all/GCA/003/193/745/GCA_003193745.1_ASM319374v1</t>
  </si>
  <si>
    <t>GCA_003194045.1</t>
  </si>
  <si>
    <t>BQ11</t>
  </si>
  <si>
    <t>https://ftp.ncbi.nlm.nih.gov/genomes/all/GCA/003/194/045/GCA_003194045.1_ASM319404v1</t>
  </si>
  <si>
    <t>GCA_003201715.1</t>
  </si>
  <si>
    <t>DSM 15611</t>
  </si>
  <si>
    <t>https://ftp.ncbi.nlm.nih.gov/genomes/all/GCA/003/201/715/GCA_003201715.1_ASM320171v1</t>
  </si>
  <si>
    <t>GCA_003202245.1</t>
  </si>
  <si>
    <t>https://ftp.ncbi.nlm.nih.gov/genomes/all/GCA/003/202/245/GCA_003202245.1_ASM320224v1</t>
  </si>
  <si>
    <t>GCA_003202295.1</t>
  </si>
  <si>
    <t>https://ftp.ncbi.nlm.nih.gov/genomes/all/GCA/003/202/295/GCA_003202295.1_ASM320229v1</t>
  </si>
  <si>
    <t>GCA_003202355.1</t>
  </si>
  <si>
    <t>https://ftp.ncbi.nlm.nih.gov/genomes/all/GCA/003/202/355/GCA_003202355.1_ASM320235v1</t>
  </si>
  <si>
    <t>GCA_003205835.1</t>
  </si>
  <si>
    <t>SJTL3</t>
  </si>
  <si>
    <t>https://ftp.ncbi.nlm.nih.gov/genomes/all/GCA/003/205/835/GCA_003205835.1_ASM320583v1</t>
  </si>
  <si>
    <t>GCA_003217445.1</t>
  </si>
  <si>
    <t>AtHG25</t>
  </si>
  <si>
    <t>https://ftp.ncbi.nlm.nih.gov/genomes/all/GCA/003/217/445/GCA_003217445.1_ASM321744v1</t>
  </si>
  <si>
    <t>GCA_003226385.1</t>
  </si>
  <si>
    <t>https://ftp.ncbi.nlm.nih.gov/genomes/all/GCA/003/226/385/GCA_003226385.1_ASM322638v1</t>
  </si>
  <si>
    <t>GCA_003226435.1</t>
  </si>
  <si>
    <t>Asn12</t>
  </si>
  <si>
    <t>https://ftp.ncbi.nlm.nih.gov/genomes/all/GCA/003/226/435/GCA_003226435.1_ASM322643v1</t>
  </si>
  <si>
    <t>GCA_003231475.1</t>
  </si>
  <si>
    <t>HS0302</t>
  </si>
  <si>
    <t>https://ftp.ncbi.nlm.nih.gov/genomes/all/GCA/003/231/475/GCA_003231475.1_ASM323147v1</t>
  </si>
  <si>
    <t>GCA_003241455.1</t>
  </si>
  <si>
    <t>S2_005_002_R2_33</t>
  </si>
  <si>
    <t>https://ftp.ncbi.nlm.nih.gov/genomes/all/GCA/003/241/455/GCA_003241455.1_ASM324145v1</t>
  </si>
  <si>
    <t>GCA_003252645.1</t>
  </si>
  <si>
    <t>C2000002669</t>
  </si>
  <si>
    <t>https://ftp.ncbi.nlm.nih.gov/genomes/all/GCA/003/252/645/GCA_003252645.1_ASM325264v1</t>
  </si>
  <si>
    <t>GCA_003252655.1</t>
  </si>
  <si>
    <t>C2001002324</t>
  </si>
  <si>
    <t>https://ftp.ncbi.nlm.nih.gov/genomes/all/GCA/003/252/655/GCA_003252655.1_ASM325265v1</t>
  </si>
  <si>
    <t>GCA_003252685.1</t>
  </si>
  <si>
    <t>C2001002503</t>
  </si>
  <si>
    <t>https://ftp.ncbi.nlm.nih.gov/genomes/all/GCA/003/252/685/GCA_003252685.1_ASM325268v1</t>
  </si>
  <si>
    <t>GCA_003252715.1</t>
  </si>
  <si>
    <t>C2002001239</t>
  </si>
  <si>
    <t>https://ftp.ncbi.nlm.nih.gov/genomes/all/GCA/003/252/715/GCA_003252715.1_ASM325271v1</t>
  </si>
  <si>
    <t>GCA_003252725.1</t>
  </si>
  <si>
    <t>C2004000280</t>
  </si>
  <si>
    <t>https://ftp.ncbi.nlm.nih.gov/genomes/all/GCA/003/252/725/GCA_003252725.1_ASM325272v1</t>
  </si>
  <si>
    <t>GCA_003252775.1</t>
  </si>
  <si>
    <t>C2008001710</t>
  </si>
  <si>
    <t>https://ftp.ncbi.nlm.nih.gov/genomes/all/GCA/003/252/775/GCA_003252775.1_ASM325277v1</t>
  </si>
  <si>
    <t>GCA_003252795.1</t>
  </si>
  <si>
    <t>C2004002729</t>
  </si>
  <si>
    <t>https://ftp.ncbi.nlm.nih.gov/genomes/all/GCA/003/252/795/GCA_003252795.1_ASM325279v1</t>
  </si>
  <si>
    <t>GCA_003252805.1</t>
  </si>
  <si>
    <t>C2008001782</t>
  </si>
  <si>
    <t>https://ftp.ncbi.nlm.nih.gov/genomes/all/GCA/003/252/805/GCA_003252805.1_ASM325280v1</t>
  </si>
  <si>
    <t>GCA_003252835.1</t>
  </si>
  <si>
    <t>C2010020251</t>
  </si>
  <si>
    <t>https://ftp.ncbi.nlm.nih.gov/genomes/all/GCA/003/252/835/GCA_003252835.1_ASM325283v1</t>
  </si>
  <si>
    <t>GCA_003252855.1</t>
  </si>
  <si>
    <t>C2015005473</t>
  </si>
  <si>
    <t>https://ftp.ncbi.nlm.nih.gov/genomes/all/GCA/003/252/855/GCA_003252855.1_ASM325285v1</t>
  </si>
  <si>
    <t>GCA_003252875.1</t>
  </si>
  <si>
    <t>C2015005679</t>
  </si>
  <si>
    <t>https://ftp.ncbi.nlm.nih.gov/genomes/all/GCA/003/252/875/GCA_003252875.1_ASM325287v1</t>
  </si>
  <si>
    <t>GCA_003252885.1</t>
  </si>
  <si>
    <t>C2004002727</t>
  </si>
  <si>
    <t>https://ftp.ncbi.nlm.nih.gov/genomes/all/GCA/003/252/885/GCA_003252885.1_ASM325288v1</t>
  </si>
  <si>
    <t>GCA_003252915.1</t>
  </si>
  <si>
    <t>C2005004058</t>
  </si>
  <si>
    <t>https://ftp.ncbi.nlm.nih.gov/genomes/all/GCA/003/252/915/GCA_003252915.1_ASM325291v1</t>
  </si>
  <si>
    <t>GCA_003252925.1</t>
  </si>
  <si>
    <t>C2006000788</t>
  </si>
  <si>
    <t>https://ftp.ncbi.nlm.nih.gov/genomes/all/GCA/003/252/925/GCA_003252925.1_ASM325292v1</t>
  </si>
  <si>
    <t>GCA_003252955.1</t>
  </si>
  <si>
    <t>C2008000870</t>
  </si>
  <si>
    <t>https://ftp.ncbi.nlm.nih.gov/genomes/all/GCA/003/252/955/GCA_003252955.1_ASM325295v1</t>
  </si>
  <si>
    <t>GCA_003252965.1</t>
  </si>
  <si>
    <t>C2008001229</t>
  </si>
  <si>
    <t>https://ftp.ncbi.nlm.nih.gov/genomes/all/GCA/003/252/965/GCA_003252965.1_ASM325296v1</t>
  </si>
  <si>
    <t>GCA_003252995.1</t>
  </si>
  <si>
    <t>C2008003249</t>
  </si>
  <si>
    <t>https://ftp.ncbi.nlm.nih.gov/genomes/all/GCA/003/252/995/GCA_003252995.1_ASM325299v1</t>
  </si>
  <si>
    <t>GCA_003253005.1</t>
  </si>
  <si>
    <t>C2008003258</t>
  </si>
  <si>
    <t>https://ftp.ncbi.nlm.nih.gov/genomes/all/GCA/003/253/005/GCA_003253005.1_ASM325300v1</t>
  </si>
  <si>
    <t>GCA_003253035.1</t>
  </si>
  <si>
    <t>C2009017515</t>
  </si>
  <si>
    <t>https://ftp.ncbi.nlm.nih.gov/genomes/all/GCA/003/253/035/GCA_003253035.1_ASM325303v1</t>
  </si>
  <si>
    <t>GCA_003253055.1</t>
  </si>
  <si>
    <t>C2009038101</t>
  </si>
  <si>
    <t>https://ftp.ncbi.nlm.nih.gov/genomes/all/GCA/003/253/055/GCA_003253055.1_ASM325305v1</t>
  </si>
  <si>
    <t>GCA_003253075.1</t>
  </si>
  <si>
    <t>C2010039593</t>
  </si>
  <si>
    <t>https://ftp.ncbi.nlm.nih.gov/genomes/all/GCA/003/253/075/GCA_003253075.1_ASM325307v1</t>
  </si>
  <si>
    <t>GCA_003253085.1</t>
  </si>
  <si>
    <t>C2011020591</t>
  </si>
  <si>
    <t>https://ftp.ncbi.nlm.nih.gov/genomes/all/GCA/003/253/085/GCA_003253085.1_ASM325308v1</t>
  </si>
  <si>
    <t>GCA_003253115.1</t>
  </si>
  <si>
    <t>C2014016342</t>
  </si>
  <si>
    <t>https://ftp.ncbi.nlm.nih.gov/genomes/all/GCA/003/253/115/GCA_003253115.1_ASM325311v1</t>
  </si>
  <si>
    <t>GCA_003253775.1</t>
  </si>
  <si>
    <t>MRHRU-235-G</t>
  </si>
  <si>
    <t>https://ftp.ncbi.nlm.nih.gov/genomes/all/GCA/003/253/775/GCA_003253775.1_ASM325377v1</t>
  </si>
  <si>
    <t>GCA_003254255.1</t>
  </si>
  <si>
    <t>HMT-107</t>
  </si>
  <si>
    <t>umeaense</t>
  </si>
  <si>
    <t>DSM 23576</t>
  </si>
  <si>
    <t>https://ftp.ncbi.nlm.nih.gov/genomes/all/GCA/003/254/255/GCA_003254255.1_ASM325425v1</t>
  </si>
  <si>
    <t>GCA_003254295.1</t>
  </si>
  <si>
    <t>DSM 1710</t>
  </si>
  <si>
    <t>https://ftp.ncbi.nlm.nih.gov/genomes/all/GCA/003/254/295/GCA_003254295.1_ASM325429v1</t>
  </si>
  <si>
    <t>GCA_003255875.1</t>
  </si>
  <si>
    <t>CBA7106</t>
  </si>
  <si>
    <t>https://ftp.ncbi.nlm.nih.gov/genomes/all/GCA/003/255/875/GCA_003255875.1_ASM325587v1</t>
  </si>
  <si>
    <t>GCA_003258335.1</t>
  </si>
  <si>
    <t>LH6</t>
  </si>
  <si>
    <t>https://ftp.ncbi.nlm.nih.gov/genomes/all/GCA/003/258/335/GCA_003258335.1_ASM325833v1</t>
  </si>
  <si>
    <t>GCA_003260325.1</t>
  </si>
  <si>
    <t>HMT-872</t>
  </si>
  <si>
    <t>bacterium HMT-872</t>
  </si>
  <si>
    <t>GN02-872</t>
  </si>
  <si>
    <t>https://ftp.ncbi.nlm.nih.gov/genomes/all/GCA/003/260/325/GCA_003260325.1_ASM326032v1</t>
  </si>
  <si>
    <t>GCA_003260345.1</t>
  </si>
  <si>
    <t>HMT-873</t>
  </si>
  <si>
    <t>Patescibacteria [C1 O1 F1 G2]</t>
  </si>
  <si>
    <t>bacterium HMT-873</t>
  </si>
  <si>
    <t>GN02-873</t>
  </si>
  <si>
    <t>https://ftp.ncbi.nlm.nih.gov/genomes/all/GCA/003/260/345/GCA_003260345.1_ASM326034v1</t>
  </si>
  <si>
    <t>GCA_003260355.1</t>
  </si>
  <si>
    <t>HMT-345</t>
  </si>
  <si>
    <t>Absconditicoccaceae [G1]</t>
  </si>
  <si>
    <t>bacterium HMT-345</t>
  </si>
  <si>
    <t>HOT-345</t>
  </si>
  <si>
    <t>https://ftp.ncbi.nlm.nih.gov/genomes/all/GCA/003/260/355/GCA_003260355.1_ASM326035v1</t>
  </si>
  <si>
    <t>GCA_003263915.2</t>
  </si>
  <si>
    <t>KPL1914</t>
  </si>
  <si>
    <t>https://ftp.ncbi.nlm.nih.gov/genomes/all/GCA/003/263/915/GCA_003263915.2_ASM326391v2</t>
  </si>
  <si>
    <t>GCA_003263965.1</t>
  </si>
  <si>
    <t>KPL1939_CDC4792-99</t>
  </si>
  <si>
    <t>https://ftp.ncbi.nlm.nih.gov/genomes/all/GCA/003/263/965/GCA_003263965.1_ASM326396v1</t>
  </si>
  <si>
    <t>GCA_003263975.1</t>
  </si>
  <si>
    <t>KPL1938_CDC4791-99</t>
  </si>
  <si>
    <t>https://ftp.ncbi.nlm.nih.gov/genomes/all/GCA/003/263/975/GCA_003263975.1_ASM326397v1</t>
  </si>
  <si>
    <t>GCA_003264005.1</t>
  </si>
  <si>
    <t>KPL1937_CDC4199-99</t>
  </si>
  <si>
    <t>https://ftp.ncbi.nlm.nih.gov/genomes/all/GCA/003/264/005/GCA_003264005.1_ASM326400v1</t>
  </si>
  <si>
    <t>GCA_003264045.1</t>
  </si>
  <si>
    <t>KPL1933_CDC4545-98</t>
  </si>
  <si>
    <t>https://ftp.ncbi.nlm.nih.gov/genomes/all/GCA/003/264/045/GCA_003264045.1_ASM326404v1</t>
  </si>
  <si>
    <t>GCA_003264065.1</t>
  </si>
  <si>
    <t>KPL1932_CDC4420-98</t>
  </si>
  <si>
    <t>https://ftp.ncbi.nlm.nih.gov/genomes/all/GCA/003/264/065/GCA_003264065.1_ASM326406v1</t>
  </si>
  <si>
    <t>GCA_003264085.1</t>
  </si>
  <si>
    <t>KPL1931_CDC4294-98</t>
  </si>
  <si>
    <t>https://ftp.ncbi.nlm.nih.gov/genomes/all/GCA/003/264/085/GCA_003264085.1_ASM326408v1</t>
  </si>
  <si>
    <t>GCA_003264135.1</t>
  </si>
  <si>
    <t>KPL1930_CDC2949-98</t>
  </si>
  <si>
    <t>https://ftp.ncbi.nlm.nih.gov/genomes/all/GCA/003/264/135/GCA_003264135.1_ASM326413v1</t>
  </si>
  <si>
    <t>GCA_003264145.1</t>
  </si>
  <si>
    <t>KPL1922_CDC39-95</t>
  </si>
  <si>
    <t>https://ftp.ncbi.nlm.nih.gov/genomes/all/GCA/003/264/145/GCA_003264145.1_ASM326414v1</t>
  </si>
  <si>
    <t>GCA_003265025.1</t>
  </si>
  <si>
    <t>KCOM 2734</t>
  </si>
  <si>
    <t>https://ftp.ncbi.nlm.nih.gov/genomes/all/GCA/003/265/025/GCA_003265025.1_ASM326502v1</t>
  </si>
  <si>
    <t>GCA_003269195.1</t>
  </si>
  <si>
    <t>DSM 18710</t>
  </si>
  <si>
    <t>https://ftp.ncbi.nlm.nih.gov/genomes/all/GCA/003/269/195/GCA_003269195.1_ASM326919v1</t>
  </si>
  <si>
    <t>GCA_003284685.1</t>
  </si>
  <si>
    <t>LAU_SINT</t>
  </si>
  <si>
    <t>https://ftp.ncbi.nlm.nih.gov/genomes/all/GCA/003/284/685/GCA_003284685.1_ASM328468v1</t>
  </si>
  <si>
    <t>GCA_003285265.1</t>
  </si>
  <si>
    <t>RSP-02</t>
  </si>
  <si>
    <t>https://ftp.ncbi.nlm.nih.gov/genomes/all/GCA/003/285/265/GCA_003285265.1_ASM328526v1</t>
  </si>
  <si>
    <t>GCA_003293675.1</t>
  </si>
  <si>
    <t>UGent 06.41</t>
  </si>
  <si>
    <t>https://ftp.ncbi.nlm.nih.gov/genomes/all/GCA/003/293/675/GCA_003293675.1_ASM329367v1</t>
  </si>
  <si>
    <t>GCA_003294055.1</t>
  </si>
  <si>
    <t>BE51</t>
  </si>
  <si>
    <t>https://ftp.ncbi.nlm.nih.gov/genomes/all/GCA/003/294/055/GCA_003294055.1_ASM329405v1</t>
  </si>
  <si>
    <t>GCA_003312465.1</t>
  </si>
  <si>
    <t>APC918/95b</t>
  </si>
  <si>
    <t>https://ftp.ncbi.nlm.nih.gov/genomes/all/GCA/003/312/465/GCA_003312465.1_ASM331246v1</t>
  </si>
  <si>
    <t>GCA_003315235.1</t>
  </si>
  <si>
    <t>DSM 9188</t>
  </si>
  <si>
    <t>https://ftp.ncbi.nlm.nih.gov/genomes/all/GCA/003/315/235/GCA_003315235.1_ASM331523v1</t>
  </si>
  <si>
    <t>GCA_003324185.1</t>
  </si>
  <si>
    <t>ATCC 27768</t>
  </si>
  <si>
    <t>https://ftp.ncbi.nlm.nih.gov/genomes/all/GCA/003/324/185/GCA_003324185.1_ASM332418v1</t>
  </si>
  <si>
    <t>GCA_003339975.1</t>
  </si>
  <si>
    <t>https://ftp.ncbi.nlm.nih.gov/genomes/all/GCA/003/339/975/GCA_003339975.1_ASM333997v1</t>
  </si>
  <si>
    <t>GCA_003340105.1</t>
  </si>
  <si>
    <t>ATCC 25559</t>
  </si>
  <si>
    <t>https://ftp.ncbi.nlm.nih.gov/genomes/all/GCA/003/340/105/GCA_003340105.1_ASM334010v1</t>
  </si>
  <si>
    <t>GCA_003342735.1</t>
  </si>
  <si>
    <t>E16SA093</t>
  </si>
  <si>
    <t>https://ftp.ncbi.nlm.nih.gov/genomes/all/GCA/003/342/735/GCA_003342735.1_ASM334273v1</t>
  </si>
  <si>
    <t>GCA_003344065.1</t>
  </si>
  <si>
    <t>YZ-1</t>
  </si>
  <si>
    <t>https://ftp.ncbi.nlm.nih.gov/genomes/all/GCA/003/344/065/GCA_003344065.1_ASM334406v1</t>
  </si>
  <si>
    <t>GCA_003349825.1</t>
  </si>
  <si>
    <t>https://ftp.ncbi.nlm.nih.gov/genomes/all/GCA/003/349/825/GCA_003349825.1_ASM334982v1</t>
  </si>
  <si>
    <t>GCA_003351405.1</t>
  </si>
  <si>
    <t>M19345</t>
  </si>
  <si>
    <t>https://ftp.ncbi.nlm.nih.gov/genomes/all/GCA/003/351/405/GCA_003351405.1_ASM335140v1</t>
  </si>
  <si>
    <t>GCA_003351425.1</t>
  </si>
  <si>
    <t>M21384</t>
  </si>
  <si>
    <t>https://ftp.ncbi.nlm.nih.gov/genomes/all/GCA/003/351/425/GCA_003351425.1_ASM335142v1</t>
  </si>
  <si>
    <t>GCA_003351445.1</t>
  </si>
  <si>
    <t>M21460</t>
  </si>
  <si>
    <t>https://ftp.ncbi.nlm.nih.gov/genomes/all/GCA/003/351/445/GCA_003351445.1_ASM335144v1</t>
  </si>
  <si>
    <t>GCA_003351465.1</t>
  </si>
  <si>
    <t>M17648</t>
  </si>
  <si>
    <t>https://ftp.ncbi.nlm.nih.gov/genomes/all/GCA/003/351/465/GCA_003351465.1_ASM335146v1</t>
  </si>
  <si>
    <t>GCA_003351505.1</t>
  </si>
  <si>
    <t>M14951</t>
  </si>
  <si>
    <t>https://ftp.ncbi.nlm.nih.gov/genomes/all/GCA/003/351/505/GCA_003351505.1_ASM335150v1</t>
  </si>
  <si>
    <t>GCA_003351545.1</t>
  </si>
  <si>
    <t>M15911</t>
  </si>
  <si>
    <t>https://ftp.ncbi.nlm.nih.gov/genomes/all/GCA/003/351/545/GCA_003351545.1_ASM335154v1</t>
  </si>
  <si>
    <t>GCA_003351565.1</t>
  </si>
  <si>
    <t>M17106</t>
  </si>
  <si>
    <t>https://ftp.ncbi.nlm.nih.gov/genomes/all/GCA/003/351/565/GCA_003351565.1_ASM335156v1</t>
  </si>
  <si>
    <t>GCA_003351585.1</t>
  </si>
  <si>
    <t>M25588</t>
  </si>
  <si>
    <t>https://ftp.ncbi.nlm.nih.gov/genomes/all/GCA/003/351/585/GCA_003351585.1_ASM335158v1</t>
  </si>
  <si>
    <t>GCA_003351605.1</t>
  </si>
  <si>
    <t>M12125</t>
  </si>
  <si>
    <t>https://ftp.ncbi.nlm.nih.gov/genomes/all/GCA/003/351/605/GCA_003351605.1_ASM335160v1</t>
  </si>
  <si>
    <t>GCA_003351625.1</t>
  </si>
  <si>
    <t>M28486</t>
  </si>
  <si>
    <t>https://ftp.ncbi.nlm.nih.gov/genomes/all/GCA/003/351/625/GCA_003351625.1_ASM335162v1</t>
  </si>
  <si>
    <t>GCA_003351665.1</t>
  </si>
  <si>
    <t>M18660</t>
  </si>
  <si>
    <t>https://ftp.ncbi.nlm.nih.gov/genomes/all/GCA/003/351/665/GCA_003351665.1_ASM335166v1</t>
  </si>
  <si>
    <t>GCA_003351685.1</t>
  </si>
  <si>
    <t>M15910</t>
  </si>
  <si>
    <t>https://ftp.ncbi.nlm.nih.gov/genomes/all/GCA/003/351/685/GCA_003351685.1_ASM335168v1</t>
  </si>
  <si>
    <t>GCA_003351705.1</t>
  </si>
  <si>
    <t>M26365</t>
  </si>
  <si>
    <t>https://ftp.ncbi.nlm.nih.gov/genomes/all/GCA/003/351/705/GCA_003351705.1_ASM335170v1</t>
  </si>
  <si>
    <t>GCA_003351945.1</t>
  </si>
  <si>
    <t>https://ftp.ncbi.nlm.nih.gov/genomes/all/GCA/003/351/945/GCA_003351945.1_ASM335194v1</t>
  </si>
  <si>
    <t>GCA_003352345.1</t>
  </si>
  <si>
    <t>M25267</t>
  </si>
  <si>
    <t>https://ftp.ncbi.nlm.nih.gov/genomes/all/GCA/003/352/345/GCA_003352345.1_ASM335234v1</t>
  </si>
  <si>
    <t>GCA_003352365.1</t>
  </si>
  <si>
    <t>M13034</t>
  </si>
  <si>
    <t>https://ftp.ncbi.nlm.nih.gov/genomes/all/GCA/003/352/365/GCA_003352365.1_ASM335236v1</t>
  </si>
  <si>
    <t>GCA_003352385.1</t>
  </si>
  <si>
    <t>M19346</t>
  </si>
  <si>
    <t>https://ftp.ncbi.nlm.nih.gov/genomes/all/GCA/003/352/385/GCA_003352385.1_ASM335238v1</t>
  </si>
  <si>
    <t>GCA_003352405.1</t>
  </si>
  <si>
    <t>M15895</t>
  </si>
  <si>
    <t>https://ftp.ncbi.nlm.nih.gov/genomes/all/GCA/003/352/405/GCA_003352405.1_ASM335240v1</t>
  </si>
  <si>
    <t>GCA_003353455.1</t>
  </si>
  <si>
    <t>GG</t>
  </si>
  <si>
    <t>https://ftp.ncbi.nlm.nih.gov/genomes/all/GCA/003/353/455/GCA_003353455.1_ASM335345v1</t>
  </si>
  <si>
    <t>GCA_003354665.1</t>
  </si>
  <si>
    <t>https://ftp.ncbi.nlm.nih.gov/genomes/all/GCA/003/354/665/GCA_003354665.1_ASM335466v1</t>
  </si>
  <si>
    <t>GCA_003354825.1</t>
  </si>
  <si>
    <t>SPN XDR SMC1710-32</t>
  </si>
  <si>
    <t>https://ftp.ncbi.nlm.nih.gov/genomes/all/GCA/003/354/825/GCA_003354825.1_ASM335482v1</t>
  </si>
  <si>
    <t>GCA_003355195.1</t>
  </si>
  <si>
    <t>M18661</t>
  </si>
  <si>
    <t>https://ftp.ncbi.nlm.nih.gov/genomes/all/GCA/003/355/195/GCA_003355195.1_ASM335519v1</t>
  </si>
  <si>
    <t>GCA_003355255.1</t>
  </si>
  <si>
    <t>M21717</t>
  </si>
  <si>
    <t>https://ftp.ncbi.nlm.nih.gov/genomes/all/GCA/003/355/255/GCA_003355255.1_ASM335525v1</t>
  </si>
  <si>
    <t>GCA_003355275.1</t>
  </si>
  <si>
    <t>M26263</t>
  </si>
  <si>
    <t>https://ftp.ncbi.nlm.nih.gov/genomes/all/GCA/003/355/275/GCA_003355275.1_ASM335527v1</t>
  </si>
  <si>
    <t>GCA_003355295.1</t>
  </si>
  <si>
    <t>M22814</t>
  </si>
  <si>
    <t>https://ftp.ncbi.nlm.nih.gov/genomes/all/GCA/003/355/295/GCA_003355295.1_ASM335529v1</t>
  </si>
  <si>
    <t>GCA_003355315.1</t>
  </si>
  <si>
    <t>M23347</t>
  </si>
  <si>
    <t>https://ftp.ncbi.nlm.nih.gov/genomes/all/GCA/003/355/315/GCA_003355315.1_ASM335531v1</t>
  </si>
  <si>
    <t>GCA_003355335.1</t>
  </si>
  <si>
    <t>M21374</t>
  </si>
  <si>
    <t>https://ftp.ncbi.nlm.nih.gov/genomes/all/GCA/003/355/335/GCA_003355335.1_ASM335533v1</t>
  </si>
  <si>
    <t>GCA_003355395.1</t>
  </si>
  <si>
    <t>M22425</t>
  </si>
  <si>
    <t>https://ftp.ncbi.nlm.nih.gov/genomes/all/GCA/003/355/395/GCA_003355395.1_ASM335539v1</t>
  </si>
  <si>
    <t>GCA_003355435.1</t>
  </si>
  <si>
    <t>M18727</t>
  </si>
  <si>
    <t>https://ftp.ncbi.nlm.nih.gov/genomes/all/GCA/003/355/435/GCA_003355435.1_ASM335543v1</t>
  </si>
  <si>
    <t>HGMS2</t>
  </si>
  <si>
    <t>https://ftp.ncbi.nlm.nih.gov/genomes/all/GCA/003/367/335/GCA_003367335.1_ASM336733v1</t>
  </si>
  <si>
    <t>GCA_003367495.1</t>
  </si>
  <si>
    <t>NRRL NRS-350</t>
  </si>
  <si>
    <t>https://ftp.ncbi.nlm.nih.gov/genomes/all/GCA/003/367/495/GCA_003367495.1_ASM336749v1</t>
  </si>
  <si>
    <t>GCA_003369875.1</t>
  </si>
  <si>
    <t>W11</t>
  </si>
  <si>
    <t>https://ftp.ncbi.nlm.nih.gov/genomes/all/GCA/003/369/875/GCA_003369875.1_ASM336987v1</t>
  </si>
  <si>
    <t>GCA_003369895.1</t>
  </si>
  <si>
    <t>N101</t>
  </si>
  <si>
    <t>https://ftp.ncbi.nlm.nih.gov/genomes/all/GCA/003/369/895/GCA_003369895.1_ASM336989v1</t>
  </si>
  <si>
    <t>GCA_003369935.1</t>
  </si>
  <si>
    <t>N153</t>
  </si>
  <si>
    <t>https://ftp.ncbi.nlm.nih.gov/genomes/all/GCA/003/369/935/GCA_003369935.1_ASM336993v1</t>
  </si>
  <si>
    <t>GCA_003369965.1</t>
  </si>
  <si>
    <t>N95</t>
  </si>
  <si>
    <t>https://ftp.ncbi.nlm.nih.gov/genomes/all/GCA/003/369/965/GCA_003369965.1_ASM336996v1</t>
  </si>
  <si>
    <t>GCA_003384195.1</t>
  </si>
  <si>
    <t>P15-180</t>
  </si>
  <si>
    <t>https://ftp.ncbi.nlm.nih.gov/genomes/all/GCA/003/384/195/GCA_003384195.1_ASM338419v1</t>
  </si>
  <si>
    <t>GCA_003384225.1</t>
  </si>
  <si>
    <t>P15-178</t>
  </si>
  <si>
    <t>https://ftp.ncbi.nlm.nih.gov/genomes/all/GCA/003/384/225/GCA_003384225.1_ASM338422v1</t>
  </si>
  <si>
    <t>GCA_003384255.1</t>
  </si>
  <si>
    <t>M13605</t>
  </si>
  <si>
    <t>https://ftp.ncbi.nlm.nih.gov/genomes/all/GCA/003/384/255/GCA_003384255.1_ASM338425v1</t>
  </si>
  <si>
    <t>GCA_003384285.1</t>
  </si>
  <si>
    <t>P15-186</t>
  </si>
  <si>
    <t>https://ftp.ncbi.nlm.nih.gov/genomes/all/GCA/003/384/285/GCA_003384285.1_ASM338428v1</t>
  </si>
  <si>
    <t>GCA_003384415.1</t>
  </si>
  <si>
    <t>T20574</t>
  </si>
  <si>
    <t>https://ftp.ncbi.nlm.nih.gov/genomes/all/GCA/003/384/415/GCA_003384415.1_ASM338441v1</t>
  </si>
  <si>
    <t>GCA_003384445.1</t>
  </si>
  <si>
    <t>T20670</t>
  </si>
  <si>
    <t>https://ftp.ncbi.nlm.nih.gov/genomes/all/GCA/003/384/445/GCA_003384445.1_ASM338444v1</t>
  </si>
  <si>
    <t>GCA_003384465.1</t>
  </si>
  <si>
    <t>T20736</t>
  </si>
  <si>
    <t>https://ftp.ncbi.nlm.nih.gov/genomes/all/GCA/003/384/465/GCA_003384465.1_ASM338446v1</t>
  </si>
  <si>
    <t>GCA_003384485.1</t>
  </si>
  <si>
    <t>T20758</t>
  </si>
  <si>
    <t>https://ftp.ncbi.nlm.nih.gov/genomes/all/GCA/003/384/485/GCA_003384485.1_ASM338448v1</t>
  </si>
  <si>
    <t>GCA_003384495.1</t>
  </si>
  <si>
    <t>T20816</t>
  </si>
  <si>
    <t>https://ftp.ncbi.nlm.nih.gov/genomes/all/GCA/003/384/495/GCA_003384495.1_ASM338449v1</t>
  </si>
  <si>
    <t>GCA_003384525.1</t>
  </si>
  <si>
    <t>T29350</t>
  </si>
  <si>
    <t>https://ftp.ncbi.nlm.nih.gov/genomes/all/GCA/003/384/525/GCA_003384525.1_ASM338452v1</t>
  </si>
  <si>
    <t>GCA_003384535.1</t>
  </si>
  <si>
    <t>T29362</t>
  </si>
  <si>
    <t>https://ftp.ncbi.nlm.nih.gov/genomes/all/GCA/003/384/535/GCA_003384535.1_ASM338453v1</t>
  </si>
  <si>
    <t>GCA_003384555.1</t>
  </si>
  <si>
    <t>T29420</t>
  </si>
  <si>
    <t>https://ftp.ncbi.nlm.nih.gov/genomes/all/GCA/003/384/555/GCA_003384555.1_ASM338455v1</t>
  </si>
  <si>
    <t>GCA_003384605.1</t>
  </si>
  <si>
    <t>T34998</t>
  </si>
  <si>
    <t>https://ftp.ncbi.nlm.nih.gov/genomes/all/GCA/003/384/605/GCA_003384605.1_ASM338460v1</t>
  </si>
  <si>
    <t>GCA_003384615.1</t>
  </si>
  <si>
    <t>T33958</t>
  </si>
  <si>
    <t>https://ftp.ncbi.nlm.nih.gov/genomes/all/GCA/003/384/615/GCA_003384615.1_ASM338461v1</t>
  </si>
  <si>
    <t>GCA_003390455.1</t>
  </si>
  <si>
    <t>M27794</t>
  </si>
  <si>
    <t>https://ftp.ncbi.nlm.nih.gov/genomes/all/GCA/003/390/455/GCA_003390455.1_ASM339045v1</t>
  </si>
  <si>
    <t>GCA_003390995.1</t>
  </si>
  <si>
    <t>KCOM 1315</t>
  </si>
  <si>
    <t>https://ftp.ncbi.nlm.nih.gov/genomes/all/GCA/003/390/995/GCA_003390995.1_ASM339099v1</t>
  </si>
  <si>
    <t>GCA_003397585.1</t>
  </si>
  <si>
    <t>UGent 18.01</t>
  </si>
  <si>
    <t>https://ftp.ncbi.nlm.nih.gov/genomes/all/GCA/003/397/585/GCA_003397585.1_ASM339758v1</t>
  </si>
  <si>
    <t>GCA_003397615.1</t>
  </si>
  <si>
    <t>UGent 21.28</t>
  </si>
  <si>
    <t>https://ftp.ncbi.nlm.nih.gov/genomes/all/GCA/003/397/615/GCA_003397615.1_ASM339761v1</t>
  </si>
  <si>
    <t>GCA_003397635.1</t>
  </si>
  <si>
    <t>UGent 09.48</t>
  </si>
  <si>
    <t>https://ftp.ncbi.nlm.nih.gov/genomes/all/GCA/003/397/635/GCA_003397635.1_ASM339763v1</t>
  </si>
  <si>
    <t>GCA_003397685.1</t>
  </si>
  <si>
    <t>https://ftp.ncbi.nlm.nih.gov/genomes/all/GCA/003/397/685/GCA_003397685.1_ASM339768v1</t>
  </si>
  <si>
    <t>GCA_003397705.1</t>
  </si>
  <si>
    <t>GS 9838-1</t>
  </si>
  <si>
    <t>https://ftp.ncbi.nlm.nih.gov/genomes/all/GCA/003/397/705/GCA_003397705.1_ASM339770v1</t>
  </si>
  <si>
    <t>GCA_003397745.1</t>
  </si>
  <si>
    <t>GS 10234</t>
  </si>
  <si>
    <t>https://ftp.ncbi.nlm.nih.gov/genomes/all/GCA/003/397/745/GCA_003397745.1_ASM339774v1</t>
  </si>
  <si>
    <t>GCA_003408635.1</t>
  </si>
  <si>
    <t>phDV1</t>
  </si>
  <si>
    <t>https://ftp.ncbi.nlm.nih.gov/genomes/all/GCA/003/408/635/GCA_003408635.1_ASM340863v1</t>
  </si>
  <si>
    <t>GCA_003417445.1</t>
  </si>
  <si>
    <t>ATCC 13048</t>
  </si>
  <si>
    <t>https://ftp.ncbi.nlm.nih.gov/genomes/all/GCA/003/417/445/GCA_003417445.1_ASM341744v1</t>
  </si>
  <si>
    <t>GCA_003417575.1</t>
  </si>
  <si>
    <t>https://ftp.ncbi.nlm.nih.gov/genomes/all/GCA/003/417/575/GCA_003417575.1_ASM341757v1</t>
  </si>
  <si>
    <t>GCA_003425445.1</t>
  </si>
  <si>
    <t>P621-7028</t>
  </si>
  <si>
    <t>https://ftp.ncbi.nlm.nih.gov/genomes/all/GCA/003/425/445/GCA_003425445.1_ASM342544v1</t>
  </si>
  <si>
    <t>GCA_003425465.1</t>
  </si>
  <si>
    <t>P650-8603</t>
  </si>
  <si>
    <t>https://ftp.ncbi.nlm.nih.gov/genomes/all/GCA/003/425/465/GCA_003425465.1_ASM342546v1</t>
  </si>
  <si>
    <t>GCA_003425485.1</t>
  </si>
  <si>
    <t>P652-8881</t>
  </si>
  <si>
    <t>https://ftp.ncbi.nlm.nih.gov/genomes/all/GCA/003/425/485/GCA_003425485.1_ASM342548v1</t>
  </si>
  <si>
    <t>GCA_003425505.1</t>
  </si>
  <si>
    <t>P669-6977</t>
  </si>
  <si>
    <t>https://ftp.ncbi.nlm.nih.gov/genomes/all/GCA/003/425/505/GCA_003425505.1_ASM342550v1</t>
  </si>
  <si>
    <t>GCA_003425525.1</t>
  </si>
  <si>
    <t>P642-4396</t>
  </si>
  <si>
    <t>https://ftp.ncbi.nlm.nih.gov/genomes/all/GCA/003/425/525/GCA_003425525.1_ASM342552v1</t>
  </si>
  <si>
    <t>GCA_003425565.1</t>
  </si>
  <si>
    <t>P679-2791</t>
  </si>
  <si>
    <t>https://ftp.ncbi.nlm.nih.gov/genomes/all/GCA/003/425/565/GCA_003425565.1_ASM342556v1</t>
  </si>
  <si>
    <t>GCA_003425585.1</t>
  </si>
  <si>
    <t>P636-8296</t>
  </si>
  <si>
    <t>https://ftp.ncbi.nlm.nih.gov/genomes/all/GCA/003/425/585/GCA_003425585.1_ASM342558v1</t>
  </si>
  <si>
    <t>GCA_003425605.1</t>
  </si>
  <si>
    <t>P676-2514</t>
  </si>
  <si>
    <t>https://ftp.ncbi.nlm.nih.gov/genomes/all/GCA/003/425/605/GCA_003425605.1_ASM342560v1</t>
  </si>
  <si>
    <t>GCA_003425625.1</t>
  </si>
  <si>
    <t>P672-7661</t>
  </si>
  <si>
    <t>https://ftp.ncbi.nlm.nih.gov/genomes/all/GCA/003/425/625/GCA_003425625.1_ASM342562v1</t>
  </si>
  <si>
    <t>GCA_003425645.1</t>
  </si>
  <si>
    <t>P665-7858</t>
  </si>
  <si>
    <t>https://ftp.ncbi.nlm.nih.gov/genomes/all/GCA/003/425/645/GCA_003425645.1_ASM342564v1</t>
  </si>
  <si>
    <t>GCA_003425715.1</t>
  </si>
  <si>
    <t>P617-9224</t>
  </si>
  <si>
    <t>https://ftp.ncbi.nlm.nih.gov/genomes/all/GCA/003/425/715/GCA_003425715.1_ASM342571v1</t>
  </si>
  <si>
    <t>GCA_003425765.1</t>
  </si>
  <si>
    <t>P595-8370</t>
  </si>
  <si>
    <t>https://ftp.ncbi.nlm.nih.gov/genomes/all/GCA/003/425/765/GCA_003425765.1_ASM342576v1</t>
  </si>
  <si>
    <t>GCA_003425775.1</t>
  </si>
  <si>
    <t>P15-077</t>
  </si>
  <si>
    <t>https://ftp.ncbi.nlm.nih.gov/genomes/all/GCA/003/425/775/GCA_003425775.1_ASM342577v1</t>
  </si>
  <si>
    <t>GCA_003425815.1</t>
  </si>
  <si>
    <t>P615-8618</t>
  </si>
  <si>
    <t>https://ftp.ncbi.nlm.nih.gov/genomes/all/GCA/003/425/815/GCA_003425815.1_ASM342581v1</t>
  </si>
  <si>
    <t>GCA_003425855.1</t>
  </si>
  <si>
    <t>P15-071</t>
  </si>
  <si>
    <t>https://ftp.ncbi.nlm.nih.gov/genomes/all/GCA/003/425/855/GCA_003425855.1_ASM342585v1</t>
  </si>
  <si>
    <t>GCA_003425935.1</t>
  </si>
  <si>
    <t>P641-4342</t>
  </si>
  <si>
    <t>https://ftp.ncbi.nlm.nih.gov/genomes/all/GCA/003/425/935/GCA_003425935.1_ASM342593v1</t>
  </si>
  <si>
    <t>GCA_003425955.1</t>
  </si>
  <si>
    <t>P662-7189</t>
  </si>
  <si>
    <t>https://ftp.ncbi.nlm.nih.gov/genomes/all/GCA/003/425/955/GCA_003425955.1_ASM342595v1</t>
  </si>
  <si>
    <t>GCA_003426225.1</t>
  </si>
  <si>
    <t>P15-014</t>
  </si>
  <si>
    <t>https://ftp.ncbi.nlm.nih.gov/genomes/all/GCA/003/426/225/GCA_003426225.1_ASM342622v1</t>
  </si>
  <si>
    <t>GCA_003426255.1</t>
  </si>
  <si>
    <t>P15-021</t>
  </si>
  <si>
    <t>https://ftp.ncbi.nlm.nih.gov/genomes/all/GCA/003/426/255/GCA_003426255.1_ASM342625v1</t>
  </si>
  <si>
    <t>GCA_003426585.1</t>
  </si>
  <si>
    <t>P16-029</t>
  </si>
  <si>
    <t>https://ftp.ncbi.nlm.nih.gov/genomes/all/GCA/003/426/585/GCA_003426585.1_ASM342658v1</t>
  </si>
  <si>
    <t>GCA_003426685.1</t>
  </si>
  <si>
    <t>P15-165</t>
  </si>
  <si>
    <t>https://ftp.ncbi.nlm.nih.gov/genomes/all/GCA/003/426/685/GCA_003426685.1_ASM342668v1</t>
  </si>
  <si>
    <t>GCA_003428395.1</t>
  </si>
  <si>
    <t>IDCC9203</t>
  </si>
  <si>
    <t>https://ftp.ncbi.nlm.nih.gov/genomes/all/GCA/003/428/395/GCA_003428395.1_ASM342839v1</t>
  </si>
  <si>
    <t>GCA_003433295.1</t>
  </si>
  <si>
    <t>HMT-673</t>
  </si>
  <si>
    <t>minuta</t>
  </si>
  <si>
    <t>ATCC 700079</t>
  </si>
  <si>
    <t>https://ftp.ncbi.nlm.nih.gov/genomes/all/GCA/003/433/295/GCA_003433295.1_ASM343329v1</t>
  </si>
  <si>
    <t>GCA_003433955.1</t>
  </si>
  <si>
    <t>OF01-3</t>
  </si>
  <si>
    <t>https://ftp.ncbi.nlm.nih.gov/genomes/all/GCA/003/433/955/GCA_003433955.1_ASM343395v1</t>
  </si>
  <si>
    <t>AM22-3LB</t>
  </si>
  <si>
    <t>https://ftp.ncbi.nlm.nih.gov/genomes/all/GCA/003/435/685/GCA_003435685.1_ASM343568v1</t>
  </si>
  <si>
    <t>GCA_003436905.1</t>
  </si>
  <si>
    <t>TF09-3AT</t>
  </si>
  <si>
    <t>https://ftp.ncbi.nlm.nih.gov/genomes/all/GCA/003/436/905/GCA_003436905.1_ASM343690v1</t>
  </si>
  <si>
    <t>GCA_003437975.1</t>
  </si>
  <si>
    <t>TF04-5-2</t>
  </si>
  <si>
    <t>https://ftp.ncbi.nlm.nih.gov/genomes/all/GCA/003/437/975/GCA_003437975.1_ASM343797v1</t>
  </si>
  <si>
    <t>GCA_003438095.1</t>
  </si>
  <si>
    <t>OM08-17AT</t>
  </si>
  <si>
    <t>https://ftp.ncbi.nlm.nih.gov/genomes/all/GCA/003/438/095/GCA_003438095.1_ASM343809v1</t>
  </si>
  <si>
    <t>GCA_003438185.1</t>
  </si>
  <si>
    <t>OM08-1</t>
  </si>
  <si>
    <t>https://ftp.ncbi.nlm.nih.gov/genomes/all/GCA/003/438/185/GCA_003438185.1_ASM343818v1</t>
  </si>
  <si>
    <t>GCA_003438245.1</t>
  </si>
  <si>
    <t>OM06-9</t>
  </si>
  <si>
    <t>https://ftp.ncbi.nlm.nih.gov/genomes/all/GCA/003/438/245/GCA_003438245.1_ASM343824v1</t>
  </si>
  <si>
    <t>OM06-2</t>
  </si>
  <si>
    <t>https://ftp.ncbi.nlm.nih.gov/genomes/all/GCA/003/438/305/GCA_003438305.1_ASM343830v1</t>
  </si>
  <si>
    <t>GCA_003439105.1</t>
  </si>
  <si>
    <t>OM04-6BH</t>
  </si>
  <si>
    <t>https://ftp.ncbi.nlm.nih.gov/genomes/all/GCA/003/439/105/GCA_003439105.1_ASM343910v1</t>
  </si>
  <si>
    <t>GCA_003443915.1</t>
  </si>
  <si>
    <t>MC1</t>
  </si>
  <si>
    <t>https://ftp.ncbi.nlm.nih.gov/genomes/all/GCA/003/443/915/GCA_003443915.1_ASM344391v1</t>
  </si>
  <si>
    <t>GCA_003443935.1</t>
  </si>
  <si>
    <t>MC5</t>
  </si>
  <si>
    <t>https://ftp.ncbi.nlm.nih.gov/genomes/all/GCA/003/443/935/GCA_003443935.1_ASM344393v1</t>
  </si>
  <si>
    <t>GCA_003443955.1</t>
  </si>
  <si>
    <t>MC6</t>
  </si>
  <si>
    <t>https://ftp.ncbi.nlm.nih.gov/genomes/all/GCA/003/443/955/GCA_003443955.1_ASM344395v1</t>
  </si>
  <si>
    <t>GCA_003443975.1</t>
  </si>
  <si>
    <t>MC8</t>
  </si>
  <si>
    <t>https://ftp.ncbi.nlm.nih.gov/genomes/all/GCA/003/443/975/GCA_003443975.1_ASM344397v1</t>
  </si>
  <si>
    <t>GCA_003454775.1</t>
  </si>
  <si>
    <t>KCOM 1037</t>
  </si>
  <si>
    <t>https://ftp.ncbi.nlm.nih.gov/genomes/all/GCA/003/454/775/GCA_003454775.1_ASM345477v1</t>
  </si>
  <si>
    <t>GCA_003458095.1</t>
  </si>
  <si>
    <t>M11360</t>
  </si>
  <si>
    <t>https://ftp.ncbi.nlm.nih.gov/genomes/all/GCA/003/458/095/GCA_003458095.1_ASM345809v1</t>
  </si>
  <si>
    <t>GCA_003459805.1</t>
  </si>
  <si>
    <t>AF18-46</t>
  </si>
  <si>
    <t>https://ftp.ncbi.nlm.nih.gov/genomes/all/GCA/003/459/805/GCA_003459805.1_ASM345980v1</t>
  </si>
  <si>
    <t>GCA_003460925.1</t>
  </si>
  <si>
    <t>AF26-25AA</t>
  </si>
  <si>
    <t>https://ftp.ncbi.nlm.nih.gov/genomes/all/GCA/003/460/925/GCA_003460925.1_ASM346092v1</t>
  </si>
  <si>
    <t>GCA_003461645.1</t>
  </si>
  <si>
    <t>AF14-19</t>
  </si>
  <si>
    <t>https://ftp.ncbi.nlm.nih.gov/genomes/all/GCA/003/461/645/GCA_003461645.1_ASM346164v1</t>
  </si>
  <si>
    <t>AM25-34</t>
  </si>
  <si>
    <t>https://ftp.ncbi.nlm.nih.gov/genomes/all/GCA/003/462/285/GCA_003462285.1_ASM346228v1</t>
  </si>
  <si>
    <t>GCA_003464005.1</t>
  </si>
  <si>
    <t>AM48-14BH</t>
  </si>
  <si>
    <t>https://ftp.ncbi.nlm.nih.gov/genomes/all/GCA/003/464/005/GCA_003464005.1_ASM346400v1</t>
  </si>
  <si>
    <t>AF12-7</t>
  </si>
  <si>
    <t>https://ftp.ncbi.nlm.nih.gov/genomes/all/GCA/003/464/965/GCA_003464965.1_ASM346496v1</t>
  </si>
  <si>
    <t>GCA_003465965.1</t>
  </si>
  <si>
    <t>AF04-47</t>
  </si>
  <si>
    <t>https://ftp.ncbi.nlm.nih.gov/genomes/all/GCA/003/465/965/GCA_003465965.1_ASM346596v1</t>
  </si>
  <si>
    <t>GCA_003466855.1</t>
  </si>
  <si>
    <t>AM44-1</t>
  </si>
  <si>
    <t>https://ftp.ncbi.nlm.nih.gov/genomes/all/GCA/003/466/855/GCA_003466855.1_ASM346685v1</t>
  </si>
  <si>
    <t>AM42-1</t>
  </si>
  <si>
    <t>https://ftp.ncbi.nlm.nih.gov/genomes/all/GCA/003/468/065/GCA_003468065.1_ASM346806v1</t>
  </si>
  <si>
    <t>AM31-10</t>
  </si>
  <si>
    <t>https://ftp.ncbi.nlm.nih.gov/genomes/all/GCA/003/469/295/GCA_003469295.1_ASM346929v1</t>
  </si>
  <si>
    <t>AM27-45</t>
  </si>
  <si>
    <t>https://ftp.ncbi.nlm.nih.gov/genomes/all/GCA/003/469/565/GCA_003469565.1_ASM346956v1</t>
  </si>
  <si>
    <t>GCA_003469915.1</t>
  </si>
  <si>
    <t>AM27-4</t>
  </si>
  <si>
    <t>https://ftp.ncbi.nlm.nih.gov/genomes/all/GCA/003/469/915/GCA_003469915.1_ASM346991v1</t>
  </si>
  <si>
    <t>GCA_003470225.1</t>
  </si>
  <si>
    <t>AM25-21AC</t>
  </si>
  <si>
    <t>https://ftp.ncbi.nlm.nih.gov/genomes/all/GCA/003/470/225/GCA_003470225.1_ASM347022v1</t>
  </si>
  <si>
    <t>merdae</t>
  </si>
  <si>
    <t>AM16-50</t>
  </si>
  <si>
    <t>https://ftp.ncbi.nlm.nih.gov/genomes/all/GCA/003/470/675/GCA_003470675.1_ASM347067v1</t>
  </si>
  <si>
    <t>AM17-44</t>
  </si>
  <si>
    <t>https://ftp.ncbi.nlm.nih.gov/genomes/all/GCA/003/471/645/GCA_003471645.1_ASM347164v1</t>
  </si>
  <si>
    <t>GCA_003474105.1</t>
  </si>
  <si>
    <t>AF42-16</t>
  </si>
  <si>
    <t>https://ftp.ncbi.nlm.nih.gov/genomes/all/GCA/003/474/105/GCA_003474105.1_ASM347410v1</t>
  </si>
  <si>
    <t>AF39-11</t>
  </si>
  <si>
    <t>https://ftp.ncbi.nlm.nih.gov/genomes/all/GCA/003/474/305/GCA_003474305.1_ASM347430v1</t>
  </si>
  <si>
    <t>AF39-5AC</t>
  </si>
  <si>
    <t>https://ftp.ncbi.nlm.nih.gov/genomes/all/GCA/003/474/535/GCA_003474535.1_ASM347453v1</t>
  </si>
  <si>
    <t>GCA_003474615.1</t>
  </si>
  <si>
    <t>AF38-24</t>
  </si>
  <si>
    <t>https://ftp.ncbi.nlm.nih.gov/genomes/all/GCA/003/474/615/GCA_003474615.1_ASM347461v1</t>
  </si>
  <si>
    <t>GCA_003474825.1</t>
  </si>
  <si>
    <t>AF36-15BH</t>
  </si>
  <si>
    <t>https://ftp.ncbi.nlm.nih.gov/genomes/all/GCA/003/474/825/GCA_003474825.1_ASM347482v1</t>
  </si>
  <si>
    <t>GCA_003490235.1</t>
  </si>
  <si>
    <t>M19140</t>
  </si>
  <si>
    <t>https://ftp.ncbi.nlm.nih.gov/genomes/all/GCA/003/490/235/GCA_003490235.1_ASM349023v1</t>
  </si>
  <si>
    <t>GCA_003490305.1</t>
  </si>
  <si>
    <t>M19155</t>
  </si>
  <si>
    <t>https://ftp.ncbi.nlm.nih.gov/genomes/all/GCA/003/490/305/GCA_003490305.1_ASM349030v1</t>
  </si>
  <si>
    <t>GCA_003490485.1</t>
  </si>
  <si>
    <t>M26173</t>
  </si>
  <si>
    <t>https://ftp.ncbi.nlm.nih.gov/genomes/all/GCA/003/490/485/GCA_003490485.1_ASM349048v1</t>
  </si>
  <si>
    <t>GCA_003490595.1</t>
  </si>
  <si>
    <t>M19079</t>
  </si>
  <si>
    <t>https://ftp.ncbi.nlm.nih.gov/genomes/all/GCA/003/490/595/GCA_003490595.1_ASM349059v1</t>
  </si>
  <si>
    <t>GCA_003490655.1</t>
  </si>
  <si>
    <t>M26156</t>
  </si>
  <si>
    <t>https://ftp.ncbi.nlm.nih.gov/genomes/all/GCA/003/490/655/GCA_003490655.1_ASM349065v1</t>
  </si>
  <si>
    <t>GCA_003490865.1</t>
  </si>
  <si>
    <t>M22154</t>
  </si>
  <si>
    <t>https://ftp.ncbi.nlm.nih.gov/genomes/all/GCA/003/490/865/GCA_003490865.1_ASM349086v1</t>
  </si>
  <si>
    <t>GCA_003490935.1</t>
  </si>
  <si>
    <t>M19099</t>
  </si>
  <si>
    <t>https://ftp.ncbi.nlm.nih.gov/genomes/all/GCA/003/490/935/GCA_003490935.1_ASM349093v1</t>
  </si>
  <si>
    <t>GCA_003491025.1</t>
  </si>
  <si>
    <t>M19164</t>
  </si>
  <si>
    <t>https://ftp.ncbi.nlm.nih.gov/genomes/all/GCA/003/491/025/GCA_003491025.1_ASM349102v1</t>
  </si>
  <si>
    <t>GCA_003491325.1</t>
  </si>
  <si>
    <t>M0911</t>
  </si>
  <si>
    <t>https://ftp.ncbi.nlm.nih.gov/genomes/all/GCA/003/491/325/GCA_003491325.1_ASM349132v1</t>
  </si>
  <si>
    <t>GCA_003492145.1</t>
  </si>
  <si>
    <t>M37142</t>
  </si>
  <si>
    <t>https://ftp.ncbi.nlm.nih.gov/genomes/all/GCA/003/492/145/GCA_003492145.1_ASM349214v1</t>
  </si>
  <si>
    <t>GCA_003492155.1</t>
  </si>
  <si>
    <t>M37110</t>
  </si>
  <si>
    <t>https://ftp.ncbi.nlm.nih.gov/genomes/all/GCA/003/492/155/GCA_003492155.1_ASM349215v1</t>
  </si>
  <si>
    <t>GCA_003492195.1</t>
  </si>
  <si>
    <t>M37058</t>
  </si>
  <si>
    <t>https://ftp.ncbi.nlm.nih.gov/genomes/all/GCA/003/492/195/GCA_003492195.1_ASM349219v1</t>
  </si>
  <si>
    <t>GCA_003492345.1</t>
  </si>
  <si>
    <t>M37073</t>
  </si>
  <si>
    <t>https://ftp.ncbi.nlm.nih.gov/genomes/all/GCA/003/492/345/GCA_003492345.1_ASM349234v1</t>
  </si>
  <si>
    <t>GCA_003492365.1</t>
  </si>
  <si>
    <t>M19197</t>
  </si>
  <si>
    <t>https://ftp.ncbi.nlm.nih.gov/genomes/all/GCA/003/492/365/GCA_003492365.1_ASM349236v1</t>
  </si>
  <si>
    <t>GCA_003492385.1</t>
  </si>
  <si>
    <t>M37155</t>
  </si>
  <si>
    <t>https://ftp.ncbi.nlm.nih.gov/genomes/all/GCA/003/492/385/GCA_003492385.1_ASM349238v1</t>
  </si>
  <si>
    <t>GCA_003492425.1</t>
  </si>
  <si>
    <t>M37130</t>
  </si>
  <si>
    <t>https://ftp.ncbi.nlm.nih.gov/genomes/all/GCA/003/492/425/GCA_003492425.1_ASM349242v1</t>
  </si>
  <si>
    <t>GCA_003492465.1</t>
  </si>
  <si>
    <t>M37094</t>
  </si>
  <si>
    <t>https://ftp.ncbi.nlm.nih.gov/genomes/all/GCA/003/492/465/GCA_003492465.1_ASM349246v1</t>
  </si>
  <si>
    <t>GCA_003492555.1</t>
  </si>
  <si>
    <t>M37157</t>
  </si>
  <si>
    <t>https://ftp.ncbi.nlm.nih.gov/genomes/all/GCA/003/492/555/GCA_003492555.1_ASM349255v1</t>
  </si>
  <si>
    <t>GCA_003492625.1</t>
  </si>
  <si>
    <t>M37137</t>
  </si>
  <si>
    <t>https://ftp.ncbi.nlm.nih.gov/genomes/all/GCA/003/492/625/GCA_003492625.1_ASM349262v1</t>
  </si>
  <si>
    <t>GCA_003492745.1</t>
  </si>
  <si>
    <t>M26166</t>
  </si>
  <si>
    <t>https://ftp.ncbi.nlm.nih.gov/genomes/all/GCA/003/492/745/GCA_003492745.1_ASM349274v1</t>
  </si>
  <si>
    <t>GCA_003492765.1</t>
  </si>
  <si>
    <t>M37078</t>
  </si>
  <si>
    <t>https://ftp.ncbi.nlm.nih.gov/genomes/all/GCA/003/492/765/GCA_003492765.1_ASM349276v1</t>
  </si>
  <si>
    <t>GCA_003492775.1</t>
  </si>
  <si>
    <t>M37136</t>
  </si>
  <si>
    <t>https://ftp.ncbi.nlm.nih.gov/genomes/all/GCA/003/492/775/GCA_003492775.1_ASM349277v1</t>
  </si>
  <si>
    <t>GCA_003492845.1</t>
  </si>
  <si>
    <t>M37131</t>
  </si>
  <si>
    <t>https://ftp.ncbi.nlm.nih.gov/genomes/all/GCA/003/492/845/GCA_003492845.1_ASM349284v1</t>
  </si>
  <si>
    <t>GCA_003492865.1</t>
  </si>
  <si>
    <t>M37101</t>
  </si>
  <si>
    <t>https://ftp.ncbi.nlm.nih.gov/genomes/all/GCA/003/492/865/GCA_003492865.1_ASM349286v1</t>
  </si>
  <si>
    <t>GCA_003492955.1</t>
  </si>
  <si>
    <t>M37119</t>
  </si>
  <si>
    <t>https://ftp.ncbi.nlm.nih.gov/genomes/all/GCA/003/492/955/GCA_003492955.1_ASM349295v1</t>
  </si>
  <si>
    <t>GCA_003493045.1</t>
  </si>
  <si>
    <t>M37107</t>
  </si>
  <si>
    <t>https://ftp.ncbi.nlm.nih.gov/genomes/all/GCA/003/493/045/GCA_003493045.1_ASM349304v1</t>
  </si>
  <si>
    <t>GCA_003493185.1</t>
  </si>
  <si>
    <t>M37132</t>
  </si>
  <si>
    <t>https://ftp.ncbi.nlm.nih.gov/genomes/all/GCA/003/493/185/GCA_003493185.1_ASM349318v1</t>
  </si>
  <si>
    <t>GCA_003493215.1</t>
  </si>
  <si>
    <t>M37079</t>
  </si>
  <si>
    <t>https://ftp.ncbi.nlm.nih.gov/genomes/all/GCA/003/493/215/GCA_003493215.1_ASM349321v1</t>
  </si>
  <si>
    <t>GCA_003493245.1</t>
  </si>
  <si>
    <t>M26174</t>
  </si>
  <si>
    <t>https://ftp.ncbi.nlm.nih.gov/genomes/all/GCA/003/493/245/GCA_003493245.1_ASM349324v1</t>
  </si>
  <si>
    <t>GCA_003493365.1</t>
  </si>
  <si>
    <t>M19122</t>
  </si>
  <si>
    <t>https://ftp.ncbi.nlm.nih.gov/genomes/all/GCA/003/493/365/GCA_003493365.1_ASM349336v1</t>
  </si>
  <si>
    <t>GCA_003493465.1</t>
  </si>
  <si>
    <t>M25342</t>
  </si>
  <si>
    <t>https://ftp.ncbi.nlm.nih.gov/genomes/all/GCA/003/493/465/GCA_003493465.1_ASM349346v1</t>
  </si>
  <si>
    <t>GCA_003493485.1</t>
  </si>
  <si>
    <t>M23174</t>
  </si>
  <si>
    <t>https://ftp.ncbi.nlm.nih.gov/genomes/all/GCA/003/493/485/GCA_003493485.1_ASM349348v1</t>
  </si>
  <si>
    <t>GCA_003493545.1</t>
  </si>
  <si>
    <t>M26176</t>
  </si>
  <si>
    <t>https://ftp.ncbi.nlm.nih.gov/genomes/all/GCA/003/493/545/GCA_003493545.1_ASM349354v1</t>
  </si>
  <si>
    <t>GCA_003493605.1</t>
  </si>
  <si>
    <t>M19187</t>
  </si>
  <si>
    <t>https://ftp.ncbi.nlm.nih.gov/genomes/all/GCA/003/493/605/GCA_003493605.1_ASM349360v1</t>
  </si>
  <si>
    <t>GCA_003493685.1</t>
  </si>
  <si>
    <t>M26161</t>
  </si>
  <si>
    <t>https://ftp.ncbi.nlm.nih.gov/genomes/all/GCA/003/493/685/GCA_003493685.1_ASM349368v1</t>
  </si>
  <si>
    <t>GCA_003493855.1</t>
  </si>
  <si>
    <t>M37146</t>
  </si>
  <si>
    <t>https://ftp.ncbi.nlm.nih.gov/genomes/all/GCA/003/493/855/GCA_003493855.1_ASM349385v1</t>
  </si>
  <si>
    <t>GCA_003493965.1</t>
  </si>
  <si>
    <t>M19071</t>
  </si>
  <si>
    <t>https://ftp.ncbi.nlm.nih.gov/genomes/all/GCA/003/493/965/GCA_003493965.1_ASM349396v1</t>
  </si>
  <si>
    <t>GCA_003494075.1</t>
  </si>
  <si>
    <t>M19201</t>
  </si>
  <si>
    <t>https://ftp.ncbi.nlm.nih.gov/genomes/all/GCA/003/494/075/GCA_003494075.1_ASM349407v1</t>
  </si>
  <si>
    <t>GCA_003494105.1</t>
  </si>
  <si>
    <t>M26157</t>
  </si>
  <si>
    <t>https://ftp.ncbi.nlm.nih.gov/genomes/all/GCA/003/494/105/GCA_003494105.1_ASM349410v1</t>
  </si>
  <si>
    <t>GCA_003494195.1</t>
  </si>
  <si>
    <t>M19135</t>
  </si>
  <si>
    <t>https://ftp.ncbi.nlm.nih.gov/genomes/all/GCA/003/494/195/GCA_003494195.1_ASM349419v1</t>
  </si>
  <si>
    <t>GCA_003494265.1</t>
  </si>
  <si>
    <t>M19528</t>
  </si>
  <si>
    <t>https://ftp.ncbi.nlm.nih.gov/genomes/all/GCA/003/494/265/GCA_003494265.1_ASM349426v1</t>
  </si>
  <si>
    <t>GCA_003494285.1</t>
  </si>
  <si>
    <t>M19080</t>
  </si>
  <si>
    <t>https://ftp.ncbi.nlm.nih.gov/genomes/all/GCA/003/494/285/GCA_003494285.1_ASM349428v1</t>
  </si>
  <si>
    <t>GCA_003494485.1</t>
  </si>
  <si>
    <t>M26160</t>
  </si>
  <si>
    <t>https://ftp.ncbi.nlm.nih.gov/genomes/all/GCA/003/494/485/GCA_003494485.1_ASM349448v1</t>
  </si>
  <si>
    <t>GCA_003494525.1</t>
  </si>
  <si>
    <t>M26164</t>
  </si>
  <si>
    <t>https://ftp.ncbi.nlm.nih.gov/genomes/all/GCA/003/494/525/GCA_003494525.1_ASM349452v1</t>
  </si>
  <si>
    <t>GCA_003494545.1</t>
  </si>
  <si>
    <t>M28908</t>
  </si>
  <si>
    <t>https://ftp.ncbi.nlm.nih.gov/genomes/all/GCA/003/494/545/GCA_003494545.1_ASM349454v1</t>
  </si>
  <si>
    <t>GCA_003494635.1</t>
  </si>
  <si>
    <t>M11818</t>
  </si>
  <si>
    <t>https://ftp.ncbi.nlm.nih.gov/genomes/all/GCA/003/494/635/GCA_003494635.1_ASM349463v1</t>
  </si>
  <si>
    <t>GCA_003494655.1</t>
  </si>
  <si>
    <t>M19161</t>
  </si>
  <si>
    <t>https://ftp.ncbi.nlm.nih.gov/genomes/all/GCA/003/494/655/GCA_003494655.1_ASM349465v1</t>
  </si>
  <si>
    <t>GCA_003494695.1</t>
  </si>
  <si>
    <t>M19066</t>
  </si>
  <si>
    <t>https://ftp.ncbi.nlm.nih.gov/genomes/all/GCA/003/494/695/GCA_003494695.1_ASM349469v1</t>
  </si>
  <si>
    <t>GCA_003495225.1</t>
  </si>
  <si>
    <t>M38962</t>
  </si>
  <si>
    <t>https://ftp.ncbi.nlm.nih.gov/genomes/all/GCA/003/495/225/GCA_003495225.1_ASM349522v1</t>
  </si>
  <si>
    <t>GCA_003495405.1</t>
  </si>
  <si>
    <t>M37179</t>
  </si>
  <si>
    <t>https://ftp.ncbi.nlm.nih.gov/genomes/all/GCA/003/495/405/GCA_003495405.1_ASM349540v1</t>
  </si>
  <si>
    <t>GCA_003495565.1</t>
  </si>
  <si>
    <t>M37177</t>
  </si>
  <si>
    <t>https://ftp.ncbi.nlm.nih.gov/genomes/all/GCA/003/495/565/GCA_003495565.1_ASM349556v1</t>
  </si>
  <si>
    <t>GCA_003495575.1</t>
  </si>
  <si>
    <t>M37164</t>
  </si>
  <si>
    <t>https://ftp.ncbi.nlm.nih.gov/genomes/all/GCA/003/495/575/GCA_003495575.1_ASM349557v1</t>
  </si>
  <si>
    <t>GCA_003495835.1</t>
  </si>
  <si>
    <t>M37163</t>
  </si>
  <si>
    <t>https://ftp.ncbi.nlm.nih.gov/genomes/all/GCA/003/495/835/GCA_003495835.1_ASM349583v1</t>
  </si>
  <si>
    <t>GCA_003496195.1</t>
  </si>
  <si>
    <t>M37167</t>
  </si>
  <si>
    <t>https://ftp.ncbi.nlm.nih.gov/genomes/all/GCA/003/496/195/GCA_003496195.1_ASM349619v1</t>
  </si>
  <si>
    <t>GCA_003496425.1</t>
  </si>
  <si>
    <t>M37140</t>
  </si>
  <si>
    <t>https://ftp.ncbi.nlm.nih.gov/genomes/all/GCA/003/496/425/GCA_003496425.1_ASM349642v1</t>
  </si>
  <si>
    <t>GCA_003496485.1</t>
  </si>
  <si>
    <t>M37084</t>
  </si>
  <si>
    <t>https://ftp.ncbi.nlm.nih.gov/genomes/all/GCA/003/496/485/GCA_003496485.1_ASM349648v1</t>
  </si>
  <si>
    <t>GCA_003496665.1</t>
  </si>
  <si>
    <t>M17105</t>
  </si>
  <si>
    <t>https://ftp.ncbi.nlm.nih.gov/genomes/all/GCA/003/496/665/GCA_003496665.1_ASM349666v1</t>
  </si>
  <si>
    <t>GCA_003514485.1</t>
  </si>
  <si>
    <t>UBA8864</t>
  </si>
  <si>
    <t>https://ftp.ncbi.nlm.nih.gov/genomes/all/GCA/003/514/485/GCA_003514485.1_ASM351448v1</t>
  </si>
  <si>
    <t>KCOM 1525</t>
  </si>
  <si>
    <t>https://ftp.ncbi.nlm.nih.gov/genomes/all/GCA/003/515/045/GCA_003515045.1_ASM351504v1</t>
  </si>
  <si>
    <t>GCA_003516125.3</t>
  </si>
  <si>
    <t>CS-931</t>
  </si>
  <si>
    <t>https://ftp.ncbi.nlm.nih.gov/genomes/all/GCA/003/516/125/GCA_003516125.3_ASM351612v3</t>
  </si>
  <si>
    <t>GCA_003516445.1</t>
  </si>
  <si>
    <t>UBA8871</t>
  </si>
  <si>
    <t>https://ftp.ncbi.nlm.nih.gov/genomes/all/GCA/003/516/445/GCA_003516445.1_ASM351644v1</t>
  </si>
  <si>
    <t>GCA_003522455.1</t>
  </si>
  <si>
    <t>UBA10739</t>
  </si>
  <si>
    <t>https://ftp.ncbi.nlm.nih.gov/genomes/all/GCA/003/522/455/GCA_003522455.1_ASM352245v1</t>
  </si>
  <si>
    <t>GCA_003538675.1</t>
  </si>
  <si>
    <t>UBA8850</t>
  </si>
  <si>
    <t>https://ftp.ncbi.nlm.nih.gov/genomes/all/GCA/003/538/675/GCA_003538675.1_ASM353867v1</t>
  </si>
  <si>
    <t>GCA_003546465.1</t>
  </si>
  <si>
    <t>https://ftp.ncbi.nlm.nih.gov/genomes/all/GCA/003/546/465/GCA_003546465.1_ASM354646v1</t>
  </si>
  <si>
    <t>GCA_003546885.1</t>
  </si>
  <si>
    <t>FDAARGOS_327</t>
  </si>
  <si>
    <t>https://ftp.ncbi.nlm.nih.gov/genomes/all/GCA/003/546/885/GCA_003546885.1_ASM354688v1</t>
  </si>
  <si>
    <t>GCA_003570845.1</t>
  </si>
  <si>
    <t>KCOM 1685</t>
  </si>
  <si>
    <t>https://ftp.ncbi.nlm.nih.gov/genomes/all/GCA/003/570/845/GCA_003570845.1_ASM357084v1</t>
  </si>
  <si>
    <t>GCA_003570855.1</t>
  </si>
  <si>
    <t>KCOM 1039</t>
  </si>
  <si>
    <t>https://ftp.ncbi.nlm.nih.gov/genomes/all/GCA/003/570/855/GCA_003570855.1_ASM357085v1</t>
  </si>
  <si>
    <t>GCA_003571725.1</t>
  </si>
  <si>
    <t>https://ftp.ncbi.nlm.nih.gov/genomes/all/GCA/003/571/725/GCA_003571725.1_ASM357172v1</t>
  </si>
  <si>
    <t>GCA_003578345.1</t>
  </si>
  <si>
    <t>SNUC 4023</t>
  </si>
  <si>
    <t>https://ftp.ncbi.nlm.nih.gov/genomes/all/GCA/003/578/345/GCA_003578345.1_ASM357834v1</t>
  </si>
  <si>
    <t>GCA_003578595.1</t>
  </si>
  <si>
    <t>SNUC 1319</t>
  </si>
  <si>
    <t>https://ftp.ncbi.nlm.nih.gov/genomes/all/GCA/003/578/595/GCA_003578595.1_ASM357859v1</t>
  </si>
  <si>
    <t>GCA_003584215.1</t>
  </si>
  <si>
    <t>KHUD_VP2</t>
  </si>
  <si>
    <t>https://ftp.ncbi.nlm.nih.gov/genomes/all/GCA/003/584/215/GCA_003584215.1_ASM358421v1</t>
  </si>
  <si>
    <t>GCA_003584725.1</t>
  </si>
  <si>
    <t>Kyoto-2</t>
  </si>
  <si>
    <t>https://ftp.ncbi.nlm.nih.gov/genomes/all/GCA/003/584/725/GCA_003584725.1_ASM358472v1</t>
  </si>
  <si>
    <t>GCA_003589745.1</t>
  </si>
  <si>
    <t>DSM 23576 = CCUG 58757</t>
  </si>
  <si>
    <t>https://ftp.ncbi.nlm.nih.gov/genomes/all/GCA/003/589/745/GCA_003589745.1_ASM358974v1</t>
  </si>
  <si>
    <t>GCA_003596365.3</t>
  </si>
  <si>
    <t>VB19458</t>
  </si>
  <si>
    <t>https://ftp.ncbi.nlm.nih.gov/genomes/all/GCA/003/596/365/GCA_003596365.3_ASM359636v3</t>
  </si>
  <si>
    <t>GCA_003598195.1</t>
  </si>
  <si>
    <t>Spain939</t>
  </si>
  <si>
    <t>https://ftp.ncbi.nlm.nih.gov/genomes/all/GCA/003/598/195/GCA_003598195.1_ASM359819v1</t>
  </si>
  <si>
    <t>GCA_003598205.1</t>
  </si>
  <si>
    <t>Spain3473</t>
  </si>
  <si>
    <t>https://ftp.ncbi.nlm.nih.gov/genomes/all/GCA/003/598/205/GCA_003598205.1_ASM359820v1</t>
  </si>
  <si>
    <t>GCA_003598235.1</t>
  </si>
  <si>
    <t>EL2652N1</t>
  </si>
  <si>
    <t>https://ftp.ncbi.nlm.nih.gov/genomes/all/GCA/003/598/235/GCA_003598235.1_ASM359823v1</t>
  </si>
  <si>
    <t>GCA_003599935.1</t>
  </si>
  <si>
    <t>Spain9880</t>
  </si>
  <si>
    <t>https://ftp.ncbi.nlm.nih.gov/genomes/all/GCA/003/599/935/GCA_003599935.1_ASM359993v1</t>
  </si>
  <si>
    <t>GCA_003602765.1</t>
  </si>
  <si>
    <t>AF36-20BH</t>
  </si>
  <si>
    <t>https://ftp.ncbi.nlm.nih.gov/genomes/all/GCA/003/602/765/GCA_003602765.1_ASM360276v1</t>
  </si>
  <si>
    <t>GCA_003603295.1</t>
  </si>
  <si>
    <t>AF13-2</t>
  </si>
  <si>
    <t>https://ftp.ncbi.nlm.nih.gov/genomes/all/GCA/003/603/295/GCA_003603295.1_ASM360329v1</t>
  </si>
  <si>
    <t>GCA_003603405.1</t>
  </si>
  <si>
    <t>AM43-2AT</t>
  </si>
  <si>
    <t>https://ftp.ncbi.nlm.nih.gov/genomes/all/GCA/003/603/405/GCA_003603405.1_ASM360340v1</t>
  </si>
  <si>
    <t>GCA_003603595.1</t>
  </si>
  <si>
    <t>AM28-20</t>
  </si>
  <si>
    <t>https://ftp.ncbi.nlm.nih.gov/genomes/all/GCA/003/603/595/GCA_003603595.1_ASM360359v1</t>
  </si>
  <si>
    <t>GCA_003605455.1</t>
  </si>
  <si>
    <t>Spain2270</t>
  </si>
  <si>
    <t>https://ftp.ncbi.nlm.nih.gov/genomes/all/GCA/003/605/455/GCA_003605455.1_ASM360545v1</t>
  </si>
  <si>
    <t>GCA_003605975.1</t>
  </si>
  <si>
    <t>KHUD_V1</t>
  </si>
  <si>
    <t>https://ftp.ncbi.nlm.nih.gov/genomes/all/GCA/003/605/975/GCA_003605975.1_ASM360597v1</t>
  </si>
  <si>
    <t>GAI 07411</t>
  </si>
  <si>
    <t>https://ftp.ncbi.nlm.nih.gov/genomes/all/GCA/003/609/775/GCA_003609775.1_ASM360977v1</t>
  </si>
  <si>
    <t>GCA_003612915.1</t>
  </si>
  <si>
    <t>CCUG 32053</t>
  </si>
  <si>
    <t>https://ftp.ncbi.nlm.nih.gov/genomes/all/GCA/003/612/915/GCA_003612915.1_ASM361291v1</t>
  </si>
  <si>
    <t>GCA_003625535.1</t>
  </si>
  <si>
    <t>COPD_M127</t>
  </si>
  <si>
    <t>https://ftp.ncbi.nlm.nih.gov/genomes/all/GCA/003/625/535/GCA_003625535.1_ASM362553v1</t>
  </si>
  <si>
    <t>GCA_003625545.1</t>
  </si>
  <si>
    <t>COPD_M118</t>
  </si>
  <si>
    <t>https://ftp.ncbi.nlm.nih.gov/genomes/all/GCA/003/625/545/GCA_003625545.1_ASM362554v1</t>
  </si>
  <si>
    <t>GCA_003625605.1</t>
  </si>
  <si>
    <t>COPD_M100</t>
  </si>
  <si>
    <t>https://ftp.ncbi.nlm.nih.gov/genomes/all/GCA/003/625/605/GCA_003625605.1_ASM362560v1</t>
  </si>
  <si>
    <t>GCA_003625615.1</t>
  </si>
  <si>
    <t>COPD_M97</t>
  </si>
  <si>
    <t>https://ftp.ncbi.nlm.nih.gov/genomes/all/GCA/003/625/615/GCA_003625615.1_ASM362561v1</t>
  </si>
  <si>
    <t>GCA_003625665.1</t>
  </si>
  <si>
    <t>COPD_M70</t>
  </si>
  <si>
    <t>https://ftp.ncbi.nlm.nih.gov/genomes/all/GCA/003/625/665/GCA_003625665.1_ASM362566v1</t>
  </si>
  <si>
    <t>GCA_003625775.1</t>
  </si>
  <si>
    <t>COPD_M19</t>
  </si>
  <si>
    <t>https://ftp.ncbi.nlm.nih.gov/genomes/all/GCA/003/625/775/GCA_003625775.1_ASM362577v1</t>
  </si>
  <si>
    <t>GCA_003625785.1</t>
  </si>
  <si>
    <t>COPD_M16</t>
  </si>
  <si>
    <t>https://ftp.ncbi.nlm.nih.gov/genomes/all/GCA/003/625/785/GCA_003625785.1_ASM362578v1</t>
  </si>
  <si>
    <t>GCA_003625805.1</t>
  </si>
  <si>
    <t>COPD_M10</t>
  </si>
  <si>
    <t>https://ftp.ncbi.nlm.nih.gov/genomes/all/GCA/003/625/805/GCA_003625805.1_ASM362580v1</t>
  </si>
  <si>
    <t>GCA_003625895.1</t>
  </si>
  <si>
    <t>COPD_M1</t>
  </si>
  <si>
    <t>https://ftp.ncbi.nlm.nih.gov/genomes/all/GCA/003/625/895/GCA_003625895.1_ASM362589v1</t>
  </si>
  <si>
    <t>GCA_003625935.1</t>
  </si>
  <si>
    <t>COPD_M130</t>
  </si>
  <si>
    <t>https://ftp.ncbi.nlm.nih.gov/genomes/all/GCA/003/625/935/GCA_003625935.1_ASM362593v1</t>
  </si>
  <si>
    <t>GCA_003626005.1</t>
  </si>
  <si>
    <t>COPD_M112</t>
  </si>
  <si>
    <t>https://ftp.ncbi.nlm.nih.gov/genomes/all/GCA/003/626/005/GCA_003626005.1_ASM362600v1</t>
  </si>
  <si>
    <t>GCA_003626055.1</t>
  </si>
  <si>
    <t>COPD_M106</t>
  </si>
  <si>
    <t>https://ftp.ncbi.nlm.nih.gov/genomes/all/GCA/003/626/055/GCA_003626055.1_ASM362605v1</t>
  </si>
  <si>
    <t>GCA_003626105.1</t>
  </si>
  <si>
    <t>COPD_M85</t>
  </si>
  <si>
    <t>https://ftp.ncbi.nlm.nih.gov/genomes/all/GCA/003/626/105/GCA_003626105.1_ASM362610v1</t>
  </si>
  <si>
    <t>GCA_003626115.1</t>
  </si>
  <si>
    <t>COPD_M88</t>
  </si>
  <si>
    <t>https://ftp.ncbi.nlm.nih.gov/genomes/all/GCA/003/626/115/GCA_003626115.1_ASM362611v1</t>
  </si>
  <si>
    <t>GCA_003626155.1</t>
  </si>
  <si>
    <t>COPD_M82</t>
  </si>
  <si>
    <t>https://ftp.ncbi.nlm.nih.gov/genomes/all/GCA/003/626/155/GCA_003626155.1_ASM362615v1</t>
  </si>
  <si>
    <t>GCA_003626185.1</t>
  </si>
  <si>
    <t>COPD_M76</t>
  </si>
  <si>
    <t>https://ftp.ncbi.nlm.nih.gov/genomes/all/GCA/003/626/185/GCA_003626185.1_ASM362618v1</t>
  </si>
  <si>
    <t>GCA_003626215.1</t>
  </si>
  <si>
    <t>COPD_M73</t>
  </si>
  <si>
    <t>https://ftp.ncbi.nlm.nih.gov/genomes/all/GCA/003/626/215/GCA_003626215.1_ASM362621v1</t>
  </si>
  <si>
    <t>GCA_003626235.1</t>
  </si>
  <si>
    <t>COPD_M67</t>
  </si>
  <si>
    <t>https://ftp.ncbi.nlm.nih.gov/genomes/all/GCA/003/626/235/GCA_003626235.1_ASM362623v1</t>
  </si>
  <si>
    <t>GCA_003626305.1</t>
  </si>
  <si>
    <t>COPD_M52</t>
  </si>
  <si>
    <t>https://ftp.ncbi.nlm.nih.gov/genomes/all/GCA/003/626/305/GCA_003626305.1_ASM362630v1</t>
  </si>
  <si>
    <t>GCA_003626335.1</t>
  </si>
  <si>
    <t>COPD_M49</t>
  </si>
  <si>
    <t>https://ftp.ncbi.nlm.nih.gov/genomes/all/GCA/003/626/335/GCA_003626335.1_ASM362633v1</t>
  </si>
  <si>
    <t>GCA_003626355.1</t>
  </si>
  <si>
    <t>COPD_M47</t>
  </si>
  <si>
    <t>https://ftp.ncbi.nlm.nih.gov/genomes/all/GCA/003/626/355/GCA_003626355.1_ASM362635v1</t>
  </si>
  <si>
    <t>GCA_003626375.1</t>
  </si>
  <si>
    <t>COPD_M46</t>
  </si>
  <si>
    <t>https://ftp.ncbi.nlm.nih.gov/genomes/all/GCA/003/626/375/GCA_003626375.1_ASM362637v1</t>
  </si>
  <si>
    <t>GCA_003626415.1</t>
  </si>
  <si>
    <t>COPD_M40</t>
  </si>
  <si>
    <t>https://ftp.ncbi.nlm.nih.gov/genomes/all/GCA/003/626/415/GCA_003626415.1_ASM362641v1</t>
  </si>
  <si>
    <t>GCA_003627135.1</t>
  </si>
  <si>
    <t>JS71</t>
  </si>
  <si>
    <t>https://ftp.ncbi.nlm.nih.gov/genomes/all/GCA/003/627/135/GCA_003627135.1_ASM362713v1</t>
  </si>
  <si>
    <t>GCA_003627295.1</t>
  </si>
  <si>
    <t>ZFM222</t>
  </si>
  <si>
    <t>https://ftp.ncbi.nlm.nih.gov/genomes/all/GCA/003/627/295/GCA_003627295.1_ASM362729v1</t>
  </si>
  <si>
    <t>GCA_003627355.1</t>
  </si>
  <si>
    <t>ZFM4</t>
  </si>
  <si>
    <t>https://ftp.ncbi.nlm.nih.gov/genomes/all/GCA/003/627/355/GCA_003627355.1_ASM362735v1</t>
  </si>
  <si>
    <t>GCA_003634765.1</t>
  </si>
  <si>
    <t>AG790</t>
  </si>
  <si>
    <t>https://ftp.ncbi.nlm.nih.gov/genomes/all/GCA/003/634/765/GCA_003634765.1_ASM363476v1</t>
  </si>
  <si>
    <t>bin_23</t>
  </si>
  <si>
    <t>https://ftp.ncbi.nlm.nih.gov/genomes/all/GCA/003/638/725/GCA_003638725.1_ASM363872v1</t>
  </si>
  <si>
    <t>bin_1</t>
  </si>
  <si>
    <t>https://ftp.ncbi.nlm.nih.gov/genomes/all/GCA/003/639/045/GCA_003639045.1_ASM363904v1</t>
  </si>
  <si>
    <t>GCA_003640305.1</t>
  </si>
  <si>
    <t>bin_27</t>
  </si>
  <si>
    <t>https://ftp.ncbi.nlm.nih.gov/genomes/all/GCA/003/640/305/GCA_003640305.1_ASM364030v1</t>
  </si>
  <si>
    <t>GCA_003641165.1</t>
  </si>
  <si>
    <t>https://ftp.ncbi.nlm.nih.gov/genomes/all/GCA/003/641/165/GCA_003641165.1_ASM364116v1</t>
  </si>
  <si>
    <t>GCA_003641185.1</t>
  </si>
  <si>
    <t>https://ftp.ncbi.nlm.nih.gov/genomes/all/GCA/003/641/185/GCA_003641185.1_ASM364118v1</t>
  </si>
  <si>
    <t>GCA_003641225.1</t>
  </si>
  <si>
    <t>EC-369</t>
  </si>
  <si>
    <t>https://ftp.ncbi.nlm.nih.gov/genomes/all/GCA/003/641/225/GCA_003641225.1_ASM364122v1</t>
  </si>
  <si>
    <t>GCA_003667225.1</t>
  </si>
  <si>
    <t>TA68</t>
  </si>
  <si>
    <t>https://ftp.ncbi.nlm.nih.gov/genomes/all/GCA/003/667/225/GCA_003667225.1_ASM366722v1</t>
  </si>
  <si>
    <t>GCA_003688935.1</t>
  </si>
  <si>
    <t>HMT-050</t>
  </si>
  <si>
    <t>macginleyi</t>
  </si>
  <si>
    <t>CCUG 32361</t>
  </si>
  <si>
    <t>https://ftp.ncbi.nlm.nih.gov/genomes/all/GCA/003/688/935/GCA_003688935.1_ASM368893v1</t>
  </si>
  <si>
    <t>GCA_003688955.1</t>
  </si>
  <si>
    <t>NML 120205</t>
  </si>
  <si>
    <t>https://ftp.ncbi.nlm.nih.gov/genomes/all/GCA/003/688/955/GCA_003688955.1_ASM368895v1</t>
  </si>
  <si>
    <t>GCA_003691405.1</t>
  </si>
  <si>
    <t>SWO</t>
  </si>
  <si>
    <t>https://ftp.ncbi.nlm.nih.gov/genomes/all/GCA/003/691/405/GCA_003691405.1_ASM369140v1</t>
  </si>
  <si>
    <t>GCA_003691465.1</t>
  </si>
  <si>
    <t>LTJR-52</t>
  </si>
  <si>
    <t>https://ftp.ncbi.nlm.nih.gov/genomes/all/GCA/003/691/465/GCA_003691465.1_ASM369146v1</t>
  </si>
  <si>
    <t>GCA_003691635.1</t>
  </si>
  <si>
    <t>P602-8883</t>
  </si>
  <si>
    <t>https://ftp.ncbi.nlm.nih.gov/genomes/all/GCA/003/691/635/GCA_003691635.1_ASM369163v1</t>
  </si>
  <si>
    <t>GCA_003691655.1</t>
  </si>
  <si>
    <t>P657-8759</t>
  </si>
  <si>
    <t>https://ftp.ncbi.nlm.nih.gov/genomes/all/GCA/003/691/655/GCA_003691655.1_ASM369165v1</t>
  </si>
  <si>
    <t>GCA_003691695.1</t>
  </si>
  <si>
    <t>LAB761</t>
  </si>
  <si>
    <t>https://ftp.ncbi.nlm.nih.gov/genomes/all/GCA/003/691/695/GCA_003691695.1_ASM369169v1</t>
  </si>
  <si>
    <t>GCA_003693265.1</t>
  </si>
  <si>
    <t>DSM 103494</t>
  </si>
  <si>
    <t>https://ftp.ncbi.nlm.nih.gov/genomes/all/GCA/003/693/265/GCA_003693265.1_ASM369326v1</t>
  </si>
  <si>
    <t>GCA_003697165.2</t>
  </si>
  <si>
    <t>ATCC 11775</t>
  </si>
  <si>
    <t>https://ftp.ncbi.nlm.nih.gov/genomes/all/GCA/003/697/165/GCA_003697165.2_ASM369716v2</t>
  </si>
  <si>
    <t>GCA_003703745.1</t>
  </si>
  <si>
    <t>HK83</t>
  </si>
  <si>
    <t>https://ftp.ncbi.nlm.nih.gov/genomes/all/GCA/003/703/745/GCA_003703745.1_ASM370374v1</t>
  </si>
  <si>
    <t>GCA_003704055.1</t>
  </si>
  <si>
    <t>MF-I1</t>
  </si>
  <si>
    <t>https://ftp.ncbi.nlm.nih.gov/genomes/all/GCA/003/704/055/GCA_003704055.1_ASM370405v1</t>
  </si>
  <si>
    <t>GCA_003704075.1</t>
  </si>
  <si>
    <t>MF-I2</t>
  </si>
  <si>
    <t>https://ftp.ncbi.nlm.nih.gov/genomes/all/GCA/003/704/075/GCA_003704075.1_ASM370407v1</t>
  </si>
  <si>
    <t>GCA_003732505.1</t>
  </si>
  <si>
    <t>F1291</t>
  </si>
  <si>
    <t>https://ftp.ncbi.nlm.nih.gov/genomes/all/GCA/003/732/505/GCA_003732505.1_ASM373250v1</t>
  </si>
  <si>
    <t>GCA_003732525.1</t>
  </si>
  <si>
    <t>F1260</t>
  </si>
  <si>
    <t>https://ftp.ncbi.nlm.nih.gov/genomes/all/GCA/003/732/525/GCA_003732525.1_ASM373252v1</t>
  </si>
  <si>
    <t>GCA_003755025.1</t>
  </si>
  <si>
    <t>DSM 15985</t>
  </si>
  <si>
    <t>https://ftp.ncbi.nlm.nih.gov/genomes/all/GCA/003/755/025/GCA_003755025.1_ASM375502v1</t>
  </si>
  <si>
    <t>GCA_003789135.1</t>
  </si>
  <si>
    <t>OT2</t>
  </si>
  <si>
    <t>https://ftp.ncbi.nlm.nih.gov/genomes/all/GCA/003/789/135/GCA_003789135.1_ASM378913v1</t>
  </si>
  <si>
    <t>GCA_003797385.1</t>
  </si>
  <si>
    <t>FDAARGOS_578</t>
  </si>
  <si>
    <t>https://ftp.ncbi.nlm.nih.gov/genomes/all/GCA/003/797/385/GCA_003797385.1_ASM379738v1</t>
  </si>
  <si>
    <t>GCA_003798325.1</t>
  </si>
  <si>
    <t>FDAARGOS_576</t>
  </si>
  <si>
    <t>https://ftp.ncbi.nlm.nih.gov/genomes/all/GCA/003/798/325/GCA_003798325.1_ASM379832v1</t>
  </si>
  <si>
    <t>GCA_003798405.1</t>
  </si>
  <si>
    <t>FDAARGOS_582</t>
  </si>
  <si>
    <t>https://ftp.ncbi.nlm.nih.gov/genomes/all/GCA/003/798/405/GCA_003798405.1_ASM379840v1</t>
  </si>
  <si>
    <t>GCA_003798465.1</t>
  </si>
  <si>
    <t>FDAARGOS_577</t>
  </si>
  <si>
    <t>https://ftp.ncbi.nlm.nih.gov/genomes/all/GCA/003/798/465/GCA_003798465.1_ASM379846v1</t>
  </si>
  <si>
    <t>GCA_003812425.1</t>
  </si>
  <si>
    <t>FDAARGOS_529</t>
  </si>
  <si>
    <t>https://ftp.ncbi.nlm.nih.gov/genomes/all/GCA/003/812/425/GCA_003812425.1_ASM381242v1</t>
  </si>
  <si>
    <t>GCA_003812505.1</t>
  </si>
  <si>
    <t>FDAARGOS_575</t>
  </si>
  <si>
    <t>https://ftp.ncbi.nlm.nih.gov/genomes/all/GCA/003/812/505/GCA_003812505.1_ASM381250v1</t>
  </si>
  <si>
    <t>GCA_003812785.1</t>
  </si>
  <si>
    <t>FDAARGOS_503</t>
  </si>
  <si>
    <t>https://ftp.ncbi.nlm.nih.gov/genomes/all/GCA/003/812/785/GCA_003812785.1_ASM381278v1</t>
  </si>
  <si>
    <t>GCA_003812825.1</t>
  </si>
  <si>
    <t>FDAARGOS_565</t>
  </si>
  <si>
    <t>https://ftp.ncbi.nlm.nih.gov/genomes/all/GCA/003/812/825/GCA_003812825.1_ASM381282v1</t>
  </si>
  <si>
    <t>GCA_003813165.1</t>
  </si>
  <si>
    <t>LMT1-73</t>
  </si>
  <si>
    <t>https://ftp.ncbi.nlm.nih.gov/genomes/all/GCA/003/813/165/GCA_003813165.1_ASM381316v1</t>
  </si>
  <si>
    <t>GCA_003838285.1</t>
  </si>
  <si>
    <t>ATCC 15032</t>
  </si>
  <si>
    <t>https://ftp.ncbi.nlm.nih.gov/genomes/all/GCA/003/838/285/GCA_003838285.1_ASM383828v1</t>
  </si>
  <si>
    <t>GCA_003850105.1</t>
  </si>
  <si>
    <t>UGA3</t>
  </si>
  <si>
    <t>https://ftp.ncbi.nlm.nih.gov/genomes/all/GCA/003/850/105/GCA_003850105.1_ASM385010v1</t>
  </si>
  <si>
    <t>GCA_003855615.1</t>
  </si>
  <si>
    <t>PmBC1123</t>
  </si>
  <si>
    <t>https://ftp.ncbi.nlm.nih.gov/genomes/all/GCA/003/855/615/GCA_003855615.1_ASM385561v1</t>
  </si>
  <si>
    <t>GCA_003856395.1</t>
  </si>
  <si>
    <t>CDC120</t>
  </si>
  <si>
    <t>https://ftp.ncbi.nlm.nih.gov/genomes/all/GCA/003/856/395/GCA_003856395.1_ASM385639v1</t>
  </si>
  <si>
    <t>GCA_003856455.1</t>
  </si>
  <si>
    <t>CDC121</t>
  </si>
  <si>
    <t>https://ftp.ncbi.nlm.nih.gov/genomes/all/GCA/003/856/455/GCA_003856455.1_ASM385645v1</t>
  </si>
  <si>
    <t>GCA_003857115.1</t>
  </si>
  <si>
    <t>C0756</t>
  </si>
  <si>
    <t>https://ftp.ncbi.nlm.nih.gov/genomes/all/GCA/003/857/115/GCA_003857115.1_ASM385711v1</t>
  </si>
  <si>
    <t>GCA_003857145.1</t>
  </si>
  <si>
    <t>C2784</t>
  </si>
  <si>
    <t>https://ftp.ncbi.nlm.nih.gov/genomes/all/GCA/003/857/145/GCA_003857145.1_ASM385714v1</t>
  </si>
  <si>
    <t>GCA_003857195.1</t>
  </si>
  <si>
    <t>C2796</t>
  </si>
  <si>
    <t>https://ftp.ncbi.nlm.nih.gov/genomes/all/GCA/003/857/195/GCA_003857195.1_ASM385719v1</t>
  </si>
  <si>
    <t>GCA_003858565.1</t>
  </si>
  <si>
    <t>OH953</t>
  </si>
  <si>
    <t>https://ftp.ncbi.nlm.nih.gov/genomes/all/GCA/003/858/565/GCA_003858565.1_ASM385856v1</t>
  </si>
  <si>
    <t>GCA_003859865.1</t>
  </si>
  <si>
    <t>OH2158</t>
  </si>
  <si>
    <t>https://ftp.ncbi.nlm.nih.gov/genomes/all/GCA/003/859/865/GCA_003859865.1_ASM385986v1</t>
  </si>
  <si>
    <t>GCA_003860565.1</t>
  </si>
  <si>
    <t>https://ftp.ncbi.nlm.nih.gov/genomes/all/GCA/003/860/565/GCA_003860565.1_ASM386056v1</t>
  </si>
  <si>
    <t>GCA_003861325.1</t>
  </si>
  <si>
    <t>ATCC 15033</t>
  </si>
  <si>
    <t>https://ftp.ncbi.nlm.nih.gov/genomes/all/GCA/003/861/325/GCA_003861325.1_ASM386132v1</t>
  </si>
  <si>
    <t>GCA_003862255.1</t>
  </si>
  <si>
    <t>381OKJP</t>
  </si>
  <si>
    <t>https://ftp.ncbi.nlm.nih.gov/genomes/all/GCA/003/862/255/GCA_003862255.1_ASM386225v1</t>
  </si>
  <si>
    <t>GCA_003862475.1</t>
  </si>
  <si>
    <t>HMT-460</t>
  </si>
  <si>
    <t>KCOM 2030</t>
  </si>
  <si>
    <t>https://ftp.ncbi.nlm.nih.gov/genomes/all/GCA/003/862/475/GCA_003862475.1_ASM386247v1</t>
  </si>
  <si>
    <t>GCA_003862485.1</t>
  </si>
  <si>
    <t>DSM 24553</t>
  </si>
  <si>
    <t>https://ftp.ncbi.nlm.nih.gov/genomes/all/GCA/003/862/485/GCA_003862485.1_ASM386248v1</t>
  </si>
  <si>
    <t>GCA_003892345.1</t>
  </si>
  <si>
    <t>HMT-409</t>
  </si>
  <si>
    <t>KCOM 2505</t>
  </si>
  <si>
    <t>https://ftp.ncbi.nlm.nih.gov/genomes/all/GCA/003/892/345/GCA_003892345.1_ASM389234v1</t>
  </si>
  <si>
    <t>GCA_003932215.1</t>
  </si>
  <si>
    <t>HMT-208</t>
  </si>
  <si>
    <t>bovis</t>
  </si>
  <si>
    <t>F6900</t>
  </si>
  <si>
    <t>https://ftp.ncbi.nlm.nih.gov/genomes/all/GCA/003/932/215/GCA_003932215.1_ASM393221v1</t>
  </si>
  <si>
    <t>GCA_003932255.1</t>
  </si>
  <si>
    <t>https://ftp.ncbi.nlm.nih.gov/genomes/all/GCA/003/932/255/GCA_003932255.1_ASM393225v1</t>
  </si>
  <si>
    <t>GCA_003932295.1</t>
  </si>
  <si>
    <t>https://ftp.ncbi.nlm.nih.gov/genomes/all/GCA/003/932/295/GCA_003932295.1_ASM393229v1</t>
  </si>
  <si>
    <t>GCA_003932435.1</t>
  </si>
  <si>
    <t>13-1426</t>
  </si>
  <si>
    <t>https://ftp.ncbi.nlm.nih.gov/genomes/all/GCA/003/932/435/GCA_003932435.1_ASM393243v1</t>
  </si>
  <si>
    <t>GCA_003932475.1</t>
  </si>
  <si>
    <t>https://ftp.ncbi.nlm.nih.gov/genomes/all/GCA/003/932/475/GCA_003932475.1_ASM393247v1</t>
  </si>
  <si>
    <t>OH1047_COT-310</t>
  </si>
  <si>
    <t>https://ftp.ncbi.nlm.nih.gov/genomes/all/GCA/003/932/775/GCA_003932775.1_ASM393277v1</t>
  </si>
  <si>
    <t>GCA_003932835.1</t>
  </si>
  <si>
    <t>OH5060</t>
  </si>
  <si>
    <t>https://ftp.ncbi.nlm.nih.gov/genomes/all/GCA/003/932/835/GCA_003932835.1_ASM393283v1</t>
  </si>
  <si>
    <t>GCA_003938725.1</t>
  </si>
  <si>
    <t>FDAARGOS_569</t>
  </si>
  <si>
    <t>https://ftp.ncbi.nlm.nih.gov/genomes/all/GCA/003/938/725/GCA_003938725.1_ASM393872v1</t>
  </si>
  <si>
    <t>GCA_003939335.2</t>
  </si>
  <si>
    <t>AJ_351</t>
  </si>
  <si>
    <t>https://ftp.ncbi.nlm.nih.gov/genomes/all/GCA/003/939/335/GCA_003939335.2_ASM393933v2</t>
  </si>
  <si>
    <t>GCA_003939355.2</t>
  </si>
  <si>
    <t>AJ_068</t>
  </si>
  <si>
    <t>https://ftp.ncbi.nlm.nih.gov/genomes/all/GCA/003/939/355/GCA_003939355.2_ASM393935v2</t>
  </si>
  <si>
    <t>GCA_003942265.1</t>
  </si>
  <si>
    <t>BCC24</t>
  </si>
  <si>
    <t>https://ftp.ncbi.nlm.nih.gov/genomes/all/GCA/003/942/265/GCA_003942265.1_ASM394226v1</t>
  </si>
  <si>
    <t>GCA_003942275.1</t>
  </si>
  <si>
    <t>BCC28</t>
  </si>
  <si>
    <t>https://ftp.ncbi.nlm.nih.gov/genomes/all/GCA/003/942/275/GCA_003942275.1_ASM394227v1</t>
  </si>
  <si>
    <t>GCA_003942295.1</t>
  </si>
  <si>
    <t>BCC25</t>
  </si>
  <si>
    <t>https://ftp.ncbi.nlm.nih.gov/genomes/all/GCA/003/942/295/GCA_003942295.1_ASM394229v1</t>
  </si>
  <si>
    <t>GCA_003942365.1</t>
  </si>
  <si>
    <t>BCC20</t>
  </si>
  <si>
    <t>https://ftp.ncbi.nlm.nih.gov/genomes/all/GCA/003/942/365/GCA_003942365.1_ASM394236v1</t>
  </si>
  <si>
    <t>GCA_003942375.1</t>
  </si>
  <si>
    <t>BCC18</t>
  </si>
  <si>
    <t>https://ftp.ncbi.nlm.nih.gov/genomes/all/GCA/003/942/375/GCA_003942375.1_ASM394237v1</t>
  </si>
  <si>
    <t>GCA_003942385.1</t>
  </si>
  <si>
    <t>BCC16</t>
  </si>
  <si>
    <t>https://ftp.ncbi.nlm.nih.gov/genomes/all/GCA/003/942/385/GCA_003942385.1_ASM394238v1</t>
  </si>
  <si>
    <t>GCA_003942405.1</t>
  </si>
  <si>
    <t>BCC61</t>
  </si>
  <si>
    <t>https://ftp.ncbi.nlm.nih.gov/genomes/all/GCA/003/942/405/GCA_003942405.1_ASM394240v1</t>
  </si>
  <si>
    <t>GCA_003942415.1</t>
  </si>
  <si>
    <t>BCC64</t>
  </si>
  <si>
    <t>https://ftp.ncbi.nlm.nih.gov/genomes/all/GCA/003/942/415/GCA_003942415.1_ASM394241v1</t>
  </si>
  <si>
    <t>GCA_003942475.1</t>
  </si>
  <si>
    <t>BCC46</t>
  </si>
  <si>
    <t>https://ftp.ncbi.nlm.nih.gov/genomes/all/GCA/003/942/475/GCA_003942475.1_ASM394247v1</t>
  </si>
  <si>
    <t>GCA_003942485.1</t>
  </si>
  <si>
    <t>BCC37</t>
  </si>
  <si>
    <t>https://ftp.ncbi.nlm.nih.gov/genomes/all/GCA/003/942/485/GCA_003942485.1_ASM394248v1</t>
  </si>
  <si>
    <t>GCA_003942525.1</t>
  </si>
  <si>
    <t>A1</t>
  </si>
  <si>
    <t>https://ftp.ncbi.nlm.nih.gov/genomes/all/GCA/003/942/525/GCA_003942525.1_ASM394252v1</t>
  </si>
  <si>
    <t>GCA_003942565.1</t>
  </si>
  <si>
    <t>BCA21</t>
  </si>
  <si>
    <t>https://ftp.ncbi.nlm.nih.gov/genomes/all/GCA/003/942/565/GCA_003942565.1_ASM394256v1</t>
  </si>
  <si>
    <t>GCA_003942595.1</t>
  </si>
  <si>
    <t>BCC53</t>
  </si>
  <si>
    <t>https://ftp.ncbi.nlm.nih.gov/genomes/all/GCA/003/942/595/GCA_003942595.1_ASM394259v1</t>
  </si>
  <si>
    <t>GCA_003942715.1</t>
  </si>
  <si>
    <t>KLC07</t>
  </si>
  <si>
    <t>https://ftp.ncbi.nlm.nih.gov/genomes/all/GCA/003/942/715/GCA_003942715.1_ASM394271v1</t>
  </si>
  <si>
    <t>GCA_003942765.1</t>
  </si>
  <si>
    <t>KLC01</t>
  </si>
  <si>
    <t>https://ftp.ncbi.nlm.nih.gov/genomes/all/GCA/003/942/765/GCA_003942765.1_ASM394276v1</t>
  </si>
  <si>
    <t>GCA_003942775.1</t>
  </si>
  <si>
    <t>BCC65</t>
  </si>
  <si>
    <t>https://ftp.ncbi.nlm.nih.gov/genomes/all/GCA/003/942/775/GCA_003942775.1_ASM394277v1</t>
  </si>
  <si>
    <t>GCA_003942875.1</t>
  </si>
  <si>
    <t>BCC52</t>
  </si>
  <si>
    <t>https://ftp.ncbi.nlm.nih.gov/genomes/all/GCA/003/942/875/GCA_003942875.1_ASM394287v1</t>
  </si>
  <si>
    <t>GCA_003942915.1</t>
  </si>
  <si>
    <t>BCC40</t>
  </si>
  <si>
    <t>https://ftp.ncbi.nlm.nih.gov/genomes/all/GCA/003/942/915/GCA_003942915.1_ASM394291v1</t>
  </si>
  <si>
    <t>GCA_003943035.1</t>
  </si>
  <si>
    <t>A6</t>
  </si>
  <si>
    <t>https://ftp.ncbi.nlm.nih.gov/genomes/all/GCA/003/943/035/GCA_003943035.1_ASM394303v1</t>
  </si>
  <si>
    <t>GCA_003943045.1</t>
  </si>
  <si>
    <t>A5</t>
  </si>
  <si>
    <t>https://ftp.ncbi.nlm.nih.gov/genomes/all/GCA/003/943/045/GCA_003943045.1_ASM394304v1</t>
  </si>
  <si>
    <t>GCA_003943085.1</t>
  </si>
  <si>
    <t>A3</t>
  </si>
  <si>
    <t>https://ftp.ncbi.nlm.nih.gov/genomes/all/GCA/003/943/085/GCA_003943085.1_ASM394308v1</t>
  </si>
  <si>
    <t>GCA_003943095.1</t>
  </si>
  <si>
    <t>A2</t>
  </si>
  <si>
    <t>https://ftp.ncbi.nlm.nih.gov/genomes/all/GCA/003/943/095/GCA_003943095.1_ASM394309v1</t>
  </si>
  <si>
    <t>GCA_003943125.1</t>
  </si>
  <si>
    <t>KLC02</t>
  </si>
  <si>
    <t>https://ftp.ncbi.nlm.nih.gov/genomes/all/GCA/003/943/125/GCA_003943125.1_ASM394312v1</t>
  </si>
  <si>
    <t>GCA_003943145.1</t>
  </si>
  <si>
    <t>BCC47</t>
  </si>
  <si>
    <t>https://ftp.ncbi.nlm.nih.gov/genomes/all/GCA/003/943/145/GCA_003943145.1_ASM394314v1</t>
  </si>
  <si>
    <t>GCA_003943155.1</t>
  </si>
  <si>
    <t>BCC01</t>
  </si>
  <si>
    <t>https://ftp.ncbi.nlm.nih.gov/genomes/all/GCA/003/943/155/GCA_003943155.1_ASM394315v1</t>
  </si>
  <si>
    <t>GCA_003943175.1</t>
  </si>
  <si>
    <t>BCA10</t>
  </si>
  <si>
    <t>https://ftp.ncbi.nlm.nih.gov/genomes/all/GCA/003/943/175/GCA_003943175.1_ASM394317v1</t>
  </si>
  <si>
    <t>GCA_003943195.1</t>
  </si>
  <si>
    <t>BCA7</t>
  </si>
  <si>
    <t>https://ftp.ncbi.nlm.nih.gov/genomes/all/GCA/003/943/195/GCA_003943195.1_ASM394319v1</t>
  </si>
  <si>
    <t>GCA_003943215.1</t>
  </si>
  <si>
    <t>https://ftp.ncbi.nlm.nih.gov/genomes/all/GCA/003/943/215/GCA_003943215.1_ASM394321v1</t>
  </si>
  <si>
    <t>GCA_003943245.1</t>
  </si>
  <si>
    <t>A7</t>
  </si>
  <si>
    <t>https://ftp.ncbi.nlm.nih.gov/genomes/all/GCA/003/943/245/GCA_003943245.1_ASM394324v1</t>
  </si>
  <si>
    <t>GCA_003943255.1</t>
  </si>
  <si>
    <t>https://ftp.ncbi.nlm.nih.gov/genomes/all/GCA/003/943/255/GCA_003943255.1_ASM394325v1</t>
  </si>
  <si>
    <t>GCA_003943285.1</t>
  </si>
  <si>
    <t>A11</t>
  </si>
  <si>
    <t>https://ftp.ncbi.nlm.nih.gov/genomes/all/GCA/003/943/285/GCA_003943285.1_ASM394328v1</t>
  </si>
  <si>
    <t>GCA_003943295.1</t>
  </si>
  <si>
    <t>KLC06</t>
  </si>
  <si>
    <t>https://ftp.ncbi.nlm.nih.gov/genomes/all/GCA/003/943/295/GCA_003943295.1_ASM394329v1</t>
  </si>
  <si>
    <t>GCA_003943305.1</t>
  </si>
  <si>
    <t>BCC32</t>
  </si>
  <si>
    <t>https://ftp.ncbi.nlm.nih.gov/genomes/all/GCA/003/943/305/GCA_003943305.1_ASM394330v1</t>
  </si>
  <si>
    <t>GCA_003943345.1</t>
  </si>
  <si>
    <t>BCC09</t>
  </si>
  <si>
    <t>https://ftp.ncbi.nlm.nih.gov/genomes/all/GCA/003/943/345/GCA_003943345.1_ASM394334v1</t>
  </si>
  <si>
    <t>GCA_003943355.1</t>
  </si>
  <si>
    <t>BCC27</t>
  </si>
  <si>
    <t>https://ftp.ncbi.nlm.nih.gov/genomes/all/GCA/003/943/355/GCA_003943355.1_ASM394335v1</t>
  </si>
  <si>
    <t>GCA_003943435.1</t>
  </si>
  <si>
    <t>A55</t>
  </si>
  <si>
    <t>https://ftp.ncbi.nlm.nih.gov/genomes/all/GCA/003/943/435/GCA_003943435.1_ASM394343v1</t>
  </si>
  <si>
    <t>GCA_003943455.1</t>
  </si>
  <si>
    <t>BCA15</t>
  </si>
  <si>
    <t>https://ftp.ncbi.nlm.nih.gov/genomes/all/GCA/003/943/455/GCA_003943455.1_ASM394345v1</t>
  </si>
  <si>
    <t>GCA_003943465.1</t>
  </si>
  <si>
    <t>A53</t>
  </si>
  <si>
    <t>https://ftp.ncbi.nlm.nih.gov/genomes/all/GCA/003/943/465/GCA_003943465.1_ASM394346v1</t>
  </si>
  <si>
    <t>GCA_003943505.1</t>
  </si>
  <si>
    <t>https://ftp.ncbi.nlm.nih.gov/genomes/all/GCA/003/943/505/GCA_003943505.1_ASM394350v1</t>
  </si>
  <si>
    <t>GCA_003943515.1</t>
  </si>
  <si>
    <t>BCC41</t>
  </si>
  <si>
    <t>https://ftp.ncbi.nlm.nih.gov/genomes/all/GCA/003/943/515/GCA_003943515.1_ASM394351v1</t>
  </si>
  <si>
    <t>GCA_003943535.1</t>
  </si>
  <si>
    <t>BCC13</t>
  </si>
  <si>
    <t>https://ftp.ncbi.nlm.nih.gov/genomes/all/GCA/003/943/535/GCA_003943535.1_ASM394353v1</t>
  </si>
  <si>
    <t>GCA_003943625.1</t>
  </si>
  <si>
    <t>A13</t>
  </si>
  <si>
    <t>https://ftp.ncbi.nlm.nih.gov/genomes/all/GCA/003/943/625/GCA_003943625.1_ASM394362v1</t>
  </si>
  <si>
    <t>GCA_003943655.1</t>
  </si>
  <si>
    <t>BCC31</t>
  </si>
  <si>
    <t>https://ftp.ncbi.nlm.nih.gov/genomes/all/GCA/003/943/655/GCA_003943655.1_ASM394365v1</t>
  </si>
  <si>
    <t>GCA_003943675.1</t>
  </si>
  <si>
    <t>G2</t>
  </si>
  <si>
    <t>https://ftp.ncbi.nlm.nih.gov/genomes/all/GCA/003/943/675/GCA_003943675.1_ASM394367v1</t>
  </si>
  <si>
    <t>GCA_003943715.1</t>
  </si>
  <si>
    <t>BCC23</t>
  </si>
  <si>
    <t>https://ftp.ncbi.nlm.nih.gov/genomes/all/GCA/003/943/715/GCA_003943715.1_ASM394371v1</t>
  </si>
  <si>
    <t>GCA_003943735.1</t>
  </si>
  <si>
    <t>BCC04</t>
  </si>
  <si>
    <t>https://ftp.ncbi.nlm.nih.gov/genomes/all/GCA/003/943/735/GCA_003943735.1_ASM394373v1</t>
  </si>
  <si>
    <t>GCA_003943755.1</t>
  </si>
  <si>
    <t>BCC03</t>
  </si>
  <si>
    <t>https://ftp.ncbi.nlm.nih.gov/genomes/all/GCA/003/943/755/GCA_003943755.1_ASM394375v1</t>
  </si>
  <si>
    <t>GCA_003943785.1</t>
  </si>
  <si>
    <t>BCC54</t>
  </si>
  <si>
    <t>https://ftp.ncbi.nlm.nih.gov/genomes/all/GCA/003/943/785/GCA_003943785.1_ASM394378v1</t>
  </si>
  <si>
    <t>GCA_003943815.1</t>
  </si>
  <si>
    <t>BCC51</t>
  </si>
  <si>
    <t>https://ftp.ncbi.nlm.nih.gov/genomes/all/GCA/003/943/815/GCA_003943815.1_ASM394381v1</t>
  </si>
  <si>
    <t>GCA_003943905.1</t>
  </si>
  <si>
    <t>BCA11</t>
  </si>
  <si>
    <t>https://ftp.ncbi.nlm.nih.gov/genomes/all/GCA/003/943/905/GCA_003943905.1_ASM394390v1</t>
  </si>
  <si>
    <t>GCA_003944005.1</t>
  </si>
  <si>
    <t>A4</t>
  </si>
  <si>
    <t>https://ftp.ncbi.nlm.nih.gov/genomes/all/GCA/003/944/005/GCA_003944005.1_ASM394400v1</t>
  </si>
  <si>
    <t>GCA_003944015.1</t>
  </si>
  <si>
    <t>KLC09</t>
  </si>
  <si>
    <t>https://ftp.ncbi.nlm.nih.gov/genomes/all/GCA/003/944/015/GCA_003944015.1_ASM394401v1</t>
  </si>
  <si>
    <t>GCA_003944025.1</t>
  </si>
  <si>
    <t>BCC34</t>
  </si>
  <si>
    <t>https://ftp.ncbi.nlm.nih.gov/genomes/all/GCA/003/944/025/GCA_003944025.1_ASM394402v1</t>
  </si>
  <si>
    <t>GCA_003944065.1</t>
  </si>
  <si>
    <t>BCA22</t>
  </si>
  <si>
    <t>https://ftp.ncbi.nlm.nih.gov/genomes/all/GCA/003/944/065/GCA_003944065.1_ASM394406v1</t>
  </si>
  <si>
    <t>GCA_003944075.1</t>
  </si>
  <si>
    <t>BCA14</t>
  </si>
  <si>
    <t>https://ftp.ncbi.nlm.nih.gov/genomes/all/GCA/003/944/075/GCA_003944075.1_ASM394407v1</t>
  </si>
  <si>
    <t>GCA_003944105.1</t>
  </si>
  <si>
    <t>A10</t>
  </si>
  <si>
    <t>https://ftp.ncbi.nlm.nih.gov/genomes/all/GCA/003/944/105/GCA_003944105.1_ASM394410v1</t>
  </si>
  <si>
    <t>GCA_003944115.1</t>
  </si>
  <si>
    <t>BCC62</t>
  </si>
  <si>
    <t>https://ftp.ncbi.nlm.nih.gov/genomes/all/GCA/003/944/115/GCA_003944115.1_ASM394411v1</t>
  </si>
  <si>
    <t>GCA_003944125.1</t>
  </si>
  <si>
    <t>BCA9</t>
  </si>
  <si>
    <t>https://ftp.ncbi.nlm.nih.gov/genomes/all/GCA/003/944/125/GCA_003944125.1_ASM394412v1</t>
  </si>
  <si>
    <t>GCA_003944135.1</t>
  </si>
  <si>
    <t>BCC29</t>
  </si>
  <si>
    <t>https://ftp.ncbi.nlm.nih.gov/genomes/all/GCA/003/944/135/GCA_003944135.1_ASM394413v1</t>
  </si>
  <si>
    <t>GCA_003944155.1</t>
  </si>
  <si>
    <t>BCC57</t>
  </si>
  <si>
    <t>https://ftp.ncbi.nlm.nih.gov/genomes/all/GCA/003/944/155/GCA_003944155.1_ASM394415v1</t>
  </si>
  <si>
    <t>GCA_003944225.1</t>
  </si>
  <si>
    <t>BCA4</t>
  </si>
  <si>
    <t>https://ftp.ncbi.nlm.nih.gov/genomes/all/GCA/003/944/225/GCA_003944225.1_ASM394422v1</t>
  </si>
  <si>
    <t>GCA_003944245.1</t>
  </si>
  <si>
    <t>BCA6</t>
  </si>
  <si>
    <t>https://ftp.ncbi.nlm.nih.gov/genomes/all/GCA/003/944/245/GCA_003944245.1_ASM394424v1</t>
  </si>
  <si>
    <t>GCA_003944305.1</t>
  </si>
  <si>
    <t>A56</t>
  </si>
  <si>
    <t>https://ftp.ncbi.nlm.nih.gov/genomes/all/GCA/003/944/305/GCA_003944305.1_ASM394430v1</t>
  </si>
  <si>
    <t>GCA_003944315.1</t>
  </si>
  <si>
    <t>A54</t>
  </si>
  <si>
    <t>https://ftp.ncbi.nlm.nih.gov/genomes/all/GCA/003/944/315/GCA_003944315.1_ASM394431v1</t>
  </si>
  <si>
    <t>GCA_003944345.1</t>
  </si>
  <si>
    <t>BCC21</t>
  </si>
  <si>
    <t>https://ftp.ncbi.nlm.nih.gov/genomes/all/GCA/003/944/345/GCA_003944345.1_ASM394434v1</t>
  </si>
  <si>
    <t>GCA_003944395.1</t>
  </si>
  <si>
    <t>BCA17</t>
  </si>
  <si>
    <t>https://ftp.ncbi.nlm.nih.gov/genomes/all/GCA/003/944/395/GCA_003944395.1_ASM394439v1</t>
  </si>
  <si>
    <t>GCA_003944405.1</t>
  </si>
  <si>
    <t>BCA13</t>
  </si>
  <si>
    <t>https://ftp.ncbi.nlm.nih.gov/genomes/all/GCA/003/944/405/GCA_003944405.1_ASM394440v1</t>
  </si>
  <si>
    <t>GCA_003944415.1</t>
  </si>
  <si>
    <t>BCA3</t>
  </si>
  <si>
    <t>https://ftp.ncbi.nlm.nih.gov/genomes/all/GCA/003/944/415/GCA_003944415.1_ASM394441v1</t>
  </si>
  <si>
    <t>GCA_003944465.1</t>
  </si>
  <si>
    <t>KLC04</t>
  </si>
  <si>
    <t>https://ftp.ncbi.nlm.nih.gov/genomes/all/GCA/003/944/465/GCA_003944465.1_ASM394446v1</t>
  </si>
  <si>
    <t>GCA_003944475.1</t>
  </si>
  <si>
    <t>KLC03</t>
  </si>
  <si>
    <t>https://ftp.ncbi.nlm.nih.gov/genomes/all/GCA/003/944/475/GCA_003944475.1_ASM394447v1</t>
  </si>
  <si>
    <t>GCA_003944485.1</t>
  </si>
  <si>
    <t>KLC10</t>
  </si>
  <si>
    <t>https://ftp.ncbi.nlm.nih.gov/genomes/all/GCA/003/944/485/GCA_003944485.1_ASM394448v1</t>
  </si>
  <si>
    <t>GCA_003952325.1</t>
  </si>
  <si>
    <t>B17932</t>
  </si>
  <si>
    <t>https://ftp.ncbi.nlm.nih.gov/genomes/all/GCA/003/952/325/GCA_003952325.1_ASM395232v1</t>
  </si>
  <si>
    <t>GCA_003952785.1</t>
  </si>
  <si>
    <t>IC001</t>
  </si>
  <si>
    <t>https://ftp.ncbi.nlm.nih.gov/genomes/all/GCA/003/952/785/GCA_003952785.1_ASM395278v1</t>
  </si>
  <si>
    <t>GCA_003953005.1</t>
  </si>
  <si>
    <t>OMC-P162</t>
  </si>
  <si>
    <t>https://ftp.ncbi.nlm.nih.gov/genomes/all/GCA/003/953/005/GCA_003953005.1_ASM395300v1</t>
  </si>
  <si>
    <t>GCA_003956005.1</t>
  </si>
  <si>
    <t>FDAARGOS_517</t>
  </si>
  <si>
    <t>https://ftp.ncbi.nlm.nih.gov/genomes/all/GCA/003/956/005/GCA_003956005.1_ASM395600v1</t>
  </si>
  <si>
    <t>GCA_003956025.1</t>
  </si>
  <si>
    <t>FDAARGOS_538</t>
  </si>
  <si>
    <t>https://ftp.ncbi.nlm.nih.gov/genomes/all/GCA/003/956/025/GCA_003956025.1_ASM395602v1</t>
  </si>
  <si>
    <t>GCA_003963205.1</t>
  </si>
  <si>
    <t>AWTP1-7</t>
  </si>
  <si>
    <t>https://ftp.ncbi.nlm.nih.gov/genomes/all/GCA/003/963/205/GCA_003963205.1_ASM396320v1</t>
  </si>
  <si>
    <t>GCA_003963555.1</t>
  </si>
  <si>
    <t>KCOM 2412</t>
  </si>
  <si>
    <t>https://ftp.ncbi.nlm.nih.gov/genomes/all/GCA/003/963/555/GCA_003963555.1_ASM396355v1</t>
  </si>
  <si>
    <t>GCA_003966505.1</t>
  </si>
  <si>
    <t>HU-OH</t>
  </si>
  <si>
    <t>https://ftp.ncbi.nlm.nih.gov/genomes/all/GCA/003/966/505/GCA_003966505.1_ASM396650v1</t>
  </si>
  <si>
    <t>GCA_003966585.1</t>
  </si>
  <si>
    <t>JMUB145</t>
  </si>
  <si>
    <t>https://ftp.ncbi.nlm.nih.gov/genomes/all/GCA/003/966/585/GCA_003966585.1_ASM396658v1</t>
  </si>
  <si>
    <t>GCA_003966605.1</t>
  </si>
  <si>
    <t>JMUB590</t>
  </si>
  <si>
    <t>https://ftp.ncbi.nlm.nih.gov/genomes/all/GCA/003/966/605/GCA_003966605.1_ASM396660v1</t>
  </si>
  <si>
    <t>GCA_003966625.1</t>
  </si>
  <si>
    <t>JMUB898</t>
  </si>
  <si>
    <t>https://ftp.ncbi.nlm.nih.gov/genomes/all/GCA/003/966/625/GCA_003966625.1_ASM396662v1</t>
  </si>
  <si>
    <t>GCA_003968865.1</t>
  </si>
  <si>
    <t>HMT-233</t>
  </si>
  <si>
    <t>schleiferi</t>
  </si>
  <si>
    <t>NCTC 12218</t>
  </si>
  <si>
    <t>https://ftp.ncbi.nlm.nih.gov/genomes/all/GCA/003/968/865/GCA_003968865.1_ASM396886v1</t>
  </si>
  <si>
    <t>GCA_003968885.1</t>
  </si>
  <si>
    <t>HMT-789</t>
  </si>
  <si>
    <t>NCTC 11807</t>
  </si>
  <si>
    <t>https://ftp.ncbi.nlm.nih.gov/genomes/all/GCA/003/968/885/GCA_003968885.1_ASM396888v1</t>
  </si>
  <si>
    <t>GCA_003970495.1</t>
  </si>
  <si>
    <t>DSM 10656</t>
  </si>
  <si>
    <t>https://ftp.ncbi.nlm.nih.gov/genomes/all/GCA/003/970/495/GCA_003970495.1_ASM397049v1</t>
  </si>
  <si>
    <t>GCA_003971285.1</t>
  </si>
  <si>
    <t>74P50B1</t>
  </si>
  <si>
    <t>https://ftp.ncbi.nlm.nih.gov/genomes/all/GCA/003/971/285/GCA_003971285.1_ASM397128v1</t>
  </si>
  <si>
    <t>GCA_003971305.1</t>
  </si>
  <si>
    <t>142P87B1</t>
  </si>
  <si>
    <t>https://ftp.ncbi.nlm.nih.gov/genomes/all/GCA/003/971/305/GCA_003971305.1_ASM397130v1</t>
  </si>
  <si>
    <t>GCA_003971325.1</t>
  </si>
  <si>
    <t>46P58B1</t>
  </si>
  <si>
    <t>https://ftp.ncbi.nlm.nih.gov/genomes/all/GCA/003/971/325/GCA_003971325.1_ASM397132v1</t>
  </si>
  <si>
    <t>GCA_003971345.1</t>
  </si>
  <si>
    <t>74P58B1</t>
  </si>
  <si>
    <t>https://ftp.ncbi.nlm.nih.gov/genomes/all/GCA/003/971/345/GCA_003971345.1_ASM397134v1</t>
  </si>
  <si>
    <t>GCA_003971365.1</t>
  </si>
  <si>
    <t>5P47B2</t>
  </si>
  <si>
    <t>https://ftp.ncbi.nlm.nih.gov/genomes/all/GCA/003/971/365/GCA_003971365.1_ASM397136v1</t>
  </si>
  <si>
    <t>GCA_003971565.1</t>
  </si>
  <si>
    <t>AB70</t>
  </si>
  <si>
    <t>https://ftp.ncbi.nlm.nih.gov/genomes/all/GCA/003/971/565/GCA_003971565.1_ASM397156v1</t>
  </si>
  <si>
    <t>GCA_003977605.1</t>
  </si>
  <si>
    <t>HMT-526</t>
  </si>
  <si>
    <t>koreensis</t>
  </si>
  <si>
    <t>KCOM 3155</t>
  </si>
  <si>
    <t>https://ftp.ncbi.nlm.nih.gov/genomes/all/GCA/003/977/605/GCA_003977605.1_ASM397760v1</t>
  </si>
  <si>
    <t>GCA_003985305.1</t>
  </si>
  <si>
    <t>173P27B1</t>
  </si>
  <si>
    <t>https://ftp.ncbi.nlm.nih.gov/genomes/all/GCA/003/985/305/GCA_003985305.1_ASM398530v1</t>
  </si>
  <si>
    <t>GCA_003985315.1</t>
  </si>
  <si>
    <t>5P54B2</t>
  </si>
  <si>
    <t>https://ftp.ncbi.nlm.nih.gov/genomes/all/GCA/003/985/315/GCA_003985315.1_ASM398531v1</t>
  </si>
  <si>
    <t>GCA_003985335.1</t>
  </si>
  <si>
    <t>173P31B1</t>
  </si>
  <si>
    <t>https://ftp.ncbi.nlm.nih.gov/genomes/all/GCA/003/985/335/GCA_003985335.1_ASM398533v1</t>
  </si>
  <si>
    <t>GCA_003989155.1</t>
  </si>
  <si>
    <t>HSID18069</t>
  </si>
  <si>
    <t>https://ftp.ncbi.nlm.nih.gov/genomes/all/GCA/003/989/155/GCA_003989155.1_ASM398915v1</t>
  </si>
  <si>
    <t>GCA_003989165.1</t>
  </si>
  <si>
    <t>HSID18036</t>
  </si>
  <si>
    <t>https://ftp.ncbi.nlm.nih.gov/genomes/all/GCA/003/989/165/GCA_003989165.1_ASM398916v1</t>
  </si>
  <si>
    <t>GCA_003989225.1</t>
  </si>
  <si>
    <t>HSID17576</t>
  </si>
  <si>
    <t>https://ftp.ncbi.nlm.nih.gov/genomes/all/GCA/003/989/225/GCA_003989225.1_ASM398922v1</t>
  </si>
  <si>
    <t>GCA_003989245.1</t>
  </si>
  <si>
    <t>HSID17564</t>
  </si>
  <si>
    <t>https://ftp.ncbi.nlm.nih.gov/genomes/all/GCA/003/989/245/GCA_003989245.1_ASM398924v1</t>
  </si>
  <si>
    <t>GCA_003989305.1</t>
  </si>
  <si>
    <t>HSID17260</t>
  </si>
  <si>
    <t>https://ftp.ncbi.nlm.nih.gov/genomes/all/GCA/003/989/305/GCA_003989305.1_ASM398930v1</t>
  </si>
  <si>
    <t>GCA_003989375.1</t>
  </si>
  <si>
    <t>HSID17241</t>
  </si>
  <si>
    <t>https://ftp.ncbi.nlm.nih.gov/genomes/all/GCA/003/989/375/GCA_003989375.1_ASM398937v1</t>
  </si>
  <si>
    <t>GCA_003989445.1</t>
  </si>
  <si>
    <t>HSID18067</t>
  </si>
  <si>
    <t>https://ftp.ncbi.nlm.nih.gov/genomes/all/GCA/003/989/445/GCA_003989445.1_ASM398944v1</t>
  </si>
  <si>
    <t>GCA_003989475.1</t>
  </si>
  <si>
    <t>HSID18035</t>
  </si>
  <si>
    <t>https://ftp.ncbi.nlm.nih.gov/genomes/all/GCA/003/989/475/GCA_003989475.1_ASM398947v1</t>
  </si>
  <si>
    <t>GCA_003989495.1</t>
  </si>
  <si>
    <t>HSID17575</t>
  </si>
  <si>
    <t>https://ftp.ncbi.nlm.nih.gov/genomes/all/GCA/003/989/495/GCA_003989495.1_ASM398949v1</t>
  </si>
  <si>
    <t>GCA_003989555.1</t>
  </si>
  <si>
    <t>HSID17239</t>
  </si>
  <si>
    <t>https://ftp.ncbi.nlm.nih.gov/genomes/all/GCA/003/989/555/GCA_003989555.1_ASM398955v1</t>
  </si>
  <si>
    <t>GCA_003990355.1</t>
  </si>
  <si>
    <t>KCOM 3110</t>
  </si>
  <si>
    <t>https://ftp.ncbi.nlm.nih.gov/genomes/all/GCA/003/990/355/GCA_003990355.1_ASM399035v1</t>
  </si>
  <si>
    <t>GCA_003991995.1</t>
  </si>
  <si>
    <t>HMT-779</t>
  </si>
  <si>
    <t>sp. HMT-779</t>
  </si>
  <si>
    <t>https://ftp.ncbi.nlm.nih.gov/genomes/all/GCA/003/991/995/GCA_003991995.1_ASM399199v1</t>
  </si>
  <si>
    <t>GCA_003992005.1</t>
  </si>
  <si>
    <t>VA139</t>
  </si>
  <si>
    <t>https://ftp.ncbi.nlm.nih.gov/genomes/all/GCA/003/992/005/GCA_003992005.1_ASM399200v1</t>
  </si>
  <si>
    <t>GCA_003992015.1</t>
  </si>
  <si>
    <t>VA137</t>
  </si>
  <si>
    <t>https://ftp.ncbi.nlm.nih.gov/genomes/all/GCA/003/992/015/GCA_003992015.1_ASM399201v1</t>
  </si>
  <si>
    <t>GCA_003992055.1</t>
  </si>
  <si>
    <t>CHU740</t>
  </si>
  <si>
    <t>https://ftp.ncbi.nlm.nih.gov/genomes/all/GCA/003/992/055/GCA_003992055.1_ASM399205v1</t>
  </si>
  <si>
    <t>GCA_003992085.1</t>
  </si>
  <si>
    <t>CHU732</t>
  </si>
  <si>
    <t>https://ftp.ncbi.nlm.nih.gov/genomes/all/GCA/003/992/085/GCA_003992085.1_ASM399208v1</t>
  </si>
  <si>
    <t>GCA_003992135.1</t>
  </si>
  <si>
    <t>VA142</t>
  </si>
  <si>
    <t>https://ftp.ncbi.nlm.nih.gov/genomes/all/GCA/003/992/135/GCA_003992135.1_ASM399213v1</t>
  </si>
  <si>
    <t>GCA_003992175.1</t>
  </si>
  <si>
    <t>VA141</t>
  </si>
  <si>
    <t>https://ftp.ncbi.nlm.nih.gov/genomes/all/GCA/003/992/175/GCA_003992175.1_ASM399217v1</t>
  </si>
  <si>
    <t>GCA_003992185.1</t>
  </si>
  <si>
    <t>CNR 79/14</t>
  </si>
  <si>
    <t>https://ftp.ncbi.nlm.nih.gov/genomes/all/GCA/003/992/185/GCA_003992185.1_ASM399218v1</t>
  </si>
  <si>
    <t>GCA_003992195.1</t>
  </si>
  <si>
    <t>https://ftp.ncbi.nlm.nih.gov/genomes/all/GCA/003/992/195/GCA_003992195.1_ASM399219v1</t>
  </si>
  <si>
    <t>GCA_003992235.1</t>
  </si>
  <si>
    <t>https://ftp.ncbi.nlm.nih.gov/genomes/all/GCA/003/992/235/GCA_003992235.1_ASM399223v1</t>
  </si>
  <si>
    <t>GCA_003992255.1</t>
  </si>
  <si>
    <t>CHU110</t>
  </si>
  <si>
    <t>https://ftp.ncbi.nlm.nih.gov/genomes/all/GCA/003/992/255/GCA_003992255.1_ASM399225v1</t>
  </si>
  <si>
    <t>GCA_003992265.1</t>
  </si>
  <si>
    <t>CHU594</t>
  </si>
  <si>
    <t>https://ftp.ncbi.nlm.nih.gov/genomes/all/GCA/003/992/265/GCA_003992265.1_ASM399226v1</t>
  </si>
  <si>
    <t>GCA_003992315.1</t>
  </si>
  <si>
    <t>https://ftp.ncbi.nlm.nih.gov/genomes/all/GCA/003/992/315/GCA_003992315.1_ASM399231v1</t>
  </si>
  <si>
    <t>GCA_003999875.1</t>
  </si>
  <si>
    <t>https://ftp.ncbi.nlm.nih.gov/genomes/all/GCA/003/999/875/GCA_003999875.1_ASM399987v1</t>
  </si>
  <si>
    <t>NBRC 15330</t>
  </si>
  <si>
    <t>https://ftp.ncbi.nlm.nih.gov/genomes/all/GCA/004/000/885/GCA_004000885.1_ASM400088v1</t>
  </si>
  <si>
    <t>GCA_004006635.1</t>
  </si>
  <si>
    <t>ATCC 25286</t>
  </si>
  <si>
    <t>https://ftp.ncbi.nlm.nih.gov/genomes/all/GCA/004/006/635/GCA_004006635.1_ASM400663v1</t>
  </si>
  <si>
    <t>EB-AMDK-11</t>
  </si>
  <si>
    <t>https://ftp.ncbi.nlm.nih.gov/genomes/all/GCA/004/015/025/GCA_004015025.1_ASM401502v1</t>
  </si>
  <si>
    <t>GCA_004028355.1</t>
  </si>
  <si>
    <t>https://ftp.ncbi.nlm.nih.gov/genomes/all/GCA/004/028/355/GCA_004028355.1_ASM402835v1</t>
  </si>
  <si>
    <t>GCA_004101885.1</t>
  </si>
  <si>
    <t>KCCM 35418</t>
  </si>
  <si>
    <t>https://ftp.ncbi.nlm.nih.gov/genomes/all/GCA/004/101/885/GCA_004101885.1_ASM410188v1</t>
  </si>
  <si>
    <t>GCA_004102925.1</t>
  </si>
  <si>
    <t>ATCC(B) 19146</t>
  </si>
  <si>
    <t>https://ftp.ncbi.nlm.nih.gov/genomes/all/GCA/004/102/925/GCA_004102925.1_ASM410292v1</t>
  </si>
  <si>
    <t>GCA_004104015.1</t>
  </si>
  <si>
    <t>HMT-708</t>
  </si>
  <si>
    <t>oricola</t>
  </si>
  <si>
    <t>R5292</t>
  </si>
  <si>
    <t>https://ftp.ncbi.nlm.nih.gov/genomes/all/GCA/004/104/015/GCA_004104015.1_ASM410401v1</t>
  </si>
  <si>
    <t>GCA_004104465.2</t>
  </si>
  <si>
    <t>LC_1315_18</t>
  </si>
  <si>
    <t>https://ftp.ncbi.nlm.nih.gov/genomes/all/GCA/004/104/465/GCA_004104465.2_ASM410446v2</t>
  </si>
  <si>
    <t>JCM 15619</t>
  </si>
  <si>
    <t>https://ftp.ncbi.nlm.nih.gov/genomes/all/GCA/004/114/655/GCA_004114655.2_ASM411465v2</t>
  </si>
  <si>
    <t>GCA_004117035.1</t>
  </si>
  <si>
    <t>SB1155</t>
  </si>
  <si>
    <t>https://ftp.ncbi.nlm.nih.gov/genomes/all/GCA/004/117/035/GCA_004117035.1_ASM411703v1</t>
  </si>
  <si>
    <t>GCA_004125365.1</t>
  </si>
  <si>
    <t>TRPF4</t>
  </si>
  <si>
    <t>https://ftp.ncbi.nlm.nih.gov/genomes/all/GCA/004/125/365/GCA_004125365.1_ASM412536v1</t>
  </si>
  <si>
    <t>GCA_004125815.1</t>
  </si>
  <si>
    <t>NU89</t>
  </si>
  <si>
    <t>https://ftp.ncbi.nlm.nih.gov/genomes/all/GCA/004/125/815/GCA_004125815.1_ASM412581v1</t>
  </si>
  <si>
    <t>GCA_004127205.1</t>
  </si>
  <si>
    <t>NU87</t>
  </si>
  <si>
    <t>https://ftp.ncbi.nlm.nih.gov/genomes/all/GCA/004/127/205/GCA_004127205.1_ASM412720v1</t>
  </si>
  <si>
    <t>GCA_004134945.1</t>
  </si>
  <si>
    <t>KG35</t>
  </si>
  <si>
    <t>https://ftp.ncbi.nlm.nih.gov/genomes/all/GCA/004/134/945/GCA_004134945.1_ASM413494v1</t>
  </si>
  <si>
    <t>GCA_004134955.1</t>
  </si>
  <si>
    <t>KG34</t>
  </si>
  <si>
    <t>https://ftp.ncbi.nlm.nih.gov/genomes/all/GCA/004/134/955/GCA_004134955.1_ASM413495v1</t>
  </si>
  <si>
    <t>GCA_004136195.1</t>
  </si>
  <si>
    <t>https://ftp.ncbi.nlm.nih.gov/genomes/all/GCA/004/136/195/GCA_004136195.1_ASM413619v1</t>
  </si>
  <si>
    <t>GCA_004136215.1</t>
  </si>
  <si>
    <t>https://ftp.ncbi.nlm.nih.gov/genomes/all/GCA/004/136/215/GCA_004136215.1_ASM413621v1</t>
  </si>
  <si>
    <t>GCA_004138065.1</t>
  </si>
  <si>
    <t>WP1a</t>
  </si>
  <si>
    <t>https://ftp.ncbi.nlm.nih.gov/genomes/all/GCA/004/138/065/GCA_004138065.1_ASM413806v1</t>
  </si>
  <si>
    <t>GCA_004138385.1</t>
  </si>
  <si>
    <t>HMT-346</t>
  </si>
  <si>
    <t>sp. HMT-346</t>
  </si>
  <si>
    <t>TM7_ANC_G1_1</t>
  </si>
  <si>
    <t>https://ftp.ncbi.nlm.nih.gov/genomes/all/GCA/004/138/385/GCA_004138385.1_ASM413838v1</t>
  </si>
  <si>
    <t>GCA_004138395.1</t>
  </si>
  <si>
    <t>HMT-367</t>
  </si>
  <si>
    <t>Nanosyncoccus</t>
  </si>
  <si>
    <t>alces</t>
  </si>
  <si>
    <t>TM7_G3_2_Rum_HOT_351B</t>
  </si>
  <si>
    <t>https://ftp.ncbi.nlm.nih.gov/genomes/all/GCA/004/138/395/GCA_004138395.1_ASM413839v1</t>
  </si>
  <si>
    <t>GCA_004138405.1</t>
  </si>
  <si>
    <t>HMT-371</t>
  </si>
  <si>
    <t>nanoralicus</t>
  </si>
  <si>
    <t>TM7_KMM_G3_1_HOT_351</t>
  </si>
  <si>
    <t>https://ftp.ncbi.nlm.nih.gov/genomes/all/GCA/004/138/405/GCA_004138405.1_ASM413840v1</t>
  </si>
  <si>
    <t>GCA_004138445.1</t>
  </si>
  <si>
    <t>HMT-356</t>
  </si>
  <si>
    <t>Nanoperiomorbus</t>
  </si>
  <si>
    <t>periodonticus</t>
  </si>
  <si>
    <t>TM7_ EAM_G5_2_HOT_356</t>
  </si>
  <si>
    <t>https://ftp.ncbi.nlm.nih.gov/genomes/all/GCA/004/138/445/GCA_004138445.1_ASM413844v1</t>
  </si>
  <si>
    <t>GCA_004138455.1</t>
  </si>
  <si>
    <t>TM7_ EAM_G5_1_HOT_356</t>
  </si>
  <si>
    <t>https://ftp.ncbi.nlm.nih.gov/genomes/all/GCA/004/138/455/GCA_004138455.1_ASM413845v1</t>
  </si>
  <si>
    <t>GCA_004151455.1</t>
  </si>
  <si>
    <t>HMT-870</t>
  </si>
  <si>
    <t>Nanogingivalis</t>
  </si>
  <si>
    <t>gingivitcus</t>
  </si>
  <si>
    <t>TM7_CMJM_G6_1_HOT_870</t>
  </si>
  <si>
    <t>https://ftp.ncbi.nlm.nih.gov/genomes/all/GCA/004/151/455/GCA_004151455.1_ASM415145v1</t>
  </si>
  <si>
    <t>GCA_004166885.1</t>
  </si>
  <si>
    <t>bf_0095</t>
  </si>
  <si>
    <t>https://ftp.ncbi.nlm.nih.gov/genomes/all/GCA/004/166/885/GCA_004166885.1_ASM416688v1</t>
  </si>
  <si>
    <t>GCA_004166915.1</t>
  </si>
  <si>
    <t>https://ftp.ncbi.nlm.nih.gov/genomes/all/GCA/004/166/915/GCA_004166915.1_ASM416691v1</t>
  </si>
  <si>
    <t>GCA_004166985.1</t>
  </si>
  <si>
    <t>bj_0095</t>
  </si>
  <si>
    <t>https://ftp.ncbi.nlm.nih.gov/genomes/all/GCA/004/166/985/GCA_004166985.1_ASM416698v1</t>
  </si>
  <si>
    <t>GCA_004214925.1</t>
  </si>
  <si>
    <t>H3</t>
  </si>
  <si>
    <t>https://ftp.ncbi.nlm.nih.gov/genomes/all/GCA/004/214/925/GCA_004214925.1_ASM421492v1</t>
  </si>
  <si>
    <t>GCA_004214945.1</t>
  </si>
  <si>
    <t>CP3</t>
  </si>
  <si>
    <t>https://ftp.ncbi.nlm.nih.gov/genomes/all/GCA/004/214/945/GCA_004214945.1_ASM421494v1</t>
  </si>
  <si>
    <t>GCA_004291115.2</t>
  </si>
  <si>
    <t>13T0028</t>
  </si>
  <si>
    <t>https://ftp.ncbi.nlm.nih.gov/genomes/all/GCA/004/291/115/GCA_004291115.2_ASM429111v2</t>
  </si>
  <si>
    <t>GCA_004291125.1</t>
  </si>
  <si>
    <t>05B0362</t>
  </si>
  <si>
    <t>https://ftp.ncbi.nlm.nih.gov/genomes/all/GCA/004/291/125/GCA_004291125.1_ASM429112v1</t>
  </si>
  <si>
    <t>GCA_004291175.2</t>
  </si>
  <si>
    <t>DVP5-16-4677</t>
  </si>
  <si>
    <t>https://ftp.ncbi.nlm.nih.gov/genomes/all/GCA/004/291/175/GCA_004291175.2_ASM429117v2</t>
  </si>
  <si>
    <t>GCA_004291195.1</t>
  </si>
  <si>
    <t>12B0021</t>
  </si>
  <si>
    <t>https://ftp.ncbi.nlm.nih.gov/genomes/all/GCA/004/291/195/GCA_004291195.1_ASM429119v1</t>
  </si>
  <si>
    <t>GCA_004295525.1</t>
  </si>
  <si>
    <t>ATCC 43504</t>
  </si>
  <si>
    <t>https://ftp.ncbi.nlm.nih.gov/genomes/all/GCA/004/295/525/GCA_004295525.1_HPATCC43504_01</t>
  </si>
  <si>
    <t>uniformis</t>
  </si>
  <si>
    <t>A1C1</t>
  </si>
  <si>
    <t>https://ftp.ncbi.nlm.nih.gov/genomes/all/GCA/004/328/515/GCA_004328515.1_ASM432851v1</t>
  </si>
  <si>
    <t>GCA_004331935.1</t>
  </si>
  <si>
    <t>https://ftp.ncbi.nlm.nih.gov/genomes/all/GCA/004/331/935/GCA_004331935.1_ASM433193v1</t>
  </si>
  <si>
    <t>GCA_004332555.2</t>
  </si>
  <si>
    <t>TFG-B2</t>
  </si>
  <si>
    <t>https://ftp.ncbi.nlm.nih.gov/genomes/all/GCA/004/332/555/GCA_004332555.2_ASM433255v2</t>
  </si>
  <si>
    <t>GCA_004336685.1</t>
  </si>
  <si>
    <t>https://ftp.ncbi.nlm.nih.gov/genomes/all/GCA/004/336/685/GCA_004336685.1_ASM433668v1</t>
  </si>
  <si>
    <t>GCA_004342465.1</t>
  </si>
  <si>
    <t>DSM 15264</t>
  </si>
  <si>
    <t>https://ftp.ncbi.nlm.nih.gov/genomes/all/GCA/004/342/465/GCA_004342465.1_ASM434246v1</t>
  </si>
  <si>
    <t>DSM 23917</t>
  </si>
  <si>
    <t>https://ftp.ncbi.nlm.nih.gov/genomes/all/GCA/004/342/845/GCA_004342845.1_ASM434284v1</t>
  </si>
  <si>
    <t>GCA_004346635.1</t>
  </si>
  <si>
    <t>https://ftp.ncbi.nlm.nih.gov/genomes/all/GCA/004/346/635/GCA_004346635.1_ASM434663v1</t>
  </si>
  <si>
    <t>GCA_004346925.1</t>
  </si>
  <si>
    <t>ASS1</t>
  </si>
  <si>
    <t>https://ftp.ncbi.nlm.nih.gov/genomes/all/GCA/004/346/925/GCA_004346925.1_ASM434692v1</t>
  </si>
  <si>
    <t>Sphingomonas</t>
  </si>
  <si>
    <t>glacialis</t>
  </si>
  <si>
    <t>AAP5</t>
  </si>
  <si>
    <t>https://ftp.ncbi.nlm.nih.gov/genomes/all/GCA/004/354/345/GCA_004354345.1_ASM435434v1</t>
  </si>
  <si>
    <t>GCA_004354485.1</t>
  </si>
  <si>
    <t>https://ftp.ncbi.nlm.nih.gov/genomes/all/GCA/004/354/485/GCA_004354485.1_ASM435448v1</t>
  </si>
  <si>
    <t>GCA_004354505.1</t>
  </si>
  <si>
    <t>ATCC 19258</t>
  </si>
  <si>
    <t>https://ftp.ncbi.nlm.nih.gov/genomes/all/GCA/004/354/505/GCA_004354505.1_ASM435450v1</t>
  </si>
  <si>
    <t>GCA_004354655.1</t>
  </si>
  <si>
    <t>https://ftp.ncbi.nlm.nih.gov/genomes/all/GCA/004/354/655/GCA_004354655.1_ASM435465v1</t>
  </si>
  <si>
    <t>GCA_004354685.1</t>
  </si>
  <si>
    <t>ATCC 8041</t>
  </si>
  <si>
    <t>https://ftp.ncbi.nlm.nih.gov/genomes/all/GCA/004/354/685/GCA_004354685.1_ASM435468v1</t>
  </si>
  <si>
    <t>GCA_004354745.1</t>
  </si>
  <si>
    <t>ATCC 4005</t>
  </si>
  <si>
    <t>https://ftp.ncbi.nlm.nih.gov/genomes/all/GCA/004/354/745/GCA_004354745.1_ASM435474v1</t>
  </si>
  <si>
    <t>GCA_004362455.1</t>
  </si>
  <si>
    <t>16-549009</t>
  </si>
  <si>
    <t>https://ftp.ncbi.nlm.nih.gov/genomes/all/GCA/004/362/455/GCA_004362455.1_ASM436245v1</t>
  </si>
  <si>
    <t>GCA_004365845.1</t>
  </si>
  <si>
    <t>AtDRG32</t>
  </si>
  <si>
    <t>https://ftp.ncbi.nlm.nih.gov/genomes/all/GCA/004/365/845/GCA_004365845.1_ASM436584v1</t>
  </si>
  <si>
    <t>GCA_004368395.1</t>
  </si>
  <si>
    <t>HI2028</t>
  </si>
  <si>
    <t>https://ftp.ncbi.nlm.nih.gov/genomes/all/GCA/004/368/395/GCA_004368395.1_ASM436839v1</t>
  </si>
  <si>
    <t>GCA_004368535.1</t>
  </si>
  <si>
    <t>ATCC 33390</t>
  </si>
  <si>
    <t>https://ftp.ncbi.nlm.nih.gov/genomes/all/GCA/004/368/535/GCA_004368535.1_ASM436853v1</t>
  </si>
  <si>
    <t>JCM 14302</t>
  </si>
  <si>
    <t>https://ftp.ncbi.nlm.nih.gov/genomes/all/GCA/004/519/295/GCA_004519295.1_ASM451929v1</t>
  </si>
  <si>
    <t>GCA_004525795.1</t>
  </si>
  <si>
    <t>HMT-688</t>
  </si>
  <si>
    <t>viscosus</t>
  </si>
  <si>
    <t>CCUG 14476</t>
  </si>
  <si>
    <t>https://ftp.ncbi.nlm.nih.gov/genomes/all/GCA/004/525/795/GCA_004525795.1_ASM452579v1</t>
  </si>
  <si>
    <t>GCA_004563855.1</t>
  </si>
  <si>
    <t>1C11</t>
  </si>
  <si>
    <t>https://ftp.ncbi.nlm.nih.gov/genomes/all/GCA/004/563/855/GCA_004563855.1_ASM456385v1</t>
  </si>
  <si>
    <t>GCA_004563945.1</t>
  </si>
  <si>
    <t>4R-31</t>
  </si>
  <si>
    <t>https://ftp.ncbi.nlm.nih.gov/genomes/all/GCA/004/563/945/GCA_004563945.1_ASM456394v1</t>
  </si>
  <si>
    <t>GCA_004614315.1</t>
  </si>
  <si>
    <t>JK3137</t>
  </si>
  <si>
    <t>https://ftp.ncbi.nlm.nih.gov/genomes/all/GCA/004/614/315/GCA_004614315.1_ASM461431v1</t>
  </si>
  <si>
    <t>GCA_004635725.1</t>
  </si>
  <si>
    <t>J693</t>
  </si>
  <si>
    <t>https://ftp.ncbi.nlm.nih.gov/genomes/all/GCA/004/635/725/GCA_004635725.1_ASM463572v1</t>
  </si>
  <si>
    <t>GCA_004635905.1</t>
  </si>
  <si>
    <t>J603</t>
  </si>
  <si>
    <t>https://ftp.ncbi.nlm.nih.gov/genomes/all/GCA/004/635/905/GCA_004635905.1_ASM463590v1</t>
  </si>
  <si>
    <t>GCA_004772215.1</t>
  </si>
  <si>
    <t>O268</t>
  </si>
  <si>
    <t>https://ftp.ncbi.nlm.nih.gov/genomes/all/GCA/004/772/215/GCA_004772215.1_ASM477221v1</t>
  </si>
  <si>
    <t>GCA_004785935.1</t>
  </si>
  <si>
    <t>HMT-415</t>
  </si>
  <si>
    <t>rubneri</t>
  </si>
  <si>
    <t>DSM 26920</t>
  </si>
  <si>
    <t>https://ftp.ncbi.nlm.nih.gov/genomes/all/GCA/004/785/935/GCA_004785935.1_ASM478593v1</t>
  </si>
  <si>
    <t>GCA_004793845.1</t>
  </si>
  <si>
    <t>NM47_B9-13</t>
  </si>
  <si>
    <t>https://ftp.ncbi.nlm.nih.gov/genomes/all/GCA/004/793/845/GCA_004793845.1_ASM479384v1</t>
  </si>
  <si>
    <t>GCA_004803795.1</t>
  </si>
  <si>
    <t>ATCC 33238</t>
  </si>
  <si>
    <t>https://ftp.ncbi.nlm.nih.gov/genomes/all/GCA/004/803/795/GCA_004803795.1_ASM480379v1</t>
  </si>
  <si>
    <t>GCA_004803815.1</t>
  </si>
  <si>
    <t>ATCC 51146</t>
  </si>
  <si>
    <t>https://ftp.ncbi.nlm.nih.gov/genomes/all/GCA/004/803/815/GCA_004803815.1_ASM480381v1</t>
  </si>
  <si>
    <t>GCA_005157865.1</t>
  </si>
  <si>
    <t>Koumiss</t>
  </si>
  <si>
    <t>https://ftp.ncbi.nlm.nih.gov/genomes/all/GCA/005/157/865/GCA_005157865.1_ASM515786v1</t>
  </si>
  <si>
    <t>GCA_005158025.1</t>
  </si>
  <si>
    <t>FC</t>
  </si>
  <si>
    <t>https://ftp.ncbi.nlm.nih.gov/genomes/all/GCA/005/158/025/GCA_005158025.1_ASM515802v1</t>
  </si>
  <si>
    <t>GCA_005162405.1</t>
  </si>
  <si>
    <t>emm56</t>
  </si>
  <si>
    <t>https://ftp.ncbi.nlm.nih.gov/genomes/all/GCA/005/162/405/GCA_005162405.1_ASM516240v1</t>
  </si>
  <si>
    <t>GCA_005221285.1</t>
  </si>
  <si>
    <t>ATCC 13120</t>
  </si>
  <si>
    <t>https://ftp.ncbi.nlm.nih.gov/genomes/all/GCA/005/221/285/GCA_005221285.1_ASM522128v1</t>
  </si>
  <si>
    <t>GCA_005221305.1</t>
  </si>
  <si>
    <t>ATCC 49275</t>
  </si>
  <si>
    <t>https://ftp.ncbi.nlm.nih.gov/genomes/all/GCA/005/221/305/GCA_005221305.1_ASM522130v1</t>
  </si>
  <si>
    <t>GCA_005221325.1</t>
  </si>
  <si>
    <t>HMT-485</t>
  </si>
  <si>
    <t>Agrobacterium</t>
  </si>
  <si>
    <t>tumefaciens</t>
  </si>
  <si>
    <t>CFBP5499</t>
  </si>
  <si>
    <t>https://ftp.ncbi.nlm.nih.gov/genomes/all/GCA/005/221/325/GCA_005221325.1_ASM522132v1</t>
  </si>
  <si>
    <t>GCA_005221345.1</t>
  </si>
  <si>
    <t>CFBP5877</t>
  </si>
  <si>
    <t>https://ftp.ncbi.nlm.nih.gov/genomes/all/GCA/005/221/345/GCA_005221345.1_ASM522134v1</t>
  </si>
  <si>
    <t>GCA_005233655.1</t>
  </si>
  <si>
    <t>CFBP13530</t>
  </si>
  <si>
    <t>https://ftp.ncbi.nlm.nih.gov/genomes/all/GCA/005/233/655/GCA_005233655.1_ASM523365v1</t>
  </si>
  <si>
    <t>GCA_005403165.1</t>
  </si>
  <si>
    <t>PAGU 1578</t>
  </si>
  <si>
    <t>https://ftp.ncbi.nlm.nih.gov/genomes/all/GCA/005/403/165/GCA_005403165.1_ASM540316v1</t>
  </si>
  <si>
    <t>GCA_005403265.1</t>
  </si>
  <si>
    <t>PAGU 1579</t>
  </si>
  <si>
    <t>https://ftp.ncbi.nlm.nih.gov/genomes/all/GCA/005/403/265/GCA_005403265.1_ASM540326v1</t>
  </si>
  <si>
    <t>GCA_005502385.1</t>
  </si>
  <si>
    <t>L2B</t>
  </si>
  <si>
    <t>https://ftp.ncbi.nlm.nih.gov/genomes/all/GCA/005/502/385/GCA_005502385.1_ASM550238v1</t>
  </si>
  <si>
    <t>GCA_005502985.1</t>
  </si>
  <si>
    <t>U</t>
  </si>
  <si>
    <t>https://ftp.ncbi.nlm.nih.gov/genomes/all/GCA/005/502/985/GCA_005502985.1_ASM550298v1</t>
  </si>
  <si>
    <t>GCA_005503465.1</t>
  </si>
  <si>
    <t>4NA327F11</t>
  </si>
  <si>
    <t>https://ftp.ncbi.nlm.nih.gov/genomes/all/GCA/005/503/465/GCA_005503465.1_ASM550346v1</t>
  </si>
  <si>
    <t>GCA_005503595.1</t>
  </si>
  <si>
    <t>2VL</t>
  </si>
  <si>
    <t>https://ftp.ncbi.nlm.nih.gov/genomes/all/GCA/005/503/595/GCA_005503595.1_ASM550359v1</t>
  </si>
  <si>
    <t>GCA_005519305.1</t>
  </si>
  <si>
    <t>DD78</t>
  </si>
  <si>
    <t>https://ftp.ncbi.nlm.nih.gov/genomes/all/GCA/005/519/305/GCA_005519305.1_ASM551930v1</t>
  </si>
  <si>
    <t>https://ftp.ncbi.nlm.nih.gov/genomes/all/GCA/005/670/605/GCA_005670605.1_ASM567060v1</t>
  </si>
  <si>
    <t>F0337</t>
  </si>
  <si>
    <t>https://ftp.ncbi.nlm.nih.gov/genomes/all/GCA/005/696/555/GCA_005696555.1_ASM569655v1</t>
  </si>
  <si>
    <t>GCA_005696695.1</t>
  </si>
  <si>
    <t>https://ftp.ncbi.nlm.nih.gov/genomes/all/GCA/005/696/695/GCA_005696695.1_ASM569669v1</t>
  </si>
  <si>
    <t>GCA_005696855.1</t>
  </si>
  <si>
    <t>F0700</t>
  </si>
  <si>
    <t>https://ftp.ncbi.nlm.nih.gov/genomes/all/GCA/005/696/855/GCA_005696855.1_ASM569685v1</t>
  </si>
  <si>
    <t>GCA_005697055.1</t>
  </si>
  <si>
    <t>HMT-955</t>
  </si>
  <si>
    <t>sicarius</t>
  </si>
  <si>
    <t>PM004</t>
  </si>
  <si>
    <t>https://ftp.ncbi.nlm.nih.gov/genomes/all/GCA/005/697/055/GCA_005697055.1_ASM569705v1</t>
  </si>
  <si>
    <t>GCA_005697215.1</t>
  </si>
  <si>
    <t>HMT-488</t>
  </si>
  <si>
    <t>fur</t>
  </si>
  <si>
    <t>AC001</t>
  </si>
  <si>
    <t>https://ftp.ncbi.nlm.nih.gov/genomes/all/GCA/005/697/215/GCA_005697215.1_ASM569721v1</t>
  </si>
  <si>
    <t>https://ftp.ncbi.nlm.nih.gov/genomes/all/GCA/005/697/395/GCA_005697395.1_ASM569739v1</t>
  </si>
  <si>
    <t>featherlites</t>
  </si>
  <si>
    <t>BB001</t>
  </si>
  <si>
    <t>https://ftp.ncbi.nlm.nih.gov/genomes/all/GCA/005/697/565/GCA_005697565.1_ASM569756v1</t>
  </si>
  <si>
    <t>GCA_005706435.1</t>
  </si>
  <si>
    <t>PK-01</t>
  </si>
  <si>
    <t>https://ftp.ncbi.nlm.nih.gov/genomes/all/GCA/005/706/435/GCA_005706435.1_ASM570643v1</t>
  </si>
  <si>
    <t>GCA_005773845.1</t>
  </si>
  <si>
    <t>T45-374</t>
  </si>
  <si>
    <t>https://ftp.ncbi.nlm.nih.gov/genomes/all/GCA/005/773/845/GCA_005773845.1_ASM577384v1</t>
  </si>
  <si>
    <t>GCA_005773885.1</t>
  </si>
  <si>
    <t>T45-496</t>
  </si>
  <si>
    <t>https://ftp.ncbi.nlm.nih.gov/genomes/all/GCA/005/773/885/GCA_005773885.1_ASM577388v1</t>
  </si>
  <si>
    <t>GCA_005773905.1</t>
  </si>
  <si>
    <t>https://ftp.ncbi.nlm.nih.gov/genomes/all/GCA/005/773/905/GCA_005773905.1_ASM577390v1</t>
  </si>
  <si>
    <t>GCA_005773925.1</t>
  </si>
  <si>
    <t>T28840</t>
  </si>
  <si>
    <t>https://ftp.ncbi.nlm.nih.gov/genomes/all/GCA/005/773/925/GCA_005773925.1_ASM577392v1</t>
  </si>
  <si>
    <t>GCA_005773965.1</t>
  </si>
  <si>
    <t>T28-811</t>
  </si>
  <si>
    <t>https://ftp.ncbi.nlm.nih.gov/genomes/all/GCA/005/773/965/GCA_005773965.1_ASM577396v1</t>
  </si>
  <si>
    <t>GCA_005774105.1</t>
  </si>
  <si>
    <t>P15-207</t>
  </si>
  <si>
    <t>https://ftp.ncbi.nlm.nih.gov/genomes/all/GCA/005/774/105/GCA_005774105.1_ASM577410v1</t>
  </si>
  <si>
    <t>GCA_005774145.1</t>
  </si>
  <si>
    <t>https://ftp.ncbi.nlm.nih.gov/genomes/all/GCA/005/774/145/GCA_005774145.1_ASM577414v1</t>
  </si>
  <si>
    <t>GCA_005774205.1</t>
  </si>
  <si>
    <t>https://ftp.ncbi.nlm.nih.gov/genomes/all/GCA/005/774/205/GCA_005774205.1_ASM577420v1</t>
  </si>
  <si>
    <t>GCA_005774245.1</t>
  </si>
  <si>
    <t>https://ftp.ncbi.nlm.nih.gov/genomes/all/GCA/005/774/245/GCA_005774245.1_ASM577424v1</t>
  </si>
  <si>
    <t>GCA_005774405.1</t>
  </si>
  <si>
    <t>https://ftp.ncbi.nlm.nih.gov/genomes/all/GCA/005/774/405/GCA_005774405.1_ASM577440v1</t>
  </si>
  <si>
    <t>GCA_005774425.1</t>
  </si>
  <si>
    <t>https://ftp.ncbi.nlm.nih.gov/genomes/all/GCA/005/774/425/GCA_005774425.1_ASM577442v1</t>
  </si>
  <si>
    <t>GCA_005774435.1</t>
  </si>
  <si>
    <t>https://ftp.ncbi.nlm.nih.gov/genomes/all/GCA/005/774/435/GCA_005774435.1_ASM577443v1</t>
  </si>
  <si>
    <t>GCA_005796055.1</t>
  </si>
  <si>
    <t>P313</t>
  </si>
  <si>
    <t>https://ftp.ncbi.nlm.nih.gov/genomes/all/GCA/005/796/055/GCA_005796055.1_ASM579605v1</t>
  </si>
  <si>
    <t>GCA_005844225.1</t>
  </si>
  <si>
    <t>BSD2780061688st1_A10</t>
  </si>
  <si>
    <t>https://ftp.ncbi.nlm.nih.gov/genomes/all/GCA/005/844/225/GCA_005844225.1_ASM584422v1</t>
  </si>
  <si>
    <t>GCA_005862145.1</t>
  </si>
  <si>
    <t>KGMB03662</t>
  </si>
  <si>
    <t>https://ftp.ncbi.nlm.nih.gov/genomes/all/GCA/005/862/145/GCA_005862145.1_ASM586214v1</t>
  </si>
  <si>
    <t>GCA_005864225.1</t>
  </si>
  <si>
    <t>FAM 1079</t>
  </si>
  <si>
    <t>https://ftp.ncbi.nlm.nih.gov/genomes/all/GCA/005/864/225/GCA_005864225.1_ASM586422v1</t>
  </si>
  <si>
    <t>GCA_005885795.1</t>
  </si>
  <si>
    <t>X-4</t>
  </si>
  <si>
    <t>https://ftp.ncbi.nlm.nih.gov/genomes/all/GCA/005/885/795/GCA_005885795.1_ASM588579v1</t>
  </si>
  <si>
    <t>GCA_005886145.1</t>
  </si>
  <si>
    <t>https://ftp.ncbi.nlm.nih.gov/genomes/all/GCA/005/886/145/GCA_005886145.1_ASM588614v1</t>
  </si>
  <si>
    <t>https://ftp.ncbi.nlm.nih.gov/genomes/all/GCA/005/886/335/GCA_005886335.1_ASM588633v1</t>
  </si>
  <si>
    <t>GCA_005886435.1</t>
  </si>
  <si>
    <t>https://ftp.ncbi.nlm.nih.gov/genomes/all/GCA/005/886/435/GCA_005886435.1_ASM588643v1</t>
  </si>
  <si>
    <t>GCA_005888175.1</t>
  </si>
  <si>
    <t>F3030</t>
  </si>
  <si>
    <t>https://ftp.ncbi.nlm.nih.gov/genomes/all/GCA/005/888/175/GCA_005888175.1_ASM588817v1</t>
  </si>
  <si>
    <t>GCA_005888185.1</t>
  </si>
  <si>
    <t>F3283</t>
  </si>
  <si>
    <t>https://ftp.ncbi.nlm.nih.gov/genomes/all/GCA/005/888/185/GCA_005888185.1_ASM588818v1</t>
  </si>
  <si>
    <t>GCA_005888195.1</t>
  </si>
  <si>
    <t>KC1018</t>
  </si>
  <si>
    <t>https://ftp.ncbi.nlm.nih.gov/genomes/all/GCA/005/888/195/GCA_005888195.1_ASM588819v1</t>
  </si>
  <si>
    <t>GCA_005888205.1</t>
  </si>
  <si>
    <t>F3039</t>
  </si>
  <si>
    <t>https://ftp.ncbi.nlm.nih.gov/genomes/all/GCA/005/888/205/GCA_005888205.1_ASM588820v1</t>
  </si>
  <si>
    <t>GCA_005888215.1</t>
  </si>
  <si>
    <t>F3042</t>
  </si>
  <si>
    <t>https://ftp.ncbi.nlm.nih.gov/genomes/all/GCA/005/888/215/GCA_005888215.1_ASM588821v1</t>
  </si>
  <si>
    <t>GCA_005888265.1</t>
  </si>
  <si>
    <t>F1946</t>
  </si>
  <si>
    <t>https://ftp.ncbi.nlm.nih.gov/genomes/all/GCA/005/888/265/GCA_005888265.1_ASM588826v1</t>
  </si>
  <si>
    <t>GCA_005890235.1</t>
  </si>
  <si>
    <t>BHN913</t>
  </si>
  <si>
    <t>https://ftp.ncbi.nlm.nih.gov/genomes/all/GCA/005/890/235/GCA_005890235.1_ASM589023v1</t>
  </si>
  <si>
    <t>GCA_005890245.1</t>
  </si>
  <si>
    <t>BHN916</t>
  </si>
  <si>
    <t>https://ftp.ncbi.nlm.nih.gov/genomes/all/GCA/005/890/245/GCA_005890245.1_ASM589024v1</t>
  </si>
  <si>
    <t>GCA_005890255.1</t>
  </si>
  <si>
    <t>BHN914</t>
  </si>
  <si>
    <t>https://ftp.ncbi.nlm.nih.gov/genomes/all/GCA/005/890/255/GCA_005890255.1_ASM589025v1</t>
  </si>
  <si>
    <t>GCA_005890265.1</t>
  </si>
  <si>
    <t>BHN915</t>
  </si>
  <si>
    <t>https://ftp.ncbi.nlm.nih.gov/genomes/all/GCA/005/890/265/GCA_005890265.1_ASM589026v1</t>
  </si>
  <si>
    <t>GCA_005890285.1</t>
  </si>
  <si>
    <t>BHN919</t>
  </si>
  <si>
    <t>https://ftp.ncbi.nlm.nih.gov/genomes/all/GCA/005/890/285/GCA_005890285.1_ASM589028v1</t>
  </si>
  <si>
    <t>GCA_005890345.1</t>
  </si>
  <si>
    <t>BHN892</t>
  </si>
  <si>
    <t>https://ftp.ncbi.nlm.nih.gov/genomes/all/GCA/005/890/345/GCA_005890345.1_ASM589034v1</t>
  </si>
  <si>
    <t>GCA_005890355.1</t>
  </si>
  <si>
    <t>BHN886</t>
  </si>
  <si>
    <t>https://ftp.ncbi.nlm.nih.gov/genomes/all/GCA/005/890/355/GCA_005890355.1_ASM589035v1</t>
  </si>
  <si>
    <t>GCA_005890375.1</t>
  </si>
  <si>
    <t>BHN885</t>
  </si>
  <si>
    <t>https://ftp.ncbi.nlm.nih.gov/genomes/all/GCA/005/890/375/GCA_005890375.1_ASM589037v1</t>
  </si>
  <si>
    <t>GCA_005890385.1</t>
  </si>
  <si>
    <t>BHN880</t>
  </si>
  <si>
    <t>https://ftp.ncbi.nlm.nih.gov/genomes/all/GCA/005/890/385/GCA_005890385.1_ASM589038v1</t>
  </si>
  <si>
    <t>GCA_005890435.1</t>
  </si>
  <si>
    <t>BHN871</t>
  </si>
  <si>
    <t>https://ftp.ncbi.nlm.nih.gov/genomes/all/GCA/005/890/435/GCA_005890435.1_ASM589043v1</t>
  </si>
  <si>
    <t>GCA_005890445.1</t>
  </si>
  <si>
    <t>BHN868</t>
  </si>
  <si>
    <t>https://ftp.ncbi.nlm.nih.gov/genomes/all/GCA/005/890/445/GCA_005890445.1_ASM589044v1</t>
  </si>
  <si>
    <t>GCA_005890465.1</t>
  </si>
  <si>
    <t>BHN918</t>
  </si>
  <si>
    <t>https://ftp.ncbi.nlm.nih.gov/genomes/all/GCA/005/890/465/GCA_005890465.1_ASM589046v1</t>
  </si>
  <si>
    <t>GCA_005890475.1</t>
  </si>
  <si>
    <t>BHN920</t>
  </si>
  <si>
    <t>https://ftp.ncbi.nlm.nih.gov/genomes/all/GCA/005/890/475/GCA_005890475.1_ASM589047v1</t>
  </si>
  <si>
    <t>GCA_005890485.1</t>
  </si>
  <si>
    <t>BHN922</t>
  </si>
  <si>
    <t>https://ftp.ncbi.nlm.nih.gov/genomes/all/GCA/005/890/485/GCA_005890485.1_ASM589048v1</t>
  </si>
  <si>
    <t>GCA_005890525.1</t>
  </si>
  <si>
    <t>BHN912</t>
  </si>
  <si>
    <t>https://ftp.ncbi.nlm.nih.gov/genomes/all/GCA/005/890/525/GCA_005890525.1_ASM589052v1</t>
  </si>
  <si>
    <t>GCA_005890545.1</t>
  </si>
  <si>
    <t>BHN893</t>
  </si>
  <si>
    <t>https://ftp.ncbi.nlm.nih.gov/genomes/all/GCA/005/890/545/GCA_005890545.1_ASM589054v1</t>
  </si>
  <si>
    <t>GCA_005890555.1</t>
  </si>
  <si>
    <t>BHN891</t>
  </si>
  <si>
    <t>https://ftp.ncbi.nlm.nih.gov/genomes/all/GCA/005/890/555/GCA_005890555.1_ASM589055v1</t>
  </si>
  <si>
    <t>GCA_005890575.1</t>
  </si>
  <si>
    <t>BHN881</t>
  </si>
  <si>
    <t>https://ftp.ncbi.nlm.nih.gov/genomes/all/GCA/005/890/575/GCA_005890575.1_ASM589057v1</t>
  </si>
  <si>
    <t>GCA_005890605.1</t>
  </si>
  <si>
    <t>BHN877</t>
  </si>
  <si>
    <t>https://ftp.ncbi.nlm.nih.gov/genomes/all/GCA/005/890/605/GCA_005890605.1_ASM589060v1</t>
  </si>
  <si>
    <t>GCA_005890625.1</t>
  </si>
  <si>
    <t>BHN879</t>
  </si>
  <si>
    <t>https://ftp.ncbi.nlm.nih.gov/genomes/all/GCA/005/890/625/GCA_005890625.1_ASM589062v1</t>
  </si>
  <si>
    <t>GCA_005937155.1</t>
  </si>
  <si>
    <t>T45496</t>
  </si>
  <si>
    <t>https://ftp.ncbi.nlm.nih.gov/genomes/all/GCA/005/937/155/GCA_005937155.1_ASM593715v1</t>
  </si>
  <si>
    <t>GCA_005937245.1</t>
  </si>
  <si>
    <t>T19558</t>
  </si>
  <si>
    <t>https://ftp.ncbi.nlm.nih.gov/genomes/all/GCA/005/937/245/GCA_005937245.1_ASM593724v1</t>
  </si>
  <si>
    <t>GCA_005937265.1</t>
  </si>
  <si>
    <t>T28811</t>
  </si>
  <si>
    <t>https://ftp.ncbi.nlm.nih.gov/genomes/all/GCA/005/937/265/GCA_005937265.1_ASM593726v1</t>
  </si>
  <si>
    <t>GCA_005937345.1</t>
  </si>
  <si>
    <t>T45801</t>
  </si>
  <si>
    <t>https://ftp.ncbi.nlm.nih.gov/genomes/all/GCA/005/937/345/GCA_005937345.1_ASM593734v1</t>
  </si>
  <si>
    <t>GCA_005937375.1</t>
  </si>
  <si>
    <t>T16975</t>
  </si>
  <si>
    <t>https://ftp.ncbi.nlm.nih.gov/genomes/all/GCA/005/937/375/GCA_005937375.1_ASM593737v1</t>
  </si>
  <si>
    <t>GCA_005937385.1</t>
  </si>
  <si>
    <t>T45864</t>
  </si>
  <si>
    <t>https://ftp.ncbi.nlm.nih.gov/genomes/all/GCA/005/937/385/GCA_005937385.1_ASM593738v1</t>
  </si>
  <si>
    <t>GCA_005937555.1</t>
  </si>
  <si>
    <t>T45374</t>
  </si>
  <si>
    <t>https://ftp.ncbi.nlm.nih.gov/genomes/all/GCA/005/937/555/GCA_005937555.1_ASM593755v1</t>
  </si>
  <si>
    <t>GCA_005937615.1</t>
  </si>
  <si>
    <t>https://ftp.ncbi.nlm.nih.gov/genomes/all/GCA/005/937/615/GCA_005937615.1_ASM593761v1</t>
  </si>
  <si>
    <t>GCA_005937655.1</t>
  </si>
  <si>
    <t>T19584</t>
  </si>
  <si>
    <t>https://ftp.ncbi.nlm.nih.gov/genomes/all/GCA/005/937/655/GCA_005937655.1_ASM593765v1</t>
  </si>
  <si>
    <t>GCA_005937695.1</t>
  </si>
  <si>
    <t>T70038</t>
  </si>
  <si>
    <t>https://ftp.ncbi.nlm.nih.gov/genomes/all/GCA/005/937/695/GCA_005937695.1_ASM593769v1</t>
  </si>
  <si>
    <t>GCA_006088775.1</t>
  </si>
  <si>
    <t>SCDR 1</t>
  </si>
  <si>
    <t>https://ftp.ncbi.nlm.nih.gov/genomes/all/GCA/006/088/775/GCA_006088775.1_ASM608877v1</t>
  </si>
  <si>
    <t>GCA_006094315.1</t>
  </si>
  <si>
    <t>https://ftp.ncbi.nlm.nih.gov/genomes/all/GCA/006/094/315/GCA_006094315.1_ASM609431v1</t>
  </si>
  <si>
    <t>GCA_006094375.1</t>
  </si>
  <si>
    <t>https://ftp.ncbi.nlm.nih.gov/genomes/all/GCA/006/094/375/GCA_006094375.1_ASM609437v1</t>
  </si>
  <si>
    <t>GCA_006094395.1</t>
  </si>
  <si>
    <t>ATCC 29970</t>
  </si>
  <si>
    <t>https://ftp.ncbi.nlm.nih.gov/genomes/all/GCA/006/094/395/GCA_006094395.1_ASM609439v1</t>
  </si>
  <si>
    <t>GCA_006094415.1</t>
  </si>
  <si>
    <t>ATCC 4698</t>
  </si>
  <si>
    <t>https://ftp.ncbi.nlm.nih.gov/genomes/all/GCA/006/094/415/GCA_006094415.1_ASM609441v1</t>
  </si>
  <si>
    <t>GCA_006094915.1</t>
  </si>
  <si>
    <t>ATCC 12600</t>
  </si>
  <si>
    <t>https://ftp.ncbi.nlm.nih.gov/genomes/all/GCA/006/094/915/GCA_006094915.1_ASM609491v1</t>
  </si>
  <si>
    <t>CavFT-hAR46</t>
  </si>
  <si>
    <t>https://ftp.ncbi.nlm.nih.gov/genomes/all/GCA/006/149/185/GCA_006149185.1_ASM614918v1</t>
  </si>
  <si>
    <t>GCA_006175905.1</t>
  </si>
  <si>
    <t>ATCC 9811</t>
  </si>
  <si>
    <t>https://ftp.ncbi.nlm.nih.gov/genomes/all/GCA/006/175/905/GCA_006175905.1_ASM617590v1</t>
  </si>
  <si>
    <t>GCA_006228205.1</t>
  </si>
  <si>
    <t>UCCLBBS124</t>
  </si>
  <si>
    <t>https://ftp.ncbi.nlm.nih.gov/genomes/all/GCA/006/228/205/GCA_006228205.1_ASM622820v1</t>
  </si>
  <si>
    <t>GCA_006228265.1</t>
  </si>
  <si>
    <t>UCCLB95</t>
  </si>
  <si>
    <t>https://ftp.ncbi.nlm.nih.gov/genomes/all/GCA/006/228/265/GCA_006228265.1_ASM622826v1</t>
  </si>
  <si>
    <t>GCA_006228305.1</t>
  </si>
  <si>
    <t>UCCLB521</t>
  </si>
  <si>
    <t>https://ftp.ncbi.nlm.nih.gov/genomes/all/GCA/006/228/305/GCA_006228305.1_ASM622830v1</t>
  </si>
  <si>
    <t>GCA_006228325.1</t>
  </si>
  <si>
    <t>https://ftp.ncbi.nlm.nih.gov/genomes/all/GCA/006/228/325/GCA_006228325.1_ASM622832v1</t>
  </si>
  <si>
    <t>GCA_006240615.1</t>
  </si>
  <si>
    <t>T51788</t>
  </si>
  <si>
    <t>https://ftp.ncbi.nlm.nih.gov/genomes/all/GCA/006/240/615/GCA_006240615.1_ASM624061v1</t>
  </si>
  <si>
    <t>GCA_006240625.1</t>
  </si>
  <si>
    <t>T55800</t>
  </si>
  <si>
    <t>https://ftp.ncbi.nlm.nih.gov/genomes/all/GCA/006/240/625/GCA_006240625.1_ASM624062v1</t>
  </si>
  <si>
    <t>GCA_006240665.1</t>
  </si>
  <si>
    <t>T45321</t>
  </si>
  <si>
    <t>https://ftp.ncbi.nlm.nih.gov/genomes/all/GCA/006/240/665/GCA_006240665.1_ASM624066v1</t>
  </si>
  <si>
    <t>GCA_006240685.1</t>
  </si>
  <si>
    <t>T77719</t>
  </si>
  <si>
    <t>https://ftp.ncbi.nlm.nih.gov/genomes/all/GCA/006/240/685/GCA_006240685.1_ASM624068v1</t>
  </si>
  <si>
    <t>GCA_006240705.1</t>
  </si>
  <si>
    <t>T77864</t>
  </si>
  <si>
    <t>https://ftp.ncbi.nlm.nih.gov/genomes/all/GCA/006/240/705/GCA_006240705.1_ASM624070v1</t>
  </si>
  <si>
    <t>GCA_006240735.1</t>
  </si>
  <si>
    <t>T27324</t>
  </si>
  <si>
    <t>https://ftp.ncbi.nlm.nih.gov/genomes/all/GCA/006/240/735/GCA_006240735.1_ASM624073v1</t>
  </si>
  <si>
    <t>GCA_006364675.1</t>
  </si>
  <si>
    <t>FDAARGOS_773</t>
  </si>
  <si>
    <t>https://ftp.ncbi.nlm.nih.gov/genomes/all/GCA/006/364/675/GCA_006364675.1_ASM636467v1</t>
  </si>
  <si>
    <t>https://ftp.ncbi.nlm.nih.gov/genomes/all/GCA/006/385/365/GCA_006385365.1_ASM638536v1</t>
  </si>
  <si>
    <t>GCA_006385805.1</t>
  </si>
  <si>
    <t>E24</t>
  </si>
  <si>
    <t>https://ftp.ncbi.nlm.nih.gov/genomes/all/GCA/006/385/805/GCA_006385805.1_ASM638580v1</t>
  </si>
  <si>
    <t>GCA_006386535.1</t>
  </si>
  <si>
    <t>https://ftp.ncbi.nlm.nih.gov/genomes/all/GCA/006/386/535/GCA_006386535.1_ASM638653v1</t>
  </si>
  <si>
    <t>E6.1</t>
  </si>
  <si>
    <t>https://ftp.ncbi.nlm.nih.gov/genomes/all/GCA/006/439/055/GCA_006439055.1_ASM643905v1</t>
  </si>
  <si>
    <t>GCA_006439125.1</t>
  </si>
  <si>
    <t>CCUG 31732</t>
  </si>
  <si>
    <t>https://ftp.ncbi.nlm.nih.gov/genomes/all/GCA/006/439/125/GCA_006439125.1_ASM643912v1</t>
  </si>
  <si>
    <t>GCA_006439155.1</t>
  </si>
  <si>
    <t>CCUG 11096</t>
  </si>
  <si>
    <t>https://ftp.ncbi.nlm.nih.gov/genomes/all/GCA/006/439/155/GCA_006439155.1_ASM643915v1</t>
  </si>
  <si>
    <t>GCA_006439165.1</t>
  </si>
  <si>
    <t>65151 B Hi-4</t>
  </si>
  <si>
    <t>https://ftp.ncbi.nlm.nih.gov/genomes/all/GCA/006/439/165/GCA_006439165.1_ASM643916v1</t>
  </si>
  <si>
    <t>GCA_006439215.1</t>
  </si>
  <si>
    <t>60982 B Hi-1</t>
  </si>
  <si>
    <t>https://ftp.ncbi.nlm.nih.gov/genomes/all/GCA/006/439/215/GCA_006439215.1_ASM643921v1</t>
  </si>
  <si>
    <t>GCA_006439235.1</t>
  </si>
  <si>
    <t>60971 B Hi-3</t>
  </si>
  <si>
    <t>https://ftp.ncbi.nlm.nih.gov/genomes/all/GCA/006/439/235/GCA_006439235.1_ASM643923v1</t>
  </si>
  <si>
    <t>GCA_006539665.1</t>
  </si>
  <si>
    <t>NBRC 14791</t>
  </si>
  <si>
    <t>https://ftp.ncbi.nlm.nih.gov/genomes/all/GCA/006/539/665/GCA_006539665.1_ASM653966v1</t>
  </si>
  <si>
    <t>GCA_006540205.1</t>
  </si>
  <si>
    <t>NBRC 15717</t>
  </si>
  <si>
    <t>https://ftp.ncbi.nlm.nih.gov/genomes/all/GCA/006/540/205/GCA_006540205.1_ASM654020v1</t>
  </si>
  <si>
    <t>GCA_006540355.1</t>
  </si>
  <si>
    <t>TCR-3</t>
  </si>
  <si>
    <t>https://ftp.ncbi.nlm.nih.gov/genomes/all/GCA/006/540/355/GCA_006540355.1_ASM654035v1</t>
  </si>
  <si>
    <t>GCA_006542645.1</t>
  </si>
  <si>
    <t>3BBH6</t>
  </si>
  <si>
    <t>https://ftp.ncbi.nlm.nih.gov/genomes/all/GCA/006/542/645/GCA_006542645.1_Aond_1.0</t>
  </si>
  <si>
    <t>GCA_006542705.1</t>
  </si>
  <si>
    <t>5CPYCFAH4</t>
  </si>
  <si>
    <t>https://ftp.ncbi.nlm.nih.gov/genomes/all/GCA/006/542/705/GCA_006542705.1_Aond_2.0</t>
  </si>
  <si>
    <t>GCA_006542725.1</t>
  </si>
  <si>
    <t>5NYCFAH2</t>
  </si>
  <si>
    <t>https://ftp.ncbi.nlm.nih.gov/genomes/all/GCA/006/542/725/GCA_006542725.1_Aond_3.0</t>
  </si>
  <si>
    <t>GCA_006546825.1</t>
  </si>
  <si>
    <t>CCUG 34288</t>
  </si>
  <si>
    <t>https://ftp.ncbi.nlm.nih.gov/genomes/all/GCA/006/546/825/GCA_006546825.1_ASM654682v1</t>
  </si>
  <si>
    <t>GCA_006546835.1</t>
  </si>
  <si>
    <t>CCUG 34287</t>
  </si>
  <si>
    <t>https://ftp.ncbi.nlm.nih.gov/genomes/all/GCA/006/546/835/GCA_006546835.1_ASM654683v1</t>
  </si>
  <si>
    <t>xylanisolvens</t>
  </si>
  <si>
    <t>H207</t>
  </si>
  <si>
    <t>https://ftp.ncbi.nlm.nih.gov/genomes/all/GCA/006/546/965/GCA_006546965.1_ASM654696v1</t>
  </si>
  <si>
    <t>GCA_006547285.1</t>
  </si>
  <si>
    <t>SC1000</t>
  </si>
  <si>
    <t>https://ftp.ncbi.nlm.nih.gov/genomes/all/GCA/006/547/285/GCA_006547285.1_ASM654728v1</t>
  </si>
  <si>
    <t>https://ftp.ncbi.nlm.nih.gov/genomes/all/GCA/006/715/585/GCA_006715585.1_ASM671558v1</t>
  </si>
  <si>
    <t>GCA_006715895.1</t>
  </si>
  <si>
    <t>HMT-834</t>
  </si>
  <si>
    <t>SLBN-26</t>
  </si>
  <si>
    <t>https://ftp.ncbi.nlm.nih.gov/genomes/all/GCA/006/715/895/GCA_006715895.1_ASM671589v1</t>
  </si>
  <si>
    <t>GCA_006716515.1</t>
  </si>
  <si>
    <t>https://ftp.ncbi.nlm.nih.gov/genomes/all/GCA/006/716/515/GCA_006716515.1_ASM671651v1</t>
  </si>
  <si>
    <t>GCA_006716905.1</t>
  </si>
  <si>
    <t>DSM 7270</t>
  </si>
  <si>
    <t>https://ftp.ncbi.nlm.nih.gov/genomes/all/GCA/006/716/905/GCA_006716905.1_ASM671690v1</t>
  </si>
  <si>
    <t>GCA_006739205.1</t>
  </si>
  <si>
    <t>NBRC 13955</t>
  </si>
  <si>
    <t>https://ftp.ncbi.nlm.nih.gov/genomes/all/GCA/006/739/205/GCA_006739205.1_ASM673920v1</t>
  </si>
  <si>
    <t>GCA_006739385.1</t>
  </si>
  <si>
    <t>NBRC 107605</t>
  </si>
  <si>
    <t>https://ftp.ncbi.nlm.nih.gov/genomes/all/GCA/006/739/385/GCA_006739385.1_ASM673938v1</t>
  </si>
  <si>
    <t>GCA_006741845.1</t>
  </si>
  <si>
    <t>NBRC 13719</t>
  </si>
  <si>
    <t>https://ftp.ncbi.nlm.nih.gov/genomes/all/GCA/006/741/845/GCA_006741845.1_ASM674184v1</t>
  </si>
  <si>
    <t>GCA_006742205.1</t>
  </si>
  <si>
    <t>NBRC 100911</t>
  </si>
  <si>
    <t>https://ftp.ncbi.nlm.nih.gov/genomes/all/GCA/006/742/205/GCA_006742205.1_ASM674220v1</t>
  </si>
  <si>
    <t>GCA_006757745.1</t>
  </si>
  <si>
    <t>NBRC 102413</t>
  </si>
  <si>
    <t>https://ftp.ncbi.nlm.nih.gov/genomes/all/GCA/006/757/745/GCA_006757745.1_ASM675774v1</t>
  </si>
  <si>
    <t>GCA_006771025.1</t>
  </si>
  <si>
    <t>PG</t>
  </si>
  <si>
    <t>https://ftp.ncbi.nlm.nih.gov/genomes/all/GCA/006/771/025/GCA_006771025.1_ASM677102v1</t>
  </si>
  <si>
    <t>GCA_006874565.1</t>
  </si>
  <si>
    <t>PLGBS13</t>
  </si>
  <si>
    <t>https://ftp.ncbi.nlm.nih.gov/genomes/all/GCA/006/874/565/GCA_006874565.1_ASM687456v1</t>
  </si>
  <si>
    <t>GCA_006974125.1</t>
  </si>
  <si>
    <t>X28</t>
  </si>
  <si>
    <t>https://ftp.ncbi.nlm.nih.gov/genomes/all/GCA/006/974/125/GCA_006974125.1_ASM697412v1</t>
  </si>
  <si>
    <t>GCA_007004175.1</t>
  </si>
  <si>
    <t>SDA3</t>
  </si>
  <si>
    <t>https://ftp.ncbi.nlm.nih.gov/genomes/all/GCA/007/004/175/GCA_007004175.1_ASM700417v1</t>
  </si>
  <si>
    <t>GCA_007004245.1</t>
  </si>
  <si>
    <t>SDC3</t>
  </si>
  <si>
    <t>https://ftp.ncbi.nlm.nih.gov/genomes/all/GCA/007/004/245/GCA_007004245.1_ASM700424v1</t>
  </si>
  <si>
    <t>GCA_007004265.1</t>
  </si>
  <si>
    <t>SDB1</t>
  </si>
  <si>
    <t>https://ftp.ncbi.nlm.nih.gov/genomes/all/GCA/007/004/265/GCA_007004265.1_ASM700426v1</t>
  </si>
  <si>
    <t>GCA_007004275.1</t>
  </si>
  <si>
    <t>SDA2</t>
  </si>
  <si>
    <t>https://ftp.ncbi.nlm.nih.gov/genomes/all/GCA/007/004/275/GCA_007004275.1_ASM700427v1</t>
  </si>
  <si>
    <t>GCA_007004385.1</t>
  </si>
  <si>
    <t>SDB3</t>
  </si>
  <si>
    <t>https://ftp.ncbi.nlm.nih.gov/genomes/all/GCA/007/004/385/GCA_007004385.1_ASM700438v1</t>
  </si>
  <si>
    <t>GCA_007097425.1</t>
  </si>
  <si>
    <t>https://ftp.ncbi.nlm.nih.gov/genomes/all/GCA/007/097/425/GCA_007097425.1_ASM709742v1</t>
  </si>
  <si>
    <t>GCA_007097445.1</t>
  </si>
  <si>
    <t>https://ftp.ncbi.nlm.nih.gov/genomes/all/GCA/007/097/445/GCA_007097445.1_ASM709744v1</t>
  </si>
  <si>
    <t>GCA_007097455.1</t>
  </si>
  <si>
    <t>https://ftp.ncbi.nlm.nih.gov/genomes/all/GCA/007/097/455/GCA_007097455.1_ASM709745v1</t>
  </si>
  <si>
    <t>GCA_007097675.1</t>
  </si>
  <si>
    <t>https://ftp.ncbi.nlm.nih.gov/genomes/all/GCA/007/097/675/GCA_007097675.1_ASM709767v1</t>
  </si>
  <si>
    <t>GCA_007109275.1</t>
  </si>
  <si>
    <t>https://ftp.ncbi.nlm.nih.gov/genomes/all/GCA/007/109/275/GCA_007109275.1_ASM710927v1</t>
  </si>
  <si>
    <t>GCA_007197715.1</t>
  </si>
  <si>
    <t>83VPs-KB5</t>
  </si>
  <si>
    <t>https://ftp.ncbi.nlm.nih.gov/genomes/all/GCA/007/197/715/GCA_007197715.1_ASM719771v1</t>
  </si>
  <si>
    <t>GCA_007475365.1</t>
  </si>
  <si>
    <t>https://ftp.ncbi.nlm.nih.gov/genomes/all/GCA/007/475/365/GCA_007475365.1_ASM747536v1</t>
  </si>
  <si>
    <t>GCA_007559235.1</t>
  </si>
  <si>
    <t>LMG 29598</t>
  </si>
  <si>
    <t>https://ftp.ncbi.nlm.nih.gov/genomes/all/GCA/007/559/235/GCA_007559235.1_ASM755923v1</t>
  </si>
  <si>
    <t>GCA_007666555.1</t>
  </si>
  <si>
    <t>DE0529</t>
  </si>
  <si>
    <t>https://ftp.ncbi.nlm.nih.gov/genomes/all/GCA/007/666/555/GCA_007666555.1_ASM766655v1</t>
  </si>
  <si>
    <t>GCA_007667085.1</t>
  </si>
  <si>
    <t>DE0496</t>
  </si>
  <si>
    <t>https://ftp.ncbi.nlm.nih.gov/genomes/all/GCA/007/667/085/GCA_007667085.1_ASM766708v1</t>
  </si>
  <si>
    <t>GCA_007667125.1</t>
  </si>
  <si>
    <t>DE0493</t>
  </si>
  <si>
    <t>https://ftp.ncbi.nlm.nih.gov/genomes/all/GCA/007/667/125/GCA_007667125.1_ASM766712v1</t>
  </si>
  <si>
    <t>GCA_007667915.1</t>
  </si>
  <si>
    <t>DE0446</t>
  </si>
  <si>
    <t>https://ftp.ncbi.nlm.nih.gov/genomes/all/GCA/007/667/915/GCA_007667915.1_ASM766791v1</t>
  </si>
  <si>
    <t>GCA_007671985.1</t>
  </si>
  <si>
    <t>DE0547</t>
  </si>
  <si>
    <t>https://ftp.ncbi.nlm.nih.gov/genomes/all/GCA/007/671/985/GCA_007671985.1_ASM767198v1</t>
  </si>
  <si>
    <t>GCA_007672025.1</t>
  </si>
  <si>
    <t>DE0530</t>
  </si>
  <si>
    <t>https://ftp.ncbi.nlm.nih.gov/genomes/all/GCA/007/672/025/GCA_007672025.1_ASM767202v1</t>
  </si>
  <si>
    <t>GCA_007672555.1</t>
  </si>
  <si>
    <t>DE0417</t>
  </si>
  <si>
    <t>https://ftp.ncbi.nlm.nih.gov/genomes/all/GCA/007/672/555/GCA_007672555.1_ASM767255v1</t>
  </si>
  <si>
    <t>GCA_007672735.1</t>
  </si>
  <si>
    <t>DE0407</t>
  </si>
  <si>
    <t>https://ftp.ncbi.nlm.nih.gov/genomes/all/GCA/007/672/735/GCA_007672735.1_ASM767273v1</t>
  </si>
  <si>
    <t>GCA_007677545.1</t>
  </si>
  <si>
    <t>DE0230</t>
  </si>
  <si>
    <t>https://ftp.ncbi.nlm.nih.gov/genomes/all/GCA/007/677/545/GCA_007677545.1_ASM767754v1</t>
  </si>
  <si>
    <t>GCA_007678885.1</t>
  </si>
  <si>
    <t>DE0142</t>
  </si>
  <si>
    <t>https://ftp.ncbi.nlm.nih.gov/genomes/all/GCA/007/678/885/GCA_007678885.1_ASM767888v1</t>
  </si>
  <si>
    <t>GCA_007786365.1</t>
  </si>
  <si>
    <t>15-4290</t>
  </si>
  <si>
    <t>https://ftp.ncbi.nlm.nih.gov/genomes/all/GCA/007/786/365/GCA_007786365.1_ASM778636v1</t>
  </si>
  <si>
    <t>GCA_007786375.1</t>
  </si>
  <si>
    <t>14-2523</t>
  </si>
  <si>
    <t>https://ftp.ncbi.nlm.nih.gov/genomes/all/GCA/007/786/375/GCA_007786375.1_ASM778637v1</t>
  </si>
  <si>
    <t>GCA_007786415.1</t>
  </si>
  <si>
    <t>NML180780</t>
  </si>
  <si>
    <t>https://ftp.ncbi.nlm.nih.gov/genomes/all/GCA/007/786/415/GCA_007786415.1_ASM778641v1</t>
  </si>
  <si>
    <t>GCA_007814275.1</t>
  </si>
  <si>
    <t>16A</t>
  </si>
  <si>
    <t>https://ftp.ncbi.nlm.nih.gov/genomes/all/GCA/007/814/275/GCA_007814275.1_ASM781427v1</t>
  </si>
  <si>
    <t>GCA_007814385.1</t>
  </si>
  <si>
    <t>26D</t>
  </si>
  <si>
    <t>https://ftp.ncbi.nlm.nih.gov/genomes/all/GCA/007/814/385/GCA_007814385.1_ASM781438v1</t>
  </si>
  <si>
    <t>GCA_007814725.1</t>
  </si>
  <si>
    <t>19A</t>
  </si>
  <si>
    <t>https://ftp.ncbi.nlm.nih.gov/genomes/all/GCA/007/814/725/GCA_007814725.1_ASM781472v1</t>
  </si>
  <si>
    <t>GCA_007814825.1</t>
  </si>
  <si>
    <t>3C</t>
  </si>
  <si>
    <t>https://ftp.ncbi.nlm.nih.gov/genomes/all/GCA/007/814/825/GCA_007814825.1_ASM781482v1</t>
  </si>
  <si>
    <t>GCA_007830595.1</t>
  </si>
  <si>
    <t>ATCC 700334</t>
  </si>
  <si>
    <t>https://ftp.ncbi.nlm.nih.gov/genomes/all/GCA/007/830/595/GCA_007830595.1_ASM783059v1</t>
  </si>
  <si>
    <t>https://ftp.ncbi.nlm.nih.gov/genomes/all/GCA/007/830/715/GCA_007830715.1_ASM783071v1</t>
  </si>
  <si>
    <t>GCA_007833855.1</t>
  </si>
  <si>
    <t>GD01</t>
  </si>
  <si>
    <t>https://ftp.ncbi.nlm.nih.gov/genomes/all/GCA/007/833/855/GCA_007833855.1_ASM783385v1</t>
  </si>
  <si>
    <t>GCA_007845135.1</t>
  </si>
  <si>
    <t>HMT-364</t>
  </si>
  <si>
    <t>sp. HMT-364</t>
  </si>
  <si>
    <t>TM7_HOT_351-SAG4</t>
  </si>
  <si>
    <t>https://ftp.ncbi.nlm.nih.gov/genomes/all/GCA/007/845/135/GCA_007845135.1_ASM784513v1</t>
  </si>
  <si>
    <t>GCA_007845165.1</t>
  </si>
  <si>
    <t>HMT-351</t>
  </si>
  <si>
    <t>sp. HMT-351</t>
  </si>
  <si>
    <t>TM7_HOT_351-SAG3</t>
  </si>
  <si>
    <t>https://ftp.ncbi.nlm.nih.gov/genomes/all/GCA/007/845/165/GCA_007845165.1_ASM784516v1</t>
  </si>
  <si>
    <t>GCA_007845205.1</t>
  </si>
  <si>
    <t>HMT-350</t>
  </si>
  <si>
    <t>Saccharimonadales [F1 G1]</t>
  </si>
  <si>
    <t>bacterium HMT-350</t>
  </si>
  <si>
    <t>TM7_HOT_350-SAG1</t>
  </si>
  <si>
    <t>https://ftp.ncbi.nlm.nih.gov/genomes/all/GCA/007/845/205/GCA_007845205.1_ASM784520v1</t>
  </si>
  <si>
    <t>GCA_007845255.1</t>
  </si>
  <si>
    <t>HMT-353</t>
  </si>
  <si>
    <t>sp. HMT-353</t>
  </si>
  <si>
    <t>TM7_HOT_353-SAG1</t>
  </si>
  <si>
    <t>https://ftp.ncbi.nlm.nih.gov/genomes/all/GCA/007/845/255/GCA_007845255.1_ASM784525v1</t>
  </si>
  <si>
    <t>sp. HMT-352</t>
  </si>
  <si>
    <t>TM7_HOT_352-SAG8</t>
  </si>
  <si>
    <t>https://ftp.ncbi.nlm.nih.gov/genomes/all/GCA/007/845/265/GCA_007845265.1_ASM784526v1</t>
  </si>
  <si>
    <t>GCA_007845455.1</t>
  </si>
  <si>
    <t>HMT-349</t>
  </si>
  <si>
    <t>sp. HMT-349</t>
  </si>
  <si>
    <t>TM7_HOT_349-SAG1</t>
  </si>
  <si>
    <t>https://ftp.ncbi.nlm.nih.gov/genomes/all/GCA/007/845/455/GCA_007845455.1_ASM784545v1</t>
  </si>
  <si>
    <t>GCA_007845545.1</t>
  </si>
  <si>
    <t>TM7_HOT_346-SAG2</t>
  </si>
  <si>
    <t>https://ftp.ncbi.nlm.nih.gov/genomes/all/GCA/007/845/545/GCA_007845545.1_ASM784554v1</t>
  </si>
  <si>
    <t>GCA_007858165.1</t>
  </si>
  <si>
    <t>https://ftp.ncbi.nlm.nih.gov/genomes/all/GCA/007/858/165/GCA_007858165.1_ASM785816v1</t>
  </si>
  <si>
    <t>GCA_007989125.1</t>
  </si>
  <si>
    <t>NBRC 15889</t>
  </si>
  <si>
    <t>https://ftp.ncbi.nlm.nih.gov/genomes/all/GCA/007/989/125/GCA_007989125.1_ASM798912v1</t>
  </si>
  <si>
    <t>GCA_007989145.1</t>
  </si>
  <si>
    <t>NBRC 15891</t>
  </si>
  <si>
    <t>https://ftp.ncbi.nlm.nih.gov/genomes/all/GCA/007/989/145/GCA_007989145.1_ASM798914v1</t>
  </si>
  <si>
    <t>JMUB3933</t>
  </si>
  <si>
    <t>https://ftp.ncbi.nlm.nih.gov/genomes/all/GCA/007/990/385/GCA_007990385.1_ASM799038v1</t>
  </si>
  <si>
    <t>JMUB3934</t>
  </si>
  <si>
    <t>https://ftp.ncbi.nlm.nih.gov/genomes/all/GCA/007/990/405/GCA_007990405.1_ASM799040v1</t>
  </si>
  <si>
    <t>sp. HMT-417</t>
  </si>
  <si>
    <t>JMUB3936</t>
  </si>
  <si>
    <t>https://ftp.ncbi.nlm.nih.gov/genomes/all/GCA/007/990/445/GCA_007990445.1_ASM799044v1</t>
  </si>
  <si>
    <t>JCM16774</t>
  </si>
  <si>
    <t>https://ftp.ncbi.nlm.nih.gov/genomes/all/GCA/007/990/505/GCA_007990505.1_ASM799050v1</t>
  </si>
  <si>
    <t>JCM16775</t>
  </si>
  <si>
    <t>https://ftp.ncbi.nlm.nih.gov/genomes/all/GCA/007/990/525/GCA_007990525.1_ASM799052v1</t>
  </si>
  <si>
    <t>JCM16777</t>
  </si>
  <si>
    <t>https://ftp.ncbi.nlm.nih.gov/genomes/all/GCA/007/990/545/GCA_007990545.2_ASM799054v2</t>
  </si>
  <si>
    <t>JMUB5056</t>
  </si>
  <si>
    <t>https://ftp.ncbi.nlm.nih.gov/genomes/all/GCA/007/990/635/GCA_007990635.1_ASM799063v1</t>
  </si>
  <si>
    <t>GCA_007990855.1</t>
  </si>
  <si>
    <t>NBRC 3425</t>
  </si>
  <si>
    <t>https://ftp.ncbi.nlm.nih.gov/genomes/all/GCA/007/990/855/GCA_007990855.1_ASM799085v1</t>
  </si>
  <si>
    <t>GCA_007991595.1</t>
  </si>
  <si>
    <t>NBRC 106105</t>
  </si>
  <si>
    <t>https://ftp.ncbi.nlm.nih.gov/genomes/all/GCA/007/991/595/GCA_007991595.1_ASM799159v1</t>
  </si>
  <si>
    <t>Segetibacter</t>
  </si>
  <si>
    <t>aerophilus</t>
  </si>
  <si>
    <t>NBRC 106135</t>
  </si>
  <si>
    <t>https://ftp.ncbi.nlm.nih.gov/genomes/all/GCA/007/991/655/GCA_007991655.1_ASM799165v1</t>
  </si>
  <si>
    <t>GCA_007991835.1</t>
  </si>
  <si>
    <t>NBRC 106467</t>
  </si>
  <si>
    <t>https://ftp.ncbi.nlm.nih.gov/genomes/all/GCA/007/991/835/GCA_007991835.1_ASM799183v1</t>
  </si>
  <si>
    <t>GCA_007991855.1</t>
  </si>
  <si>
    <t>NBRC 106468</t>
  </si>
  <si>
    <t>https://ftp.ncbi.nlm.nih.gov/genomes/all/GCA/007/991/855/GCA_007991855.1_ASM799185v1</t>
  </si>
  <si>
    <t>GCA_007992555.1</t>
  </si>
  <si>
    <t>NBRC 109618</t>
  </si>
  <si>
    <t>https://ftp.ncbi.nlm.nih.gov/genomes/all/GCA/007/992/555/GCA_007992555.1_ASM799255v1</t>
  </si>
  <si>
    <t>GCA_007992675.1</t>
  </si>
  <si>
    <t>NBRC 109713</t>
  </si>
  <si>
    <t>https://ftp.ncbi.nlm.nih.gov/genomes/all/GCA/007/992/675/GCA_007992675.1_ASM799267v1</t>
  </si>
  <si>
    <t>GCA_007992795.1</t>
  </si>
  <si>
    <t>NBRC 109768</t>
  </si>
  <si>
    <t>https://ftp.ncbi.nlm.nih.gov/genomes/all/GCA/007/992/795/GCA_007992795.1_ASM799279v1</t>
  </si>
  <si>
    <t>DSM 22959</t>
  </si>
  <si>
    <t>https://ftp.ncbi.nlm.nih.gov/genomes/all/GCA/008/000/975/GCA_008000975.1_ASM800097v1</t>
  </si>
  <si>
    <t>GCA_008042215.1</t>
  </si>
  <si>
    <t>LK14</t>
  </si>
  <si>
    <t>https://ftp.ncbi.nlm.nih.gov/genomes/all/GCA/008/042/215/GCA_008042215.1_ASM804221v1</t>
  </si>
  <si>
    <t>GCA_008084095.1</t>
  </si>
  <si>
    <t>PN_773</t>
  </si>
  <si>
    <t>https://ftp.ncbi.nlm.nih.gov/genomes/all/GCA/008/084/095/GCA_008084095.1_ASM808409v1</t>
  </si>
  <si>
    <t>GCA_008084115.1</t>
  </si>
  <si>
    <t>PN_687</t>
  </si>
  <si>
    <t>https://ftp.ncbi.nlm.nih.gov/genomes/all/GCA/008/084/115/GCA_008084115.1_ASM808411v1</t>
  </si>
  <si>
    <t>GCA_008084195.1</t>
  </si>
  <si>
    <t>PN_738</t>
  </si>
  <si>
    <t>https://ftp.ncbi.nlm.nih.gov/genomes/all/GCA/008/084/195/GCA_008084195.1_ASM808419v1</t>
  </si>
  <si>
    <t>GCA_008084225.1</t>
  </si>
  <si>
    <t>PN_708</t>
  </si>
  <si>
    <t>https://ftp.ncbi.nlm.nih.gov/genomes/all/GCA/008/084/225/GCA_008084225.1_ASM808422v1</t>
  </si>
  <si>
    <t>GCA_008085015.1</t>
  </si>
  <si>
    <t>PN_561</t>
  </si>
  <si>
    <t>https://ftp.ncbi.nlm.nih.gov/genomes/all/GCA/008/085/015/GCA_008085015.1_ASM808501v1</t>
  </si>
  <si>
    <t>GCA_008085085.1</t>
  </si>
  <si>
    <t>PN_435</t>
  </si>
  <si>
    <t>https://ftp.ncbi.nlm.nih.gov/genomes/all/GCA/008/085/085/GCA_008085085.1_ASM808508v1</t>
  </si>
  <si>
    <t>GCA_008085135.1</t>
  </si>
  <si>
    <t>PN_438</t>
  </si>
  <si>
    <t>https://ftp.ncbi.nlm.nih.gov/genomes/all/GCA/008/085/135/GCA_008085135.1_ASM808513v1</t>
  </si>
  <si>
    <t>GCA_008085215.1</t>
  </si>
  <si>
    <t>PN_436</t>
  </si>
  <si>
    <t>https://ftp.ncbi.nlm.nih.gov/genomes/all/GCA/008/085/215/GCA_008085215.1_ASM808521v1</t>
  </si>
  <si>
    <t>GCA_008085265.1</t>
  </si>
  <si>
    <t>PN_694</t>
  </si>
  <si>
    <t>https://ftp.ncbi.nlm.nih.gov/genomes/all/GCA/008/085/265/GCA_008085265.1_ASM808526v1</t>
  </si>
  <si>
    <t>GCA_008085295.1</t>
  </si>
  <si>
    <t>PN_686</t>
  </si>
  <si>
    <t>https://ftp.ncbi.nlm.nih.gov/genomes/all/GCA/008/085/295/GCA_008085295.1_ASM808529v1</t>
  </si>
  <si>
    <t>GCA_008085305.1</t>
  </si>
  <si>
    <t>NCTC_9710</t>
  </si>
  <si>
    <t>https://ftp.ncbi.nlm.nih.gov/genomes/all/GCA/008/085/305/GCA_008085305.1_ASM808530v1</t>
  </si>
  <si>
    <t>GCA_008085315.1</t>
  </si>
  <si>
    <t>PN_728</t>
  </si>
  <si>
    <t>https://ftp.ncbi.nlm.nih.gov/genomes/all/GCA/008/085/315/GCA_008085315.1_ASM808531v1</t>
  </si>
  <si>
    <t>GCA_008085365.1</t>
  </si>
  <si>
    <t>PN_628</t>
  </si>
  <si>
    <t>https://ftp.ncbi.nlm.nih.gov/genomes/all/GCA/008/085/365/GCA_008085365.1_ASM808536v1</t>
  </si>
  <si>
    <t>GCA_008085405.1</t>
  </si>
  <si>
    <t>PN_566</t>
  </si>
  <si>
    <t>https://ftp.ncbi.nlm.nih.gov/genomes/all/GCA/008/085/405/GCA_008085405.1_ASM808540v1</t>
  </si>
  <si>
    <t>GCA_008085415.1</t>
  </si>
  <si>
    <t>PN_565</t>
  </si>
  <si>
    <t>https://ftp.ncbi.nlm.nih.gov/genomes/all/GCA/008/085/415/GCA_008085415.1_ASM808541v1</t>
  </si>
  <si>
    <t>GCA_008086365.1</t>
  </si>
  <si>
    <t>HK_907</t>
  </si>
  <si>
    <t>https://ftp.ncbi.nlm.nih.gov/genomes/all/GCA/008/086/365/GCA_008086365.1_ASM808636v1</t>
  </si>
  <si>
    <t>GCA_008086385.1</t>
  </si>
  <si>
    <t>HK_973</t>
  </si>
  <si>
    <t>https://ftp.ncbi.nlm.nih.gov/genomes/all/GCA/008/086/385/GCA_008086385.1_ASM808638v1</t>
  </si>
  <si>
    <t>GCA_008086405.1</t>
  </si>
  <si>
    <t>PN_696</t>
  </si>
  <si>
    <t>https://ftp.ncbi.nlm.nih.gov/genomes/all/GCA/008/086/405/GCA_008086405.1_ASM808640v1</t>
  </si>
  <si>
    <t>KG-29</t>
  </si>
  <si>
    <t>https://ftp.ncbi.nlm.nih.gov/genomes/all/GCA/008/121/405/GCA_008121405.1_ASM812140v1</t>
  </si>
  <si>
    <t>GCA_008180045.1</t>
  </si>
  <si>
    <t>VH4549</t>
  </si>
  <si>
    <t>https://ftp.ncbi.nlm.nih.gov/genomes/all/GCA/008/180/045/GCA_008180045.1_ASM818004v1</t>
  </si>
  <si>
    <t>GCA_008180065.1</t>
  </si>
  <si>
    <t>VH5913</t>
  </si>
  <si>
    <t>https://ftp.ncbi.nlm.nih.gov/genomes/all/GCA/008/180/065/GCA_008180065.1_ASM818006v1</t>
  </si>
  <si>
    <t>GCA_008180305.1</t>
  </si>
  <si>
    <t>Acsw19</t>
  </si>
  <si>
    <t>https://ftp.ncbi.nlm.nih.gov/genomes/all/GCA/008/180/305/GCA_008180305.1_ASM818030v1</t>
  </si>
  <si>
    <t>GCA_008244525.1</t>
  </si>
  <si>
    <t>VH3073</t>
  </si>
  <si>
    <t>https://ftp.ncbi.nlm.nih.gov/genomes/all/GCA/008/244/525/GCA_008244525.1_ASM824452v1</t>
  </si>
  <si>
    <t>GCA_008245005.1</t>
  </si>
  <si>
    <t>LMG 7795</t>
  </si>
  <si>
    <t>https://ftp.ncbi.nlm.nih.gov/genomes/all/GCA/008/245/005/GCA_008245005.1_ASM824500v1</t>
  </si>
  <si>
    <t>GCA_008274805.1</t>
  </si>
  <si>
    <t>TPP412</t>
  </si>
  <si>
    <t>https://ftp.ncbi.nlm.nih.gov/genomes/all/GCA/008/274/805/GCA_008274805.1_ASM827480v1</t>
  </si>
  <si>
    <t>GCA_008305695.1</t>
  </si>
  <si>
    <t>LAB813</t>
  </si>
  <si>
    <t>https://ftp.ncbi.nlm.nih.gov/genomes/all/GCA/008/305/695/GCA_008305695.1_ASM830569v1</t>
  </si>
  <si>
    <t>GCA_008326345.1</t>
  </si>
  <si>
    <t>M12</t>
  </si>
  <si>
    <t>https://ftp.ncbi.nlm.nih.gov/genomes/all/GCA/008/326/345/GCA_008326345.1_ASM832634v1</t>
  </si>
  <si>
    <t>JCM16776</t>
  </si>
  <si>
    <t>https://ftp.ncbi.nlm.nih.gov/genomes/all/GCA/008/327/825/GCA_008327825.1_ASM832782v1</t>
  </si>
  <si>
    <t>GCA_008329445.1</t>
  </si>
  <si>
    <t>S28</t>
  </si>
  <si>
    <t>https://ftp.ncbi.nlm.nih.gov/genomes/all/GCA/008/329/445/GCA_008329445.1_ASM832944v1</t>
  </si>
  <si>
    <t>GCA_008329765.1</t>
  </si>
  <si>
    <t>12-221</t>
  </si>
  <si>
    <t>https://ftp.ncbi.nlm.nih.gov/genomes/all/GCA/008/329/765/GCA_008329765.1_ASM832976v1</t>
  </si>
  <si>
    <t>GCA_008330025.1</t>
  </si>
  <si>
    <t>NEB129</t>
  </si>
  <si>
    <t>https://ftp.ncbi.nlm.nih.gov/genomes/all/GCA/008/330/025/GCA_008330025.1_ASM833002v1</t>
  </si>
  <si>
    <t>GCA_008330745.1</t>
  </si>
  <si>
    <t>14-563</t>
  </si>
  <si>
    <t>https://ftp.ncbi.nlm.nih.gov/genomes/all/GCA/008/330/745/GCA_008330745.1_ASM833074v1</t>
  </si>
  <si>
    <t>GCA_008330765.1</t>
  </si>
  <si>
    <t>12-176</t>
  </si>
  <si>
    <t>https://ftp.ncbi.nlm.nih.gov/genomes/all/GCA/008/330/765/GCA_008330765.1_ASM833076v1</t>
  </si>
  <si>
    <t>GCA_008330785.1</t>
  </si>
  <si>
    <t>https://ftp.ncbi.nlm.nih.gov/genomes/all/GCA/008/330/785/GCA_008330785.1_ASM833078v1</t>
  </si>
  <si>
    <t>GCA_008330805.1</t>
  </si>
  <si>
    <t>https://ftp.ncbi.nlm.nih.gov/genomes/all/GCA/008/330/805/GCA_008330805.1_ASM833080v1</t>
  </si>
  <si>
    <t>GCA_008330865.1</t>
  </si>
  <si>
    <t>98-182</t>
  </si>
  <si>
    <t>https://ftp.ncbi.nlm.nih.gov/genomes/all/GCA/008/330/865/GCA_008330865.1_ASM833086v1</t>
  </si>
  <si>
    <t>GCA_008330885.1</t>
  </si>
  <si>
    <t>95-134</t>
  </si>
  <si>
    <t>https://ftp.ncbi.nlm.nih.gov/genomes/all/GCA/008/330/885/GCA_008330885.1_ASM833088v1</t>
  </si>
  <si>
    <t>GCA_008330905.1</t>
  </si>
  <si>
    <t>12-330</t>
  </si>
  <si>
    <t>https://ftp.ncbi.nlm.nih.gov/genomes/all/GCA/008/330/905/GCA_008330905.1_ASM833090v1</t>
  </si>
  <si>
    <t>GCA_008368695.1</t>
  </si>
  <si>
    <t>ICIS 5</t>
  </si>
  <si>
    <t>https://ftp.ncbi.nlm.nih.gov/genomes/all/GCA/008/368/695/GCA_008368695.1_ASM836869v1</t>
  </si>
  <si>
    <t>GCA_008369405.1</t>
  </si>
  <si>
    <t>S22</t>
  </si>
  <si>
    <t>https://ftp.ncbi.nlm.nih.gov/genomes/all/GCA/008/369/405/GCA_008369405.1_ASM836940v1</t>
  </si>
  <si>
    <t>GCA_008369805.1</t>
  </si>
  <si>
    <t>MGB0786</t>
  </si>
  <si>
    <t>https://ftp.ncbi.nlm.nih.gov/genomes/all/GCA/008/369/805/GCA_008369805.1_ASM836980v1</t>
  </si>
  <si>
    <t>GCA_008373895.1</t>
  </si>
  <si>
    <t>LK37</t>
  </si>
  <si>
    <t>https://ftp.ncbi.nlm.nih.gov/genomes/all/GCA/008/373/895/GCA_008373895.1_ASM837389v1</t>
  </si>
  <si>
    <t>GCA_008586745.1</t>
  </si>
  <si>
    <t>HE7/F1946</t>
  </si>
  <si>
    <t>https://ftp.ncbi.nlm.nih.gov/genomes/all/GCA/008/586/745/GCA_008586745.1_ASM858674v1</t>
  </si>
  <si>
    <t>GCA_008586765.1</t>
  </si>
  <si>
    <t>HE40/F3043</t>
  </si>
  <si>
    <t>https://ftp.ncbi.nlm.nih.gov/genomes/all/GCA/008/586/765/GCA_008586765.1_ASM858676v1</t>
  </si>
  <si>
    <t>GCA_008586785.1</t>
  </si>
  <si>
    <t>HE37/F3052</t>
  </si>
  <si>
    <t>https://ftp.ncbi.nlm.nih.gov/genomes/all/GCA/008/586/785/GCA_008586785.1_ASM858678v1</t>
  </si>
  <si>
    <t>GCA_008586805.1</t>
  </si>
  <si>
    <t>HE24/F3037</t>
  </si>
  <si>
    <t>https://ftp.ncbi.nlm.nih.gov/genomes/all/GCA/008/586/805/GCA_008586805.1_ASM858680v1</t>
  </si>
  <si>
    <t>GCA_008586825.1</t>
  </si>
  <si>
    <t>HE15/F3028</t>
  </si>
  <si>
    <t>https://ftp.ncbi.nlm.nih.gov/genomes/all/GCA/008/586/825/GCA_008586825.1_ASM858682v1</t>
  </si>
  <si>
    <t>GCA_008619795.1</t>
  </si>
  <si>
    <t>KUH140331</t>
  </si>
  <si>
    <t>https://ftp.ncbi.nlm.nih.gov/genomes/all/GCA/008/619/795/GCA_008619795.1_ASM861979v1</t>
  </si>
  <si>
    <t>GCA_008620055.1</t>
  </si>
  <si>
    <t>KUH180062</t>
  </si>
  <si>
    <t>https://ftp.ncbi.nlm.nih.gov/genomes/all/GCA/008/620/055/GCA_008620055.1_ASM862005v1</t>
  </si>
  <si>
    <t>GCA_008633005.1</t>
  </si>
  <si>
    <t>ATCC 27823</t>
  </si>
  <si>
    <t>https://ftp.ncbi.nlm.nih.gov/genomes/all/GCA/008/633/005/GCA_008633005.1_ASM863300v1</t>
  </si>
  <si>
    <t>GCA_008633025.1</t>
  </si>
  <si>
    <t>13-11-14</t>
  </si>
  <si>
    <t>https://ftp.ncbi.nlm.nih.gov/genomes/all/GCA/008/633/025/GCA_008633025.1_ASM863302v1</t>
  </si>
  <si>
    <t>GCA_008633045.1</t>
  </si>
  <si>
    <t>13-12-18</t>
  </si>
  <si>
    <t>https://ftp.ncbi.nlm.nih.gov/genomes/all/GCA/008/633/045/GCA_008633045.1_ASM863304v1</t>
  </si>
  <si>
    <t>GCA_008633155.1</t>
  </si>
  <si>
    <t>13-07-26</t>
  </si>
  <si>
    <t>https://ftp.ncbi.nlm.nih.gov/genomes/all/GCA/008/633/155/GCA_008633155.1_ASM863315v1</t>
  </si>
  <si>
    <t>GCA_008633215.1</t>
  </si>
  <si>
    <t>HMT-464</t>
  </si>
  <si>
    <t>watanabei</t>
  </si>
  <si>
    <t>13-08-02</t>
  </si>
  <si>
    <t>https://ftp.ncbi.nlm.nih.gov/genomes/all/GCA/008/633/215/GCA_008633215.1_ASM863321v1</t>
  </si>
  <si>
    <t>GCA_008633305.1</t>
  </si>
  <si>
    <t>14-03-17</t>
  </si>
  <si>
    <t>https://ftp.ncbi.nlm.nih.gov/genomes/all/GCA/008/633/305/GCA_008633305.1_ASM863330v1</t>
  </si>
  <si>
    <t>GCA_008633405.1</t>
  </si>
  <si>
    <t>15-01-28</t>
  </si>
  <si>
    <t>https://ftp.ncbi.nlm.nih.gov/genomes/all/GCA/008/633/405/GCA_008633405.1_ASM863340v1</t>
  </si>
  <si>
    <t>GCA_008633485.1</t>
  </si>
  <si>
    <t>15-03-11</t>
  </si>
  <si>
    <t>https://ftp.ncbi.nlm.nih.gov/genomes/all/GCA/008/633/485/GCA_008633485.1_ASM863348v1</t>
  </si>
  <si>
    <t>GCA_008692995.1</t>
  </si>
  <si>
    <t>CCUG 37985T</t>
  </si>
  <si>
    <t>https://ftp.ncbi.nlm.nih.gov/genomes/all/GCA/008/692/995/GCA_008692995.1_ASM869299v1</t>
  </si>
  <si>
    <t>GCA_008693065.1</t>
  </si>
  <si>
    <t>CCUG 51321T</t>
  </si>
  <si>
    <t>https://ftp.ncbi.nlm.nih.gov/genomes/all/GCA/008/693/065/GCA_008693065.1_ASM869306v1</t>
  </si>
  <si>
    <t>GCA_008693165.1</t>
  </si>
  <si>
    <t>CCUG 34287T</t>
  </si>
  <si>
    <t>https://ftp.ncbi.nlm.nih.gov/genomes/all/GCA/008/693/165/GCA_008693165.1_ASM869316v1</t>
  </si>
  <si>
    <t>GCA_008693785.1</t>
  </si>
  <si>
    <t>FDAARGOS_658</t>
  </si>
  <si>
    <t>https://ftp.ncbi.nlm.nih.gov/genomes/all/GCA/008/693/785/GCA_008693785.1_ASM869378v1</t>
  </si>
  <si>
    <t>GCA_008693865.1</t>
  </si>
  <si>
    <t>FDAARGOS_643</t>
  </si>
  <si>
    <t>https://ftp.ncbi.nlm.nih.gov/genomes/all/GCA/008/693/865/GCA_008693865.1_ASM869386v1</t>
  </si>
  <si>
    <t>GCA_008693965.1</t>
  </si>
  <si>
    <t>FDAARGOS_637</t>
  </si>
  <si>
    <t>https://ftp.ncbi.nlm.nih.gov/genomes/all/GCA/008/693/965/GCA_008693965.1_ASM869396v1</t>
  </si>
  <si>
    <t>GCA_008726175.1</t>
  </si>
  <si>
    <t>UMB9256</t>
  </si>
  <si>
    <t>https://ftp.ncbi.nlm.nih.gov/genomes/all/GCA/008/726/175/GCA_008726175.1_ASM872617v1</t>
  </si>
  <si>
    <t>GCA_008726215.1</t>
  </si>
  <si>
    <t>UMB9184</t>
  </si>
  <si>
    <t>https://ftp.ncbi.nlm.nih.gov/genomes/all/GCA/008/726/215/GCA_008726215.1_ASM872621v1</t>
  </si>
  <si>
    <t>GCA_008726415.1</t>
  </si>
  <si>
    <t>UMB8390</t>
  </si>
  <si>
    <t>https://ftp.ncbi.nlm.nih.gov/genomes/all/GCA/008/726/415/GCA_008726415.1_ASM872641v1</t>
  </si>
  <si>
    <t>GCA_008726455.1</t>
  </si>
  <si>
    <t>UMB7760</t>
  </si>
  <si>
    <t>https://ftp.ncbi.nlm.nih.gov/genomes/all/GCA/008/726/455/GCA_008726455.1_ASM872645v1</t>
  </si>
  <si>
    <t>GCA_008726645.1</t>
  </si>
  <si>
    <t>UMB1310</t>
  </si>
  <si>
    <t>https://ftp.ncbi.nlm.nih.gov/genomes/all/GCA/008/726/645/GCA_008726645.1_ASM872664v1</t>
  </si>
  <si>
    <t>GCA_008726785.1</t>
  </si>
  <si>
    <t>UMB1182</t>
  </si>
  <si>
    <t>https://ftp.ncbi.nlm.nih.gov/genomes/all/GCA/008/726/785/GCA_008726785.1_ASM872678v1</t>
  </si>
  <si>
    <t>GCA_008726875.1</t>
  </si>
  <si>
    <t>UMB633</t>
  </si>
  <si>
    <t>https://ftp.ncbi.nlm.nih.gov/genomes/all/GCA/008/726/875/GCA_008726875.1_ASM872687v1</t>
  </si>
  <si>
    <t>GCA_008727815.1</t>
  </si>
  <si>
    <t>LPB0220</t>
  </si>
  <si>
    <t>https://ftp.ncbi.nlm.nih.gov/genomes/all/GCA/008/727/815/GCA_008727815.1_ASM872781v1</t>
  </si>
  <si>
    <t>VIC01</t>
  </si>
  <si>
    <t>https://ftp.ncbi.nlm.nih.gov/genomes/all/GCA/008/728/395/GCA_008728395.1_ASM872839v1</t>
  </si>
  <si>
    <t>GCA_008728435.1</t>
  </si>
  <si>
    <t>https://ftp.ncbi.nlm.nih.gov/genomes/all/GCA/008/728/435/GCA_008728435.1_ASM872843v1</t>
  </si>
  <si>
    <t>GCA_008728715.1</t>
  </si>
  <si>
    <t>SL29</t>
  </si>
  <si>
    <t>https://ftp.ncbi.nlm.nih.gov/genomes/all/GCA/008/728/715/GCA_008728715.1_ASM872871v1</t>
  </si>
  <si>
    <t>GCA_008728735.1</t>
  </si>
  <si>
    <t>SL55</t>
  </si>
  <si>
    <t>https://ftp.ncbi.nlm.nih.gov/genomes/all/GCA/008/728/735/GCA_008728735.1_ASM872873v1</t>
  </si>
  <si>
    <t>GCA_008728755.1</t>
  </si>
  <si>
    <t>SL117</t>
  </si>
  <si>
    <t>https://ftp.ncbi.nlm.nih.gov/genomes/all/GCA/008/728/755/GCA_008728755.1_ASM872875v1</t>
  </si>
  <si>
    <t>GCA_008728775.1</t>
  </si>
  <si>
    <t>SL118</t>
  </si>
  <si>
    <t>https://ftp.ncbi.nlm.nih.gov/genomes/all/GCA/008/728/775/GCA_008728775.1_ASM872877v1</t>
  </si>
  <si>
    <t>GCA_008728795.1</t>
  </si>
  <si>
    <t>SL122</t>
  </si>
  <si>
    <t>https://ftp.ncbi.nlm.nih.gov/genomes/all/GCA/008/728/795/GCA_008728795.1_ASM872879v1</t>
  </si>
  <si>
    <t>GCA_008728815.1</t>
  </si>
  <si>
    <t>SL13</t>
  </si>
  <si>
    <t>https://ftp.ncbi.nlm.nih.gov/genomes/all/GCA/008/728/815/GCA_008728815.1_ASM872881v1</t>
  </si>
  <si>
    <t>GCA_008801775.1</t>
  </si>
  <si>
    <t>CCUG 42162</t>
  </si>
  <si>
    <t>https://ftp.ncbi.nlm.nih.gov/genomes/all/GCA/008/801/775/GCA_008801775.1_ASM880177v1</t>
  </si>
  <si>
    <t>GCA_008801915.1</t>
  </si>
  <si>
    <t>CCUG 38401</t>
  </si>
  <si>
    <t>https://ftp.ncbi.nlm.nih.gov/genomes/all/GCA/008/801/915/GCA_008801915.1_ASM880191v1</t>
  </si>
  <si>
    <t>GCA_008802035.1</t>
  </si>
  <si>
    <t>CCUG 9728</t>
  </si>
  <si>
    <t>https://ftp.ncbi.nlm.nih.gov/genomes/all/GCA/008/802/035/GCA_008802035.1_ASM880203v1</t>
  </si>
  <si>
    <t>GCA_008831325.1</t>
  </si>
  <si>
    <t>MD</t>
  </si>
  <si>
    <t>https://ftp.ncbi.nlm.nih.gov/genomes/all/GCA/008/831/325/GCA_008831325.1_ASM883132v1</t>
  </si>
  <si>
    <t>GCA_008831345.1</t>
  </si>
  <si>
    <t>T8</t>
  </si>
  <si>
    <t>https://ftp.ncbi.nlm.nih.gov/genomes/all/GCA/008/831/345/GCA_008831345.1_ASM883134v1</t>
  </si>
  <si>
    <t>GCA_008831365.1</t>
  </si>
  <si>
    <t>UA140</t>
  </si>
  <si>
    <t>https://ftp.ncbi.nlm.nih.gov/genomes/all/GCA/008/831/365/GCA_008831365.1_ASM883136v1</t>
  </si>
  <si>
    <t>GCA_008831525.1</t>
  </si>
  <si>
    <t>https://ftp.ncbi.nlm.nih.gov/genomes/all/GCA/008/831/525/GCA_008831525.1_ASM883152v1</t>
  </si>
  <si>
    <t>GCA_008868275.1</t>
  </si>
  <si>
    <t>https://ftp.ncbi.nlm.nih.gov/genomes/all/GCA/008/868/275/GCA_008868275.1_ASM886827v1</t>
  </si>
  <si>
    <t>GCA_008868295.1</t>
  </si>
  <si>
    <t>https://ftp.ncbi.nlm.nih.gov/genomes/all/GCA/008/868/295/GCA_008868295.1_ASM886829v1</t>
  </si>
  <si>
    <t>GCA_008868595.1</t>
  </si>
  <si>
    <t>BIO5773</t>
  </si>
  <si>
    <t>https://ftp.ncbi.nlm.nih.gov/genomes/all/GCA/008/868/595/GCA_008868595.1_ASM886859v1</t>
  </si>
  <si>
    <t>GCA_008868665.1</t>
  </si>
  <si>
    <t>ATCC 14265</t>
  </si>
  <si>
    <t>https://ftp.ncbi.nlm.nih.gov/genomes/all/GCA/008/868/665/GCA_008868665.1_ASM886866v1</t>
  </si>
  <si>
    <t>GCA_008975305.1</t>
  </si>
  <si>
    <t>14-04-18</t>
  </si>
  <si>
    <t>https://ftp.ncbi.nlm.nih.gov/genomes/all/GCA/008/975/305/GCA_008975305.1_ASM897530v1</t>
  </si>
  <si>
    <t>GCA_009017375.1</t>
  </si>
  <si>
    <t>T16R-87</t>
  </si>
  <si>
    <t>https://ftp.ncbi.nlm.nih.gov/genomes/all/GCA/009/017/375/GCA_009017375.1_ASM901737v1</t>
  </si>
  <si>
    <t>GCA_009035845.1</t>
  </si>
  <si>
    <t>https://ftp.ncbi.nlm.nih.gov/genomes/all/GCA/009/035/845/GCA_009035845.1_ASM903584v1</t>
  </si>
  <si>
    <t>GCA_009177305.1</t>
  </si>
  <si>
    <t>TP-CU389</t>
  </si>
  <si>
    <t>https://ftp.ncbi.nlm.nih.gov/genomes/all/GCA/009/177/305/GCA_009177305.1_ASM917730v1</t>
  </si>
  <si>
    <t>GCA_009183435.1</t>
  </si>
  <si>
    <t>B2-b</t>
  </si>
  <si>
    <t>https://ftp.ncbi.nlm.nih.gov/genomes/all/GCA/009/183/435/GCA_009183435.1_ASM918343v1</t>
  </si>
  <si>
    <t>GCA_009189185.2</t>
  </si>
  <si>
    <t>VB5326</t>
  </si>
  <si>
    <t>https://ftp.ncbi.nlm.nih.gov/genomes/all/GCA/009/189/185/GCA_009189185.2_ASM918918v2</t>
  </si>
  <si>
    <t>GCA_009295985.1</t>
  </si>
  <si>
    <t>SCPM-O-B-6530</t>
  </si>
  <si>
    <t>https://ftp.ncbi.nlm.nih.gov/genomes/all/GCA/009/295/985/GCA_009295985.1_ASM929598v1</t>
  </si>
  <si>
    <t>GCA_009362935.1</t>
  </si>
  <si>
    <t>LV515</t>
  </si>
  <si>
    <t>https://ftp.ncbi.nlm.nih.gov/genomes/all/GCA/009/362/935/GCA_009362935.1_ASM936293v1</t>
  </si>
  <si>
    <t>J12</t>
  </si>
  <si>
    <t>https://ftp.ncbi.nlm.nih.gov/genomes/all/GCA/009/377/295/GCA_009377295.1_ASM937729v1</t>
  </si>
  <si>
    <t>GCA_009378035.1</t>
  </si>
  <si>
    <t>T6</t>
  </si>
  <si>
    <t>https://ftp.ncbi.nlm.nih.gov/genomes/all/GCA/009/378/035/GCA_009378035.1_ASM937803v1</t>
  </si>
  <si>
    <t>GCA_009378055.1</t>
  </si>
  <si>
    <t>4737718Q</t>
  </si>
  <si>
    <t>https://ftp.ncbi.nlm.nih.gov/genomes/all/GCA/009/378/055/GCA_009378055.1_ASM937805v1</t>
  </si>
  <si>
    <t>GCA_009378085.1</t>
  </si>
  <si>
    <t>MC24</t>
  </si>
  <si>
    <t>https://ftp.ncbi.nlm.nih.gov/genomes/all/GCA/009/378/085/GCA_009378085.1_ASM937808v1</t>
  </si>
  <si>
    <t>GCA_009378105.1</t>
  </si>
  <si>
    <t>T12</t>
  </si>
  <si>
    <t>https://ftp.ncbi.nlm.nih.gov/genomes/all/GCA/009/378/105/GCA_009378105.1_ASM937810v1</t>
  </si>
  <si>
    <t>GCA_009378215.1</t>
  </si>
  <si>
    <t>BE4L</t>
  </si>
  <si>
    <t>https://ftp.ncbi.nlm.nih.gov/genomes/all/GCA/009/378/215/GCA_009378215.1_ASM937821v1</t>
  </si>
  <si>
    <t>GCA_009378225.1</t>
  </si>
  <si>
    <t>https://ftp.ncbi.nlm.nih.gov/genomes/all/GCA/009/378/225/GCA_009378225.1_ASM937822v1</t>
  </si>
  <si>
    <t>GCA_009378245.1</t>
  </si>
  <si>
    <t>A16</t>
  </si>
  <si>
    <t>https://ftp.ncbi.nlm.nih.gov/genomes/all/GCA/009/378/245/GCA_009378245.1_ASM937824v1</t>
  </si>
  <si>
    <t>GCA_009378275.1</t>
  </si>
  <si>
    <t>ATCC43617a</t>
  </si>
  <si>
    <t>https://ftp.ncbi.nlm.nih.gov/genomes/all/GCA/009/378/275/GCA_009378275.1_ASM937827v1</t>
  </si>
  <si>
    <t>GCA_009378425.1</t>
  </si>
  <si>
    <t>78/191/1</t>
  </si>
  <si>
    <t>https://ftp.ncbi.nlm.nih.gov/genomes/all/GCA/009/378/425/GCA_009378425.1_ASM937842v1</t>
  </si>
  <si>
    <t>GCA_009378535.1</t>
  </si>
  <si>
    <t>64/108/1</t>
  </si>
  <si>
    <t>https://ftp.ncbi.nlm.nih.gov/genomes/all/GCA/009/378/535/GCA_009378535.1_ASM937853v1</t>
  </si>
  <si>
    <t>GCA_009378585.1</t>
  </si>
  <si>
    <t>5550565E</t>
  </si>
  <si>
    <t>https://ftp.ncbi.nlm.nih.gov/genomes/all/GCA/009/378/585/GCA_009378585.1_ASM937858v1</t>
  </si>
  <si>
    <t>GCA_009378595.1</t>
  </si>
  <si>
    <t>5267783B</t>
  </si>
  <si>
    <t>https://ftp.ncbi.nlm.nih.gov/genomes/all/GCA/009/378/595/GCA_009378595.1_ASM937859v1</t>
  </si>
  <si>
    <t>GCA_009378645.1</t>
  </si>
  <si>
    <t>5021466N</t>
  </si>
  <si>
    <t>https://ftp.ncbi.nlm.nih.gov/genomes/all/GCA/009/378/645/GCA_009378645.1_ASM937864v1</t>
  </si>
  <si>
    <t>GCA_009378685.1</t>
  </si>
  <si>
    <t>5021467Y</t>
  </si>
  <si>
    <t>https://ftp.ncbi.nlm.nih.gov/genomes/all/GCA/009/378/685/GCA_009378685.1_ASM937868v1</t>
  </si>
  <si>
    <t>GCA_009378725.1</t>
  </si>
  <si>
    <t>5/131/1</t>
  </si>
  <si>
    <t>https://ftp.ncbi.nlm.nih.gov/genomes/all/GCA/009/378/725/GCA_009378725.1_ASM937872v1</t>
  </si>
  <si>
    <t>GCA_009378755.1</t>
  </si>
  <si>
    <t>5008863L</t>
  </si>
  <si>
    <t>https://ftp.ncbi.nlm.nih.gov/genomes/all/GCA/009/378/755/GCA_009378755.1_ASM937875v1</t>
  </si>
  <si>
    <t>GCA_009378825.1</t>
  </si>
  <si>
    <t>4789849F</t>
  </si>
  <si>
    <t>https://ftp.ncbi.nlm.nih.gov/genomes/all/GCA/009/378/825/GCA_009378825.1_ASM937882v1</t>
  </si>
  <si>
    <t>GCA_009378835.1</t>
  </si>
  <si>
    <t>41/539/1</t>
  </si>
  <si>
    <t>https://ftp.ncbi.nlm.nih.gov/genomes/all/GCA/009/378/835/GCA_009378835.1_ASM937883v1</t>
  </si>
  <si>
    <t>GCA_009378895.1</t>
  </si>
  <si>
    <t>39/355/1</t>
  </si>
  <si>
    <t>https://ftp.ncbi.nlm.nih.gov/genomes/all/GCA/009/378/895/GCA_009378895.1_ASM937889v1</t>
  </si>
  <si>
    <t>GCA_009378915.1</t>
  </si>
  <si>
    <t>3753746B</t>
  </si>
  <si>
    <t>https://ftp.ncbi.nlm.nih.gov/genomes/all/GCA/009/378/915/GCA_009378915.1_ASM937891v1</t>
  </si>
  <si>
    <t>GCA_009378925.1</t>
  </si>
  <si>
    <t>3481088Y</t>
  </si>
  <si>
    <t>https://ftp.ncbi.nlm.nih.gov/genomes/all/GCA/009/378/925/GCA_009378925.1_ASM937892v1</t>
  </si>
  <si>
    <t>GCA_009379015.1</t>
  </si>
  <si>
    <t>3331584D</t>
  </si>
  <si>
    <t>https://ftp.ncbi.nlm.nih.gov/genomes/all/GCA/009/379/015/GCA_009379015.1_ASM937901v1</t>
  </si>
  <si>
    <t>GCA_009379145.1</t>
  </si>
  <si>
    <t>23/41/1</t>
  </si>
  <si>
    <t>https://ftp.ncbi.nlm.nih.gov/genomes/all/GCA/009/379/145/GCA_009379145.1_ASM937914v1</t>
  </si>
  <si>
    <t>GCA_009379155.1</t>
  </si>
  <si>
    <t>2047127K</t>
  </si>
  <si>
    <t>https://ftp.ncbi.nlm.nih.gov/genomes/all/GCA/009/379/155/GCA_009379155.1_ASM937915v1</t>
  </si>
  <si>
    <t>GCA_009379215.1</t>
  </si>
  <si>
    <t>2046210Y</t>
  </si>
  <si>
    <t>https://ftp.ncbi.nlm.nih.gov/genomes/all/GCA/009/379/215/GCA_009379215.1_ASM937921v1</t>
  </si>
  <si>
    <t>GCA_009379265.1</t>
  </si>
  <si>
    <t>2023641W</t>
  </si>
  <si>
    <t>https://ftp.ncbi.nlm.nih.gov/genomes/all/GCA/009/379/265/GCA_009379265.1_ASM937926v1</t>
  </si>
  <si>
    <t>GCA_009379305.1</t>
  </si>
  <si>
    <t>2019228G</t>
  </si>
  <si>
    <t>https://ftp.ncbi.nlm.nih.gov/genomes/all/GCA/009/379/305/GCA_009379305.1_ASM937930v1</t>
  </si>
  <si>
    <t>GCA_009379395.1</t>
  </si>
  <si>
    <t>1583718S</t>
  </si>
  <si>
    <t>https://ftp.ncbi.nlm.nih.gov/genomes/all/GCA/009/379/395/GCA_009379395.1_ASM937939v1</t>
  </si>
  <si>
    <t>GCA_009379425.1</t>
  </si>
  <si>
    <t>129/464/4</t>
  </si>
  <si>
    <t>https://ftp.ncbi.nlm.nih.gov/genomes/all/GCA/009/379/425/GCA_009379425.1_ASM937942v1</t>
  </si>
  <si>
    <t>GCA_009379475.1</t>
  </si>
  <si>
    <t>113/391/3</t>
  </si>
  <si>
    <t>https://ftp.ncbi.nlm.nih.gov/genomes/all/GCA/009/379/475/GCA_009379475.1_ASM937947v1</t>
  </si>
  <si>
    <t>GCA_009379515.1</t>
  </si>
  <si>
    <t>1098655R</t>
  </si>
  <si>
    <t>https://ftp.ncbi.nlm.nih.gov/genomes/all/GCA/009/379/515/GCA_009379515.1_ASM937951v1</t>
  </si>
  <si>
    <t>GCA_009379565.1</t>
  </si>
  <si>
    <t>107/374/3</t>
  </si>
  <si>
    <t>https://ftp.ncbi.nlm.nih.gov/genomes/all/GCA/009/379/565/GCA_009379565.1_ASM937956v1</t>
  </si>
  <si>
    <t>GCA_009379585.1</t>
  </si>
  <si>
    <t>1034084Q</t>
  </si>
  <si>
    <t>https://ftp.ncbi.nlm.nih.gov/genomes/all/GCA/009/379/585/GCA_009379585.1_ASM937958v1</t>
  </si>
  <si>
    <t>GCA_009379625.1</t>
  </si>
  <si>
    <t>1028680K</t>
  </si>
  <si>
    <t>https://ftp.ncbi.nlm.nih.gov/genomes/all/GCA/009/379/625/GCA_009379625.1_ASM937962v1</t>
  </si>
  <si>
    <t>GCA_009379655.1</t>
  </si>
  <si>
    <t>102/402/3</t>
  </si>
  <si>
    <t>https://ftp.ncbi.nlm.nih.gov/genomes/all/GCA/009/379/655/GCA_009379655.1_ASM937965v1</t>
  </si>
  <si>
    <t>GCA_009379685.1</t>
  </si>
  <si>
    <t>1020848M</t>
  </si>
  <si>
    <t>https://ftp.ncbi.nlm.nih.gov/genomes/all/GCA/009/379/685/GCA_009379685.1_ASM937968v1</t>
  </si>
  <si>
    <t>GCA_009379715.1</t>
  </si>
  <si>
    <t>https://ftp.ncbi.nlm.nih.gov/genomes/all/GCA/009/379/715/GCA_009379715.1_ASM937971v1</t>
  </si>
  <si>
    <t>iAA615</t>
  </si>
  <si>
    <t>https://ftp.ncbi.nlm.nih.gov/genomes/all/GCA/009/494/375/GCA_009494375.1_ASM949437v1</t>
  </si>
  <si>
    <t>iAA917</t>
  </si>
  <si>
    <t>https://ftp.ncbi.nlm.nih.gov/genomes/all/GCA/009/495/335/GCA_009495335.1_ASM949533v1</t>
  </si>
  <si>
    <t>GCA_009495465.1</t>
  </si>
  <si>
    <t>LA1184</t>
  </si>
  <si>
    <t>https://ftp.ncbi.nlm.nih.gov/genomes/all/GCA/009/495/465/GCA_009495465.1_ASM949546v1</t>
  </si>
  <si>
    <t>GCA_009495475.1</t>
  </si>
  <si>
    <t>https://ftp.ncbi.nlm.nih.gov/genomes/all/GCA/009/495/475/GCA_009495475.1_ASM949547v1</t>
  </si>
  <si>
    <t>GCA_009495735.1</t>
  </si>
  <si>
    <t>SM45</t>
  </si>
  <si>
    <t>https://ftp.ncbi.nlm.nih.gov/genomes/all/GCA/009/495/735/GCA_009495735.1_ASM949573v1</t>
  </si>
  <si>
    <t>GCA_009495895.1</t>
  </si>
  <si>
    <t>SM35</t>
  </si>
  <si>
    <t>https://ftp.ncbi.nlm.nih.gov/genomes/all/GCA/009/495/895/GCA_009495895.1_ASM949589v1</t>
  </si>
  <si>
    <t>GCA_009495955.1</t>
  </si>
  <si>
    <t>SM47</t>
  </si>
  <si>
    <t>https://ftp.ncbi.nlm.nih.gov/genomes/all/GCA/009/495/955/GCA_009495955.1_ASM949595v1</t>
  </si>
  <si>
    <t>GCA_009496035.1</t>
  </si>
  <si>
    <t>SM28</t>
  </si>
  <si>
    <t>https://ftp.ncbi.nlm.nih.gov/genomes/all/GCA/009/496/035/GCA_009496035.1_ASM949603v1</t>
  </si>
  <si>
    <t>GCA_009496045.1</t>
  </si>
  <si>
    <t>SM30</t>
  </si>
  <si>
    <t>https://ftp.ncbi.nlm.nih.gov/genomes/all/GCA/009/496/045/GCA_009496045.1_ASM949604v1</t>
  </si>
  <si>
    <t>GCA_009496065.1</t>
  </si>
  <si>
    <t>SM29</t>
  </si>
  <si>
    <t>https://ftp.ncbi.nlm.nih.gov/genomes/all/GCA/009/496/065/GCA_009496065.1_ASM949606v1</t>
  </si>
  <si>
    <t>GCA_009496075.1</t>
  </si>
  <si>
    <t>SM46</t>
  </si>
  <si>
    <t>https://ftp.ncbi.nlm.nih.gov/genomes/all/GCA/009/496/075/GCA_009496075.1_ASM949607v1</t>
  </si>
  <si>
    <t>GCA_009496165.1</t>
  </si>
  <si>
    <t>SM08</t>
  </si>
  <si>
    <t>https://ftp.ncbi.nlm.nih.gov/genomes/all/GCA/009/496/165/GCA_009496165.1_ASM949616v1</t>
  </si>
  <si>
    <t>GCA_009496235.1</t>
  </si>
  <si>
    <t>SM41</t>
  </si>
  <si>
    <t>https://ftp.ncbi.nlm.nih.gov/genomes/all/GCA/009/496/235/GCA_009496235.1_ASM949623v1</t>
  </si>
  <si>
    <t>GCA_009496295.1</t>
  </si>
  <si>
    <t>SM15</t>
  </si>
  <si>
    <t>https://ftp.ncbi.nlm.nih.gov/genomes/all/GCA/009/496/295/GCA_009496295.1_ASM949629v1</t>
  </si>
  <si>
    <t>GCA_009496335.1</t>
  </si>
  <si>
    <t>SM07</t>
  </si>
  <si>
    <t>https://ftp.ncbi.nlm.nih.gov/genomes/all/GCA/009/496/335/GCA_009496335.1_ASM949633v1</t>
  </si>
  <si>
    <t>GCA_009496355.1</t>
  </si>
  <si>
    <t>SM27</t>
  </si>
  <si>
    <t>https://ftp.ncbi.nlm.nih.gov/genomes/all/GCA/009/496/355/GCA_009496355.1_ASM949635v1</t>
  </si>
  <si>
    <t>GCA_009496375.1</t>
  </si>
  <si>
    <t>SM09</t>
  </si>
  <si>
    <t>https://ftp.ncbi.nlm.nih.gov/genomes/all/GCA/009/496/375/GCA_009496375.1_ASM949637v1</t>
  </si>
  <si>
    <t>GCA_009496385.1</t>
  </si>
  <si>
    <t>SM26</t>
  </si>
  <si>
    <t>https://ftp.ncbi.nlm.nih.gov/genomes/all/GCA/009/496/385/GCA_009496385.1_ASM949638v1</t>
  </si>
  <si>
    <t>GCA_009496395.1</t>
  </si>
  <si>
    <t>SM05</t>
  </si>
  <si>
    <t>https://ftp.ncbi.nlm.nih.gov/genomes/all/GCA/009/496/395/GCA_009496395.1_ASM949639v1</t>
  </si>
  <si>
    <t>GCA_009496435.1</t>
  </si>
  <si>
    <t>SM04</t>
  </si>
  <si>
    <t>https://ftp.ncbi.nlm.nih.gov/genomes/all/GCA/009/496/435/GCA_009496435.1_ASM949643v1</t>
  </si>
  <si>
    <t>GCA_009496505.1</t>
  </si>
  <si>
    <t>SM06</t>
  </si>
  <si>
    <t>https://ftp.ncbi.nlm.nih.gov/genomes/all/GCA/009/496/505/GCA_009496505.1_ASM949650v1</t>
  </si>
  <si>
    <t>GCA_009496725.1</t>
  </si>
  <si>
    <t>SM44</t>
  </si>
  <si>
    <t>https://ftp.ncbi.nlm.nih.gov/genomes/all/GCA/009/496/725/GCA_009496725.1_ASM949672v1</t>
  </si>
  <si>
    <t>GCA_009496735.1</t>
  </si>
  <si>
    <t>SM43</t>
  </si>
  <si>
    <t>https://ftp.ncbi.nlm.nih.gov/genomes/all/GCA/009/496/735/GCA_009496735.1_ASM949673v1</t>
  </si>
  <si>
    <t>GCA_009496755.1</t>
  </si>
  <si>
    <t>SM42</t>
  </si>
  <si>
    <t>https://ftp.ncbi.nlm.nih.gov/genomes/all/GCA/009/496/755/GCA_009496755.1_ASM949675v1</t>
  </si>
  <si>
    <t>GCA_009496795.1</t>
  </si>
  <si>
    <t>SM37</t>
  </si>
  <si>
    <t>https://ftp.ncbi.nlm.nih.gov/genomes/all/GCA/009/496/795/GCA_009496795.1_ASM949679v1</t>
  </si>
  <si>
    <t>GCA_009496805.1</t>
  </si>
  <si>
    <t>SM19</t>
  </si>
  <si>
    <t>https://ftp.ncbi.nlm.nih.gov/genomes/all/GCA/009/496/805/GCA_009496805.1_ASM949680v1</t>
  </si>
  <si>
    <t>GCA_009496815.1</t>
  </si>
  <si>
    <t>SM36</t>
  </si>
  <si>
    <t>https://ftp.ncbi.nlm.nih.gov/genomes/all/GCA/009/496/815/GCA_009496815.1_ASM949681v1</t>
  </si>
  <si>
    <t>GCA_009496835.1</t>
  </si>
  <si>
    <t>SM18</t>
  </si>
  <si>
    <t>https://ftp.ncbi.nlm.nih.gov/genomes/all/GCA/009/496/835/GCA_009496835.1_ASM949683v1</t>
  </si>
  <si>
    <t>GCA_009496895.1</t>
  </si>
  <si>
    <t>SM49</t>
  </si>
  <si>
    <t>https://ftp.ncbi.nlm.nih.gov/genomes/all/GCA/009/496/895/GCA_009496895.1_ASM949689v1</t>
  </si>
  <si>
    <t>GCA_009496905.1</t>
  </si>
  <si>
    <t>SM50</t>
  </si>
  <si>
    <t>https://ftp.ncbi.nlm.nih.gov/genomes/all/GCA/009/496/905/GCA_009496905.1_ASM949690v1</t>
  </si>
  <si>
    <t>GCA_009498455.1</t>
  </si>
  <si>
    <t>5C-2</t>
  </si>
  <si>
    <t>https://ftp.ncbi.nlm.nih.gov/genomes/all/GCA/009/498/455/GCA_009498455.1_ASM949845v1</t>
  </si>
  <si>
    <t>GCA_009648895.1</t>
  </si>
  <si>
    <t>CFSAN068773</t>
  </si>
  <si>
    <t>https://ftp.ncbi.nlm.nih.gov/genomes/all/GCA/009/648/895/GCA_009648895.1_ASM964889v1</t>
  </si>
  <si>
    <t>GCA_009648915.1</t>
  </si>
  <si>
    <t>MiY-F</t>
  </si>
  <si>
    <t>https://ftp.ncbi.nlm.nih.gov/genomes/all/GCA/009/648/915/GCA_009648915.1_ASM964891v1</t>
  </si>
  <si>
    <t>GCA_009650155.1</t>
  </si>
  <si>
    <t>https://ftp.ncbi.nlm.nih.gov/genomes/all/GCA/009/650/155/GCA_009650155.1_ASM965015v1</t>
  </si>
  <si>
    <t>GCA_009650805.1</t>
  </si>
  <si>
    <t>EI_07</t>
  </si>
  <si>
    <t>https://ftp.ncbi.nlm.nih.gov/genomes/all/GCA/009/650/805/GCA_009650805.1_ASM965080v1</t>
  </si>
  <si>
    <t>GCA_009650815.1</t>
  </si>
  <si>
    <t>EI_09</t>
  </si>
  <si>
    <t>https://ftp.ncbi.nlm.nih.gov/genomes/all/GCA/009/650/815/GCA_009650815.1_ASM965081v1</t>
  </si>
  <si>
    <t>GCA_009650825.1</t>
  </si>
  <si>
    <t>EI_05</t>
  </si>
  <si>
    <t>https://ftp.ncbi.nlm.nih.gov/genomes/all/GCA/009/650/825/GCA_009650825.1_ASM965082v1</t>
  </si>
  <si>
    <t>GCA_009650835.1</t>
  </si>
  <si>
    <t>EI_06</t>
  </si>
  <si>
    <t>https://ftp.ncbi.nlm.nih.gov/genomes/all/GCA/009/650/835/GCA_009650835.1_ASM965083v1</t>
  </si>
  <si>
    <t>GCA_009650845.1</t>
  </si>
  <si>
    <t>EI_08</t>
  </si>
  <si>
    <t>https://ftp.ncbi.nlm.nih.gov/genomes/all/GCA/009/650/845/GCA_009650845.1_ASM965084v1</t>
  </si>
  <si>
    <t>GCA_009650905.1</t>
  </si>
  <si>
    <t>EI_03</t>
  </si>
  <si>
    <t>https://ftp.ncbi.nlm.nih.gov/genomes/all/GCA/009/650/905/GCA_009650905.1_ASM965090v1</t>
  </si>
  <si>
    <t>GCA_009650925.1</t>
  </si>
  <si>
    <t>EI_04</t>
  </si>
  <si>
    <t>https://ftp.ncbi.nlm.nih.gov/genomes/all/GCA/009/650/925/GCA_009650925.1_ASM965092v1</t>
  </si>
  <si>
    <t>GCA_009650945.1</t>
  </si>
  <si>
    <t>EI_01</t>
  </si>
  <si>
    <t>https://ftp.ncbi.nlm.nih.gov/genomes/all/GCA/009/650/945/GCA_009650945.1_ASM965094v1</t>
  </si>
  <si>
    <t>GCA_009663495.1</t>
  </si>
  <si>
    <t>APC2923</t>
  </si>
  <si>
    <t>https://ftp.ncbi.nlm.nih.gov/genomes/all/GCA/009/663/495/GCA_009663495.1_ASM966349v1</t>
  </si>
  <si>
    <t>GCA_009663915.1</t>
  </si>
  <si>
    <t>NCDO176</t>
  </si>
  <si>
    <t>https://ftp.ncbi.nlm.nih.gov/genomes/all/GCA/009/663/915/GCA_009663915.1_ASM966391v1</t>
  </si>
  <si>
    <t>GCA_009663945.1</t>
  </si>
  <si>
    <t>SHYJILJH</t>
  </si>
  <si>
    <t>https://ftp.ncbi.nlm.nih.gov/genomes/all/GCA/009/663/945/GCA_009663945.1_ASM966394v1</t>
  </si>
  <si>
    <t>GCA_009664675.1</t>
  </si>
  <si>
    <t>AUSMDU00005726</t>
  </si>
  <si>
    <t>https://ftp.ncbi.nlm.nih.gov/genomes/all/GCA/009/664/675/GCA_009664675.1_ASM966467v1</t>
  </si>
  <si>
    <t>GCA_009664695.1</t>
  </si>
  <si>
    <t>AUSMDU00010537</t>
  </si>
  <si>
    <t>https://ftp.ncbi.nlm.nih.gov/genomes/all/GCA/009/664/695/GCA_009664695.1_ASM966469v1</t>
  </si>
  <si>
    <t>GCA_009707975.1</t>
  </si>
  <si>
    <t>https://ftp.ncbi.nlm.nih.gov/genomes/all/GCA/009/707/975/GCA_009707975.1_ASM970797v1</t>
  </si>
  <si>
    <t>GCA_009707995.1</t>
  </si>
  <si>
    <t>https://ftp.ncbi.nlm.nih.gov/genomes/all/GCA/009/707/995/GCA_009707995.1_ASM970799v1</t>
  </si>
  <si>
    <t>GCA_009708045.1</t>
  </si>
  <si>
    <t>https://ftp.ncbi.nlm.nih.gov/genomes/all/GCA/009/708/045/GCA_009708045.1_ASM970804v1</t>
  </si>
  <si>
    <t>GCA_009710745.1</t>
  </si>
  <si>
    <t>BIOML-A1</t>
  </si>
  <si>
    <t>https://ftp.ncbi.nlm.nih.gov/genomes/all/GCA/009/710/745/GCA_009710745.1_ASM971074v1</t>
  </si>
  <si>
    <t>GCA_009710775.1</t>
  </si>
  <si>
    <t>BIOML-A2</t>
  </si>
  <si>
    <t>https://ftp.ncbi.nlm.nih.gov/genomes/all/GCA/009/710/775/GCA_009710775.1_ASM971077v1</t>
  </si>
  <si>
    <t>GCA_009710825.1</t>
  </si>
  <si>
    <t>https://ftp.ncbi.nlm.nih.gov/genomes/all/GCA/009/710/825/GCA_009710825.1_ASM971082v1</t>
  </si>
  <si>
    <t>GCA_009710845.1</t>
  </si>
  <si>
    <t>https://ftp.ncbi.nlm.nih.gov/genomes/all/GCA/009/710/845/GCA_009710845.1_ASM971084v1</t>
  </si>
  <si>
    <t>GCA_009716755.1</t>
  </si>
  <si>
    <t>BIOML-A36</t>
  </si>
  <si>
    <t>https://ftp.ncbi.nlm.nih.gov/genomes/all/GCA/009/716/755/GCA_009716755.1_ASM971675v1</t>
  </si>
  <si>
    <t>GCA_009716765.1</t>
  </si>
  <si>
    <t>BIOML-A35</t>
  </si>
  <si>
    <t>https://ftp.ncbi.nlm.nih.gov/genomes/all/GCA/009/716/765/GCA_009716765.1_ASM971676v1</t>
  </si>
  <si>
    <t>GCA_009716785.1</t>
  </si>
  <si>
    <t>BIOML-A34</t>
  </si>
  <si>
    <t>https://ftp.ncbi.nlm.nih.gov/genomes/all/GCA/009/716/785/GCA_009716785.1_ASM971678v1</t>
  </si>
  <si>
    <t>GCA_009716795.1</t>
  </si>
  <si>
    <t>https://ftp.ncbi.nlm.nih.gov/genomes/all/GCA/009/716/795/GCA_009716795.1_ASM971679v1</t>
  </si>
  <si>
    <t>GCA_009716965.1</t>
  </si>
  <si>
    <t>BIOML-A26</t>
  </si>
  <si>
    <t>https://ftp.ncbi.nlm.nih.gov/genomes/all/GCA/009/716/965/GCA_009716965.1_ASM971696v1</t>
  </si>
  <si>
    <t>GCA_009716995.1</t>
  </si>
  <si>
    <t>BIOML-A29</t>
  </si>
  <si>
    <t>https://ftp.ncbi.nlm.nih.gov/genomes/all/GCA/009/716/995/GCA_009716995.1_ASM971699v1</t>
  </si>
  <si>
    <t>GCA_009717045.1</t>
  </si>
  <si>
    <t>BIOML-A24</t>
  </si>
  <si>
    <t>https://ftp.ncbi.nlm.nih.gov/genomes/all/GCA/009/717/045/GCA_009717045.1_ASM971704v1</t>
  </si>
  <si>
    <t>GCA_009717055.1</t>
  </si>
  <si>
    <t>BIOML-A25</t>
  </si>
  <si>
    <t>https://ftp.ncbi.nlm.nih.gov/genomes/all/GCA/009/717/055/GCA_009717055.1_ASM971705v1</t>
  </si>
  <si>
    <t>GCA_009717065.1</t>
  </si>
  <si>
    <t>BIOML-A23</t>
  </si>
  <si>
    <t>https://ftp.ncbi.nlm.nih.gov/genomes/all/GCA/009/717/065/GCA_009717065.1_ASM971706v1</t>
  </si>
  <si>
    <t>GCA_009717105.1</t>
  </si>
  <si>
    <t>BIOML-A21</t>
  </si>
  <si>
    <t>https://ftp.ncbi.nlm.nih.gov/genomes/all/GCA/009/717/105/GCA_009717105.1_ASM971710v1</t>
  </si>
  <si>
    <t>GCA_009717115.1</t>
  </si>
  <si>
    <t>BIOML-A22</t>
  </si>
  <si>
    <t>https://ftp.ncbi.nlm.nih.gov/genomes/all/GCA/009/717/115/GCA_009717115.1_ASM971711v1</t>
  </si>
  <si>
    <t>GCA_009717155.1</t>
  </si>
  <si>
    <t>BIOML-A18</t>
  </si>
  <si>
    <t>https://ftp.ncbi.nlm.nih.gov/genomes/all/GCA/009/717/155/GCA_009717155.1_ASM971715v1</t>
  </si>
  <si>
    <t>GCA_009717165.1</t>
  </si>
  <si>
    <t>BIOML-A19</t>
  </si>
  <si>
    <t>https://ftp.ncbi.nlm.nih.gov/genomes/all/GCA/009/717/165/GCA_009717165.1_ASM971716v1</t>
  </si>
  <si>
    <t>GCA_009717205.1</t>
  </si>
  <si>
    <t>BIOML-A17</t>
  </si>
  <si>
    <t>https://ftp.ncbi.nlm.nih.gov/genomes/all/GCA/009/717/205/GCA_009717205.1_ASM971720v1</t>
  </si>
  <si>
    <t>GCA_009717225.1</t>
  </si>
  <si>
    <t>BIOML-A16</t>
  </si>
  <si>
    <t>https://ftp.ncbi.nlm.nih.gov/genomes/all/GCA/009/717/225/GCA_009717225.1_ASM971722v1</t>
  </si>
  <si>
    <t>GCA_009717245.1</t>
  </si>
  <si>
    <t>BIOML-A15</t>
  </si>
  <si>
    <t>https://ftp.ncbi.nlm.nih.gov/genomes/all/GCA/009/717/245/GCA_009717245.1_ASM971724v1</t>
  </si>
  <si>
    <t>GCA_009717255.1</t>
  </si>
  <si>
    <t>BIOML-A14</t>
  </si>
  <si>
    <t>https://ftp.ncbi.nlm.nih.gov/genomes/all/GCA/009/717/255/GCA_009717255.1_ASM971725v1</t>
  </si>
  <si>
    <t>GCA_009717265.1</t>
  </si>
  <si>
    <t>BIOML-A13</t>
  </si>
  <si>
    <t>https://ftp.ncbi.nlm.nih.gov/genomes/all/GCA/009/717/265/GCA_009717265.1_ASM971726v1</t>
  </si>
  <si>
    <t>GCA_009717325.1</t>
  </si>
  <si>
    <t>BIOML-A10</t>
  </si>
  <si>
    <t>https://ftp.ncbi.nlm.nih.gov/genomes/all/GCA/009/717/325/GCA_009717325.1_ASM971732v1</t>
  </si>
  <si>
    <t>GCA_009717375.1</t>
  </si>
  <si>
    <t>BIOML-A7</t>
  </si>
  <si>
    <t>https://ftp.ncbi.nlm.nih.gov/genomes/all/GCA/009/717/375/GCA_009717375.1_ASM971737v1</t>
  </si>
  <si>
    <t>GCA_009717425.1</t>
  </si>
  <si>
    <t>BIOML-A5</t>
  </si>
  <si>
    <t>https://ftp.ncbi.nlm.nih.gov/genomes/all/GCA/009/717/425/GCA_009717425.1_ASM971742v1</t>
  </si>
  <si>
    <t>GCA_009717435.1</t>
  </si>
  <si>
    <t>BIOML-A4</t>
  </si>
  <si>
    <t>https://ftp.ncbi.nlm.nih.gov/genomes/all/GCA/009/717/435/GCA_009717435.1_ASM971743v1</t>
  </si>
  <si>
    <t>GCA_009717465.1</t>
  </si>
  <si>
    <t>https://ftp.ncbi.nlm.nih.gov/genomes/all/GCA/009/717/465/GCA_009717465.1_ASM971746v1</t>
  </si>
  <si>
    <t>GCA_009717495.1</t>
  </si>
  <si>
    <t>https://ftp.ncbi.nlm.nih.gov/genomes/all/GCA/009/717/495/GCA_009717495.1_ASM971749v1</t>
  </si>
  <si>
    <t>GCA_009717525.1</t>
  </si>
  <si>
    <t>https://ftp.ncbi.nlm.nih.gov/genomes/all/GCA/009/717/525/GCA_009717525.1_ASM971752v1</t>
  </si>
  <si>
    <t>GCA_009717535.1</t>
  </si>
  <si>
    <t>https://ftp.ncbi.nlm.nih.gov/genomes/all/GCA/009/717/535/GCA_009717535.1_ASM971753v1</t>
  </si>
  <si>
    <t>GCA_009717545.1</t>
  </si>
  <si>
    <t>https://ftp.ncbi.nlm.nih.gov/genomes/all/GCA/009/717/545/GCA_009717545.1_ASM971754v1</t>
  </si>
  <si>
    <t>GCA_009717575.1</t>
  </si>
  <si>
    <t>https://ftp.ncbi.nlm.nih.gov/genomes/all/GCA/009/717/575/GCA_009717575.1_ASM971757v1</t>
  </si>
  <si>
    <t>GCA_009717595.1</t>
  </si>
  <si>
    <t>https://ftp.ncbi.nlm.nih.gov/genomes/all/GCA/009/717/595/GCA_009717595.1_ASM971759v1</t>
  </si>
  <si>
    <t>GCA_009717625.1</t>
  </si>
  <si>
    <t>https://ftp.ncbi.nlm.nih.gov/genomes/all/GCA/009/717/625/GCA_009717625.1_ASM971762v1</t>
  </si>
  <si>
    <t>BIOML-A12</t>
  </si>
  <si>
    <t>https://ftp.ncbi.nlm.nih.gov/genomes/all/GCA/009/717/635/GCA_009717635.1_ASM971763v1</t>
  </si>
  <si>
    <t>GCA_009717665.1</t>
  </si>
  <si>
    <t>BIOML-A11</t>
  </si>
  <si>
    <t>https://ftp.ncbi.nlm.nih.gov/genomes/all/GCA/009/717/665/GCA_009717665.1_ASM971766v1</t>
  </si>
  <si>
    <t>GCA_009717675.1</t>
  </si>
  <si>
    <t>https://ftp.ncbi.nlm.nih.gov/genomes/all/GCA/009/717/675/GCA_009717675.1_ASM971767v1</t>
  </si>
  <si>
    <t>GCA_009717705.1</t>
  </si>
  <si>
    <t>BIOML-A9</t>
  </si>
  <si>
    <t>https://ftp.ncbi.nlm.nih.gov/genomes/all/GCA/009/717/705/GCA_009717705.1_ASM971770v1</t>
  </si>
  <si>
    <t>GCA_009717715.1</t>
  </si>
  <si>
    <t>BIOML-A8</t>
  </si>
  <si>
    <t>https://ftp.ncbi.nlm.nih.gov/genomes/all/GCA/009/717/715/GCA_009717715.1_ASM971771v1</t>
  </si>
  <si>
    <t>GCA_009717735.1</t>
  </si>
  <si>
    <t>https://ftp.ncbi.nlm.nih.gov/genomes/all/GCA/009/717/735/GCA_009717735.1_ASM971773v1</t>
  </si>
  <si>
    <t>BIOML-A6</t>
  </si>
  <si>
    <t>https://ftp.ncbi.nlm.nih.gov/genomes/all/GCA/009/717/765/GCA_009717765.1_ASM971776v1</t>
  </si>
  <si>
    <t>GCA_009717775.1</t>
  </si>
  <si>
    <t>https://ftp.ncbi.nlm.nih.gov/genomes/all/GCA/009/717/775/GCA_009717775.1_ASM971777v1</t>
  </si>
  <si>
    <t>https://ftp.ncbi.nlm.nih.gov/genomes/all/GCA/009/717/805/GCA_009717805.1_ASM971780v1</t>
  </si>
  <si>
    <t>GCA_009717815.1</t>
  </si>
  <si>
    <t>BIOML-A3</t>
  </si>
  <si>
    <t>https://ftp.ncbi.nlm.nih.gov/genomes/all/GCA/009/717/815/GCA_009717815.1_ASM971781v1</t>
  </si>
  <si>
    <t>https://ftp.ncbi.nlm.nih.gov/genomes/all/GCA/009/717/845/GCA_009717845.1_ASM971784v1</t>
  </si>
  <si>
    <t>GCA_009728485.1</t>
  </si>
  <si>
    <t>A2879</t>
  </si>
  <si>
    <t>https://ftp.ncbi.nlm.nih.gov/genomes/all/GCA/009/728/485/GCA_009728485.1_ASM972848v1</t>
  </si>
  <si>
    <t>GCA_009730115.1</t>
  </si>
  <si>
    <t>FDAARGOS_747</t>
  </si>
  <si>
    <t>https://ftp.ncbi.nlm.nih.gov/genomes/all/GCA/009/730/115/GCA_009730115.1_ASM973011v1</t>
  </si>
  <si>
    <t>GCA_009730135.1</t>
  </si>
  <si>
    <t>FDAARGOS_746</t>
  </si>
  <si>
    <t>https://ftp.ncbi.nlm.nih.gov/genomes/all/GCA/009/730/135/GCA_009730135.1_ASM973013v1</t>
  </si>
  <si>
    <t>GCA_009730295.1</t>
  </si>
  <si>
    <t>FDAARGOS_742</t>
  </si>
  <si>
    <t>https://ftp.ncbi.nlm.nih.gov/genomes/all/GCA/009/730/295/GCA_009730295.1_ASM973029v1</t>
  </si>
  <si>
    <t>GCA_009730315.1</t>
  </si>
  <si>
    <t>FDAARGOS_741</t>
  </si>
  <si>
    <t>https://ftp.ncbi.nlm.nih.gov/genomes/all/GCA/009/730/315/GCA_009730315.1_ASM973031v1</t>
  </si>
  <si>
    <t>GCA_009730335.1</t>
  </si>
  <si>
    <t>FDAARGOS_732</t>
  </si>
  <si>
    <t>https://ftp.ncbi.nlm.nih.gov/genomes/all/GCA/009/730/335/GCA_009730335.1_ASM973033v1</t>
  </si>
  <si>
    <t>FDAARGOS_737</t>
  </si>
  <si>
    <t>https://ftp.ncbi.nlm.nih.gov/genomes/all/GCA/009/730/375/GCA_009730375.1_ASM973037v1</t>
  </si>
  <si>
    <t>GCA_009730515.1</t>
  </si>
  <si>
    <t>FDAARGOS_684</t>
  </si>
  <si>
    <t>https://ftp.ncbi.nlm.nih.gov/genomes/all/GCA/009/730/515/GCA_009730515.1_ASM973051v1</t>
  </si>
  <si>
    <t>GCA_009730535.1</t>
  </si>
  <si>
    <t>FDAARGOS_683</t>
  </si>
  <si>
    <t>https://ftp.ncbi.nlm.nih.gov/genomes/all/GCA/009/730/535/GCA_009730535.1_ASM973053v1</t>
  </si>
  <si>
    <t>GCA_009730635.1</t>
  </si>
  <si>
    <t>N843_15</t>
  </si>
  <si>
    <t>https://ftp.ncbi.nlm.nih.gov/genomes/all/GCA/009/730/635/GCA_009730635.1_ASM973063v1</t>
  </si>
  <si>
    <t>GCA_009732795.1</t>
  </si>
  <si>
    <t>https://ftp.ncbi.nlm.nih.gov/genomes/all/GCA/009/732/795/GCA_009732795.1_ASM973279v1</t>
  </si>
  <si>
    <t>FDAARGOS_733</t>
  </si>
  <si>
    <t>https://ftp.ncbi.nlm.nih.gov/genomes/all/GCA/009/734/165/GCA_009734165.1_ASM973416v1</t>
  </si>
  <si>
    <t>GCA_009735755.1</t>
  </si>
  <si>
    <t>M1-70</t>
  </si>
  <si>
    <t>https://ftp.ncbi.nlm.nih.gov/genomes/all/GCA/009/735/755/GCA_009735755.1_ASM973575v1</t>
  </si>
  <si>
    <t>GCA_009738105.1</t>
  </si>
  <si>
    <t>NCH105</t>
  </si>
  <si>
    <t>https://ftp.ncbi.nlm.nih.gov/genomes/all/GCA/009/738/105/GCA_009738105.1_ASM973810v1</t>
  </si>
  <si>
    <t>GCA_009738205.1</t>
  </si>
  <si>
    <t>ICDC1</t>
  </si>
  <si>
    <t>https://ftp.ncbi.nlm.nih.gov/genomes/all/GCA/009/738/205/GCA_009738205.1_ASM973820v1</t>
  </si>
  <si>
    <t>GCA_009738225.1</t>
  </si>
  <si>
    <t>ICDC2</t>
  </si>
  <si>
    <t>https://ftp.ncbi.nlm.nih.gov/genomes/all/GCA/009/738/225/GCA_009738225.1_ASM973822v1</t>
  </si>
  <si>
    <t>GCA_009738245.1</t>
  </si>
  <si>
    <t>ICDC3</t>
  </si>
  <si>
    <t>https://ftp.ncbi.nlm.nih.gov/genomes/all/GCA/009/738/245/GCA_009738245.1_ASM973824v1</t>
  </si>
  <si>
    <t>GCA_009739355.1</t>
  </si>
  <si>
    <t>P2A-1</t>
  </si>
  <si>
    <t>https://ftp.ncbi.nlm.nih.gov/genomes/all/GCA/009/739/355/GCA_009739355.1_ASM973935v1</t>
  </si>
  <si>
    <t>GCA_009755665.1</t>
  </si>
  <si>
    <t>CSUSB</t>
  </si>
  <si>
    <t>https://ftp.ncbi.nlm.nih.gov/genomes/all/GCA/009/755/665/GCA_009755665.1_ASM975566v1</t>
  </si>
  <si>
    <t>GCA_009759685.1</t>
  </si>
  <si>
    <t>https://ftp.ncbi.nlm.nih.gov/genomes/all/GCA/009/759/685/GCA_009759685.1_ASM975968v1</t>
  </si>
  <si>
    <t>GCA_009761735.1</t>
  </si>
  <si>
    <t>https://ftp.ncbi.nlm.nih.gov/genomes/all/GCA/009/761/735/GCA_009761735.1_ASM976173v1</t>
  </si>
  <si>
    <t>GCA_009771075.1</t>
  </si>
  <si>
    <t>HMT-924</t>
  </si>
  <si>
    <t>Lachnocurva</t>
  </si>
  <si>
    <t>Y2624</t>
  </si>
  <si>
    <t>https://ftp.ncbi.nlm.nih.gov/genomes/all/GCA/009/771/075/GCA_009771075.1_ASM977107v1</t>
  </si>
  <si>
    <t>GCA_009771085.1</t>
  </si>
  <si>
    <t>Y3255</t>
  </si>
  <si>
    <t>https://ftp.ncbi.nlm.nih.gov/genomes/all/GCA/009/771/085/GCA_009771085.1_ASM977108v1</t>
  </si>
  <si>
    <t>GCA_009771115.1</t>
  </si>
  <si>
    <t>Y2694</t>
  </si>
  <si>
    <t>https://ftp.ncbi.nlm.nih.gov/genomes/all/GCA/009/771/115/GCA_009771115.1_ASM977111v1</t>
  </si>
  <si>
    <t>GCA_009771145.1</t>
  </si>
  <si>
    <t>Y2266</t>
  </si>
  <si>
    <t>https://ftp.ncbi.nlm.nih.gov/genomes/all/GCA/009/771/145/GCA_009771145.1_ASM977114v1</t>
  </si>
  <si>
    <t>GCA_009789555.1</t>
  </si>
  <si>
    <t>PM101005</t>
  </si>
  <si>
    <t>https://ftp.ncbi.nlm.nih.gov/genomes/all/GCA/009/789/555/GCA_009789555.1_ASM978955v1</t>
  </si>
  <si>
    <t>GCA_009791315.1</t>
  </si>
  <si>
    <t>SDF1</t>
  </si>
  <si>
    <t>https://ftp.ncbi.nlm.nih.gov/genomes/all/GCA/009/791/315/GCA_009791315.1_ASM979131v1</t>
  </si>
  <si>
    <t>GCA_009811895.1</t>
  </si>
  <si>
    <t>TCA1</t>
  </si>
  <si>
    <t>https://ftp.ncbi.nlm.nih.gov/genomes/all/GCA/009/811/895/GCA_009811895.1_ASM981189v1</t>
  </si>
  <si>
    <t>ramosus</t>
  </si>
  <si>
    <t>JCM 10282</t>
  </si>
  <si>
    <t>https://ftp.ncbi.nlm.nih.gov/genomes/all/GCA/009/828/055/GCA_009828055.1_ASM982805v1</t>
  </si>
  <si>
    <t>GCA_009857205.1</t>
  </si>
  <si>
    <t>Indica1</t>
  </si>
  <si>
    <t>https://ftp.ncbi.nlm.nih.gov/genomes/all/GCA/009/857/205/GCA_009857205.1_ASM985720v1</t>
  </si>
  <si>
    <t>GCA_009897275.1</t>
  </si>
  <si>
    <t>APC 3824</t>
  </si>
  <si>
    <t>https://ftp.ncbi.nlm.nih.gov/genomes/all/GCA/009/897/275/GCA_009897275.1_ASM989727v1</t>
  </si>
  <si>
    <t>GCA_009909445.1</t>
  </si>
  <si>
    <t>HNHF1</t>
  </si>
  <si>
    <t>https://ftp.ncbi.nlm.nih.gov/genomes/all/GCA/009/909/445/GCA_009909445.1_ASM990944v1</t>
  </si>
  <si>
    <t>GCA_009912075.1</t>
  </si>
  <si>
    <t>UP_1654</t>
  </si>
  <si>
    <t>https://ftp.ncbi.nlm.nih.gov/genomes/all/GCA/009/912/075/GCA_009912075.1_ASM991207v1</t>
  </si>
  <si>
    <t>GCA_009912295.1</t>
  </si>
  <si>
    <t>UP_1539</t>
  </si>
  <si>
    <t>https://ftp.ncbi.nlm.nih.gov/genomes/all/GCA/009/912/295/GCA_009912295.1_ASM991229v1</t>
  </si>
  <si>
    <t>GCA_009912415.1</t>
  </si>
  <si>
    <t>UP_1484</t>
  </si>
  <si>
    <t>https://ftp.ncbi.nlm.nih.gov/genomes/all/GCA/009/912/415/GCA_009912415.1_ASM991241v1</t>
  </si>
  <si>
    <t>GCA_009912715.1</t>
  </si>
  <si>
    <t>UP_818</t>
  </si>
  <si>
    <t>https://ftp.ncbi.nlm.nih.gov/genomes/all/GCA/009/912/715/GCA_009912715.1_ASM991271v1</t>
  </si>
  <si>
    <t>GCA_009912935.1</t>
  </si>
  <si>
    <t>UP_551</t>
  </si>
  <si>
    <t>https://ftp.ncbi.nlm.nih.gov/genomes/all/GCA/009/912/935/GCA_009912935.1_ASM991293v1</t>
  </si>
  <si>
    <t>GCA_009914785.1</t>
  </si>
  <si>
    <t>COPD-014-E1 O</t>
  </si>
  <si>
    <t>https://ftp.ncbi.nlm.nih.gov/genomes/all/GCA/009/914/785/GCA_009914785.1_ASM991478v1</t>
  </si>
  <si>
    <t>GCA_009931395.1</t>
  </si>
  <si>
    <t>APC 3758</t>
  </si>
  <si>
    <t>https://ftp.ncbi.nlm.nih.gov/genomes/all/GCA/009/931/395/GCA_009931395.1_ASM993139v1</t>
  </si>
  <si>
    <t>GCA_009932715.2</t>
  </si>
  <si>
    <t>SE2.14</t>
  </si>
  <si>
    <t>https://ftp.ncbi.nlm.nih.gov/genomes/all/GCA/009/932/715/GCA_009932715.2_ASM993271v2</t>
  </si>
  <si>
    <t>GCA_009932775.1</t>
  </si>
  <si>
    <t>OH0843</t>
  </si>
  <si>
    <t>https://ftp.ncbi.nlm.nih.gov/genomes/all/GCA/009/932/775/GCA_009932775.1_ASM993277v1</t>
  </si>
  <si>
    <t>GCA_009932885.2</t>
  </si>
  <si>
    <t>SE3.8</t>
  </si>
  <si>
    <t>https://ftp.ncbi.nlm.nih.gov/genomes/all/GCA/009/932/885/GCA_009932885.2_ASM993288v2</t>
  </si>
  <si>
    <t>GCA_009932935.2</t>
  </si>
  <si>
    <t>SE3.9</t>
  </si>
  <si>
    <t>https://ftp.ncbi.nlm.nih.gov/genomes/all/GCA/009/932/935/GCA_009932935.2_ASM993293v2</t>
  </si>
  <si>
    <t>GCA_009939745.1</t>
  </si>
  <si>
    <t>16-734</t>
  </si>
  <si>
    <t>https://ftp.ncbi.nlm.nih.gov/genomes/all/GCA/009/939/745/GCA_009939745.1_ASM993974v1</t>
  </si>
  <si>
    <t>GCA_009945165.1</t>
  </si>
  <si>
    <t>11-129</t>
  </si>
  <si>
    <t>https://ftp.ncbi.nlm.nih.gov/genomes/all/GCA/009/945/165/GCA_009945165.1_ASM994516v1</t>
  </si>
  <si>
    <t>GCA_009946845.1</t>
  </si>
  <si>
    <t>10-1213</t>
  </si>
  <si>
    <t>https://ftp.ncbi.nlm.nih.gov/genomes/all/GCA/009/946/845/GCA_009946845.1_ASM994684v1</t>
  </si>
  <si>
    <t>GCA_010120595.1</t>
  </si>
  <si>
    <t>https://ftp.ncbi.nlm.nih.gov/genomes/all/GCA/010/120/595/GCA_010120595.1_ASM1012059v1</t>
  </si>
  <si>
    <t>GCA_010201925.1</t>
  </si>
  <si>
    <t>FS17P</t>
  </si>
  <si>
    <t>https://ftp.ncbi.nlm.nih.gov/genomes/all/GCA/010/201/925/GCA_010201925.1_ASM1020192v1</t>
  </si>
  <si>
    <t>GCA_010202115.1</t>
  </si>
  <si>
    <t>FS15P</t>
  </si>
  <si>
    <t>https://ftp.ncbi.nlm.nih.gov/genomes/all/GCA/010/202/115/GCA_010202115.1_ASM1020211v1</t>
  </si>
  <si>
    <t>GCA_010202265.1</t>
  </si>
  <si>
    <t>FS14P</t>
  </si>
  <si>
    <t>https://ftp.ncbi.nlm.nih.gov/genomes/all/GCA/010/202/265/GCA_010202265.1_ASM1020226v1</t>
  </si>
  <si>
    <t>GCA_010202465.1</t>
  </si>
  <si>
    <t>FS13P</t>
  </si>
  <si>
    <t>https://ftp.ncbi.nlm.nih.gov/genomes/all/GCA/010/202/465/GCA_010202465.1_ASM1020246v1</t>
  </si>
  <si>
    <t>GCA_010202645.1</t>
  </si>
  <si>
    <t>FS07P</t>
  </si>
  <si>
    <t>https://ftp.ncbi.nlm.nih.gov/genomes/all/GCA/010/202/645/GCA_010202645.1_ASM1020264v1</t>
  </si>
  <si>
    <t>GCA_010202845.1</t>
  </si>
  <si>
    <t>FS05P-B</t>
  </si>
  <si>
    <t>https://ftp.ncbi.nlm.nih.gov/genomes/all/GCA/010/202/845/GCA_010202845.1_ASM1020284v1</t>
  </si>
  <si>
    <t>EB-AMDK-34</t>
  </si>
  <si>
    <t>https://ftp.ncbi.nlm.nih.gov/genomes/all/GCA/010/223/175/GCA_010223175.1_ASM1022317v1</t>
  </si>
  <si>
    <t>EB-AMDK-35</t>
  </si>
  <si>
    <t>https://ftp.ncbi.nlm.nih.gov/genomes/all/GCA/010/223/255/GCA_010223255.1_ASM1022325v1</t>
  </si>
  <si>
    <t>GCA_010365865.1</t>
  </si>
  <si>
    <t>HMT-432</t>
  </si>
  <si>
    <t>vincentii clade-432</t>
  </si>
  <si>
    <t>OMZ 804</t>
  </si>
  <si>
    <t>https://ftp.ncbi.nlm.nih.gov/genomes/all/GCA/010/365/865/GCA_010365865.1_ASM1036586v1</t>
  </si>
  <si>
    <t>GCA_010586925.1</t>
  </si>
  <si>
    <t>G2A</t>
  </si>
  <si>
    <t>https://ftp.ncbi.nlm.nih.gov/genomes/all/GCA/010/586/925/GCA_010586925.1_ASM1058692v1</t>
  </si>
  <si>
    <t>GCA_010748955.1</t>
  </si>
  <si>
    <t>KY</t>
  </si>
  <si>
    <t>https://ftp.ncbi.nlm.nih.gov/genomes/all/GCA/010/748/955/GCA_010748955.1_ASM1074895v1</t>
  </si>
  <si>
    <t>GCA_011032745.1</t>
  </si>
  <si>
    <t>AGR1487</t>
  </si>
  <si>
    <t>https://ftp.ncbi.nlm.nih.gov/genomes/all/GCA/011/032/745/GCA_011032745.1_ASM1103274v1</t>
  </si>
  <si>
    <t>GCA_011038575.1</t>
  </si>
  <si>
    <t>E73</t>
  </si>
  <si>
    <t>https://ftp.ncbi.nlm.nih.gov/genomes/all/GCA/011/038/575/GCA_011038575.1_ASM1103857v1</t>
  </si>
  <si>
    <t>GCA_011045235.1</t>
  </si>
  <si>
    <t>PapM-32-1</t>
  </si>
  <si>
    <t>https://ftp.ncbi.nlm.nih.gov/genomes/all/GCA/011/045/235/GCA_011045235.1_ASM1104523v1</t>
  </si>
  <si>
    <t>GCA_011045755.1</t>
  </si>
  <si>
    <t>F41215CHC</t>
  </si>
  <si>
    <t>https://ftp.ncbi.nlm.nih.gov/genomes/all/GCA/011/045/755/GCA_011045755.1_ASM1104575v1</t>
  </si>
  <si>
    <t>GCA_011058695.1</t>
  </si>
  <si>
    <t>C0094A1</t>
  </si>
  <si>
    <t>https://ftp.ncbi.nlm.nih.gov/genomes/all/GCA/011/058/695/GCA_011058695.1_ASM1105869v1</t>
  </si>
  <si>
    <t>GCA_011058715.1</t>
  </si>
  <si>
    <t>C0059G1</t>
  </si>
  <si>
    <t>https://ftp.ncbi.nlm.nih.gov/genomes/all/GCA/011/058/715/GCA_011058715.1_ASM1105871v1</t>
  </si>
  <si>
    <t>GCA_011058735.1</t>
  </si>
  <si>
    <t>C0011D1</t>
  </si>
  <si>
    <t>https://ftp.ncbi.nlm.nih.gov/genomes/all/GCA/011/058/735/GCA_011058735.1_ASM1105873v1</t>
  </si>
  <si>
    <t>GCA_011058755.1</t>
  </si>
  <si>
    <t>C0210C1</t>
  </si>
  <si>
    <t>https://ftp.ncbi.nlm.nih.gov/genomes/all/GCA/011/058/755/GCA_011058755.1_ASM1105875v1</t>
  </si>
  <si>
    <t>GCA_011058775.1</t>
  </si>
  <si>
    <t>C0322A1</t>
  </si>
  <si>
    <t>https://ftp.ncbi.nlm.nih.gov/genomes/all/GCA/011/058/775/GCA_011058775.1_ASM1105877v1</t>
  </si>
  <si>
    <t>GCA_011058795.1</t>
  </si>
  <si>
    <t>C0254C1</t>
  </si>
  <si>
    <t>https://ftp.ncbi.nlm.nih.gov/genomes/all/GCA/011/058/795/GCA_011058795.1_ASM1105879v1</t>
  </si>
  <si>
    <t>GCA_011082265.1</t>
  </si>
  <si>
    <t>UAB071</t>
  </si>
  <si>
    <t>https://ftp.ncbi.nlm.nih.gov/genomes/all/GCA/011/082/265/GCA_011082265.1_ASM1108226v1</t>
  </si>
  <si>
    <t>GCA_011137195.1</t>
  </si>
  <si>
    <t>ATCC 43808</t>
  </si>
  <si>
    <t>https://ftp.ncbi.nlm.nih.gov/genomes/all/GCA/011/137/195/GCA_011137195.1_ASM1113719v1</t>
  </si>
  <si>
    <t>GCA_011397855.1</t>
  </si>
  <si>
    <t>MrB4</t>
  </si>
  <si>
    <t>https://ftp.ncbi.nlm.nih.gov/genomes/all/GCA/011/397/855/GCA_011397855.1_ASM1139785v1</t>
  </si>
  <si>
    <t>GCA_011399315.1</t>
  </si>
  <si>
    <t>SZ1</t>
  </si>
  <si>
    <t>https://ftp.ncbi.nlm.nih.gov/genomes/all/GCA/011/399/315/GCA_011399315.1_ASM1139931v1</t>
  </si>
  <si>
    <t>GCA_011399455.1</t>
  </si>
  <si>
    <t>SZ2</t>
  </si>
  <si>
    <t>https://ftp.ncbi.nlm.nih.gov/genomes/all/GCA/011/399/455/GCA_011399455.1_ASM1139945v1</t>
  </si>
  <si>
    <t>GCA_011403135.1</t>
  </si>
  <si>
    <t>JICS135</t>
  </si>
  <si>
    <t>https://ftp.ncbi.nlm.nih.gov/genomes/all/GCA/011/403/135/GCA_011403135.1_ASM1140313v1</t>
  </si>
  <si>
    <t>GCA_011525585.1</t>
  </si>
  <si>
    <t>DA10166-2</t>
  </si>
  <si>
    <t>https://ftp.ncbi.nlm.nih.gov/genomes/all/GCA/011/525/585/GCA_011525585.1_ASM1152558v1</t>
  </si>
  <si>
    <t>GCA_011604725.1</t>
  </si>
  <si>
    <t>https://ftp.ncbi.nlm.nih.gov/genomes/all/GCA/011/604/725/GCA_011604725.1_ASM1160472v1</t>
  </si>
  <si>
    <t>GCA_011612265.2</t>
  </si>
  <si>
    <t>https://ftp.ncbi.nlm.nih.gov/genomes/all/GCA/011/612/265/GCA_011612265.2_ASM1161226v2</t>
  </si>
  <si>
    <t>GCA_011612385.1</t>
  </si>
  <si>
    <t>ATCC 23332</t>
  </si>
  <si>
    <t>https://ftp.ncbi.nlm.nih.gov/genomes/all/GCA/011/612/385/GCA_011612385.1_ASM1161238v1</t>
  </si>
  <si>
    <t>GCA_011612585.1</t>
  </si>
  <si>
    <t>https://ftp.ncbi.nlm.nih.gov/genomes/all/GCA/011/612/585/GCA_011612585.1_ASM1161258v1</t>
  </si>
  <si>
    <t>GCA_011612705.1</t>
  </si>
  <si>
    <t>ATCC 23331</t>
  </si>
  <si>
    <t>https://ftp.ncbi.nlm.nih.gov/genomes/all/GCA/011/612/705/GCA_011612705.1_ASM1161270v1</t>
  </si>
  <si>
    <t>GCA_011634875.1</t>
  </si>
  <si>
    <t>S0W5</t>
  </si>
  <si>
    <t>https://ftp.ncbi.nlm.nih.gov/genomes/all/GCA/011/634/875/GCA_011634875.1_ASM1163487v1</t>
  </si>
  <si>
    <t>GCA_011682935.1</t>
  </si>
  <si>
    <t>CSc20</t>
  </si>
  <si>
    <t>https://ftp.ncbi.nlm.nih.gov/genomes/all/GCA/011/682/935/GCA_011682935.1_ASM1168293v1</t>
  </si>
  <si>
    <t>GCA_011682945.1</t>
  </si>
  <si>
    <t>NSCs20</t>
  </si>
  <si>
    <t>https://ftp.ncbi.nlm.nih.gov/genomes/all/GCA/011/682/945/GCA_011682945.1_ASM1168294v1</t>
  </si>
  <si>
    <t>GCA_011682965.1</t>
  </si>
  <si>
    <t>CSc27</t>
  </si>
  <si>
    <t>https://ftp.ncbi.nlm.nih.gov/genomes/all/GCA/011/682/965/GCA_011682965.1_ASM1168296v1</t>
  </si>
  <si>
    <t>GCA_011682985.1</t>
  </si>
  <si>
    <t>NSCs27</t>
  </si>
  <si>
    <t>https://ftp.ncbi.nlm.nih.gov/genomes/all/GCA/011/682/985/GCA_011682985.1_ASM1168298v1</t>
  </si>
  <si>
    <t>GCA_011714665.1</t>
  </si>
  <si>
    <t>CCUG 72040</t>
  </si>
  <si>
    <t>https://ftp.ncbi.nlm.nih.gov/genomes/all/GCA/011/714/665/GCA_011714665.1_ASM1171466v1</t>
  </si>
  <si>
    <t>GCA_011714685.1</t>
  </si>
  <si>
    <t>CCUG 72029</t>
  </si>
  <si>
    <t>https://ftp.ncbi.nlm.nih.gov/genomes/all/GCA/011/714/685/GCA_011714685.1_ASM1171468v1</t>
  </si>
  <si>
    <t>GCA_011714705.1</t>
  </si>
  <si>
    <t>CCUG 72019</t>
  </si>
  <si>
    <t>https://ftp.ncbi.nlm.nih.gov/genomes/all/GCA/011/714/705/GCA_011714705.1_ASM1171470v1</t>
  </si>
  <si>
    <t>GCA_011714735.1</t>
  </si>
  <si>
    <t>CCUG 72028</t>
  </si>
  <si>
    <t>https://ftp.ncbi.nlm.nih.gov/genomes/all/GCA/011/714/735/GCA_011714735.1_ASM1171473v1</t>
  </si>
  <si>
    <t>GCA_011714745.1</t>
  </si>
  <si>
    <t>CCUG 72018</t>
  </si>
  <si>
    <t>https://ftp.ncbi.nlm.nih.gov/genomes/all/GCA/011/714/745/GCA_011714745.1_ASM1171474v1</t>
  </si>
  <si>
    <t>GCA_011714755.1</t>
  </si>
  <si>
    <t>CCUG 71996</t>
  </si>
  <si>
    <t>https://ftp.ncbi.nlm.nih.gov/genomes/all/GCA/011/714/755/GCA_011714755.1_ASM1171475v1</t>
  </si>
  <si>
    <t>GCA_011714795.1</t>
  </si>
  <si>
    <t>CCUG 71653</t>
  </si>
  <si>
    <t>https://ftp.ncbi.nlm.nih.gov/genomes/all/GCA/011/714/795/GCA_011714795.1_ASM1171479v1</t>
  </si>
  <si>
    <t>GCA_011714825.1</t>
  </si>
  <si>
    <t>CCUG 70988</t>
  </si>
  <si>
    <t>https://ftp.ncbi.nlm.nih.gov/genomes/all/GCA/011/714/825/GCA_011714825.1_ASM1171482v1</t>
  </si>
  <si>
    <t>GCA_011714835.1</t>
  </si>
  <si>
    <t>CCUG 63793</t>
  </si>
  <si>
    <t>https://ftp.ncbi.nlm.nih.gov/genomes/all/GCA/011/714/835/GCA_011714835.1_ASM1171483v1</t>
  </si>
  <si>
    <t>GCA_011714855.1</t>
  </si>
  <si>
    <t>CCUG 64062</t>
  </si>
  <si>
    <t>https://ftp.ncbi.nlm.nih.gov/genomes/all/GCA/011/714/855/GCA_011714855.1_ASM1171485v1</t>
  </si>
  <si>
    <t>GCA_011714895.1</t>
  </si>
  <si>
    <t>CCUG 61551</t>
  </si>
  <si>
    <t>https://ftp.ncbi.nlm.nih.gov/genomes/all/GCA/011/714/895/GCA_011714895.1_ASM1171489v1</t>
  </si>
  <si>
    <t>GCA_011714915.1</t>
  </si>
  <si>
    <t>CCUG 50868</t>
  </si>
  <si>
    <t>https://ftp.ncbi.nlm.nih.gov/genomes/all/GCA/011/714/915/GCA_011714915.1_ASM1171491v1</t>
  </si>
  <si>
    <t>GCA_011714925.1</t>
  </si>
  <si>
    <t>CCUG 50871</t>
  </si>
  <si>
    <t>https://ftp.ncbi.nlm.nih.gov/genomes/all/GCA/011/714/925/GCA_011714925.1_ASM1171492v1</t>
  </si>
  <si>
    <t>GCA_011714955.1</t>
  </si>
  <si>
    <t>CCUG 47366</t>
  </si>
  <si>
    <t>https://ftp.ncbi.nlm.nih.gov/genomes/all/GCA/011/714/955/GCA_011714955.1_ASM1171495v1</t>
  </si>
  <si>
    <t>GCA_011765485.1</t>
  </si>
  <si>
    <t>S4</t>
  </si>
  <si>
    <t>https://ftp.ncbi.nlm.nih.gov/genomes/all/GCA/011/765/485/GCA_011765485.1_ASM1176548v1</t>
  </si>
  <si>
    <t>GCA_011765505.1</t>
  </si>
  <si>
    <t>S1</t>
  </si>
  <si>
    <t>https://ftp.ncbi.nlm.nih.gov/genomes/all/GCA/011/765/505/GCA_011765505.1_ASM1176550v1</t>
  </si>
  <si>
    <t>GCA_011765525.1</t>
  </si>
  <si>
    <t>P6</t>
  </si>
  <si>
    <t>https://ftp.ncbi.nlm.nih.gov/genomes/all/GCA/011/765/525/GCA_011765525.1_ASM1176552v1</t>
  </si>
  <si>
    <t>GCA_011765545.1</t>
  </si>
  <si>
    <t>P1</t>
  </si>
  <si>
    <t>https://ftp.ncbi.nlm.nih.gov/genomes/all/GCA/011/765/545/GCA_011765545.1_ASM1176554v1</t>
  </si>
  <si>
    <t>GCA_012030345.1</t>
  </si>
  <si>
    <t>UMB8490</t>
  </si>
  <si>
    <t>https://ftp.ncbi.nlm.nih.gov/genomes/all/GCA/012/030/345/GCA_012030345.1_ASM1203034v1</t>
  </si>
  <si>
    <t>GCA_012273155.1</t>
  </si>
  <si>
    <t>FDAARGOS_685</t>
  </si>
  <si>
    <t>https://ftp.ncbi.nlm.nih.gov/genomes/all/GCA/012/273/155/GCA_012273155.1_ASM1227315v1</t>
  </si>
  <si>
    <t>GCA_012273175.1</t>
  </si>
  <si>
    <t>FDAARGOS_673</t>
  </si>
  <si>
    <t>https://ftp.ncbi.nlm.nih.gov/genomes/all/GCA/012/273/175/GCA_012273175.1_ASM1227317v1</t>
  </si>
  <si>
    <t>GCA_012273215.1</t>
  </si>
  <si>
    <t>FDAARGOS_740</t>
  </si>
  <si>
    <t>https://ftp.ncbi.nlm.nih.gov/genomes/all/GCA/012/273/215/GCA_012273215.1_ASM1227321v1</t>
  </si>
  <si>
    <t>GCA_012273435.1</t>
  </si>
  <si>
    <t>FDAARGOS_745</t>
  </si>
  <si>
    <t>https://ftp.ncbi.nlm.nih.gov/genomes/all/GCA/012/273/435/GCA_012273435.1_ASM1227343v1</t>
  </si>
  <si>
    <t>GCA_012396315.1</t>
  </si>
  <si>
    <t>ATCC 700355</t>
  </si>
  <si>
    <t>https://ftp.ncbi.nlm.nih.gov/genomes/all/GCA/012/396/315/GCA_012396315.1_ASM1239631v1</t>
  </si>
  <si>
    <t>GCA_012396635.1</t>
  </si>
  <si>
    <t>SS1508</t>
  </si>
  <si>
    <t>https://ftp.ncbi.nlm.nih.gov/genomes/all/GCA/012/396/635/GCA_012396635.1_ASM1239663v1</t>
  </si>
  <si>
    <t>GCA_012641085.1</t>
  </si>
  <si>
    <t>https://ftp.ncbi.nlm.nih.gov/genomes/all/GCA/012/641/085/GCA_012641085.1_ASM1264108v1</t>
  </si>
  <si>
    <t>GCA_012641545.1</t>
  </si>
  <si>
    <t>UAB-23</t>
  </si>
  <si>
    <t>https://ftp.ncbi.nlm.nih.gov/genomes/all/GCA/012/641/545/GCA_012641545.1_ASM1264154v1</t>
  </si>
  <si>
    <t>GCA_012641565.1</t>
  </si>
  <si>
    <t>UAB-16</t>
  </si>
  <si>
    <t>https://ftp.ncbi.nlm.nih.gov/genomes/all/GCA/012/641/565/GCA_012641565.1_ASM1264156v1</t>
  </si>
  <si>
    <t>GCA_012641575.1</t>
  </si>
  <si>
    <t>UAB-15</t>
  </si>
  <si>
    <t>https://ftp.ncbi.nlm.nih.gov/genomes/all/GCA/012/641/575/GCA_012641575.1_ASM1264157v1</t>
  </si>
  <si>
    <t>GCA_012641605.1</t>
  </si>
  <si>
    <t>UAB-13</t>
  </si>
  <si>
    <t>https://ftp.ncbi.nlm.nih.gov/genomes/all/GCA/012/641/605/GCA_012641605.1_ASM1264160v1</t>
  </si>
  <si>
    <t>GCA_012641615.1</t>
  </si>
  <si>
    <t>UAB-14</t>
  </si>
  <si>
    <t>https://ftp.ncbi.nlm.nih.gov/genomes/all/GCA/012/641/615/GCA_012641615.1_ASM1264161v1</t>
  </si>
  <si>
    <t>GCA_012641625.1</t>
  </si>
  <si>
    <t>UAB-12</t>
  </si>
  <si>
    <t>https://ftp.ncbi.nlm.nih.gov/genomes/all/GCA/012/641/625/GCA_012641625.1_ASM1264162v1</t>
  </si>
  <si>
    <t>GCA_012641665.1</t>
  </si>
  <si>
    <t>UAB-11</t>
  </si>
  <si>
    <t>https://ftp.ncbi.nlm.nih.gov/genomes/all/GCA/012/641/665/GCA_012641665.1_ASM1264166v1</t>
  </si>
  <si>
    <t>GCA_012641675.1</t>
  </si>
  <si>
    <t>TB22-02</t>
  </si>
  <si>
    <t>https://ftp.ncbi.nlm.nih.gov/genomes/all/GCA/012/641/675/GCA_012641675.1_ASM1264167v1</t>
  </si>
  <si>
    <t>GCA_012641765.1</t>
  </si>
  <si>
    <t>UAB-38</t>
  </si>
  <si>
    <t>https://ftp.ncbi.nlm.nih.gov/genomes/all/GCA/012/641/765/GCA_012641765.1_ASM1264176v1</t>
  </si>
  <si>
    <t>GCA_012641775.1</t>
  </si>
  <si>
    <t>UAB-39</t>
  </si>
  <si>
    <t>https://ftp.ncbi.nlm.nih.gov/genomes/all/GCA/012/641/775/GCA_012641775.1_ASM1264177v1</t>
  </si>
  <si>
    <t>GCA_012641805.1</t>
  </si>
  <si>
    <t>UAB-40</t>
  </si>
  <si>
    <t>https://ftp.ncbi.nlm.nih.gov/genomes/all/GCA/012/641/805/GCA_012641805.1_ASM1264180v1</t>
  </si>
  <si>
    <t>GCA_012641825.1</t>
  </si>
  <si>
    <t>UAB-36</t>
  </si>
  <si>
    <t>https://ftp.ncbi.nlm.nih.gov/genomes/all/GCA/012/641/825/GCA_012641825.1_ASM1264182v1</t>
  </si>
  <si>
    <t>GCA_012641845.1</t>
  </si>
  <si>
    <t>UAB-37</t>
  </si>
  <si>
    <t>https://ftp.ncbi.nlm.nih.gov/genomes/all/GCA/012/641/845/GCA_012641845.1_ASM1264184v1</t>
  </si>
  <si>
    <t>GCA_012641855.1</t>
  </si>
  <si>
    <t>UAB-34</t>
  </si>
  <si>
    <t>https://ftp.ncbi.nlm.nih.gov/genomes/all/GCA/012/641/855/GCA_012641855.1_ASM1264185v1</t>
  </si>
  <si>
    <t>GCA_012641885.1</t>
  </si>
  <si>
    <t>UAB-35</t>
  </si>
  <si>
    <t>https://ftp.ncbi.nlm.nih.gov/genomes/all/GCA/012/641/885/GCA_012641885.1_ASM1264188v1</t>
  </si>
  <si>
    <t>GCA_012641905.1</t>
  </si>
  <si>
    <t>UAB-33</t>
  </si>
  <si>
    <t>https://ftp.ncbi.nlm.nih.gov/genomes/all/GCA/012/641/905/GCA_012641905.1_ASM1264190v1</t>
  </si>
  <si>
    <t>GCA_012641925.1</t>
  </si>
  <si>
    <t>UAB-32</t>
  </si>
  <si>
    <t>https://ftp.ncbi.nlm.nih.gov/genomes/all/GCA/012/641/925/GCA_012641925.1_ASM1264192v1</t>
  </si>
  <si>
    <t>GCA_012641935.1</t>
  </si>
  <si>
    <t>UAB-31</t>
  </si>
  <si>
    <t>https://ftp.ncbi.nlm.nih.gov/genomes/all/GCA/012/641/935/GCA_012641935.1_ASM1264193v1</t>
  </si>
  <si>
    <t>GCA_012641965.1</t>
  </si>
  <si>
    <t>UAB-30</t>
  </si>
  <si>
    <t>https://ftp.ncbi.nlm.nih.gov/genomes/all/GCA/012/641/965/GCA_012641965.1_ASM1264196v1</t>
  </si>
  <si>
    <t>GCA_012641975.1</t>
  </si>
  <si>
    <t>UAB-29</t>
  </si>
  <si>
    <t>https://ftp.ncbi.nlm.nih.gov/genomes/all/GCA/012/641/975/GCA_012641975.1_ASM1264197v1</t>
  </si>
  <si>
    <t>GCA_012642005.1</t>
  </si>
  <si>
    <t>UAB-28</t>
  </si>
  <si>
    <t>https://ftp.ncbi.nlm.nih.gov/genomes/all/GCA/012/642/005/GCA_012642005.1_ASM1264200v1</t>
  </si>
  <si>
    <t>GCA_012642015.1</t>
  </si>
  <si>
    <t>UAB-27</t>
  </si>
  <si>
    <t>https://ftp.ncbi.nlm.nih.gov/genomes/all/GCA/012/642/015/GCA_012642015.1_ASM1264201v1</t>
  </si>
  <si>
    <t>GCA_012642035.1</t>
  </si>
  <si>
    <t>UAB-26</t>
  </si>
  <si>
    <t>https://ftp.ncbi.nlm.nih.gov/genomes/all/GCA/012/642/035/GCA_012642035.1_ASM1264203v1</t>
  </si>
  <si>
    <t>GCA_012642055.1</t>
  </si>
  <si>
    <t>UAB-25</t>
  </si>
  <si>
    <t>https://ftp.ncbi.nlm.nih.gov/genomes/all/GCA/012/642/055/GCA_012642055.1_ASM1264205v1</t>
  </si>
  <si>
    <t>GCA_012642085.1</t>
  </si>
  <si>
    <t>UAB-24</t>
  </si>
  <si>
    <t>https://ftp.ncbi.nlm.nih.gov/genomes/all/GCA/012/642/085/GCA_012642085.1_ASM1264208v1</t>
  </si>
  <si>
    <t>GCA_012642105.1</t>
  </si>
  <si>
    <t>UAB-22</t>
  </si>
  <si>
    <t>https://ftp.ncbi.nlm.nih.gov/genomes/all/GCA/012/642/105/GCA_012642105.1_ASM1264210v1</t>
  </si>
  <si>
    <t>GCA_012642125.1</t>
  </si>
  <si>
    <t>UAB-21</t>
  </si>
  <si>
    <t>https://ftp.ncbi.nlm.nih.gov/genomes/all/GCA/012/642/125/GCA_012642125.1_ASM1264212v1</t>
  </si>
  <si>
    <t>GCA_012642145.1</t>
  </si>
  <si>
    <t>UAB-20</t>
  </si>
  <si>
    <t>https://ftp.ncbi.nlm.nih.gov/genomes/all/GCA/012/642/145/GCA_012642145.1_ASM1264214v1</t>
  </si>
  <si>
    <t>GCA_012642165.1</t>
  </si>
  <si>
    <t>UAB-19</t>
  </si>
  <si>
    <t>https://ftp.ncbi.nlm.nih.gov/genomes/all/GCA/012/642/165/GCA_012642165.1_ASM1264216v1</t>
  </si>
  <si>
    <t>GCA_012642185.1</t>
  </si>
  <si>
    <t>UAB-18</t>
  </si>
  <si>
    <t>https://ftp.ncbi.nlm.nih.gov/genomes/all/GCA/012/642/185/GCA_012642185.1_ASM1264218v1</t>
  </si>
  <si>
    <t>GCA_012642205.1</t>
  </si>
  <si>
    <t>UAB-17</t>
  </si>
  <si>
    <t>https://ftp.ncbi.nlm.nih.gov/genomes/all/GCA/012/642/205/GCA_012642205.1_ASM1264220v1</t>
  </si>
  <si>
    <t>GCA_012642225.1</t>
  </si>
  <si>
    <t>UAB-10</t>
  </si>
  <si>
    <t>https://ftp.ncbi.nlm.nih.gov/genomes/all/GCA/012/642/225/GCA_012642225.1_ASM1264222v1</t>
  </si>
  <si>
    <t>GCA_012642235.1</t>
  </si>
  <si>
    <t>UAB-9</t>
  </si>
  <si>
    <t>https://ftp.ncbi.nlm.nih.gov/genomes/all/GCA/012/642/235/GCA_012642235.1_ASM1264223v1</t>
  </si>
  <si>
    <t>GCA_012642265.1</t>
  </si>
  <si>
    <t>UAB-8</t>
  </si>
  <si>
    <t>https://ftp.ncbi.nlm.nih.gov/genomes/all/GCA/012/642/265/GCA_012642265.1_ASM1264226v1</t>
  </si>
  <si>
    <t>GCA_012642275.1</t>
  </si>
  <si>
    <t>UAB-7</t>
  </si>
  <si>
    <t>https://ftp.ncbi.nlm.nih.gov/genomes/all/GCA/012/642/275/GCA_012642275.1_ASM1264227v1</t>
  </si>
  <si>
    <t>GCA_012642305.1</t>
  </si>
  <si>
    <t>UAB-6</t>
  </si>
  <si>
    <t>https://ftp.ncbi.nlm.nih.gov/genomes/all/GCA/012/642/305/GCA_012642305.1_ASM1264230v1</t>
  </si>
  <si>
    <t>GCA_012642325.1</t>
  </si>
  <si>
    <t>UAB-5</t>
  </si>
  <si>
    <t>https://ftp.ncbi.nlm.nih.gov/genomes/all/GCA/012/642/325/GCA_012642325.1_ASM1264232v1</t>
  </si>
  <si>
    <t>GCA_012642345.1</t>
  </si>
  <si>
    <t>UAB-3</t>
  </si>
  <si>
    <t>https://ftp.ncbi.nlm.nih.gov/genomes/all/GCA/012/642/345/GCA_012642345.1_ASM1264234v1</t>
  </si>
  <si>
    <t>GCA_012642355.1</t>
  </si>
  <si>
    <t>UAB-4</t>
  </si>
  <si>
    <t>https://ftp.ncbi.nlm.nih.gov/genomes/all/GCA/012/642/355/GCA_012642355.1_ASM1264235v1</t>
  </si>
  <si>
    <t>GCA_012642365.1</t>
  </si>
  <si>
    <t>UAB-2</t>
  </si>
  <si>
    <t>https://ftp.ncbi.nlm.nih.gov/genomes/all/GCA/012/642/365/GCA_012642365.1_ASM1264236v1</t>
  </si>
  <si>
    <t>GCA_012642405.1</t>
  </si>
  <si>
    <t>UAB-1</t>
  </si>
  <si>
    <t>https://ftp.ncbi.nlm.nih.gov/genomes/all/GCA/012/642/405/GCA_012642405.1_ASM1264240v1</t>
  </si>
  <si>
    <t>BL-389-WT-23F</t>
  </si>
  <si>
    <t>https://ftp.ncbi.nlm.nih.gov/genomes/all/GCA/012/844/205/GCA_012844205.1_ASM1284420v1</t>
  </si>
  <si>
    <t>GCA_012851115.1</t>
  </si>
  <si>
    <t>SY333</t>
  </si>
  <si>
    <t>https://ftp.ncbi.nlm.nih.gov/genomes/all/GCA/012/851/115/GCA_012851115.1_ASM1285111v1</t>
  </si>
  <si>
    <t>CBBP-1</t>
  </si>
  <si>
    <t>https://ftp.ncbi.nlm.nih.gov/genomes/all/GCA/012/851/305/GCA_012851305.1_ASM1285130v1</t>
  </si>
  <si>
    <t>GCA_012871055.1</t>
  </si>
  <si>
    <t>USDA 61</t>
  </si>
  <si>
    <t>https://ftp.ncbi.nlm.nih.gov/genomes/all/GCA/012/871/055/GCA_012871055.1_ASM1287105v1</t>
  </si>
  <si>
    <t>GCA_012911545.1</t>
  </si>
  <si>
    <t>S138</t>
  </si>
  <si>
    <t>https://ftp.ncbi.nlm.nih.gov/genomes/all/GCA/012/911/545/GCA_012911545.1_ASM1291154v1</t>
  </si>
  <si>
    <t>GCA_012913625.1</t>
  </si>
  <si>
    <t>https://ftp.ncbi.nlm.nih.gov/genomes/all/GCA/012/913/625/GCA_012913625.1_ASM1291362v1</t>
  </si>
  <si>
    <t>GCA_012913645.1</t>
  </si>
  <si>
    <t>R7Astar</t>
  </si>
  <si>
    <t>https://ftp.ncbi.nlm.nih.gov/genomes/all/GCA/012/913/645/GCA_012913645.1_ASM1291364v1</t>
  </si>
  <si>
    <t>GCA_012926745.1</t>
  </si>
  <si>
    <t>17-687</t>
  </si>
  <si>
    <t>https://ftp.ncbi.nlm.nih.gov/genomes/all/GCA/012/926/745/GCA_012926745.1_ASM1292674v1</t>
  </si>
  <si>
    <t>GCA_012926855.1</t>
  </si>
  <si>
    <t>15-843</t>
  </si>
  <si>
    <t>https://ftp.ncbi.nlm.nih.gov/genomes/all/GCA/012/926/855/GCA_012926855.1_ASM1292685v1</t>
  </si>
  <si>
    <t>GCA_012931705.2</t>
  </si>
  <si>
    <t>https://ftp.ncbi.nlm.nih.gov/genomes/all/GCA/012/931/705/GCA_012931705.2_ASM1293170v2</t>
  </si>
  <si>
    <t>GCA_012955485.1</t>
  </si>
  <si>
    <t>347-16</t>
  </si>
  <si>
    <t>https://ftp.ncbi.nlm.nih.gov/genomes/all/GCA/012/955/485/GCA_012955485.1_ASM1295548v1</t>
  </si>
  <si>
    <t>GCA_012955505.1</t>
  </si>
  <si>
    <t>SCAID URN1-2019</t>
  </si>
  <si>
    <t>https://ftp.ncbi.nlm.nih.gov/genomes/all/GCA/012/955/505/GCA_012955505.1_ASM1295550v1</t>
  </si>
  <si>
    <t>GCA_012972105.1</t>
  </si>
  <si>
    <t>R7AstarV2</t>
  </si>
  <si>
    <t>https://ftp.ncbi.nlm.nih.gov/genomes/all/GCA/012/972/105/GCA_012972105.1_ASM1297210v1</t>
  </si>
  <si>
    <t>GCA_012972145.1</t>
  </si>
  <si>
    <t>R7ANSstar</t>
  </si>
  <si>
    <t>https://ftp.ncbi.nlm.nih.gov/genomes/all/GCA/012/972/145/GCA_012972145.1_ASM1297214v1</t>
  </si>
  <si>
    <t>GCA_012976625.1</t>
  </si>
  <si>
    <t>https://ftp.ncbi.nlm.nih.gov/genomes/all/GCA/012/976/625/GCA_012976625.1_ASM1297662v1</t>
  </si>
  <si>
    <t>GCA_012978875.1</t>
  </si>
  <si>
    <t>ATCC 35224</t>
  </si>
  <si>
    <t>https://ftp.ncbi.nlm.nih.gov/genomes/all/GCA/012/978/875/GCA_012978875.1_ASM1297887v1</t>
  </si>
  <si>
    <t>GCA_012978895.1</t>
  </si>
  <si>
    <t>https://ftp.ncbi.nlm.nih.gov/genomes/all/GCA/012/978/895/GCA_012978895.1_ASM1297889v1</t>
  </si>
  <si>
    <t>GCA_012978915.1</t>
  </si>
  <si>
    <t>SS167074</t>
  </si>
  <si>
    <t>https://ftp.ncbi.nlm.nih.gov/genomes/all/GCA/012/978/915/GCA_012978915.1_ASM1297891v1</t>
  </si>
  <si>
    <t>GCA_012978935.1</t>
  </si>
  <si>
    <t>SS177624</t>
  </si>
  <si>
    <t>https://ftp.ncbi.nlm.nih.gov/genomes/all/GCA/012/978/935/GCA_012978935.1_ASM1297893v1</t>
  </si>
  <si>
    <t>GCA_012978955.1</t>
  </si>
  <si>
    <t>SS119296</t>
  </si>
  <si>
    <t>https://ftp.ncbi.nlm.nih.gov/genomes/all/GCA/012/978/955/GCA_012978955.1_ASM1297895v1</t>
  </si>
  <si>
    <t>GCA_012978975.1</t>
  </si>
  <si>
    <t>SS174371</t>
  </si>
  <si>
    <t>https://ftp.ncbi.nlm.nih.gov/genomes/all/GCA/012/978/975/GCA_012978975.1_ASM1297897v1</t>
  </si>
  <si>
    <t>GCA_012978995.1</t>
  </si>
  <si>
    <t>https://ftp.ncbi.nlm.nih.gov/genomes/all/GCA/012/978/995/GCA_012978995.1_ASM1297899v1</t>
  </si>
  <si>
    <t>GCA_012979015.1</t>
  </si>
  <si>
    <t>https://ftp.ncbi.nlm.nih.gov/genomes/all/GCA/012/979/015/GCA_012979015.1_ASM1297901v1</t>
  </si>
  <si>
    <t>GCA_012979035.1</t>
  </si>
  <si>
    <t>https://ftp.ncbi.nlm.nih.gov/genomes/all/GCA/012/979/035/GCA_012979035.1_ASM1297903v1</t>
  </si>
  <si>
    <t>GCA_012979055.1</t>
  </si>
  <si>
    <t>https://ftp.ncbi.nlm.nih.gov/genomes/all/GCA/012/979/055/GCA_012979055.1_ASM1297905v1</t>
  </si>
  <si>
    <t>GCA_013004615.1</t>
  </si>
  <si>
    <t>ATCC 700815</t>
  </si>
  <si>
    <t>https://ftp.ncbi.nlm.nih.gov/genomes/all/GCA/013/004/615/GCA_013004615.1_ASM1300461v1</t>
  </si>
  <si>
    <t>GCA_013009385.1</t>
  </si>
  <si>
    <t>https://ftp.ncbi.nlm.nih.gov/genomes/all/GCA/013/009/385/GCA_013009385.1_ASM1300938v1</t>
  </si>
  <si>
    <t>DSM 17855</t>
  </si>
  <si>
    <t>https://ftp.ncbi.nlm.nih.gov/genomes/all/GCA/013/009/555/GCA_013009555.1_ASM1300955v1</t>
  </si>
  <si>
    <t>JR01</t>
  </si>
  <si>
    <t>https://ftp.ncbi.nlm.nih.gov/genomes/all/GCA/013/009/675/GCA_013009675.1_ASM1300967v1</t>
  </si>
  <si>
    <t>JR02</t>
  </si>
  <si>
    <t>https://ftp.ncbi.nlm.nih.gov/genomes/all/GCA/013/009/875/GCA_013009875.1_ASM1300987v1</t>
  </si>
  <si>
    <t>JR03</t>
  </si>
  <si>
    <t>https://ftp.ncbi.nlm.nih.gov/genomes/all/GCA/013/010/095/GCA_013010095.1_ASM1301009v1</t>
  </si>
  <si>
    <t>JR04</t>
  </si>
  <si>
    <t>https://ftp.ncbi.nlm.nih.gov/genomes/all/GCA/013/010/255/GCA_013010255.1_ASM1301025v1</t>
  </si>
  <si>
    <t>JR05</t>
  </si>
  <si>
    <t>https://ftp.ncbi.nlm.nih.gov/genomes/all/GCA/013/010/365/GCA_013010365.1_ASM1301036v1</t>
  </si>
  <si>
    <t>GCA_013047165.1</t>
  </si>
  <si>
    <t>6A-10</t>
  </si>
  <si>
    <t>https://ftp.ncbi.nlm.nih.gov/genomes/all/GCA/013/047/165/GCA_013047165.1_ASM1304716v1</t>
  </si>
  <si>
    <t>GCA_013098515.1</t>
  </si>
  <si>
    <t>CM010</t>
  </si>
  <si>
    <t>https://ftp.ncbi.nlm.nih.gov/genomes/all/GCA/013/098/515/GCA_013098515.1_ASM1309851v1</t>
  </si>
  <si>
    <t>GCA_013098655.1</t>
  </si>
  <si>
    <t>CM009</t>
  </si>
  <si>
    <t>https://ftp.ncbi.nlm.nih.gov/genomes/all/GCA/013/098/655/GCA_013098655.1_ASM1309865v1</t>
  </si>
  <si>
    <t>GCA_013098855.1</t>
  </si>
  <si>
    <t>CM003</t>
  </si>
  <si>
    <t>https://ftp.ncbi.nlm.nih.gov/genomes/all/GCA/013/098/855/GCA_013098855.1_ASM1309885v1</t>
  </si>
  <si>
    <t>GCA_013099015.1</t>
  </si>
  <si>
    <t>CM002</t>
  </si>
  <si>
    <t>https://ftp.ncbi.nlm.nih.gov/genomes/all/GCA/013/099/015/GCA_013099015.1_ASM1309901v1</t>
  </si>
  <si>
    <t>GCA_013099195.1</t>
  </si>
  <si>
    <t>CM001</t>
  </si>
  <si>
    <t>https://ftp.ncbi.nlm.nih.gov/genomes/all/GCA/013/099/195/GCA_013099195.1_ASM1309919v1</t>
  </si>
  <si>
    <t>GCA_013100805.1</t>
  </si>
  <si>
    <t>FS03P</t>
  </si>
  <si>
    <t>https://ftp.ncbi.nlm.nih.gov/genomes/all/GCA/013/100/805/GCA_013100805.1_ASM1310080v1</t>
  </si>
  <si>
    <t>GCA_013100825.1</t>
  </si>
  <si>
    <t>CM006</t>
  </si>
  <si>
    <t>https://ftp.ncbi.nlm.nih.gov/genomes/all/GCA/013/100/825/GCA_013100825.1_ASM1310082v1</t>
  </si>
  <si>
    <t>GCA_013100845.1</t>
  </si>
  <si>
    <t>AC002</t>
  </si>
  <si>
    <t>https://ftp.ncbi.nlm.nih.gov/genomes/all/GCA/013/100/845/GCA_013100845.1_ASM1310084v1</t>
  </si>
  <si>
    <t>72-3</t>
  </si>
  <si>
    <t>https://ftp.ncbi.nlm.nih.gov/genomes/all/GCA/013/127/315/GCA_013127315.1_ASM1312731v1</t>
  </si>
  <si>
    <t>GCA_013137915.1</t>
  </si>
  <si>
    <t>Fn12230</t>
  </si>
  <si>
    <t>https://ftp.ncbi.nlm.nih.gov/genomes/all/GCA/013/137/915/GCA_013137915.1_ASM1313791v1</t>
  </si>
  <si>
    <t>GCA_013137955.1</t>
  </si>
  <si>
    <t>WB224</t>
  </si>
  <si>
    <t>https://ftp.ncbi.nlm.nih.gov/genomes/all/GCA/013/137/955/GCA_013137955.1_ASM1313795v1</t>
  </si>
  <si>
    <t>GCA_013154915.1</t>
  </si>
  <si>
    <t>JS3050</t>
  </si>
  <si>
    <t>https://ftp.ncbi.nlm.nih.gov/genomes/all/GCA/013/154/915/GCA_013154915.1_ASM1315491v1</t>
  </si>
  <si>
    <t>GCA_013267415.1</t>
  </si>
  <si>
    <t>FDAARGOS_785</t>
  </si>
  <si>
    <t>https://ftp.ncbi.nlm.nih.gov/genomes/all/GCA/013/267/415/GCA_013267415.1_ASM1326741v1</t>
  </si>
  <si>
    <t>GCA_013267495.1</t>
  </si>
  <si>
    <t>FDAARGOS_771</t>
  </si>
  <si>
    <t>https://ftp.ncbi.nlm.nih.gov/genomes/all/GCA/013/267/495/GCA_013267495.1_ASM1326749v1</t>
  </si>
  <si>
    <t>GCA_013267515.1</t>
  </si>
  <si>
    <t>FDAARGOS_769</t>
  </si>
  <si>
    <t>https://ftp.ncbi.nlm.nih.gov/genomes/all/GCA/013/267/515/GCA_013267515.1_ASM1326751v1</t>
  </si>
  <si>
    <t>GCA_013267535.1</t>
  </si>
  <si>
    <t>FDAARGOS_764</t>
  </si>
  <si>
    <t>https://ftp.ncbi.nlm.nih.gov/genomes/all/GCA/013/267/535/GCA_013267535.1_ASM1326753v1</t>
  </si>
  <si>
    <t>GCA_013267575.1</t>
  </si>
  <si>
    <t>FDAARGOS_762</t>
  </si>
  <si>
    <t>https://ftp.ncbi.nlm.nih.gov/genomes/all/GCA/013/267/575/GCA_013267575.1_ASM1326757v1</t>
  </si>
  <si>
    <t>FDAARGOS_760</t>
  </si>
  <si>
    <t>https://ftp.ncbi.nlm.nih.gov/genomes/all/GCA/013/267/595/GCA_013267595.1_ASM1326759v1</t>
  </si>
  <si>
    <t>FDAARGOS_759</t>
  </si>
  <si>
    <t>https://ftp.ncbi.nlm.nih.gov/genomes/all/GCA/013/267/615/GCA_013267615.1_ASM1326761v1</t>
  </si>
  <si>
    <t>GCA_013267675.1</t>
  </si>
  <si>
    <t>FDAARGOS_753</t>
  </si>
  <si>
    <t>https://ftp.ncbi.nlm.nih.gov/genomes/all/GCA/013/267/675/GCA_013267675.1_ASM1326767v1</t>
  </si>
  <si>
    <t>GCA_013267715.1</t>
  </si>
  <si>
    <t>FDAARGOS_754</t>
  </si>
  <si>
    <t>https://ftp.ncbi.nlm.nih.gov/genomes/all/GCA/013/267/715/GCA_013267715.1_ASM1326771v1</t>
  </si>
  <si>
    <t>GCA_013267735.1</t>
  </si>
  <si>
    <t>FDAARGOS_752</t>
  </si>
  <si>
    <t>https://ftp.ncbi.nlm.nih.gov/genomes/all/GCA/013/267/735/GCA_013267735.1_ASM1326773v1</t>
  </si>
  <si>
    <t>GCA_013267755.1</t>
  </si>
  <si>
    <t>JTL</t>
  </si>
  <si>
    <t>https://ftp.ncbi.nlm.nih.gov/genomes/all/GCA/013/267/755/GCA_013267755.1_ASM1326775v1</t>
  </si>
  <si>
    <t>GCA_013267835.1</t>
  </si>
  <si>
    <t>FDAARGOS_758</t>
  </si>
  <si>
    <t>https://ftp.ncbi.nlm.nih.gov/genomes/all/GCA/013/267/835/GCA_013267835.1_ASM1326783v1</t>
  </si>
  <si>
    <t>GCA_013276315.1</t>
  </si>
  <si>
    <t>https://ftp.ncbi.nlm.nih.gov/genomes/all/GCA/013/276/315/GCA_013276315.1_ASM1327631v1</t>
  </si>
  <si>
    <t>GCA_013276335.1</t>
  </si>
  <si>
    <t>https://ftp.ncbi.nlm.nih.gov/genomes/all/GCA/013/276/335/GCA_013276335.1_ASM1327633v1</t>
  </si>
  <si>
    <t>GCA_013276385.1</t>
  </si>
  <si>
    <t>https://ftp.ncbi.nlm.nih.gov/genomes/all/GCA/013/276/385/GCA_013276385.1_ASM1327638v1</t>
  </si>
  <si>
    <t>GCA_013276405.1</t>
  </si>
  <si>
    <t>https://ftp.ncbi.nlm.nih.gov/genomes/all/GCA/013/276/405/GCA_013276405.1_ASM1327640v1</t>
  </si>
  <si>
    <t>GCA_013276415.1</t>
  </si>
  <si>
    <t>https://ftp.ncbi.nlm.nih.gov/genomes/all/GCA/013/276/415/GCA_013276415.1_ASM1327641v1</t>
  </si>
  <si>
    <t>GCA_013276425.1</t>
  </si>
  <si>
    <t>https://ftp.ncbi.nlm.nih.gov/genomes/all/GCA/013/276/425/GCA_013276425.1_ASM1327642v1</t>
  </si>
  <si>
    <t>GCA_013276435.1</t>
  </si>
  <si>
    <t>https://ftp.ncbi.nlm.nih.gov/genomes/all/GCA/013/276/435/GCA_013276435.1_ASM1327643v1</t>
  </si>
  <si>
    <t>GCA_013276505.1</t>
  </si>
  <si>
    <t>https://ftp.ncbi.nlm.nih.gov/genomes/all/GCA/013/276/505/GCA_013276505.1_ASM1327650v1</t>
  </si>
  <si>
    <t>GCA_013276525.1</t>
  </si>
  <si>
    <t>https://ftp.ncbi.nlm.nih.gov/genomes/all/GCA/013/276/525/GCA_013276525.1_ASM1327652v1</t>
  </si>
  <si>
    <t>GCA_013276535.1</t>
  </si>
  <si>
    <t>https://ftp.ncbi.nlm.nih.gov/genomes/all/GCA/013/276/535/GCA_013276535.1_ASM1327653v1</t>
  </si>
  <si>
    <t>GCA_013276595.1</t>
  </si>
  <si>
    <t>https://ftp.ncbi.nlm.nih.gov/genomes/all/GCA/013/276/595/GCA_013276595.1_ASM1327659v1</t>
  </si>
  <si>
    <t>GCA_013276675.1</t>
  </si>
  <si>
    <t>https://ftp.ncbi.nlm.nih.gov/genomes/all/GCA/013/276/675/GCA_013276675.1_ASM1327667v1</t>
  </si>
  <si>
    <t>GCA_013276695.1</t>
  </si>
  <si>
    <t>https://ftp.ncbi.nlm.nih.gov/genomes/all/GCA/013/276/695/GCA_013276695.1_ASM1327669v1</t>
  </si>
  <si>
    <t>GCA_013276705.1</t>
  </si>
  <si>
    <t>https://ftp.ncbi.nlm.nih.gov/genomes/all/GCA/013/276/705/GCA_013276705.1_ASM1327670v1</t>
  </si>
  <si>
    <t>GCA_013276735.1</t>
  </si>
  <si>
    <t>https://ftp.ncbi.nlm.nih.gov/genomes/all/GCA/013/276/735/GCA_013276735.1_ASM1327673v1</t>
  </si>
  <si>
    <t>GCA_013276805.1</t>
  </si>
  <si>
    <t>https://ftp.ncbi.nlm.nih.gov/genomes/all/GCA/013/276/805/GCA_013276805.1_ASM1327680v1</t>
  </si>
  <si>
    <t>GCA_013276815.1</t>
  </si>
  <si>
    <t>https://ftp.ncbi.nlm.nih.gov/genomes/all/GCA/013/276/815/GCA_013276815.1_ASM1327681v1</t>
  </si>
  <si>
    <t>GCA_013276855.1</t>
  </si>
  <si>
    <t>https://ftp.ncbi.nlm.nih.gov/genomes/all/GCA/013/276/855/GCA_013276855.1_ASM1327685v1</t>
  </si>
  <si>
    <t>GCA_013277055.1</t>
  </si>
  <si>
    <t>https://ftp.ncbi.nlm.nih.gov/genomes/all/GCA/013/277/055/GCA_013277055.1_ASM1327705v1</t>
  </si>
  <si>
    <t>GCA_013277095.1</t>
  </si>
  <si>
    <t>https://ftp.ncbi.nlm.nih.gov/genomes/all/GCA/013/277/095/GCA_013277095.1_ASM1327709v1</t>
  </si>
  <si>
    <t>GCA_013277175.1</t>
  </si>
  <si>
    <t>https://ftp.ncbi.nlm.nih.gov/genomes/all/GCA/013/277/175/GCA_013277175.1_ASM1327717v1</t>
  </si>
  <si>
    <t>GCA_013277255.1</t>
  </si>
  <si>
    <t>https://ftp.ncbi.nlm.nih.gov/genomes/all/GCA/013/277/255/GCA_013277255.1_ASM1327725v1</t>
  </si>
  <si>
    <t>GCA_013277265.1</t>
  </si>
  <si>
    <t>https://ftp.ncbi.nlm.nih.gov/genomes/all/GCA/013/277/265/GCA_013277265.1_ASM1327726v1</t>
  </si>
  <si>
    <t>GCA_013277285.1</t>
  </si>
  <si>
    <t>https://ftp.ncbi.nlm.nih.gov/genomes/all/GCA/013/277/285/GCA_013277285.1_ASM1327728v1</t>
  </si>
  <si>
    <t>GCA_013277295.1</t>
  </si>
  <si>
    <t>https://ftp.ncbi.nlm.nih.gov/genomes/all/GCA/013/277/295/GCA_013277295.1_ASM1327729v1</t>
  </si>
  <si>
    <t>GCA_013277315.1</t>
  </si>
  <si>
    <t>https://ftp.ncbi.nlm.nih.gov/genomes/all/GCA/013/277/315/GCA_013277315.1_ASM1327731v1</t>
  </si>
  <si>
    <t>GCA_013277355.1</t>
  </si>
  <si>
    <t>https://ftp.ncbi.nlm.nih.gov/genomes/all/GCA/013/277/355/GCA_013277355.1_ASM1327735v1</t>
  </si>
  <si>
    <t>GCA_013277375.1</t>
  </si>
  <si>
    <t>https://ftp.ncbi.nlm.nih.gov/genomes/all/GCA/013/277/375/GCA_013277375.1_ASM1327737v1</t>
  </si>
  <si>
    <t>GCA_013277425.1</t>
  </si>
  <si>
    <t>https://ftp.ncbi.nlm.nih.gov/genomes/all/GCA/013/277/425/GCA_013277425.1_ASM1327742v1</t>
  </si>
  <si>
    <t>GCA_013277505.1</t>
  </si>
  <si>
    <t>k-378</t>
  </si>
  <si>
    <t>https://ftp.ncbi.nlm.nih.gov/genomes/all/GCA/013/277/505/GCA_013277505.1_ASM1327750v1</t>
  </si>
  <si>
    <t>GCA_013305725.1</t>
  </si>
  <si>
    <t>S022-V3-A4</t>
  </si>
  <si>
    <t>https://ftp.ncbi.nlm.nih.gov/genomes/all/GCA/013/305/725/GCA_013305725.1_ASM1330572v1</t>
  </si>
  <si>
    <t>GCA_013307285.1</t>
  </si>
  <si>
    <t>CS18</t>
  </si>
  <si>
    <t>https://ftp.ncbi.nlm.nih.gov/genomes/all/GCA/013/307/285/GCA_013307285.1_ASM1330728v1</t>
  </si>
  <si>
    <t>GCA_013315125.1</t>
  </si>
  <si>
    <t>UMB1350</t>
  </si>
  <si>
    <t>https://ftp.ncbi.nlm.nih.gov/genomes/all/GCA/013/315/125/GCA_013315125.1_ASM1331512v1</t>
  </si>
  <si>
    <t>GCA_013315135.1</t>
  </si>
  <si>
    <t>UMB0742</t>
  </si>
  <si>
    <t>https://ftp.ncbi.nlm.nih.gov/genomes/all/GCA/013/315/135/GCA_013315135.1_ASM1331513v1</t>
  </si>
  <si>
    <t>GCA_013315145.1</t>
  </si>
  <si>
    <t>UMB1698</t>
  </si>
  <si>
    <t>https://ftp.ncbi.nlm.nih.gov/genomes/all/GCA/013/315/145/GCA_013315145.1_ASM1331514v1</t>
  </si>
  <si>
    <t>GCA_013315195.1</t>
  </si>
  <si>
    <t>UMB1489</t>
  </si>
  <si>
    <t>https://ftp.ncbi.nlm.nih.gov/genomes/all/GCA/013/315/195/GCA_013315195.1_ASM1331519v1</t>
  </si>
  <si>
    <t>GCA_013315215.1</t>
  </si>
  <si>
    <t>UMB0769</t>
  </si>
  <si>
    <t>https://ftp.ncbi.nlm.nih.gov/genomes/all/GCA/013/315/215/GCA_013315215.1_ASM1331521v1</t>
  </si>
  <si>
    <t>GCA_013315255.1</t>
  </si>
  <si>
    <t>UMB0662</t>
  </si>
  <si>
    <t>https://ftp.ncbi.nlm.nih.gov/genomes/all/GCA/013/315/255/GCA_013315255.1_ASM1331525v1</t>
  </si>
  <si>
    <t>GCA_013332525.2</t>
  </si>
  <si>
    <t>P-C-F_MAG_00005</t>
  </si>
  <si>
    <t>https://ftp.ncbi.nlm.nih.gov/genomes/all/GCA/013/332/525/GCA_013332525.2_ASM1333252v2</t>
  </si>
  <si>
    <t>GCA_013332955.2</t>
  </si>
  <si>
    <t>T-D-F_MAG_00010</t>
  </si>
  <si>
    <t>https://ftp.ncbi.nlm.nih.gov/genomes/all/GCA/013/332/955/GCA_013332955.2_ASM1333295v2</t>
  </si>
  <si>
    <t>GCA_013332965.2</t>
  </si>
  <si>
    <t>T-D-F_MAG_00008</t>
  </si>
  <si>
    <t>https://ftp.ncbi.nlm.nih.gov/genomes/all/GCA/013/332/965/GCA_013332965.2_ASM1333296v2</t>
  </si>
  <si>
    <t>GCA_013333055.2</t>
  </si>
  <si>
    <t>HMT-348</t>
  </si>
  <si>
    <t>Parvisynbacter</t>
  </si>
  <si>
    <t>sp. HMT-348</t>
  </si>
  <si>
    <t>T-C-M_MAG_00008</t>
  </si>
  <si>
    <t>https://ftp.ncbi.nlm.nih.gov/genomes/all/GCA/013/333/055/GCA_013333055.2_ASM1333305v2</t>
  </si>
  <si>
    <t>GCA_013333095.2</t>
  </si>
  <si>
    <t>T-C-M_MAG_00002</t>
  </si>
  <si>
    <t>https://ftp.ncbi.nlm.nih.gov/genomes/all/GCA/013/333/095/GCA_013333095.2_ASM1333309v2</t>
  </si>
  <si>
    <t>GCA_013333135.2</t>
  </si>
  <si>
    <t>T-B-M_MAG_00012</t>
  </si>
  <si>
    <t>https://ftp.ncbi.nlm.nih.gov/genomes/all/GCA/013/333/135/GCA_013333135.2_ASM1333313v2</t>
  </si>
  <si>
    <t>GCA_013333155.2</t>
  </si>
  <si>
    <t>T-C-F_MAG_00008</t>
  </si>
  <si>
    <t>https://ftp.ncbi.nlm.nih.gov/genomes/all/GCA/013/333/155/GCA_013333155.2_ASM1333315v2</t>
  </si>
  <si>
    <t>GCA_013333205.2</t>
  </si>
  <si>
    <t>T-B-M_MAG_00011</t>
  </si>
  <si>
    <t>https://ftp.ncbi.nlm.nih.gov/genomes/all/GCA/013/333/205/GCA_013333205.2_ASM1333320v2</t>
  </si>
  <si>
    <t>GCA_013333235.2</t>
  </si>
  <si>
    <t>sp. HMT-221</t>
  </si>
  <si>
    <t>T-B-M_MAG_00008</t>
  </si>
  <si>
    <t>https://ftp.ncbi.nlm.nih.gov/genomes/all/GCA/013/333/235/GCA_013333235.2_ASM1333323v2</t>
  </si>
  <si>
    <t>GCA_013333295.2</t>
  </si>
  <si>
    <t>HMT-875</t>
  </si>
  <si>
    <t>bacterium HMT-875</t>
  </si>
  <si>
    <t>T-B-F_MAG_00004</t>
  </si>
  <si>
    <t>https://ftp.ncbi.nlm.nih.gov/genomes/all/GCA/013/333/295/GCA_013333295.2_ASM1333329v2</t>
  </si>
  <si>
    <t>GCA_013333375.2</t>
  </si>
  <si>
    <t>T-A-F_MAG_00015</t>
  </si>
  <si>
    <t>https://ftp.ncbi.nlm.nih.gov/genomes/all/GCA/013/333/375/GCA_013333375.2_ASM1333337v2</t>
  </si>
  <si>
    <t>GCA_013333405.2</t>
  </si>
  <si>
    <t>HMT-401</t>
  </si>
  <si>
    <t>sp. HMT-401</t>
  </si>
  <si>
    <t>T-A-F_MAG_00016</t>
  </si>
  <si>
    <t>https://ftp.ncbi.nlm.nih.gov/genomes/all/GCA/013/333/405/GCA_013333405.2_ASM1333340v2</t>
  </si>
  <si>
    <t>GCA_013333415.2</t>
  </si>
  <si>
    <t>T-A-F_MAG_00011</t>
  </si>
  <si>
    <t>https://ftp.ncbi.nlm.nih.gov/genomes/all/GCA/013/333/415/GCA_013333415.2_ASM1333341v2</t>
  </si>
  <si>
    <t>GCA_013333485.2</t>
  </si>
  <si>
    <t>P-C-M_MAG_00013</t>
  </si>
  <si>
    <t>https://ftp.ncbi.nlm.nih.gov/genomes/all/GCA/013/333/485/GCA_013333485.2_ASM1333348v2</t>
  </si>
  <si>
    <t>GCA_013333495.2</t>
  </si>
  <si>
    <t>HMT-391</t>
  </si>
  <si>
    <t>Saccharimonadales [F5 G1]</t>
  </si>
  <si>
    <t>bacterium HMT-391</t>
  </si>
  <si>
    <t>P-C-M_MAG_00011</t>
  </si>
  <si>
    <t>https://ftp.ncbi.nlm.nih.gov/genomes/all/GCA/013/333/495/GCA_013333495.2_ASM1333349v2</t>
  </si>
  <si>
    <t>GCA_013333515.2</t>
  </si>
  <si>
    <t>P-C-M_MAG_00010</t>
  </si>
  <si>
    <t>https://ftp.ncbi.nlm.nih.gov/genomes/all/GCA/013/333/515/GCA_013333515.2_ASM1333351v2</t>
  </si>
  <si>
    <t>GCA_013333575.2</t>
  </si>
  <si>
    <t>P-C-F_MAG_00004</t>
  </si>
  <si>
    <t>https://ftp.ncbi.nlm.nih.gov/genomes/all/GCA/013/333/575/GCA_013333575.2_ASM1333357v2</t>
  </si>
  <si>
    <t>GCA_013333595.2</t>
  </si>
  <si>
    <t>HMT-390</t>
  </si>
  <si>
    <t>sp. HMT-390</t>
  </si>
  <si>
    <t>P-C-F_MAG_00002</t>
  </si>
  <si>
    <t>https://ftp.ncbi.nlm.nih.gov/genomes/all/GCA/013/333/595/GCA_013333595.2_ASM1333359v2</t>
  </si>
  <si>
    <t>bacterium HMT-874</t>
  </si>
  <si>
    <t>P-B-M_MAG_00018</t>
  </si>
  <si>
    <t>https://ftp.ncbi.nlm.nih.gov/genomes/all/GCA/013/333/605/GCA_013333605.2_ASM1333360v2</t>
  </si>
  <si>
    <t>GCA_013333625.2</t>
  </si>
  <si>
    <t>P-B-M_MAG_00013</t>
  </si>
  <si>
    <t>https://ftp.ncbi.nlm.nih.gov/genomes/all/GCA/013/333/625/GCA_013333625.2_ASM1333362v2</t>
  </si>
  <si>
    <t>sp. HMT-394</t>
  </si>
  <si>
    <t>P-B-M_MAG_00010</t>
  </si>
  <si>
    <t>https://ftp.ncbi.nlm.nih.gov/genomes/all/GCA/013/333/645/GCA_013333645.2_ASM1333364v2</t>
  </si>
  <si>
    <t>GCA_013333675.2</t>
  </si>
  <si>
    <t>P-B-M_MAG_00009</t>
  </si>
  <si>
    <t>https://ftp.ncbi.nlm.nih.gov/genomes/all/GCA/013/333/675/GCA_013333675.2_ASM1333367v2</t>
  </si>
  <si>
    <t>GCA_013333695.2</t>
  </si>
  <si>
    <t>P-B-F_MAG_00030</t>
  </si>
  <si>
    <t>https://ftp.ncbi.nlm.nih.gov/genomes/all/GCA/013/333/695/GCA_013333695.2_ASM1333369v2</t>
  </si>
  <si>
    <t>P-B-M_MAG_00008</t>
  </si>
  <si>
    <t>https://ftp.ncbi.nlm.nih.gov/genomes/all/GCA/013/333/705/GCA_013333705.2_ASM1333370v2</t>
  </si>
  <si>
    <t>rubra</t>
  </si>
  <si>
    <t>P-B-F_MAG_00022</t>
  </si>
  <si>
    <t>https://ftp.ncbi.nlm.nih.gov/genomes/all/GCA/013/333/735/GCA_013333735.2_ASM1333373v2</t>
  </si>
  <si>
    <t>GCA_013333755.2</t>
  </si>
  <si>
    <t>P-B-F_MAG_00016</t>
  </si>
  <si>
    <t>https://ftp.ncbi.nlm.nih.gov/genomes/all/GCA/013/333/755/GCA_013333755.2_ASM1333375v2</t>
  </si>
  <si>
    <t>P-B-F_MAG_00026</t>
  </si>
  <si>
    <t>https://ftp.ncbi.nlm.nih.gov/genomes/all/GCA/013/333/765/GCA_013333765.2_ASM1333376v2</t>
  </si>
  <si>
    <t>GCA_013333795.2</t>
  </si>
  <si>
    <t>P-B-F_MAG_00020</t>
  </si>
  <si>
    <t>https://ftp.ncbi.nlm.nih.gov/genomes/all/GCA/013/333/795/GCA_013333795.2_ASM1333379v2</t>
  </si>
  <si>
    <t>GCA_013333815.2</t>
  </si>
  <si>
    <t>P-B-F_MAG_00010</t>
  </si>
  <si>
    <t>https://ftp.ncbi.nlm.nih.gov/genomes/all/GCA/013/333/815/GCA_013333815.2_ASM1333381v2</t>
  </si>
  <si>
    <t>GCA_013333845.2</t>
  </si>
  <si>
    <t>P-A-F_MAG_00015</t>
  </si>
  <si>
    <t>https://ftp.ncbi.nlm.nih.gov/genomes/all/GCA/013/333/845/GCA_013333845.2_ASM1333384v2</t>
  </si>
  <si>
    <t>GCA_013333895.2</t>
  </si>
  <si>
    <t>P-A-F_MAG_00013</t>
  </si>
  <si>
    <t>https://ftp.ncbi.nlm.nih.gov/genomes/all/GCA/013/333/895/GCA_013333895.2_ASM1333389v2</t>
  </si>
  <si>
    <t>P-A-F_MAG_00010</t>
  </si>
  <si>
    <t>https://ftp.ncbi.nlm.nih.gov/genomes/all/GCA/013/333/915/GCA_013333915.2_ASM1333391v2</t>
  </si>
  <si>
    <t>GCA_013343115.1</t>
  </si>
  <si>
    <t>FDAARGOS_770</t>
  </si>
  <si>
    <t>https://ftp.ncbi.nlm.nih.gov/genomes/all/GCA/013/343/115/GCA_013343115.1_ASM1334311v1</t>
  </si>
  <si>
    <t>GCA_013343135.1</t>
  </si>
  <si>
    <t>FDAARGOS_789</t>
  </si>
  <si>
    <t>https://ftp.ncbi.nlm.nih.gov/genomes/all/GCA/013/343/135/GCA_013343135.1_ASM1334313v1</t>
  </si>
  <si>
    <t>GCA_013344645.1</t>
  </si>
  <si>
    <t>111540027-2</t>
  </si>
  <si>
    <t>https://ftp.ncbi.nlm.nih.gov/genomes/all/GCA/013/344/645/GCA_013344645.1_ASM1334464v1</t>
  </si>
  <si>
    <t>GCA_013347325.1</t>
  </si>
  <si>
    <t>FDAARGOS_639</t>
  </si>
  <si>
    <t>https://ftp.ncbi.nlm.nih.gov/genomes/all/GCA/013/347/325/GCA_013347325.1_ASM1334732v1</t>
  </si>
  <si>
    <t>GCA_013357445.1</t>
  </si>
  <si>
    <t>S74-1(++)-2</t>
  </si>
  <si>
    <t>https://ftp.ncbi.nlm.nih.gov/genomes/all/GCA/013/357/445/GCA_013357445.1_ASM1335744v1</t>
  </si>
  <si>
    <t>GCA_013364435.1</t>
  </si>
  <si>
    <t>FDAARGOS_748</t>
  </si>
  <si>
    <t>https://ftp.ncbi.nlm.nih.gov/genomes/all/GCA/013/364/435/GCA_013364435.1_ASM1336443v1</t>
  </si>
  <si>
    <t>GCA_013367855.1</t>
  </si>
  <si>
    <t>HMT-632</t>
  </si>
  <si>
    <t>FBG</t>
  </si>
  <si>
    <t>https://ftp.ncbi.nlm.nih.gov/genomes/all/GCA/013/367/855/GCA_013367855.1_ASM1336785v1</t>
  </si>
  <si>
    <t>GCA_013367975.1</t>
  </si>
  <si>
    <t>SS25</t>
  </si>
  <si>
    <t>https://ftp.ncbi.nlm.nih.gov/genomes/all/GCA/013/367/975/GCA_013367975.1_ASM1336797v1</t>
  </si>
  <si>
    <t>GCA_013368015.1</t>
  </si>
  <si>
    <t>SP10291</t>
  </si>
  <si>
    <t>https://ftp.ncbi.nlm.nih.gov/genomes/all/GCA/013/368/015/GCA_013368015.1_ASM1336801v1</t>
  </si>
  <si>
    <t>GCA_013368035.1</t>
  </si>
  <si>
    <t>SP3615</t>
  </si>
  <si>
    <t>https://ftp.ncbi.nlm.nih.gov/genomes/all/GCA/013/368/035/GCA_013368035.1_ASM1336803v1</t>
  </si>
  <si>
    <t>GCA_013372125.1</t>
  </si>
  <si>
    <t>https://ftp.ncbi.nlm.nih.gov/genomes/all/GCA/013/372/125/GCA_013372125.1_ASM1337212v1</t>
  </si>
  <si>
    <t>GCA_013372225.1</t>
  </si>
  <si>
    <t>LMG 6451</t>
  </si>
  <si>
    <t>https://ftp.ncbi.nlm.nih.gov/genomes/all/GCA/013/372/225/GCA_013372225.1_ASM1337222v1</t>
  </si>
  <si>
    <t>GCA_013378335.1</t>
  </si>
  <si>
    <t>CGMH010</t>
  </si>
  <si>
    <t>https://ftp.ncbi.nlm.nih.gov/genomes/all/GCA/013/378/335/GCA_013378335.1_ASM1337833v1</t>
  </si>
  <si>
    <t>GCA_013378355.1</t>
  </si>
  <si>
    <t>CGMH058</t>
  </si>
  <si>
    <t>https://ftp.ncbi.nlm.nih.gov/genomes/all/GCA/013/378/355/GCA_013378355.1_ASM1337835v1</t>
  </si>
  <si>
    <t>GCA_013391365.1</t>
  </si>
  <si>
    <t>LB_tupeA</t>
  </si>
  <si>
    <t>https://ftp.ncbi.nlm.nih.gov/genomes/all/GCA/013/391/365/GCA_013391365.1_ASM1339136v1</t>
  </si>
  <si>
    <t>GCA_013393365.1</t>
  </si>
  <si>
    <t>T1-7</t>
  </si>
  <si>
    <t>https://ftp.ncbi.nlm.nih.gov/genomes/all/GCA/013/393/365/GCA_013393365.1_ASM1339336v1</t>
  </si>
  <si>
    <t>GCA_013394085.1</t>
  </si>
  <si>
    <t>DSM 20052</t>
  </si>
  <si>
    <t>https://ftp.ncbi.nlm.nih.gov/genomes/all/GCA/013/394/085/GCA_013394085.1_ASM1339408v1</t>
  </si>
  <si>
    <t>GCA_013394405.1</t>
  </si>
  <si>
    <t>2018-Y40</t>
  </si>
  <si>
    <t>https://ftp.ncbi.nlm.nih.gov/genomes/all/GCA/013/394/405/GCA_013394405.1_ASM1339440v1</t>
  </si>
  <si>
    <t>GCA_013394695.1</t>
  </si>
  <si>
    <t>HMT-061</t>
  </si>
  <si>
    <t>infantis clade-061</t>
  </si>
  <si>
    <t>F0704</t>
  </si>
  <si>
    <t>https://ftp.ncbi.nlm.nih.gov/genomes/all/GCA/013/394/695/GCA_013394695.1_ASM1339469v1</t>
  </si>
  <si>
    <t>F0496</t>
  </si>
  <si>
    <t>https://ftp.ncbi.nlm.nih.gov/genomes/all/GCA/013/394/715/GCA_013394715.1_ASM1339471v1</t>
  </si>
  <si>
    <t>W10638</t>
  </si>
  <si>
    <t>https://ftp.ncbi.nlm.nih.gov/genomes/all/GCA/013/394/735/GCA_013394735.1_ASM1339473v1</t>
  </si>
  <si>
    <t>GCA_013394755.1</t>
  </si>
  <si>
    <t>HB001</t>
  </si>
  <si>
    <t>https://ftp.ncbi.nlm.nih.gov/genomes/all/GCA/013/394/755/GCA_013394755.1_ASM1339475v1</t>
  </si>
  <si>
    <t>GCA_013394775.1</t>
  </si>
  <si>
    <t>HMT-102</t>
  </si>
  <si>
    <t>sp. HMT-102</t>
  </si>
  <si>
    <t>W9097</t>
  </si>
  <si>
    <t>https://ftp.ncbi.nlm.nih.gov/genomes/all/GCA/013/394/775/GCA_013394775.1_ASM1339477v1</t>
  </si>
  <si>
    <t>W10654</t>
  </si>
  <si>
    <t>https://ftp.ncbi.nlm.nih.gov/genomes/all/GCA/013/394/785/GCA_013394785.1_ASM1339478v1</t>
  </si>
  <si>
    <t>sp. HMT-223</t>
  </si>
  <si>
    <t>F0708</t>
  </si>
  <si>
    <t>https://ftp.ncbi.nlm.nih.gov/genomes/all/GCA/013/394/795/GCA_013394795.1_ASM1339479v1</t>
  </si>
  <si>
    <t>GCA_013394805.1</t>
  </si>
  <si>
    <t>W9173</t>
  </si>
  <si>
    <t>https://ftp.ncbi.nlm.nih.gov/genomes/all/GCA/013/394/805/GCA_013394805.1_ASM1339480v1</t>
  </si>
  <si>
    <t>F0703</t>
  </si>
  <si>
    <t>https://ftp.ncbi.nlm.nih.gov/genomes/all/GCA/013/394/865/GCA_013394865.1_ASM1339486v1</t>
  </si>
  <si>
    <t>GCA_013394875.1</t>
  </si>
  <si>
    <t>W5028</t>
  </si>
  <si>
    <t>https://ftp.ncbi.nlm.nih.gov/genomes/all/GCA/013/394/875/GCA_013394875.1_ASM1339487v1</t>
  </si>
  <si>
    <t>GCA_013408445.1</t>
  </si>
  <si>
    <t>DSM 44922</t>
  </si>
  <si>
    <t>https://ftp.ncbi.nlm.nih.gov/genomes/all/GCA/013/408/445/GCA_013408445.1_ASM1340844v1</t>
  </si>
  <si>
    <t>GCA_013410305.1</t>
  </si>
  <si>
    <t>DSM 45333</t>
  </si>
  <si>
    <t>https://ftp.ncbi.nlm.nih.gov/genomes/all/GCA/013/410/305/GCA_013410305.1_ASM1341030v1</t>
  </si>
  <si>
    <t>GCA_013414325.1</t>
  </si>
  <si>
    <t>S9968</t>
  </si>
  <si>
    <t>https://ftp.ncbi.nlm.nih.gov/genomes/all/GCA/013/414/325/GCA_013414325.1_ASM1341432v1</t>
  </si>
  <si>
    <t>GCA_013415405.1</t>
  </si>
  <si>
    <t>GW2</t>
  </si>
  <si>
    <t>https://ftp.ncbi.nlm.nih.gov/genomes/all/GCA/013/415/405/GCA_013415405.1_ASM1341540v1</t>
  </si>
  <si>
    <t>GCA_013423845.1</t>
  </si>
  <si>
    <t>B804</t>
  </si>
  <si>
    <t>https://ftp.ncbi.nlm.nih.gov/genomes/all/GCA/013/423/845/GCA_013423845.1_ASM1342384v1</t>
  </si>
  <si>
    <t>GCA_013425995.1</t>
  </si>
  <si>
    <t>5563_17</t>
  </si>
  <si>
    <t>https://ftp.ncbi.nlm.nih.gov/genomes/all/GCA/013/425/995/GCA_013425995.1_ASM1342599v1</t>
  </si>
  <si>
    <t>GCA_013487865.1</t>
  </si>
  <si>
    <t>3DG</t>
  </si>
  <si>
    <t>https://ftp.ncbi.nlm.nih.gov/genomes/all/GCA/013/487/865/GCA_013487865.1_ASM1348786v1</t>
  </si>
  <si>
    <t>GCA_013487905.1</t>
  </si>
  <si>
    <t>1D</t>
  </si>
  <si>
    <t>https://ftp.ncbi.nlm.nih.gov/genomes/all/GCA/013/487/905/GCA_013487905.1_ASM1348790v1</t>
  </si>
  <si>
    <t>GCA_013488045.1</t>
  </si>
  <si>
    <t>SN51445</t>
  </si>
  <si>
    <t>https://ftp.ncbi.nlm.nih.gov/genomes/all/GCA/013/488/045/GCA_013488045.1_ASM1348804v1</t>
  </si>
  <si>
    <t>GCA_013488065.1</t>
  </si>
  <si>
    <t>ATCC 10557</t>
  </si>
  <si>
    <t>https://ftp.ncbi.nlm.nih.gov/genomes/all/GCA/013/488/065/GCA_013488065.1_ASM1348806v1</t>
  </si>
  <si>
    <t>GCA_013522795.1</t>
  </si>
  <si>
    <t>89C1</t>
  </si>
  <si>
    <t>https://ftp.ncbi.nlm.nih.gov/genomes/all/GCA/013/522/795/GCA_013522795.1_89C1</t>
  </si>
  <si>
    <t>GCA_013592015.1</t>
  </si>
  <si>
    <t>SN64428</t>
  </si>
  <si>
    <t>https://ftp.ncbi.nlm.nih.gov/genomes/all/GCA/013/592/015/GCA_013592015.1_ASM1359201v1</t>
  </si>
  <si>
    <t>GCA_013694365.1</t>
  </si>
  <si>
    <t>CNEI-KCA3</t>
  </si>
  <si>
    <t>https://ftp.ncbi.nlm.nih.gov/genomes/all/GCA/013/694/365/GCA_013694365.1_ASM1369436v1</t>
  </si>
  <si>
    <t>GCA_013726395.1</t>
  </si>
  <si>
    <t>RHBSTW-00916</t>
  </si>
  <si>
    <t>https://ftp.ncbi.nlm.nih.gov/genomes/all/GCA/013/726/395/GCA_013726395.1_ASM1372639v1</t>
  </si>
  <si>
    <t>GCA_013747035.1</t>
  </si>
  <si>
    <t>RHBSTW-00564</t>
  </si>
  <si>
    <t>https://ftp.ncbi.nlm.nih.gov/genomes/all/GCA/013/747/035/GCA_013747035.1_ASM1374703v1</t>
  </si>
  <si>
    <t>GCA_013822985.1</t>
  </si>
  <si>
    <t>DB-B5</t>
  </si>
  <si>
    <t>https://ftp.ncbi.nlm.nih.gov/genomes/all/GCA/013/822/985/GCA_013822985.1_ASM1382298v1</t>
  </si>
  <si>
    <t>GCA_014054945.1</t>
  </si>
  <si>
    <t>DSM 17713</t>
  </si>
  <si>
    <t>https://ftp.ncbi.nlm.nih.gov/genomes/all/GCA/014/054/945/GCA_014054945.1_ASM1405494v1</t>
  </si>
  <si>
    <t>GCA_014054985.1</t>
  </si>
  <si>
    <t>DSM 18271</t>
  </si>
  <si>
    <t>https://ftp.ncbi.nlm.nih.gov/genomes/all/GCA/014/054/985/GCA_014054985.1_ASM1405498v1</t>
  </si>
  <si>
    <t>GCA_014055025.1</t>
  </si>
  <si>
    <t>DSM 23338</t>
  </si>
  <si>
    <t>https://ftp.ncbi.nlm.nih.gov/genomes/all/GCA/014/055/025/GCA_014055025.1_ASM1405502v1</t>
  </si>
  <si>
    <t>GCA_014069095.1</t>
  </si>
  <si>
    <t>FDAARGOS_731</t>
  </si>
  <si>
    <t>https://ftp.ncbi.nlm.nih.gov/genomes/all/GCA/014/069/095/GCA_014069095.1_ASM1406909v1</t>
  </si>
  <si>
    <t>GCA_014076415.1</t>
  </si>
  <si>
    <t>T5-67</t>
  </si>
  <si>
    <t>https://ftp.ncbi.nlm.nih.gov/genomes/all/GCA/014/076/415/GCA_014076415.1_ASM1407641v1</t>
  </si>
  <si>
    <t>GCA_014076475.1</t>
  </si>
  <si>
    <t>R5-28</t>
  </si>
  <si>
    <t>https://ftp.ncbi.nlm.nih.gov/genomes/all/GCA/014/076/475/GCA_014076475.1_ASM1407647v1</t>
  </si>
  <si>
    <t>GCA_014109765.1</t>
  </si>
  <si>
    <t>MSPm1</t>
  </si>
  <si>
    <t>https://ftp.ncbi.nlm.nih.gov/genomes/all/GCA/014/109/765/GCA_014109765.1_ASM1410976v1</t>
  </si>
  <si>
    <t>GCA_014131735.1</t>
  </si>
  <si>
    <t>DSM 20174</t>
  </si>
  <si>
    <t>https://ftp.ncbi.nlm.nih.gov/genomes/all/GCA/014/131/735/GCA_014131735.1_ASM1413173v1</t>
  </si>
  <si>
    <t>DSM 2079</t>
  </si>
  <si>
    <t>https://ftp.ncbi.nlm.nih.gov/genomes/all/GCA/014/131/755/GCA_014131755.1_ASM1413175v1</t>
  </si>
  <si>
    <t>GCA_014138465.1</t>
  </si>
  <si>
    <t>DSM 21431</t>
  </si>
  <si>
    <t>https://ftp.ncbi.nlm.nih.gov/genomes/all/GCA/014/138/465/GCA_014138465.1_ASM1413846v1</t>
  </si>
  <si>
    <t>GCA_014138885.1</t>
  </si>
  <si>
    <t>DSM 21948</t>
  </si>
  <si>
    <t>https://ftp.ncbi.nlm.nih.gov/genomes/all/GCA/014/138/885/GCA_014138885.1_ASM1413888v1</t>
  </si>
  <si>
    <t>GCA_014161995.1</t>
  </si>
  <si>
    <t>WP8-S17-CRE-03</t>
  </si>
  <si>
    <t>https://ftp.ncbi.nlm.nih.gov/genomes/all/GCA/014/161/995/GCA_014161995.1_ASM1416199v1</t>
  </si>
  <si>
    <t>GCA_014169215.1</t>
  </si>
  <si>
    <t>WP5-W18-CRE-01</t>
  </si>
  <si>
    <t>https://ftp.ncbi.nlm.nih.gov/genomes/all/GCA/014/169/215/GCA_014169215.1_ASM1416921v1</t>
  </si>
  <si>
    <t>GCA_014169775.1</t>
  </si>
  <si>
    <t>WP8-S18-ESBL-07</t>
  </si>
  <si>
    <t>https://ftp.ncbi.nlm.nih.gov/genomes/all/GCA/014/169/775/GCA_014169775.1_ASM1416977v1</t>
  </si>
  <si>
    <t>GCA_014191555.1</t>
  </si>
  <si>
    <t>DSM 20582</t>
  </si>
  <si>
    <t>https://ftp.ncbi.nlm.nih.gov/genomes/all/GCA/014/191/555/GCA_014191555.1_ASM1419155v1</t>
  </si>
  <si>
    <t>DSM 22548</t>
  </si>
  <si>
    <t>https://ftp.ncbi.nlm.nih.gov/genomes/all/GCA/014/195/585/GCA_014195585.1_ASM1419558v1</t>
  </si>
  <si>
    <t>DSM 8510</t>
  </si>
  <si>
    <t>https://ftp.ncbi.nlm.nih.gov/genomes/all/GCA/014/195/675/GCA_014195675.1_ASM1419567v1</t>
  </si>
  <si>
    <t>DSM 19673</t>
  </si>
  <si>
    <t>https://ftp.ncbi.nlm.nih.gov/genomes/all/GCA/014/196/225/GCA_014196225.1_ASM1419622v1</t>
  </si>
  <si>
    <t>GCA_014201615.1</t>
  </si>
  <si>
    <t>HMT-660</t>
  </si>
  <si>
    <t>Aquamicrobium</t>
  </si>
  <si>
    <t>lusatiense</t>
  </si>
  <si>
    <t>DSM 11099</t>
  </si>
  <si>
    <t>https://ftp.ncbi.nlm.nih.gov/genomes/all/GCA/014/201/615/GCA_014201615.1_ASM1420161v1</t>
  </si>
  <si>
    <t>GCA_014202695.1</t>
  </si>
  <si>
    <t>DSM 17245</t>
  </si>
  <si>
    <t>https://ftp.ncbi.nlm.nih.gov/genomes/all/GCA/014/202/695/GCA_014202695.1_ASM1420269v1</t>
  </si>
  <si>
    <t>GCA_014204735.1</t>
  </si>
  <si>
    <t>DSM 2710</t>
  </si>
  <si>
    <t>https://ftp.ncbi.nlm.nih.gov/genomes/all/GCA/014/204/735/GCA_014204735.1_ASM1420473v1</t>
  </si>
  <si>
    <t>GCA_014217355.1</t>
  </si>
  <si>
    <t>KCOM 1249</t>
  </si>
  <si>
    <t>https://ftp.ncbi.nlm.nih.gov/genomes/all/GCA/014/217/355/GCA_014217355.1_ASM1421735v1</t>
  </si>
  <si>
    <t>GCA_014217375.1</t>
  </si>
  <si>
    <t>KCOM 1253</t>
  </si>
  <si>
    <t>https://ftp.ncbi.nlm.nih.gov/genomes/all/GCA/014/217/375/GCA_014217375.1_ASM1421737v1</t>
  </si>
  <si>
    <t>GCA_014217915.1</t>
  </si>
  <si>
    <t>YB324</t>
  </si>
  <si>
    <t>https://ftp.ncbi.nlm.nih.gov/genomes/all/GCA/014/217/915/GCA_014217915.1_ASM1421791v1</t>
  </si>
  <si>
    <t>GCA_014250475.1</t>
  </si>
  <si>
    <t>Marseille-Q3039</t>
  </si>
  <si>
    <t>https://ftp.ncbi.nlm.nih.gov/genomes/all/GCA/014/250/475/GCA_014250475.1_ASM1425047v1</t>
  </si>
  <si>
    <t>GCA_014264985.1</t>
  </si>
  <si>
    <t>IIF3SC-B11-FOX</t>
  </si>
  <si>
    <t>https://ftp.ncbi.nlm.nih.gov/genomes/all/GCA/014/264/985/GCA_014264985.1_ASM1426498v1</t>
  </si>
  <si>
    <t>GCA_014264995.1</t>
  </si>
  <si>
    <t>IIF3SC-B11-P</t>
  </si>
  <si>
    <t>https://ftp.ncbi.nlm.nih.gov/genomes/all/GCA/014/264/995/GCA_014264995.1_ASM1426499v1</t>
  </si>
  <si>
    <t>GCA_014265005.1</t>
  </si>
  <si>
    <t>IIF3SW-P2-NN</t>
  </si>
  <si>
    <t>https://ftp.ncbi.nlm.nih.gov/genomes/all/GCA/014/265/005/GCA_014265005.1_ASM1426500v1</t>
  </si>
  <si>
    <t>GCA_014265015.1</t>
  </si>
  <si>
    <t>IIF3SC-B11-OX</t>
  </si>
  <si>
    <t>https://ftp.ncbi.nlm.nih.gov/genomes/all/GCA/014/265/015/GCA_014265015.1_ASM1426501v1</t>
  </si>
  <si>
    <t>GCA_014265025.1</t>
  </si>
  <si>
    <t>IIF3SW-P2-P</t>
  </si>
  <si>
    <t>https://ftp.ncbi.nlm.nih.gov/genomes/all/GCA/014/265/025/GCA_014265025.1_ASM1426502v1</t>
  </si>
  <si>
    <t>GCA_014265085.1</t>
  </si>
  <si>
    <t>IIF3SW-P1-OX</t>
  </si>
  <si>
    <t>https://ftp.ncbi.nlm.nih.gov/genomes/all/GCA/014/265/085/GCA_014265085.1_ASM1426508v1</t>
  </si>
  <si>
    <t>GCA_014265095.1</t>
  </si>
  <si>
    <t>IIF3SW-P2-FOX</t>
  </si>
  <si>
    <t>https://ftp.ncbi.nlm.nih.gov/genomes/all/GCA/014/265/095/GCA_014265095.1_ASM1426509v1</t>
  </si>
  <si>
    <t>GCA_014265125.1</t>
  </si>
  <si>
    <t>IIF3SW-P1-RA</t>
  </si>
  <si>
    <t>https://ftp.ncbi.nlm.nih.gov/genomes/all/GCA/014/265/125/GCA_014265125.1_ASM1426512v1</t>
  </si>
  <si>
    <t>GCA_014265215.1</t>
  </si>
  <si>
    <t>IIF3SW-P1-FOX</t>
  </si>
  <si>
    <t>https://ftp.ncbi.nlm.nih.gov/genomes/all/GCA/014/265/215/GCA_014265215.1_ASM1426521v1</t>
  </si>
  <si>
    <t>GCA_014266065.1</t>
  </si>
  <si>
    <t>IIF3SC-B2</t>
  </si>
  <si>
    <t>https://ftp.ncbi.nlm.nih.gov/genomes/all/GCA/014/266/065/GCA_014266065.1_ASM1426606v1</t>
  </si>
  <si>
    <t>GCA_014266085.1</t>
  </si>
  <si>
    <t>IIF3SC-B5</t>
  </si>
  <si>
    <t>https://ftp.ncbi.nlm.nih.gov/genomes/all/GCA/014/266/085/GCA_014266085.1_ASM1426608v1</t>
  </si>
  <si>
    <t>GCA_014266385.1</t>
  </si>
  <si>
    <t>IIF7SC-B2</t>
  </si>
  <si>
    <t>https://ftp.ncbi.nlm.nih.gov/genomes/all/GCA/014/266/385/GCA_014266385.1_ASM1426638v1</t>
  </si>
  <si>
    <t>GCA_014266465.1</t>
  </si>
  <si>
    <t>IIF4SC-B1A</t>
  </si>
  <si>
    <t>https://ftp.ncbi.nlm.nih.gov/genomes/all/GCA/014/266/465/GCA_014266465.1_ASM1426646v1</t>
  </si>
  <si>
    <t>GCA_014266475.1</t>
  </si>
  <si>
    <t>IIF5SC-B2</t>
  </si>
  <si>
    <t>https://ftp.ncbi.nlm.nih.gov/genomes/all/GCA/014/266/475/GCA_014266475.1_ASM1426647v1</t>
  </si>
  <si>
    <t>GCA_014266505.1</t>
  </si>
  <si>
    <t>IIF4SC-B5</t>
  </si>
  <si>
    <t>https://ftp.ncbi.nlm.nih.gov/genomes/all/GCA/014/266/505/GCA_014266505.1_ASM1426650v1</t>
  </si>
  <si>
    <t>GCA_014266525.1</t>
  </si>
  <si>
    <t>IIF3SC-B11</t>
  </si>
  <si>
    <t>https://ftp.ncbi.nlm.nih.gov/genomes/all/GCA/014/266/525/GCA_014266525.1_ASM1426652v1</t>
  </si>
  <si>
    <t>GCA_014266705.1</t>
  </si>
  <si>
    <t>IIF4SC-B9</t>
  </si>
  <si>
    <t>https://ftp.ncbi.nlm.nih.gov/genomes/all/GCA/014/266/705/GCA_014266705.1_ASM1426670v1</t>
  </si>
  <si>
    <t>GCA_014266725.1</t>
  </si>
  <si>
    <t>IIF5SC-B1</t>
  </si>
  <si>
    <t>https://ftp.ncbi.nlm.nih.gov/genomes/all/GCA/014/266/725/GCA_014266725.1_ASM1426672v1</t>
  </si>
  <si>
    <t>GCA_014266895.1</t>
  </si>
  <si>
    <t>IIF3SW-P2</t>
  </si>
  <si>
    <t>https://ftp.ncbi.nlm.nih.gov/genomes/all/GCA/014/266/895/GCA_014266895.1_ASM1426689v1</t>
  </si>
  <si>
    <t>GCA_014266935.1</t>
  </si>
  <si>
    <t>IIF3SW-P1</t>
  </si>
  <si>
    <t>https://ftp.ncbi.nlm.nih.gov/genomes/all/GCA/014/266/935/GCA_014266935.1_ASM1426693v1</t>
  </si>
  <si>
    <t>GCA_014267135.1</t>
  </si>
  <si>
    <t>IIF4SW-P1</t>
  </si>
  <si>
    <t>https://ftp.ncbi.nlm.nih.gov/genomes/all/GCA/014/267/135/GCA_014267135.1_ASM1426713v1</t>
  </si>
  <si>
    <t>GCA_014267235.1</t>
  </si>
  <si>
    <t>IIF4SC-B3</t>
  </si>
  <si>
    <t>https://ftp.ncbi.nlm.nih.gov/genomes/all/GCA/014/267/235/GCA_014267235.1_ASM1426723v1</t>
  </si>
  <si>
    <t>GCA_014267295.1</t>
  </si>
  <si>
    <t>IIF4SC-B4</t>
  </si>
  <si>
    <t>https://ftp.ncbi.nlm.nih.gov/genomes/all/GCA/014/267/295/GCA_014267295.1_ASM1426729v1</t>
  </si>
  <si>
    <t>NSJ-21</t>
  </si>
  <si>
    <t>https://ftp.ncbi.nlm.nih.gov/genomes/all/GCA/014/287/575/GCA_014287575.1_ASM1428757v1</t>
  </si>
  <si>
    <t>GCA_014306175.1</t>
  </si>
  <si>
    <t>NSJ-78</t>
  </si>
  <si>
    <t>https://ftp.ncbi.nlm.nih.gov/genomes/all/GCA/014/306/175/GCA_014306175.1_ASM1430617v1</t>
  </si>
  <si>
    <t>GCA_014334295.1</t>
  </si>
  <si>
    <t>LM087</t>
  </si>
  <si>
    <t>https://ftp.ncbi.nlm.nih.gov/genomes/all/GCA/014/334/295/GCA_014334295.1_ASM1433429v1</t>
  </si>
  <si>
    <t>GCA_014335065.1</t>
  </si>
  <si>
    <t>LK27</t>
  </si>
  <si>
    <t>https://ftp.ncbi.nlm.nih.gov/genomes/all/GCA/014/335/065/GCA_014335065.1_LK27</t>
  </si>
  <si>
    <t>GCA_014335175.1</t>
  </si>
  <si>
    <t>LK23</t>
  </si>
  <si>
    <t>https://ftp.ncbi.nlm.nih.gov/genomes/all/GCA/014/335/175/GCA_014335175.1_LK23</t>
  </si>
  <si>
    <t>GCA_014335185.1</t>
  </si>
  <si>
    <t>LK24</t>
  </si>
  <si>
    <t>https://ftp.ncbi.nlm.nih.gov/genomes/all/GCA/014/335/185/GCA_014335185.1_LK24</t>
  </si>
  <si>
    <t>088AE</t>
  </si>
  <si>
    <t>https://ftp.ncbi.nlm.nih.gov/genomes/all/GCA/014/338/545/GCA_014338545.1_ASM1433854v1</t>
  </si>
  <si>
    <t>GCA_014338595.1</t>
  </si>
  <si>
    <t>F0329</t>
  </si>
  <si>
    <t>https://ftp.ncbi.nlm.nih.gov/genomes/all/GCA/014/338/595/GCA_014338595.1_ASM1433859v1</t>
  </si>
  <si>
    <t>GCA_014435245.1</t>
  </si>
  <si>
    <t>HMT-948</t>
  </si>
  <si>
    <t>lactarius</t>
  </si>
  <si>
    <t>IMAU 99161</t>
  </si>
  <si>
    <t>https://ftp.ncbi.nlm.nih.gov/genomes/all/GCA/014/435/245/GCA_014435245.1_ASM1443524v1</t>
  </si>
  <si>
    <t>GCA_014490515.1</t>
  </si>
  <si>
    <t>Z0118SE0132</t>
  </si>
  <si>
    <t>https://ftp.ncbi.nlm.nih.gov/genomes/all/GCA/014/490/515/GCA_014490515.1_ASM1449051v1</t>
  </si>
  <si>
    <t>GCA_014495745.1</t>
  </si>
  <si>
    <t>WS479</t>
  </si>
  <si>
    <t>https://ftp.ncbi.nlm.nih.gov/genomes/all/GCA/014/495/745/GCA_014495745.1_ASM1449574v1</t>
  </si>
  <si>
    <t>GCA_014596365.2</t>
  </si>
  <si>
    <t>KH1003-01</t>
  </si>
  <si>
    <t>https://ftp.ncbi.nlm.nih.gov/genomes/all/GCA/014/596/365/GCA_014596365.2_ASM1459636v2</t>
  </si>
  <si>
    <t>GCA_014596375.1</t>
  </si>
  <si>
    <t>RH3002v2f</t>
  </si>
  <si>
    <t>https://ftp.ncbi.nlm.nih.gov/genomes/all/GCA/014/596/375/GCA_014596375.1_ASM1459637v1</t>
  </si>
  <si>
    <t>GCA_014596395.2</t>
  </si>
  <si>
    <t>KH1003-02</t>
  </si>
  <si>
    <t>https://ftp.ncbi.nlm.nih.gov/genomes/all/GCA/014/596/395/GCA_014596395.2_ASM1459639v2</t>
  </si>
  <si>
    <t>GCA_014596425.2</t>
  </si>
  <si>
    <t>RH3002v2g</t>
  </si>
  <si>
    <t>https://ftp.ncbi.nlm.nih.gov/genomes/all/GCA/014/596/425/GCA_014596425.2_ASM1459642v2</t>
  </si>
  <si>
    <t>GCA_014610855.1</t>
  </si>
  <si>
    <t>https://ftp.ncbi.nlm.nih.gov/genomes/all/GCA/014/610/855/GCA_014610855.1_ASM1461085v1</t>
  </si>
  <si>
    <t>GCA_014610885.1</t>
  </si>
  <si>
    <t>https://ftp.ncbi.nlm.nih.gov/genomes/all/GCA/014/610/885/GCA_014610885.1_ASM1461088v1</t>
  </si>
  <si>
    <t>GCA_014621675.1</t>
  </si>
  <si>
    <t>https://ftp.ncbi.nlm.nih.gov/genomes/all/GCA/014/621/675/GCA_014621675.1_ASM1462167v1</t>
  </si>
  <si>
    <t>GCA_014622665.1</t>
  </si>
  <si>
    <t>https://ftp.ncbi.nlm.nih.gov/genomes/all/GCA/014/622/665/GCA_014622665.1_ASM1462266v1</t>
  </si>
  <si>
    <t>GCA_014635765.1</t>
  </si>
  <si>
    <t>CCM 2734</t>
  </si>
  <si>
    <t>https://ftp.ncbi.nlm.nih.gov/genomes/all/GCA/014/635/765/GCA_014635765.1_ASM1463576v1</t>
  </si>
  <si>
    <t>GCA_014645875.1</t>
  </si>
  <si>
    <t>CGMCC 4.7143</t>
  </si>
  <si>
    <t>https://ftp.ncbi.nlm.nih.gov/genomes/all/GCA/014/645/875/GCA_014645875.1_ASM1464587v1</t>
  </si>
  <si>
    <t>GCA_014647755.1</t>
  </si>
  <si>
    <t>JCM 30531</t>
  </si>
  <si>
    <t>https://ftp.ncbi.nlm.nih.gov/genomes/all/GCA/014/647/755/GCA_014647755.1_ASM1464775v1</t>
  </si>
  <si>
    <t>CGMCC 1.8957</t>
  </si>
  <si>
    <t>https://ftp.ncbi.nlm.nih.gov/genomes/all/GCA/014/653/575/GCA_014653575.1_ASM1465357v1</t>
  </si>
  <si>
    <t>GCA_014654435.1</t>
  </si>
  <si>
    <t>JCM 12093</t>
  </si>
  <si>
    <t>https://ftp.ncbi.nlm.nih.gov/genomes/all/GCA/014/654/435/GCA_014654435.1_ASM1465443v1</t>
  </si>
  <si>
    <t>GCA_014672755.1</t>
  </si>
  <si>
    <t>https://ftp.ncbi.nlm.nih.gov/genomes/all/GCA/014/672/755/GCA_014672755.1_ASM1467275v1</t>
  </si>
  <si>
    <t>GCA_014701215.1</t>
  </si>
  <si>
    <t>TAMBA230</t>
  </si>
  <si>
    <t>https://ftp.ncbi.nlm.nih.gov/genomes/all/GCA/014/701/215/GCA_014701215.1_ASM1470121v1</t>
  </si>
  <si>
    <t>GCA_014762905.1</t>
  </si>
  <si>
    <t>chl4475</t>
  </si>
  <si>
    <t>https://ftp.ncbi.nlm.nih.gov/genomes/all/GCA/014/762/905/GCA_014762905.1_ASM1476290v1</t>
  </si>
  <si>
    <t>GCA_014762915.1</t>
  </si>
  <si>
    <t>chl2764</t>
  </si>
  <si>
    <t>https://ftp.ncbi.nlm.nih.gov/genomes/all/GCA/014/762/915/GCA_014762915.1_ASM1476291v1</t>
  </si>
  <si>
    <t>GCA_014762925.1</t>
  </si>
  <si>
    <t>chl3548</t>
  </si>
  <si>
    <t>https://ftp.ncbi.nlm.nih.gov/genomes/all/GCA/014/762/925/GCA_014762925.1_ASM1476292v1</t>
  </si>
  <si>
    <t>GCA_014841035.1</t>
  </si>
  <si>
    <t>GHZ10a</t>
  </si>
  <si>
    <t>https://ftp.ncbi.nlm.nih.gov/genomes/all/GCA/014/841/035/GCA_014841035.1_ASM1484103v1</t>
  </si>
  <si>
    <t>GCA_014842815.3</t>
  </si>
  <si>
    <t>27-3</t>
  </si>
  <si>
    <t>https://ftp.ncbi.nlm.nih.gov/genomes/all/GCA/014/842/815/GCA_014842815.3_ASM1484281v3</t>
  </si>
  <si>
    <t>GCA_014843395.1</t>
  </si>
  <si>
    <t>38R</t>
  </si>
  <si>
    <t>https://ftp.ncbi.nlm.nih.gov/genomes/all/GCA/014/843/395/GCA_014843395.1_ASM1484339v1</t>
  </si>
  <si>
    <t>GCA_014872435.1</t>
  </si>
  <si>
    <t>COPD411</t>
  </si>
  <si>
    <t>https://ftp.ncbi.nlm.nih.gov/genomes/all/GCA/014/872/435/GCA_014872435.1_ASM1487243v1</t>
  </si>
  <si>
    <t>GCA_014874165.1</t>
  </si>
  <si>
    <t>DSM 24531</t>
  </si>
  <si>
    <t>https://ftp.ncbi.nlm.nih.gov/genomes/all/GCA/014/874/165/GCA_014874165.1_ASM1487416v1</t>
  </si>
  <si>
    <t>TT2</t>
  </si>
  <si>
    <t>https://ftp.ncbi.nlm.nih.gov/genomes/all/GCA/014/883/915/GCA_014883915.1_ASM1488391v1</t>
  </si>
  <si>
    <t>GCA_014890145.1</t>
  </si>
  <si>
    <t>WS5495</t>
  </si>
  <si>
    <t>https://ftp.ncbi.nlm.nih.gov/genomes/all/GCA/014/890/145/GCA_014890145.1_ASM1489014v1</t>
  </si>
  <si>
    <t>GCA_014890515.1</t>
  </si>
  <si>
    <t>WS5281</t>
  </si>
  <si>
    <t>https://ftp.ncbi.nlm.nih.gov/genomes/all/GCA/014/890/515/GCA_014890515.1_ASM1489051v1</t>
  </si>
  <si>
    <t>GCA_014892235.1</t>
  </si>
  <si>
    <t>T3315/96</t>
  </si>
  <si>
    <t>https://ftp.ncbi.nlm.nih.gov/genomes/all/GCA/014/892/235/GCA_014892235.1_ASM1489223v1</t>
  </si>
  <si>
    <t>GCA_014894835.1</t>
  </si>
  <si>
    <t>CECT30004</t>
  </si>
  <si>
    <t>https://ftp.ncbi.nlm.nih.gov/genomes/all/GCA/014/894/835/GCA_014894835.1_ASM1489483v1</t>
  </si>
  <si>
    <t>GCA_014894895.1</t>
  </si>
  <si>
    <t>CECT30002</t>
  </si>
  <si>
    <t>https://ftp.ncbi.nlm.nih.gov/genomes/all/GCA/014/894/895/GCA_014894895.1_ASM1489489v1</t>
  </si>
  <si>
    <t>GCA_014898195.1</t>
  </si>
  <si>
    <t>KCTC 3272</t>
  </si>
  <si>
    <t>https://ftp.ncbi.nlm.nih.gov/genomes/all/GCA/014/898/195/GCA_014898195.1_ASM1489819v1</t>
  </si>
  <si>
    <t>GCA_014899365.1</t>
  </si>
  <si>
    <t>SEA14318P6C4</t>
  </si>
  <si>
    <t>https://ftp.ncbi.nlm.nih.gov/genomes/all/GCA/014/899/365/GCA_014899365.1_ASM1489936v1</t>
  </si>
  <si>
    <t>GCA_014905055.1</t>
  </si>
  <si>
    <t>NSMJ23</t>
  </si>
  <si>
    <t>https://ftp.ncbi.nlm.nih.gov/genomes/all/GCA/014/905/055/GCA_014905055.1_ASM1490505v1</t>
  </si>
  <si>
    <t>GCA_014931275.1</t>
  </si>
  <si>
    <t>M1C160_1</t>
  </si>
  <si>
    <t>https://ftp.ncbi.nlm.nih.gov/genomes/all/GCA/014/931/275/GCA_014931275.1_ASM1493127v1</t>
  </si>
  <si>
    <t>GCA_014931295.1</t>
  </si>
  <si>
    <t>M1C152_1</t>
  </si>
  <si>
    <t>https://ftp.ncbi.nlm.nih.gov/genomes/all/GCA/014/931/295/GCA_014931295.1_ASM1493129v1</t>
  </si>
  <si>
    <t>GCA_014931315.1</t>
  </si>
  <si>
    <t>M1C149_1</t>
  </si>
  <si>
    <t>https://ftp.ncbi.nlm.nih.gov/genomes/all/GCA/014/931/315/GCA_014931315.1_ASM1493131v1</t>
  </si>
  <si>
    <t>GCA_014931335.1</t>
  </si>
  <si>
    <t>M1C147_1</t>
  </si>
  <si>
    <t>https://ftp.ncbi.nlm.nih.gov/genomes/all/GCA/014/931/335/GCA_014931335.1_ASM1493133v1</t>
  </si>
  <si>
    <t>GCA_014931355.1</t>
  </si>
  <si>
    <t>M1C146_1</t>
  </si>
  <si>
    <t>https://ftp.ncbi.nlm.nih.gov/genomes/all/GCA/014/931/355/GCA_014931355.1_ASM1493135v1</t>
  </si>
  <si>
    <t>GCA_014931375.1</t>
  </si>
  <si>
    <t>M1C142_1</t>
  </si>
  <si>
    <t>https://ftp.ncbi.nlm.nih.gov/genomes/all/GCA/014/931/375/GCA_014931375.1_ASM1493137v1</t>
  </si>
  <si>
    <t>GCA_014931395.1</t>
  </si>
  <si>
    <t>M1C137_2</t>
  </si>
  <si>
    <t>https://ftp.ncbi.nlm.nih.gov/genomes/all/GCA/014/931/395/GCA_014931395.1_ASM1493139v1</t>
  </si>
  <si>
    <t>GCA_014931415.1</t>
  </si>
  <si>
    <t>M1C130_2</t>
  </si>
  <si>
    <t>https://ftp.ncbi.nlm.nih.gov/genomes/all/GCA/014/931/415/GCA_014931415.1_ASM1493141v1</t>
  </si>
  <si>
    <t>GCA_014931435.1</t>
  </si>
  <si>
    <t>M1C125_4</t>
  </si>
  <si>
    <t>https://ftp.ncbi.nlm.nih.gov/genomes/all/GCA/014/931/435/GCA_014931435.1_ASM1493143v1</t>
  </si>
  <si>
    <t>GCA_014931455.1</t>
  </si>
  <si>
    <t>M1C120_2</t>
  </si>
  <si>
    <t>https://ftp.ncbi.nlm.nih.gov/genomes/all/GCA/014/931/455/GCA_014931455.1_ASM1493145v1</t>
  </si>
  <si>
    <t>GCA_014931475.1</t>
  </si>
  <si>
    <t>M1C113_1</t>
  </si>
  <si>
    <t>https://ftp.ncbi.nlm.nih.gov/genomes/all/GCA/014/931/475/GCA_014931475.1_ASM1493147v1</t>
  </si>
  <si>
    <t>GCA_014931495.1</t>
  </si>
  <si>
    <t>M1C112_1</t>
  </si>
  <si>
    <t>https://ftp.ncbi.nlm.nih.gov/genomes/all/GCA/014/931/495/GCA_014931495.1_ASM1493149v1</t>
  </si>
  <si>
    <t>GCA_014962425.1</t>
  </si>
  <si>
    <t>IVK28</t>
  </si>
  <si>
    <t>https://ftp.ncbi.nlm.nih.gov/genomes/all/GCA/014/962/425/GCA_014962425.1_ASM1496242v1</t>
  </si>
  <si>
    <t>GCA_014982375.1</t>
  </si>
  <si>
    <t>M1C116_1</t>
  </si>
  <si>
    <t>https://ftp.ncbi.nlm.nih.gov/genomes/all/GCA/014/982/375/GCA_014982375.1_ASM1498237v1</t>
  </si>
  <si>
    <t>GCA_014982385.1</t>
  </si>
  <si>
    <t>M1C111_2</t>
  </si>
  <si>
    <t>https://ftp.ncbi.nlm.nih.gov/genomes/all/GCA/014/982/385/GCA_014982385.1_ASM1498238v1</t>
  </si>
  <si>
    <t>GCA_015070475.1</t>
  </si>
  <si>
    <t>HESS022</t>
  </si>
  <si>
    <t>https://ftp.ncbi.nlm.nih.gov/genomes/all/GCA/015/070/475/GCA_015070475.1_ASM1507047v1</t>
  </si>
  <si>
    <t>GCA_015070505.1</t>
  </si>
  <si>
    <t>HESMS017b</t>
  </si>
  <si>
    <t>https://ftp.ncbi.nlm.nih.gov/genomes/all/GCA/015/070/505/GCA_015070505.1_ASM1507050v1</t>
  </si>
  <si>
    <t>GCA_015070685.1</t>
  </si>
  <si>
    <t>HESMS017</t>
  </si>
  <si>
    <t>https://ftp.ncbi.nlm.nih.gov/genomes/all/GCA/015/070/685/GCA_015070685.1_ASM1507068v1</t>
  </si>
  <si>
    <t>GCA_015070775.1</t>
  </si>
  <si>
    <t>HESN016</t>
  </si>
  <si>
    <t>https://ftp.ncbi.nlm.nih.gov/genomes/all/GCA/015/070/775/GCA_015070775.1_ASM1507077v1</t>
  </si>
  <si>
    <t>GCA_015099135.1</t>
  </si>
  <si>
    <t>TP1631</t>
  </si>
  <si>
    <t>https://ftp.ncbi.nlm.nih.gov/genomes/all/GCA/015/099/135/GCA_015099135.1_ASM1509913v1</t>
  </si>
  <si>
    <t>GCA_015135575.1</t>
  </si>
  <si>
    <t>STW0522-44</t>
  </si>
  <si>
    <t>https://ftp.ncbi.nlm.nih.gov/genomes/all/GCA/015/135/575/GCA_015135575.1_ASM1513557v1</t>
  </si>
  <si>
    <t>GCA_015163675.1</t>
  </si>
  <si>
    <t>D2833</t>
  </si>
  <si>
    <t>https://ftp.ncbi.nlm.nih.gov/genomes/all/GCA/015/163/675/GCA_015163675.1_ASM1516367v1</t>
  </si>
  <si>
    <t>GCA_015229935.1</t>
  </si>
  <si>
    <t>H36O-S1</t>
  </si>
  <si>
    <t>https://ftp.ncbi.nlm.nih.gov/genomes/all/GCA/015/229/935/GCA_015229935.1_ASM1522993v1</t>
  </si>
  <si>
    <t>GCA_015229965.1</t>
  </si>
  <si>
    <t>H33O-S1</t>
  </si>
  <si>
    <t>https://ftp.ncbi.nlm.nih.gov/genomes/all/GCA/015/229/965/GCA_015229965.1_ASM1522996v1</t>
  </si>
  <si>
    <t>GCA_015229985.1</t>
  </si>
  <si>
    <t>H34O-S1</t>
  </si>
  <si>
    <t>https://ftp.ncbi.nlm.nih.gov/genomes/all/GCA/015/229/985/GCA_015229985.1_ASM1522998v1</t>
  </si>
  <si>
    <t>GCA_015230015.1</t>
  </si>
  <si>
    <t>H32O-S2</t>
  </si>
  <si>
    <t>https://ftp.ncbi.nlm.nih.gov/genomes/all/GCA/015/230/015/GCA_015230015.1_ASM1523001v1</t>
  </si>
  <si>
    <t>GCA_015230035.1</t>
  </si>
  <si>
    <t>H32O-S1</t>
  </si>
  <si>
    <t>https://ftp.ncbi.nlm.nih.gov/genomes/all/GCA/015/230/035/GCA_015230035.1_ASM1523003v1</t>
  </si>
  <si>
    <t>GCA_015230075.1</t>
  </si>
  <si>
    <t>H31O-S1</t>
  </si>
  <si>
    <t>https://ftp.ncbi.nlm.nih.gov/genomes/all/GCA/015/230/075/GCA_015230075.1_ASM1523007v1</t>
  </si>
  <si>
    <t>GCA_015234665.1</t>
  </si>
  <si>
    <t>GW2.1</t>
  </si>
  <si>
    <t>https://ftp.ncbi.nlm.nih.gov/genomes/all/GCA/015/234/665/GCA_015234665.1_ASM1523466v1</t>
  </si>
  <si>
    <t>GCA_015240415.1</t>
  </si>
  <si>
    <t>CECT30005</t>
  </si>
  <si>
    <t>https://ftp.ncbi.nlm.nih.gov/genomes/all/GCA/015/240/415/GCA_015240415.1_ASM1524041v1</t>
  </si>
  <si>
    <t>GCA_015243435.1</t>
  </si>
  <si>
    <t>BN2</t>
  </si>
  <si>
    <t>https://ftp.ncbi.nlm.nih.gov/genomes/all/GCA/015/243/435/GCA_015243435.1_ASM1524343v1</t>
  </si>
  <si>
    <t>GCA_015254855.1</t>
  </si>
  <si>
    <t>JCVI_39_bin.14</t>
  </si>
  <si>
    <t>https://ftp.ncbi.nlm.nih.gov/genomes/all/GCA/015/254/855/GCA_015254855.1_ASM1525485v1</t>
  </si>
  <si>
    <t>GCA_015254865.1</t>
  </si>
  <si>
    <t>JCVI_47_bin.7</t>
  </si>
  <si>
    <t>https://ftp.ncbi.nlm.nih.gov/genomes/all/GCA/015/254/865/GCA_015254865.1_ASM1525486v1</t>
  </si>
  <si>
    <t>GCA_015255005.1</t>
  </si>
  <si>
    <t>JCVI_38_bin.18</t>
  </si>
  <si>
    <t>https://ftp.ncbi.nlm.nih.gov/genomes/all/GCA/015/255/005/GCA_015255005.1_ASM1525500v1</t>
  </si>
  <si>
    <t>GCA_015255285.1</t>
  </si>
  <si>
    <t>JCVI_4_bin.2</t>
  </si>
  <si>
    <t>https://ftp.ncbi.nlm.nih.gov/genomes/all/GCA/015/255/285/GCA_015255285.1_ASM1525528v1</t>
  </si>
  <si>
    <t>GCA_015255305.1</t>
  </si>
  <si>
    <t>JCVI_26_bin.4</t>
  </si>
  <si>
    <t>https://ftp.ncbi.nlm.nih.gov/genomes/all/GCA/015/255/305/GCA_015255305.1_ASM1525530v1</t>
  </si>
  <si>
    <t>GCA_015255405.1</t>
  </si>
  <si>
    <t>JCVI_44_bin.19</t>
  </si>
  <si>
    <t>https://ftp.ncbi.nlm.nih.gov/genomes/all/GCA/015/255/405/GCA_015255405.1_ASM1525540v1</t>
  </si>
  <si>
    <t>GCA_015255615.1</t>
  </si>
  <si>
    <t>JCVI_49_bin.14</t>
  </si>
  <si>
    <t>https://ftp.ncbi.nlm.nih.gov/genomes/all/GCA/015/255/615/GCA_015255615.1_ASM1525561v1</t>
  </si>
  <si>
    <t>GCA_015255645.1</t>
  </si>
  <si>
    <t>JCVI_48_bin.21</t>
  </si>
  <si>
    <t>https://ftp.ncbi.nlm.nih.gov/genomes/all/GCA/015/255/645/GCA_015255645.1_ASM1525564v1</t>
  </si>
  <si>
    <t>GCA_015255705.1</t>
  </si>
  <si>
    <t>JCVI_42_bin.9</t>
  </si>
  <si>
    <t>https://ftp.ncbi.nlm.nih.gov/genomes/all/GCA/015/255/705/GCA_015255705.1_ASM1525570v1</t>
  </si>
  <si>
    <t>GCA_015255725.1</t>
  </si>
  <si>
    <t>JCVI_38_bin.11</t>
  </si>
  <si>
    <t>https://ftp.ncbi.nlm.nih.gov/genomes/all/GCA/015/255/725/GCA_015255725.1_ASM1525572v1</t>
  </si>
  <si>
    <t>GCA_015255735.1</t>
  </si>
  <si>
    <t>JCVI_41_bin.14</t>
  </si>
  <si>
    <t>https://ftp.ncbi.nlm.nih.gov/genomes/all/GCA/015/255/735/GCA_015255735.1_ASM1525573v1</t>
  </si>
  <si>
    <t>GCA_015255745.1</t>
  </si>
  <si>
    <t>JCVI_37_bin.11</t>
  </si>
  <si>
    <t>https://ftp.ncbi.nlm.nih.gov/genomes/all/GCA/015/255/745/GCA_015255745.1_ASM1525574v1</t>
  </si>
  <si>
    <t>GCA_015255785.1</t>
  </si>
  <si>
    <t>JCVI_34_bin.13</t>
  </si>
  <si>
    <t>https://ftp.ncbi.nlm.nih.gov/genomes/all/GCA/015/255/785/GCA_015255785.1_ASM1525578v1</t>
  </si>
  <si>
    <t>GCA_015255805.1</t>
  </si>
  <si>
    <t>JCVI_33_bin.6</t>
  </si>
  <si>
    <t>https://ftp.ncbi.nlm.nih.gov/genomes/all/GCA/015/255/805/GCA_015255805.1_ASM1525580v1</t>
  </si>
  <si>
    <t>GCA_015255825.1</t>
  </si>
  <si>
    <t>JCVI_32_bin.54</t>
  </si>
  <si>
    <t>https://ftp.ncbi.nlm.nih.gov/genomes/all/GCA/015/255/825/GCA_015255825.1_ASM1525582v1</t>
  </si>
  <si>
    <t>GCA_015255865.1</t>
  </si>
  <si>
    <t>JCVI_28_bin.13</t>
  </si>
  <si>
    <t>https://ftp.ncbi.nlm.nih.gov/genomes/all/GCA/015/255/865/GCA_015255865.1_ASM1525586v1</t>
  </si>
  <si>
    <t>GCA_015255915.1</t>
  </si>
  <si>
    <t>JCVI_25_bin.2</t>
  </si>
  <si>
    <t>https://ftp.ncbi.nlm.nih.gov/genomes/all/GCA/015/255/915/GCA_015255915.1_ASM1525591v1</t>
  </si>
  <si>
    <t>GCA_015255975.1</t>
  </si>
  <si>
    <t>JCVI_24_bin.9</t>
  </si>
  <si>
    <t>https://ftp.ncbi.nlm.nih.gov/genomes/all/GCA/015/255/975/GCA_015255975.1_ASM1525597v1</t>
  </si>
  <si>
    <t>GCA_015256015.1</t>
  </si>
  <si>
    <t>JCVI_1_bin.13</t>
  </si>
  <si>
    <t>https://ftp.ncbi.nlm.nih.gov/genomes/all/GCA/015/256/015/GCA_015256015.1_ASM1525601v1</t>
  </si>
  <si>
    <t>GCA_015256025.1</t>
  </si>
  <si>
    <t>JCVI_18_bin.6</t>
  </si>
  <si>
    <t>https://ftp.ncbi.nlm.nih.gov/genomes/all/GCA/015/256/025/GCA_015256025.1_ASM1525602v1</t>
  </si>
  <si>
    <t>GCA_015256085.1</t>
  </si>
  <si>
    <t>JCVI_16_bin.7</t>
  </si>
  <si>
    <t>https://ftp.ncbi.nlm.nih.gov/genomes/all/GCA/015/256/085/GCA_015256085.1_ASM1525608v1</t>
  </si>
  <si>
    <t>GCA_015256115.1</t>
  </si>
  <si>
    <t>JCVI_12_bin.8</t>
  </si>
  <si>
    <t>https://ftp.ncbi.nlm.nih.gov/genomes/all/GCA/015/256/115/GCA_015256115.1_ASM1525611v1</t>
  </si>
  <si>
    <t>GCA_015256125.1</t>
  </si>
  <si>
    <t>JCVI_13_bin.4</t>
  </si>
  <si>
    <t>https://ftp.ncbi.nlm.nih.gov/genomes/all/GCA/015/256/125/GCA_015256125.1_ASM1525612v1</t>
  </si>
  <si>
    <t>GCA_015256135.1</t>
  </si>
  <si>
    <t>JCVI_14_bin.12</t>
  </si>
  <si>
    <t>https://ftp.ncbi.nlm.nih.gov/genomes/all/GCA/015/256/135/GCA_015256135.1_ASM1525613v1</t>
  </si>
  <si>
    <t>GCA_015256185.1</t>
  </si>
  <si>
    <t>JCVI_10_bin.4</t>
  </si>
  <si>
    <t>https://ftp.ncbi.nlm.nih.gov/genomes/all/GCA/015/256/185/GCA_015256185.1_ASM1525618v1</t>
  </si>
  <si>
    <t>GCA_015256235.1</t>
  </si>
  <si>
    <t>JCVI_32_bin.35</t>
  </si>
  <si>
    <t>https://ftp.ncbi.nlm.nih.gov/genomes/all/GCA/015/256/235/GCA_015256235.1_ASM1525623v1</t>
  </si>
  <si>
    <t>GCA_015256265.1</t>
  </si>
  <si>
    <t>JCVI_32_bin.14</t>
  </si>
  <si>
    <t>https://ftp.ncbi.nlm.nih.gov/genomes/all/GCA/015/256/265/GCA_015256265.1_ASM1525626v1</t>
  </si>
  <si>
    <t>GCA_015256915.3</t>
  </si>
  <si>
    <t>HMT-400</t>
  </si>
  <si>
    <t>sp. HMT-400</t>
  </si>
  <si>
    <t>JCVI_32_bin.49</t>
  </si>
  <si>
    <t>https://ftp.ncbi.nlm.nih.gov/genomes/all/GCA/015/256/915/GCA_015256915.3_ASM1525691v3</t>
  </si>
  <si>
    <t>GCA_015257395.1</t>
  </si>
  <si>
    <t>JCVI_5_bin.8</t>
  </si>
  <si>
    <t>https://ftp.ncbi.nlm.nih.gov/genomes/all/GCA/015/257/395/GCA_015257395.1_ASM1525739v1</t>
  </si>
  <si>
    <t>GCA_015257445.1</t>
  </si>
  <si>
    <t>JCVI_47_bin.30</t>
  </si>
  <si>
    <t>https://ftp.ncbi.nlm.nih.gov/genomes/all/GCA/015/257/445/GCA_015257445.1_ASM1525744v1</t>
  </si>
  <si>
    <t>GCA_015257455.1</t>
  </si>
  <si>
    <t>JCVI_44_bin.1</t>
  </si>
  <si>
    <t>https://ftp.ncbi.nlm.nih.gov/genomes/all/GCA/015/257/455/GCA_015257455.1_ASM1525745v1</t>
  </si>
  <si>
    <t>GCA_015257485.1</t>
  </si>
  <si>
    <t>JCVI_32_bin.36</t>
  </si>
  <si>
    <t>https://ftp.ncbi.nlm.nih.gov/genomes/all/GCA/015/257/485/GCA_015257485.1_ASM1525748v1</t>
  </si>
  <si>
    <t>JCVI_1_bin.14</t>
  </si>
  <si>
    <t>https://ftp.ncbi.nlm.nih.gov/genomes/all/GCA/015/257/495/GCA_015257495.1_ASM1525749v1</t>
  </si>
  <si>
    <t>GCA_015257505.1</t>
  </si>
  <si>
    <t>JCVI_1_bin.4</t>
  </si>
  <si>
    <t>https://ftp.ncbi.nlm.nih.gov/genomes/all/GCA/015/257/505/GCA_015257505.1_ASM1525750v1</t>
  </si>
  <si>
    <t>GCA_015257545.1</t>
  </si>
  <si>
    <t>JCVI_6_bin.10</t>
  </si>
  <si>
    <t>https://ftp.ncbi.nlm.nih.gov/genomes/all/GCA/015/257/545/GCA_015257545.1_ASM1525754v1</t>
  </si>
  <si>
    <t>GCA_015257555.2</t>
  </si>
  <si>
    <t>JCVI_32_bin.19</t>
  </si>
  <si>
    <t>https://ftp.ncbi.nlm.nih.gov/genomes/all/GCA/015/257/555/GCA_015257555.2_ASM1525755v2</t>
  </si>
  <si>
    <t>GCA_015257575.1</t>
  </si>
  <si>
    <t>JCVI_1_bin.5</t>
  </si>
  <si>
    <t>https://ftp.ncbi.nlm.nih.gov/genomes/all/GCA/015/257/575/GCA_015257575.1_ASM1525757v1</t>
  </si>
  <si>
    <t>GCA_015257605.1</t>
  </si>
  <si>
    <t>JCVI_32_bin.12</t>
  </si>
  <si>
    <t>https://ftp.ncbi.nlm.nih.gov/genomes/all/GCA/015/257/605/GCA_015257605.1_ASM1525760v1</t>
  </si>
  <si>
    <t>GCA_015257615.1</t>
  </si>
  <si>
    <t>JCVI_6_bin.12</t>
  </si>
  <si>
    <t>https://ftp.ncbi.nlm.nih.gov/genomes/all/GCA/015/257/615/GCA_015257615.1_ASM1525761v1</t>
  </si>
  <si>
    <t>JCVI_32_bin.57</t>
  </si>
  <si>
    <t>https://ftp.ncbi.nlm.nih.gov/genomes/all/GCA/015/257/665/GCA_015257665.1_ASM1525766v1</t>
  </si>
  <si>
    <t>GCA_015257725.1</t>
  </si>
  <si>
    <t>HMT-397</t>
  </si>
  <si>
    <t>sp. HMT-397</t>
  </si>
  <si>
    <t>JCVI_32_bin.44</t>
  </si>
  <si>
    <t>https://ftp.ncbi.nlm.nih.gov/genomes/all/GCA/015/257/725/GCA_015257725.1_ASM1525772v1</t>
  </si>
  <si>
    <t>sp. HMT-399</t>
  </si>
  <si>
    <t>JCVI_28_bin.11</t>
  </si>
  <si>
    <t>https://ftp.ncbi.nlm.nih.gov/genomes/all/GCA/015/257/785/GCA_015257785.3_ASM1525778v3</t>
  </si>
  <si>
    <t>JCVI_27_bin.3</t>
  </si>
  <si>
    <t>https://ftp.ncbi.nlm.nih.gov/genomes/all/GCA/015/257/795/GCA_015257795.3_ASM1525779v3</t>
  </si>
  <si>
    <t>.JCVI_1_bin.12</t>
  </si>
  <si>
    <t>https://ftp.ncbi.nlm.nih.gov/genomes/all/GCA/015/257/815/GCA_015257815.1_ASM1525781v1</t>
  </si>
  <si>
    <t>GCA_015258205.1</t>
  </si>
  <si>
    <t>JCVI_11_bin.10</t>
  </si>
  <si>
    <t>https://ftp.ncbi.nlm.nih.gov/genomes/all/GCA/015/258/205/GCA_015258205.1_ASM1525820v1</t>
  </si>
  <si>
    <t>JCVI_11_bin.15</t>
  </si>
  <si>
    <t>https://ftp.ncbi.nlm.nih.gov/genomes/all/GCA/015/259/385/GCA_015259385.1_ASM1525938v1</t>
  </si>
  <si>
    <t>JCVI_38_bin.7</t>
  </si>
  <si>
    <t>https://ftp.ncbi.nlm.nih.gov/genomes/all/GCA/015/259/405/GCA_015259405.1_ASM1525940v1</t>
  </si>
  <si>
    <t>JCVI_32_bin.45</t>
  </si>
  <si>
    <t>https://ftp.ncbi.nlm.nih.gov/genomes/all/GCA/015/259/495/GCA_015259495.1_ASM1525949v1</t>
  </si>
  <si>
    <t>GCA_015259565.1</t>
  </si>
  <si>
    <t>JCVI_32_bin.17</t>
  </si>
  <si>
    <t>https://ftp.ncbi.nlm.nih.gov/genomes/all/GCA/015/259/565/GCA_015259565.1_ASM1525956v1</t>
  </si>
  <si>
    <t>GCA_015259595.1</t>
  </si>
  <si>
    <t>JCVI_44_bin.32</t>
  </si>
  <si>
    <t>https://ftp.ncbi.nlm.nih.gov/genomes/all/GCA/015/259/595/GCA_015259595.1_ASM1525959v1</t>
  </si>
  <si>
    <t>GCA_015259645.1</t>
  </si>
  <si>
    <t>JCVI_32_bin.48</t>
  </si>
  <si>
    <t>https://ftp.ncbi.nlm.nih.gov/genomes/all/GCA/015/259/645/GCA_015259645.1_ASM1525964v1</t>
  </si>
  <si>
    <t>GCA_015259765.1</t>
  </si>
  <si>
    <t>JCVI_36_bin.5</t>
  </si>
  <si>
    <t>https://ftp.ncbi.nlm.nih.gov/genomes/all/GCA/015/259/765/GCA_015259765.1_ASM1525976v1</t>
  </si>
  <si>
    <t>GCA_015259795.1</t>
  </si>
  <si>
    <t>JCVI_32_bin.61</t>
  </si>
  <si>
    <t>https://ftp.ncbi.nlm.nih.gov/genomes/all/GCA/015/259/795/GCA_015259795.1_ASM1525979v1</t>
  </si>
  <si>
    <t>JCVI_44_bin.2</t>
  </si>
  <si>
    <t>https://ftp.ncbi.nlm.nih.gov/genomes/all/GCA/015/259/835/GCA_015259835.1_ASM1525983v1</t>
  </si>
  <si>
    <t>GCA_015259875.1</t>
  </si>
  <si>
    <t>JCVI_35_bin.1</t>
  </si>
  <si>
    <t>https://ftp.ncbi.nlm.nih.gov/genomes/all/GCA/015/259/875/GCA_015259875.1_ASM1525987v1</t>
  </si>
  <si>
    <t>GCA_015259885.1</t>
  </si>
  <si>
    <t>JCVI_32_bin.39</t>
  </si>
  <si>
    <t>https://ftp.ncbi.nlm.nih.gov/genomes/all/GCA/015/259/885/GCA_015259885.1_ASM1525988v1</t>
  </si>
  <si>
    <t>GCA_015259955.1</t>
  </si>
  <si>
    <t>JCVI_41_bin.16</t>
  </si>
  <si>
    <t>https://ftp.ncbi.nlm.nih.gov/genomes/all/GCA/015/259/955/GCA_015259955.1_ASM1525995v1</t>
  </si>
  <si>
    <t>GCA_015259995.1</t>
  </si>
  <si>
    <t>JCVI_31A_bin.2</t>
  </si>
  <si>
    <t>https://ftp.ncbi.nlm.nih.gov/genomes/all/GCA/015/259/995/GCA_015259995.1_ASM1525999v1</t>
  </si>
  <si>
    <t>GCA_015260075.1</t>
  </si>
  <si>
    <t>JCVI_43_bin.8</t>
  </si>
  <si>
    <t>https://ftp.ncbi.nlm.nih.gov/genomes/all/GCA/015/260/075/GCA_015260075.1_ASM1526007v1</t>
  </si>
  <si>
    <t>JCVI_9_bin.4</t>
  </si>
  <si>
    <t>https://ftp.ncbi.nlm.nih.gov/genomes/all/GCA/015/260/265/GCA_015260265.1_ASM1526026v1</t>
  </si>
  <si>
    <t>JCVI_36_bin.6</t>
  </si>
  <si>
    <t>https://ftp.ncbi.nlm.nih.gov/genomes/all/GCA/015/260/355/GCA_015260355.1_ASM1526035v1</t>
  </si>
  <si>
    <t>JCVI_37_bin.4</t>
  </si>
  <si>
    <t>https://ftp.ncbi.nlm.nih.gov/genomes/all/GCA/015/260/375/GCA_015260375.1_ASM1526037v1</t>
  </si>
  <si>
    <t>JCVI_35_bin.7</t>
  </si>
  <si>
    <t>https://ftp.ncbi.nlm.nih.gov/genomes/all/GCA/015/260/395/GCA_015260395.1_ASM1526039v1</t>
  </si>
  <si>
    <t>JCVI_34_bin.5</t>
  </si>
  <si>
    <t>https://ftp.ncbi.nlm.nih.gov/genomes/all/GCA/015/260/405/GCA_015260405.1_ASM1526040v1</t>
  </si>
  <si>
    <t>JCVI_33_bin.7</t>
  </si>
  <si>
    <t>https://ftp.ncbi.nlm.nih.gov/genomes/all/GCA/015/260/455/GCA_015260455.1_ASM1526045v1</t>
  </si>
  <si>
    <t>JCVI_27_bin.6</t>
  </si>
  <si>
    <t>https://ftp.ncbi.nlm.nih.gov/genomes/all/GCA/015/260/465/GCA_015260465.1_ASM1526046v1</t>
  </si>
  <si>
    <t>JCVI_18_bin.4</t>
  </si>
  <si>
    <t>https://ftp.ncbi.nlm.nih.gov/genomes/all/GCA/015/260/495/GCA_015260495.1_ASM1526049v1</t>
  </si>
  <si>
    <t>JCVI_13_bin.7</t>
  </si>
  <si>
    <t>https://ftp.ncbi.nlm.nih.gov/genomes/all/GCA/015/260/605/GCA_015260605.1_ASM1526060v1</t>
  </si>
  <si>
    <t>GCA_015260635.1</t>
  </si>
  <si>
    <t>JCVI_11_bin.12</t>
  </si>
  <si>
    <t>https://ftp.ncbi.nlm.nih.gov/genomes/all/GCA/015/260/635/GCA_015260635.1_ASM1526063v1</t>
  </si>
  <si>
    <t>GCA_015260745.1</t>
  </si>
  <si>
    <t>JCVI_12_bin.21</t>
  </si>
  <si>
    <t>https://ftp.ncbi.nlm.nih.gov/genomes/all/GCA/015/260/745/GCA_015260745.1_ASM1526074v1</t>
  </si>
  <si>
    <t>GCA_015260835.1</t>
  </si>
  <si>
    <t>JCVI_44_bin.17</t>
  </si>
  <si>
    <t>https://ftp.ncbi.nlm.nih.gov/genomes/all/GCA/015/260/835/GCA_015260835.1_ASM1526083v1</t>
  </si>
  <si>
    <t>GCA_015260845.1</t>
  </si>
  <si>
    <t>JCVI_11_bin.5</t>
  </si>
  <si>
    <t>https://ftp.ncbi.nlm.nih.gov/genomes/all/GCA/015/260/845/GCA_015260845.1_ASM1526084v1</t>
  </si>
  <si>
    <t>GCA_015260875.1</t>
  </si>
  <si>
    <t>JCVI_43_bin.5</t>
  </si>
  <si>
    <t>https://ftp.ncbi.nlm.nih.gov/genomes/all/GCA/015/260/875/GCA_015260875.1_ASM1526087v1</t>
  </si>
  <si>
    <t>GCA_015260975.1</t>
  </si>
  <si>
    <t>JCVI_38_bin.4</t>
  </si>
  <si>
    <t>https://ftp.ncbi.nlm.nih.gov/genomes/all/GCA/015/260/975/GCA_015260975.1_ASM1526097v1</t>
  </si>
  <si>
    <t>GCA_015260985.1</t>
  </si>
  <si>
    <t>JCVI_34_bin.6</t>
  </si>
  <si>
    <t>https://ftp.ncbi.nlm.nih.gov/genomes/all/GCA/015/260/985/GCA_015260985.1_ASM1526098v1</t>
  </si>
  <si>
    <t>GCA_015261015.1</t>
  </si>
  <si>
    <t>JCVI_32_bin.26</t>
  </si>
  <si>
    <t>https://ftp.ncbi.nlm.nih.gov/genomes/all/GCA/015/261/015/GCA_015261015.1_ASM1526101v1</t>
  </si>
  <si>
    <t>GCA_015261035.1</t>
  </si>
  <si>
    <t>JCVI_33_bin.16</t>
  </si>
  <si>
    <t>https://ftp.ncbi.nlm.nih.gov/genomes/all/GCA/015/261/035/GCA_015261035.1_ASM1526103v1</t>
  </si>
  <si>
    <t>GCA_015261095.1</t>
  </si>
  <si>
    <t>JCVI_30_bin.2</t>
  </si>
  <si>
    <t>https://ftp.ncbi.nlm.nih.gov/genomes/all/GCA/015/261/095/GCA_015261095.1_ASM1526109v1</t>
  </si>
  <si>
    <t>GCA_015261115.1</t>
  </si>
  <si>
    <t>JCVI_28_bin.12</t>
  </si>
  <si>
    <t>https://ftp.ncbi.nlm.nih.gov/genomes/all/GCA/015/261/115/GCA_015261115.1_ASM1526111v1</t>
  </si>
  <si>
    <t>GCA_015261235.1</t>
  </si>
  <si>
    <t>JCVI_19_bin.4</t>
  </si>
  <si>
    <t>https://ftp.ncbi.nlm.nih.gov/genomes/all/GCA/015/261/235/GCA_015261235.1_ASM1526123v1</t>
  </si>
  <si>
    <t>GCA_015261245.1</t>
  </si>
  <si>
    <t>JCVI_14_bin.2</t>
  </si>
  <si>
    <t>https://ftp.ncbi.nlm.nih.gov/genomes/all/GCA/015/261/245/GCA_015261245.1_ASM1526124v1</t>
  </si>
  <si>
    <t>GCA_015261295.1</t>
  </si>
  <si>
    <t>JCVI_10_bin.2</t>
  </si>
  <si>
    <t>https://ftp.ncbi.nlm.nih.gov/genomes/all/GCA/015/261/295/GCA_015261295.1_ASM1526129v1</t>
  </si>
  <si>
    <t>GCA_015261305.1</t>
  </si>
  <si>
    <t>JCVI_13_bin.5</t>
  </si>
  <si>
    <t>https://ftp.ncbi.nlm.nih.gov/genomes/all/GCA/015/261/305/GCA_015261305.1_ASM1526130v1</t>
  </si>
  <si>
    <t>GCA_015261335.1</t>
  </si>
  <si>
    <t>JCVI_8_bin.11</t>
  </si>
  <si>
    <t>https://ftp.ncbi.nlm.nih.gov/genomes/all/GCA/015/261/335/GCA_015261335.1_ASM1526133v1</t>
  </si>
  <si>
    <t>GCA_015261375.1</t>
  </si>
  <si>
    <t>JCVI_7_bin.6</t>
  </si>
  <si>
    <t>https://ftp.ncbi.nlm.nih.gov/genomes/all/GCA/015/261/375/GCA_015261375.1_ASM1526137v1</t>
  </si>
  <si>
    <t>GCA_015261395.1</t>
  </si>
  <si>
    <t>JCVI_6_bin.9</t>
  </si>
  <si>
    <t>https://ftp.ncbi.nlm.nih.gov/genomes/all/GCA/015/261/395/GCA_015261395.1_ASM1526139v1</t>
  </si>
  <si>
    <t>GCA_015261455.1</t>
  </si>
  <si>
    <t>JCVI_48_bin.20</t>
  </si>
  <si>
    <t>https://ftp.ncbi.nlm.nih.gov/genomes/all/GCA/015/261/455/GCA_015261455.1_ASM1526145v1</t>
  </si>
  <si>
    <t>GCA_015261465.1</t>
  </si>
  <si>
    <t>JCVI_49_bin.21</t>
  </si>
  <si>
    <t>https://ftp.ncbi.nlm.nih.gov/genomes/all/GCA/015/261/465/GCA_015261465.1_ASM1526146v1</t>
  </si>
  <si>
    <t>GCA_015261495.1</t>
  </si>
  <si>
    <t>JCVI_42_bin.5</t>
  </si>
  <si>
    <t>https://ftp.ncbi.nlm.nih.gov/genomes/all/GCA/015/261/495/GCA_015261495.1_ASM1526149v1</t>
  </si>
  <si>
    <t>GCA_015261505.1</t>
  </si>
  <si>
    <t>JCVI_47_bin.25</t>
  </si>
  <si>
    <t>https://ftp.ncbi.nlm.nih.gov/genomes/all/GCA/015/261/505/GCA_015261505.1_ASM1526150v1</t>
  </si>
  <si>
    <t>GCA_015261515.1</t>
  </si>
  <si>
    <t>JCVI_40_bin.16</t>
  </si>
  <si>
    <t>https://ftp.ncbi.nlm.nih.gov/genomes/all/GCA/015/261/515/GCA_015261515.1_ASM1526151v1</t>
  </si>
  <si>
    <t>GCA_015261555.1</t>
  </si>
  <si>
    <t>JCVI_38_bin.1</t>
  </si>
  <si>
    <t>https://ftp.ncbi.nlm.nih.gov/genomes/all/GCA/015/261/555/GCA_015261555.1_ASM1526155v1</t>
  </si>
  <si>
    <t>GCA_015261585.1</t>
  </si>
  <si>
    <t>JCVI_34_bin.7</t>
  </si>
  <si>
    <t>https://ftp.ncbi.nlm.nih.gov/genomes/all/GCA/015/261/585/GCA_015261585.1_ASM1526158v1</t>
  </si>
  <si>
    <t>GCA_015261615.1</t>
  </si>
  <si>
    <t>JCVI_33_bin.2</t>
  </si>
  <si>
    <t>https://ftp.ncbi.nlm.nih.gov/genomes/all/GCA/015/261/615/GCA_015261615.1_ASM1526161v1</t>
  </si>
  <si>
    <t>GCA_015261625.1</t>
  </si>
  <si>
    <t>JCVI_32_bin.58</t>
  </si>
  <si>
    <t>https://ftp.ncbi.nlm.nih.gov/genomes/all/GCA/015/261/625/GCA_015261625.1_ASM1526162v1</t>
  </si>
  <si>
    <t>GCA_015261645.1</t>
  </si>
  <si>
    <t>JCVI_30_bin.10</t>
  </si>
  <si>
    <t>https://ftp.ncbi.nlm.nih.gov/genomes/all/GCA/015/261/645/GCA_015261645.1_ASM1526164v1</t>
  </si>
  <si>
    <t>GCA_015261675.1</t>
  </si>
  <si>
    <t>JCVI_28_bin.2</t>
  </si>
  <si>
    <t>https://ftp.ncbi.nlm.nih.gov/genomes/all/GCA/015/261/675/GCA_015261675.1_ASM1526167v1</t>
  </si>
  <si>
    <t>GCA_015261695.1</t>
  </si>
  <si>
    <t>JCVI_26_bin.7</t>
  </si>
  <si>
    <t>https://ftp.ncbi.nlm.nih.gov/genomes/all/GCA/015/261/695/GCA_015261695.1_ASM1526169v1</t>
  </si>
  <si>
    <t>GCA_015261705.1</t>
  </si>
  <si>
    <t>JCVI_29_bin.5</t>
  </si>
  <si>
    <t>https://ftp.ncbi.nlm.nih.gov/genomes/all/GCA/015/261/705/GCA_015261705.1_ASM1526170v1</t>
  </si>
  <si>
    <t>GCA_015261715.1</t>
  </si>
  <si>
    <t>JCVI_27_bin.4</t>
  </si>
  <si>
    <t>https://ftp.ncbi.nlm.nih.gov/genomes/all/GCA/015/261/715/GCA_015261715.1_ASM1526171v1</t>
  </si>
  <si>
    <t>GCA_015261725.1</t>
  </si>
  <si>
    <t>JCVI_25_bin.14</t>
  </si>
  <si>
    <t>https://ftp.ncbi.nlm.nih.gov/genomes/all/GCA/015/261/725/GCA_015261725.1_ASM1526172v1</t>
  </si>
  <si>
    <t>GCA_015261775.1</t>
  </si>
  <si>
    <t>JCVI_24_bin.6</t>
  </si>
  <si>
    <t>https://ftp.ncbi.nlm.nih.gov/genomes/all/GCA/015/261/775/GCA_015261775.1_ASM1526177v1</t>
  </si>
  <si>
    <t>GCA_015261795.1</t>
  </si>
  <si>
    <t>JCVI_22A_bin.10</t>
  </si>
  <si>
    <t>https://ftp.ncbi.nlm.nih.gov/genomes/all/GCA/015/261/795/GCA_015261795.1_ASM1526179v1</t>
  </si>
  <si>
    <t>GCA_015261835.1</t>
  </si>
  <si>
    <t>JCVI_19_bin.10</t>
  </si>
  <si>
    <t>https://ftp.ncbi.nlm.nih.gov/genomes/all/GCA/015/261/835/GCA_015261835.1_ASM1526183v1</t>
  </si>
  <si>
    <t>GCA_015261845.1</t>
  </si>
  <si>
    <t>JCVI_1_bin.7</t>
  </si>
  <si>
    <t>https://ftp.ncbi.nlm.nih.gov/genomes/all/GCA/015/261/845/GCA_015261845.1_ASM1526184v1</t>
  </si>
  <si>
    <t>GCA_015261905.1</t>
  </si>
  <si>
    <t>JCVI_18_bin.3</t>
  </si>
  <si>
    <t>https://ftp.ncbi.nlm.nih.gov/genomes/all/GCA/015/261/905/GCA_015261905.1_ASM1526190v1</t>
  </si>
  <si>
    <t>GCA_015261915.1</t>
  </si>
  <si>
    <t>JCVI_13_bin.11</t>
  </si>
  <si>
    <t>https://ftp.ncbi.nlm.nih.gov/genomes/all/GCA/015/261/915/GCA_015261915.1_ASM1526191v1</t>
  </si>
  <si>
    <t>GCA_015261925.1</t>
  </si>
  <si>
    <t>JCVI_17_bin.7</t>
  </si>
  <si>
    <t>https://ftp.ncbi.nlm.nih.gov/genomes/all/GCA/015/261/925/GCA_015261925.1_ASM1526192v1</t>
  </si>
  <si>
    <t>GCA_015261945.1</t>
  </si>
  <si>
    <t>JCVI_14_bin.8</t>
  </si>
  <si>
    <t>https://ftp.ncbi.nlm.nih.gov/genomes/all/GCA/015/261/945/GCA_015261945.1_ASM1526194v1</t>
  </si>
  <si>
    <t>GCA_015261995.1</t>
  </si>
  <si>
    <t>JCVI_12_bin.15</t>
  </si>
  <si>
    <t>https://ftp.ncbi.nlm.nih.gov/genomes/all/GCA/015/261/995/GCA_015261995.1_ASM1526199v1</t>
  </si>
  <si>
    <t>GCA_015262005.1</t>
  </si>
  <si>
    <t>JCVI_10_bin.10</t>
  </si>
  <si>
    <t>https://ftp.ncbi.nlm.nih.gov/genomes/all/GCA/015/262/005/GCA_015262005.1_ASM1526200v1</t>
  </si>
  <si>
    <t>GCA_015262065.1</t>
  </si>
  <si>
    <t>JCVI_11_bin.16</t>
  </si>
  <si>
    <t>https://ftp.ncbi.nlm.nih.gov/genomes/all/GCA/015/262/065/GCA_015262065.1_ASM1526206v1</t>
  </si>
  <si>
    <t>GCA_015262115.1</t>
  </si>
  <si>
    <t>JCVI_32_bin.50</t>
  </si>
  <si>
    <t>https://ftp.ncbi.nlm.nih.gov/genomes/all/GCA/015/262/115/GCA_015262115.1_ASM1526211v1</t>
  </si>
  <si>
    <t>GCA_015262135.1</t>
  </si>
  <si>
    <t>JCVI_44_bin.6</t>
  </si>
  <si>
    <t>https://ftp.ncbi.nlm.nih.gov/genomes/all/GCA/015/262/135/GCA_015262135.1_ASM1526213v1</t>
  </si>
  <si>
    <t>GCA_015262145.1</t>
  </si>
  <si>
    <t>JCVI_49_bin.8</t>
  </si>
  <si>
    <t>https://ftp.ncbi.nlm.nih.gov/genomes/all/GCA/015/262/145/GCA_015262145.1_ASM1526214v1</t>
  </si>
  <si>
    <t>GCA_015262195.1</t>
  </si>
  <si>
    <t>JCVI_41_bin.4</t>
  </si>
  <si>
    <t>https://ftp.ncbi.nlm.nih.gov/genomes/all/GCA/015/262/195/GCA_015262195.1_ASM1526219v1</t>
  </si>
  <si>
    <t>GCA_015262225.1</t>
  </si>
  <si>
    <t>JCVI_38_bin.6</t>
  </si>
  <si>
    <t>https://ftp.ncbi.nlm.nih.gov/genomes/all/GCA/015/262/225/GCA_015262225.1_ASM1526222v1</t>
  </si>
  <si>
    <t>GCA_015262265.1</t>
  </si>
  <si>
    <t>JCVI_32_bin.47</t>
  </si>
  <si>
    <t>https://ftp.ncbi.nlm.nih.gov/genomes/all/GCA/015/262/265/GCA_015262265.1_ASM1526226v1</t>
  </si>
  <si>
    <t>GCA_015262295.1</t>
  </si>
  <si>
    <t>JCVI_19_bin.2</t>
  </si>
  <si>
    <t>https://ftp.ncbi.nlm.nih.gov/genomes/all/GCA/015/262/295/GCA_015262295.1_ASM1526229v1</t>
  </si>
  <si>
    <t>JCVI_9_bin.7</t>
  </si>
  <si>
    <t>https://ftp.ncbi.nlm.nih.gov/genomes/all/GCA/015/262/355/GCA_015262355.1_ASM1526235v1</t>
  </si>
  <si>
    <t>JCVI_41_bin.15</t>
  </si>
  <si>
    <t>https://ftp.ncbi.nlm.nih.gov/genomes/all/GCA/015/262/365/GCA_015262365.1_ASM1526236v1</t>
  </si>
  <si>
    <t>JCVI_7_bin.12</t>
  </si>
  <si>
    <t>https://ftp.ncbi.nlm.nih.gov/genomes/all/GCA/015/262/395/GCA_015262395.1_ASM1526239v1</t>
  </si>
  <si>
    <t>JCVI_43_bin.10</t>
  </si>
  <si>
    <t>https://ftp.ncbi.nlm.nih.gov/genomes/all/GCA/015/262/435/GCA_015262435.1_ASM1526243v1</t>
  </si>
  <si>
    <t>JCVI_37_bin.5</t>
  </si>
  <si>
    <t>https://ftp.ncbi.nlm.nih.gov/genomes/all/GCA/015/262/445/GCA_015262445.1_ASM1526244v1</t>
  </si>
  <si>
    <t>JCVI_31A_bin.21</t>
  </si>
  <si>
    <t>https://ftp.ncbi.nlm.nih.gov/genomes/all/GCA/015/262/505/GCA_015262505.1_ASM1526250v1</t>
  </si>
  <si>
    <t>JCVI_23_bin.9</t>
  </si>
  <si>
    <t>https://ftp.ncbi.nlm.nih.gov/genomes/all/GCA/015/262/545/GCA_015262545.1_ASM1526254v1</t>
  </si>
  <si>
    <t>GCA_015262605.1</t>
  </si>
  <si>
    <t>JCVI_44_bin.5</t>
  </si>
  <si>
    <t>https://ftp.ncbi.nlm.nih.gov/genomes/all/GCA/015/262/605/GCA_015262605.1_ASM1526260v1</t>
  </si>
  <si>
    <t>JCVI_10_bin.9</t>
  </si>
  <si>
    <t>https://ftp.ncbi.nlm.nih.gov/genomes/all/GCA/015/262/625/GCA_015262625.1_ASM1526262v1</t>
  </si>
  <si>
    <t>JCVI_32_bin.7</t>
  </si>
  <si>
    <t>https://ftp.ncbi.nlm.nih.gov/genomes/all/GCA/015/262/675/GCA_015262675.1_ASM1526267v1</t>
  </si>
  <si>
    <t>GCA_015262695.1</t>
  </si>
  <si>
    <t>JCVI_34_bin.10</t>
  </si>
  <si>
    <t>https://ftp.ncbi.nlm.nih.gov/genomes/all/GCA/015/262/695/GCA_015262695.1_ASM1526269v1</t>
  </si>
  <si>
    <t>GCA_015262735.1</t>
  </si>
  <si>
    <t>JCVI_1_bin.6</t>
  </si>
  <si>
    <t>https://ftp.ncbi.nlm.nih.gov/genomes/all/GCA/015/262/735/GCA_015262735.1_ASM1526273v1</t>
  </si>
  <si>
    <t>GCA_015262745.1</t>
  </si>
  <si>
    <t>JCVI_12_bin.11</t>
  </si>
  <si>
    <t>https://ftp.ncbi.nlm.nih.gov/genomes/all/GCA/015/262/745/GCA_015262745.1_ASM1526274v1</t>
  </si>
  <si>
    <t>GCA_015262805.1</t>
  </si>
  <si>
    <t>JCVI_36_bin.1</t>
  </si>
  <si>
    <t>https://ftp.ncbi.nlm.nih.gov/genomes/all/GCA/015/262/805/GCA_015262805.1_ASM1526280v1</t>
  </si>
  <si>
    <t>GCA_015262835.1</t>
  </si>
  <si>
    <t>JCVI_26_bin.3</t>
  </si>
  <si>
    <t>https://ftp.ncbi.nlm.nih.gov/genomes/all/GCA/015/262/835/GCA_015262835.1_ASM1526283v1</t>
  </si>
  <si>
    <t>GCA_015262895.1</t>
  </si>
  <si>
    <t>JCVI_4_bin.4</t>
  </si>
  <si>
    <t>https://ftp.ncbi.nlm.nih.gov/genomes/all/GCA/015/262/895/GCA_015262895.1_ASM1526289v1</t>
  </si>
  <si>
    <t>GCA_015262915.1</t>
  </si>
  <si>
    <t>JCVI_41_bin.6</t>
  </si>
  <si>
    <t>https://ftp.ncbi.nlm.nih.gov/genomes/all/GCA/015/262/915/GCA_015262915.1_ASM1526291v1</t>
  </si>
  <si>
    <t>GCA_015262925.1</t>
  </si>
  <si>
    <t>JCVI_49_bin.7</t>
  </si>
  <si>
    <t>https://ftp.ncbi.nlm.nih.gov/genomes/all/GCA/015/262/925/GCA_015262925.1_ASM1526292v1</t>
  </si>
  <si>
    <t>GCA_015262975.1</t>
  </si>
  <si>
    <t>JCVI_38_bin.12</t>
  </si>
  <si>
    <t>https://ftp.ncbi.nlm.nih.gov/genomes/all/GCA/015/262/975/GCA_015262975.1_ASM1526297v1</t>
  </si>
  <si>
    <t>GCA_015263015.1</t>
  </si>
  <si>
    <t>JCVI_28_bin.3</t>
  </si>
  <si>
    <t>https://ftp.ncbi.nlm.nih.gov/genomes/all/GCA/015/263/015/GCA_015263015.1_ASM1526301v1</t>
  </si>
  <si>
    <t>GCA_015263045.1</t>
  </si>
  <si>
    <t>JCVI_37_bin.10</t>
  </si>
  <si>
    <t>https://ftp.ncbi.nlm.nih.gov/genomes/all/GCA/015/263/045/GCA_015263045.1_ASM1526304v1</t>
  </si>
  <si>
    <t>GCA_015263095.1</t>
  </si>
  <si>
    <t>JCVI_18_bin.8</t>
  </si>
  <si>
    <t>https://ftp.ncbi.nlm.nih.gov/genomes/all/GCA/015/263/095/GCA_015263095.1_ASM1526309v1</t>
  </si>
  <si>
    <t>GCA_015263105.1</t>
  </si>
  <si>
    <t>JCVI_17_bin.5</t>
  </si>
  <si>
    <t>https://ftp.ncbi.nlm.nih.gov/genomes/all/GCA/015/263/105/GCA_015263105.1_ASM1526310v1</t>
  </si>
  <si>
    <t>GCA_015263125.1</t>
  </si>
  <si>
    <t>JCVI_22A_bin.8</t>
  </si>
  <si>
    <t>https://ftp.ncbi.nlm.nih.gov/genomes/all/GCA/015/263/125/GCA_015263125.1_ASM1526312v1</t>
  </si>
  <si>
    <t>GCA_015263205.1</t>
  </si>
  <si>
    <t>JCVI_32_bin.37</t>
  </si>
  <si>
    <t>https://ftp.ncbi.nlm.nih.gov/genomes/all/GCA/015/263/205/GCA_015263205.1_ASM1526320v1</t>
  </si>
  <si>
    <t>GCA_015263215.1</t>
  </si>
  <si>
    <t>JCVI_11_bin.14</t>
  </si>
  <si>
    <t>https://ftp.ncbi.nlm.nih.gov/genomes/all/GCA/015/263/215/GCA_015263215.1_ASM1526321v1</t>
  </si>
  <si>
    <t>GCA_015263255.1</t>
  </si>
  <si>
    <t>JCVI_24_bin.16</t>
  </si>
  <si>
    <t>https://ftp.ncbi.nlm.nih.gov/genomes/all/GCA/015/263/255/GCA_015263255.1_ASM1526325v1</t>
  </si>
  <si>
    <t>GCA_015263295.1</t>
  </si>
  <si>
    <t>JCVI_23_bin.11</t>
  </si>
  <si>
    <t>https://ftp.ncbi.nlm.nih.gov/genomes/all/GCA/015/263/295/GCA_015263295.1_ASM1526329v1</t>
  </si>
  <si>
    <t>GCA_015263305.1</t>
  </si>
  <si>
    <t>JCVI_38_bin.19</t>
  </si>
  <si>
    <t>https://ftp.ncbi.nlm.nih.gov/genomes/all/GCA/015/263/305/GCA_015263305.1_ASM1526330v1</t>
  </si>
  <si>
    <t>GCA_015263375.1</t>
  </si>
  <si>
    <t>JCVI_39_bin.16</t>
  </si>
  <si>
    <t>https://ftp.ncbi.nlm.nih.gov/genomes/all/GCA/015/263/375/GCA_015263375.1_ASM1526337v1</t>
  </si>
  <si>
    <t>GCA_015263395.1</t>
  </si>
  <si>
    <t>JCVI_22A_bin.7</t>
  </si>
  <si>
    <t>https://ftp.ncbi.nlm.nih.gov/genomes/all/GCA/015/263/395/GCA_015263395.1_ASM1526339v1</t>
  </si>
  <si>
    <t>GCA_015263535.1</t>
  </si>
  <si>
    <t>JCVI_32_bin.62</t>
  </si>
  <si>
    <t>https://ftp.ncbi.nlm.nih.gov/genomes/all/GCA/015/263/535/GCA_015263535.1_ASM1526353v1</t>
  </si>
  <si>
    <t>GCA_015263545.1</t>
  </si>
  <si>
    <t>JCVI_46_bin.6</t>
  </si>
  <si>
    <t>https://ftp.ncbi.nlm.nih.gov/genomes/all/GCA/015/263/545/GCA_015263545.1_ASM1526354v1</t>
  </si>
  <si>
    <t>GCA_015263565.1</t>
  </si>
  <si>
    <t>JCVI_32_bin.25</t>
  </si>
  <si>
    <t>https://ftp.ncbi.nlm.nih.gov/genomes/all/GCA/015/263/565/GCA_015263565.1_ASM1526356v1</t>
  </si>
  <si>
    <t>GCA_015263585.1</t>
  </si>
  <si>
    <t>JCVI_49_bin.18</t>
  </si>
  <si>
    <t>https://ftp.ncbi.nlm.nih.gov/genomes/all/GCA/015/263/585/GCA_015263585.1_ASM1526358v1</t>
  </si>
  <si>
    <t>GCA_015263615.1</t>
  </si>
  <si>
    <t>JCVI_47_bin.23</t>
  </si>
  <si>
    <t>https://ftp.ncbi.nlm.nih.gov/genomes/all/GCA/015/263/615/GCA_015263615.1_ASM1526361v1</t>
  </si>
  <si>
    <t>GCA_015263645.1</t>
  </si>
  <si>
    <t>JCVI_8_bin.1</t>
  </si>
  <si>
    <t>https://ftp.ncbi.nlm.nih.gov/genomes/all/GCA/015/263/645/GCA_015263645.1_ASM1526364v1</t>
  </si>
  <si>
    <t>GCA_015263665.1</t>
  </si>
  <si>
    <t>JCVI_41_bin.5</t>
  </si>
  <si>
    <t>https://ftp.ncbi.nlm.nih.gov/genomes/all/GCA/015/263/665/GCA_015263665.1_ASM1526366v1</t>
  </si>
  <si>
    <t>GCA_015263765.1</t>
  </si>
  <si>
    <t>JCVI_23_bin.10</t>
  </si>
  <si>
    <t>https://ftp.ncbi.nlm.nih.gov/genomes/all/GCA/015/263/765/GCA_015263765.1_ASM1526376v1</t>
  </si>
  <si>
    <t>GCA_015263815.1</t>
  </si>
  <si>
    <t>JCVI_12_bin.13</t>
  </si>
  <si>
    <t>https://ftp.ncbi.nlm.nih.gov/genomes/all/GCA/015/263/815/GCA_015263815.1_ASM1526381v1</t>
  </si>
  <si>
    <t>GCA_015263935.1</t>
  </si>
  <si>
    <t>JCVI_43_bin.7</t>
  </si>
  <si>
    <t>https://ftp.ncbi.nlm.nih.gov/genomes/all/GCA/015/263/935/GCA_015263935.1_ASM1526393v1</t>
  </si>
  <si>
    <t>GCA_015263965.1</t>
  </si>
  <si>
    <t>JCVI_40_bin.9</t>
  </si>
  <si>
    <t>https://ftp.ncbi.nlm.nih.gov/genomes/all/GCA/015/263/965/GCA_015263965.1_ASM1526396v1</t>
  </si>
  <si>
    <t>GCA_015263995.1</t>
  </si>
  <si>
    <t>JCVI_38_bin.8</t>
  </si>
  <si>
    <t>https://ftp.ncbi.nlm.nih.gov/genomes/all/GCA/015/263/995/GCA_015263995.1_ASM1526399v1</t>
  </si>
  <si>
    <t>GCA_015264035.1</t>
  </si>
  <si>
    <t>JCVI_32_bin.5</t>
  </si>
  <si>
    <t>https://ftp.ncbi.nlm.nih.gov/genomes/all/GCA/015/264/035/GCA_015264035.1_ASM1526403v1</t>
  </si>
  <si>
    <t>GCA_015264065.1</t>
  </si>
  <si>
    <t>JCVI_23_bin.31</t>
  </si>
  <si>
    <t>https://ftp.ncbi.nlm.nih.gov/genomes/all/GCA/015/264/065/GCA_015264065.1_ASM1526406v1</t>
  </si>
  <si>
    <t>GCA_015264395.1</t>
  </si>
  <si>
    <t>JCVI_44_bin.18</t>
  </si>
  <si>
    <t>https://ftp.ncbi.nlm.nih.gov/genomes/all/GCA/015/264/395/GCA_015264395.1_ASM1526439v1</t>
  </si>
  <si>
    <t>GCA_015264435.1</t>
  </si>
  <si>
    <t>JCVI_39_bin.2</t>
  </si>
  <si>
    <t>https://ftp.ncbi.nlm.nih.gov/genomes/all/GCA/015/264/435/GCA_015264435.1_ASM1526443v1</t>
  </si>
  <si>
    <t>GCA_015264545.1</t>
  </si>
  <si>
    <t>JCVI_43_bin.2</t>
  </si>
  <si>
    <t>https://ftp.ncbi.nlm.nih.gov/genomes/all/GCA/015/264/545/GCA_015264545.1_ASM1526454v1</t>
  </si>
  <si>
    <t>GCA_015273425.1</t>
  </si>
  <si>
    <t>R5991</t>
  </si>
  <si>
    <t>https://ftp.ncbi.nlm.nih.gov/genomes/all/GCA/015/273/425/GCA_015273425.1_ASM1527342v1</t>
  </si>
  <si>
    <t>GCA_015273445.1</t>
  </si>
  <si>
    <t>R5992</t>
  </si>
  <si>
    <t>https://ftp.ncbi.nlm.nih.gov/genomes/all/GCA/015/273/445/GCA_015273445.1_ASM1527344v1</t>
  </si>
  <si>
    <t>GCA_015273475.1</t>
  </si>
  <si>
    <t>R5990</t>
  </si>
  <si>
    <t>https://ftp.ncbi.nlm.nih.gov/genomes/all/GCA/015/273/475/GCA_015273475.1_ASM1527347v1</t>
  </si>
  <si>
    <t>GCA_015273915.1</t>
  </si>
  <si>
    <t>R6013</t>
  </si>
  <si>
    <t>https://ftp.ncbi.nlm.nih.gov/genomes/all/GCA/015/273/915/GCA_015273915.1_ASM1527391v1</t>
  </si>
  <si>
    <t>GCA_015273975.1</t>
  </si>
  <si>
    <t>R6012</t>
  </si>
  <si>
    <t>https://ftp.ncbi.nlm.nih.gov/genomes/all/GCA/015/273/975/GCA_015273975.1_ASM1527397v1</t>
  </si>
  <si>
    <t>GCA_015273985.1</t>
  </si>
  <si>
    <t>R5945</t>
  </si>
  <si>
    <t>https://ftp.ncbi.nlm.nih.gov/genomes/all/GCA/015/273/985/GCA_015273985.1_ASM1527398v1</t>
  </si>
  <si>
    <t>GCA_015273995.1</t>
  </si>
  <si>
    <t>R5946</t>
  </si>
  <si>
    <t>https://ftp.ncbi.nlm.nih.gov/genomes/all/GCA/015/273/995/GCA_015273995.1_ASM1527399v1</t>
  </si>
  <si>
    <t>GCA_015274025.1</t>
  </si>
  <si>
    <t>R5944</t>
  </si>
  <si>
    <t>https://ftp.ncbi.nlm.nih.gov/genomes/all/GCA/015/274/025/GCA_015274025.1_ASM1527402v1</t>
  </si>
  <si>
    <t>GCA_015274055.1</t>
  </si>
  <si>
    <t>R5943</t>
  </si>
  <si>
    <t>https://ftp.ncbi.nlm.nih.gov/genomes/all/GCA/015/274/055/GCA_015274055.1_ASM1527405v1</t>
  </si>
  <si>
    <t>GCA_015274065.1</t>
  </si>
  <si>
    <t>R6028</t>
  </si>
  <si>
    <t>https://ftp.ncbi.nlm.nih.gov/genomes/all/GCA/015/274/065/GCA_015274065.1_ASM1527406v1</t>
  </si>
  <si>
    <t>GCA_015274095.1</t>
  </si>
  <si>
    <t>R5942</t>
  </si>
  <si>
    <t>https://ftp.ncbi.nlm.nih.gov/genomes/all/GCA/015/274/095/GCA_015274095.1_ASM1527409v1</t>
  </si>
  <si>
    <t>GCA_015274105.1</t>
  </si>
  <si>
    <t>R6027</t>
  </si>
  <si>
    <t>https://ftp.ncbi.nlm.nih.gov/genomes/all/GCA/015/274/105/GCA_015274105.1_ASM1527410v1</t>
  </si>
  <si>
    <t>GCA_015274115.1</t>
  </si>
  <si>
    <t>R6026</t>
  </si>
  <si>
    <t>https://ftp.ncbi.nlm.nih.gov/genomes/all/GCA/015/274/115/GCA_015274115.1_ASM1527411v1</t>
  </si>
  <si>
    <t>GCA_015274175.1</t>
  </si>
  <si>
    <t>R6024</t>
  </si>
  <si>
    <t>https://ftp.ncbi.nlm.nih.gov/genomes/all/GCA/015/274/175/GCA_015274175.1_ASM1527417v1</t>
  </si>
  <si>
    <t>GCA_015274185.1</t>
  </si>
  <si>
    <t>R6023</t>
  </si>
  <si>
    <t>https://ftp.ncbi.nlm.nih.gov/genomes/all/GCA/015/274/185/GCA_015274185.1_ASM1527418v1</t>
  </si>
  <si>
    <t>GCA_015274675.1</t>
  </si>
  <si>
    <t>R6016</t>
  </si>
  <si>
    <t>https://ftp.ncbi.nlm.nih.gov/genomes/all/GCA/015/274/675/GCA_015274675.1_ASM1527467v1</t>
  </si>
  <si>
    <t>GCA_015291305.1</t>
  </si>
  <si>
    <t>CCBAU 21365</t>
  </si>
  <si>
    <t>https://ftp.ncbi.nlm.nih.gov/genomes/all/GCA/015/291/305/GCA_015291305.1_ASM1529130v1</t>
  </si>
  <si>
    <t>GCA_015291885.1</t>
  </si>
  <si>
    <t>ATCC 14405</t>
  </si>
  <si>
    <t>https://ftp.ncbi.nlm.nih.gov/genomes/all/GCA/015/291/885/GCA_015291885.1_ASM1529188v1</t>
  </si>
  <si>
    <t>GCA_015326085.1</t>
  </si>
  <si>
    <t>ssch2</t>
  </si>
  <si>
    <t>https://ftp.ncbi.nlm.nih.gov/genomes/all/GCA/015/326/085/GCA_015326085.1_ASM1532608v1</t>
  </si>
  <si>
    <t>GCA_015326295.1</t>
  </si>
  <si>
    <t>PBO</t>
  </si>
  <si>
    <t>https://ftp.ncbi.nlm.nih.gov/genomes/all/GCA/015/326/295/GCA_015326295.1_ASM1532629v1</t>
  </si>
  <si>
    <t>GCA_015326545.1</t>
  </si>
  <si>
    <t>ssch3</t>
  </si>
  <si>
    <t>https://ftp.ncbi.nlm.nih.gov/genomes/all/GCA/015/326/545/GCA_015326545.1_ASM1532654v1</t>
  </si>
  <si>
    <t>JZ28</t>
  </si>
  <si>
    <t>https://ftp.ncbi.nlm.nih.gov/genomes/all/GCA/015/327/065/GCA_015327065.1_ASM1532706v1</t>
  </si>
  <si>
    <t>GCA_015336085.1</t>
  </si>
  <si>
    <t>C-781</t>
  </si>
  <si>
    <t>https://ftp.ncbi.nlm.nih.gov/genomes/all/GCA/015/336/085/GCA_015336085.1_ASM1533608v1</t>
  </si>
  <si>
    <t>GCA_015354135.1</t>
  </si>
  <si>
    <t>JCVI_32_bin.21</t>
  </si>
  <si>
    <t>https://ftp.ncbi.nlm.nih.gov/genomes/all/GCA/015/354/135/GCA_015354135.1_ASM1535413v1</t>
  </si>
  <si>
    <t>GCA_015377505.1</t>
  </si>
  <si>
    <t>TK-J6A</t>
  </si>
  <si>
    <t>https://ftp.ncbi.nlm.nih.gov/genomes/all/GCA/015/377/505/GCA_015377505.1_ASM1537750v1</t>
  </si>
  <si>
    <t>GCA_015476095.1</t>
  </si>
  <si>
    <t>MGB0470</t>
  </si>
  <si>
    <t>https://ftp.ncbi.nlm.nih.gov/genomes/all/GCA/015/476/095/GCA_015476095.1_ASM1547609v1</t>
  </si>
  <si>
    <t>GCA_015476235.1</t>
  </si>
  <si>
    <t>https://ftp.ncbi.nlm.nih.gov/genomes/all/GCA/015/476/235/GCA_015476235.1_ASM1547623v1</t>
  </si>
  <si>
    <t>GCA_015546865.1</t>
  </si>
  <si>
    <t>1001254J_160919_B12</t>
  </si>
  <si>
    <t>https://ftp.ncbi.nlm.nih.gov/genomes/all/GCA/015/546/865/GCA_015546865.1_ASM1554686v1</t>
  </si>
  <si>
    <t>GCA_015546995.1</t>
  </si>
  <si>
    <t>D6t1_180914_B1</t>
  </si>
  <si>
    <t>https://ftp.ncbi.nlm.nih.gov/genomes/all/GCA/015/546/995/GCA_015546995.1_ASM1554699v1</t>
  </si>
  <si>
    <t>GCA_015547025.1</t>
  </si>
  <si>
    <t>1001216B_150713_A10</t>
  </si>
  <si>
    <t>https://ftp.ncbi.nlm.nih.gov/genomes/all/GCA/015/547/025/GCA_015547025.1_ASM1554702v1</t>
  </si>
  <si>
    <t>GCA_015547285.1</t>
  </si>
  <si>
    <t>BSD2780120874b_170522_B1</t>
  </si>
  <si>
    <t>https://ftp.ncbi.nlm.nih.gov/genomes/all/GCA/015/547/285/GCA_015547285.1_ASM1554728v1</t>
  </si>
  <si>
    <t>GCA_015547645.1</t>
  </si>
  <si>
    <t>1001713B170131_170501_D7</t>
  </si>
  <si>
    <t>https://ftp.ncbi.nlm.nih.gov/genomes/all/GCA/015/547/645/GCA_015547645.1_ASM1554764v1</t>
  </si>
  <si>
    <t>GCA_015548525.1</t>
  </si>
  <si>
    <t>J1101437_171009_F1</t>
  </si>
  <si>
    <t>https://ftp.ncbi.nlm.nih.gov/genomes/all/GCA/015/548/525/GCA_015548525.1_ASM1554852v1</t>
  </si>
  <si>
    <t>BSD2780120874b_170522_H2</t>
  </si>
  <si>
    <t>https://ftp.ncbi.nlm.nih.gov/genomes/all/GCA/015/548/615/GCA_015548615.1_ASM1554861v1</t>
  </si>
  <si>
    <t>GCA_015548685.1</t>
  </si>
  <si>
    <t>BSD2780120874b_170522_E5</t>
  </si>
  <si>
    <t>https://ftp.ncbi.nlm.nih.gov/genomes/all/GCA/015/548/685/GCA_015548685.1_ASM1554868v1</t>
  </si>
  <si>
    <t>GCA_015549455.1</t>
  </si>
  <si>
    <t>1001287H_170206_F3</t>
  </si>
  <si>
    <t>https://ftp.ncbi.nlm.nih.gov/genomes/all/GCA/015/549/455/GCA_015549455.1_ASM1554945v1</t>
  </si>
  <si>
    <t>GCA_015549975.1</t>
  </si>
  <si>
    <t>1001295B_180824_H5</t>
  </si>
  <si>
    <t>https://ftp.ncbi.nlm.nih.gov/genomes/all/GCA/015/549/975/GCA_015549975.1_ASM1554997v1</t>
  </si>
  <si>
    <t>GCA_015551585.1</t>
  </si>
  <si>
    <t>D53t1_180928_G12</t>
  </si>
  <si>
    <t>https://ftp.ncbi.nlm.nih.gov/genomes/all/GCA/015/551/585/GCA_015551585.1_ASM1555158v1</t>
  </si>
  <si>
    <t>GCA_015552485.1</t>
  </si>
  <si>
    <t>1001713B170207_170306_F12</t>
  </si>
  <si>
    <t>https://ftp.ncbi.nlm.nih.gov/genomes/all/GCA/015/552/485/GCA_015552485.1_ASM1555248v1</t>
  </si>
  <si>
    <t>GCA_015552565.1</t>
  </si>
  <si>
    <t>D6t1_180914_F1</t>
  </si>
  <si>
    <t>https://ftp.ncbi.nlm.nih.gov/genomes/all/GCA/015/552/565/GCA_015552565.1_ASM1555256v1</t>
  </si>
  <si>
    <t>GCA_015552665.1</t>
  </si>
  <si>
    <t>1001283B150225_161107_H12</t>
  </si>
  <si>
    <t>https://ftp.ncbi.nlm.nih.gov/genomes/all/GCA/015/552/665/GCA_015552665.1_ASM1555266v1</t>
  </si>
  <si>
    <t>GCA_015552935.1</t>
  </si>
  <si>
    <t>HMT-447</t>
  </si>
  <si>
    <t>simiae</t>
  </si>
  <si>
    <t>1001295B_180824_G3</t>
  </si>
  <si>
    <t>https://ftp.ncbi.nlm.nih.gov/genomes/all/GCA/015/552/935/GCA_015552935.1_ASM1555293v1</t>
  </si>
  <si>
    <t>GCA_015553015.1</t>
  </si>
  <si>
    <t>J1101437_171009_E6</t>
  </si>
  <si>
    <t>https://ftp.ncbi.nlm.nih.gov/genomes/all/GCA/015/553/015/GCA_015553015.1_ASM1555301v1</t>
  </si>
  <si>
    <t>GCA_015554925.1</t>
  </si>
  <si>
    <t>1001216B_150713_F11</t>
  </si>
  <si>
    <t>https://ftp.ncbi.nlm.nih.gov/genomes/all/GCA/015/554/925/GCA_015554925.1_ASM1555492v1</t>
  </si>
  <si>
    <t>GCA_015555235.1</t>
  </si>
  <si>
    <t>D6t1_180914_C10</t>
  </si>
  <si>
    <t>https://ftp.ncbi.nlm.nih.gov/genomes/all/GCA/015/555/235/GCA_015555235.1_ASM1555523v1</t>
  </si>
  <si>
    <t>GCA_015556095.1</t>
  </si>
  <si>
    <t>1001095IJ_161003_H11</t>
  </si>
  <si>
    <t>https://ftp.ncbi.nlm.nih.gov/genomes/all/GCA/015/556/095/GCA_015556095.1_ASM1555609v1</t>
  </si>
  <si>
    <t>GCA_015556125.1</t>
  </si>
  <si>
    <t>1001287H_170206_C7</t>
  </si>
  <si>
    <t>https://ftp.ncbi.nlm.nih.gov/genomes/all/GCA/015/556/125/GCA_015556125.1_ASM1555612v1</t>
  </si>
  <si>
    <t>GCA_015556225.1</t>
  </si>
  <si>
    <t>1001713B170131_170501_D3</t>
  </si>
  <si>
    <t>https://ftp.ncbi.nlm.nih.gov/genomes/all/GCA/015/556/225/GCA_015556225.1_ASM1555622v1</t>
  </si>
  <si>
    <t>GCA_015556735.1</t>
  </si>
  <si>
    <t>BSD2780061688b_171218_A10</t>
  </si>
  <si>
    <t>https://ftp.ncbi.nlm.nih.gov/genomes/all/GCA/015/556/735/GCA_015556735.1_ASM1555673v1</t>
  </si>
  <si>
    <t>GCA_015556995.1</t>
  </si>
  <si>
    <t>D40t1_170626_H5</t>
  </si>
  <si>
    <t>https://ftp.ncbi.nlm.nih.gov/genomes/all/GCA/015/556/995/GCA_015556995.1_ASM1555699v1</t>
  </si>
  <si>
    <t>D53t1_180928_G2</t>
  </si>
  <si>
    <t>https://ftp.ncbi.nlm.nih.gov/genomes/all/GCA/015/557/515/GCA_015557515.1_ASM1555751v1</t>
  </si>
  <si>
    <t>GCA_015557775.1</t>
  </si>
  <si>
    <t>D55t1_190419_F12</t>
  </si>
  <si>
    <t>https://ftp.ncbi.nlm.nih.gov/genomes/all/GCA/015/557/775/GCA_015557775.1_ASM1555777v1</t>
  </si>
  <si>
    <t>GCA_015557865.1</t>
  </si>
  <si>
    <t>1001136B_160425_B10</t>
  </si>
  <si>
    <t>https://ftp.ncbi.nlm.nih.gov/genomes/all/GCA/015/557/865/GCA_015557865.1_ASM1555786v1</t>
  </si>
  <si>
    <t>GCA_015558365.1</t>
  </si>
  <si>
    <t>D59t2_181005_B8</t>
  </si>
  <si>
    <t>https://ftp.ncbi.nlm.nih.gov/genomes/all/GCA/015/558/365/GCA_015558365.1_ASM1555836v1</t>
  </si>
  <si>
    <t>GCA_015558405.1</t>
  </si>
  <si>
    <t>1001275B_160808_A9</t>
  </si>
  <si>
    <t>https://ftp.ncbi.nlm.nih.gov/genomes/all/GCA/015/558/405/GCA_015558405.1_ASM1555840v1</t>
  </si>
  <si>
    <t>GCA_015559215.1</t>
  </si>
  <si>
    <t>D43t1_170807_F3</t>
  </si>
  <si>
    <t>https://ftp.ncbi.nlm.nih.gov/genomes/all/GCA/015/559/215/GCA_015559215.1_ASM1555921v1</t>
  </si>
  <si>
    <t>GCA_015559305.1</t>
  </si>
  <si>
    <t>1001254J_160919_C10</t>
  </si>
  <si>
    <t>https://ftp.ncbi.nlm.nih.gov/genomes/all/GCA/015/559/305/GCA_015559305.1_ASM1555930v1</t>
  </si>
  <si>
    <t>GCA_015559775.1</t>
  </si>
  <si>
    <t>1001095IJ_161003_G7</t>
  </si>
  <si>
    <t>https://ftp.ncbi.nlm.nih.gov/genomes/all/GCA/015/559/775/GCA_015559775.1_ASM1555977v1</t>
  </si>
  <si>
    <t>GCA_015559825.1</t>
  </si>
  <si>
    <t>D55t1_190419_A7</t>
  </si>
  <si>
    <t>https://ftp.ncbi.nlm.nih.gov/genomes/all/GCA/015/559/825/GCA_015559825.1_ASM1555982v1</t>
  </si>
  <si>
    <t>GCA_015560245.1</t>
  </si>
  <si>
    <t>1001713B170207_170306_C3</t>
  </si>
  <si>
    <t>https://ftp.ncbi.nlm.nih.gov/genomes/all/GCA/015/560/245/GCA_015560245.1_ASM1556024v1</t>
  </si>
  <si>
    <t>GCA_015560745.1</t>
  </si>
  <si>
    <t>D53t1_180928_H2</t>
  </si>
  <si>
    <t>https://ftp.ncbi.nlm.nih.gov/genomes/all/GCA/015/560/745/GCA_015560745.1_ASM1556074v1</t>
  </si>
  <si>
    <t>GCA_015560905.1</t>
  </si>
  <si>
    <t>1001095H_141210_D1</t>
  </si>
  <si>
    <t>https://ftp.ncbi.nlm.nih.gov/genomes/all/GCA/015/560/905/GCA_015560905.1_ASM1556090v1</t>
  </si>
  <si>
    <t>D31t1_170403_E10</t>
  </si>
  <si>
    <t>https://ftp.ncbi.nlm.nih.gov/genomes/all/GCA/015/560/925/GCA_015560925.1_ASM1556092v1</t>
  </si>
  <si>
    <t>GCA_015561235.1</t>
  </si>
  <si>
    <t>1001095IJ_161003_A5</t>
  </si>
  <si>
    <t>https://ftp.ncbi.nlm.nih.gov/genomes/all/GCA/015/561/235/GCA_015561235.1_ASM1556123v1</t>
  </si>
  <si>
    <t>GCA_015594635.1</t>
  </si>
  <si>
    <t>HF-100</t>
  </si>
  <si>
    <t>https://ftp.ncbi.nlm.nih.gov/genomes/all/GCA/015/594/635/GCA_015594635.1_ASM1559463v1</t>
  </si>
  <si>
    <t>GCA_015594645.1</t>
  </si>
  <si>
    <t>HF-2466</t>
  </si>
  <si>
    <t>https://ftp.ncbi.nlm.nih.gov/genomes/all/GCA/015/594/645/GCA_015594645.1_ASM1559464v1</t>
  </si>
  <si>
    <t>GCA_015602705.1</t>
  </si>
  <si>
    <t>12CE1</t>
  </si>
  <si>
    <t>https://ftp.ncbi.nlm.nih.gov/genomes/all/GCA/015/602/705/GCA_015602705.1_ASM1560270v1</t>
  </si>
  <si>
    <t>GCA_015645205.1</t>
  </si>
  <si>
    <t>C34</t>
  </si>
  <si>
    <t>https://ftp.ncbi.nlm.nih.gov/genomes/all/GCA/015/645/205/GCA_015645205.1_ASM1564520v1</t>
  </si>
  <si>
    <t>GCA_015645265.1</t>
  </si>
  <si>
    <t>C06_1</t>
  </si>
  <si>
    <t>https://ftp.ncbi.nlm.nih.gov/genomes/all/GCA/015/645/265/GCA_015645265.1_ASM1564526v1</t>
  </si>
  <si>
    <t>GCA_015666945.1</t>
  </si>
  <si>
    <t>BSD2780120874_150323_D6</t>
  </si>
  <si>
    <t>https://ftp.ncbi.nlm.nih.gov/genomes/all/GCA/015/666/945/GCA_015666945.1_ASM1566694v1</t>
  </si>
  <si>
    <t>GCA_015668835.1</t>
  </si>
  <si>
    <t>1001262B_160229_H2</t>
  </si>
  <si>
    <t>https://ftp.ncbi.nlm.nih.gov/genomes/all/GCA/015/668/835/GCA_015668835.1_ASM1566883v1</t>
  </si>
  <si>
    <t>GCA_015668935.1</t>
  </si>
  <si>
    <t>1001270H_150608_B10</t>
  </si>
  <si>
    <t>https://ftp.ncbi.nlm.nih.gov/genomes/all/GCA/015/668/935/GCA_015668935.1_ASM1566893v1</t>
  </si>
  <si>
    <t>GCA_015669055.1</t>
  </si>
  <si>
    <t>1001283B150210_160208_F1</t>
  </si>
  <si>
    <t>https://ftp.ncbi.nlm.nih.gov/genomes/all/GCA/015/669/055/GCA_015669055.1_ASM1566905v1</t>
  </si>
  <si>
    <t>GCA_015669655.1</t>
  </si>
  <si>
    <t>D53t1_180928_E8</t>
  </si>
  <si>
    <t>https://ftp.ncbi.nlm.nih.gov/genomes/all/GCA/015/669/655/GCA_015669655.1_ASM1566965v1</t>
  </si>
  <si>
    <t>GCA_015670115.1</t>
  </si>
  <si>
    <t>1001095IJ_161003_G6</t>
  </si>
  <si>
    <t>https://ftp.ncbi.nlm.nih.gov/genomes/all/GCA/015/670/115/GCA_015670115.1_ASM1567011v1</t>
  </si>
  <si>
    <t>GCA_015670285.1</t>
  </si>
  <si>
    <t>D40t1_170626_E1</t>
  </si>
  <si>
    <t>https://ftp.ncbi.nlm.nih.gov/genomes/all/GCA/015/670/285/GCA_015670285.1_ASM1567028v1</t>
  </si>
  <si>
    <t>HF-162</t>
  </si>
  <si>
    <t>https://ftp.ncbi.nlm.nih.gov/genomes/all/GCA/015/679/285/GCA_015679285.1_ASM1567928v1</t>
  </si>
  <si>
    <t>GCA_015679665.1</t>
  </si>
  <si>
    <t>16-579</t>
  </si>
  <si>
    <t>https://ftp.ncbi.nlm.nih.gov/genomes/all/GCA/015/679/665/GCA_015679665.1_ASM1567966v1</t>
  </si>
  <si>
    <t>GCA_015679705.1</t>
  </si>
  <si>
    <t>16-306</t>
  </si>
  <si>
    <t>https://ftp.ncbi.nlm.nih.gov/genomes/all/GCA/015/679/705/GCA_015679705.1_ASM1567970v1</t>
  </si>
  <si>
    <t>GCA_015679735.1</t>
  </si>
  <si>
    <t>16-92</t>
  </si>
  <si>
    <t>https://ftp.ncbi.nlm.nih.gov/genomes/all/GCA/015/679/735/GCA_015679735.1_ASM1567973v1</t>
  </si>
  <si>
    <t>GCA_015679815.1</t>
  </si>
  <si>
    <t>15-215</t>
  </si>
  <si>
    <t>https://ftp.ncbi.nlm.nih.gov/genomes/all/GCA/015/679/815/GCA_015679815.1_ASM1567981v1</t>
  </si>
  <si>
    <t>GCA_015679845.1</t>
  </si>
  <si>
    <t>15-198</t>
  </si>
  <si>
    <t>https://ftp.ncbi.nlm.nih.gov/genomes/all/GCA/015/679/845/GCA_015679845.1_ASM1567984v1</t>
  </si>
  <si>
    <t>GCA_015679865.1</t>
  </si>
  <si>
    <t>14-627</t>
  </si>
  <si>
    <t>https://ftp.ncbi.nlm.nih.gov/genomes/all/GCA/015/679/865/GCA_015679865.1_ASM1567986v1</t>
  </si>
  <si>
    <t>GCA_015679885.1</t>
  </si>
  <si>
    <t>14-159</t>
  </si>
  <si>
    <t>https://ftp.ncbi.nlm.nih.gov/genomes/all/GCA/015/679/885/GCA_015679885.1_ASM1567988v1</t>
  </si>
  <si>
    <t>GCA_015679905.1</t>
  </si>
  <si>
    <t>12-208</t>
  </si>
  <si>
    <t>https://ftp.ncbi.nlm.nih.gov/genomes/all/GCA/015/679/905/GCA_015679905.1_ASM1567990v1</t>
  </si>
  <si>
    <t>GCA_015679925.1</t>
  </si>
  <si>
    <t>11-251</t>
  </si>
  <si>
    <t>https://ftp.ncbi.nlm.nih.gov/genomes/all/GCA/015/679/925/GCA_015679925.1_ASM1567992v1</t>
  </si>
  <si>
    <t>GCA_015679945.1</t>
  </si>
  <si>
    <t>P15UCO-S2</t>
  </si>
  <si>
    <t>https://ftp.ncbi.nlm.nih.gov/genomes/all/GCA/015/679/945/GCA_015679945.1_ASM1567994v1</t>
  </si>
  <si>
    <t>GCA_015679965.1</t>
  </si>
  <si>
    <t>H1O1</t>
  </si>
  <si>
    <t>https://ftp.ncbi.nlm.nih.gov/genomes/all/GCA/015/679/965/GCA_015679965.1_ASM1567996v1</t>
  </si>
  <si>
    <t>GCA_015679985.1</t>
  </si>
  <si>
    <t>P3UCO1</t>
  </si>
  <si>
    <t>https://ftp.ncbi.nlm.nih.gov/genomes/all/GCA/015/679/985/GCA_015679985.1_ASM1567998v1</t>
  </si>
  <si>
    <t>GCA_015680005.1</t>
  </si>
  <si>
    <t>P3UCB1</t>
  </si>
  <si>
    <t>https://ftp.ncbi.nlm.nih.gov/genomes/all/GCA/015/680/005/GCA_015680005.1_ASM1568000v1</t>
  </si>
  <si>
    <t>GCA_015680025.1</t>
  </si>
  <si>
    <t>H9O-S2</t>
  </si>
  <si>
    <t>https://ftp.ncbi.nlm.nih.gov/genomes/all/GCA/015/680/025/GCA_015680025.1_ASM1568002v1</t>
  </si>
  <si>
    <t>GCA_015700065.1</t>
  </si>
  <si>
    <t>A19006561</t>
  </si>
  <si>
    <t>https://ftp.ncbi.nlm.nih.gov/genomes/all/GCA/015/700/065/GCA_015700065.1_ASM1570006v1</t>
  </si>
  <si>
    <t>GCA_015700075.1</t>
  </si>
  <si>
    <t>A19006464</t>
  </si>
  <si>
    <t>https://ftp.ncbi.nlm.nih.gov/genomes/all/GCA/015/700/075/GCA_015700075.1_ASM1570007v1</t>
  </si>
  <si>
    <t>GCA_015700135.1</t>
  </si>
  <si>
    <t>A18006565</t>
  </si>
  <si>
    <t>https://ftp.ncbi.nlm.nih.gov/genomes/all/GCA/015/700/135/GCA_015700135.1_ASM1570013v1</t>
  </si>
  <si>
    <t>GCA_015700175.1</t>
  </si>
  <si>
    <t>298-03</t>
  </si>
  <si>
    <t>https://ftp.ncbi.nlm.nih.gov/genomes/all/GCA/015/700/175/GCA_015700175.1_ASM1570017v1</t>
  </si>
  <si>
    <t>GCA_015700525.1</t>
  </si>
  <si>
    <t>251-03</t>
  </si>
  <si>
    <t>https://ftp.ncbi.nlm.nih.gov/genomes/all/GCA/015/700/525/GCA_015700525.1_ASM1570052v1</t>
  </si>
  <si>
    <t>GCA_015703885.1</t>
  </si>
  <si>
    <t>181B</t>
  </si>
  <si>
    <t>https://ftp.ncbi.nlm.nih.gov/genomes/all/GCA/015/703/885/GCA_015703885.1_ASM1570388v1</t>
  </si>
  <si>
    <t>GCA_015711285.1</t>
  </si>
  <si>
    <t>ind_11</t>
  </si>
  <si>
    <t>https://ftp.ncbi.nlm.nih.gov/genomes/all/GCA/015/711/285/GCA_015711285.1_ASM1571128v1</t>
  </si>
  <si>
    <t>GCA_015732665.1</t>
  </si>
  <si>
    <t>15-193</t>
  </si>
  <si>
    <t>https://ftp.ncbi.nlm.nih.gov/genomes/all/GCA/015/732/665/GCA_015732665.1_ASM1573266v1</t>
  </si>
  <si>
    <t>GCA_015732685.1</t>
  </si>
  <si>
    <t>15-123</t>
  </si>
  <si>
    <t>https://ftp.ncbi.nlm.nih.gov/genomes/all/GCA/015/732/685/GCA_015732685.1_ASM1573268v1</t>
  </si>
  <si>
    <t>GCA_015832135.1</t>
  </si>
  <si>
    <t>JS3051</t>
  </si>
  <si>
    <t>https://ftp.ncbi.nlm.nih.gov/genomes/all/GCA/015/832/135/GCA_015832135.1_ASM1583213v1</t>
  </si>
  <si>
    <t>GCA_015838875.1</t>
  </si>
  <si>
    <t>https://ftp.ncbi.nlm.nih.gov/genomes/all/GCA/015/838/875/GCA_015838875.1_ASM1583887v1</t>
  </si>
  <si>
    <t>GCA_015839035.1</t>
  </si>
  <si>
    <t>https://ftp.ncbi.nlm.nih.gov/genomes/all/GCA/015/839/035/GCA_015839035.1_ASM1583903v1</t>
  </si>
  <si>
    <t>GCA_015839235.1</t>
  </si>
  <si>
    <t>https://ftp.ncbi.nlm.nih.gov/genomes/all/GCA/015/839/235/GCA_015839235.1_ASM1583923v1</t>
  </si>
  <si>
    <t>GCA_015840115.1</t>
  </si>
  <si>
    <t>https://ftp.ncbi.nlm.nih.gov/genomes/all/GCA/015/840/115/GCA_015840115.1_ASM1584011v1</t>
  </si>
  <si>
    <t>GCA_015999505.1</t>
  </si>
  <si>
    <t>KCTC 13289</t>
  </si>
  <si>
    <t>https://ftp.ncbi.nlm.nih.gov/genomes/all/GCA/015/999/505/GCA_015999505.1_ASM1599950v1</t>
  </si>
  <si>
    <t>GCA_016026035.1</t>
  </si>
  <si>
    <t>FDAARGOS_948</t>
  </si>
  <si>
    <t>https://ftp.ncbi.nlm.nih.gov/genomes/all/GCA/016/026/035/GCA_016026035.1_ASM1602603v1</t>
  </si>
  <si>
    <t>GCA_016026415.1</t>
  </si>
  <si>
    <t>FDAARGOS_938</t>
  </si>
  <si>
    <t>https://ftp.ncbi.nlm.nih.gov/genomes/all/GCA/016/026/415/GCA_016026415.1_ASM1602641v1</t>
  </si>
  <si>
    <t>GCA_016026535.1</t>
  </si>
  <si>
    <t>FDAARGOS_939</t>
  </si>
  <si>
    <t>https://ftp.ncbi.nlm.nih.gov/genomes/all/GCA/016/026/535/GCA_016026535.1_ASM1602653v1</t>
  </si>
  <si>
    <t>GCA_016026575.1</t>
  </si>
  <si>
    <t>FDAARGOS_934</t>
  </si>
  <si>
    <t>https://ftp.ncbi.nlm.nih.gov/genomes/all/GCA/016/026/575/GCA_016026575.1_ASM1602657v1</t>
  </si>
  <si>
    <t>GCA_016026915.1</t>
  </si>
  <si>
    <t>FDAARGOS_913</t>
  </si>
  <si>
    <t>https://ftp.ncbi.nlm.nih.gov/genomes/all/GCA/016/026/915/GCA_016026915.1_ASM1602691v1</t>
  </si>
  <si>
    <t>GCA_016027055.1</t>
  </si>
  <si>
    <t>FDAARGOS_910</t>
  </si>
  <si>
    <t>https://ftp.ncbi.nlm.nih.gov/genomes/all/GCA/016/027/055/GCA_016027055.1_ASM1602705v1</t>
  </si>
  <si>
    <t>GCA_016027075.1</t>
  </si>
  <si>
    <t>FDAARGOS_909</t>
  </si>
  <si>
    <t>https://ftp.ncbi.nlm.nih.gov/genomes/all/GCA/016/027/075/GCA_016027075.1_ASM1602707v1</t>
  </si>
  <si>
    <t>GCA_016027615.1</t>
  </si>
  <si>
    <t>FDAARGOS_894</t>
  </si>
  <si>
    <t>https://ftp.ncbi.nlm.nih.gov/genomes/all/GCA/016/027/615/GCA_016027615.1_ASM1602761v1</t>
  </si>
  <si>
    <t>GCA_016027775.1</t>
  </si>
  <si>
    <t>FDAARGOS_891</t>
  </si>
  <si>
    <t>https://ftp.ncbi.nlm.nih.gov/genomes/all/GCA/016/027/775/GCA_016027775.1_ASM1602777v1</t>
  </si>
  <si>
    <t>GCA_016028175.1</t>
  </si>
  <si>
    <t>FDAARGOS_886</t>
  </si>
  <si>
    <t>https://ftp.ncbi.nlm.nih.gov/genomes/all/GCA/016/028/175/GCA_016028175.1_ASM1602817v1</t>
  </si>
  <si>
    <t>GCA_016028255.1</t>
  </si>
  <si>
    <t>FDAARGOS_885</t>
  </si>
  <si>
    <t>https://ftp.ncbi.nlm.nih.gov/genomes/all/GCA/016/028/255/GCA_016028255.1_ASM1602825v1</t>
  </si>
  <si>
    <t>GCA_016028295.1</t>
  </si>
  <si>
    <t>FDAARGOS_882</t>
  </si>
  <si>
    <t>https://ftp.ncbi.nlm.nih.gov/genomes/all/GCA/016/028/295/GCA_016028295.1_ASM1602829v1</t>
  </si>
  <si>
    <t>GCA_016028715.1</t>
  </si>
  <si>
    <t>FDAARGOS_871</t>
  </si>
  <si>
    <t>https://ftp.ncbi.nlm.nih.gov/genomes/all/GCA/016/028/715/GCA_016028715.1_ASM1602871v1</t>
  </si>
  <si>
    <t>GCA_016028755.1</t>
  </si>
  <si>
    <t>FDAARGOS_870</t>
  </si>
  <si>
    <t>https://ftp.ncbi.nlm.nih.gov/genomes/all/GCA/016/028/755/GCA_016028755.1_ASM1602875v1</t>
  </si>
  <si>
    <t>GCA_016028775.1</t>
  </si>
  <si>
    <t>FDAARGOS_869</t>
  </si>
  <si>
    <t>https://ftp.ncbi.nlm.nih.gov/genomes/all/GCA/016/028/775/GCA_016028775.1_ASM1602877v1</t>
  </si>
  <si>
    <t>FDAARGOS_901</t>
  </si>
  <si>
    <t>https://ftp.ncbi.nlm.nih.gov/genomes/all/GCA/016/117/815/GCA_016117815.1_ASM1611781v1</t>
  </si>
  <si>
    <t>p1a2</t>
  </si>
  <si>
    <t>https://ftp.ncbi.nlm.nih.gov/genomes/all/GCA/016/126/015/GCA_016126015.1_ASM1612601v1</t>
  </si>
  <si>
    <t>https://ftp.ncbi.nlm.nih.gov/genomes/all/GCA/016/126/035/GCA_016126035.1_ASM1612603v1</t>
  </si>
  <si>
    <t>GCA_016126915.1</t>
  </si>
  <si>
    <t>FDAARGOS_992</t>
  </si>
  <si>
    <t>https://ftp.ncbi.nlm.nih.gov/genomes/all/GCA/016/126/915/GCA_016126915.1_ASM1612691v1</t>
  </si>
  <si>
    <t>GCA_016127095.1</t>
  </si>
  <si>
    <t>FDAARGOS_996</t>
  </si>
  <si>
    <t>https://ftp.ncbi.nlm.nih.gov/genomes/all/GCA/016/127/095/GCA_016127095.1_ASM1612709v1</t>
  </si>
  <si>
    <t>GCA_016127115.1</t>
  </si>
  <si>
    <t>FDAARGOS_987</t>
  </si>
  <si>
    <t>https://ftp.ncbi.nlm.nih.gov/genomes/all/GCA/016/127/115/GCA_016127115.1_ASM1612711v1</t>
  </si>
  <si>
    <t>GCA_016127175.1</t>
  </si>
  <si>
    <t>FDAARGOS_1046</t>
  </si>
  <si>
    <t>https://ftp.ncbi.nlm.nih.gov/genomes/all/GCA/016/127/175/GCA_016127175.1_ASM1612717v1</t>
  </si>
  <si>
    <t>GCA_016127215.1</t>
  </si>
  <si>
    <t>FDAARGOS_1000</t>
  </si>
  <si>
    <t>https://ftp.ncbi.nlm.nih.gov/genomes/all/GCA/016/127/215/GCA_016127215.1_ASM1612721v1</t>
  </si>
  <si>
    <t>GCA_016127355.1</t>
  </si>
  <si>
    <t>FDAARGOS_1060</t>
  </si>
  <si>
    <t>https://ftp.ncbi.nlm.nih.gov/genomes/all/GCA/016/127/355/GCA_016127355.1_ASM1612735v1</t>
  </si>
  <si>
    <t>FDAARGOS_1061</t>
  </si>
  <si>
    <t>https://ftp.ncbi.nlm.nih.gov/genomes/all/GCA/016/127/495/GCA_016127495.1_ASM1612749v1</t>
  </si>
  <si>
    <t>GCA_016127535.1</t>
  </si>
  <si>
    <t>FDAARGOS_1045</t>
  </si>
  <si>
    <t>https://ftp.ncbi.nlm.nih.gov/genomes/all/GCA/016/127/535/GCA_016127535.1_ASM1612753v1</t>
  </si>
  <si>
    <t>GCA_016127555.1</t>
  </si>
  <si>
    <t>FDAARGOS_1020</t>
  </si>
  <si>
    <t>https://ftp.ncbi.nlm.nih.gov/genomes/all/GCA/016/127/555/GCA_016127555.1_ASM1612755v1</t>
  </si>
  <si>
    <t>GCA_016127615.1</t>
  </si>
  <si>
    <t>FDAARGOS_991</t>
  </si>
  <si>
    <t>https://ftp.ncbi.nlm.nih.gov/genomes/all/GCA/016/127/615/GCA_016127615.1_ASM1612761v1</t>
  </si>
  <si>
    <t>GCA_016127635.1</t>
  </si>
  <si>
    <t>FDAARGOS_998</t>
  </si>
  <si>
    <t>https://ftp.ncbi.nlm.nih.gov/genomes/all/GCA/016/127/635/GCA_016127635.1_ASM1612763v1</t>
  </si>
  <si>
    <t>GCA_016127655.1</t>
  </si>
  <si>
    <t>FDAARGOS_1026</t>
  </si>
  <si>
    <t>https://ftp.ncbi.nlm.nih.gov/genomes/all/GCA/016/127/655/GCA_016127655.1_ASM1612765v1</t>
  </si>
  <si>
    <t>GCA_016127715.1</t>
  </si>
  <si>
    <t>FDAARGOS_1074</t>
  </si>
  <si>
    <t>https://ftp.ncbi.nlm.nih.gov/genomes/all/GCA/016/127/715/GCA_016127715.1_ASM1612771v1</t>
  </si>
  <si>
    <t>GCA_016127735.1</t>
  </si>
  <si>
    <t>FDAARGOS_1075</t>
  </si>
  <si>
    <t>https://ftp.ncbi.nlm.nih.gov/genomes/all/GCA/016/127/735/GCA_016127735.1_ASM1612773v1</t>
  </si>
  <si>
    <t>GCA_016127855.1</t>
  </si>
  <si>
    <t>FDAARGOS_1037</t>
  </si>
  <si>
    <t>https://ftp.ncbi.nlm.nih.gov/genomes/all/GCA/016/127/855/GCA_016127855.1_ASM1612785v1</t>
  </si>
  <si>
    <t>GCA_016127875.1</t>
  </si>
  <si>
    <t>FDAARGOS_1015</t>
  </si>
  <si>
    <t>https://ftp.ncbi.nlm.nih.gov/genomes/all/GCA/016/127/875/GCA_016127875.1_ASM1612787v1</t>
  </si>
  <si>
    <t>GCA_016127895.1</t>
  </si>
  <si>
    <t>FDAARGOS_1006</t>
  </si>
  <si>
    <t>https://ftp.ncbi.nlm.nih.gov/genomes/all/GCA/016/127/895/GCA_016127895.1_ASM1612789v1</t>
  </si>
  <si>
    <t>GCA_016127915.1</t>
  </si>
  <si>
    <t>FDAARGOS_1021</t>
  </si>
  <si>
    <t>https://ftp.ncbi.nlm.nih.gov/genomes/all/GCA/016/127/915/GCA_016127915.1_ASM1612791v1</t>
  </si>
  <si>
    <t>GCA_016127935.1</t>
  </si>
  <si>
    <t>FDAARGOS_1071</t>
  </si>
  <si>
    <t>https://ftp.ncbi.nlm.nih.gov/genomes/all/GCA/016/127/935/GCA_016127935.1_ASM1612793v1</t>
  </si>
  <si>
    <t>GCA_016127955.1</t>
  </si>
  <si>
    <t>FDAARGOS_1051</t>
  </si>
  <si>
    <t>https://ftp.ncbi.nlm.nih.gov/genomes/all/GCA/016/127/955/GCA_016127955.1_ASM1612795v1</t>
  </si>
  <si>
    <t>GCA_016127975.1</t>
  </si>
  <si>
    <t>FDAARGOS_994</t>
  </si>
  <si>
    <t>https://ftp.ncbi.nlm.nih.gov/genomes/all/GCA/016/127/975/GCA_016127975.1_ASM1612797v1</t>
  </si>
  <si>
    <t>GCA_016127995.1</t>
  </si>
  <si>
    <t>FDAARGOS_985</t>
  </si>
  <si>
    <t>https://ftp.ncbi.nlm.nih.gov/genomes/all/GCA/016/127/995/GCA_016127995.1_ASM1612799v1</t>
  </si>
  <si>
    <t>GCA_016128075.1</t>
  </si>
  <si>
    <t>FDAARGOS_1052</t>
  </si>
  <si>
    <t>https://ftp.ncbi.nlm.nih.gov/genomes/all/GCA/016/128/075/GCA_016128075.1_ASM1612807v1</t>
  </si>
  <si>
    <t>GCA_016313225.1</t>
  </si>
  <si>
    <t>ATCC 8456</t>
  </si>
  <si>
    <t>https://ftp.ncbi.nlm.nih.gov/genomes/all/GCA/016/313/225/GCA_016313225.1_ASM1631322v1</t>
  </si>
  <si>
    <t>GCA_016403225.1</t>
  </si>
  <si>
    <t>HMT-109</t>
  </si>
  <si>
    <t>harei</t>
  </si>
  <si>
    <t>FDAARGOS_1012</t>
  </si>
  <si>
    <t>https://ftp.ncbi.nlm.nih.gov/genomes/all/GCA/016/403/225/GCA_016403225.1_ASM1640322v1</t>
  </si>
  <si>
    <t>GCA_016403265.1</t>
  </si>
  <si>
    <t>FDAARGOS_995</t>
  </si>
  <si>
    <t>https://ftp.ncbi.nlm.nih.gov/genomes/all/GCA/016/403/265/GCA_016403265.1_ASM1640326v1</t>
  </si>
  <si>
    <t>GCA_016403285.1</t>
  </si>
  <si>
    <t>FDAARGOS_1054</t>
  </si>
  <si>
    <t>https://ftp.ncbi.nlm.nih.gov/genomes/all/GCA/016/403/285/GCA_016403285.1_ASM1640328v1</t>
  </si>
  <si>
    <t>GCA_016405145.1</t>
  </si>
  <si>
    <t>CCUG 44997</t>
  </si>
  <si>
    <t>https://ftp.ncbi.nlm.nih.gov/genomes/all/GCA/016/405/145/GCA_016405145.1_ASM1640514v1</t>
  </si>
  <si>
    <t>GCA_016406015.1</t>
  </si>
  <si>
    <t>IB03</t>
  </si>
  <si>
    <t>https://ftp.ncbi.nlm.nih.gov/genomes/all/GCA/016/406/015/GCA_016406015.1_ASM1640601v1</t>
  </si>
  <si>
    <t>GCA_016406225.1</t>
  </si>
  <si>
    <t>SE48</t>
  </si>
  <si>
    <t>https://ftp.ncbi.nlm.nih.gov/genomes/all/GCA/016/406/225/GCA_016406225.1_ASM1640622v1</t>
  </si>
  <si>
    <t>GCA_016406625.1</t>
  </si>
  <si>
    <t>PH1-28</t>
  </si>
  <si>
    <t>https://ftp.ncbi.nlm.nih.gov/genomes/all/GCA/016/406/625/GCA_016406625.1_ASM1640662v1</t>
  </si>
  <si>
    <t>GCA_016466415.2</t>
  </si>
  <si>
    <t>K-288</t>
  </si>
  <si>
    <t>https://ftp.ncbi.nlm.nih.gov/genomes/all/GCA/016/466/415/GCA_016466415.2_ASM1646641v2</t>
  </si>
  <si>
    <t>GCA_016535385.1</t>
  </si>
  <si>
    <t>FDAARGOS_1022</t>
  </si>
  <si>
    <t>https://ftp.ncbi.nlm.nih.gov/genomes/all/GCA/016/535/385/GCA_016535385.1_ASM1653538v1</t>
  </si>
  <si>
    <t>GCA_016549395.1</t>
  </si>
  <si>
    <t>SF100</t>
  </si>
  <si>
    <t>https://ftp.ncbi.nlm.nih.gov/genomes/all/GCA/016/549/395/GCA_016549395.1_ASM1654939v1</t>
  </si>
  <si>
    <t>GCA_016599755.1</t>
  </si>
  <si>
    <t>FDAARGOS_1055</t>
  </si>
  <si>
    <t>https://ftp.ncbi.nlm.nih.gov/genomes/all/GCA/016/599/755/GCA_016599755.1_ASM1659975v1</t>
  </si>
  <si>
    <t>GCA_016599795.1</t>
  </si>
  <si>
    <t>FDAARGOS_1069</t>
  </si>
  <si>
    <t>https://ftp.ncbi.nlm.nih.gov/genomes/all/GCA/016/599/795/GCA_016599795.1_ASM1659979v1</t>
  </si>
  <si>
    <t>GCA_016613425.1</t>
  </si>
  <si>
    <t>CIP 102622</t>
  </si>
  <si>
    <t>https://ftp.ncbi.nlm.nih.gov/genomes/all/GCA/016/613/425/GCA_016613425.1_ASM1661342v1</t>
  </si>
  <si>
    <t>GCA_016617695.1</t>
  </si>
  <si>
    <t>B44</t>
  </si>
  <si>
    <t>https://ftp.ncbi.nlm.nih.gov/genomes/all/GCA/016/617/695/GCA_016617695.1_ASM1661769v1</t>
  </si>
  <si>
    <t>GCA_016623605.1</t>
  </si>
  <si>
    <t>Marseille-Q4569</t>
  </si>
  <si>
    <t>https://ftp.ncbi.nlm.nih.gov/genomes/all/GCA/016/623/605/GCA_016623605.1_ASM1662360v1</t>
  </si>
  <si>
    <t>GCA_016623665.1</t>
  </si>
  <si>
    <t>FDAARGOS_1043</t>
  </si>
  <si>
    <t>https://ftp.ncbi.nlm.nih.gov/genomes/all/GCA/016/623/665/GCA_016623665.1_ASM1662366v1</t>
  </si>
  <si>
    <t>GCA_016626125.1</t>
  </si>
  <si>
    <t>HMT897</t>
  </si>
  <si>
    <t>https://ftp.ncbi.nlm.nih.gov/genomes/all/GCA/016/626/125/GCA_016626125.1_ASM1662612v1</t>
  </si>
  <si>
    <t>GCA_016628325.1</t>
  </si>
  <si>
    <t>14T168</t>
  </si>
  <si>
    <t>https://ftp.ncbi.nlm.nih.gov/genomes/all/GCA/016/628/325/GCA_016628325.1_ASM1662832v1</t>
  </si>
  <si>
    <t>GCA_016628425.2</t>
  </si>
  <si>
    <t>12T220</t>
  </si>
  <si>
    <t>https://ftp.ncbi.nlm.nih.gov/genomes/all/GCA/016/628/425/GCA_016628425.2_ASM1662842v2</t>
  </si>
  <si>
    <t>GCA_016628525.2</t>
  </si>
  <si>
    <t>https://ftp.ncbi.nlm.nih.gov/genomes/all/GCA/016/628/525/GCA_016628525.2_ASM1662852v2</t>
  </si>
  <si>
    <t>GCA_016628585.1</t>
  </si>
  <si>
    <t>https://ftp.ncbi.nlm.nih.gov/genomes/all/GCA/016/628/585/GCA_016628585.1_ASM1662858v1</t>
  </si>
  <si>
    <t>GCA_016628615.2</t>
  </si>
  <si>
    <t>https://ftp.ncbi.nlm.nih.gov/genomes/all/GCA/016/628/615/GCA_016628615.2_ASM1662861v2</t>
  </si>
  <si>
    <t>GCA_016628735.2</t>
  </si>
  <si>
    <t>https://ftp.ncbi.nlm.nih.gov/genomes/all/GCA/016/628/735/GCA_016628735.2_ASM1662873v2</t>
  </si>
  <si>
    <t>GCA_016628845.1</t>
  </si>
  <si>
    <t>https://ftp.ncbi.nlm.nih.gov/genomes/all/GCA/016/628/845/GCA_016628845.1_ASM1662884v1</t>
  </si>
  <si>
    <t>GCA_016642265.1</t>
  </si>
  <si>
    <t>CCUG 66490</t>
  </si>
  <si>
    <t>https://ftp.ncbi.nlm.nih.gov/genomes/all/GCA/016/642/265/GCA_016642265.1_ASM1664226v1</t>
  </si>
  <si>
    <t>GCA_016642415.1</t>
  </si>
  <si>
    <t>CCUG 66516</t>
  </si>
  <si>
    <t>https://ftp.ncbi.nlm.nih.gov/genomes/all/GCA/016/642/415/GCA_016642415.1_ASM1664241v1</t>
  </si>
  <si>
    <t>GCA_016647595.1</t>
  </si>
  <si>
    <t>Kx293C1</t>
  </si>
  <si>
    <t>https://ftp.ncbi.nlm.nih.gov/genomes/all/GCA/016/647/595/GCA_016647595.1_ASM1664759v1</t>
  </si>
  <si>
    <t>GCA_016648635.1</t>
  </si>
  <si>
    <t>https://ftp.ncbi.nlm.nih.gov/genomes/all/GCA/016/648/635/GCA_016648635.1_ASM1664863v1</t>
  </si>
  <si>
    <t>GCA_016648745.1</t>
  </si>
  <si>
    <t>https://ftp.ncbi.nlm.nih.gov/genomes/all/GCA/016/648/745/GCA_016648745.1_ASM1664874v1</t>
  </si>
  <si>
    <t>GCA_016648825.1</t>
  </si>
  <si>
    <t>https://ftp.ncbi.nlm.nih.gov/genomes/all/GCA/016/648/825/GCA_016648825.1_ASM1664882v1</t>
  </si>
  <si>
    <t>GCA_016648855.1</t>
  </si>
  <si>
    <t>https://ftp.ncbi.nlm.nih.gov/genomes/all/GCA/016/648/855/GCA_016648855.1_ASM1664885v1</t>
  </si>
  <si>
    <t>GCA_016648925.1</t>
  </si>
  <si>
    <t>https://ftp.ncbi.nlm.nih.gov/genomes/all/GCA/016/648/925/GCA_016648925.1_ASM1664892v1</t>
  </si>
  <si>
    <t>GCA_016651435.1</t>
  </si>
  <si>
    <t>HMT-428</t>
  </si>
  <si>
    <t>Marseille-Q4567</t>
  </si>
  <si>
    <t>https://ftp.ncbi.nlm.nih.gov/genomes/all/GCA/016/651/435/GCA_016651435.1_ASM1665143v1</t>
  </si>
  <si>
    <t>GCA_016658865.1</t>
  </si>
  <si>
    <t>S022-V7-A3</t>
  </si>
  <si>
    <t>https://ftp.ncbi.nlm.nih.gov/genomes/all/GCA/016/658/865/GCA_016658865.1_ASM1665886v1</t>
  </si>
  <si>
    <t>HMT 175</t>
  </si>
  <si>
    <t>https://ftp.ncbi.nlm.nih.gov/genomes/all/GCA/016/694/895/GCA_016694895.1_ASM1669489v1</t>
  </si>
  <si>
    <t>GCA_016695195.1</t>
  </si>
  <si>
    <t>MSA_JNM24C1</t>
  </si>
  <si>
    <t>https://ftp.ncbi.nlm.nih.gov/genomes/all/GCA/016/695/195/GCA_016695195.1_ASM1669519v1</t>
  </si>
  <si>
    <t>GCA_016695445.1</t>
  </si>
  <si>
    <t>MSA_JNM60C2</t>
  </si>
  <si>
    <t>https://ftp.ncbi.nlm.nih.gov/genomes/all/GCA/016/695/445/GCA_016695445.1_ASM1669544v1</t>
  </si>
  <si>
    <t>GCA_016725005.1</t>
  </si>
  <si>
    <t>FDAARGOS_1156</t>
  </si>
  <si>
    <t>https://ftp.ncbi.nlm.nih.gov/genomes/all/GCA/016/725/005/GCA_016725005.1_ASM1672500v1</t>
  </si>
  <si>
    <t>GCA_016725185.1</t>
  </si>
  <si>
    <t>FDAARGOS_1155</t>
  </si>
  <si>
    <t>https://ftp.ncbi.nlm.nih.gov/genomes/all/GCA/016/725/185/GCA_016725185.1_ASM1672518v1</t>
  </si>
  <si>
    <t>GCA_016725205.1</t>
  </si>
  <si>
    <t>FDAARGOS_1152</t>
  </si>
  <si>
    <t>https://ftp.ncbi.nlm.nih.gov/genomes/all/GCA/016/725/205/GCA_016725205.1_ASM1672520v1</t>
  </si>
  <si>
    <t>GCA_016725285.1</t>
  </si>
  <si>
    <t>FDAARGOS_1151</t>
  </si>
  <si>
    <t>https://ftp.ncbi.nlm.nih.gov/genomes/all/GCA/016/725/285/GCA_016725285.1_ASM1672528v1</t>
  </si>
  <si>
    <t>FDAARGOS_1097</t>
  </si>
  <si>
    <t>https://ftp.ncbi.nlm.nih.gov/genomes/all/GCA/016/726/305/GCA_016726305.1_ASM1672630v1</t>
  </si>
  <si>
    <t>GCA_016726365.1</t>
  </si>
  <si>
    <t>FDAARGOS_1137</t>
  </si>
  <si>
    <t>https://ftp.ncbi.nlm.nih.gov/genomes/all/GCA/016/726/365/GCA_016726365.1_ASM1672636v1</t>
  </si>
  <si>
    <t>GCA_016726485.1</t>
  </si>
  <si>
    <t>FDAARGOS_1136</t>
  </si>
  <si>
    <t>https://ftp.ncbi.nlm.nih.gov/genomes/all/GCA/016/726/485/GCA_016726485.1_ASM1672648v1</t>
  </si>
  <si>
    <t>GCA_016726625.1</t>
  </si>
  <si>
    <t>FDAARGOS_1094</t>
  </si>
  <si>
    <t>https://ftp.ncbi.nlm.nih.gov/genomes/all/GCA/016/726/625/GCA_016726625.1_ASM1672662v1</t>
  </si>
  <si>
    <t>GCA_016727585.1</t>
  </si>
  <si>
    <t>FDAARGOS_1086</t>
  </si>
  <si>
    <t>https://ftp.ncbi.nlm.nih.gov/genomes/all/GCA/016/727/585/GCA_016727585.1_ASM1672758v1</t>
  </si>
  <si>
    <t>GCA_016728105.1</t>
  </si>
  <si>
    <t>FDAARGOS_1115</t>
  </si>
  <si>
    <t>https://ftp.ncbi.nlm.nih.gov/genomes/all/GCA/016/728/105/GCA_016728105.1_ASM1672810v1</t>
  </si>
  <si>
    <t>GCA_016728205.1</t>
  </si>
  <si>
    <t>FDAARGOS_1116</t>
  </si>
  <si>
    <t>https://ftp.ncbi.nlm.nih.gov/genomes/all/GCA/016/728/205/GCA_016728205.1_ASM1672820v1</t>
  </si>
  <si>
    <t>GCA_016728365.1</t>
  </si>
  <si>
    <t>FDAARGOS_1117</t>
  </si>
  <si>
    <t>https://ftp.ncbi.nlm.nih.gov/genomes/all/GCA/016/728/365/GCA_016728365.1_ASM1672836v1</t>
  </si>
  <si>
    <t>GCA_016728625.1</t>
  </si>
  <si>
    <t>FDAARGOS_1113</t>
  </si>
  <si>
    <t>https://ftp.ncbi.nlm.nih.gov/genomes/all/GCA/016/728/625/GCA_016728625.1_ASM1672862v1</t>
  </si>
  <si>
    <t>GCA_016728665.1</t>
  </si>
  <si>
    <t>FDAARGOS_1112</t>
  </si>
  <si>
    <t>https://ftp.ncbi.nlm.nih.gov/genomes/all/GCA/016/728/665/GCA_016728665.1_ASM1672866v1</t>
  </si>
  <si>
    <t>GCA_016728685.1</t>
  </si>
  <si>
    <t>FDAARGOS_1110</t>
  </si>
  <si>
    <t>https://ftp.ncbi.nlm.nih.gov/genomes/all/GCA/016/728/685/GCA_016728685.1_ASM1672868v1</t>
  </si>
  <si>
    <t>GCA_016728705.1</t>
  </si>
  <si>
    <t>FDAARGOS_1109</t>
  </si>
  <si>
    <t>https://ftp.ncbi.nlm.nih.gov/genomes/all/GCA/016/728/705/GCA_016728705.1_ASM1672870v1</t>
  </si>
  <si>
    <t>GCA_016728725.1</t>
  </si>
  <si>
    <t>FDAARGOS_1108</t>
  </si>
  <si>
    <t>https://ftp.ncbi.nlm.nih.gov/genomes/all/GCA/016/728/725/GCA_016728725.1_ASM1672872v1</t>
  </si>
  <si>
    <t>GCA_016728745.1</t>
  </si>
  <si>
    <t>FDAARGOS_1107</t>
  </si>
  <si>
    <t>https://ftp.ncbi.nlm.nih.gov/genomes/all/GCA/016/728/745/GCA_016728745.1_ASM1672874v1</t>
  </si>
  <si>
    <t>GCA_016745315.2</t>
  </si>
  <si>
    <t>PCC 9108</t>
  </si>
  <si>
    <t>https://ftp.ncbi.nlm.nih.gov/genomes/all/GCA/016/745/315/GCA_016745315.2_ASM1674531v2</t>
  </si>
  <si>
    <t>GCA_016747995.1</t>
  </si>
  <si>
    <t>ASHA-001</t>
  </si>
  <si>
    <t>https://ftp.ncbi.nlm.nih.gov/genomes/all/GCA/016/747/995/GCA_016747995.1_ASM1674799v1</t>
  </si>
  <si>
    <t>GCA_016751935.1</t>
  </si>
  <si>
    <t>FDAARGOS_1070</t>
  </si>
  <si>
    <t>https://ftp.ncbi.nlm.nih.gov/genomes/all/GCA/016/751/935/GCA_016751935.1_ASM1675193v1</t>
  </si>
  <si>
    <t>GCA_016755635.1</t>
  </si>
  <si>
    <t>PUNO-003</t>
  </si>
  <si>
    <t>https://ftp.ncbi.nlm.nih.gov/genomes/all/GCA/016/755/635/GCA_016755635.1_ASM1675563v1</t>
  </si>
  <si>
    <t>GCA_016766735.1</t>
  </si>
  <si>
    <t>KGMB02810</t>
  </si>
  <si>
    <t>https://ftp.ncbi.nlm.nih.gov/genomes/all/GCA/016/766/735/GCA_016766735.1_ASM1676673v1</t>
  </si>
  <si>
    <t>GCA_016766755.1</t>
  </si>
  <si>
    <t>KGMB09337</t>
  </si>
  <si>
    <t>https://ftp.ncbi.nlm.nih.gov/genomes/all/GCA/016/766/755/GCA_016766755.1_ASM1676675v1</t>
  </si>
  <si>
    <t>GCA_016766895.1</t>
  </si>
  <si>
    <t>FDAARGOS_1102</t>
  </si>
  <si>
    <t>https://ftp.ncbi.nlm.nih.gov/genomes/all/GCA/016/766/895/GCA_016766895.1_ASM1676689v1</t>
  </si>
  <si>
    <t>FDAARGOS_1098</t>
  </si>
  <si>
    <t>https://ftp.ncbi.nlm.nih.gov/genomes/all/GCA/016/766/915/GCA_016766915.1_ASM1676691v1</t>
  </si>
  <si>
    <t>FDAARGOS_1099</t>
  </si>
  <si>
    <t>https://ftp.ncbi.nlm.nih.gov/genomes/all/GCA/016/766/935/GCA_016766935.1_ASM1676693v1</t>
  </si>
  <si>
    <t>GCA_016775375.1</t>
  </si>
  <si>
    <t>03NH</t>
  </si>
  <si>
    <t>https://ftp.ncbi.nlm.nih.gov/genomes/all/GCA/016/775/375/GCA_016775375.1_ASM1677537v1</t>
  </si>
  <si>
    <t>GCA_016785885.1</t>
  </si>
  <si>
    <t>PRD07</t>
  </si>
  <si>
    <t>https://ftp.ncbi.nlm.nih.gov/genomes/all/GCA/016/785/885/GCA_016785885.1_ASM1678588v1</t>
  </si>
  <si>
    <t>GCA_016791525.1</t>
  </si>
  <si>
    <t>13T098</t>
  </si>
  <si>
    <t>https://ftp.ncbi.nlm.nih.gov/genomes/all/GCA/016/791/525/GCA_016791525.1_ASM1679152v1</t>
  </si>
  <si>
    <t>GCA_016791565.1</t>
  </si>
  <si>
    <t>DVP1-17-1678</t>
  </si>
  <si>
    <t>https://ftp.ncbi.nlm.nih.gov/genomes/all/GCA/016/791/565/GCA_016791565.1_ASM1679156v1</t>
  </si>
  <si>
    <t>GCA_016791585.1</t>
  </si>
  <si>
    <t>DVP1-17-2344</t>
  </si>
  <si>
    <t>https://ftp.ncbi.nlm.nih.gov/genomes/all/GCA/016/791/585/GCA_016791585.1_ASM1679158v1</t>
  </si>
  <si>
    <t>GCA_016791605.1</t>
  </si>
  <si>
    <t>HMT-548</t>
  </si>
  <si>
    <t>asaccharolyticus</t>
  </si>
  <si>
    <t>FDAARGOS_1135</t>
  </si>
  <si>
    <t>https://ftp.ncbi.nlm.nih.gov/genomes/all/GCA/016/791/605/GCA_016791605.1_ASM1679160v1</t>
  </si>
  <si>
    <t>GCA_016802425.1</t>
  </si>
  <si>
    <t>SRRSH204</t>
  </si>
  <si>
    <t>https://ftp.ncbi.nlm.nih.gov/genomes/all/GCA/016/802/425/GCA_016802425.1_ASM1680242v1</t>
  </si>
  <si>
    <t>GCA_016804245.1</t>
  </si>
  <si>
    <t>MBAZ2</t>
  </si>
  <si>
    <t>https://ftp.ncbi.nlm.nih.gov/genomes/all/GCA/016/804/245/GCA_016804245.1_ASM1680424v1</t>
  </si>
  <si>
    <t>AHN 8751</t>
  </si>
  <si>
    <t>https://ftp.ncbi.nlm.nih.gov/genomes/all/GCA/016/806/945/GCA_016806945.1_ASM1680694v1</t>
  </si>
  <si>
    <t>AHN 9798</t>
  </si>
  <si>
    <t>https://ftp.ncbi.nlm.nih.gov/genomes/all/GCA/016/806/965/GCA_016806965.1_ASM1680696v1</t>
  </si>
  <si>
    <t>AHN 9528</t>
  </si>
  <si>
    <t>https://ftp.ncbi.nlm.nih.gov/genomes/all/GCA/016/806/985/GCA_016806985.1_ASM1680698v1</t>
  </si>
  <si>
    <t>AHN 8471 = CCUG 51856 = NCTC 13374</t>
  </si>
  <si>
    <t>https://ftp.ncbi.nlm.nih.gov/genomes/all/GCA/016/806/995/GCA_016806995.1_ASM1680699v1</t>
  </si>
  <si>
    <t>AHN9576</t>
  </si>
  <si>
    <t>https://ftp.ncbi.nlm.nih.gov/genomes/all/GCA/016/807/025/GCA_016807025.1_ASM1680702v1</t>
  </si>
  <si>
    <t>GCA_016808715.1</t>
  </si>
  <si>
    <t>s52</t>
  </si>
  <si>
    <t>https://ftp.ncbi.nlm.nih.gov/genomes/all/GCA/016/808/715/GCA_016808715.1_ASM1680871v1</t>
  </si>
  <si>
    <t>GCA_016808995.1</t>
  </si>
  <si>
    <t>s38</t>
  </si>
  <si>
    <t>https://ftp.ncbi.nlm.nih.gov/genomes/all/GCA/016/808/995/GCA_016808995.1_ASM1680899v1</t>
  </si>
  <si>
    <t>GCA_016834475.1</t>
  </si>
  <si>
    <t>Z0118SE0269</t>
  </si>
  <si>
    <t>https://ftp.ncbi.nlm.nih.gov/genomes/all/GCA/016/834/475/GCA_016834475.1_ASM1683447v1</t>
  </si>
  <si>
    <t>GCA_016834535.1</t>
  </si>
  <si>
    <t>KCTC 5339</t>
  </si>
  <si>
    <t>https://ftp.ncbi.nlm.nih.gov/genomes/all/GCA/016/834/535/GCA_016834535.1_ASM1683453v1</t>
  </si>
  <si>
    <t>GCA_016861285.1</t>
  </si>
  <si>
    <t>TA8730</t>
  </si>
  <si>
    <t>https://ftp.ncbi.nlm.nih.gov/genomes/all/GCA/016/861/285/GCA_016861285.1_ASM1686128v1</t>
  </si>
  <si>
    <t>GCA_016888605.1</t>
  </si>
  <si>
    <t>FDAARGOS_1206</t>
  </si>
  <si>
    <t>https://ftp.ncbi.nlm.nih.gov/genomes/all/GCA/016/888/605/GCA_016888605.1_ASM1688860v1</t>
  </si>
  <si>
    <t>GCA_016888845.1</t>
  </si>
  <si>
    <t>https://ftp.ncbi.nlm.nih.gov/genomes/all/GCA/016/888/845/GCA_016888845.1_ASM1688884v1</t>
  </si>
  <si>
    <t>FDAARGOS_1234</t>
  </si>
  <si>
    <t>https://ftp.ncbi.nlm.nih.gov/genomes/all/GCA/016/888/905/GCA_016888905.1_ASM1688890v1</t>
  </si>
  <si>
    <t>GCA_016889165.1</t>
  </si>
  <si>
    <t>FDAARGOS_1243</t>
  </si>
  <si>
    <t>https://ftp.ncbi.nlm.nih.gov/genomes/all/GCA/016/889/165/GCA_016889165.1_ASM1688916v1</t>
  </si>
  <si>
    <t>FDAARGOS_1200</t>
  </si>
  <si>
    <t>https://ftp.ncbi.nlm.nih.gov/genomes/all/GCA/016/889/285/GCA_016889285.1_ASM1688928v1</t>
  </si>
  <si>
    <t>GCA_016889365.1</t>
  </si>
  <si>
    <t>FDAARGOS_1192</t>
  </si>
  <si>
    <t>https://ftp.ncbi.nlm.nih.gov/genomes/all/GCA/016/889/365/GCA_016889365.1_ASM1688936v1</t>
  </si>
  <si>
    <t>GCA_016889385.1</t>
  </si>
  <si>
    <t>FDAARGOS_1199</t>
  </si>
  <si>
    <t>https://ftp.ncbi.nlm.nih.gov/genomes/all/GCA/016/889/385/GCA_016889385.1_ASM1688938v1</t>
  </si>
  <si>
    <t>GCA_016889405.1</t>
  </si>
  <si>
    <t>FDAARGOS_1194</t>
  </si>
  <si>
    <t>https://ftp.ncbi.nlm.nih.gov/genomes/all/GCA/016/889/405/GCA_016889405.1_ASM1688940v1</t>
  </si>
  <si>
    <t>GCA_016889425.1</t>
  </si>
  <si>
    <t>FDAARGOS_1189</t>
  </si>
  <si>
    <t>https://ftp.ncbi.nlm.nih.gov/genomes/all/GCA/016/889/425/GCA_016889425.1_ASM1688942v1</t>
  </si>
  <si>
    <t>GCA_016889445.1</t>
  </si>
  <si>
    <t>FDAARGOS_1197</t>
  </si>
  <si>
    <t>https://ftp.ncbi.nlm.nih.gov/genomes/all/GCA/016/889/445/GCA_016889445.1_ASM1688944v1</t>
  </si>
  <si>
    <t>GCA_016889465.1</t>
  </si>
  <si>
    <t>FDAARGOS_1195</t>
  </si>
  <si>
    <t>https://ftp.ncbi.nlm.nih.gov/genomes/all/GCA/016/889/465/GCA_016889465.1_ASM1688946v1</t>
  </si>
  <si>
    <t>FDAARGOS_1219</t>
  </si>
  <si>
    <t>https://ftp.ncbi.nlm.nih.gov/genomes/all/GCA/016/889/745/GCA_016889745.1_ASM1688974v1</t>
  </si>
  <si>
    <t>GCA_016889765.1</t>
  </si>
  <si>
    <t>FDAARGOS_1196</t>
  </si>
  <si>
    <t>https://ftp.ncbi.nlm.nih.gov/genomes/all/GCA/016/889/765/GCA_016889765.1_ASM1688976v1</t>
  </si>
  <si>
    <t>GCA_016889885.1</t>
  </si>
  <si>
    <t>FDAARGOS_1208</t>
  </si>
  <si>
    <t>https://ftp.ncbi.nlm.nih.gov/genomes/all/GCA/016/889/885/GCA_016889885.1_ASM1688988v1</t>
  </si>
  <si>
    <t>GCA_016889985.1</t>
  </si>
  <si>
    <t>FDAARGOS_1242</t>
  </si>
  <si>
    <t>https://ftp.ncbi.nlm.nih.gov/genomes/all/GCA/016/889/985/GCA_016889985.1_ASM1688998v1</t>
  </si>
  <si>
    <t>FDAARGOS_1235</t>
  </si>
  <si>
    <t>https://ftp.ncbi.nlm.nih.gov/genomes/all/GCA/016/894/185/GCA_016894185.1_ASM1689418v1</t>
  </si>
  <si>
    <t>GCA_016894265.1</t>
  </si>
  <si>
    <t>FDAARGOS_1198</t>
  </si>
  <si>
    <t>https://ftp.ncbi.nlm.nih.gov/genomes/all/GCA/016/894/265/GCA_016894265.1_ASM1689426v1</t>
  </si>
  <si>
    <t>GCA_016900855.1</t>
  </si>
  <si>
    <t>AR-0945</t>
  </si>
  <si>
    <t>https://ftp.ncbi.nlm.nih.gov/genomes/all/GCA/016/900/855/GCA_016900855.1_ASM1690085v1</t>
  </si>
  <si>
    <t>GCA_016901195.1</t>
  </si>
  <si>
    <t>BIN1</t>
  </si>
  <si>
    <t>https://ftp.ncbi.nlm.nih.gov/genomes/all/GCA/016/901/195/GCA_016901195.1_ASM1690119v1</t>
  </si>
  <si>
    <t>GCA_016903555.1</t>
  </si>
  <si>
    <t>FDAARGOS_1363</t>
  </si>
  <si>
    <t>https://ftp.ncbi.nlm.nih.gov/genomes/all/GCA/016/903/555/GCA_016903555.1_ASM1690355v1</t>
  </si>
  <si>
    <t>GCA_016903575.1</t>
  </si>
  <si>
    <t>FDAARGOS_1364</t>
  </si>
  <si>
    <t>https://ftp.ncbi.nlm.nih.gov/genomes/all/GCA/016/903/575/GCA_016903575.1_ASM1690357v1</t>
  </si>
  <si>
    <t>GCA_016905945.1</t>
  </si>
  <si>
    <t>BP-168</t>
  </si>
  <si>
    <t>https://ftp.ncbi.nlm.nih.gov/genomes/all/GCA/016/905/945/GCA_016905945.1_ASM1690594v1</t>
  </si>
  <si>
    <t>GCA_016907735.1</t>
  </si>
  <si>
    <t>HMT-340</t>
  </si>
  <si>
    <t>Brevibacterium</t>
  </si>
  <si>
    <t>paucivorans</t>
  </si>
  <si>
    <t>DSM 13657</t>
  </si>
  <si>
    <t>https://ftp.ncbi.nlm.nih.gov/genomes/all/GCA/016/907/735/GCA_016907735.1_ASM1690773v1</t>
  </si>
  <si>
    <t>GCA_016907795.1</t>
  </si>
  <si>
    <t>TAGA27</t>
  </si>
  <si>
    <t>https://ftp.ncbi.nlm.nih.gov/genomes/all/GCA/016/907/795/GCA_016907795.1_ASM1690779v1</t>
  </si>
  <si>
    <t>GCA_016939715.1</t>
  </si>
  <si>
    <t>PM52260</t>
  </si>
  <si>
    <t>https://ftp.ncbi.nlm.nih.gov/genomes/all/GCA/016/939/715/GCA_016939715.1_ASM1693971v1</t>
  </si>
  <si>
    <t>GCA_017086425.1</t>
  </si>
  <si>
    <t>SB1-57</t>
  </si>
  <si>
    <t>https://ftp.ncbi.nlm.nih.gov/genomes/all/GCA/017/086/425/GCA_017086425.1_ASM1708642v1</t>
  </si>
  <si>
    <t>GCA_017132775.1</t>
  </si>
  <si>
    <t>KCTC 3128</t>
  </si>
  <si>
    <t>https://ftp.ncbi.nlm.nih.gov/genomes/all/GCA/017/132/775/GCA_017132775.1_ASM1713277v1</t>
  </si>
  <si>
    <t>GCA_017161225.1</t>
  </si>
  <si>
    <t>T19</t>
  </si>
  <si>
    <t>https://ftp.ncbi.nlm.nih.gov/genomes/all/GCA/017/161/225/GCA_017161225.1_ASM1716122v1</t>
  </si>
  <si>
    <t>GCA_017161265.1</t>
  </si>
  <si>
    <t>https://ftp.ncbi.nlm.nih.gov/genomes/all/GCA/017/161/265/GCA_017161265.1_ASM1716126v1</t>
  </si>
  <si>
    <t>GCA_017167155.1</t>
  </si>
  <si>
    <t>F6_7S_P_4</t>
  </si>
  <si>
    <t>https://ftp.ncbi.nlm.nih.gov/genomes/all/GCA/017/167/155/GCA_017167155.1_ASM1716715v1</t>
  </si>
  <si>
    <t>GCA_017167265.1</t>
  </si>
  <si>
    <t>F6_7S_B_1</t>
  </si>
  <si>
    <t>https://ftp.ncbi.nlm.nih.gov/genomes/all/GCA/017/167/265/GCA_017167265.1_ASM1716726v1</t>
  </si>
  <si>
    <t>GCA_017167295.1</t>
  </si>
  <si>
    <t>F6_7S_P_1</t>
  </si>
  <si>
    <t>https://ftp.ncbi.nlm.nih.gov/genomes/all/GCA/017/167/295/GCA_017167295.1_ASM1716729v1</t>
  </si>
  <si>
    <t>GCA_017167485.1</t>
  </si>
  <si>
    <t>F6_1S_P_2</t>
  </si>
  <si>
    <t>https://ftp.ncbi.nlm.nih.gov/genomes/all/GCA/017/167/485/GCA_017167485.1_ASM1716748v1</t>
  </si>
  <si>
    <t>GCA_017167505.1</t>
  </si>
  <si>
    <t>F5_7S_P7</t>
  </si>
  <si>
    <t>https://ftp.ncbi.nlm.nih.gov/genomes/all/GCA/017/167/505/GCA_017167505.1_ASM1716750v1</t>
  </si>
  <si>
    <t>GCA_017167635.1</t>
  </si>
  <si>
    <t>F5_7S_P4</t>
  </si>
  <si>
    <t>https://ftp.ncbi.nlm.nih.gov/genomes/all/GCA/017/167/635/GCA_017167635.1_ASM1716763v1</t>
  </si>
  <si>
    <t>GCA_017167685.1</t>
  </si>
  <si>
    <t>F5_7S_P2B</t>
  </si>
  <si>
    <t>https://ftp.ncbi.nlm.nih.gov/genomes/all/GCA/017/167/685/GCA_017167685.1_ASM1716768v1</t>
  </si>
  <si>
    <t>GCA_017167735.1</t>
  </si>
  <si>
    <t>F5_7S_P2A</t>
  </si>
  <si>
    <t>https://ftp.ncbi.nlm.nih.gov/genomes/all/GCA/017/167/735/GCA_017167735.1_ASM1716773v1</t>
  </si>
  <si>
    <t>GCA_017167785.1</t>
  </si>
  <si>
    <t>F5_7S_P12B</t>
  </si>
  <si>
    <t>https://ftp.ncbi.nlm.nih.gov/genomes/all/GCA/017/167/785/GCA_017167785.1_ASM1716778v1</t>
  </si>
  <si>
    <t>GCA_017167825.1</t>
  </si>
  <si>
    <t>F5_7S_P11C</t>
  </si>
  <si>
    <t>https://ftp.ncbi.nlm.nih.gov/genomes/all/GCA/017/167/825/GCA_017167825.1_ASM1716782v1</t>
  </si>
  <si>
    <t>GCA_017170235.1</t>
  </si>
  <si>
    <t>https://ftp.ncbi.nlm.nih.gov/genomes/all/GCA/017/170/235/GCA_017170235.1_ASM1717023v1</t>
  </si>
  <si>
    <t>GCA_017280035.1</t>
  </si>
  <si>
    <t>L13</t>
  </si>
  <si>
    <t>https://ftp.ncbi.nlm.nih.gov/genomes/all/GCA/017/280/035/GCA_017280035.1_ASM1728003v1</t>
  </si>
  <si>
    <t>GCA_017298755.1</t>
  </si>
  <si>
    <t>HMT-115</t>
  </si>
  <si>
    <t>Serratia</t>
  </si>
  <si>
    <t>marcescens</t>
  </si>
  <si>
    <t>ATCC 13880 substr. Sm_S54_jyu2015</t>
  </si>
  <si>
    <t>https://ftp.ncbi.nlm.nih.gov/genomes/all/GCA/017/298/755/GCA_017298755.1_ASM1729875v1</t>
  </si>
  <si>
    <t>GCA_017298855.1</t>
  </si>
  <si>
    <t>ATCC 13880 substr. Sm_S71_jyu2015</t>
  </si>
  <si>
    <t>https://ftp.ncbi.nlm.nih.gov/genomes/all/GCA/017/298/855/GCA_017298855.1_ASM1729885v1</t>
  </si>
  <si>
    <t>GCA_017298895.1</t>
  </si>
  <si>
    <t>ATCC 13880 substr. Sm_S89_jyu2015</t>
  </si>
  <si>
    <t>https://ftp.ncbi.nlm.nih.gov/genomes/all/GCA/017/298/895/GCA_017298895.1_ASM1729889v1</t>
  </si>
  <si>
    <t>GCA_017298975.1</t>
  </si>
  <si>
    <t>ATCC 13880 substr. Sm_S65_jyu2015</t>
  </si>
  <si>
    <t>https://ftp.ncbi.nlm.nih.gov/genomes/all/GCA/017/298/975/GCA_017298975.1_ASM1729897v1</t>
  </si>
  <si>
    <t>GCA_017299035.1</t>
  </si>
  <si>
    <t>ATCC 13880 substr. Sm_S22_jyu2015</t>
  </si>
  <si>
    <t>https://ftp.ncbi.nlm.nih.gov/genomes/all/GCA/017/299/035/GCA_017299035.1_ASM1729903v1</t>
  </si>
  <si>
    <t>GCA_017299275.1</t>
  </si>
  <si>
    <t>ATCC 13880 substr. Sm_S67_jyu2015</t>
  </si>
  <si>
    <t>https://ftp.ncbi.nlm.nih.gov/genomes/all/GCA/017/299/275/GCA_017299275.1_ASM1729927v1</t>
  </si>
  <si>
    <t>GCA_017299315.1</t>
  </si>
  <si>
    <t>ATCC 13880 substr. Sm_S40_jyu2015</t>
  </si>
  <si>
    <t>https://ftp.ncbi.nlm.nih.gov/genomes/all/GCA/017/299/315/GCA_017299315.1_ASM1729931v1</t>
  </si>
  <si>
    <t>GCA_017299535.1</t>
  </si>
  <si>
    <t>ATCC 13880 substr. Sm_S9_jyu2015</t>
  </si>
  <si>
    <t>https://ftp.ncbi.nlm.nih.gov/genomes/all/GCA/017/299/535/GCA_017299535.1_ASM1729953v1</t>
  </si>
  <si>
    <t>GCA_017301315.1</t>
  </si>
  <si>
    <t>ATCC 13880 substr. Sm_S37_jyu2015</t>
  </si>
  <si>
    <t>https://ftp.ncbi.nlm.nih.gov/genomes/all/GCA/017/301/315/GCA_017301315.1_ASM1730131v1</t>
  </si>
  <si>
    <t>GCA_017304535.1</t>
  </si>
  <si>
    <t>SCN18_13_7_16_R1_B_68_91</t>
  </si>
  <si>
    <t>https://ftp.ncbi.nlm.nih.gov/genomes/all/GCA/017/304/535/GCA_017304535.1_ASM1730453v1</t>
  </si>
  <si>
    <t>GCA_017306455.1</t>
  </si>
  <si>
    <t>SCN18_10_11_15_R2_B_70_295</t>
  </si>
  <si>
    <t>https://ftp.ncbi.nlm.nih.gov/genomes/all/GCA/017/306/455/GCA_017306455.1_ASM1730645v1</t>
  </si>
  <si>
    <t>GCA_017306515.1</t>
  </si>
  <si>
    <t>SCN18_26_2_15_R4_P_70_222</t>
  </si>
  <si>
    <t>https://ftp.ncbi.nlm.nih.gov/genomes/all/GCA/017/306/515/GCA_017306515.1_ASM1730651v1</t>
  </si>
  <si>
    <t>KGMB07931</t>
  </si>
  <si>
    <t>https://ftp.ncbi.nlm.nih.gov/genomes/all/GCA/017/309/675/GCA_017309675.2_ASM1730967v2</t>
  </si>
  <si>
    <t>GCA_017315425.1</t>
  </si>
  <si>
    <t>DSM 20325</t>
  </si>
  <si>
    <t>https://ftp.ncbi.nlm.nih.gov/genomes/all/GCA/017/315/425/GCA_017315425.1_ASM1731542v1</t>
  </si>
  <si>
    <t>GCA_017315645.1</t>
  </si>
  <si>
    <t>HAA31</t>
  </si>
  <si>
    <t>https://ftp.ncbi.nlm.nih.gov/genomes/all/GCA/017/315/645/GCA_017315645.1_ASM1731564v1</t>
  </si>
  <si>
    <t>GCA_017315685.1</t>
  </si>
  <si>
    <t>HAF22</t>
  </si>
  <si>
    <t>https://ftp.ncbi.nlm.nih.gov/genomes/all/GCA/017/315/685/GCA_017315685.1_ASM1731568v1</t>
  </si>
  <si>
    <t>GCA_017347365.1</t>
  </si>
  <si>
    <t>NIID777</t>
  </si>
  <si>
    <t>https://ftp.ncbi.nlm.nih.gov/genomes/all/GCA/017/347/365/GCA_017347365.1_ASM1734736v1</t>
  </si>
  <si>
    <t>GCA_017355005.1</t>
  </si>
  <si>
    <t>7b</t>
  </si>
  <si>
    <t>https://ftp.ncbi.nlm.nih.gov/genomes/all/GCA/017/355/005/GCA_017355005.1_ASM1735500v1</t>
  </si>
  <si>
    <t>GCA_017355025.1</t>
  </si>
  <si>
    <t>1b</t>
  </si>
  <si>
    <t>https://ftp.ncbi.nlm.nih.gov/genomes/all/GCA/017/355/025/GCA_017355025.1_ASM1735502v1</t>
  </si>
  <si>
    <t>GCA_017355045.1</t>
  </si>
  <si>
    <t>12b</t>
  </si>
  <si>
    <t>https://ftp.ncbi.nlm.nih.gov/genomes/all/GCA/017/355/045/GCA_017355045.1_ASM1735504v1</t>
  </si>
  <si>
    <t>A2931</t>
  </si>
  <si>
    <t>https://ftp.ncbi.nlm.nih.gov/genomes/all/GCA/017/426/725/GCA_017426725.1_ASM1742672v1</t>
  </si>
  <si>
    <t>https://ftp.ncbi.nlm.nih.gov/genomes/all/GCA/017/504/145/GCA_017504145.1_ASM1750414v1</t>
  </si>
  <si>
    <t>GCA_017565765.1</t>
  </si>
  <si>
    <t>Marseille-Q4570</t>
  </si>
  <si>
    <t>https://ftp.ncbi.nlm.nih.gov/genomes/all/GCA/017/565/765/GCA_017565765.1_ASM1756576v1</t>
  </si>
  <si>
    <t>GCA_017565785.1</t>
  </si>
  <si>
    <t>Marseille-Q4761</t>
  </si>
  <si>
    <t>https://ftp.ncbi.nlm.nih.gov/genomes/all/GCA/017/565/785/GCA_017565785.1_ASM1756578v1</t>
  </si>
  <si>
    <t>GCA_017569245.1</t>
  </si>
  <si>
    <t>BVJ1JL</t>
  </si>
  <si>
    <t>https://ftp.ncbi.nlm.nih.gov/genomes/all/GCA/017/569/245/GCA_017569245.1_ASM1756924v1</t>
  </si>
  <si>
    <t>KGMB01990</t>
  </si>
  <si>
    <t>https://ftp.ncbi.nlm.nih.gov/genomes/all/GCA/017/570/505/GCA_017570505.1_ASM1757050v1</t>
  </si>
  <si>
    <t>GCA_017598955.1</t>
  </si>
  <si>
    <t>28R2A-13</t>
  </si>
  <si>
    <t>https://ftp.ncbi.nlm.nih.gov/genomes/all/GCA/017/598/955/GCA_017598955.1_28R2A-13</t>
  </si>
  <si>
    <t>GCA_017638885.1</t>
  </si>
  <si>
    <t>HL20</t>
  </si>
  <si>
    <t>https://ftp.ncbi.nlm.nih.gov/genomes/all/GCA/017/638/885/GCA_017638885.1_ASM1763888v1</t>
  </si>
  <si>
    <t>GCA_017654245.1</t>
  </si>
  <si>
    <t>ATCC 13880</t>
  </si>
  <si>
    <t>https://ftp.ncbi.nlm.nih.gov/genomes/all/GCA/017/654/245/GCA_017654245.1_ASM1765424v1</t>
  </si>
  <si>
    <t>GCA_017655645.1</t>
  </si>
  <si>
    <t>KPL3256</t>
  </si>
  <si>
    <t>https://ftp.ncbi.nlm.nih.gov/genomes/all/GCA/017/655/645/GCA_017655645.1_ASM1765564v1</t>
  </si>
  <si>
    <t>GCA_017655665.1</t>
  </si>
  <si>
    <t>KPL3250</t>
  </si>
  <si>
    <t>https://ftp.ncbi.nlm.nih.gov/genomes/all/GCA/017/655/665/GCA_017655665.1_ASM1765566v1</t>
  </si>
  <si>
    <t>GCA_017655685.1</t>
  </si>
  <si>
    <t>KPL3090</t>
  </si>
  <si>
    <t>https://ftp.ncbi.nlm.nih.gov/genomes/all/GCA/017/655/685/GCA_017655685.1_ASM1765568v1</t>
  </si>
  <si>
    <t>GCA_017655705.1</t>
  </si>
  <si>
    <t>KPL3264</t>
  </si>
  <si>
    <t>https://ftp.ncbi.nlm.nih.gov/genomes/all/GCA/017/655/705/GCA_017655705.1_ASM1765570v1</t>
  </si>
  <si>
    <t>GCA_017655725.1</t>
  </si>
  <si>
    <t>KPL3086</t>
  </si>
  <si>
    <t>https://ftp.ncbi.nlm.nih.gov/genomes/all/GCA/017/655/725/GCA_017655725.1_ASM1765572v1</t>
  </si>
  <si>
    <t>GCA_017655745.1</t>
  </si>
  <si>
    <t>KPL3084</t>
  </si>
  <si>
    <t>https://ftp.ncbi.nlm.nih.gov/genomes/all/GCA/017/655/745/GCA_017655745.1_ASM1765574v1</t>
  </si>
  <si>
    <t>GCA_017655765.1</t>
  </si>
  <si>
    <t>KPL3077</t>
  </si>
  <si>
    <t>https://ftp.ncbi.nlm.nih.gov/genomes/all/GCA/017/655/765/GCA_017655765.1_ASM1765576v1</t>
  </si>
  <si>
    <t>GCA_017655785.1</t>
  </si>
  <si>
    <t>KPL3070</t>
  </si>
  <si>
    <t>https://ftp.ncbi.nlm.nih.gov/genomes/all/GCA/017/655/785/GCA_017655785.1_ASM1765578v1</t>
  </si>
  <si>
    <t>GCA_017655805.1</t>
  </si>
  <si>
    <t>KPL3246</t>
  </si>
  <si>
    <t>https://ftp.ncbi.nlm.nih.gov/genomes/all/GCA/017/655/805/GCA_017655805.1_ASM1765580v1</t>
  </si>
  <si>
    <t>GCA_017655825.1</t>
  </si>
  <si>
    <t>KPL3069</t>
  </si>
  <si>
    <t>https://ftp.ncbi.nlm.nih.gov/genomes/all/GCA/017/655/825/GCA_017655825.1_ASM1765582v1</t>
  </si>
  <si>
    <t>GCA_017655845.1</t>
  </si>
  <si>
    <t>KPL3065</t>
  </si>
  <si>
    <t>https://ftp.ncbi.nlm.nih.gov/genomes/all/GCA/017/655/845/GCA_017655845.1_ASM1765584v1</t>
  </si>
  <si>
    <t>GCA_017655865.1</t>
  </si>
  <si>
    <t>KPL3052</t>
  </si>
  <si>
    <t>https://ftp.ncbi.nlm.nih.gov/genomes/all/GCA/017/655/865/GCA_017655865.1_ASM1765586v1</t>
  </si>
  <si>
    <t>GCA_017655885.1</t>
  </si>
  <si>
    <t>KPL3050</t>
  </si>
  <si>
    <t>https://ftp.ncbi.nlm.nih.gov/genomes/all/GCA/017/655/885/GCA_017655885.1_ASM1765588v1</t>
  </si>
  <si>
    <t>GCA_017655905.1</t>
  </si>
  <si>
    <t>KPL3043</t>
  </si>
  <si>
    <t>https://ftp.ncbi.nlm.nih.gov/genomes/all/GCA/017/655/905/GCA_017655905.1_ASM1765590v1</t>
  </si>
  <si>
    <t>GCA_017655925.1</t>
  </si>
  <si>
    <t>KPL3033</t>
  </si>
  <si>
    <t>https://ftp.ncbi.nlm.nih.gov/genomes/all/GCA/017/655/925/GCA_017655925.1_ASM1765592v1</t>
  </si>
  <si>
    <t>GCA_017655945.1</t>
  </si>
  <si>
    <t>KPL3274</t>
  </si>
  <si>
    <t>https://ftp.ncbi.nlm.nih.gov/genomes/all/GCA/017/655/945/GCA_017655945.1_ASM1765594v1</t>
  </si>
  <si>
    <t>GCA_017655965.1</t>
  </si>
  <si>
    <t>KPL3911</t>
  </si>
  <si>
    <t>https://ftp.ncbi.nlm.nih.gov/genomes/all/GCA/017/655/965/GCA_017655965.1_ASM1765596v1</t>
  </si>
  <si>
    <t>GCA_017723815.1</t>
  </si>
  <si>
    <t>28R2A-20</t>
  </si>
  <si>
    <t>https://ftp.ncbi.nlm.nih.gov/genomes/all/GCA/017/723/815/GCA_017723815.1_ASM1772381v1</t>
  </si>
  <si>
    <t>GCA_017726655.1</t>
  </si>
  <si>
    <t>6N2</t>
  </si>
  <si>
    <t>https://ftp.ncbi.nlm.nih.gov/genomes/all/GCA/017/726/655/GCA_017726655.1_ASM1772665v1</t>
  </si>
  <si>
    <t>GCA_017743195.1</t>
  </si>
  <si>
    <t>N8</t>
  </si>
  <si>
    <t>https://ftp.ncbi.nlm.nih.gov/genomes/all/GCA/017/743/195/GCA_017743195.1_ASM1774319v1</t>
  </si>
  <si>
    <t>GCA_017743215.1</t>
  </si>
  <si>
    <t>E7</t>
  </si>
  <si>
    <t>https://ftp.ncbi.nlm.nih.gov/genomes/all/GCA/017/743/215/GCA_017743215.1_ASM1774321v1</t>
  </si>
  <si>
    <t>GCA_017753665.1</t>
  </si>
  <si>
    <t>NS20201025</t>
  </si>
  <si>
    <t>https://ftp.ncbi.nlm.nih.gov/genomes/all/GCA/017/753/665/GCA_017753665.1_ASM1775366v1</t>
  </si>
  <si>
    <t>GCA_017792125.1</t>
  </si>
  <si>
    <t>EEELCW01</t>
  </si>
  <si>
    <t>https://ftp.ncbi.nlm.nih.gov/genomes/all/GCA/017/792/125/GCA_017792125.1_ASM1779212v1</t>
  </si>
  <si>
    <t>GCA_017798005.1</t>
  </si>
  <si>
    <t>https://ftp.ncbi.nlm.nih.gov/genomes/all/GCA/017/798/005/GCA_017798005.1_ASM1779800v1</t>
  </si>
  <si>
    <t>GCA_017821195.2</t>
  </si>
  <si>
    <t>DRC3</t>
  </si>
  <si>
    <t>https://ftp.ncbi.nlm.nih.gov/genomes/all/GCA/017/821/195/GCA_017821195.2_ASM1782119v2</t>
  </si>
  <si>
    <t>GCA_017850055.1</t>
  </si>
  <si>
    <t>BBMGS-S02-097</t>
  </si>
  <si>
    <t>https://ftp.ncbi.nlm.nih.gov/genomes/all/GCA/017/850/055/GCA_017850055.1_ASM1785005v1</t>
  </si>
  <si>
    <t>GCA_017874535.1</t>
  </si>
  <si>
    <t>DSM 101193</t>
  </si>
  <si>
    <t>https://ftp.ncbi.nlm.nih.gov/genomes/all/GCA/017/874/535/GCA_017874535.1_ASM1787453v1</t>
  </si>
  <si>
    <t>GCA_017893945.1</t>
  </si>
  <si>
    <t>HMT-724</t>
  </si>
  <si>
    <t>ATCC 700773</t>
  </si>
  <si>
    <t>https://ftp.ncbi.nlm.nih.gov/genomes/all/GCA/017/893/945/GCA_017893945.1_ASM1789394v1</t>
  </si>
  <si>
    <t>GCA_017893965.1</t>
  </si>
  <si>
    <t>ATCC 700770</t>
  </si>
  <si>
    <t>https://ftp.ncbi.nlm.nih.gov/genomes/all/GCA/017/893/965/GCA_017893965.1_ASM1789396v1</t>
  </si>
  <si>
    <t>GCA_017893985.1</t>
  </si>
  <si>
    <t>OMZ 843</t>
  </si>
  <si>
    <t>https://ftp.ncbi.nlm.nih.gov/genomes/all/GCA/017/893/985/GCA_017893985.1_ASM1789398v1</t>
  </si>
  <si>
    <t>GCA_017898045.1</t>
  </si>
  <si>
    <t>MBF02_19J</t>
  </si>
  <si>
    <t>https://ftp.ncbi.nlm.nih.gov/genomes/all/GCA/017/898/045/GCA_017898045.1_ASM1789804v1</t>
  </si>
  <si>
    <t>GCA_018094625.1</t>
  </si>
  <si>
    <t>ATCC 25258</t>
  </si>
  <si>
    <t>https://ftp.ncbi.nlm.nih.gov/genomes/all/GCA/018/094/625/GCA_018094625.1_ASM1809462v1</t>
  </si>
  <si>
    <t>GCA_018127705.1</t>
  </si>
  <si>
    <t>PM007</t>
  </si>
  <si>
    <t>https://ftp.ncbi.nlm.nih.gov/genomes/all/GCA/018/127/705/GCA_018127705.1_ASM1812770v1</t>
  </si>
  <si>
    <t>GCA_018127725.1</t>
  </si>
  <si>
    <t>https://ftp.ncbi.nlm.nih.gov/genomes/all/GCA/018/127/725/GCA_018127725.1_ASM1812772v1</t>
  </si>
  <si>
    <t>GCA_018127745.1</t>
  </si>
  <si>
    <t>HMT-275</t>
  </si>
  <si>
    <t>sp. HMT-275</t>
  </si>
  <si>
    <t>W7780</t>
  </si>
  <si>
    <t>https://ftp.ncbi.nlm.nih.gov/genomes/all/GCA/018/127/745/GCA_018127745.1_ASM1812774v1</t>
  </si>
  <si>
    <t>https://ftp.ncbi.nlm.nih.gov/genomes/all/GCA/018/127/765/GCA_018127765.1_ASM1812776v1</t>
  </si>
  <si>
    <t>GCA_018127785.1</t>
  </si>
  <si>
    <t>https://ftp.ncbi.nlm.nih.gov/genomes/all/GCA/018/127/785/GCA_018127785.1_ASM1812778v1</t>
  </si>
  <si>
    <t>GCA_018127805.1</t>
  </si>
  <si>
    <t>HMT-475</t>
  </si>
  <si>
    <t>sp. HMT-475</t>
  </si>
  <si>
    <t>F0059</t>
  </si>
  <si>
    <t>https://ftp.ncbi.nlm.nih.gov/genomes/all/GCA/018/127/805/GCA_018127805.1_ASM1812780v1</t>
  </si>
  <si>
    <t>GCA_018127825.1</t>
  </si>
  <si>
    <t>F0109</t>
  </si>
  <si>
    <t>https://ftp.ncbi.nlm.nih.gov/genomes/all/GCA/018/127/825/GCA_018127825.1_ASM1812782v1</t>
  </si>
  <si>
    <t>GCA_018127845.1</t>
  </si>
  <si>
    <t>F0630</t>
  </si>
  <si>
    <t>https://ftp.ncbi.nlm.nih.gov/genomes/all/GCA/018/127/845/GCA_018127845.1_ASM1812784v1</t>
  </si>
  <si>
    <t>GCA_018127865.1</t>
  </si>
  <si>
    <t>https://ftp.ncbi.nlm.nih.gov/genomes/all/GCA/018/127/865/GCA_018127865.1_ASM1812786v1</t>
  </si>
  <si>
    <t>F0695</t>
  </si>
  <si>
    <t>https://ftp.ncbi.nlm.nih.gov/genomes/all/GCA/018/127/885/GCA_018127885.1_ASM1812788v1</t>
  </si>
  <si>
    <t>F0692</t>
  </si>
  <si>
    <t>https://ftp.ncbi.nlm.nih.gov/genomes/all/GCA/018/127/905/GCA_018127905.1_ASM1812790v1</t>
  </si>
  <si>
    <t>F0516</t>
  </si>
  <si>
    <t>https://ftp.ncbi.nlm.nih.gov/genomes/all/GCA/018/127/925/GCA_018127925.1_ASM1812792v1</t>
  </si>
  <si>
    <t>F0300</t>
  </si>
  <si>
    <t>https://ftp.ncbi.nlm.nih.gov/genomes/all/GCA/018/127/945/GCA_018127945.1_ASM1812794v1</t>
  </si>
  <si>
    <t>F0301</t>
  </si>
  <si>
    <t>https://ftp.ncbi.nlm.nih.gov/genomes/all/GCA/018/127/965/GCA_018127965.1_ASM1812796v1</t>
  </si>
  <si>
    <t>F0096</t>
  </si>
  <si>
    <t>https://ftp.ncbi.nlm.nih.gov/genomes/all/GCA/018/127/985/GCA_018127985.1_ASM1812798v1</t>
  </si>
  <si>
    <t>F0299</t>
  </si>
  <si>
    <t>https://ftp.ncbi.nlm.nih.gov/genomes/all/GCA/018/128/005/GCA_018128005.1_ASM1812800v1</t>
  </si>
  <si>
    <t>F0054</t>
  </si>
  <si>
    <t>https://ftp.ncbi.nlm.nih.gov/genomes/all/GCA/018/128/045/GCA_018128045.1_ASM1812804v1</t>
  </si>
  <si>
    <t>https://ftp.ncbi.nlm.nih.gov/genomes/all/GCA/018/128/065/GCA_018128065.1_ASM1812806v1</t>
  </si>
  <si>
    <t>F0697</t>
  </si>
  <si>
    <t>https://ftp.ncbi.nlm.nih.gov/genomes/all/GCA/018/128/085/GCA_018128085.1_ASM1812808v1</t>
  </si>
  <si>
    <t>F0106</t>
  </si>
  <si>
    <t>https://ftp.ncbi.nlm.nih.gov/genomes/all/GCA/018/128/105/GCA_018128105.1_ASM1812810v1</t>
  </si>
  <si>
    <t>https://ftp.ncbi.nlm.nih.gov/genomes/all/GCA/018/128/125/GCA_018128125.1_ASM1812812v1</t>
  </si>
  <si>
    <t>https://ftp.ncbi.nlm.nih.gov/genomes/all/GCA/018/128/145/GCA_018128145.1_ASM1812814v1</t>
  </si>
  <si>
    <t>F0288</t>
  </si>
  <si>
    <t>https://ftp.ncbi.nlm.nih.gov/genomes/all/GCA/018/128/165/GCA_018128165.1_ASM1812816v1</t>
  </si>
  <si>
    <t>F0119</t>
  </si>
  <si>
    <t>https://ftp.ncbi.nlm.nih.gov/genomes/all/GCA/018/128/185/GCA_018128185.1_ASM1812818v1</t>
  </si>
  <si>
    <t>F0115</t>
  </si>
  <si>
    <t>https://ftp.ncbi.nlm.nih.gov/genomes/all/GCA/018/128/205/GCA_018128205.1_ASM1812820v1</t>
  </si>
  <si>
    <t>sp. HMT-218</t>
  </si>
  <si>
    <t>F0707</t>
  </si>
  <si>
    <t>https://ftp.ncbi.nlm.nih.gov/genomes/all/GCA/018/128/225/GCA_018128225.1_ASM1812822v1</t>
  </si>
  <si>
    <t>F0705</t>
  </si>
  <si>
    <t>https://ftp.ncbi.nlm.nih.gov/genomes/all/GCA/018/128/245/GCA_018128245.1_ASM1812824v1</t>
  </si>
  <si>
    <t>ORNL-0100</t>
  </si>
  <si>
    <t>https://ftp.ncbi.nlm.nih.gov/genomes/all/GCA/018/128/265/GCA_018128265.1_ASM1812826v1</t>
  </si>
  <si>
    <t>GCA_018128285.1</t>
  </si>
  <si>
    <t>HMT-416</t>
  </si>
  <si>
    <t>sp. HMT-416</t>
  </si>
  <si>
    <t>W9116</t>
  </si>
  <si>
    <t>https://ftp.ncbi.nlm.nih.gov/genomes/all/GCA/018/128/285/GCA_018128285.1_ASM1812828v1</t>
  </si>
  <si>
    <t>GCA_018128305.1</t>
  </si>
  <si>
    <t>W11186</t>
  </si>
  <si>
    <t>https://ftp.ncbi.nlm.nih.gov/genomes/all/GCA/018/128/305/GCA_018128305.1_ASM1812830v1</t>
  </si>
  <si>
    <t>DSMZ 100122</t>
  </si>
  <si>
    <t>https://ftp.ncbi.nlm.nih.gov/genomes/all/GCA/018/128/325/GCA_018128325.1_ASM1812832v1</t>
  </si>
  <si>
    <t>GCA_018128345.1</t>
  </si>
  <si>
    <t>F0231</t>
  </si>
  <si>
    <t>https://ftp.ncbi.nlm.nih.gov/genomes/all/GCA/018/128/345/GCA_018128345.1_ASM1812834v1</t>
  </si>
  <si>
    <t>GCA_018128365.1</t>
  </si>
  <si>
    <t>F0714</t>
  </si>
  <si>
    <t>https://ftp.ncbi.nlm.nih.gov/genomes/all/GCA/018/128/365/GCA_018128365.1_ASM1812836v1</t>
  </si>
  <si>
    <t>GCA_018138085.1</t>
  </si>
  <si>
    <t>F2</t>
  </si>
  <si>
    <t>https://ftp.ncbi.nlm.nih.gov/genomes/all/GCA/018/138/085/GCA_018138085.1_ASM1813808v1</t>
  </si>
  <si>
    <t>GCA_018141745.1</t>
  </si>
  <si>
    <t>LyG-2</t>
  </si>
  <si>
    <t>https://ftp.ncbi.nlm.nih.gov/genomes/all/GCA/018/141/745/GCA_018141745.1_ASM1814174v1</t>
  </si>
  <si>
    <t>GCA_018141765.1</t>
  </si>
  <si>
    <t>LyG-1</t>
  </si>
  <si>
    <t>https://ftp.ncbi.nlm.nih.gov/genomes/all/GCA/018/141/765/GCA_018141765.1_ASM1814176v1</t>
  </si>
  <si>
    <t>GCA_018141805.1</t>
  </si>
  <si>
    <t>GMU202011</t>
  </si>
  <si>
    <t>https://ftp.ncbi.nlm.nih.gov/genomes/all/GCA/018/141/805/GCA_018141805.1_ASM1814180v1</t>
  </si>
  <si>
    <t>F0105</t>
  </si>
  <si>
    <t>https://ftp.ncbi.nlm.nih.gov/genomes/all/GCA/018/141/825/GCA_018141825.1_ASM1814182v1</t>
  </si>
  <si>
    <t>GCA_018141845.1</t>
  </si>
  <si>
    <t>https://ftp.ncbi.nlm.nih.gov/genomes/all/GCA/018/141/845/GCA_018141845.1_ASM1814184v1</t>
  </si>
  <si>
    <t>GCA_018205295.1</t>
  </si>
  <si>
    <t>DD5</t>
  </si>
  <si>
    <t>https://ftp.ncbi.nlm.nih.gov/genomes/all/GCA/018/205/295/GCA_018205295.1_ASM1820529v1</t>
  </si>
  <si>
    <t>GCA_018205675.1</t>
  </si>
  <si>
    <t>DD16</t>
  </si>
  <si>
    <t>https://ftp.ncbi.nlm.nih.gov/genomes/all/GCA/018/205/675/GCA_018205675.1_ASM1820567v1</t>
  </si>
  <si>
    <t>DD22</t>
  </si>
  <si>
    <t>https://ftp.ncbi.nlm.nih.gov/genomes/all/GCA/018/206/015/GCA_018206015.1_ASM1820601v1</t>
  </si>
  <si>
    <t>DD33</t>
  </si>
  <si>
    <t>https://ftp.ncbi.nlm.nih.gov/genomes/all/GCA/018/206/295/GCA_018206295.1_ASM1820629v1</t>
  </si>
  <si>
    <t>GCA_018206505.1</t>
  </si>
  <si>
    <t>DD37</t>
  </si>
  <si>
    <t>https://ftp.ncbi.nlm.nih.gov/genomes/all/GCA/018/206/505/GCA_018206505.1_ASM1820650v1</t>
  </si>
  <si>
    <t>GCA_018206635.1</t>
  </si>
  <si>
    <t>DD41</t>
  </si>
  <si>
    <t>https://ftp.ncbi.nlm.nih.gov/genomes/all/GCA/018/206/635/GCA_018206635.1_ASM1820663v1</t>
  </si>
  <si>
    <t>GCA_018224585.1</t>
  </si>
  <si>
    <t>Marseille-Q1983</t>
  </si>
  <si>
    <t>https://ftp.ncbi.nlm.nih.gov/genomes/all/GCA/018/224/585/GCA_018224585.1_ASM1822458v1</t>
  </si>
  <si>
    <t>APCS1/XY</t>
  </si>
  <si>
    <t>https://ftp.ncbi.nlm.nih.gov/genomes/all/GCA/018/279/805/GCA_018279805.1_ASM1827980v1</t>
  </si>
  <si>
    <t>GCA_018281725.1</t>
  </si>
  <si>
    <t>INC8271</t>
  </si>
  <si>
    <t>https://ftp.ncbi.nlm.nih.gov/genomes/all/GCA/018/281/725/GCA_018281725.1_ASM1828172v1</t>
  </si>
  <si>
    <t>CL11T00C41</t>
  </si>
  <si>
    <t>https://ftp.ncbi.nlm.nih.gov/genomes/all/GCA/018/289/035/GCA_018289035.1_ASM1828903v1</t>
  </si>
  <si>
    <t>CL11T00C03</t>
  </si>
  <si>
    <t>https://ftp.ncbi.nlm.nih.gov/genomes/all/GCA/018/289/135/GCA_018289135.1_ASM1828913v1</t>
  </si>
  <si>
    <t>CL06T03C08</t>
  </si>
  <si>
    <t>https://ftp.ncbi.nlm.nih.gov/genomes/all/GCA/018/289/315/GCA_018289315.1_ASM1828931v1</t>
  </si>
  <si>
    <t>CL06T03C24</t>
  </si>
  <si>
    <t>https://ftp.ncbi.nlm.nih.gov/genomes/all/GCA/018/289/355/GCA_018289355.1_ASM1828935v1</t>
  </si>
  <si>
    <t>CL06T03C18</t>
  </si>
  <si>
    <t>https://ftp.ncbi.nlm.nih.gov/genomes/all/GCA/018/291/825/GCA_018291825.1_ASM1829182v1</t>
  </si>
  <si>
    <t>CL03T12C09</t>
  </si>
  <si>
    <t>https://ftp.ncbi.nlm.nih.gov/genomes/all/GCA/018/292/145/GCA_018292145.1_ASM1829214v1</t>
  </si>
  <si>
    <t>CL03T12C37</t>
  </si>
  <si>
    <t>https://ftp.ncbi.nlm.nih.gov/genomes/all/GCA/018/292/165/GCA_018292165.1_ASM1829216v1</t>
  </si>
  <si>
    <t>GCA_018310275.1</t>
  </si>
  <si>
    <t>E697</t>
  </si>
  <si>
    <t>https://ftp.ncbi.nlm.nih.gov/genomes/all/GCA/018/310/275/GCA_018310275.1_ASM1831027v1</t>
  </si>
  <si>
    <t>GCA_018314255.1</t>
  </si>
  <si>
    <t>https://ftp.ncbi.nlm.nih.gov/genomes/all/GCA/018/314/255/GCA_018314255.1_ASM1831425v1</t>
  </si>
  <si>
    <t>GCA_018323945.1</t>
  </si>
  <si>
    <t>JCM 2421</t>
  </si>
  <si>
    <t>https://ftp.ncbi.nlm.nih.gov/genomes/all/GCA/018/323/945/GCA_018323945.1_ASM1832394v1</t>
  </si>
  <si>
    <t>GCA_018336815.1</t>
  </si>
  <si>
    <t>OMZ 806</t>
  </si>
  <si>
    <t>https://ftp.ncbi.nlm.nih.gov/genomes/all/GCA/018/336/815/GCA_018336815.1_ASM1833681v1</t>
  </si>
  <si>
    <t>GCA_018336855.1</t>
  </si>
  <si>
    <t>YR7</t>
  </si>
  <si>
    <t>https://ftp.ncbi.nlm.nih.gov/genomes/all/GCA/018/336/855/GCA_018336855.1_ASM1833685v1</t>
  </si>
  <si>
    <t>MN2019</t>
  </si>
  <si>
    <t>https://ftp.ncbi.nlm.nih.gov/genomes/all/GCA/018/363/015/GCA_018363015.1_ASM1836301v1</t>
  </si>
  <si>
    <t>GCA_018363095.1</t>
  </si>
  <si>
    <t>FBL6</t>
  </si>
  <si>
    <t>https://ftp.ncbi.nlm.nih.gov/genomes/all/GCA/018/363/095/GCA_018363095.1_ASM1836309v1</t>
  </si>
  <si>
    <t>L3_114_000G1_dasL3_114_000G1_concoct_111</t>
  </si>
  <si>
    <t>https://ftp.ncbi.nlm.nih.gov/genomes/all/GCA/018/363/635/GCA_018363635.1_ASM1836363v1</t>
  </si>
  <si>
    <t>GCA_018363815.1</t>
  </si>
  <si>
    <t>L3_108_103G1_dasL3_108_103G1_maxbin2.maxbin.038</t>
  </si>
  <si>
    <t>https://ftp.ncbi.nlm.nih.gov/genomes/all/GCA/018/363/815/GCA_018363815.1_ASM1836381v1</t>
  </si>
  <si>
    <t>GCA_018363925.1</t>
  </si>
  <si>
    <t>L3_108_103G1_dasL3_108_103G1_concoct_38</t>
  </si>
  <si>
    <t>https://ftp.ncbi.nlm.nih.gov/genomes/all/GCA/018/363/925/GCA_018363925.1_ASM1836392v1</t>
  </si>
  <si>
    <t>GCA_018364005.1</t>
  </si>
  <si>
    <t>L3_108_031G1_dasL3_108_031G1_concoct_20</t>
  </si>
  <si>
    <t>https://ftp.ncbi.nlm.nih.gov/genomes/all/GCA/018/364/005/GCA_018364005.1_ASM1836400v1</t>
  </si>
  <si>
    <t>GCA_018364115.1</t>
  </si>
  <si>
    <t>L3_114_000M1_dasL3_114_000M1_concoct_45</t>
  </si>
  <si>
    <t>https://ftp.ncbi.nlm.nih.gov/genomes/all/GCA/018/364/115/GCA_018364115.1_ASM1836411v1</t>
  </si>
  <si>
    <t>GCA_018364315.1</t>
  </si>
  <si>
    <t>L3_114_237G1_dasL3_114_237G1_maxbin2.maxbin.057</t>
  </si>
  <si>
    <t>https://ftp.ncbi.nlm.nih.gov/genomes/all/GCA/018/364/315/GCA_018364315.1_ASM1836431v1</t>
  </si>
  <si>
    <t>GCA_018364335.1</t>
  </si>
  <si>
    <t>L3_114_237G1_dasL3_114_237G1_concoct_73_sub</t>
  </si>
  <si>
    <t>https://ftp.ncbi.nlm.nih.gov/genomes/all/GCA/018/364/335/GCA_018364335.1_ASM1836433v1</t>
  </si>
  <si>
    <t>GCA_018364355.1</t>
  </si>
  <si>
    <t>L3_114_123G1_dasL3_114_123G1_metabat.metabat.26</t>
  </si>
  <si>
    <t>https://ftp.ncbi.nlm.nih.gov/genomes/all/GCA/018/364/355/GCA_018364355.1_ASM1836435v1</t>
  </si>
  <si>
    <t>GCA_018364995.1</t>
  </si>
  <si>
    <t>L3_131_000M1_dasL3_131_000M1_concoct_5</t>
  </si>
  <si>
    <t>https://ftp.ncbi.nlm.nih.gov/genomes/all/GCA/018/364/995/GCA_018364995.1_ASM1836499v1</t>
  </si>
  <si>
    <t>GCA_018365355.1</t>
  </si>
  <si>
    <t>L3_133_000G1_dasL3_133_000G1_concoct_85</t>
  </si>
  <si>
    <t>https://ftp.ncbi.nlm.nih.gov/genomes/all/GCA/018/365/355/GCA_018365355.1_ASM1836535v1</t>
  </si>
  <si>
    <t>GCA_018365435.1</t>
  </si>
  <si>
    <t>L3_133_000G1_dasL3_133_000G1_concoct_17</t>
  </si>
  <si>
    <t>https://ftp.ncbi.nlm.nih.gov/genomes/all/GCA/018/365/435/GCA_018365435.1_ASM1836543v1</t>
  </si>
  <si>
    <t>GCA_018365475.1</t>
  </si>
  <si>
    <t>L3_132_243G1_dasL3_132_243G1_metabat.metabat.18</t>
  </si>
  <si>
    <t>https://ftp.ncbi.nlm.nih.gov/genomes/all/GCA/018/365/475/GCA_018365475.1_ASM1836547v1</t>
  </si>
  <si>
    <t>GCA_018366045.1</t>
  </si>
  <si>
    <t>L3_128_070G1_dasL3_128_070G1_concoct_9</t>
  </si>
  <si>
    <t>https://ftp.ncbi.nlm.nih.gov/genomes/all/GCA/018/366/045/GCA_018366045.1_ASM1836604v1</t>
  </si>
  <si>
    <t>GCA_018366215.1</t>
  </si>
  <si>
    <t>L3_129_030G1_dasL3_129_030G1_maxbin2.maxbin.005</t>
  </si>
  <si>
    <t>https://ftp.ncbi.nlm.nih.gov/genomes/all/GCA/018/366/215/GCA_018366215.1_ASM1836621v1</t>
  </si>
  <si>
    <t>GCA_018366295.1</t>
  </si>
  <si>
    <t>L3_130_243G1_dasL3_130_243G1_concoct_45</t>
  </si>
  <si>
    <t>https://ftp.ncbi.nlm.nih.gov/genomes/all/GCA/018/366/295/GCA_018366295.1_ASM1836629v1</t>
  </si>
  <si>
    <t>L3_108_000G1_dasL3_108_000G1_metabat.metabat.69</t>
  </si>
  <si>
    <t>https://ftp.ncbi.nlm.nih.gov/genomes/all/GCA/018/366/775/GCA_018366775.1_ASM1836677v1</t>
  </si>
  <si>
    <t>GCA_018366855.1</t>
  </si>
  <si>
    <t>L3_098_000G1_dasL3_098_000G1_concoct_179</t>
  </si>
  <si>
    <t>https://ftp.ncbi.nlm.nih.gov/genomes/all/GCA/018/366/855/GCA_018366855.1_ASM1836685v1</t>
  </si>
  <si>
    <t>GCA_018367315.1</t>
  </si>
  <si>
    <t>L3_098_000G1_dasL3_098_000G1_metabat.metabat.70</t>
  </si>
  <si>
    <t>https://ftp.ncbi.nlm.nih.gov/genomes/all/GCA/018/367/315/GCA_018367315.1_ASM1836731v1</t>
  </si>
  <si>
    <t>GCA_018367555.1</t>
  </si>
  <si>
    <t>L3_098_220G1_dasL3_098_220G1_concoct_36</t>
  </si>
  <si>
    <t>https://ftp.ncbi.nlm.nih.gov/genomes/all/GCA/018/367/555/GCA_018367555.1_ASM1836755v1</t>
  </si>
  <si>
    <t>GCA_018367605.1</t>
  </si>
  <si>
    <t>L3_098_121G1_dasL3_098_121G1_concoct_11_sub</t>
  </si>
  <si>
    <t>https://ftp.ncbi.nlm.nih.gov/genomes/all/GCA/018/367/605/GCA_018367605.1_ASM1836760v1</t>
  </si>
  <si>
    <t>GCA_018367615.1</t>
  </si>
  <si>
    <t>L3_098_053G1_dasL3_098_053G1_concoct_26</t>
  </si>
  <si>
    <t>https://ftp.ncbi.nlm.nih.gov/genomes/all/GCA/018/367/615/GCA_018367615.1_ASM1836761v1</t>
  </si>
  <si>
    <t>GCA_018367695.1</t>
  </si>
  <si>
    <t>L3_098_011G1_dasL3_098_011G1_concoct_7</t>
  </si>
  <si>
    <t>https://ftp.ncbi.nlm.nih.gov/genomes/all/GCA/018/367/695/GCA_018367695.1_ASM1836769v1</t>
  </si>
  <si>
    <t>GCA_018367995.1</t>
  </si>
  <si>
    <t>L3_079_062G2_dasL3_079_062G2_concoct_40</t>
  </si>
  <si>
    <t>https://ftp.ncbi.nlm.nih.gov/genomes/all/GCA/018/367/995/GCA_018367995.1_ASM1836799v1</t>
  </si>
  <si>
    <t>GCA_018369275.1</t>
  </si>
  <si>
    <t>L3_105_085G1_dasL3_105_085G1_maxbin2.maxbin.015</t>
  </si>
  <si>
    <t>https://ftp.ncbi.nlm.nih.gov/genomes/all/GCA/018/369/275/GCA_018369275.1_ASM1836927v1</t>
  </si>
  <si>
    <t>GCA_018369655.1</t>
  </si>
  <si>
    <t>L3_108_000G1_dasL3_108_000G1_concoct_14</t>
  </si>
  <si>
    <t>https://ftp.ncbi.nlm.nih.gov/genomes/all/GCA/018/369/655/GCA_018369655.1_ASM1836965v1</t>
  </si>
  <si>
    <t>GCA_018370505.1</t>
  </si>
  <si>
    <t>L3_101_054G1_dasL3_101_054G1_maxbin2.maxbin.004</t>
  </si>
  <si>
    <t>https://ftp.ncbi.nlm.nih.gov/genomes/all/GCA/018/370/505/GCA_018370505.1_ASM1837050v1</t>
  </si>
  <si>
    <t>GCA_018370625.1</t>
  </si>
  <si>
    <t>L3_102_034G1_dasL3_102_034G1_concoct_6</t>
  </si>
  <si>
    <t>https://ftp.ncbi.nlm.nih.gov/genomes/all/GCA/018/370/625/GCA_018370625.1_ASM1837062v1</t>
  </si>
  <si>
    <t>GCA_018370865.1</t>
  </si>
  <si>
    <t>L3_105_000G1_dasL3_105_000G1_concoct_85</t>
  </si>
  <si>
    <t>https://ftp.ncbi.nlm.nih.gov/genomes/all/GCA/018/370/865/GCA_018370865.1_ASM1837086v1</t>
  </si>
  <si>
    <t>GCA_018370905.1</t>
  </si>
  <si>
    <t>L3_102_363G1_dasL3_102_363G1_concoct_29</t>
  </si>
  <si>
    <t>https://ftp.ncbi.nlm.nih.gov/genomes/all/GCA/018/370/905/GCA_018370905.1_ASM1837090v1</t>
  </si>
  <si>
    <t>GCA_018370955.1</t>
  </si>
  <si>
    <t>L3_102_125G1_dasL3_102_125G1_concoct_3</t>
  </si>
  <si>
    <t>https://ftp.ncbi.nlm.nih.gov/genomes/all/GCA/018/370/955/GCA_018370955.1_ASM1837095v1</t>
  </si>
  <si>
    <t>GCA_018371015.1</t>
  </si>
  <si>
    <t>L3_102_091G1_dasL3_102_091G1_concoct_1</t>
  </si>
  <si>
    <t>https://ftp.ncbi.nlm.nih.gov/genomes/all/GCA/018/371/015/GCA_018371015.1_ASM1837101v1</t>
  </si>
  <si>
    <t>GCA_018371955.1</t>
  </si>
  <si>
    <t>L2_013_000G1_dasL2_013_000G1_metabat.metabat.61_sub</t>
  </si>
  <si>
    <t>https://ftp.ncbi.nlm.nih.gov/genomes/all/GCA/018/371/955/GCA_018371955.1_ASM1837195v1</t>
  </si>
  <si>
    <t>GCA_018372015.1</t>
  </si>
  <si>
    <t>L3_114_000G1_dasL3_114_000G1_concoct_19</t>
  </si>
  <si>
    <t>https://ftp.ncbi.nlm.nih.gov/genomes/all/GCA/018/372/015/GCA_018372015.1_ASM1837201v1</t>
  </si>
  <si>
    <t>L3_101_000G1_dasL3_101_000G1_concoct_104</t>
  </si>
  <si>
    <t>https://ftp.ncbi.nlm.nih.gov/genomes/all/GCA/018/372/275/GCA_018372275.1_ASM1837227v1</t>
  </si>
  <si>
    <t>L2_023_000G1_dasL2_023_000G1_concoct_61</t>
  </si>
  <si>
    <t>https://ftp.ncbi.nlm.nih.gov/genomes/all/GCA/018/372/295/GCA_018372295.1_ASM1837229v1</t>
  </si>
  <si>
    <t>GCA_018372995.1</t>
  </si>
  <si>
    <t>L3_098_047G1_dasL3_098_047G1_concoct_31</t>
  </si>
  <si>
    <t>https://ftp.ncbi.nlm.nih.gov/genomes/all/GCA/018/372/995/GCA_018372995.1_ASM1837299v1</t>
  </si>
  <si>
    <t>GCA_018373115.1</t>
  </si>
  <si>
    <t>L3_082_243G1_dasL3_082_243G1_concoct_21</t>
  </si>
  <si>
    <t>https://ftp.ncbi.nlm.nih.gov/genomes/all/GCA/018/373/115/GCA_018373115.1_ASM1837311v1</t>
  </si>
  <si>
    <t>GCA_018373215.1</t>
  </si>
  <si>
    <t>L3_128_043G1_dasL3_128_043G1_concoct_21</t>
  </si>
  <si>
    <t>https://ftp.ncbi.nlm.nih.gov/genomes/all/GCA/018/373/215/GCA_018373215.1_ASM1837321v1</t>
  </si>
  <si>
    <t>GCA_018373235.1</t>
  </si>
  <si>
    <t>L3_108_039G1_dasL3_108_039G1_concoct_28</t>
  </si>
  <si>
    <t>https://ftp.ncbi.nlm.nih.gov/genomes/all/GCA/018/373/235/GCA_018373235.1_ASM1837323v1</t>
  </si>
  <si>
    <t>GCA_018373375.1</t>
  </si>
  <si>
    <t>L2_013_000G1_dasL2_013_000G1_maxbin2.maxbin.018</t>
  </si>
  <si>
    <t>https://ftp.ncbi.nlm.nih.gov/genomes/all/GCA/018/373/375/GCA_018373375.1_ASM1837337v1</t>
  </si>
  <si>
    <t>GCA_018373395.1</t>
  </si>
  <si>
    <t>L2_021_376G1_dasL2_021_376G1_concoct_14</t>
  </si>
  <si>
    <t>https://ftp.ncbi.nlm.nih.gov/genomes/all/GCA/018/373/395/GCA_018373395.1_ASM1837339v1</t>
  </si>
  <si>
    <t>GCA_018373485.1</t>
  </si>
  <si>
    <t>L2_059_000G1_dasL2_059_000G1_concoct_52</t>
  </si>
  <si>
    <t>https://ftp.ncbi.nlm.nih.gov/genomes/all/GCA/018/373/485/GCA_018373485.1_ASM1837348v1</t>
  </si>
  <si>
    <t>L2_037_123G1_dasL2_037_123G1_concoct_10_sub</t>
  </si>
  <si>
    <t>https://ftp.ncbi.nlm.nih.gov/genomes/all/GCA/018/373/565/GCA_018373565.1_ASM1837356v1</t>
  </si>
  <si>
    <t>GCA_018373775.1</t>
  </si>
  <si>
    <t>L2_059_052G1_dasL2_059_052G1_metabat.metabat.9</t>
  </si>
  <si>
    <t>https://ftp.ncbi.nlm.nih.gov/genomes/all/GCA/018/373/775/GCA_018373775.1_ASM1837377v1</t>
  </si>
  <si>
    <t>GCA_018373795.1</t>
  </si>
  <si>
    <t>L2_059_037G1_dasL2_059_037G1_concoct_11</t>
  </si>
  <si>
    <t>https://ftp.ncbi.nlm.nih.gov/genomes/all/GCA/018/373/795/GCA_018373795.1_ASM1837379v1</t>
  </si>
  <si>
    <t>GCA_018373895.1</t>
  </si>
  <si>
    <t>L2_059_000G1_dasL2_059_000G1_concoct_90</t>
  </si>
  <si>
    <t>https://ftp.ncbi.nlm.nih.gov/genomes/all/GCA/018/373/895/GCA_018373895.1_ASM1837389v1</t>
  </si>
  <si>
    <t>GCA_018373935.1</t>
  </si>
  <si>
    <t>L2_057_061G1_dasL2_057_061G1_concoct_20</t>
  </si>
  <si>
    <t>https://ftp.ncbi.nlm.nih.gov/genomes/all/GCA/018/373/935/GCA_018373935.1_ASM1837393v1</t>
  </si>
  <si>
    <t>GCA_018373995.1</t>
  </si>
  <si>
    <t>L2_057_048G1_dasL2_057_048G1_concoct_15_sub</t>
  </si>
  <si>
    <t>https://ftp.ncbi.nlm.nih.gov/genomes/all/GCA/018/373/995/GCA_018373995.1_ASM1837399v1</t>
  </si>
  <si>
    <t>GCA_018374435.1</t>
  </si>
  <si>
    <t>L3_058_052G1_dasL3_058_052G1_concoct_12</t>
  </si>
  <si>
    <t>https://ftp.ncbi.nlm.nih.gov/genomes/all/GCA/018/374/435/GCA_018374435.1_ASM1837443v1</t>
  </si>
  <si>
    <t>GCA_018374465.1</t>
  </si>
  <si>
    <t>L3_058_063G1_dasL3_058_063G1_maxbin2.maxbin.008</t>
  </si>
  <si>
    <t>https://ftp.ncbi.nlm.nih.gov/genomes/all/GCA/018/374/465/GCA_018374465.1_ASM1837446v1</t>
  </si>
  <si>
    <t>GCA_018374535.1</t>
  </si>
  <si>
    <t>L3_058_000M1_dasL3_058_000M1_concoct_8</t>
  </si>
  <si>
    <t>https://ftp.ncbi.nlm.nih.gov/genomes/all/GCA/018/374/535/GCA_018374535.1_ASM1837453v1</t>
  </si>
  <si>
    <t>GCA_018374795.1</t>
  </si>
  <si>
    <t>L2_040_071G1_dasL2_040_071G1_maxbin2.maxbin.010</t>
  </si>
  <si>
    <t>https://ftp.ncbi.nlm.nih.gov/genomes/all/GCA/018/374/795/GCA_018374795.1_ASM1837479v1</t>
  </si>
  <si>
    <t>GCA_018375015.1</t>
  </si>
  <si>
    <t>L2_040_000G1_dasL2_040_000G1_concoct_81</t>
  </si>
  <si>
    <t>https://ftp.ncbi.nlm.nih.gov/genomes/all/GCA/018/375/015/GCA_018375015.1_ASM1837501v1</t>
  </si>
  <si>
    <t>GCA_018375345.1</t>
  </si>
  <si>
    <t>L2_047_362G1_dasL2_047_362G1_concoct_60</t>
  </si>
  <si>
    <t>https://ftp.ncbi.nlm.nih.gov/genomes/all/GCA/018/375/345/GCA_018375345.1_ASM1837534v1</t>
  </si>
  <si>
    <t>GCA_018375595.1</t>
  </si>
  <si>
    <t>L2_047_000G1_dasL2_047_000G1_concoct_98</t>
  </si>
  <si>
    <t>https://ftp.ncbi.nlm.nih.gov/genomes/all/GCA/018/375/595/GCA_018375595.1_ASM1837559v1</t>
  </si>
  <si>
    <t>GCA_018376035.1</t>
  </si>
  <si>
    <t>L3_069_061G1_dasL3_069_061G1_maxbin2.maxbin.006</t>
  </si>
  <si>
    <t>https://ftp.ncbi.nlm.nih.gov/genomes/all/GCA/018/376/035/GCA_018376035.1_ASM1837603v1</t>
  </si>
  <si>
    <t>GCA_018376055.1</t>
  </si>
  <si>
    <t>L3_069_024G1_dasL3_069_024G1_maxbin2.maxbin.004</t>
  </si>
  <si>
    <t>https://ftp.ncbi.nlm.nih.gov/genomes/all/GCA/018/376/055/GCA_018376055.1_ASM1837605v1</t>
  </si>
  <si>
    <t>GCA_018376335.1</t>
  </si>
  <si>
    <t>L3_069_000G1_dasL3_069_000G1_concoct_2</t>
  </si>
  <si>
    <t>https://ftp.ncbi.nlm.nih.gov/genomes/all/GCA/018/376/335/GCA_018376335.1_ASM1837633v1</t>
  </si>
  <si>
    <t>GCA_018376515.1</t>
  </si>
  <si>
    <t>L3_072_011G1_dasL3_072_011G1_concoct_4</t>
  </si>
  <si>
    <t>https://ftp.ncbi.nlm.nih.gov/genomes/all/GCA/018/376/515/GCA_018376515.1_ASM1837651v1</t>
  </si>
  <si>
    <t>GCA_018376955.1</t>
  </si>
  <si>
    <t>L3_068_243G1_dasL3_068_243G1_maxbin2.maxbin.007</t>
  </si>
  <si>
    <t>https://ftp.ncbi.nlm.nih.gov/genomes/all/GCA/018/376/955/GCA_018376955.1_ASM1837695v1</t>
  </si>
  <si>
    <t>GCA_018377045.1</t>
  </si>
  <si>
    <t>L3_063_000G1_dasL3_063_000G1_maxbin2.maxbin.098</t>
  </si>
  <si>
    <t>https://ftp.ncbi.nlm.nih.gov/genomes/all/GCA/018/377/045/GCA_018377045.1_ASM1837704v1</t>
  </si>
  <si>
    <t>GCA_018377135.1</t>
  </si>
  <si>
    <t>L3_063_000G1_dasL3_063_000G1_concoct_18</t>
  </si>
  <si>
    <t>https://ftp.ncbi.nlm.nih.gov/genomes/all/GCA/018/377/135/GCA_018377135.1_ASM1837713v1</t>
  </si>
  <si>
    <t>GCA_018378045.1</t>
  </si>
  <si>
    <t>L2_039_000G1_dasL2_039_000G1_maxbin2.maxbin.073</t>
  </si>
  <si>
    <t>https://ftp.ncbi.nlm.nih.gov/genomes/all/GCA/018/378/045/GCA_018378045.1_ASM1837804v1</t>
  </si>
  <si>
    <t>GCA_018378165.1</t>
  </si>
  <si>
    <t>L2_013_000G1_dasL2_013_000G1_metabat.metabat.46_sub</t>
  </si>
  <si>
    <t>https://ftp.ncbi.nlm.nih.gov/genomes/all/GCA/018/378/165/GCA_018378165.1_ASM1837816v1</t>
  </si>
  <si>
    <t>L2_013_000G1_dasL2_013_000G1_concoct_44_sub</t>
  </si>
  <si>
    <t>https://ftp.ncbi.nlm.nih.gov/genomes/all/GCA/018/378/275/GCA_018378275.1_ASM1837827v1</t>
  </si>
  <si>
    <t>GCA_018378335.1</t>
  </si>
  <si>
    <t>L1_008_364G1_dasL1_008_364G1_concoct_37</t>
  </si>
  <si>
    <t>https://ftp.ncbi.nlm.nih.gov/genomes/all/GCA/018/378/335/GCA_018378335.1_ASM1837833v1</t>
  </si>
  <si>
    <t>GCA_018378345.1</t>
  </si>
  <si>
    <t>L1_008_364G1_dasL1_008_364G1_concoct_34_sub</t>
  </si>
  <si>
    <t>https://ftp.ncbi.nlm.nih.gov/genomes/all/GCA/018/378/345/GCA_018378345.1_ASM1837834v1</t>
  </si>
  <si>
    <t>GCA_018378435.1</t>
  </si>
  <si>
    <t>L1_008_241G1_dasL1_008_241G1_concoct_7</t>
  </si>
  <si>
    <t>https://ftp.ncbi.nlm.nih.gov/genomes/all/GCA/018/378/435/GCA_018378435.1_ASM1837843v1</t>
  </si>
  <si>
    <t>GCA_018378535.1</t>
  </si>
  <si>
    <t>L1_008_092G1_dasL1_008_092G1_concoct_16</t>
  </si>
  <si>
    <t>https://ftp.ncbi.nlm.nih.gov/genomes/all/GCA/018/378/535/GCA_018378535.1_ASM1837853v1</t>
  </si>
  <si>
    <t>L2_013_037G1_dasL2_013_037G1_metabat.metabat.15</t>
  </si>
  <si>
    <t>https://ftp.ncbi.nlm.nih.gov/genomes/all/GCA/018/378/595/GCA_018378595.1_ASM1837859v1</t>
  </si>
  <si>
    <t>GCA_018378815.1</t>
  </si>
  <si>
    <t>L2_013_245G1_dasL2_013_245G1_concoct_5</t>
  </si>
  <si>
    <t>https://ftp.ncbi.nlm.nih.gov/genomes/all/GCA/018/378/815/GCA_018378815.1_ASM1837881v1</t>
  </si>
  <si>
    <t>GCA_018378995.1</t>
  </si>
  <si>
    <t>L2_013_122G1_dasL2_013_122G1_concoct_36</t>
  </si>
  <si>
    <t>https://ftp.ncbi.nlm.nih.gov/genomes/all/GCA/018/378/995/GCA_018378995.1_ASM1837899v1</t>
  </si>
  <si>
    <t>GCA_018379055.1</t>
  </si>
  <si>
    <t>L2_013_037G1_dasL2_013_037G1_metabat.metabat.27</t>
  </si>
  <si>
    <t>https://ftp.ncbi.nlm.nih.gov/genomes/all/GCA/018/379/055/GCA_018379055.1_ASM1837905v1</t>
  </si>
  <si>
    <t>GCA_018379175.1</t>
  </si>
  <si>
    <t>L1_007_122G1_dasL1_007_122G1_concoct_24</t>
  </si>
  <si>
    <t>https://ftp.ncbi.nlm.nih.gov/genomes/all/GCA/018/379/175/GCA_018379175.1_ASM1837917v1</t>
  </si>
  <si>
    <t>GCA_018379295.1</t>
  </si>
  <si>
    <t>L1_007_061G1_dasL1_007_061G1_concoct_11</t>
  </si>
  <si>
    <t>https://ftp.ncbi.nlm.nih.gov/genomes/all/GCA/018/379/295/GCA_018379295.1_ASM1837929v1</t>
  </si>
  <si>
    <t>GCA_018380075.1</t>
  </si>
  <si>
    <t>L1_007_365G1_dasL1_007_365G1_metabat.metabat.9</t>
  </si>
  <si>
    <t>https://ftp.ncbi.nlm.nih.gov/genomes/all/GCA/018/380/075/GCA_018380075.1_ASM1838007v1</t>
  </si>
  <si>
    <t>GCA_018380325.1</t>
  </si>
  <si>
    <t>L2_037_047G1_dasL2_037_047G1_maxbin2.maxbin.001</t>
  </si>
  <si>
    <t>https://ftp.ncbi.nlm.nih.gov/genomes/all/GCA/018/380/325/GCA_018380325.1_ASM1838032v1</t>
  </si>
  <si>
    <t>GCA_018380915.1</t>
  </si>
  <si>
    <t>L2_039_000G1_dasL2_039_000G1_concoct_54</t>
  </si>
  <si>
    <t>https://ftp.ncbi.nlm.nih.gov/genomes/all/GCA/018/380/915/GCA_018380915.1_ASM1838091v1</t>
  </si>
  <si>
    <t>GCA_018381075.1</t>
  </si>
  <si>
    <t>L2_038_092G1_dasL2_038_092G1_concoct_40</t>
  </si>
  <si>
    <t>https://ftp.ncbi.nlm.nih.gov/genomes/all/GCA/018/381/075/GCA_018381075.1_ASM1838107v1</t>
  </si>
  <si>
    <t>GCA_018381415.1</t>
  </si>
  <si>
    <t>L2_023_015G1_dasL2_023_015G1_concoct_7</t>
  </si>
  <si>
    <t>https://ftp.ncbi.nlm.nih.gov/genomes/all/GCA/018/381/415/GCA_018381415.1_ASM1838141v1</t>
  </si>
  <si>
    <t>GCA_018381475.1</t>
  </si>
  <si>
    <t>L2_022_103G1_dasL2_022_103G1_maxbin2.maxbin.005</t>
  </si>
  <si>
    <t>https://ftp.ncbi.nlm.nih.gov/genomes/all/GCA/018/381/475/GCA_018381475.1_ASM1838147v1</t>
  </si>
  <si>
    <t>GCA_018381695.1</t>
  </si>
  <si>
    <t>L2_021_251G1_dasL2_021_251G1_concoct_12</t>
  </si>
  <si>
    <t>https://ftp.ncbi.nlm.nih.gov/genomes/all/GCA/018/381/695/GCA_018381695.1_ASM1838169v1</t>
  </si>
  <si>
    <t>GCA_018381755.1</t>
  </si>
  <si>
    <t>L2_021_096G1_dasL2_021_096G1_concoct_19</t>
  </si>
  <si>
    <t>https://ftp.ncbi.nlm.nih.gov/genomes/all/GCA/018/381/755/GCA_018381755.1_ASM1838175v1</t>
  </si>
  <si>
    <t>GCA_018382395.1</t>
  </si>
  <si>
    <t>L2_023_068G1_dasL2_023_068G1_metabat.metabat.4</t>
  </si>
  <si>
    <t>https://ftp.ncbi.nlm.nih.gov/genomes/all/GCA/018/382/395/GCA_018382395.1_ASM1838239v1</t>
  </si>
  <si>
    <t>GCA_018406505.1</t>
  </si>
  <si>
    <t>S12025-13</t>
  </si>
  <si>
    <t>https://ftp.ncbi.nlm.nih.gov/genomes/all/GCA/018/406/505/GCA_018406505.1_ASM1840650v1</t>
  </si>
  <si>
    <t>GCA_018407735.1</t>
  </si>
  <si>
    <t>1I27</t>
  </si>
  <si>
    <t>https://ftp.ncbi.nlm.nih.gov/genomes/all/GCA/018/407/735/GCA_018407735.1_ASM1840773v1</t>
  </si>
  <si>
    <t>GCA_018407745.1</t>
  </si>
  <si>
    <t>1I23</t>
  </si>
  <si>
    <t>https://ftp.ncbi.nlm.nih.gov/genomes/all/GCA/018/407/745/GCA_018407745.1_ASM1840774v1</t>
  </si>
  <si>
    <t>GCA_018407905.1</t>
  </si>
  <si>
    <t>1H29</t>
  </si>
  <si>
    <t>https://ftp.ncbi.nlm.nih.gov/genomes/all/GCA/018/407/905/GCA_018407905.1_ASM1840790v1</t>
  </si>
  <si>
    <t>GCA_018407965.1</t>
  </si>
  <si>
    <t>1H22</t>
  </si>
  <si>
    <t>https://ftp.ncbi.nlm.nih.gov/genomes/all/GCA/018/407/965/GCA_018407965.1_ASM1840796v1</t>
  </si>
  <si>
    <t>GCA_018408075.1</t>
  </si>
  <si>
    <t>1H20</t>
  </si>
  <si>
    <t>https://ftp.ncbi.nlm.nih.gov/genomes/all/GCA/018/408/075/GCA_018408075.1_ASM1840807v1</t>
  </si>
  <si>
    <t>GCA_018456105.1</t>
  </si>
  <si>
    <t>MBF12-19J</t>
  </si>
  <si>
    <t>https://ftp.ncbi.nlm.nih.gov/genomes/all/GCA/018/456/105/GCA_018456105.1_ASM1845610v1</t>
  </si>
  <si>
    <t>CL03T12C04</t>
  </si>
  <si>
    <t>https://ftp.ncbi.nlm.nih.gov/genomes/all/GCA/018/492/835/GCA_018492835.1_ASM1849283v1</t>
  </si>
  <si>
    <t>GCA_018499385.1</t>
  </si>
  <si>
    <t>PA11332C3</t>
  </si>
  <si>
    <t>https://ftp.ncbi.nlm.nih.gov/genomes/all/GCA/018/499/385/GCA_018499385.1_ASM1849938v1</t>
  </si>
  <si>
    <t>GCA_018499465.1</t>
  </si>
  <si>
    <t>P468302</t>
  </si>
  <si>
    <t>https://ftp.ncbi.nlm.nih.gov/genomes/all/GCA/018/499/465/GCA_018499465.1_ASM1849946v1</t>
  </si>
  <si>
    <t>GCA_018499505.1</t>
  </si>
  <si>
    <t>P430801</t>
  </si>
  <si>
    <t>https://ftp.ncbi.nlm.nih.gov/genomes/all/GCA/018/499/505/GCA_018499505.1_ASM1849950v1</t>
  </si>
  <si>
    <t>GCA_018499575.1</t>
  </si>
  <si>
    <t>PA11599CN2</t>
  </si>
  <si>
    <t>https://ftp.ncbi.nlm.nih.gov/genomes/all/GCA/018/499/575/GCA_018499575.1_ASM1849957v1</t>
  </si>
  <si>
    <t>GCA_018588765.1</t>
  </si>
  <si>
    <t>Smu93</t>
  </si>
  <si>
    <t>https://ftp.ncbi.nlm.nih.gov/genomes/all/GCA/018/588/765/GCA_018588765.1_ASM1858876v1</t>
  </si>
  <si>
    <t>GCA_018588785.1</t>
  </si>
  <si>
    <t>Smu20</t>
  </si>
  <si>
    <t>https://ftp.ncbi.nlm.nih.gov/genomes/all/GCA/018/588/785/GCA_018588785.1_ASM1858878v1</t>
  </si>
  <si>
    <t>GCA_018588825.1</t>
  </si>
  <si>
    <t>https://ftp.ncbi.nlm.nih.gov/genomes/all/GCA/018/588/825/GCA_018588825.1_ASM1858882v1</t>
  </si>
  <si>
    <t>GCA_018619415.1</t>
  </si>
  <si>
    <t>E681</t>
  </si>
  <si>
    <t>https://ftp.ncbi.nlm.nih.gov/genomes/all/GCA/018/619/415/GCA_018619415.1_ASM1861941v1</t>
  </si>
  <si>
    <t>GCA_018726805.1</t>
  </si>
  <si>
    <t>B265</t>
  </si>
  <si>
    <t>https://ftp.ncbi.nlm.nih.gov/genomes/all/GCA/018/726/805/GCA_018726805.1_ASM1872680v1</t>
  </si>
  <si>
    <t>GCA_018783925.1</t>
  </si>
  <si>
    <t>MCC755</t>
  </si>
  <si>
    <t>https://ftp.ncbi.nlm.nih.gov/genomes/all/GCA/018/783/925/GCA_018783925.1_ASM1878392v1</t>
  </si>
  <si>
    <t>GCA_018786185.1</t>
  </si>
  <si>
    <t>MCC001</t>
  </si>
  <si>
    <t>https://ftp.ncbi.nlm.nih.gov/genomes/all/GCA/018/786/185/GCA_018786185.1_ASM1878618v1</t>
  </si>
  <si>
    <t>GCA_018791825.1</t>
  </si>
  <si>
    <t>https://ftp.ncbi.nlm.nih.gov/genomes/all/GCA/018/791/825/GCA_018791825.1_ASM1879182v1</t>
  </si>
  <si>
    <t>GCA_018829685.1</t>
  </si>
  <si>
    <t>SZY H68</t>
  </si>
  <si>
    <t>https://ftp.ncbi.nlm.nih.gov/genomes/all/GCA/018/829/685/GCA_018829685.1_ASM1882968v1</t>
  </si>
  <si>
    <t>GCA_018829705.1</t>
  </si>
  <si>
    <t>SZY H35</t>
  </si>
  <si>
    <t>https://ftp.ncbi.nlm.nih.gov/genomes/all/GCA/018/829/705/GCA_018829705.1_ASM1882970v1</t>
  </si>
  <si>
    <t>GCA_018829755.1</t>
  </si>
  <si>
    <t>SZY H8</t>
  </si>
  <si>
    <t>https://ftp.ncbi.nlm.nih.gov/genomes/all/GCA/018/829/755/GCA_018829755.1_ASM1882975v1</t>
  </si>
  <si>
    <t>Akk0500b</t>
  </si>
  <si>
    <t>https://ftp.ncbi.nlm.nih.gov/genomes/all/GCA/018/847/595/GCA_018847595.1_ASM1884759v1</t>
  </si>
  <si>
    <t>GCA_018884085.1</t>
  </si>
  <si>
    <t>C767</t>
  </si>
  <si>
    <t>https://ftp.ncbi.nlm.nih.gov/genomes/all/GCA/018/884/085/GCA_018884085.1_ASM1888408v1</t>
  </si>
  <si>
    <t>GCA_018884105.1</t>
  </si>
  <si>
    <t>C79</t>
  </si>
  <si>
    <t>https://ftp.ncbi.nlm.nih.gov/genomes/all/GCA/018/884/105/GCA_018884105.1_ASM1888410v1</t>
  </si>
  <si>
    <t>GCA_018884205.1</t>
  </si>
  <si>
    <t>YLF016</t>
  </si>
  <si>
    <t>https://ftp.ncbi.nlm.nih.gov/genomes/all/GCA/018/884/205/GCA_018884205.1_ASM1888420v1</t>
  </si>
  <si>
    <t>GCA_018916935.1</t>
  </si>
  <si>
    <t>N99</t>
  </si>
  <si>
    <t>https://ftp.ncbi.nlm.nih.gov/genomes/all/GCA/018/916/935/GCA_018916935.1_ASM1891693v1</t>
  </si>
  <si>
    <t>GCA_018917165.1</t>
  </si>
  <si>
    <t>N50</t>
  </si>
  <si>
    <t>https://ftp.ncbi.nlm.nih.gov/genomes/all/GCA/018/917/165/GCA_018917165.1_ASM1891716v1</t>
  </si>
  <si>
    <t>GCA_018919245.1</t>
  </si>
  <si>
    <t>UMB8492-1R</t>
  </si>
  <si>
    <t>https://ftp.ncbi.nlm.nih.gov/genomes/all/GCA/018/919/245/GCA_018919245.1_ASM1891924v1</t>
  </si>
  <si>
    <t>GCA_018919345.1</t>
  </si>
  <si>
    <t>UMB1310-1E</t>
  </si>
  <si>
    <t>https://ftp.ncbi.nlm.nih.gov/genomes/all/GCA/018/919/345/GCA_018919345.1_ASM1891934v1</t>
  </si>
  <si>
    <t>GCA_018986335.1</t>
  </si>
  <si>
    <t>https://ftp.ncbi.nlm.nih.gov/genomes/all/GCA/018/986/335/GCA_018986335.1_ASM1898633v1</t>
  </si>
  <si>
    <t>GCA_018987235.1</t>
  </si>
  <si>
    <t>https://ftp.ncbi.nlm.nih.gov/genomes/all/GCA/018/987/235/GCA_018987235.1_ASM1898723v1</t>
  </si>
  <si>
    <t>GCA_018996905.1</t>
  </si>
  <si>
    <t>A3.2</t>
  </si>
  <si>
    <t>https://ftp.ncbi.nlm.nih.gov/genomes/all/GCA/018/996/905/GCA_018996905.1_ASM1899690v1</t>
  </si>
  <si>
    <t>GCA_019013055.1</t>
  </si>
  <si>
    <t>CD12_MAG18</t>
  </si>
  <si>
    <t>https://ftp.ncbi.nlm.nih.gov/genomes/all/GCA/019/013/055/GCA_019013055.1_ASM1901305v1</t>
  </si>
  <si>
    <t>GCA_019046945.1</t>
  </si>
  <si>
    <t>FDAARGOS 1454</t>
  </si>
  <si>
    <t>https://ftp.ncbi.nlm.nih.gov/genomes/all/GCA/019/046/945/GCA_019046945.1_ASM1904694v1</t>
  </si>
  <si>
    <t>GCA_019047505.1</t>
  </si>
  <si>
    <t>FDAARGOS 1455</t>
  </si>
  <si>
    <t>https://ftp.ncbi.nlm.nih.gov/genomes/all/GCA/019/047/505/GCA_019047505.1_ASM1904750v1</t>
  </si>
  <si>
    <t>GCA_019047785.1</t>
  </si>
  <si>
    <t>FDAARGOS 1428</t>
  </si>
  <si>
    <t>https://ftp.ncbi.nlm.nih.gov/genomes/all/GCA/019/047/785/GCA_019047785.1_ASM1904778v1</t>
  </si>
  <si>
    <t>GCA_019047825.1</t>
  </si>
  <si>
    <t>FDAARGOS 1456</t>
  </si>
  <si>
    <t>https://ftp.ncbi.nlm.nih.gov/genomes/all/GCA/019/047/825/GCA_019047825.1_ASM1904782v1</t>
  </si>
  <si>
    <t>GCA_019048025.1</t>
  </si>
  <si>
    <t>FDAARGOS 1453</t>
  </si>
  <si>
    <t>https://ftp.ncbi.nlm.nih.gov/genomes/all/GCA/019/048/025/GCA_019048025.1_ASM1904802v1</t>
  </si>
  <si>
    <t>GCA_019048165.1</t>
  </si>
  <si>
    <t>FDAARGOS 1425</t>
  </si>
  <si>
    <t>https://ftp.ncbi.nlm.nih.gov/genomes/all/GCA/019/048/165/GCA_019048165.1_ASM1904816v1</t>
  </si>
  <si>
    <t>GCA_019048305.1</t>
  </si>
  <si>
    <t>FDAARGOS 1393</t>
  </si>
  <si>
    <t>https://ftp.ncbi.nlm.nih.gov/genomes/all/GCA/019/048/305/GCA_019048305.1_ASM1904830v1</t>
  </si>
  <si>
    <t>GCA_019048325.1</t>
  </si>
  <si>
    <t>FDAARGOS 1437</t>
  </si>
  <si>
    <t>https://ftp.ncbi.nlm.nih.gov/genomes/all/GCA/019/048/325/GCA_019048325.1_ASM1904832v1</t>
  </si>
  <si>
    <t>GCA_019048525.1</t>
  </si>
  <si>
    <t>FDAARGOS 1394</t>
  </si>
  <si>
    <t>https://ftp.ncbi.nlm.nih.gov/genomes/all/GCA/019/048/525/GCA_019048525.1_ASM1904852v1</t>
  </si>
  <si>
    <t>GCA_019048645.1</t>
  </si>
  <si>
    <t>FDAARGOS 1458</t>
  </si>
  <si>
    <t>https://ftp.ncbi.nlm.nih.gov/genomes/all/GCA/019/048/645/GCA_019048645.1_ASM1904864v1</t>
  </si>
  <si>
    <t>GCA_019090945.2</t>
  </si>
  <si>
    <t>Forsyth1A</t>
  </si>
  <si>
    <t>https://ftp.ncbi.nlm.nih.gov/genomes/all/GCA/019/090/945/GCA_019090945.2_ASM1909094v2</t>
  </si>
  <si>
    <t>GCA_019132025.1</t>
  </si>
  <si>
    <t>DFI.5.5</t>
  </si>
  <si>
    <t>https://ftp.ncbi.nlm.nih.gov/genomes/all/GCA/019/132/025/GCA_019132025.1_ASM1913202v1</t>
  </si>
  <si>
    <t>GCA_019149255.1</t>
  </si>
  <si>
    <t>K24</t>
  </si>
  <si>
    <t>https://ftp.ncbi.nlm.nih.gov/genomes/all/GCA/019/149/255/GCA_019149255.1_ASM1914925v1</t>
  </si>
  <si>
    <t>GCA_019222685.1</t>
  </si>
  <si>
    <t>NY5</t>
  </si>
  <si>
    <t>https://ftp.ncbi.nlm.nih.gov/genomes/all/GCA/019/222/685/GCA_019222685.1_ASM1922268v1</t>
  </si>
  <si>
    <t>GCA_019297775.1</t>
  </si>
  <si>
    <t>LPB0409</t>
  </si>
  <si>
    <t>https://ftp.ncbi.nlm.nih.gov/genomes/all/GCA/019/297/775/GCA_019297775.1_ASM1929777v1</t>
  </si>
  <si>
    <t>GCA_019329325.1</t>
  </si>
  <si>
    <t>B1200343</t>
  </si>
  <si>
    <t>https://ftp.ncbi.nlm.nih.gov/genomes/all/GCA/019/329/325/GCA_019329325.1_ASM1932932v1</t>
  </si>
  <si>
    <t>GCA_019329365.1</t>
  </si>
  <si>
    <t>B1208538</t>
  </si>
  <si>
    <t>https://ftp.ncbi.nlm.nih.gov/genomes/all/GCA/019/329/365/GCA_019329365.1_ASM1932936v1</t>
  </si>
  <si>
    <t>GCA_019329405.1</t>
  </si>
  <si>
    <t>B1220165</t>
  </si>
  <si>
    <t>https://ftp.ncbi.nlm.nih.gov/genomes/all/GCA/019/329/405/GCA_019329405.1_ASM1932940v1</t>
  </si>
  <si>
    <t>GCA_019329425.1</t>
  </si>
  <si>
    <t>B1230143</t>
  </si>
  <si>
    <t>https://ftp.ncbi.nlm.nih.gov/genomes/all/GCA/019/329/425/GCA_019329425.1_ASM1932942v1</t>
  </si>
  <si>
    <t>GCA_019329505.1</t>
  </si>
  <si>
    <t>B1262351</t>
  </si>
  <si>
    <t>https://ftp.ncbi.nlm.nih.gov/genomes/all/GCA/019/329/505/GCA_019329505.1_ASM1932950v1</t>
  </si>
  <si>
    <t>GCA_019329525.1</t>
  </si>
  <si>
    <t>B1264454</t>
  </si>
  <si>
    <t>https://ftp.ncbi.nlm.nih.gov/genomes/all/GCA/019/329/525/GCA_019329525.1_ASM1932952v1</t>
  </si>
  <si>
    <t>GCA_019329565.1</t>
  </si>
  <si>
    <t>B1265603</t>
  </si>
  <si>
    <t>https://ftp.ncbi.nlm.nih.gov/genomes/all/GCA/019/329/565/GCA_019329565.1_ASM1932956v1</t>
  </si>
  <si>
    <t>GCA_019329625.1</t>
  </si>
  <si>
    <t>B1266915</t>
  </si>
  <si>
    <t>https://ftp.ncbi.nlm.nih.gov/genomes/all/GCA/019/329/625/GCA_019329625.1_ASM1932962v1</t>
  </si>
  <si>
    <t>GCA_019329665.1</t>
  </si>
  <si>
    <t>B1272014</t>
  </si>
  <si>
    <t>https://ftp.ncbi.nlm.nih.gov/genomes/all/GCA/019/329/665/GCA_019329665.1_ASM1932966v1</t>
  </si>
  <si>
    <t>GCA_019329685.1</t>
  </si>
  <si>
    <t>B1275857</t>
  </si>
  <si>
    <t>https://ftp.ncbi.nlm.nih.gov/genomes/all/GCA/019/329/685/GCA_019329685.1_ASM1932968v1</t>
  </si>
  <si>
    <t>GCA_019329725.1</t>
  </si>
  <si>
    <t>B1276296</t>
  </si>
  <si>
    <t>https://ftp.ncbi.nlm.nih.gov/genomes/all/GCA/019/329/725/GCA_019329725.1_ASM1932972v1</t>
  </si>
  <si>
    <t>GCA_019329745.1</t>
  </si>
  <si>
    <t>B1276912</t>
  </si>
  <si>
    <t>https://ftp.ncbi.nlm.nih.gov/genomes/all/GCA/019/329/745/GCA_019329745.1_ASM1932974v1</t>
  </si>
  <si>
    <t>GCA_019329805.1</t>
  </si>
  <si>
    <t>B1285135</t>
  </si>
  <si>
    <t>https://ftp.ncbi.nlm.nih.gov/genomes/all/GCA/019/329/805/GCA_019329805.1_ASM1932980v1</t>
  </si>
  <si>
    <t>GCA_019330125.1</t>
  </si>
  <si>
    <t>V1933625</t>
  </si>
  <si>
    <t>https://ftp.ncbi.nlm.nih.gov/genomes/all/GCA/019/330/125/GCA_019330125.1_ASM1933012v1</t>
  </si>
  <si>
    <t>GCA_019330145.1</t>
  </si>
  <si>
    <t>V1933793</t>
  </si>
  <si>
    <t>https://ftp.ncbi.nlm.nih.gov/genomes/all/GCA/019/330/145/GCA_019330145.1_ASM1933014v1</t>
  </si>
  <si>
    <t>GCA_019330165.1</t>
  </si>
  <si>
    <t>V1936703</t>
  </si>
  <si>
    <t>https://ftp.ncbi.nlm.nih.gov/genomes/all/GCA/019/330/165/GCA_019330165.1_ASM1933016v1</t>
  </si>
  <si>
    <t>GCA_019330185.1</t>
  </si>
  <si>
    <t>V1937538</t>
  </si>
  <si>
    <t>https://ftp.ncbi.nlm.nih.gov/genomes/all/GCA/019/330/185/GCA_019330185.1_ASM1933018v1</t>
  </si>
  <si>
    <t>GCA_019330205.1</t>
  </si>
  <si>
    <t>V1939586</t>
  </si>
  <si>
    <t>https://ftp.ncbi.nlm.nih.gov/genomes/all/GCA/019/330/205/GCA_019330205.1_ASM1933020v1</t>
  </si>
  <si>
    <t>GCA_019330225.1</t>
  </si>
  <si>
    <t>V1949610</t>
  </si>
  <si>
    <t>https://ftp.ncbi.nlm.nih.gov/genomes/all/GCA/019/330/225/GCA_019330225.1_ASM1933022v1</t>
  </si>
  <si>
    <t>GCA_019330245.1</t>
  </si>
  <si>
    <t>V1950266</t>
  </si>
  <si>
    <t>https://ftp.ncbi.nlm.nih.gov/genomes/all/GCA/019/330/245/GCA_019330245.1_ASM1933024v1</t>
  </si>
  <si>
    <t>GCA_019334565.1</t>
  </si>
  <si>
    <t>https://ftp.ncbi.nlm.nih.gov/genomes/all/GCA/019/334/565/GCA_019334565.1_ASM1933456v1</t>
  </si>
  <si>
    <t>GCA_019334725.1</t>
  </si>
  <si>
    <t>LPB0400</t>
  </si>
  <si>
    <t>https://ftp.ncbi.nlm.nih.gov/genomes/all/GCA/019/334/725/GCA_019334725.1_ASM1933472v1</t>
  </si>
  <si>
    <t>GCA_019334745.1</t>
  </si>
  <si>
    <t>LPB0401</t>
  </si>
  <si>
    <t>https://ftp.ncbi.nlm.nih.gov/genomes/all/GCA/019/334/745/GCA_019334745.1_ASM1933474v1</t>
  </si>
  <si>
    <t>GCA_019334765.1</t>
  </si>
  <si>
    <t>https://ftp.ncbi.nlm.nih.gov/genomes/all/GCA/019/334/765/GCA_019334765.1_ASM1933476v1</t>
  </si>
  <si>
    <t>GCA_019334805.1</t>
  </si>
  <si>
    <t>LPB0405</t>
  </si>
  <si>
    <t>https://ftp.ncbi.nlm.nih.gov/genomes/all/GCA/019/334/805/GCA_019334805.1_ASM1933480v1</t>
  </si>
  <si>
    <t>GCA_019336935.1</t>
  </si>
  <si>
    <t>https://ftp.ncbi.nlm.nih.gov/genomes/all/GCA/019/336/935/GCA_019336935.1_ASM1933693v1</t>
  </si>
  <si>
    <t>GCA_019342945.1</t>
  </si>
  <si>
    <t>ABC208</t>
  </si>
  <si>
    <t>https://ftp.ncbi.nlm.nih.gov/genomes/all/GCA/019/342/945/GCA_019342945.1_ASM1934294v1</t>
  </si>
  <si>
    <t>GCA_019343495.1</t>
  </si>
  <si>
    <t>H7</t>
  </si>
  <si>
    <t>https://ftp.ncbi.nlm.nih.gov/genomes/all/GCA/019/343/495/GCA_019343495.1_ASM1934349v1</t>
  </si>
  <si>
    <t>GCA_019349055.1</t>
  </si>
  <si>
    <t>C128_MRS_SCCmec type VII/X</t>
  </si>
  <si>
    <t>https://ftp.ncbi.nlm.nih.gov/genomes/all/GCA/019/349/055/GCA_019349055.1_ASM1934905v1</t>
  </si>
  <si>
    <t>GCA_019375485.1</t>
  </si>
  <si>
    <t>SCHI0034.S.9</t>
  </si>
  <si>
    <t>https://ftp.ncbi.nlm.nih.gov/genomes/all/GCA/019/375/485/GCA_019375485.1_ASM1937548v1</t>
  </si>
  <si>
    <t>SCHI0043.S.3</t>
  </si>
  <si>
    <t>https://ftp.ncbi.nlm.nih.gov/genomes/all/GCA/019/375/525/GCA_019375525.1_ASM1937552v1</t>
  </si>
  <si>
    <t>SCHI0047.S.2</t>
  </si>
  <si>
    <t>https://ftp.ncbi.nlm.nih.gov/genomes/all/GCA/019/375/575/GCA_019375575.1_ASM1937557v1</t>
  </si>
  <si>
    <t>SCHI0034.S.5</t>
  </si>
  <si>
    <t>https://ftp.ncbi.nlm.nih.gov/genomes/all/GCA/019/375/585/GCA_019375585.1_ASM1937558v1</t>
  </si>
  <si>
    <t>GCA_019375595.1</t>
  </si>
  <si>
    <t>SCHI0028.S.5</t>
  </si>
  <si>
    <t>https://ftp.ncbi.nlm.nih.gov/genomes/all/GCA/019/375/595/GCA_019375595.1_ASM1937559v1</t>
  </si>
  <si>
    <t>SCHI0043.S.2</t>
  </si>
  <si>
    <t>https://ftp.ncbi.nlm.nih.gov/genomes/all/GCA/019/375/605/GCA_019375605.1_ASM1937560v1</t>
  </si>
  <si>
    <t>SCHI0028.S.4</t>
  </si>
  <si>
    <t>https://ftp.ncbi.nlm.nih.gov/genomes/all/GCA/019/375/655/GCA_019375655.1_ASM1937565v1</t>
  </si>
  <si>
    <t>SCHI0027.S.12</t>
  </si>
  <si>
    <t>https://ftp.ncbi.nlm.nih.gov/genomes/all/GCA/019/375/675/GCA_019375675.1_ASM1937567v1</t>
  </si>
  <si>
    <t>SCHI0028.S.1</t>
  </si>
  <si>
    <t>https://ftp.ncbi.nlm.nih.gov/genomes/all/GCA/019/375/695/GCA_019375695.1_ASM1937569v1</t>
  </si>
  <si>
    <t>SCHI0027.S.13</t>
  </si>
  <si>
    <t>https://ftp.ncbi.nlm.nih.gov/genomes/all/GCA/019/375/715/GCA_019375715.1_ASM1937571v1</t>
  </si>
  <si>
    <t>SCHI0027.S.14</t>
  </si>
  <si>
    <t>https://ftp.ncbi.nlm.nih.gov/genomes/all/GCA/019/375/725/GCA_019375725.1_ASM1937572v1</t>
  </si>
  <si>
    <t>SCHI0027.S.11</t>
  </si>
  <si>
    <t>https://ftp.ncbi.nlm.nih.gov/genomes/all/GCA/019/375/745/GCA_019375745.1_ASM1937574v1</t>
  </si>
  <si>
    <t>SCHI0027.S.9</t>
  </si>
  <si>
    <t>https://ftp.ncbi.nlm.nih.gov/genomes/all/GCA/019/375/775/GCA_019375775.1_ASM1937577v1</t>
  </si>
  <si>
    <t>GCA_019375795.1</t>
  </si>
  <si>
    <t>SCHI0018.S.9</t>
  </si>
  <si>
    <t>https://ftp.ncbi.nlm.nih.gov/genomes/all/GCA/019/375/795/GCA_019375795.1_ASM1937579v1</t>
  </si>
  <si>
    <t>SCHI0027.S.6</t>
  </si>
  <si>
    <t>https://ftp.ncbi.nlm.nih.gov/genomes/all/GCA/019/375/815/GCA_019375815.1_ASM1937581v1</t>
  </si>
  <si>
    <t>SCHI0027.S.7</t>
  </si>
  <si>
    <t>https://ftp.ncbi.nlm.nih.gov/genomes/all/GCA/019/375/835/GCA_019375835.1_ASM1937583v1</t>
  </si>
  <si>
    <t>SCHI0011.S.13</t>
  </si>
  <si>
    <t>https://ftp.ncbi.nlm.nih.gov/genomes/all/GCA/019/375/855/GCA_019375855.1_ASM1937585v1</t>
  </si>
  <si>
    <t>SCHI0021.S.9</t>
  </si>
  <si>
    <t>https://ftp.ncbi.nlm.nih.gov/genomes/all/GCA/019/375/865/GCA_019375865.1_ASM1937586v1</t>
  </si>
  <si>
    <t>SCHI0009.S.6</t>
  </si>
  <si>
    <t>https://ftp.ncbi.nlm.nih.gov/genomes/all/GCA/019/375/895/GCA_019375895.1_ASM1937589v1</t>
  </si>
  <si>
    <t>GCA_019375915.1</t>
  </si>
  <si>
    <t>SCHI0011.S.12</t>
  </si>
  <si>
    <t>https://ftp.ncbi.nlm.nih.gov/genomes/all/GCA/019/375/915/GCA_019375915.1_ASM1937591v1</t>
  </si>
  <si>
    <t>SCHI0009.S.5</t>
  </si>
  <si>
    <t>https://ftp.ncbi.nlm.nih.gov/genomes/all/GCA/019/375/935/GCA_019375935.1_ASM1937593v1</t>
  </si>
  <si>
    <t>GCA_019375945.1</t>
  </si>
  <si>
    <t>SCHI0010.S.3</t>
  </si>
  <si>
    <t>https://ftp.ncbi.nlm.nih.gov/genomes/all/GCA/019/375/945/GCA_019375945.1_ASM1937594v1</t>
  </si>
  <si>
    <t>SCHI0006.S.13</t>
  </si>
  <si>
    <t>https://ftp.ncbi.nlm.nih.gov/genomes/all/GCA/019/375/975/GCA_019375975.1_ASM1937597v1</t>
  </si>
  <si>
    <t>SCHI0049.S.1</t>
  </si>
  <si>
    <t>https://ftp.ncbi.nlm.nih.gov/genomes/all/GCA/019/391/735/GCA_019391735.1_ASM1939173v1</t>
  </si>
  <si>
    <t>SCHI0047.S.4</t>
  </si>
  <si>
    <t>https://ftp.ncbi.nlm.nih.gov/genomes/all/GCA/019/391/755/GCA_019391755.1_ASM1939175v1</t>
  </si>
  <si>
    <t>SCHI0044.S.1</t>
  </si>
  <si>
    <t>https://ftp.ncbi.nlm.nih.gov/genomes/all/GCA/019/391/775/GCA_019391775.1_ASM1939177v1</t>
  </si>
  <si>
    <t>GCA_019391785.1</t>
  </si>
  <si>
    <t>SCHI0034.S.8</t>
  </si>
  <si>
    <t>https://ftp.ncbi.nlm.nih.gov/genomes/all/GCA/019/391/785/GCA_019391785.1_ASM1939178v1</t>
  </si>
  <si>
    <t>SCHI0043.S.1</t>
  </si>
  <si>
    <t>https://ftp.ncbi.nlm.nih.gov/genomes/all/GCA/019/391/815/GCA_019391815.1_ASM1939181v1</t>
  </si>
  <si>
    <t>GCA_019391835.1</t>
  </si>
  <si>
    <t>SCHI0042.S.5</t>
  </si>
  <si>
    <t>https://ftp.ncbi.nlm.nih.gov/genomes/all/GCA/019/391/835/GCA_019391835.1_ASM1939183v1</t>
  </si>
  <si>
    <t>SCHI0042.S.4</t>
  </si>
  <si>
    <t>https://ftp.ncbi.nlm.nih.gov/genomes/all/GCA/019/391/855/GCA_019391855.1_ASM1939185v1</t>
  </si>
  <si>
    <t>GCA_019391875.1</t>
  </si>
  <si>
    <t>SCHI0034.S.11</t>
  </si>
  <si>
    <t>https://ftp.ncbi.nlm.nih.gov/genomes/all/GCA/019/391/875/GCA_019391875.1_ASM1939187v1</t>
  </si>
  <si>
    <t>SCHI0034.S.10</t>
  </si>
  <si>
    <t>https://ftp.ncbi.nlm.nih.gov/genomes/all/GCA/019/391/885/GCA_019391885.1_ASM1939188v1</t>
  </si>
  <si>
    <t>GCA_019391915.1</t>
  </si>
  <si>
    <t>SCHI0047.S.3</t>
  </si>
  <si>
    <t>https://ftp.ncbi.nlm.nih.gov/genomes/all/GCA/019/391/915/GCA_019391915.1_ASM1939191v1</t>
  </si>
  <si>
    <t>SCHI0034.S.6</t>
  </si>
  <si>
    <t>https://ftp.ncbi.nlm.nih.gov/genomes/all/GCA/019/391/935/GCA_019391935.1_ASM1939193v1</t>
  </si>
  <si>
    <t>GCA_019400095.1</t>
  </si>
  <si>
    <t>C17-7</t>
  </si>
  <si>
    <t>https://ftp.ncbi.nlm.nih.gov/genomes/all/GCA/019/400/095/GCA_019400095.1_ASM1940009v1</t>
  </si>
  <si>
    <t>GCA_019416205.1</t>
  </si>
  <si>
    <t>HRGM_Genome_3787</t>
  </si>
  <si>
    <t>https://ftp.ncbi.nlm.nih.gov/genomes/all/GCA/019/416/205/GCA_019416205.1_ASM1941620v1</t>
  </si>
  <si>
    <t>GCA_019416225.1</t>
  </si>
  <si>
    <t>HRGM_Genome_3781</t>
  </si>
  <si>
    <t>https://ftp.ncbi.nlm.nih.gov/genomes/all/GCA/019/416/225/GCA_019416225.1_ASM1941622v1</t>
  </si>
  <si>
    <t>GCA_019417565.1</t>
  </si>
  <si>
    <t>HRGM_Genome_2975</t>
  </si>
  <si>
    <t>https://ftp.ncbi.nlm.nih.gov/genomes/all/GCA/019/417/565/GCA_019417565.1_ASM1941756v1</t>
  </si>
  <si>
    <t>GCA_019423945.1</t>
  </si>
  <si>
    <t>HRGM_Genome_1788</t>
  </si>
  <si>
    <t>https://ftp.ncbi.nlm.nih.gov/genomes/all/GCA/019/423/945/GCA_019423945.1_ASM1942394v1</t>
  </si>
  <si>
    <t>GCA_019425065.1</t>
  </si>
  <si>
    <t>HRGM_Genome_0338</t>
  </si>
  <si>
    <t>https://ftp.ncbi.nlm.nih.gov/genomes/all/GCA/019/425/065/GCA_019425065.1_ASM1942506v1</t>
  </si>
  <si>
    <t>GCA_019425175.1</t>
  </si>
  <si>
    <t>HRGM_Genome_0300</t>
  </si>
  <si>
    <t>https://ftp.ncbi.nlm.nih.gov/genomes/all/GCA/019/425/175/GCA_019425175.1_ASM1942517v1</t>
  </si>
  <si>
    <t>GCA_019426365.1</t>
  </si>
  <si>
    <t>https://ftp.ncbi.nlm.nih.gov/genomes/all/GCA/019/426/365/GCA_019426365.1_ASM1942636v1</t>
  </si>
  <si>
    <t>GCA_019426385.1</t>
  </si>
  <si>
    <t>A</t>
  </si>
  <si>
    <t>https://ftp.ncbi.nlm.nih.gov/genomes/all/GCA/019/426/385/GCA_019426385.1_ASM1942638v1</t>
  </si>
  <si>
    <t>GCA_019426405.1</t>
  </si>
  <si>
    <t>D</t>
  </si>
  <si>
    <t>https://ftp.ncbi.nlm.nih.gov/genomes/all/GCA/019/426/405/GCA_019426405.1_ASM1942640v1</t>
  </si>
  <si>
    <t>GCA_019449375.1</t>
  </si>
  <si>
    <t>14-4065</t>
  </si>
  <si>
    <t>https://ftp.ncbi.nlm.nih.gov/genomes/all/GCA/019/449/375/GCA_019449375.1_ASM1944937v1</t>
  </si>
  <si>
    <t>GCA_019456715.1</t>
  </si>
  <si>
    <t>https://ftp.ncbi.nlm.nih.gov/genomes/all/GCA/019/456/715/GCA_019456715.1_ASM1945671v1</t>
  </si>
  <si>
    <t>GCA_019456735.1</t>
  </si>
  <si>
    <t>CCUG 50867</t>
  </si>
  <si>
    <t>https://ftp.ncbi.nlm.nih.gov/genomes/all/GCA/019/456/735/GCA_019456735.1_ASM1945673v1</t>
  </si>
  <si>
    <t>GCA_019456755.1</t>
  </si>
  <si>
    <t>CCUG 50866</t>
  </si>
  <si>
    <t>https://ftp.ncbi.nlm.nih.gov/genomes/all/GCA/019/456/755/GCA_019456755.1_ASM1945675v1</t>
  </si>
  <si>
    <t>GCA_019456815.1</t>
  </si>
  <si>
    <t>CCUG 50869</t>
  </si>
  <si>
    <t>https://ftp.ncbi.nlm.nih.gov/genomes/all/GCA/019/456/815/GCA_019456815.1_ASM1945681v1</t>
  </si>
  <si>
    <t>GCA_019456835.1</t>
  </si>
  <si>
    <t>SLA269</t>
  </si>
  <si>
    <t>https://ftp.ncbi.nlm.nih.gov/genomes/all/GCA/019/456/835/GCA_019456835.1_ASM1945683v1</t>
  </si>
  <si>
    <t>GCA_019456855.1</t>
  </si>
  <si>
    <t>CCUG 50870</t>
  </si>
  <si>
    <t>https://ftp.ncbi.nlm.nih.gov/genomes/all/GCA/019/456/855/GCA_019456855.1_ASM1945685v1</t>
  </si>
  <si>
    <t>GCA_019456875.1</t>
  </si>
  <si>
    <t>SLA982</t>
  </si>
  <si>
    <t>https://ftp.ncbi.nlm.nih.gov/genomes/all/GCA/019/456/875/GCA_019456875.1_ASM1945687v1</t>
  </si>
  <si>
    <t>GCA_019551945.1</t>
  </si>
  <si>
    <t>THCT14E2</t>
  </si>
  <si>
    <t>https://ftp.ncbi.nlm.nih.gov/genomes/all/GCA/019/551/945/GCA_019551945.1_ASM1955194v1</t>
  </si>
  <si>
    <t>GCA_019552005.1</t>
  </si>
  <si>
    <t>THCT14A3</t>
  </si>
  <si>
    <t>https://ftp.ncbi.nlm.nih.gov/genomes/all/GCA/019/552/005/GCA_019552005.1_ASM1955200v1</t>
  </si>
  <si>
    <t>GCA_019552045.1</t>
  </si>
  <si>
    <t>THCT15E1</t>
  </si>
  <si>
    <t>https://ftp.ncbi.nlm.nih.gov/genomes/all/GCA/019/552/045/GCA_019552045.1_ASM1955204v1</t>
  </si>
  <si>
    <t>GCA_019552065.1</t>
  </si>
  <si>
    <t>THCT7E2</t>
  </si>
  <si>
    <t>https://ftp.ncbi.nlm.nih.gov/genomes/all/GCA/019/552/065/GCA_019552065.1_ASM1955206v1</t>
  </si>
  <si>
    <t>GCA_019552085.1</t>
  </si>
  <si>
    <t>THCT7A2</t>
  </si>
  <si>
    <t>https://ftp.ncbi.nlm.nih.gov/genomes/all/GCA/019/552/085/GCA_019552085.1_ASM1955208v1</t>
  </si>
  <si>
    <t>GCA_019552105.1</t>
  </si>
  <si>
    <t>THCT6B3</t>
  </si>
  <si>
    <t>https://ftp.ncbi.nlm.nih.gov/genomes/all/GCA/019/552/105/GCA_019552105.1_ASM1955210v1</t>
  </si>
  <si>
    <t>GCA_019552125.1</t>
  </si>
  <si>
    <t>THCT5A4</t>
  </si>
  <si>
    <t>https://ftp.ncbi.nlm.nih.gov/genomes/all/GCA/019/552/125/GCA_019552125.1_ASM1955212v1</t>
  </si>
  <si>
    <t>GCA_019583395.1</t>
  </si>
  <si>
    <t>https://ftp.ncbi.nlm.nih.gov/genomes/all/GCA/019/583/395/GCA_019583395.1_ASM1958339v1</t>
  </si>
  <si>
    <t>GCA_019602835.1</t>
  </si>
  <si>
    <t>MNS-0</t>
  </si>
  <si>
    <t>https://ftp.ncbi.nlm.nih.gov/genomes/all/GCA/019/602/835/GCA_019602835.1_ASM1960283v1</t>
  </si>
  <si>
    <t>GCA_019653615.1</t>
  </si>
  <si>
    <t>RGB-095930</t>
  </si>
  <si>
    <t>https://ftp.ncbi.nlm.nih.gov/genomes/all/GCA/019/653/615/GCA_019653615.1_ASM1965361v1</t>
  </si>
  <si>
    <t>GCA_019665745.1</t>
  </si>
  <si>
    <t>JY65</t>
  </si>
  <si>
    <t>https://ftp.ncbi.nlm.nih.gov/genomes/all/GCA/019/665/745/GCA_019665745.1_ASM1966574v1</t>
  </si>
  <si>
    <t>GCA_019685475.1</t>
  </si>
  <si>
    <t>78/2016</t>
  </si>
  <si>
    <t>https://ftp.ncbi.nlm.nih.gov/genomes/all/GCA/019/685/475/GCA_019685475.1_ASM1968547v1</t>
  </si>
  <si>
    <t>GCA_019685795.1</t>
  </si>
  <si>
    <t>28/2016</t>
  </si>
  <si>
    <t>https://ftp.ncbi.nlm.nih.gov/genomes/all/GCA/019/685/795/GCA_019685795.1_ASM1968579v1</t>
  </si>
  <si>
    <t>GCA_019685855.1</t>
  </si>
  <si>
    <t>76/2016</t>
  </si>
  <si>
    <t>https://ftp.ncbi.nlm.nih.gov/genomes/all/GCA/019/685/855/GCA_019685855.1_ASM1968585v1</t>
  </si>
  <si>
    <t>GCA_019703365.1</t>
  </si>
  <si>
    <t>CHBN-II-1</t>
  </si>
  <si>
    <t>https://ftp.ncbi.nlm.nih.gov/genomes/all/GCA/019/703/365/GCA_019703365.1_ASM1970336v1</t>
  </si>
  <si>
    <t>GCA_019703385.1</t>
  </si>
  <si>
    <t>CHBN-II-2</t>
  </si>
  <si>
    <t>https://ftp.ncbi.nlm.nih.gov/genomes/all/GCA/019/703/385/GCA_019703385.1_ASM1970338v1</t>
  </si>
  <si>
    <t>GCA_019703405.1</t>
  </si>
  <si>
    <t>CHBN-II-3</t>
  </si>
  <si>
    <t>https://ftp.ncbi.nlm.nih.gov/genomes/all/GCA/019/703/405/GCA_019703405.1_ASM1970340v1</t>
  </si>
  <si>
    <t>GCA_019703425.1</t>
  </si>
  <si>
    <t>CHBN-II-4</t>
  </si>
  <si>
    <t>https://ftp.ncbi.nlm.nih.gov/genomes/all/GCA/019/703/425/GCA_019703425.1_ASM1970342v1</t>
  </si>
  <si>
    <t>GCA_019703455.1</t>
  </si>
  <si>
    <t>CHBN-II-5</t>
  </si>
  <si>
    <t>https://ftp.ncbi.nlm.nih.gov/genomes/all/GCA/019/703/455/GCA_019703455.1_ASM1970345v1</t>
  </si>
  <si>
    <t>GCA_019703495.1</t>
  </si>
  <si>
    <t>CHBN-II-6</t>
  </si>
  <si>
    <t>https://ftp.ncbi.nlm.nih.gov/genomes/all/GCA/019/703/495/GCA_019703495.1_ASM1970349v1</t>
  </si>
  <si>
    <t>GCA_019703525.1</t>
  </si>
  <si>
    <t>CHBN-II-7</t>
  </si>
  <si>
    <t>https://ftp.ncbi.nlm.nih.gov/genomes/all/GCA/019/703/525/GCA_019703525.1_ASM1970352v1</t>
  </si>
  <si>
    <t>GCA_019703545.1</t>
  </si>
  <si>
    <t>CHBN-II-8</t>
  </si>
  <si>
    <t>https://ftp.ncbi.nlm.nih.gov/genomes/all/GCA/019/703/545/GCA_019703545.1_ASM1970354v1</t>
  </si>
  <si>
    <t>GCA_019703575.1</t>
  </si>
  <si>
    <t>CHBN-III-1</t>
  </si>
  <si>
    <t>https://ftp.ncbi.nlm.nih.gov/genomes/all/GCA/019/703/575/GCA_019703575.1_ASM1970357v1</t>
  </si>
  <si>
    <t>GCA_019703595.1</t>
  </si>
  <si>
    <t>CHBN-III-2</t>
  </si>
  <si>
    <t>https://ftp.ncbi.nlm.nih.gov/genomes/all/GCA/019/703/595/GCA_019703595.1_ASM1970359v1</t>
  </si>
  <si>
    <t>GCA_019703615.1</t>
  </si>
  <si>
    <t>CHBN-III-3</t>
  </si>
  <si>
    <t>https://ftp.ncbi.nlm.nih.gov/genomes/all/GCA/019/703/615/GCA_019703615.1_ASM1970361v1</t>
  </si>
  <si>
    <t>GCA_019703635.1</t>
  </si>
  <si>
    <t>CHBN-III-4</t>
  </si>
  <si>
    <t>https://ftp.ncbi.nlm.nih.gov/genomes/all/GCA/019/703/635/GCA_019703635.1_ASM1970363v1</t>
  </si>
  <si>
    <t>GCA_019703655.1</t>
  </si>
  <si>
    <t>CHBN-III-5</t>
  </si>
  <si>
    <t>https://ftp.ncbi.nlm.nih.gov/genomes/all/GCA/019/703/655/GCA_019703655.1_ASM1970365v1</t>
  </si>
  <si>
    <t>GCA_019703675.1</t>
  </si>
  <si>
    <t>CHBN-III-6</t>
  </si>
  <si>
    <t>https://ftp.ncbi.nlm.nih.gov/genomes/all/GCA/019/703/675/GCA_019703675.1_ASM1970367v1</t>
  </si>
  <si>
    <t>GCA_019703695.1</t>
  </si>
  <si>
    <t>CHBN-III-7</t>
  </si>
  <si>
    <t>https://ftp.ncbi.nlm.nih.gov/genomes/all/GCA/019/703/695/GCA_019703695.1_ASM1970369v1</t>
  </si>
  <si>
    <t>GCA_019703715.1</t>
  </si>
  <si>
    <t>CHBN-III-8</t>
  </si>
  <si>
    <t>https://ftp.ncbi.nlm.nih.gov/genomes/all/GCA/019/703/715/GCA_019703715.1_ASM1970371v1</t>
  </si>
  <si>
    <t>GCA_019703735.1</t>
  </si>
  <si>
    <t>CHBN-IV-1</t>
  </si>
  <si>
    <t>https://ftp.ncbi.nlm.nih.gov/genomes/all/GCA/019/703/735/GCA_019703735.1_ASM1970373v1</t>
  </si>
  <si>
    <t>GCA_019703755.1</t>
  </si>
  <si>
    <t>CHBN-V-1</t>
  </si>
  <si>
    <t>https://ftp.ncbi.nlm.nih.gov/genomes/all/GCA/019/703/755/GCA_019703755.1_ASM1970375v1</t>
  </si>
  <si>
    <t>GCA_019703775.1</t>
  </si>
  <si>
    <t>CHBN-V-2</t>
  </si>
  <si>
    <t>https://ftp.ncbi.nlm.nih.gov/genomes/all/GCA/019/703/775/GCA_019703775.1_ASM1970377v1</t>
  </si>
  <si>
    <t>GCA_019703795.1</t>
  </si>
  <si>
    <t>CHBN-V-3</t>
  </si>
  <si>
    <t>https://ftp.ncbi.nlm.nih.gov/genomes/all/GCA/019/703/795/GCA_019703795.1_ASM1970379v1</t>
  </si>
  <si>
    <t>GCA_019704095.1</t>
  </si>
  <si>
    <t>TP-CV4</t>
  </si>
  <si>
    <t>https://ftp.ncbi.nlm.nih.gov/genomes/all/GCA/019/704/095/GCA_019704095.1_ASM1970409v1</t>
  </si>
  <si>
    <t>GCA_019704115.1</t>
  </si>
  <si>
    <t>TPCV-14</t>
  </si>
  <si>
    <t>https://ftp.ncbi.nlm.nih.gov/genomes/all/GCA/019/704/115/GCA_019704115.1_ASM1970411v1</t>
  </si>
  <si>
    <t>GCA_019704575.1</t>
  </si>
  <si>
    <t>KB17-24694</t>
  </si>
  <si>
    <t>https://ftp.ncbi.nlm.nih.gov/genomes/all/GCA/019/704/575/GCA_019704575.1_ASM1970457v1</t>
  </si>
  <si>
    <t>GCA_019714115.1</t>
  </si>
  <si>
    <t>AF1741</t>
  </si>
  <si>
    <t>https://ftp.ncbi.nlm.nih.gov/genomes/all/GCA/019/714/115/GCA_019714115.1_ASM1971411v1</t>
  </si>
  <si>
    <t>GCA_019731115.1</t>
  </si>
  <si>
    <t>K63</t>
  </si>
  <si>
    <t>https://ftp.ncbi.nlm.nih.gov/genomes/all/GCA/019/731/115/GCA_019731115.1_ASM1973111v1</t>
  </si>
  <si>
    <t>GCA_019731485.1</t>
  </si>
  <si>
    <t>K49_2</t>
  </si>
  <si>
    <t>https://ftp.ncbi.nlm.nih.gov/genomes/all/GCA/019/731/485/GCA_019731485.1_ASM1973148v1</t>
  </si>
  <si>
    <t>GCA_019733875.1</t>
  </si>
  <si>
    <t>https://ftp.ncbi.nlm.nih.gov/genomes/all/GCA/019/733/875/GCA_019733875.1_ASM1973387v1</t>
  </si>
  <si>
    <t>GCA_019733955.1</t>
  </si>
  <si>
    <t>K19</t>
  </si>
  <si>
    <t>https://ftp.ncbi.nlm.nih.gov/genomes/all/GCA/019/733/955/GCA_019733955.1_ASM1973395v1</t>
  </si>
  <si>
    <t>GCA_019733995.1</t>
  </si>
  <si>
    <t>https://ftp.ncbi.nlm.nih.gov/genomes/all/GCA/019/733/995/GCA_019733995.1_ASM1973399v1</t>
  </si>
  <si>
    <t>K11</t>
  </si>
  <si>
    <t>https://ftp.ncbi.nlm.nih.gov/genomes/all/GCA/019/734/215/GCA_019734215.1_ASM1973421v1</t>
  </si>
  <si>
    <t>GCA_019748455.1</t>
  </si>
  <si>
    <t>S/N-202-OC-B2</t>
  </si>
  <si>
    <t>https://ftp.ncbi.nlm.nih.gov/genomes/all/GCA/019/748/455/GCA_019748455.1_ASM1974845v1</t>
  </si>
  <si>
    <t>typhae</t>
  </si>
  <si>
    <t>I2-R2</t>
  </si>
  <si>
    <t>https://ftp.ncbi.nlm.nih.gov/genomes/all/GCA/019/748/915/GCA_019748915.1_ASM1974891v1</t>
  </si>
  <si>
    <t>GCA_019797825.1</t>
  </si>
  <si>
    <t>MT-01</t>
  </si>
  <si>
    <t>https://ftp.ncbi.nlm.nih.gov/genomes/all/GCA/019/797/825/GCA_019797825.1_ASM1979782v1</t>
  </si>
  <si>
    <t>GCA_019815145.1</t>
  </si>
  <si>
    <t>MA3-1</t>
  </si>
  <si>
    <t>https://ftp.ncbi.nlm.nih.gov/genomes/all/GCA/019/815/145/GCA_019815145.1_ASM1981514v1</t>
  </si>
  <si>
    <t>GCA_019815155.1</t>
  </si>
  <si>
    <t>MA1-1</t>
  </si>
  <si>
    <t>https://ftp.ncbi.nlm.nih.gov/genomes/all/GCA/019/815/155/GCA_019815155.1_ASM1981515v1</t>
  </si>
  <si>
    <t>GCA_019856215.1</t>
  </si>
  <si>
    <t>https://ftp.ncbi.nlm.nih.gov/genomes/all/GCA/019/856/215/GCA_019856215.1_ASM1985621v1</t>
  </si>
  <si>
    <t>GCA_019879085.1</t>
  </si>
  <si>
    <t>CSMC7.1</t>
  </si>
  <si>
    <t>https://ftp.ncbi.nlm.nih.gov/genomes/all/GCA/019/879/085/GCA_019879085.1_ASM1987908v1</t>
  </si>
  <si>
    <t>GCA_019880465.1</t>
  </si>
  <si>
    <t>HAEC1</t>
  </si>
  <si>
    <t>https://ftp.ncbi.nlm.nih.gov/genomes/all/GCA/019/880/465/GCA_019880465.1_ASM1988046v1</t>
  </si>
  <si>
    <t>GCA_019915445.1</t>
  </si>
  <si>
    <t>SCAID WND1-2021 (9/195)</t>
  </si>
  <si>
    <t>https://ftp.ncbi.nlm.nih.gov/genomes/all/GCA/019/915/445/GCA_019915445.1_ASM1991544v1</t>
  </si>
  <si>
    <t>GCA_019928725.1</t>
  </si>
  <si>
    <t>SY17</t>
  </si>
  <si>
    <t>https://ftp.ncbi.nlm.nih.gov/genomes/all/GCA/019/928/725/GCA_019928725.1_ASM1992872v1</t>
  </si>
  <si>
    <t>GCA_019928745.1</t>
  </si>
  <si>
    <t>STn373</t>
  </si>
  <si>
    <t>https://ftp.ncbi.nlm.nih.gov/genomes/all/GCA/019/928/745/GCA_019928745.1_ASM1992874v1</t>
  </si>
  <si>
    <t>GCA_019928825.1</t>
  </si>
  <si>
    <t>ST249</t>
  </si>
  <si>
    <t>https://ftp.ncbi.nlm.nih.gov/genomes/all/GCA/019/928/825/GCA_019928825.1_ASM1992882v1</t>
  </si>
  <si>
    <t>GCA_019928845.1</t>
  </si>
  <si>
    <t>ST499</t>
  </si>
  <si>
    <t>https://ftp.ncbi.nlm.nih.gov/genomes/all/GCA/019/928/845/GCA_019928845.1_ASM1992884v1</t>
  </si>
  <si>
    <t>GCA_019928885.1</t>
  </si>
  <si>
    <t>ST02</t>
  </si>
  <si>
    <t>https://ftp.ncbi.nlm.nih.gov/genomes/all/GCA/019/928/885/GCA_019928885.1_ASM1992888v1</t>
  </si>
  <si>
    <t>GCA_019928915.1</t>
  </si>
  <si>
    <t>SK37</t>
  </si>
  <si>
    <t>https://ftp.ncbi.nlm.nih.gov/genomes/all/GCA/019/928/915/GCA_019928915.1_ASM1992891v1</t>
  </si>
  <si>
    <t>GCA_019928935.1</t>
  </si>
  <si>
    <t>SK164</t>
  </si>
  <si>
    <t>https://ftp.ncbi.nlm.nih.gov/genomes/all/GCA/019/928/935/GCA_019928935.1_ASM1992893v1</t>
  </si>
  <si>
    <t>GCA_019929005.1</t>
  </si>
  <si>
    <t>SK162</t>
  </si>
  <si>
    <t>https://ftp.ncbi.nlm.nih.gov/genomes/all/GCA/019/929/005/GCA_019929005.1_ASM1992900v1</t>
  </si>
  <si>
    <t>GCA_019929015.1</t>
  </si>
  <si>
    <t>MA4_6</t>
  </si>
  <si>
    <t>https://ftp.ncbi.nlm.nih.gov/genomes/all/GCA/019/929/015/GCA_019929015.1_ASM1992901v1</t>
  </si>
  <si>
    <t>GCA_019929085.1</t>
  </si>
  <si>
    <t>MA17</t>
  </si>
  <si>
    <t>https://ftp.ncbi.nlm.nih.gov/genomes/all/GCA/019/929/085/GCA_019929085.1_ASM1992908v1</t>
  </si>
  <si>
    <t>GCA_019929095.1</t>
  </si>
  <si>
    <t>KO19</t>
  </si>
  <si>
    <t>https://ftp.ncbi.nlm.nih.gov/genomes/all/GCA/019/929/095/GCA_019929095.1_ASM1992909v1</t>
  </si>
  <si>
    <t>GCA_019929105.1</t>
  </si>
  <si>
    <t>KO71</t>
  </si>
  <si>
    <t>https://ftp.ncbi.nlm.nih.gov/genomes/all/GCA/019/929/105/GCA_019929105.1_ASM1992910v1</t>
  </si>
  <si>
    <t>GCA_019929145.1</t>
  </si>
  <si>
    <t>KO9</t>
  </si>
  <si>
    <t>https://ftp.ncbi.nlm.nih.gov/genomes/all/GCA/019/929/145/GCA_019929145.1_ASM1992914v1</t>
  </si>
  <si>
    <t>GCA_019929185.1</t>
  </si>
  <si>
    <t>SK148</t>
  </si>
  <si>
    <t>https://ftp.ncbi.nlm.nih.gov/genomes/all/GCA/019/929/185/GCA_019929185.1_ASM1992918v1</t>
  </si>
  <si>
    <t>GCA_019929205.1</t>
  </si>
  <si>
    <t>https://ftp.ncbi.nlm.nih.gov/genomes/all/GCA/019/929/205/GCA_019929205.1_ASM1992920v1</t>
  </si>
  <si>
    <t>GCA_019929225.1</t>
  </si>
  <si>
    <t>KO16</t>
  </si>
  <si>
    <t>https://ftp.ncbi.nlm.nih.gov/genomes/all/GCA/019/929/225/GCA_019929225.1_ASM1992922v1</t>
  </si>
  <si>
    <t>GCA_019929235.1</t>
  </si>
  <si>
    <t>K103</t>
  </si>
  <si>
    <t>https://ftp.ncbi.nlm.nih.gov/genomes/all/GCA/019/929/235/GCA_019929235.1_ASM1992923v1</t>
  </si>
  <si>
    <t>GCA_019929265.1</t>
  </si>
  <si>
    <t>https://ftp.ncbi.nlm.nih.gov/genomes/all/GCA/019/929/265/GCA_019929265.1_ASM1992926v1</t>
  </si>
  <si>
    <t>GCA_019929285.1</t>
  </si>
  <si>
    <t>KK38</t>
  </si>
  <si>
    <t>https://ftp.ncbi.nlm.nih.gov/genomes/all/GCA/019/929/285/GCA_019929285.1_ASM1992928v1</t>
  </si>
  <si>
    <t>GCA_019929305.1</t>
  </si>
  <si>
    <t>KK42</t>
  </si>
  <si>
    <t>https://ftp.ncbi.nlm.nih.gov/genomes/all/GCA/019/929/305/GCA_019929305.1_ASM1992930v1</t>
  </si>
  <si>
    <t>GCA_019929325.1</t>
  </si>
  <si>
    <t>J22</t>
  </si>
  <si>
    <t>https://ftp.ncbi.nlm.nih.gov/genomes/all/GCA/019/929/325/GCA_019929325.1_ASM1992932v1</t>
  </si>
  <si>
    <t>GCA_019929365.1</t>
  </si>
  <si>
    <t>KK26</t>
  </si>
  <si>
    <t>https://ftp.ncbi.nlm.nih.gov/genomes/all/GCA/019/929/365/GCA_019929365.1_ASM1992936v1</t>
  </si>
  <si>
    <t>GCA_019929405.1</t>
  </si>
  <si>
    <t>https://ftp.ncbi.nlm.nih.gov/genomes/all/GCA/019/929/405/GCA_019929405.1_ASM1992940v1</t>
  </si>
  <si>
    <t>GCA_019929425.1</t>
  </si>
  <si>
    <t>https://ftp.ncbi.nlm.nih.gov/genomes/all/GCA/019/929/425/GCA_019929425.1_ASM1992942v1</t>
  </si>
  <si>
    <t>GCA_019929465.1</t>
  </si>
  <si>
    <t>https://ftp.ncbi.nlm.nih.gov/genomes/all/GCA/019/929/465/GCA_019929465.1_ASM1992946v1</t>
  </si>
  <si>
    <t>GCA_019929505.1</t>
  </si>
  <si>
    <t>SK142</t>
  </si>
  <si>
    <t>https://ftp.ncbi.nlm.nih.gov/genomes/all/GCA/019/929/505/GCA_019929505.1_ASM1992950v1</t>
  </si>
  <si>
    <t>GCA_019929565.1</t>
  </si>
  <si>
    <t>SY96</t>
  </si>
  <si>
    <t>https://ftp.ncbi.nlm.nih.gov/genomes/all/GCA/019/929/565/GCA_019929565.1_ASM1992956v1</t>
  </si>
  <si>
    <t>GCA_019929575.1</t>
  </si>
  <si>
    <t>SY98</t>
  </si>
  <si>
    <t>https://ftp.ncbi.nlm.nih.gov/genomes/all/GCA/019/929/575/GCA_019929575.1_ASM1992957v1</t>
  </si>
  <si>
    <t>GCA_019929605.1</t>
  </si>
  <si>
    <t>SY115</t>
  </si>
  <si>
    <t>https://ftp.ncbi.nlm.nih.gov/genomes/all/GCA/019/929/605/GCA_019929605.1_ASM1992960v1</t>
  </si>
  <si>
    <t>GCA_019929625.1</t>
  </si>
  <si>
    <t>STn450</t>
  </si>
  <si>
    <t>https://ftp.ncbi.nlm.nih.gov/genomes/all/GCA/019/929/625/GCA_019929625.1_ASM1992962v1</t>
  </si>
  <si>
    <t>GCA_019929665.1</t>
  </si>
  <si>
    <t>STn400</t>
  </si>
  <si>
    <t>https://ftp.ncbi.nlm.nih.gov/genomes/all/GCA/019/929/665/GCA_019929665.1_ASM1992966v1</t>
  </si>
  <si>
    <t>GCA_019929705.1</t>
  </si>
  <si>
    <t>SK9</t>
  </si>
  <si>
    <t>https://ftp.ncbi.nlm.nih.gov/genomes/all/GCA/019/929/705/GCA_019929705.1_ASM1992970v1</t>
  </si>
  <si>
    <t>GCA_019929725.1</t>
  </si>
  <si>
    <t>SK186</t>
  </si>
  <si>
    <t>https://ftp.ncbi.nlm.nih.gov/genomes/all/GCA/019/929/725/GCA_019929725.1_ASM1992972v1</t>
  </si>
  <si>
    <t>GCA_019929745.1</t>
  </si>
  <si>
    <t>SK33</t>
  </si>
  <si>
    <t>https://ftp.ncbi.nlm.nih.gov/genomes/all/GCA/019/929/745/GCA_019929745.1_ASM1992974v1</t>
  </si>
  <si>
    <t>GCA_019929765.1</t>
  </si>
  <si>
    <t>https://ftp.ncbi.nlm.nih.gov/genomes/all/GCA/019/929/765/GCA_019929765.1_ASM1992976v1</t>
  </si>
  <si>
    <t>GCA_019929785.1</t>
  </si>
  <si>
    <t>K4</t>
  </si>
  <si>
    <t>https://ftp.ncbi.nlm.nih.gov/genomes/all/GCA/019/929/785/GCA_019929785.1_ASM1992978v1</t>
  </si>
  <si>
    <t>GCA_019929805.1</t>
  </si>
  <si>
    <t>https://ftp.ncbi.nlm.nih.gov/genomes/all/GCA/019/929/805/GCA_019929805.1_ASM1992980v1</t>
  </si>
  <si>
    <t>GCA_019929835.1</t>
  </si>
  <si>
    <t>KK1</t>
  </si>
  <si>
    <t>https://ftp.ncbi.nlm.nih.gov/genomes/all/GCA/019/929/835/GCA_019929835.1_ASM1992983v1</t>
  </si>
  <si>
    <t>GCA_019929865.1</t>
  </si>
  <si>
    <t>DL1</t>
  </si>
  <si>
    <t>https://ftp.ncbi.nlm.nih.gov/genomes/all/GCA/019/929/865/GCA_019929865.1_ASM1992986v1</t>
  </si>
  <si>
    <t>GCA_019929885.1</t>
  </si>
  <si>
    <t>CR53</t>
  </si>
  <si>
    <t>https://ftp.ncbi.nlm.nih.gov/genomes/all/GCA/019/929/885/GCA_019929885.1_ASM1992988v1</t>
  </si>
  <si>
    <t>GCA_019929905.1</t>
  </si>
  <si>
    <t>https://ftp.ncbi.nlm.nih.gov/genomes/all/GCA/019/929/905/GCA_019929905.1_ASM1992990v1</t>
  </si>
  <si>
    <t>GCA_019929925.1</t>
  </si>
  <si>
    <t>CR134</t>
  </si>
  <si>
    <t>https://ftp.ncbi.nlm.nih.gov/genomes/all/GCA/019/929/925/GCA_019929925.1_ASM1992992v1</t>
  </si>
  <si>
    <t>GCA_019929945.1</t>
  </si>
  <si>
    <t>https://ftp.ncbi.nlm.nih.gov/genomes/all/GCA/019/929/945/GCA_019929945.1_ASM1992994v1</t>
  </si>
  <si>
    <t>GCA_019929965.1</t>
  </si>
  <si>
    <t>CR163</t>
  </si>
  <si>
    <t>https://ftp.ncbi.nlm.nih.gov/genomes/all/GCA/019/929/965/GCA_019929965.1_ASM1992996v1</t>
  </si>
  <si>
    <t>GCA_019929985.1</t>
  </si>
  <si>
    <t>https://ftp.ncbi.nlm.nih.gov/genomes/all/GCA/019/929/985/GCA_019929985.1_ASM1992998v1</t>
  </si>
  <si>
    <t>GCA_019930005.1</t>
  </si>
  <si>
    <t>KO70</t>
  </si>
  <si>
    <t>https://ftp.ncbi.nlm.nih.gov/genomes/all/GCA/019/930/005/GCA_019930005.1_ASM1993000v1</t>
  </si>
  <si>
    <t>GCA_019930045.1</t>
  </si>
  <si>
    <t>KO69</t>
  </si>
  <si>
    <t>https://ftp.ncbi.nlm.nih.gov/genomes/all/GCA/019/930/045/GCA_019930045.1_ASM1993004v1</t>
  </si>
  <si>
    <t>GCA_019930105.1</t>
  </si>
  <si>
    <t>SK52 = DSM 20563</t>
  </si>
  <si>
    <t>https://ftp.ncbi.nlm.nih.gov/genomes/all/GCA/019/930/105/GCA_019930105.1_ASM1993010v1</t>
  </si>
  <si>
    <t>GCA_019930605.1</t>
  </si>
  <si>
    <t>FDAARGOS_1486</t>
  </si>
  <si>
    <t>https://ftp.ncbi.nlm.nih.gov/genomes/all/GCA/019/930/605/GCA_019930605.1_ASM1993060v1</t>
  </si>
  <si>
    <t>GCA_019930705.1</t>
  </si>
  <si>
    <t>FDAARGOS_1479</t>
  </si>
  <si>
    <t>https://ftp.ncbi.nlm.nih.gov/genomes/all/GCA/019/930/705/GCA_019930705.1_ASM1993070v1</t>
  </si>
  <si>
    <t>FDAARGOS_1468</t>
  </si>
  <si>
    <t>https://ftp.ncbi.nlm.nih.gov/genomes/all/GCA/019/930/725/GCA_019930725.1_ASM1993072v1</t>
  </si>
  <si>
    <t>GCA_019930845.1</t>
  </si>
  <si>
    <t>FDAARGOS_1474</t>
  </si>
  <si>
    <t>https://ftp.ncbi.nlm.nih.gov/genomes/all/GCA/019/930/845/GCA_019930845.1_ASM1993084v1</t>
  </si>
  <si>
    <t>GCA_019930905.1</t>
  </si>
  <si>
    <t>FDAARGOS_1478</t>
  </si>
  <si>
    <t>https://ftp.ncbi.nlm.nih.gov/genomes/all/GCA/019/930/905/GCA_019930905.1_ASM1993090v1</t>
  </si>
  <si>
    <t>GCA_019931005.1</t>
  </si>
  <si>
    <t>FDAARGOS_1477</t>
  </si>
  <si>
    <t>https://ftp.ncbi.nlm.nih.gov/genomes/all/GCA/019/931/005/GCA_019931005.1_ASM1993100v1</t>
  </si>
  <si>
    <t>GCA_019969405.1</t>
  </si>
  <si>
    <t>Fp1160</t>
  </si>
  <si>
    <t>https://ftp.ncbi.nlm.nih.gov/genomes/all/GCA/019/969/405/GCA_019969405.1_ASM1996940v1</t>
  </si>
  <si>
    <t>GCA_019969415.1</t>
  </si>
  <si>
    <t>Fp1043</t>
  </si>
  <si>
    <t>https://ftp.ncbi.nlm.nih.gov/genomes/all/GCA/019/969/415/GCA_019969415.1_ASM1996941v1</t>
  </si>
  <si>
    <t>GCA_019969455.1</t>
  </si>
  <si>
    <t>Fp137</t>
  </si>
  <si>
    <t>https://ftp.ncbi.nlm.nih.gov/genomes/all/GCA/019/969/455/GCA_019969455.1_ASM1996945v1</t>
  </si>
  <si>
    <t>GCA_019972875.1</t>
  </si>
  <si>
    <t>DSM 20617</t>
  </si>
  <si>
    <t>https://ftp.ncbi.nlm.nih.gov/genomes/all/GCA/019/972/875/GCA_019972875.1_ASM1997287v1</t>
  </si>
  <si>
    <t>GCA_019972895.1</t>
  </si>
  <si>
    <t>JCM 5707</t>
  </si>
  <si>
    <t>https://ftp.ncbi.nlm.nih.gov/genomes/all/GCA/019/972/895/GCA_019972895.1_ASM1997289v1</t>
  </si>
  <si>
    <t>GCA_019973315.1</t>
  </si>
  <si>
    <t>JCM 12954</t>
  </si>
  <si>
    <t>https://ftp.ncbi.nlm.nih.gov/genomes/all/GCA/019/973/315/GCA_019973315.1_ASM1997331v1</t>
  </si>
  <si>
    <t>GCA_019973675.1</t>
  </si>
  <si>
    <t>2019-19</t>
  </si>
  <si>
    <t>https://ftp.ncbi.nlm.nih.gov/genomes/all/GCA/019/973/675/GCA_019973675.1_ASM1997367v1</t>
  </si>
  <si>
    <t>SK-1</t>
  </si>
  <si>
    <t>https://ftp.ncbi.nlm.nih.gov/genomes/all/GCA/019/973/735/GCA_019973735.1_ASM1997373v1</t>
  </si>
  <si>
    <t>GCA_020023775.1</t>
  </si>
  <si>
    <t>SD-LRE2-IT</t>
  </si>
  <si>
    <t>https://ftp.ncbi.nlm.nih.gov/genomes/all/GCA/020/023/775/GCA_020023775.1_ASM2002377v1</t>
  </si>
  <si>
    <t>GCA_020042125.1</t>
  </si>
  <si>
    <t>Lc1226</t>
  </si>
  <si>
    <t>https://ftp.ncbi.nlm.nih.gov/genomes/all/GCA/020/042/125/GCA_020042125.1_ASM2004212v1</t>
  </si>
  <si>
    <t>BFG-55</t>
  </si>
  <si>
    <t>https://ftp.ncbi.nlm.nih.gov/genomes/all/GCA/020/091/305/GCA_020091305.1_ASM2009130v1</t>
  </si>
  <si>
    <t>BFG-280</t>
  </si>
  <si>
    <t>https://ftp.ncbi.nlm.nih.gov/genomes/all/GCA/020/091/365/GCA_020091365.1_ASM2009136v1</t>
  </si>
  <si>
    <t>BFG-121</t>
  </si>
  <si>
    <t>https://ftp.ncbi.nlm.nih.gov/genomes/all/GCA/020/091/485/GCA_020091485.1_ASM2009148v1</t>
  </si>
  <si>
    <t>BFG-100</t>
  </si>
  <si>
    <t>https://ftp.ncbi.nlm.nih.gov/genomes/all/GCA/020/091/545/GCA_020091545.1_ASM2009154v1</t>
  </si>
  <si>
    <t>GCA_020097335.1</t>
  </si>
  <si>
    <t>FDAARGOS_1508</t>
  </si>
  <si>
    <t>https://ftp.ncbi.nlm.nih.gov/genomes/all/GCA/020/097/335/GCA_020097335.1_ASM2009733v1</t>
  </si>
  <si>
    <t>GCA_020097375.1</t>
  </si>
  <si>
    <t>FDAARGOS_1506</t>
  </si>
  <si>
    <t>https://ftp.ncbi.nlm.nih.gov/genomes/all/GCA/020/097/375/GCA_020097375.1_ASM2009737v1</t>
  </si>
  <si>
    <t>GCA_020097435.1</t>
  </si>
  <si>
    <t>FDAARGOS_1501</t>
  </si>
  <si>
    <t>https://ftp.ncbi.nlm.nih.gov/genomes/all/GCA/020/097/435/GCA_020097435.1_ASM2009743v1</t>
  </si>
  <si>
    <t>GCA_020097455.1</t>
  </si>
  <si>
    <t>FDAARGOS_1500</t>
  </si>
  <si>
    <t>https://ftp.ncbi.nlm.nih.gov/genomes/all/GCA/020/097/455/GCA_020097455.1_ASM2009745v1</t>
  </si>
  <si>
    <t>GCA_020097655.1</t>
  </si>
  <si>
    <t>FDAARGOS_1492</t>
  </si>
  <si>
    <t>https://ftp.ncbi.nlm.nih.gov/genomes/all/GCA/020/097/655/GCA_020097655.1_ASM2009765v1</t>
  </si>
  <si>
    <t>FDAARGOS_1516</t>
  </si>
  <si>
    <t>https://ftp.ncbi.nlm.nih.gov/genomes/all/GCA/020/149/745/GCA_020149745.1_ASM2014974v1</t>
  </si>
  <si>
    <t>GCA_020161895.1</t>
  </si>
  <si>
    <t>ICIS 99</t>
  </si>
  <si>
    <t>https://ftp.ncbi.nlm.nih.gov/genomes/all/GCA/020/161/895/GCA_020161895.1_ASM2016189v1</t>
  </si>
  <si>
    <t>GCA_020162195.1</t>
  </si>
  <si>
    <t>CSUSB1</t>
  </si>
  <si>
    <t>https://ftp.ncbi.nlm.nih.gov/genomes/all/GCA/020/162/195/GCA_020162195.1_ASM2016219v1</t>
  </si>
  <si>
    <t>GCA_020162275.1</t>
  </si>
  <si>
    <t>DSM 2579</t>
  </si>
  <si>
    <t>https://ftp.ncbi.nlm.nih.gov/genomes/all/GCA/020/162/275/GCA_020162275.1_ASM2016227v1</t>
  </si>
  <si>
    <t>GCA_020181495.1</t>
  </si>
  <si>
    <t>NBRC 113869</t>
  </si>
  <si>
    <t>https://ftp.ncbi.nlm.nih.gov/genomes/all/GCA/020/181/495/GCA_020181495.1_ASM2018149v1</t>
  </si>
  <si>
    <t>GCA_020297555.1</t>
  </si>
  <si>
    <t>FDAARGOS_1521</t>
  </si>
  <si>
    <t>https://ftp.ncbi.nlm.nih.gov/genomes/all/GCA/020/297/555/GCA_020297555.1_ASM2029755v1</t>
  </si>
  <si>
    <t>GCA_020341455.1</t>
  </si>
  <si>
    <t>FDAARGOS_1535</t>
  </si>
  <si>
    <t>https://ftp.ncbi.nlm.nih.gov/genomes/all/GCA/020/341/455/GCA_020341455.1_ASM2034145v1</t>
  </si>
  <si>
    <t>GCA_020353915.1</t>
  </si>
  <si>
    <t>NBRC 114494</t>
  </si>
  <si>
    <t>https://ftp.ncbi.nlm.nih.gov/genomes/all/GCA/020/353/915/GCA_020353915.1_ASM2035391v1</t>
  </si>
  <si>
    <t>GCA_020386595.1</t>
  </si>
  <si>
    <t>N6</t>
  </si>
  <si>
    <t>https://ftp.ncbi.nlm.nih.gov/genomes/all/GCA/020/386/595/GCA_020386595.1_ASM2038659v1</t>
  </si>
  <si>
    <t>GCA_020388155.1</t>
  </si>
  <si>
    <t>L4</t>
  </si>
  <si>
    <t>https://ftp.ncbi.nlm.nih.gov/genomes/all/GCA/020/388/155/GCA_020388155.1_ASM2038815v1</t>
  </si>
  <si>
    <t>GCA_020388825.1</t>
  </si>
  <si>
    <t>https://ftp.ncbi.nlm.nih.gov/genomes/all/GCA/020/388/825/GCA_020388825.1_ASM2038882v1</t>
  </si>
  <si>
    <t>GCA_020388965.1</t>
  </si>
  <si>
    <t>https://ftp.ncbi.nlm.nih.gov/genomes/all/GCA/020/388/965/GCA_020388965.1_ASM2038896v1</t>
  </si>
  <si>
    <t>GCA_020404185.1</t>
  </si>
  <si>
    <t>E31</t>
  </si>
  <si>
    <t>https://ftp.ncbi.nlm.nih.gov/genomes/all/GCA/020/404/185/GCA_020404185.1_ASM2040418v1</t>
  </si>
  <si>
    <t>GCA_020404345.1</t>
  </si>
  <si>
    <t>E32</t>
  </si>
  <si>
    <t>https://ftp.ncbi.nlm.nih.gov/genomes/all/GCA/020/404/345/GCA_020404345.1_ASM2040434v1</t>
  </si>
  <si>
    <t>KGMB10229</t>
  </si>
  <si>
    <t>https://ftp.ncbi.nlm.nih.gov/genomes/all/GCA/020/550/085/GCA_020550085.1_ASM2055008v1</t>
  </si>
  <si>
    <t>GCA_020554325.1</t>
  </si>
  <si>
    <t>DFI.4.79</t>
  </si>
  <si>
    <t>https://ftp.ncbi.nlm.nih.gov/genomes/all/GCA/020/554/325/GCA_020554325.1_ASM2055432v1</t>
  </si>
  <si>
    <t>GCA_020554345.1</t>
  </si>
  <si>
    <t>DFI.4.104</t>
  </si>
  <si>
    <t>https://ftp.ncbi.nlm.nih.gov/genomes/all/GCA/020/554/345/GCA_020554345.1_ASM2055434v1</t>
  </si>
  <si>
    <t>GCA_020554365.1</t>
  </si>
  <si>
    <t>DFI.4.42</t>
  </si>
  <si>
    <t>https://ftp.ncbi.nlm.nih.gov/genomes/all/GCA/020/554/365/GCA_020554365.1_ASM2055436v1</t>
  </si>
  <si>
    <t>GCA_020555445.1</t>
  </si>
  <si>
    <t>DFI.6.89</t>
  </si>
  <si>
    <t>https://ftp.ncbi.nlm.nih.gov/genomes/all/GCA/020/555/445/GCA_020555445.1_ASM2055544v1</t>
  </si>
  <si>
    <t>DFI.7.71</t>
  </si>
  <si>
    <t>https://ftp.ncbi.nlm.nih.gov/genomes/all/GCA/020/555/745/GCA_020555745.1_ASM2055574v1</t>
  </si>
  <si>
    <t>GCA_020558055.1</t>
  </si>
  <si>
    <t>DFI.6.4</t>
  </si>
  <si>
    <t>https://ftp.ncbi.nlm.nih.gov/genomes/all/GCA/020/558/055/GCA_020558055.1_ASM2055805v1</t>
  </si>
  <si>
    <t>GCA_020559585.1</t>
  </si>
  <si>
    <t>DFI.7.66</t>
  </si>
  <si>
    <t>https://ftp.ncbi.nlm.nih.gov/genomes/all/GCA/020/559/585/GCA_020559585.1_ASM2055958v1</t>
  </si>
  <si>
    <t>GCA_020559605.1</t>
  </si>
  <si>
    <t>DFI.7.67</t>
  </si>
  <si>
    <t>https://ftp.ncbi.nlm.nih.gov/genomes/all/GCA/020/559/605/GCA_020559605.1_ASM2055960v1</t>
  </si>
  <si>
    <t>GCA_020559625.1</t>
  </si>
  <si>
    <t>DFI.6.107</t>
  </si>
  <si>
    <t>https://ftp.ncbi.nlm.nih.gov/genomes/all/GCA/020/559/625/GCA_020559625.1_ASM2055962v1</t>
  </si>
  <si>
    <t>GCA_020560885.1</t>
  </si>
  <si>
    <t>DFI.3.149</t>
  </si>
  <si>
    <t>https://ftp.ncbi.nlm.nih.gov/genomes/all/GCA/020/560/885/GCA_020560885.1_ASM2056088v1</t>
  </si>
  <si>
    <t>GCA_020560985.1</t>
  </si>
  <si>
    <t>DFI.2.98</t>
  </si>
  <si>
    <t>https://ftp.ncbi.nlm.nih.gov/genomes/all/GCA/020/560/985/GCA_020560985.1_ASM2056098v1</t>
  </si>
  <si>
    <t>GCA_020561985.1</t>
  </si>
  <si>
    <t>DFI.1.43</t>
  </si>
  <si>
    <t>https://ftp.ncbi.nlm.nih.gov/genomes/all/GCA/020/561/985/GCA_020561985.1_ASM2056198v1</t>
  </si>
  <si>
    <t>GCA_020564385.1</t>
  </si>
  <si>
    <t>SL.1.06</t>
  </si>
  <si>
    <t>https://ftp.ncbi.nlm.nih.gov/genomes/all/GCA/020/564/385/GCA_020564385.1_ASM2056438v1</t>
  </si>
  <si>
    <t>GCA_020590155.1</t>
  </si>
  <si>
    <t>DFI.4.125</t>
  </si>
  <si>
    <t>https://ftp.ncbi.nlm.nih.gov/genomes/all/GCA/020/590/155/GCA_020590155.1_ASM2059015v1</t>
  </si>
  <si>
    <t>GCA_020593075.1</t>
  </si>
  <si>
    <t>DFI.4.52</t>
  </si>
  <si>
    <t>https://ftp.ncbi.nlm.nih.gov/genomes/all/GCA/020/593/075/GCA_020593075.1_ASM2059307v1</t>
  </si>
  <si>
    <t>GCA_020640935.1</t>
  </si>
  <si>
    <t>CCUG 70037</t>
  </si>
  <si>
    <t>https://ftp.ncbi.nlm.nih.gov/genomes/all/GCA/020/640/935/GCA_020640935.1_ASM2064093v1</t>
  </si>
  <si>
    <t>GCA_020682785.1</t>
  </si>
  <si>
    <t>SS167_SL_UNIFESP</t>
  </si>
  <si>
    <t>https://ftp.ncbi.nlm.nih.gov/genomes/all/GCA/020/682/785/GCA_020682785.1_ASM2068278v1</t>
  </si>
  <si>
    <t>GCA_020682835.1</t>
  </si>
  <si>
    <t>SS160_SC_UNIFESP</t>
  </si>
  <si>
    <t>https://ftp.ncbi.nlm.nih.gov/genomes/all/GCA/020/682/835/GCA_020682835.1_ASM2068283v1</t>
  </si>
  <si>
    <t>GCA_020702545.2</t>
  </si>
  <si>
    <t>0610-H-2A</t>
  </si>
  <si>
    <t>https://ftp.ncbi.nlm.nih.gov/genomes/all/GCA/020/702/545/GCA_020702545.2_ASM2070254v2</t>
  </si>
  <si>
    <t>GCA_020702615.2</t>
  </si>
  <si>
    <t>JL28</t>
  </si>
  <si>
    <t>https://ftp.ncbi.nlm.nih.gov/genomes/all/GCA/020/702/615/GCA_020702615.2_ASM2070261v2</t>
  </si>
  <si>
    <t>GCA_020729665.1</t>
  </si>
  <si>
    <t>ST01</t>
  </si>
  <si>
    <t>https://ftp.ncbi.nlm.nih.gov/genomes/all/GCA/020/729/665/GCA_020729665.1_ASM2072966v1</t>
  </si>
  <si>
    <t>GCA_020729675.1</t>
  </si>
  <si>
    <t>BR3</t>
  </si>
  <si>
    <t>https://ftp.ncbi.nlm.nih.gov/genomes/all/GCA/020/729/675/GCA_020729675.1_ASM2072967v1</t>
  </si>
  <si>
    <t>GCA_020729705.1</t>
  </si>
  <si>
    <t>MA6</t>
  </si>
  <si>
    <t>https://ftp.ncbi.nlm.nih.gov/genomes/all/GCA/020/729/705/GCA_020729705.1_ASM2072970v1</t>
  </si>
  <si>
    <t>GCA_020729715.1</t>
  </si>
  <si>
    <t>SY10</t>
  </si>
  <si>
    <t>https://ftp.ncbi.nlm.nih.gov/genomes/all/GCA/020/729/715/GCA_020729715.1_ASM2072971v1</t>
  </si>
  <si>
    <t>GCA_020729725.1</t>
  </si>
  <si>
    <t>CR29</t>
  </si>
  <si>
    <t>https://ftp.ncbi.nlm.nih.gov/genomes/all/GCA/020/729/725/GCA_020729725.1_ASM2072972v1</t>
  </si>
  <si>
    <t>GCA_020731325.1</t>
  </si>
  <si>
    <t>FDAARGOS_1593</t>
  </si>
  <si>
    <t>https://ftp.ncbi.nlm.nih.gov/genomes/all/GCA/020/731/325/GCA_020731325.1_ASM2073132v1</t>
  </si>
  <si>
    <t>GCA_020735385.1</t>
  </si>
  <si>
    <t>FDAARGOS_1559</t>
  </si>
  <si>
    <t>https://ftp.ncbi.nlm.nih.gov/genomes/all/GCA/020/735/385/GCA_020735385.1_ASM2073538v1</t>
  </si>
  <si>
    <t>FDAARGOS_1588</t>
  </si>
  <si>
    <t>https://ftp.ncbi.nlm.nih.gov/genomes/all/GCA/020/735/565/GCA_020735565.1_ASM2073556v1</t>
  </si>
  <si>
    <t>FDAARGOS_1586</t>
  </si>
  <si>
    <t>https://ftp.ncbi.nlm.nih.gov/genomes/all/GCA/020/735/605/GCA_020735605.1_ASM2073560v1</t>
  </si>
  <si>
    <t>GCA_020735625.1</t>
  </si>
  <si>
    <t>FDAARGOS_1557</t>
  </si>
  <si>
    <t>https://ftp.ncbi.nlm.nih.gov/genomes/all/GCA/020/735/625/GCA_020735625.1_ASM2073562v1</t>
  </si>
  <si>
    <t>GCA_020735765.1</t>
  </si>
  <si>
    <t>FDAARGOS_1569</t>
  </si>
  <si>
    <t>https://ftp.ncbi.nlm.nih.gov/genomes/all/GCA/020/735/765/GCA_020735765.1_ASM2073576v1</t>
  </si>
  <si>
    <t>FDAARGOS_1566</t>
  </si>
  <si>
    <t>https://ftp.ncbi.nlm.nih.gov/genomes/all/GCA/020/735/785/GCA_020735785.1_ASM2073578v1</t>
  </si>
  <si>
    <t>GCA_020735825.1</t>
  </si>
  <si>
    <t>FDAARGOS_1562</t>
  </si>
  <si>
    <t>https://ftp.ncbi.nlm.nih.gov/genomes/all/GCA/020/735/825/GCA_020735825.1_ASM2073582v1</t>
  </si>
  <si>
    <t>GCA_020735905.1</t>
  </si>
  <si>
    <t>FDAARGOS_1567</t>
  </si>
  <si>
    <t>https://ftp.ncbi.nlm.nih.gov/genomes/all/GCA/020/735/905/GCA_020735905.1_ASM2073590v1</t>
  </si>
  <si>
    <t>FDAARGOS_1565</t>
  </si>
  <si>
    <t>https://ftp.ncbi.nlm.nih.gov/genomes/all/GCA/020/735/945/GCA_020735945.1_ASM2073594v1</t>
  </si>
  <si>
    <t>GCA_020736025.1</t>
  </si>
  <si>
    <t>FDAARGOS_1561</t>
  </si>
  <si>
    <t>https://ftp.ncbi.nlm.nih.gov/genomes/all/GCA/020/736/025/GCA_020736025.1_ASM2073602v1</t>
  </si>
  <si>
    <t>GCA_020736045.1</t>
  </si>
  <si>
    <t>FDAARGOS_1560</t>
  </si>
  <si>
    <t>https://ftp.ncbi.nlm.nih.gov/genomes/all/GCA/020/736/045/GCA_020736045.1_ASM2073604v1</t>
  </si>
  <si>
    <t>GCA_020736065.1</t>
  </si>
  <si>
    <t>FDAARGOS_1556</t>
  </si>
  <si>
    <t>https://ftp.ncbi.nlm.nih.gov/genomes/all/GCA/020/736/065/GCA_020736065.1_ASM2073606v1</t>
  </si>
  <si>
    <t>FDAARGOS_1550</t>
  </si>
  <si>
    <t>https://ftp.ncbi.nlm.nih.gov/genomes/all/GCA/020/736/165/GCA_020736165.1_ASM2073616v1</t>
  </si>
  <si>
    <t>GCA_020736185.1</t>
  </si>
  <si>
    <t>FDAARGOS_1548</t>
  </si>
  <si>
    <t>https://ftp.ncbi.nlm.nih.gov/genomes/all/GCA/020/736/185/GCA_020736185.1_ASM2073618v1</t>
  </si>
  <si>
    <t>GCA_020736205.1</t>
  </si>
  <si>
    <t>FDAARGOS_1549</t>
  </si>
  <si>
    <t>https://ftp.ncbi.nlm.nih.gov/genomes/all/GCA/020/736/205/GCA_020736205.1_ASM2073620v1</t>
  </si>
  <si>
    <t>GCA_020736225.1</t>
  </si>
  <si>
    <t>FDAARGOS_1547</t>
  </si>
  <si>
    <t>https://ftp.ncbi.nlm.nih.gov/genomes/all/GCA/020/736/225/GCA_020736225.1_ASM2073622v1</t>
  </si>
  <si>
    <t>GCA_020736445.1</t>
  </si>
  <si>
    <t>FDAARGOS_1555</t>
  </si>
  <si>
    <t>https://ftp.ncbi.nlm.nih.gov/genomes/all/GCA/020/736/445/GCA_020736445.1_ASM2073644v1</t>
  </si>
  <si>
    <t>GCA_020739965.1</t>
  </si>
  <si>
    <t>AATYY</t>
  </si>
  <si>
    <t>https://ftp.ncbi.nlm.nih.gov/genomes/all/GCA/020/739/965/GCA_020739965.1_ASM2073996v1</t>
  </si>
  <si>
    <t>GCA_020740045.1</t>
  </si>
  <si>
    <t>AATZL</t>
  </si>
  <si>
    <t>https://ftp.ncbi.nlm.nih.gov/genomes/all/GCA/020/740/045/GCA_020740045.1_ASM2074004v1</t>
  </si>
  <si>
    <t>GCA_020740065.1</t>
  </si>
  <si>
    <t>AATZJ</t>
  </si>
  <si>
    <t>https://ftp.ncbi.nlm.nih.gov/genomes/all/GCA/020/740/065/GCA_020740065.1_ASM2074006v1</t>
  </si>
  <si>
    <t>GCA_020740075.1</t>
  </si>
  <si>
    <t>AATZA</t>
  </si>
  <si>
    <t>https://ftp.ncbi.nlm.nih.gov/genomes/all/GCA/020/740/075/GCA_020740075.1_ASM2074007v1</t>
  </si>
  <si>
    <t>GCA_020740115.1</t>
  </si>
  <si>
    <t>AATZB</t>
  </si>
  <si>
    <t>https://ftp.ncbi.nlm.nih.gov/genomes/all/GCA/020/740/115/GCA_020740115.1_ASM2074011v1</t>
  </si>
  <si>
    <t>GCA_020740145.1</t>
  </si>
  <si>
    <t>AATYZ</t>
  </si>
  <si>
    <t>https://ftp.ncbi.nlm.nih.gov/genomes/all/GCA/020/740/145/GCA_020740145.1_ASM2074014v1</t>
  </si>
  <si>
    <t>GCA_020809485.1</t>
  </si>
  <si>
    <t>CU1000N</t>
  </si>
  <si>
    <t>https://ftp.ncbi.nlm.nih.gov/genomes/all/GCA/020/809/485/GCA_020809485.1_ASM2080948v1</t>
  </si>
  <si>
    <t>GCA_020828775.1</t>
  </si>
  <si>
    <t>YZU0716</t>
  </si>
  <si>
    <t>https://ftp.ncbi.nlm.nih.gov/genomes/all/GCA/020/828/775/GCA_020828775.1_ASM2082877v1</t>
  </si>
  <si>
    <t>GCA_020828825.1</t>
  </si>
  <si>
    <t>YZU0717</t>
  </si>
  <si>
    <t>https://ftp.ncbi.nlm.nih.gov/genomes/all/GCA/020/828/825/GCA_020828825.1_ASM2082882v1</t>
  </si>
  <si>
    <t>GCA_020844005.1</t>
  </si>
  <si>
    <t>https://ftp.ncbi.nlm.nih.gov/genomes/all/GCA/020/844/005/GCA_020844005.1_ASM2084400v1</t>
  </si>
  <si>
    <t>GCA_020882195.1</t>
  </si>
  <si>
    <t>CGMH-SL118</t>
  </si>
  <si>
    <t>https://ftp.ncbi.nlm.nih.gov/genomes/all/GCA/020/882/195/GCA_020882195.1_ASM2088219v1</t>
  </si>
  <si>
    <t>GCA_020883475.1</t>
  </si>
  <si>
    <t>XZ03</t>
  </si>
  <si>
    <t>https://ftp.ncbi.nlm.nih.gov/genomes/all/GCA/020/883/475/GCA_020883475.1_ASM2088347v1</t>
  </si>
  <si>
    <t>GCA_020907165.1</t>
  </si>
  <si>
    <t>AATYT</t>
  </si>
  <si>
    <t>https://ftp.ncbi.nlm.nih.gov/genomes/all/GCA/020/907/165/GCA_020907165.1_ASM2090716v1</t>
  </si>
  <si>
    <t>GCA_020911985.1</t>
  </si>
  <si>
    <t>https://ftp.ncbi.nlm.nih.gov/genomes/all/GCA/020/911/985/GCA_020911985.1_ASM2091198v1</t>
  </si>
  <si>
    <t>OHS0013</t>
  </si>
  <si>
    <t>https://ftp.ncbi.nlm.nih.gov/genomes/all/GCA/020/912/025/GCA_020912025.1_ASM2091202v1</t>
  </si>
  <si>
    <t>GCA_021010665.2</t>
  </si>
  <si>
    <t>EASDk81B</t>
  </si>
  <si>
    <t>https://ftp.ncbi.nlm.nih.gov/genomes/all/GCA/021/010/665/GCA_021010665.2_ASM2101066v2</t>
  </si>
  <si>
    <t>GCA_021010715.2</t>
  </si>
  <si>
    <t>EASDk81A</t>
  </si>
  <si>
    <t>https://ftp.ncbi.nlm.nih.gov/genomes/all/GCA/021/010/715/GCA_021010715.2_ASM2101071v2</t>
  </si>
  <si>
    <t>GCA_021013185.1</t>
  </si>
  <si>
    <t>B30</t>
  </si>
  <si>
    <t>https://ftp.ncbi.nlm.nih.gov/genomes/all/GCA/021/013/185/GCA_021013185.1_ASM2101318v1</t>
  </si>
  <si>
    <t>GCA_021025975.1</t>
  </si>
  <si>
    <t>CCUG 2156</t>
  </si>
  <si>
    <t>https://ftp.ncbi.nlm.nih.gov/genomes/all/GCA/021/025/975/GCA_021025975.1_ASM2102597v1</t>
  </si>
  <si>
    <t>GCA_021117155.1</t>
  </si>
  <si>
    <t>HL28</t>
  </si>
  <si>
    <t>https://ftp.ncbi.nlm.nih.gov/genomes/all/GCA/021/117/155/GCA_021117155.1_ASM2111715v1</t>
  </si>
  <si>
    <t>GCA_021172825.1</t>
  </si>
  <si>
    <t>UNC_SaCF35</t>
  </si>
  <si>
    <t>https://ftp.ncbi.nlm.nih.gov/genomes/all/GCA/021/172/825/GCA_021172825.1_ASM2117282v1</t>
  </si>
  <si>
    <t>GCA_021189295.1</t>
  </si>
  <si>
    <t>https://ftp.ncbi.nlm.nih.gov/genomes/all/GCA/021/189/295/GCA_021189295.1_ASM2118929v1</t>
  </si>
  <si>
    <t>GCA_021189315.1</t>
  </si>
  <si>
    <t>N92</t>
  </si>
  <si>
    <t>https://ftp.ncbi.nlm.nih.gov/genomes/all/GCA/021/189/315/GCA_021189315.1_ASM2118931v1</t>
  </si>
  <si>
    <t>GCA_021193625.2</t>
  </si>
  <si>
    <t>https://ftp.ncbi.nlm.nih.gov/genomes/all/GCA/021/193/625/GCA_021193625.2_ASM2119362v2</t>
  </si>
  <si>
    <t>KC1</t>
  </si>
  <si>
    <t>https://ftp.ncbi.nlm.nih.gov/genomes/all/GCA/021/222/645/GCA_021222645.1_ASM2122264v1</t>
  </si>
  <si>
    <t>GCA_021228055.1</t>
  </si>
  <si>
    <t>VHProbi M07</t>
  </si>
  <si>
    <t>https://ftp.ncbi.nlm.nih.gov/genomes/all/GCA/021/228/055/GCA_021228055.1_ASM2122805v1</t>
  </si>
  <si>
    <t>GCA_021266585.1</t>
  </si>
  <si>
    <t>BNS11</t>
  </si>
  <si>
    <t>https://ftp.ncbi.nlm.nih.gov/genomes/all/GCA/021/266/585/GCA_021266585.1_ASM2126658v1</t>
  </si>
  <si>
    <t>GCA_021270905.1</t>
  </si>
  <si>
    <t>Ani_LG-048</t>
  </si>
  <si>
    <t>https://ftp.ncbi.nlm.nih.gov/genomes/all/GCA/021/270/905/GCA_021270905.1_ASM2127090v1</t>
  </si>
  <si>
    <t>GCA_021294795.1</t>
  </si>
  <si>
    <t>SPPN-FOHM</t>
  </si>
  <si>
    <t>https://ftp.ncbi.nlm.nih.gov/genomes/all/GCA/021/294/795/GCA_021294795.1_ASM2129479v1</t>
  </si>
  <si>
    <t>GCA_021308695.1</t>
  </si>
  <si>
    <t>HK 1659</t>
  </si>
  <si>
    <t>https://ftp.ncbi.nlm.nih.gov/genomes/all/GCA/021/308/695/GCA_021308695.1_ASM2130869v1</t>
  </si>
  <si>
    <t>GCA_021308715.1</t>
  </si>
  <si>
    <t>HK 1631</t>
  </si>
  <si>
    <t>https://ftp.ncbi.nlm.nih.gov/genomes/all/GCA/021/308/715/GCA_021308715.1_ASM2130871v1</t>
  </si>
  <si>
    <t>GCA_021308795.1</t>
  </si>
  <si>
    <t>708G</t>
  </si>
  <si>
    <t>https://ftp.ncbi.nlm.nih.gov/genomes/all/GCA/021/308/795/GCA_021308795.1_ASM2130879v1</t>
  </si>
  <si>
    <t>GCA_021308835.1</t>
  </si>
  <si>
    <t>HK 1630</t>
  </si>
  <si>
    <t>https://ftp.ncbi.nlm.nih.gov/genomes/all/GCA/021/308/835/GCA_021308835.1_ASM2130883v1</t>
  </si>
  <si>
    <t>GCA_021308855.1</t>
  </si>
  <si>
    <t>654G</t>
  </si>
  <si>
    <t>https://ftp.ncbi.nlm.nih.gov/genomes/all/GCA/021/308/855/GCA_021308855.1_ASM2130885v1</t>
  </si>
  <si>
    <t>GCA_021308875.1</t>
  </si>
  <si>
    <t>369G</t>
  </si>
  <si>
    <t>https://ftp.ncbi.nlm.nih.gov/genomes/all/GCA/021/308/875/GCA_021308875.1_ASM2130887v1</t>
  </si>
  <si>
    <t>GCA_021308915.1</t>
  </si>
  <si>
    <t>ET14</t>
  </si>
  <si>
    <t>https://ftp.ncbi.nlm.nih.gov/genomes/all/GCA/021/308/915/GCA_021308915.1_ASM2130891v1</t>
  </si>
  <si>
    <t>GCA_021309015.1</t>
  </si>
  <si>
    <t>217G</t>
  </si>
  <si>
    <t>https://ftp.ncbi.nlm.nih.gov/genomes/all/GCA/021/309/015/GCA_021309015.1_ASM2130901v1</t>
  </si>
  <si>
    <t>GCA_021309025.1</t>
  </si>
  <si>
    <t>311M</t>
  </si>
  <si>
    <t>https://ftp.ncbi.nlm.nih.gov/genomes/all/GCA/021/309/025/GCA_021309025.1_ASM2130902v1</t>
  </si>
  <si>
    <t>GCA_021309195.1</t>
  </si>
  <si>
    <t>UP18</t>
  </si>
  <si>
    <t>https://ftp.ncbi.nlm.nih.gov/genomes/all/GCA/021/309/195/GCA_021309195.1_ASM2130919v1</t>
  </si>
  <si>
    <t>GCA_021309205.1</t>
  </si>
  <si>
    <t>UP14</t>
  </si>
  <si>
    <t>https://ftp.ncbi.nlm.nih.gov/genomes/all/GCA/021/309/205/GCA_021309205.1_ASM2130920v1</t>
  </si>
  <si>
    <t>GCA_021309215.1</t>
  </si>
  <si>
    <t>UP6</t>
  </si>
  <si>
    <t>https://ftp.ncbi.nlm.nih.gov/genomes/all/GCA/021/309/215/GCA_021309215.1_ASM2130921v1</t>
  </si>
  <si>
    <t>GCA_021309225.1</t>
  </si>
  <si>
    <t>UP23</t>
  </si>
  <si>
    <t>https://ftp.ncbi.nlm.nih.gov/genomes/all/GCA/021/309/225/GCA_021309225.1_ASM2130922v1</t>
  </si>
  <si>
    <t>GCA_021309275.1</t>
  </si>
  <si>
    <t>UP50</t>
  </si>
  <si>
    <t>https://ftp.ncbi.nlm.nih.gov/genomes/all/GCA/021/309/275/GCA_021309275.1_ASM2130927v1</t>
  </si>
  <si>
    <t>GCA_021309295.1</t>
  </si>
  <si>
    <t>UP11</t>
  </si>
  <si>
    <t>https://ftp.ncbi.nlm.nih.gov/genomes/all/GCA/021/309/295/GCA_021309295.1_ASM2130929v1</t>
  </si>
  <si>
    <t>GCA_021309315.1</t>
  </si>
  <si>
    <t>OMZ 678</t>
  </si>
  <si>
    <t>https://ftp.ncbi.nlm.nih.gov/genomes/all/GCA/021/309/315/GCA_021309315.1_ASM2130931v1</t>
  </si>
  <si>
    <t>GCA_021309335.1</t>
  </si>
  <si>
    <t>UP10</t>
  </si>
  <si>
    <t>https://ftp.ncbi.nlm.nih.gov/genomes/all/GCA/021/309/335/GCA_021309335.1_ASM2130933v1</t>
  </si>
  <si>
    <t>GCA_021309475.1</t>
  </si>
  <si>
    <t>OMGS 2516</t>
  </si>
  <si>
    <t>https://ftp.ncbi.nlm.nih.gov/genomes/all/GCA/021/309/475/GCA_021309475.1_ASM2130947v1</t>
  </si>
  <si>
    <t>GCA_021309535.1</t>
  </si>
  <si>
    <t>OMGS 2176</t>
  </si>
  <si>
    <t>https://ftp.ncbi.nlm.nih.gov/genomes/all/GCA/021/309/535/GCA_021309535.1_ASM2130953v1</t>
  </si>
  <si>
    <t>GCA_021309595.1</t>
  </si>
  <si>
    <t>HK 978</t>
  </si>
  <si>
    <t>https://ftp.ncbi.nlm.nih.gov/genomes/all/GCA/021/309/595/GCA_021309595.1_ASM2130959v1</t>
  </si>
  <si>
    <t>GCA_021309635.1</t>
  </si>
  <si>
    <t>PH541</t>
  </si>
  <si>
    <t>https://ftp.ncbi.nlm.nih.gov/genomes/all/GCA/021/309/635/GCA_021309635.1_ASM2130963v1</t>
  </si>
  <si>
    <t>GCA_021309645.1</t>
  </si>
  <si>
    <t>HG1216</t>
  </si>
  <si>
    <t>https://ftp.ncbi.nlm.nih.gov/genomes/all/GCA/021/309/645/GCA_021309645.1_ASM2130964v1</t>
  </si>
  <si>
    <t>GCA_021309675.1</t>
  </si>
  <si>
    <t>HG1217</t>
  </si>
  <si>
    <t>https://ftp.ncbi.nlm.nih.gov/genomes/all/GCA/021/309/675/GCA_021309675.1_ASM2130967v1</t>
  </si>
  <si>
    <t>GCA_021309695.1</t>
  </si>
  <si>
    <t>HG1236</t>
  </si>
  <si>
    <t>https://ftp.ncbi.nlm.nih.gov/genomes/all/GCA/021/309/695/GCA_021309695.1_ASM2130969v1</t>
  </si>
  <si>
    <t>GCA_021309715.1</t>
  </si>
  <si>
    <t>HK 2017</t>
  </si>
  <si>
    <t>https://ftp.ncbi.nlm.nih.gov/genomes/all/GCA/021/309/715/GCA_021309715.1_ASM2130971v1</t>
  </si>
  <si>
    <t>GCA_021309735.1</t>
  </si>
  <si>
    <t>HG1183</t>
  </si>
  <si>
    <t>https://ftp.ncbi.nlm.nih.gov/genomes/all/GCA/021/309/735/GCA_021309735.1_ASM2130973v1</t>
  </si>
  <si>
    <t>GCA_021309755.1</t>
  </si>
  <si>
    <t>HG1229</t>
  </si>
  <si>
    <t>https://ftp.ncbi.nlm.nih.gov/genomes/all/GCA/021/309/755/GCA_021309755.1_ASM2130975v1</t>
  </si>
  <si>
    <t>GCA_021309765.1</t>
  </si>
  <si>
    <t>362M</t>
  </si>
  <si>
    <t>https://ftp.ncbi.nlm.nih.gov/genomes/all/GCA/021/309/765/GCA_021309765.1_ASM2130976v1</t>
  </si>
  <si>
    <t>GCA_021309815.1</t>
  </si>
  <si>
    <t>309M</t>
  </si>
  <si>
    <t>https://ftp.ncbi.nlm.nih.gov/genomes/all/GCA/021/309/815/GCA_021309815.1_ASM2130981v1</t>
  </si>
  <si>
    <t>GCA_021309825.1</t>
  </si>
  <si>
    <t>HK 1990</t>
  </si>
  <si>
    <t>https://ftp.ncbi.nlm.nih.gov/genomes/all/GCA/021/309/825/GCA_021309825.1_ASM2130982v1</t>
  </si>
  <si>
    <t>GCA_021309915.1</t>
  </si>
  <si>
    <t>102-B</t>
  </si>
  <si>
    <t>https://ftp.ncbi.nlm.nih.gov/genomes/all/GCA/021/309/915/GCA_021309915.1_ASM2130991v1</t>
  </si>
  <si>
    <t>GCA_021309955.1</t>
  </si>
  <si>
    <t>ET19</t>
  </si>
  <si>
    <t>https://ftp.ncbi.nlm.nih.gov/genomes/all/GCA/021/309/955/GCA_021309955.1_ASM2130995v1</t>
  </si>
  <si>
    <t>GCA_021309965.1</t>
  </si>
  <si>
    <t>744G</t>
  </si>
  <si>
    <t>https://ftp.ncbi.nlm.nih.gov/genomes/all/GCA/021/309/965/GCA_021309965.1_ASM2130996v1</t>
  </si>
  <si>
    <t>GCA_021309995.1</t>
  </si>
  <si>
    <t>666G</t>
  </si>
  <si>
    <t>https://ftp.ncbi.nlm.nih.gov/genomes/all/GCA/021/309/995/GCA_021309995.1_ASM2130999v1</t>
  </si>
  <si>
    <t>GCA_021310015.1</t>
  </si>
  <si>
    <t>605G</t>
  </si>
  <si>
    <t>https://ftp.ncbi.nlm.nih.gov/genomes/all/GCA/021/310/015/GCA_021310015.1_ASM2131001v1</t>
  </si>
  <si>
    <t>GCA_021310035.1</t>
  </si>
  <si>
    <t>638G</t>
  </si>
  <si>
    <t>https://ftp.ncbi.nlm.nih.gov/genomes/all/GCA/021/310/035/GCA_021310035.1_ASM2131003v1</t>
  </si>
  <si>
    <t>GCA_021310095.1</t>
  </si>
  <si>
    <t>524G</t>
  </si>
  <si>
    <t>https://ftp.ncbi.nlm.nih.gov/genomes/all/GCA/021/310/095/GCA_021310095.1_ASM2131009v1</t>
  </si>
  <si>
    <t>GCA_021310125.1</t>
  </si>
  <si>
    <t>488G</t>
  </si>
  <si>
    <t>https://ftp.ncbi.nlm.nih.gov/genomes/all/GCA/021/310/125/GCA_021310125.1_ASM2131012v1</t>
  </si>
  <si>
    <t>GCA_021310155.1</t>
  </si>
  <si>
    <t>486G</t>
  </si>
  <si>
    <t>https://ftp.ncbi.nlm.nih.gov/genomes/all/GCA/021/310/155/GCA_021310155.1_ASM2131015v1</t>
  </si>
  <si>
    <t>GCA_021310165.1</t>
  </si>
  <si>
    <t>467G</t>
  </si>
  <si>
    <t>https://ftp.ncbi.nlm.nih.gov/genomes/all/GCA/021/310/165/GCA_021310165.1_ASM2131016v1</t>
  </si>
  <si>
    <t>GCA_021310195.1</t>
  </si>
  <si>
    <t>443G</t>
  </si>
  <si>
    <t>https://ftp.ncbi.nlm.nih.gov/genomes/all/GCA/021/310/195/GCA_021310195.1_ASM2131019v1</t>
  </si>
  <si>
    <t>GCA_021310215.1</t>
  </si>
  <si>
    <t>437G</t>
  </si>
  <si>
    <t>https://ftp.ncbi.nlm.nih.gov/genomes/all/GCA/021/310/215/GCA_021310215.1_ASM2131021v1</t>
  </si>
  <si>
    <t>GCA_021310295.1</t>
  </si>
  <si>
    <t>1G</t>
  </si>
  <si>
    <t>https://ftp.ncbi.nlm.nih.gov/genomes/all/GCA/021/310/295/GCA_021310295.1_ASM2131029v1</t>
  </si>
  <si>
    <t>GCA_021341835.1</t>
  </si>
  <si>
    <t>XMC</t>
  </si>
  <si>
    <t>https://ftp.ncbi.nlm.nih.gov/genomes/all/GCA/021/341/835/GCA_021341835.1_ASM2134183v1</t>
  </si>
  <si>
    <t>GCA_021366525.1</t>
  </si>
  <si>
    <t>Ani-LG-162</t>
  </si>
  <si>
    <t>https://ftp.ncbi.nlm.nih.gov/genomes/all/GCA/021/366/525/GCA_021366525.1_ASM2136652v1</t>
  </si>
  <si>
    <t>GCA_021366695.1</t>
  </si>
  <si>
    <t>Ani-LG-137</t>
  </si>
  <si>
    <t>https://ftp.ncbi.nlm.nih.gov/genomes/all/GCA/021/366/695/GCA_021366695.1_ASM2136669v1</t>
  </si>
  <si>
    <t>GCA_021366815.1</t>
  </si>
  <si>
    <t>Ani-LG-057</t>
  </si>
  <si>
    <t>https://ftp.ncbi.nlm.nih.gov/genomes/all/GCA/021/366/815/GCA_021366815.1_ASM2136681v1</t>
  </si>
  <si>
    <t>GCA_021366975.1</t>
  </si>
  <si>
    <t>Ani-LG-038</t>
  </si>
  <si>
    <t>https://ftp.ncbi.nlm.nih.gov/genomes/all/GCA/021/366/975/GCA_021366975.1_ASM2136697v1</t>
  </si>
  <si>
    <t>GCA_021366995.1</t>
  </si>
  <si>
    <t>Ani-LG-036</t>
  </si>
  <si>
    <t>https://ftp.ncbi.nlm.nih.gov/genomes/all/GCA/021/366/995/GCA_021366995.1_ASM2136699v1</t>
  </si>
  <si>
    <t>GCA_021367115.1</t>
  </si>
  <si>
    <t>Ani-LG-021</t>
  </si>
  <si>
    <t>https://ftp.ncbi.nlm.nih.gov/genomes/all/GCA/021/367/115/GCA_021367115.1_ASM2136711v1</t>
  </si>
  <si>
    <t>GCA_021367155.1</t>
  </si>
  <si>
    <t>Ani-LG-019</t>
  </si>
  <si>
    <t>https://ftp.ncbi.nlm.nih.gov/genomes/all/GCA/021/367/155/GCA_021367155.1_ASM2136715v1</t>
  </si>
  <si>
    <t>GCA_021367495.1</t>
  </si>
  <si>
    <t>Ani-GT-046</t>
  </si>
  <si>
    <t>https://ftp.ncbi.nlm.nih.gov/genomes/all/GCA/021/367/495/GCA_021367495.1_ASM2136749v1</t>
  </si>
  <si>
    <t>GCA_021367505.1</t>
  </si>
  <si>
    <t>Ani-GT-050</t>
  </si>
  <si>
    <t>https://ftp.ncbi.nlm.nih.gov/genomes/all/GCA/021/367/505/GCA_021367505.1_ASM2136750v1</t>
  </si>
  <si>
    <t>GCA_021367585.1</t>
  </si>
  <si>
    <t>Ani-GT-018</t>
  </si>
  <si>
    <t>https://ftp.ncbi.nlm.nih.gov/genomes/all/GCA/021/367/585/GCA_021367585.1_ASM2136758v1</t>
  </si>
  <si>
    <t>GCA_021367725.1</t>
  </si>
  <si>
    <t>Ani-GT-003</t>
  </si>
  <si>
    <t>https://ftp.ncbi.nlm.nih.gov/genomes/all/GCA/021/367/725/GCA_021367725.1_ASM2136772v1</t>
  </si>
  <si>
    <t>GCA_021378605.1</t>
  </si>
  <si>
    <t>APC055-529-1D</t>
  </si>
  <si>
    <t>https://ftp.ncbi.nlm.nih.gov/genomes/all/GCA/021/378/605/GCA_021378605.1_ASM2137860v1</t>
  </si>
  <si>
    <t>GCA_021378625.1</t>
  </si>
  <si>
    <t>APC055-928-H3-3</t>
  </si>
  <si>
    <t>https://ftp.ncbi.nlm.nih.gov/genomes/all/GCA/021/378/625/GCA_021378625.1_ASM2137862v1</t>
  </si>
  <si>
    <t>GCA_021378645.1</t>
  </si>
  <si>
    <t>APC055-943-4</t>
  </si>
  <si>
    <t>https://ftp.ncbi.nlm.nih.gov/genomes/all/GCA/021/378/645/GCA_021378645.1_ASM2137864v1</t>
  </si>
  <si>
    <t>GCA_021378665.1</t>
  </si>
  <si>
    <t>APC055-539-5C</t>
  </si>
  <si>
    <t>https://ftp.ncbi.nlm.nih.gov/genomes/all/GCA/021/378/665/GCA_021378665.1_ASM2137866v1</t>
  </si>
  <si>
    <t>GCA_021378685.1</t>
  </si>
  <si>
    <t>APC055-920-1E</t>
  </si>
  <si>
    <t>https://ftp.ncbi.nlm.nih.gov/genomes/all/GCA/021/378/685/GCA_021378685.1_ASM2137868v1</t>
  </si>
  <si>
    <t>GCA_021378725.1</t>
  </si>
  <si>
    <t>APC-F2-3</t>
  </si>
  <si>
    <t>https://ftp.ncbi.nlm.nih.gov/genomes/all/GCA/021/378/725/GCA_021378725.1_ASM2137872v1</t>
  </si>
  <si>
    <t>GCA_021390135.1</t>
  </si>
  <si>
    <t>RN6390</t>
  </si>
  <si>
    <t>https://ftp.ncbi.nlm.nih.gov/genomes/all/GCA/021/390/135/GCA_021390135.1_ASM2139013v1</t>
  </si>
  <si>
    <t>GCA_021398235.1</t>
  </si>
  <si>
    <t>19A-19087</t>
  </si>
  <si>
    <t>https://ftp.ncbi.nlm.nih.gov/genomes/all/GCA/021/398/235/GCA_021398235.1_ASM2139823v1</t>
  </si>
  <si>
    <t>GCA_021398305.1</t>
  </si>
  <si>
    <t>CBPA-ST-10002</t>
  </si>
  <si>
    <t>https://ftp.ncbi.nlm.nih.gov/genomes/all/GCA/021/398/305/GCA_021398305.1_ASM2139830v1</t>
  </si>
  <si>
    <t>GCA_021398325.1</t>
  </si>
  <si>
    <t>CBPA-ST-11003</t>
  </si>
  <si>
    <t>https://ftp.ncbi.nlm.nih.gov/genomes/all/GCA/021/398/325/GCA_021398325.1_ASM2139832v1</t>
  </si>
  <si>
    <t>GCA_021398345.1</t>
  </si>
  <si>
    <t>AZ22</t>
  </si>
  <si>
    <t>https://ftp.ncbi.nlm.nih.gov/genomes/all/GCA/021/398/345/GCA_021398345.1_ASM2139834v1</t>
  </si>
  <si>
    <t>GCA_021406605.1</t>
  </si>
  <si>
    <t>JKG10</t>
  </si>
  <si>
    <t>https://ftp.ncbi.nlm.nih.gov/genomes/all/GCA/021/406/605/GCA_021406605.1_ASM2140660v1</t>
  </si>
  <si>
    <t>GCA_021406625.1</t>
  </si>
  <si>
    <t>EM3</t>
  </si>
  <si>
    <t>https://ftp.ncbi.nlm.nih.gov/genomes/all/GCA/021/406/625/GCA_021406625.1_ASM2140662v1</t>
  </si>
  <si>
    <t>GCA_021406645.1</t>
  </si>
  <si>
    <t>B158</t>
  </si>
  <si>
    <t>https://ftp.ncbi.nlm.nih.gov/genomes/all/GCA/021/406/645/GCA_021406645.1_ASM2140664v1</t>
  </si>
  <si>
    <t>GCA_021406655.1</t>
  </si>
  <si>
    <t>JKG9</t>
  </si>
  <si>
    <t>https://ftp.ncbi.nlm.nih.gov/genomes/all/GCA/021/406/655/GCA_021406655.1_ASM2140665v1</t>
  </si>
  <si>
    <t>GCA_021406685.1</t>
  </si>
  <si>
    <t>https://ftp.ncbi.nlm.nih.gov/genomes/all/GCA/021/406/685/GCA_021406685.1_ASM2140668v1</t>
  </si>
  <si>
    <t>GCA_021406705.1</t>
  </si>
  <si>
    <t>TV14</t>
  </si>
  <si>
    <t>https://ftp.ncbi.nlm.nih.gov/genomes/all/GCA/021/406/705/GCA_021406705.1_ASM2140670v1</t>
  </si>
  <si>
    <t>GCA_021406725.1</t>
  </si>
  <si>
    <t>Kyudai-3</t>
  </si>
  <si>
    <t>https://ftp.ncbi.nlm.nih.gov/genomes/all/GCA/021/406/725/GCA_021406725.1_ASM2140672v1</t>
  </si>
  <si>
    <t>GCA_021406735.1</t>
  </si>
  <si>
    <t>Kyudai-4</t>
  </si>
  <si>
    <t>https://ftp.ncbi.nlm.nih.gov/genomes/all/GCA/021/406/735/GCA_021406735.1_ASM2140673v1</t>
  </si>
  <si>
    <t>GCA_021406745.1</t>
  </si>
  <si>
    <t>B42</t>
  </si>
  <si>
    <t>https://ftp.ncbi.nlm.nih.gov/genomes/all/GCA/021/406/745/GCA_021406745.1_ASM2140674v1</t>
  </si>
  <si>
    <t>GCA_021406785.1</t>
  </si>
  <si>
    <t>https://ftp.ncbi.nlm.nih.gov/genomes/all/GCA/021/406/785/GCA_021406785.1_ASM2140678v1</t>
  </si>
  <si>
    <t>GCA_021406795.1</t>
  </si>
  <si>
    <t>D83T3</t>
  </si>
  <si>
    <t>https://ftp.ncbi.nlm.nih.gov/genomes/all/GCA/021/406/795/GCA_021406795.1_ASM2140679v1</t>
  </si>
  <si>
    <t>GCA_021406845.1</t>
  </si>
  <si>
    <t>https://ftp.ncbi.nlm.nih.gov/genomes/all/GCA/021/406/845/GCA_021406845.1_ASM2140684v1</t>
  </si>
  <si>
    <t>GCA_021442105.1</t>
  </si>
  <si>
    <t>BC5211</t>
  </si>
  <si>
    <t>https://ftp.ncbi.nlm.nih.gov/genomes/all/GCA/021/442/105/GCA_021442105.1_ASM2144210v1</t>
  </si>
  <si>
    <t>GCA_021443685.1</t>
  </si>
  <si>
    <t>MAG39</t>
  </si>
  <si>
    <t>https://ftp.ncbi.nlm.nih.gov/genomes/all/GCA/021/443/685/GCA_021443685.1_ASM2144368v1</t>
  </si>
  <si>
    <t>GCA_021460135.1</t>
  </si>
  <si>
    <t>MIN-198</t>
  </si>
  <si>
    <t>https://ftp.ncbi.nlm.nih.gov/genomes/all/GCA/021/460/135/GCA_021460135.1_ASM2146013v1</t>
  </si>
  <si>
    <t>GCA_021460215.1</t>
  </si>
  <si>
    <t>MIN-132</t>
  </si>
  <si>
    <t>https://ftp.ncbi.nlm.nih.gov/genomes/all/GCA/021/460/215/GCA_021460215.1_ASM2146021v1</t>
  </si>
  <si>
    <t>GCA_021460765.1</t>
  </si>
  <si>
    <t>MIN-085</t>
  </si>
  <si>
    <t>https://ftp.ncbi.nlm.nih.gov/genomes/all/GCA/021/460/765/GCA_021460765.1_ASM2146076v1</t>
  </si>
  <si>
    <t>GCA_021491935.1</t>
  </si>
  <si>
    <t>WCO-9</t>
  </si>
  <si>
    <t>https://ftp.ncbi.nlm.nih.gov/genomes/all/GCA/021/491/935/GCA_021491935.1_ASM2149193v1</t>
  </si>
  <si>
    <t>GCA_021496015.1</t>
  </si>
  <si>
    <t>https://ftp.ncbi.nlm.nih.gov/genomes/all/GCA/021/496/015/GCA_021496015.1_ASM2149601v1</t>
  </si>
  <si>
    <t>GCA_021496075.1</t>
  </si>
  <si>
    <t>45A6</t>
  </si>
  <si>
    <t>https://ftp.ncbi.nlm.nih.gov/genomes/all/GCA/021/496/075/GCA_021496075.1_ASM2149607v1</t>
  </si>
  <si>
    <t>GCA_021496295.1</t>
  </si>
  <si>
    <t>AJ312</t>
  </si>
  <si>
    <t>https://ftp.ncbi.nlm.nih.gov/genomes/all/GCA/021/496/295/GCA_021496295.1_ASM2149629v1</t>
  </si>
  <si>
    <t>GCA_021496365.1</t>
  </si>
  <si>
    <t>AJ413</t>
  </si>
  <si>
    <t>https://ftp.ncbi.nlm.nih.gov/genomes/all/GCA/021/496/365/GCA_021496365.1_ASM2149636v1</t>
  </si>
  <si>
    <t>GCA_021496585.1</t>
  </si>
  <si>
    <t>HKGB4</t>
  </si>
  <si>
    <t>https://ftp.ncbi.nlm.nih.gov/genomes/all/GCA/021/496/585/GCA_021496585.1_ASM2149658v1</t>
  </si>
  <si>
    <t>GCA_021496605.1</t>
  </si>
  <si>
    <t>HKGB3</t>
  </si>
  <si>
    <t>https://ftp.ncbi.nlm.nih.gov/genomes/all/GCA/021/496/605/GCA_021496605.1_ASM2149660v1</t>
  </si>
  <si>
    <t>GCA_021496625.1</t>
  </si>
  <si>
    <t>HKGB2</t>
  </si>
  <si>
    <t>https://ftp.ncbi.nlm.nih.gov/genomes/all/GCA/021/496/625/GCA_021496625.1_ASM2149662v1</t>
  </si>
  <si>
    <t>GCA_021497065.1</t>
  </si>
  <si>
    <t>S34-1</t>
  </si>
  <si>
    <t>https://ftp.ncbi.nlm.nih.gov/genomes/all/GCA/021/497/065/GCA_021497065.1_ASM2149706v1</t>
  </si>
  <si>
    <t>GCA_021497885.1</t>
  </si>
  <si>
    <t>SOD</t>
  </si>
  <si>
    <t>https://ftp.ncbi.nlm.nih.gov/genomes/all/GCA/021/497/885/GCA_021497885.1_ASM2149788v1</t>
  </si>
  <si>
    <t>GCA_021497945.1</t>
  </si>
  <si>
    <t>SOT</t>
  </si>
  <si>
    <t>https://ftp.ncbi.nlm.nih.gov/genomes/all/GCA/021/497/945/GCA_021497945.1_ASM2149794v1</t>
  </si>
  <si>
    <t>GCA_021497985.1</t>
  </si>
  <si>
    <t>Cap 100.1</t>
  </si>
  <si>
    <t>https://ftp.ncbi.nlm.nih.gov/genomes/all/GCA/021/497/985/GCA_021497985.1_ASM2149798v1</t>
  </si>
  <si>
    <t>GCA_021513055.1</t>
  </si>
  <si>
    <t>52B</t>
  </si>
  <si>
    <t>https://ftp.ncbi.nlm.nih.gov/genomes/all/GCA/021/513/055/GCA_021513055.1_ASM2151305v1</t>
  </si>
  <si>
    <t>GCA_021513075.1</t>
  </si>
  <si>
    <t>50D</t>
  </si>
  <si>
    <t>https://ftp.ncbi.nlm.nih.gov/genomes/all/GCA/021/513/075/GCA_021513075.1_ASM2151307v1</t>
  </si>
  <si>
    <t>GCA_021513115.1</t>
  </si>
  <si>
    <t>BC1190</t>
  </si>
  <si>
    <t>https://ftp.ncbi.nlm.nih.gov/genomes/all/GCA/021/513/115/GCA_021513115.1_ASM2151311v1</t>
  </si>
  <si>
    <t>GCA_021531445.1</t>
  </si>
  <si>
    <t>An892</t>
  </si>
  <si>
    <t>https://ftp.ncbi.nlm.nih.gov/genomes/all/GCA/021/531/445/GCA_021531445.1_ASM2153144v1</t>
  </si>
  <si>
    <t>ET44</t>
  </si>
  <si>
    <t>https://ftp.ncbi.nlm.nih.gov/genomes/all/GCA/021/532/155/GCA_021532155.1_ASM2153215v1</t>
  </si>
  <si>
    <t>GCA_021595565.1</t>
  </si>
  <si>
    <t>GS001</t>
  </si>
  <si>
    <t>https://ftp.ncbi.nlm.nih.gov/genomes/all/GCA/021/595/565/GCA_021595565.1_ASM2159556v1</t>
  </si>
  <si>
    <t>GCA_021600285.1</t>
  </si>
  <si>
    <t>ATCC 14277</t>
  </si>
  <si>
    <t>https://ftp.ncbi.nlm.nih.gov/genomes/all/GCA/021/600/285/GCA_021600285.1_ASM2160028v1</t>
  </si>
  <si>
    <t>GCA_021600305.1</t>
  </si>
  <si>
    <t>ATCC 23557</t>
  </si>
  <si>
    <t>https://ftp.ncbi.nlm.nih.gov/genomes/all/GCA/021/600/305/GCA_021600305.1_ASM2160030v1</t>
  </si>
  <si>
    <t>GCA_021600325.1</t>
  </si>
  <si>
    <t>ATCC 33130</t>
  </si>
  <si>
    <t>https://ftp.ncbi.nlm.nih.gov/genomes/all/GCA/021/600/325/GCA_021600325.1_ASM2160032v1</t>
  </si>
  <si>
    <t>GCA_021728465.1</t>
  </si>
  <si>
    <t>8SE</t>
  </si>
  <si>
    <t>https://ftp.ncbi.nlm.nih.gov/genomes/all/GCA/021/728/465/GCA_021728465.1_ASM2172846v1</t>
  </si>
  <si>
    <t>GCA_021764795.1</t>
  </si>
  <si>
    <t>https://ftp.ncbi.nlm.nih.gov/genomes/all/GCA/021/764/795/GCA_021764795.1_ASM2176479v1</t>
  </si>
  <si>
    <t>GCA_021849105.1</t>
  </si>
  <si>
    <t>SKS3.bin6</t>
  </si>
  <si>
    <t>https://ftp.ncbi.nlm.nih.gov/genomes/all/GCA/021/849/105/GCA_021849105.1_ASM2184910v1</t>
  </si>
  <si>
    <t>GCA_021893145.1</t>
  </si>
  <si>
    <t>SM11</t>
  </si>
  <si>
    <t>https://ftp.ncbi.nlm.nih.gov/genomes/all/GCA/021/893/145/GCA_021893145.1_ASM2189314v1</t>
  </si>
  <si>
    <t>GCA_022014035.1</t>
  </si>
  <si>
    <t>66-3</t>
  </si>
  <si>
    <t>https://ftp.ncbi.nlm.nih.gov/genomes/all/GCA/022/014/035/GCA_022014035.1_ASM2201403v1</t>
  </si>
  <si>
    <t>GCA_022014045.1</t>
  </si>
  <si>
    <t>51-1</t>
  </si>
  <si>
    <t>https://ftp.ncbi.nlm.nih.gov/genomes/all/GCA/022/014/045/GCA_022014045.1_ASM2201404v1</t>
  </si>
  <si>
    <t>GCA_022014095.1</t>
  </si>
  <si>
    <t>49-1</t>
  </si>
  <si>
    <t>https://ftp.ncbi.nlm.nih.gov/genomes/all/GCA/022/014/095/GCA_022014095.1_ASM2201409v1</t>
  </si>
  <si>
    <t>GCA_022014115.1</t>
  </si>
  <si>
    <t>45-2</t>
  </si>
  <si>
    <t>https://ftp.ncbi.nlm.nih.gov/genomes/all/GCA/022/014/115/GCA_022014115.1_ASM2201411v1</t>
  </si>
  <si>
    <t>GCA_022014535.1</t>
  </si>
  <si>
    <t>C781</t>
  </si>
  <si>
    <t>https://ftp.ncbi.nlm.nih.gov/genomes/all/GCA/022/014/535/GCA_022014535.1_ASM2201453v1</t>
  </si>
  <si>
    <t>GCA_022014555.1</t>
  </si>
  <si>
    <t>C787</t>
  </si>
  <si>
    <t>https://ftp.ncbi.nlm.nih.gov/genomes/all/GCA/022/014/555/GCA_022014555.1_ASM2201455v1</t>
  </si>
  <si>
    <t>GCA_022014575.1</t>
  </si>
  <si>
    <t>C779</t>
  </si>
  <si>
    <t>https://ftp.ncbi.nlm.nih.gov/genomes/all/GCA/022/014/575/GCA_022014575.1_ASM2201457v1</t>
  </si>
  <si>
    <t>GCA_022068285.1</t>
  </si>
  <si>
    <t>TVO_1901927</t>
  </si>
  <si>
    <t>https://ftp.ncbi.nlm.nih.gov/genomes/all/GCA/022/068/285/GCA_022068285.1_ASM2206828v1</t>
  </si>
  <si>
    <t>GCA_022068525.1</t>
  </si>
  <si>
    <t>TVO_1901925</t>
  </si>
  <si>
    <t>https://ftp.ncbi.nlm.nih.gov/genomes/all/GCA/022/068/525/GCA_022068525.1_ASM2206852v1</t>
  </si>
  <si>
    <t>GCA_022069005.1</t>
  </si>
  <si>
    <t>TVO_1901948</t>
  </si>
  <si>
    <t>https://ftp.ncbi.nlm.nih.gov/genomes/all/GCA/022/069/005/GCA_022069005.1_ASM2206900v1</t>
  </si>
  <si>
    <t>GCA_022069325.1</t>
  </si>
  <si>
    <t>TVO_1901945</t>
  </si>
  <si>
    <t>https://ftp.ncbi.nlm.nih.gov/genomes/all/GCA/022/069/325/GCA_022069325.1_ASM2206932v1</t>
  </si>
  <si>
    <t>GCA_022069485.1</t>
  </si>
  <si>
    <t>TVO_1901941</t>
  </si>
  <si>
    <t>https://ftp.ncbi.nlm.nih.gov/genomes/all/GCA/022/069/485/GCA_022069485.1_ASM2206948v1</t>
  </si>
  <si>
    <t>GCA_022069505.1</t>
  </si>
  <si>
    <t>TVO_1901940</t>
  </si>
  <si>
    <t>https://ftp.ncbi.nlm.nih.gov/genomes/all/GCA/022/069/505/GCA_022069505.1_ASM2206950v1</t>
  </si>
  <si>
    <t>GCA_022069545.1</t>
  </si>
  <si>
    <t>TVO_1901939</t>
  </si>
  <si>
    <t>https://ftp.ncbi.nlm.nih.gov/genomes/all/GCA/022/069/545/GCA_022069545.1_ASM2206954v1</t>
  </si>
  <si>
    <t>GCA_022070465.1</t>
  </si>
  <si>
    <t>TVO_1901920</t>
  </si>
  <si>
    <t>https://ftp.ncbi.nlm.nih.gov/genomes/all/GCA/022/070/465/GCA_022070465.1_ASM2207046v1</t>
  </si>
  <si>
    <t>GCA_022070485.1</t>
  </si>
  <si>
    <t>TVO_1902277</t>
  </si>
  <si>
    <t>https://ftp.ncbi.nlm.nih.gov/genomes/all/GCA/022/070/485/GCA_022070485.1_ASM2207048v1</t>
  </si>
  <si>
    <t>GCA_022070545.1</t>
  </si>
  <si>
    <t>TVO_1902276</t>
  </si>
  <si>
    <t>https://ftp.ncbi.nlm.nih.gov/genomes/all/GCA/022/070/545/GCA_022070545.1_ASM2207054v1</t>
  </si>
  <si>
    <t>GCA_022070565.1</t>
  </si>
  <si>
    <t>TVO_1902282</t>
  </si>
  <si>
    <t>https://ftp.ncbi.nlm.nih.gov/genomes/all/GCA/022/070/565/GCA_022070565.1_ASM2207056v1</t>
  </si>
  <si>
    <t>GCA_022075545.1</t>
  </si>
  <si>
    <t>TVO_1901936</t>
  </si>
  <si>
    <t>https://ftp.ncbi.nlm.nih.gov/genomes/all/GCA/022/075/545/GCA_022075545.1_ASM2207554v1</t>
  </si>
  <si>
    <t>GCA_022075645.1</t>
  </si>
  <si>
    <t>TVO_1901944</t>
  </si>
  <si>
    <t>https://ftp.ncbi.nlm.nih.gov/genomes/all/GCA/022/075/645/GCA_022075645.1_ASM2207564v1</t>
  </si>
  <si>
    <t>GCA_022136765.1</t>
  </si>
  <si>
    <t>DFI.4.55</t>
  </si>
  <si>
    <t>https://ftp.ncbi.nlm.nih.gov/genomes/all/GCA/022/136/765/GCA_022136765.1_NA</t>
  </si>
  <si>
    <t>GCA_022136825.1</t>
  </si>
  <si>
    <t>DFI.4.19</t>
  </si>
  <si>
    <t>https://ftp.ncbi.nlm.nih.gov/genomes/all/GCA/022/136/825/GCA_022136825.1_NA</t>
  </si>
  <si>
    <t>GCA_022137105.1</t>
  </si>
  <si>
    <t>DFI.2.97</t>
  </si>
  <si>
    <t>https://ftp.ncbi.nlm.nih.gov/genomes/all/GCA/022/137/105/GCA_022137105.1_NA</t>
  </si>
  <si>
    <t>GCA_022212925.1</t>
  </si>
  <si>
    <t>119-2</t>
  </si>
  <si>
    <t>https://ftp.ncbi.nlm.nih.gov/genomes/all/GCA/022/212/925/GCA_022212925.1_ASM2221292v1</t>
  </si>
  <si>
    <t>GCA_022221305.1</t>
  </si>
  <si>
    <t>AF039</t>
  </si>
  <si>
    <t>https://ftp.ncbi.nlm.nih.gov/genomes/all/GCA/022/221/305/GCA_022221305.1_ASM2222130v1</t>
  </si>
  <si>
    <t>GCA_022221345.1</t>
  </si>
  <si>
    <t>https://ftp.ncbi.nlm.nih.gov/genomes/all/GCA/022/221/345/GCA_022221345.1_ASM2222134v1</t>
  </si>
  <si>
    <t>GCA_022240605.1</t>
  </si>
  <si>
    <t>DFI.7.26</t>
  </si>
  <si>
    <t>https://ftp.ncbi.nlm.nih.gov/genomes/all/GCA/022/240/605/GCA_022240605.1_NA</t>
  </si>
  <si>
    <t>GCA_022291075.1</t>
  </si>
  <si>
    <t>Cap 10.1</t>
  </si>
  <si>
    <t>https://ftp.ncbi.nlm.nih.gov/genomes/all/GCA/022/291/075/GCA_022291075.1_ASM2229107v1</t>
  </si>
  <si>
    <t>GCA_022291085.1</t>
  </si>
  <si>
    <t>Cap 9.1</t>
  </si>
  <si>
    <t>https://ftp.ncbi.nlm.nih.gov/genomes/all/GCA/022/291/085/GCA_022291085.1_ASM2229108v1</t>
  </si>
  <si>
    <t>GCA_022291115.1</t>
  </si>
  <si>
    <t>Cap 9.2</t>
  </si>
  <si>
    <t>https://ftp.ncbi.nlm.nih.gov/genomes/all/GCA/022/291/115/GCA_022291115.1_ASM2229111v1</t>
  </si>
  <si>
    <t>GCA_022291155.1</t>
  </si>
  <si>
    <t>Cap 10.2</t>
  </si>
  <si>
    <t>https://ftp.ncbi.nlm.nih.gov/genomes/all/GCA/022/291/155/GCA_022291155.1_ASM2229115v1</t>
  </si>
  <si>
    <t>GCA_022291175.1</t>
  </si>
  <si>
    <t>Cap 100.2</t>
  </si>
  <si>
    <t>https://ftp.ncbi.nlm.nih.gov/genomes/all/GCA/022/291/175/GCA_022291175.1_ASM2229117v1</t>
  </si>
  <si>
    <t>GCA_022291195.1</t>
  </si>
  <si>
    <t>Cap 101.2</t>
  </si>
  <si>
    <t>https://ftp.ncbi.nlm.nih.gov/genomes/all/GCA/022/291/195/GCA_022291195.1_ASM2229119v1</t>
  </si>
  <si>
    <t>GCA_022291215.1</t>
  </si>
  <si>
    <t>Cap 101.1</t>
  </si>
  <si>
    <t>https://ftp.ncbi.nlm.nih.gov/genomes/all/GCA/022/291/215/GCA_022291215.1_ASM2229121v1</t>
  </si>
  <si>
    <t>GCA_022318405.1</t>
  </si>
  <si>
    <t>CH2241</t>
  </si>
  <si>
    <t>https://ftp.ncbi.nlm.nih.gov/genomes/all/GCA/022/318/405/GCA_022318405.1_ASM2231840v1</t>
  </si>
  <si>
    <t>GCA_022318425.1</t>
  </si>
  <si>
    <t>LE4448</t>
  </si>
  <si>
    <t>https://ftp.ncbi.nlm.nih.gov/genomes/all/GCA/022/318/425/GCA_022318425.1_ASM2231842v1</t>
  </si>
  <si>
    <t>GCA_022318505.1</t>
  </si>
  <si>
    <t>NP7536</t>
  </si>
  <si>
    <t>https://ftp.ncbi.nlm.nih.gov/genomes/all/GCA/022/318/505/GCA_022318505.1_ASM2231850v1</t>
  </si>
  <si>
    <t>GCA_022340045.1</t>
  </si>
  <si>
    <t>FnS0431</t>
  </si>
  <si>
    <t>https://ftp.ncbi.nlm.nih.gov/genomes/all/GCA/022/340/045/GCA_022340045.1_ASM2234004v1</t>
  </si>
  <si>
    <t>GCA_022340105.1</t>
  </si>
  <si>
    <t>Fn173CP</t>
  </si>
  <si>
    <t>https://ftp.ncbi.nlm.nih.gov/genomes/all/GCA/022/340/105/GCA_022340105.1_ASM2234010v1</t>
  </si>
  <si>
    <t>GCA_022340115.1</t>
  </si>
  <si>
    <t>Fn3760T</t>
  </si>
  <si>
    <t>https://ftp.ncbi.nlm.nih.gov/genomes/all/GCA/022/340/115/GCA_022340115.1_ASM2234011v1</t>
  </si>
  <si>
    <t>GCA_022340145.1</t>
  </si>
  <si>
    <t>Fn10-CTX3</t>
  </si>
  <si>
    <t>https://ftp.ncbi.nlm.nih.gov/genomes/all/GCA/022/340/145/GCA_022340145.1_ASM2234014v1</t>
  </si>
  <si>
    <t>GCA_022340165.1</t>
  </si>
  <si>
    <t>Fn146CP</t>
  </si>
  <si>
    <t>https://ftp.ncbi.nlm.nih.gov/genomes/all/GCA/022/340/165/GCA_022340165.1_ASM2234016v1</t>
  </si>
  <si>
    <t>GCA_022341345.1</t>
  </si>
  <si>
    <t>P17N</t>
  </si>
  <si>
    <t>https://ftp.ncbi.nlm.nih.gov/genomes/all/GCA/022/341/345/GCA_022341345.1_ASM2234134v1</t>
  </si>
  <si>
    <t>GCA_022341385.1</t>
  </si>
  <si>
    <t>P12N</t>
  </si>
  <si>
    <t>https://ftp.ncbi.nlm.nih.gov/genomes/all/GCA/022/341/385/GCA_022341385.1_ASM2234138v1</t>
  </si>
  <si>
    <t>GCA_022345765.1</t>
  </si>
  <si>
    <t>CTNIH6</t>
  </si>
  <si>
    <t>https://ftp.ncbi.nlm.nih.gov/genomes/all/GCA/022/345/765/GCA_022345765.1_ASM2234576v1</t>
  </si>
  <si>
    <t>GCA_022345785.1</t>
  </si>
  <si>
    <t>ACRQW</t>
  </si>
  <si>
    <t>https://ftp.ncbi.nlm.nih.gov/genomes/all/GCA/022/345/785/GCA_022345785.1_ASM2234578v1</t>
  </si>
  <si>
    <t>GCA_022345795.1</t>
  </si>
  <si>
    <t>CTNIH27</t>
  </si>
  <si>
    <t>https://ftp.ncbi.nlm.nih.gov/genomes/all/GCA/022/345/795/GCA_022345795.1_ASM2234579v1</t>
  </si>
  <si>
    <t>GCA_022345825.1</t>
  </si>
  <si>
    <t>ACRQU</t>
  </si>
  <si>
    <t>https://ftp.ncbi.nlm.nih.gov/genomes/all/GCA/022/345/825/GCA_022345825.1_ASM2234582v1</t>
  </si>
  <si>
    <t>GCA_022345865.1</t>
  </si>
  <si>
    <t>ACRQT</t>
  </si>
  <si>
    <t>https://ftp.ncbi.nlm.nih.gov/genomes/all/GCA/022/345/865/GCA_022345865.1_ASM2234586v1</t>
  </si>
  <si>
    <t>GCA_022345885.1</t>
  </si>
  <si>
    <t>ACRQO</t>
  </si>
  <si>
    <t>https://ftp.ncbi.nlm.nih.gov/genomes/all/GCA/022/345/885/GCA_022345885.1_ASM2234588v1</t>
  </si>
  <si>
    <t>GCA_022345925.1</t>
  </si>
  <si>
    <t>ACRQS</t>
  </si>
  <si>
    <t>https://ftp.ncbi.nlm.nih.gov/genomes/all/GCA/022/345/925/GCA_022345925.1_ASM2234592v1</t>
  </si>
  <si>
    <t>GCA_022346085.1</t>
  </si>
  <si>
    <t>ACRQI</t>
  </si>
  <si>
    <t>https://ftp.ncbi.nlm.nih.gov/genomes/all/GCA/022/346/085/GCA_022346085.1_ASM2234608v1</t>
  </si>
  <si>
    <t>GCA_022346125.1</t>
  </si>
  <si>
    <t>ACRQG</t>
  </si>
  <si>
    <t>https://ftp.ncbi.nlm.nih.gov/genomes/all/GCA/022/346/125/GCA_022346125.1_ASM2234612v1</t>
  </si>
  <si>
    <t>GCA_022346135.1</t>
  </si>
  <si>
    <t>ACRQH</t>
  </si>
  <si>
    <t>https://ftp.ncbi.nlm.nih.gov/genomes/all/GCA/022/346/135/GCA_022346135.1_ASM2234613v1</t>
  </si>
  <si>
    <t>GCA_022346165.1</t>
  </si>
  <si>
    <t>ACRQA</t>
  </si>
  <si>
    <t>https://ftp.ncbi.nlm.nih.gov/genomes/all/GCA/022/346/165/GCA_022346165.1_ASM2234616v1</t>
  </si>
  <si>
    <t>GCA_022346225.1</t>
  </si>
  <si>
    <t>ACRPX</t>
  </si>
  <si>
    <t>https://ftp.ncbi.nlm.nih.gov/genomes/all/GCA/022/346/225/GCA_022346225.1_ASM2234622v1</t>
  </si>
  <si>
    <t>GCA_022346265.1</t>
  </si>
  <si>
    <t>ACRPW</t>
  </si>
  <si>
    <t>https://ftp.ncbi.nlm.nih.gov/genomes/all/GCA/022/346/265/GCA_022346265.1_ASM2234626v1</t>
  </si>
  <si>
    <t>GCA_022346285.1</t>
  </si>
  <si>
    <t>ACRQV</t>
  </si>
  <si>
    <t>https://ftp.ncbi.nlm.nih.gov/genomes/all/GCA/022/346/285/GCA_022346285.1_ASM2234628v1</t>
  </si>
  <si>
    <t>GCA_022346305.1</t>
  </si>
  <si>
    <t>ACRQQ</t>
  </si>
  <si>
    <t>https://ftp.ncbi.nlm.nih.gov/genomes/all/GCA/022/346/305/GCA_022346305.1_ASM2234630v1</t>
  </si>
  <si>
    <t>GCA_022346315.1</t>
  </si>
  <si>
    <t>ACRPV</t>
  </si>
  <si>
    <t>https://ftp.ncbi.nlm.nih.gov/genomes/all/GCA/022/346/315/GCA_022346315.1_ASM2234631v1</t>
  </si>
  <si>
    <t>GCA_022346345.1</t>
  </si>
  <si>
    <t>HMT-054</t>
  </si>
  <si>
    <t>pilbarense</t>
  </si>
  <si>
    <t>ACRPU</t>
  </si>
  <si>
    <t>https://ftp.ncbi.nlm.nih.gov/genomes/all/GCA/022/346/345/GCA_022346345.1_ASM2234634v1</t>
  </si>
  <si>
    <t>GCA_022346365.1</t>
  </si>
  <si>
    <t>ACRRH</t>
  </si>
  <si>
    <t>https://ftp.ncbi.nlm.nih.gov/genomes/all/GCA/022/346/365/GCA_022346365.1_ASM2234636v1</t>
  </si>
  <si>
    <t>GCA_022346515.1</t>
  </si>
  <si>
    <t>ACRRM</t>
  </si>
  <si>
    <t>https://ftp.ncbi.nlm.nih.gov/genomes/all/GCA/022/346/515/GCA_022346515.1_ASM2234651v1</t>
  </si>
  <si>
    <t>GCA_022346625.1</t>
  </si>
  <si>
    <t>ACRRN</t>
  </si>
  <si>
    <t>https://ftp.ncbi.nlm.nih.gov/genomes/all/GCA/022/346/625/GCA_022346625.1_ASM2234662v1</t>
  </si>
  <si>
    <t>GCA_022346665.1</t>
  </si>
  <si>
    <t>ACRPT</t>
  </si>
  <si>
    <t>https://ftp.ncbi.nlm.nih.gov/genomes/all/GCA/022/346/665/GCA_022346665.1_ASM2234666v1</t>
  </si>
  <si>
    <t>GCA_022346805.1</t>
  </si>
  <si>
    <t>ACRSF</t>
  </si>
  <si>
    <t>https://ftp.ncbi.nlm.nih.gov/genomes/all/GCA/022/346/805/GCA_022346805.1_ASM2234680v1</t>
  </si>
  <si>
    <t>GCA_022346865.1</t>
  </si>
  <si>
    <t>ACRSE</t>
  </si>
  <si>
    <t>https://ftp.ncbi.nlm.nih.gov/genomes/all/GCA/022/346/865/GCA_022346865.1_ASM2234686v1</t>
  </si>
  <si>
    <t>GCA_022346965.1</t>
  </si>
  <si>
    <t>ACRPA</t>
  </si>
  <si>
    <t>https://ftp.ncbi.nlm.nih.gov/genomes/all/GCA/022/346/965/GCA_022346965.1_ASM2234696v1</t>
  </si>
  <si>
    <t>GCA_022347225.1</t>
  </si>
  <si>
    <t>CTNIH8</t>
  </si>
  <si>
    <t>https://ftp.ncbi.nlm.nih.gov/genomes/all/GCA/022/347/225/GCA_022347225.1_ASM2234722v1</t>
  </si>
  <si>
    <t>GCA_022347235.1</t>
  </si>
  <si>
    <t>CTNIH3</t>
  </si>
  <si>
    <t>https://ftp.ncbi.nlm.nih.gov/genomes/all/GCA/022/347/235/GCA_022347235.1_ASM2234723v1</t>
  </si>
  <si>
    <t>GCA_022347295.1</t>
  </si>
  <si>
    <t>CTNIH24</t>
  </si>
  <si>
    <t>https://ftp.ncbi.nlm.nih.gov/genomes/all/GCA/022/347/295/GCA_022347295.1_ASM2234729v1</t>
  </si>
  <si>
    <t>GCA_022347325.1</t>
  </si>
  <si>
    <t>CTNIH2</t>
  </si>
  <si>
    <t>https://ftp.ncbi.nlm.nih.gov/genomes/all/GCA/022/347/325/GCA_022347325.1_ASM2234732v1</t>
  </si>
  <si>
    <t>GCA_022347335.1</t>
  </si>
  <si>
    <t>CTNIH1</t>
  </si>
  <si>
    <t>https://ftp.ncbi.nlm.nih.gov/genomes/all/GCA/022/347/335/GCA_022347335.1_ASM2234733v1</t>
  </si>
  <si>
    <t>GCA_022347345.1</t>
  </si>
  <si>
    <t>ACRPJ</t>
  </si>
  <si>
    <t>https://ftp.ncbi.nlm.nih.gov/genomes/all/GCA/022/347/345/GCA_022347345.1_ASM2234734v1</t>
  </si>
  <si>
    <t>GCA_022347385.1</t>
  </si>
  <si>
    <t>CTNIH4</t>
  </si>
  <si>
    <t>https://ftp.ncbi.nlm.nih.gov/genomes/all/GCA/022/347/385/GCA_022347385.1_ASM2234738v1</t>
  </si>
  <si>
    <t>GCA_022347395.1</t>
  </si>
  <si>
    <t>ACRPF</t>
  </si>
  <si>
    <t>https://ftp.ncbi.nlm.nih.gov/genomes/all/GCA/022/347/395/GCA_022347395.1_ASM2234739v1</t>
  </si>
  <si>
    <t>GCA_022347435.1</t>
  </si>
  <si>
    <t>CTNIH5</t>
  </si>
  <si>
    <t>https://ftp.ncbi.nlm.nih.gov/genomes/all/GCA/022/347/435/GCA_022347435.1_ASM2234743v1</t>
  </si>
  <si>
    <t>GCA_022350025.1</t>
  </si>
  <si>
    <t>YSJ3</t>
  </si>
  <si>
    <t>https://ftp.ncbi.nlm.nih.gov/genomes/all/GCA/022/350/025/GCA_022350025.1_ASM2235002v1</t>
  </si>
  <si>
    <t>GCA_022354605.1</t>
  </si>
  <si>
    <t>SWHIN_109</t>
  </si>
  <si>
    <t>https://ftp.ncbi.nlm.nih.gov/genomes/all/GCA/022/354/605/GCA_022354605.1_ASM2235460v1</t>
  </si>
  <si>
    <t>GCA_022359935.1</t>
  </si>
  <si>
    <t>NLF2-7</t>
  </si>
  <si>
    <t>https://ftp.ncbi.nlm.nih.gov/genomes/all/GCA/022/359/935/GCA_022359935.1_ASM2235993v1</t>
  </si>
  <si>
    <t>GCA_022404775.1</t>
  </si>
  <si>
    <t>NAS_AN_270</t>
  </si>
  <si>
    <t>https://ftp.ncbi.nlm.nih.gov/genomes/all/GCA/022/404/775/GCA_022404775.1_ASM2240477v1</t>
  </si>
  <si>
    <t>GCA_022405435.1</t>
  </si>
  <si>
    <t>NAS_AN_099</t>
  </si>
  <si>
    <t>https://ftp.ncbi.nlm.nih.gov/genomes/all/GCA/022/405/435/GCA_022405435.1_ASM2240543v1</t>
  </si>
  <si>
    <t>GCA_022405595.1</t>
  </si>
  <si>
    <t>NAS_AN_009</t>
  </si>
  <si>
    <t>https://ftp.ncbi.nlm.nih.gov/genomes/all/GCA/022/405/595/GCA_022405595.1_ASM2240559v1</t>
  </si>
  <si>
    <t>GCA_022453685.1</t>
  </si>
  <si>
    <t>VPI 0990</t>
  </si>
  <si>
    <t>https://ftp.ncbi.nlm.nih.gov/genomes/all/GCA/022/453/685/GCA_022453685.1_ASM2245368v1</t>
  </si>
  <si>
    <t>GCA_022454195.1</t>
  </si>
  <si>
    <t>DZD_CM_38_S806-bin_1</t>
  </si>
  <si>
    <t>https://ftp.ncbi.nlm.nih.gov/genomes/all/GCA/022/454/195/GCA_022454195.1_ASM2245419v1</t>
  </si>
  <si>
    <t>GCA_022454245.1</t>
  </si>
  <si>
    <t>DZD_CM_35_S803-bin_1</t>
  </si>
  <si>
    <t>https://ftp.ncbi.nlm.nih.gov/genomes/all/GCA/022/454/245/GCA_022454245.1_ASM2245424v1</t>
  </si>
  <si>
    <t>GCA_022484865.1</t>
  </si>
  <si>
    <t>51P6ENG_1</t>
  </si>
  <si>
    <t>https://ftp.ncbi.nlm.nih.gov/genomes/all/GCA/022/484/865/GCA_022484865.1_ASM2248486v1</t>
  </si>
  <si>
    <t>GCA_022484905.1</t>
  </si>
  <si>
    <t>H10FS1</t>
  </si>
  <si>
    <t>https://ftp.ncbi.nlm.nih.gov/genomes/all/GCA/022/484/905/GCA_022484905.1_ASM2248490v1</t>
  </si>
  <si>
    <t>GCA_022485005.1</t>
  </si>
  <si>
    <t>114P2SUD1</t>
  </si>
  <si>
    <t>https://ftp.ncbi.nlm.nih.gov/genomes/all/GCA/022/485/005/GCA_022485005.1_ASM2248500v1</t>
  </si>
  <si>
    <t>GCA_022485095.1</t>
  </si>
  <si>
    <t>051P1ENP_1</t>
  </si>
  <si>
    <t>https://ftp.ncbi.nlm.nih.gov/genomes/all/GCA/022/485/095/GCA_022485095.1_ASM2248509v1</t>
  </si>
  <si>
    <t>GCA_022485125.1</t>
  </si>
  <si>
    <t>C91NS1</t>
  </si>
  <si>
    <t>https://ftp.ncbi.nlm.nih.gov/genomes/all/GCA/022/485/125/GCA_022485125.1_ASM2248512v1</t>
  </si>
  <si>
    <t>GCA_022485285.1</t>
  </si>
  <si>
    <t>85P1FS1</t>
  </si>
  <si>
    <t>https://ftp.ncbi.nlm.nih.gov/genomes/all/GCA/022/485/285/GCA_022485285.1_ASM2248528v1</t>
  </si>
  <si>
    <t>GCA_022485485.1</t>
  </si>
  <si>
    <t>051P5ENP_1</t>
  </si>
  <si>
    <t>https://ftp.ncbi.nlm.nih.gov/genomes/all/GCA/022/485/485/GCA_022485485.1_ASM2248548v1</t>
  </si>
  <si>
    <t>GCA_022485685.1</t>
  </si>
  <si>
    <t>C84FS2</t>
  </si>
  <si>
    <t>https://ftp.ncbi.nlm.nih.gov/genomes/all/GCA/022/485/685/GCA_022485685.1_ASM2248568v1</t>
  </si>
  <si>
    <t>GCA_022485725.1</t>
  </si>
  <si>
    <t>051P4ENG_1</t>
  </si>
  <si>
    <t>https://ftp.ncbi.nlm.nih.gov/genomes/all/GCA/022/485/725/GCA_022485725.1_ASM2248572v1</t>
  </si>
  <si>
    <t>GCA_022485825.1</t>
  </si>
  <si>
    <t>C61NS2</t>
  </si>
  <si>
    <t>https://ftp.ncbi.nlm.nih.gov/genomes/all/GCA/022/485/825/GCA_022485825.1_ASM2248582v1</t>
  </si>
  <si>
    <t>GCA_022486125.1</t>
  </si>
  <si>
    <t>C86FS1</t>
  </si>
  <si>
    <t>https://ftp.ncbi.nlm.nih.gov/genomes/all/GCA/022/486/125/GCA_022486125.1_ASM2248612v1</t>
  </si>
  <si>
    <t>GCA_022486245.1</t>
  </si>
  <si>
    <t>C38NS1</t>
  </si>
  <si>
    <t>https://ftp.ncbi.nlm.nih.gov/genomes/all/GCA/022/486/245/GCA_022486245.1_ASM2248624v1</t>
  </si>
  <si>
    <t>GCA_022486365.1</t>
  </si>
  <si>
    <t>103P3NS1</t>
  </si>
  <si>
    <t>https://ftp.ncbi.nlm.nih.gov/genomes/all/GCA/022/486/365/GCA_022486365.1_ASM2248636v1</t>
  </si>
  <si>
    <t>GCA_022486405.1</t>
  </si>
  <si>
    <t>37P8SUD1</t>
  </si>
  <si>
    <t>https://ftp.ncbi.nlm.nih.gov/genomes/all/GCA/022/486/405/GCA_022486405.1_ASM2248640v1</t>
  </si>
  <si>
    <t>GCA_022487705.1</t>
  </si>
  <si>
    <t>008P5SUE2</t>
  </si>
  <si>
    <t>https://ftp.ncbi.nlm.nih.gov/genomes/all/GCA/022/487/705/GCA_022487705.1_ASM2248770v1</t>
  </si>
  <si>
    <t>GCA_022487725.1</t>
  </si>
  <si>
    <t>007P2ENG3BHI</t>
  </si>
  <si>
    <t>https://ftp.ncbi.nlm.nih.gov/genomes/all/GCA/022/487/725/GCA_022487725.1_ASM2248772v1</t>
  </si>
  <si>
    <t>GCA_022487785.1</t>
  </si>
  <si>
    <t>008P4SUE001</t>
  </si>
  <si>
    <t>https://ftp.ncbi.nlm.nih.gov/genomes/all/GCA/022/487/785/GCA_022487785.1_ASM2248778v1</t>
  </si>
  <si>
    <t>GCA_022494545.1</t>
  </si>
  <si>
    <t>https://ftp.ncbi.nlm.nih.gov/genomes/all/GCA/022/494/545/GCA_022494545.1_ASM2249454v1</t>
  </si>
  <si>
    <t>GCA_022531845.1</t>
  </si>
  <si>
    <t>LR 95</t>
  </si>
  <si>
    <t>https://ftp.ncbi.nlm.nih.gov/genomes/all/GCA/022/531/845/GCA_022531845.1_ASM2253184v1</t>
  </si>
  <si>
    <t>GCA_022538035.1</t>
  </si>
  <si>
    <t>RC</t>
  </si>
  <si>
    <t>https://ftp.ncbi.nlm.nih.gov/genomes/all/GCA/022/538/035/GCA_022538035.1_ASM2253803v1</t>
  </si>
  <si>
    <t>GCA_022568915.1</t>
  </si>
  <si>
    <t>P5-13</t>
  </si>
  <si>
    <t>https://ftp.ncbi.nlm.nih.gov/genomes/all/GCA/022/568/915/GCA_022568915.1_ASM2256891v1</t>
  </si>
  <si>
    <t>GCA_022568935.1</t>
  </si>
  <si>
    <t>D2-12</t>
  </si>
  <si>
    <t>https://ftp.ncbi.nlm.nih.gov/genomes/all/GCA/022/568/935/GCA_022568935.1_ASM2256893v1</t>
  </si>
  <si>
    <t>GCA_022568955.1</t>
  </si>
  <si>
    <t>P8-10</t>
  </si>
  <si>
    <t>https://ftp.ncbi.nlm.nih.gov/genomes/all/GCA/022/568/955/GCA_022568955.1_ASM2256895v1</t>
  </si>
  <si>
    <t>GCA_022568975.1</t>
  </si>
  <si>
    <t>E1-48</t>
  </si>
  <si>
    <t>https://ftp.ncbi.nlm.nih.gov/genomes/all/GCA/022/568/975/GCA_022568975.1_ASM2256897v1</t>
  </si>
  <si>
    <t>GCA_022568985.1</t>
  </si>
  <si>
    <t>P6-7</t>
  </si>
  <si>
    <t>https://ftp.ncbi.nlm.nih.gov/genomes/all/GCA/022/568/985/GCA_022568985.1_ASM2256898v1</t>
  </si>
  <si>
    <t>GCA_022569015.1</t>
  </si>
  <si>
    <t>B6-6</t>
  </si>
  <si>
    <t>https://ftp.ncbi.nlm.nih.gov/genomes/all/GCA/022/569/015/GCA_022569015.1_ASM2256901v1</t>
  </si>
  <si>
    <t>GCA_022569035.1</t>
  </si>
  <si>
    <t>B6-3</t>
  </si>
  <si>
    <t>https://ftp.ncbi.nlm.nih.gov/genomes/all/GCA/022/569/035/GCA_022569035.1_ASM2256903v1</t>
  </si>
  <si>
    <t>GCA_022569055.1</t>
  </si>
  <si>
    <t>B5-16</t>
  </si>
  <si>
    <t>https://ftp.ncbi.nlm.nih.gov/genomes/all/GCA/022/569/055/GCA_022569055.1_ASM2256905v1</t>
  </si>
  <si>
    <t>GCA_022569075.1</t>
  </si>
  <si>
    <t>D2-19</t>
  </si>
  <si>
    <t>https://ftp.ncbi.nlm.nih.gov/genomes/all/GCA/022/569/075/GCA_022569075.1_ASM2256907v1</t>
  </si>
  <si>
    <t>GCA_022569085.1</t>
  </si>
  <si>
    <t>D3-12</t>
  </si>
  <si>
    <t>https://ftp.ncbi.nlm.nih.gov/genomes/all/GCA/022/569/085/GCA_022569085.1_ASM2256908v1</t>
  </si>
  <si>
    <t>GCA_022569095.1</t>
  </si>
  <si>
    <t>D4-9</t>
  </si>
  <si>
    <t>https://ftp.ncbi.nlm.nih.gov/genomes/all/GCA/022/569/095/GCA_022569095.1_ASM2256909v1</t>
  </si>
  <si>
    <t>GCA_022569135.1</t>
  </si>
  <si>
    <t>E1-36</t>
  </si>
  <si>
    <t>https://ftp.ncbi.nlm.nih.gov/genomes/all/GCA/022/569/135/GCA_022569135.1_ASM2256913v1</t>
  </si>
  <si>
    <t>GCA_022569155.1</t>
  </si>
  <si>
    <t>P2-40</t>
  </si>
  <si>
    <t>https://ftp.ncbi.nlm.nih.gov/genomes/all/GCA/022/569/155/GCA_022569155.1_ASM2256915v1</t>
  </si>
  <si>
    <t>GCA_022569175.1</t>
  </si>
  <si>
    <t>IVK84</t>
  </si>
  <si>
    <t>https://ftp.ncbi.nlm.nih.gov/genomes/all/GCA/022/569/175/GCA_022569175.1_ASM2256917v1</t>
  </si>
  <si>
    <t>GCA_022569195.1</t>
  </si>
  <si>
    <t>IVK68</t>
  </si>
  <si>
    <t>https://ftp.ncbi.nlm.nih.gov/genomes/all/GCA/022/569/195/GCA_022569195.1_ASM2256919v1</t>
  </si>
  <si>
    <t>GCA_022569205.1</t>
  </si>
  <si>
    <t>D2-16</t>
  </si>
  <si>
    <t>https://ftp.ncbi.nlm.nih.gov/genomes/all/GCA/022/569/205/GCA_022569205.1_ASM2256920v1</t>
  </si>
  <si>
    <t>GCA_022569235.1</t>
  </si>
  <si>
    <t>https://ftp.ncbi.nlm.nih.gov/genomes/all/GCA/022/569/235/GCA_022569235.1_ASM2256923v1</t>
  </si>
  <si>
    <t>GCA_022569245.1</t>
  </si>
  <si>
    <t>14-2</t>
  </si>
  <si>
    <t>https://ftp.ncbi.nlm.nih.gov/genomes/all/GCA/022/569/245/GCA_022569245.1_ASM2256924v1</t>
  </si>
  <si>
    <t>GCA_022569275.1</t>
  </si>
  <si>
    <t>https://ftp.ncbi.nlm.nih.gov/genomes/all/GCA/022/569/275/GCA_022569275.1_ASM2256927v1</t>
  </si>
  <si>
    <t>GCA_022641135.1</t>
  </si>
  <si>
    <t>UW_MP_BIF14_1</t>
  </si>
  <si>
    <t>https://ftp.ncbi.nlm.nih.gov/genomes/all/GCA/022/641/135/GCA_022641135.1_ASM2264113v1</t>
  </si>
  <si>
    <t>GCA_022648595.1</t>
  </si>
  <si>
    <t>UAMS_EL53</t>
  </si>
  <si>
    <t>https://ftp.ncbi.nlm.nih.gov/genomes/all/GCA/022/648/595/GCA_022648595.1_ASM2264859v1</t>
  </si>
  <si>
    <t>GCA_022660955.1</t>
  </si>
  <si>
    <t>E1-10</t>
  </si>
  <si>
    <t>https://ftp.ncbi.nlm.nih.gov/genomes/all/GCA/022/660/955/GCA_022660955.1_ASM2266095v1</t>
  </si>
  <si>
    <t>GCA_022664405.1</t>
  </si>
  <si>
    <t>DSM 27472</t>
  </si>
  <si>
    <t>https://ftp.ncbi.nlm.nih.gov/genomes/all/GCA/022/664/405/GCA_022664405.1_ASM2266440v1</t>
  </si>
  <si>
    <t>GCA_022688765.1</t>
  </si>
  <si>
    <t>acrmw</t>
  </si>
  <si>
    <t>https://ftp.ncbi.nlm.nih.gov/genomes/all/GCA/022/688/765/GCA_022688765.1_ASM2268876v1</t>
  </si>
  <si>
    <t>GCA_022688935.1</t>
  </si>
  <si>
    <t>acros</t>
  </si>
  <si>
    <t>https://ftp.ncbi.nlm.nih.gov/genomes/all/GCA/022/688/935/GCA_022688935.1_ASM2268893v1</t>
  </si>
  <si>
    <t>GCA_022688945.1</t>
  </si>
  <si>
    <t>acroi</t>
  </si>
  <si>
    <t>https://ftp.ncbi.nlm.nih.gov/genomes/all/GCA/022/688/945/GCA_022688945.1_ASM2268894v1</t>
  </si>
  <si>
    <t>GCA_022688985.1</t>
  </si>
  <si>
    <t>acroj</t>
  </si>
  <si>
    <t>https://ftp.ncbi.nlm.nih.gov/genomes/all/GCA/022/688/985/GCA_022688985.1_ASM2268898v1</t>
  </si>
  <si>
    <t>GCA_022689005.1</t>
  </si>
  <si>
    <t>acror</t>
  </si>
  <si>
    <t>https://ftp.ncbi.nlm.nih.gov/genomes/all/GCA/022/689/005/GCA_022689005.1_ASM2268900v1</t>
  </si>
  <si>
    <t>GCA_022689035.1</t>
  </si>
  <si>
    <t>acroq</t>
  </si>
  <si>
    <t>https://ftp.ncbi.nlm.nih.gov/genomes/all/GCA/022/689/035/GCA_022689035.1_ASM2268903v1</t>
  </si>
  <si>
    <t>GCA_022689125.1</t>
  </si>
  <si>
    <t>acrnn</t>
  </si>
  <si>
    <t>https://ftp.ncbi.nlm.nih.gov/genomes/all/GCA/022/689/125/GCA_022689125.1_ASM2268912v1</t>
  </si>
  <si>
    <t>GCA_022689145.1</t>
  </si>
  <si>
    <t>acrnq</t>
  </si>
  <si>
    <t>https://ftp.ncbi.nlm.nih.gov/genomes/all/GCA/022/689/145/GCA_022689145.1_ASM2268914v1</t>
  </si>
  <si>
    <t>GCA_022689165.1</t>
  </si>
  <si>
    <t>acrnm</t>
  </si>
  <si>
    <t>https://ftp.ncbi.nlm.nih.gov/genomes/all/GCA/022/689/165/GCA_022689165.1_ASM2268916v1</t>
  </si>
  <si>
    <t>GCA_022689185.1</t>
  </si>
  <si>
    <t>acrnx</t>
  </si>
  <si>
    <t>https://ftp.ncbi.nlm.nih.gov/genomes/all/GCA/022/689/185/GCA_022689185.1_ASM2268918v1</t>
  </si>
  <si>
    <t>GCA_022689205.1</t>
  </si>
  <si>
    <t>acrnv</t>
  </si>
  <si>
    <t>https://ftp.ncbi.nlm.nih.gov/genomes/all/GCA/022/689/205/GCA_022689205.1_ASM2268920v1</t>
  </si>
  <si>
    <t>GCA_022689225.1</t>
  </si>
  <si>
    <t>acrnu</t>
  </si>
  <si>
    <t>https://ftp.ncbi.nlm.nih.gov/genomes/all/GCA/022/689/225/GCA_022689225.1_ASM2268922v1</t>
  </si>
  <si>
    <t>GCA_022689235.1</t>
  </si>
  <si>
    <t>acrnk</t>
  </si>
  <si>
    <t>https://ftp.ncbi.nlm.nih.gov/genomes/all/GCA/022/689/235/GCA_022689235.1_ASM2268923v1</t>
  </si>
  <si>
    <t>GCA_022689255.1</t>
  </si>
  <si>
    <t>acrnt</t>
  </si>
  <si>
    <t>https://ftp.ncbi.nlm.nih.gov/genomes/all/GCA/022/689/255/GCA_022689255.1_ASM2268925v1</t>
  </si>
  <si>
    <t>GCA_022689285.1</t>
  </si>
  <si>
    <t>acrnh</t>
  </si>
  <si>
    <t>https://ftp.ncbi.nlm.nih.gov/genomes/all/GCA/022/689/285/GCA_022689285.1_ASM2268928v1</t>
  </si>
  <si>
    <t>GCA_022689305.1</t>
  </si>
  <si>
    <t>acrnp</t>
  </si>
  <si>
    <t>https://ftp.ncbi.nlm.nih.gov/genomes/all/GCA/022/689/305/GCA_022689305.1_ASM2268930v1</t>
  </si>
  <si>
    <t>GCA_022689325.1</t>
  </si>
  <si>
    <t>acrnj</t>
  </si>
  <si>
    <t>https://ftp.ncbi.nlm.nih.gov/genomes/all/GCA/022/689/325/GCA_022689325.1_ASM2268932v1</t>
  </si>
  <si>
    <t>GCA_022689335.1</t>
  </si>
  <si>
    <t>acrnw</t>
  </si>
  <si>
    <t>https://ftp.ncbi.nlm.nih.gov/genomes/all/GCA/022/689/335/GCA_022689335.1_ASM2268933v1</t>
  </si>
  <si>
    <t>GCA_022689365.1</t>
  </si>
  <si>
    <t>acrnr</t>
  </si>
  <si>
    <t>https://ftp.ncbi.nlm.nih.gov/genomes/all/GCA/022/689/365/GCA_022689365.1_ASM2268936v1</t>
  </si>
  <si>
    <t>GCA_022689385.1</t>
  </si>
  <si>
    <t>acrns</t>
  </si>
  <si>
    <t>https://ftp.ncbi.nlm.nih.gov/genomes/all/GCA/022/689/385/GCA_022689385.1_ASM2268938v1</t>
  </si>
  <si>
    <t>GCA_022689405.1</t>
  </si>
  <si>
    <t>acrng</t>
  </si>
  <si>
    <t>https://ftp.ncbi.nlm.nih.gov/genomes/all/GCA/022/689/405/GCA_022689405.1_ASM2268940v1</t>
  </si>
  <si>
    <t>GCA_022689425.1</t>
  </si>
  <si>
    <t>acrnf</t>
  </si>
  <si>
    <t>https://ftp.ncbi.nlm.nih.gov/genomes/all/GCA/022/689/425/GCA_022689425.1_ASM2268942v1</t>
  </si>
  <si>
    <t>GCA_022689445.1</t>
  </si>
  <si>
    <t>acrny</t>
  </si>
  <si>
    <t>https://ftp.ncbi.nlm.nih.gov/genomes/all/GCA/022/689/445/GCA_022689445.1_ASM2268944v1</t>
  </si>
  <si>
    <t>GCA_022689465.1</t>
  </si>
  <si>
    <t>acrne</t>
  </si>
  <si>
    <t>https://ftp.ncbi.nlm.nih.gov/genomes/all/GCA/022/689/465/GCA_022689465.1_ASM2268946v1</t>
  </si>
  <si>
    <t>GCA_022689485.1</t>
  </si>
  <si>
    <t>acrna</t>
  </si>
  <si>
    <t>https://ftp.ncbi.nlm.nih.gov/genomes/all/GCA/022/689/485/GCA_022689485.1_ASM2268948v1</t>
  </si>
  <si>
    <t>GCA_022689495.1</t>
  </si>
  <si>
    <t>acrnc</t>
  </si>
  <si>
    <t>https://ftp.ncbi.nlm.nih.gov/genomes/all/GCA/022/689/495/GCA_022689495.1_ASM2268949v1</t>
  </si>
  <si>
    <t>GCA_022689525.1</t>
  </si>
  <si>
    <t>acrnb</t>
  </si>
  <si>
    <t>https://ftp.ncbi.nlm.nih.gov/genomes/all/GCA/022/689/525/GCA_022689525.1_ASM2268952v1</t>
  </si>
  <si>
    <t>GCA_022689545.1</t>
  </si>
  <si>
    <t>acrmz</t>
  </si>
  <si>
    <t>https://ftp.ncbi.nlm.nih.gov/genomes/all/GCA/022/689/545/GCA_022689545.1_ASM2268954v1</t>
  </si>
  <si>
    <t>GCA_022689575.1</t>
  </si>
  <si>
    <t>acrlz</t>
  </si>
  <si>
    <t>https://ftp.ncbi.nlm.nih.gov/genomes/all/GCA/022/689/575/GCA_022689575.1_ASM2268957v1</t>
  </si>
  <si>
    <t>GCA_022689605.1</t>
  </si>
  <si>
    <t>acrnd</t>
  </si>
  <si>
    <t>https://ftp.ncbi.nlm.nih.gov/genomes/all/GCA/022/689/605/GCA_022689605.1_ASM2268960v1</t>
  </si>
  <si>
    <t>GCA_022689645.1</t>
  </si>
  <si>
    <t>acrln</t>
  </si>
  <si>
    <t>https://ftp.ncbi.nlm.nih.gov/genomes/all/GCA/022/689/645/GCA_022689645.1_ASM2268964v1</t>
  </si>
  <si>
    <t>GCA_022689665.1</t>
  </si>
  <si>
    <t>acrly</t>
  </si>
  <si>
    <t>https://ftp.ncbi.nlm.nih.gov/genomes/all/GCA/022/689/665/GCA_022689665.1_ASM2268966v1</t>
  </si>
  <si>
    <t>GCA_022689725.1</t>
  </si>
  <si>
    <t>acrlx</t>
  </si>
  <si>
    <t>https://ftp.ncbi.nlm.nih.gov/genomes/all/GCA/022/689/725/GCA_022689725.1_ASM2268972v1</t>
  </si>
  <si>
    <t>GCA_022689775.1</t>
  </si>
  <si>
    <t>acrll</t>
  </si>
  <si>
    <t>https://ftp.ncbi.nlm.nih.gov/genomes/all/GCA/022/689/775/GCA_022689775.1_ASM2268977v1</t>
  </si>
  <si>
    <t>GCA_022689785.1</t>
  </si>
  <si>
    <t>acrmm</t>
  </si>
  <si>
    <t>https://ftp.ncbi.nlm.nih.gov/genomes/all/GCA/022/689/785/GCA_022689785.1_ASM2268978v1</t>
  </si>
  <si>
    <t>GCA_022689855.1</t>
  </si>
  <si>
    <t>acrlv</t>
  </si>
  <si>
    <t>https://ftp.ncbi.nlm.nih.gov/genomes/all/GCA/022/689/855/GCA_022689855.1_ASM2268985v1</t>
  </si>
  <si>
    <t>GCA_022689945.1</t>
  </si>
  <si>
    <t>acrlj</t>
  </si>
  <si>
    <t>https://ftp.ncbi.nlm.nih.gov/genomes/all/GCA/022/689/945/GCA_022689945.1_ASM2268994v1</t>
  </si>
  <si>
    <t>GCA_022690005.1</t>
  </si>
  <si>
    <t>acrlh</t>
  </si>
  <si>
    <t>https://ftp.ncbi.nlm.nih.gov/genomes/all/GCA/022/690/005/GCA_022690005.1_ASM2269000v1</t>
  </si>
  <si>
    <t>GCA_022690025.1</t>
  </si>
  <si>
    <t>acrlu</t>
  </si>
  <si>
    <t>https://ftp.ncbi.nlm.nih.gov/genomes/all/GCA/022/690/025/GCA_022690025.1_ASM2269002v1</t>
  </si>
  <si>
    <t>GCA_022690045.1</t>
  </si>
  <si>
    <t>acrlt</t>
  </si>
  <si>
    <t>https://ftp.ncbi.nlm.nih.gov/genomes/all/GCA/022/690/045/GCA_022690045.1_ASM2269004v1</t>
  </si>
  <si>
    <t>GCA_022690065.1</t>
  </si>
  <si>
    <t>acrmj</t>
  </si>
  <si>
    <t>https://ftp.ncbi.nlm.nih.gov/genomes/all/GCA/022/690/065/GCA_022690065.1_ASM2269006v1</t>
  </si>
  <si>
    <t>GCA_022690145.1</t>
  </si>
  <si>
    <t>acrlf</t>
  </si>
  <si>
    <t>https://ftp.ncbi.nlm.nih.gov/genomes/all/GCA/022/690/145/GCA_022690145.1_ASM2269014v1</t>
  </si>
  <si>
    <t>GCA_022690165.1</t>
  </si>
  <si>
    <t>acrle</t>
  </si>
  <si>
    <t>https://ftp.ncbi.nlm.nih.gov/genomes/all/GCA/022/690/165/GCA_022690165.1_ASM2269016v1</t>
  </si>
  <si>
    <t>GCA_022690185.1</t>
  </si>
  <si>
    <t>acrlr</t>
  </si>
  <si>
    <t>https://ftp.ncbi.nlm.nih.gov/genomes/all/GCA/022/690/185/GCA_022690185.1_ASM2269018v1</t>
  </si>
  <si>
    <t>GCA_022690225.1</t>
  </si>
  <si>
    <t>acrlq</t>
  </si>
  <si>
    <t>https://ftp.ncbi.nlm.nih.gov/genomes/all/GCA/022/690/225/GCA_022690225.1_ASM2269022v1</t>
  </si>
  <si>
    <t>GCA_022690265.1</t>
  </si>
  <si>
    <t>acrmp</t>
  </si>
  <si>
    <t>https://ftp.ncbi.nlm.nih.gov/genomes/all/GCA/022/690/265/GCA_022690265.1_ASM2269026v1</t>
  </si>
  <si>
    <t>GCA_022690275.1</t>
  </si>
  <si>
    <t>acrmr</t>
  </si>
  <si>
    <t>https://ftp.ncbi.nlm.nih.gov/genomes/all/GCA/022/690/275/GCA_022690275.1_ASM2269027v1</t>
  </si>
  <si>
    <t>GCA_022690295.1</t>
  </si>
  <si>
    <t>acrmv</t>
  </si>
  <si>
    <t>https://ftp.ncbi.nlm.nih.gov/genomes/all/GCA/022/690/295/GCA_022690295.1_ASM2269029v1</t>
  </si>
  <si>
    <t>GCA_022690325.1</t>
  </si>
  <si>
    <t>acrno</t>
  </si>
  <si>
    <t>https://ftp.ncbi.nlm.nih.gov/genomes/all/GCA/022/690/325/GCA_022690325.1_ASM2269032v1</t>
  </si>
  <si>
    <t>GCA_022690375.1</t>
  </si>
  <si>
    <t>acrmt</t>
  </si>
  <si>
    <t>https://ftp.ncbi.nlm.nih.gov/genomes/all/GCA/022/690/375/GCA_022690375.1_ASM2269037v1</t>
  </si>
  <si>
    <t>GCA_022690425.1</t>
  </si>
  <si>
    <t>acrmn</t>
  </si>
  <si>
    <t>https://ftp.ncbi.nlm.nih.gov/genomes/all/GCA/022/690/425/GCA_022690425.1_ASM2269042v1</t>
  </si>
  <si>
    <t>GCA_022690445.1</t>
  </si>
  <si>
    <t>acroh</t>
  </si>
  <si>
    <t>https://ftp.ncbi.nlm.nih.gov/genomes/all/GCA/022/690/445/GCA_022690445.1_ASM2269044v1</t>
  </si>
  <si>
    <t>GCA_022690485.1</t>
  </si>
  <si>
    <t>acroa</t>
  </si>
  <si>
    <t>https://ftp.ncbi.nlm.nih.gov/genomes/all/GCA/022/690/485/GCA_022690485.1_ASM2269048v1</t>
  </si>
  <si>
    <t>GCA_022690525.1</t>
  </si>
  <si>
    <t>acrob</t>
  </si>
  <si>
    <t>https://ftp.ncbi.nlm.nih.gov/genomes/all/GCA/022/690/525/GCA_022690525.1_ASM2269052v1</t>
  </si>
  <si>
    <t>GCA_022690545.1</t>
  </si>
  <si>
    <t>acrnz</t>
  </si>
  <si>
    <t>https://ftp.ncbi.nlm.nih.gov/genomes/all/GCA/022/690/545/GCA_022690545.1_ASM2269054v1</t>
  </si>
  <si>
    <t>GCA_022690585.1</t>
  </si>
  <si>
    <t>acrog</t>
  </si>
  <si>
    <t>https://ftp.ncbi.nlm.nih.gov/genomes/all/GCA/022/690/585/GCA_022690585.1_ASM2269058v1</t>
  </si>
  <si>
    <t>GCA_022691405.1</t>
  </si>
  <si>
    <t>MRSA-WC061</t>
  </si>
  <si>
    <t>https://ftp.ncbi.nlm.nih.gov/genomes/all/GCA/022/691/405/GCA_022691405.1_ASM2269140v1</t>
  </si>
  <si>
    <t>GCA_022693225.1</t>
  </si>
  <si>
    <t>VRMSSA-WC111</t>
  </si>
  <si>
    <t>https://ftp.ncbi.nlm.nih.gov/genomes/all/GCA/022/693/225/GCA_022693225.1_ASM2269322v1</t>
  </si>
  <si>
    <t>GCA_022693345.1</t>
  </si>
  <si>
    <t>C5</t>
  </si>
  <si>
    <t>https://ftp.ncbi.nlm.nih.gov/genomes/all/GCA/022/693/345/GCA_022693345.1_ASM2269334v1</t>
  </si>
  <si>
    <t>GCA_022695885.1</t>
  </si>
  <si>
    <t>https://ftp.ncbi.nlm.nih.gov/genomes/all/GCA/022/695/885/GCA_022695885.1_ASM2269588v1</t>
  </si>
  <si>
    <t>GCA_022695905.1</t>
  </si>
  <si>
    <t>https://ftp.ncbi.nlm.nih.gov/genomes/all/GCA/022/695/905/GCA_022695905.1_ASM2269590v1</t>
  </si>
  <si>
    <t>GCA_022695925.1</t>
  </si>
  <si>
    <t>https://ftp.ncbi.nlm.nih.gov/genomes/all/GCA/022/695/925/GCA_022695925.1_ASM2269592v1</t>
  </si>
  <si>
    <t>GCA_022695935.1</t>
  </si>
  <si>
    <t>https://ftp.ncbi.nlm.nih.gov/genomes/all/GCA/022/695/935/GCA_022695935.1_ASM2269593v1</t>
  </si>
  <si>
    <t>GCA_022699185.1</t>
  </si>
  <si>
    <t>GC1825</t>
  </si>
  <si>
    <t>https://ftp.ncbi.nlm.nih.gov/genomes/all/GCA/022/699/185/GCA_022699185.1_ASM2269918v1</t>
  </si>
  <si>
    <t>GCA_022716635.1</t>
  </si>
  <si>
    <t>Map_107_018</t>
  </si>
  <si>
    <t>https://ftp.ncbi.nlm.nih.gov/genomes/all/GCA/022/716/635/GCA_022716635.1_ASM2271663v1</t>
  </si>
  <si>
    <t>GCA_022729025.1</t>
  </si>
  <si>
    <t>Ace_metabat.bin.4</t>
  </si>
  <si>
    <t>https://ftp.ncbi.nlm.nih.gov/genomes/all/GCA/022/729/025/GCA_022729025.1_ASM2272902v1</t>
  </si>
  <si>
    <t>GCA_022729045.1</t>
  </si>
  <si>
    <t>Cit_metabat.bin.1</t>
  </si>
  <si>
    <t>https://ftp.ncbi.nlm.nih.gov/genomes/all/GCA/022/729/045/GCA_022729045.1_ASM2272904v1</t>
  </si>
  <si>
    <t>GCA_022749195.1</t>
  </si>
  <si>
    <t>https://ftp.ncbi.nlm.nih.gov/genomes/all/GCA/022/749/195/GCA_022749195.1_ASM2274919v1</t>
  </si>
  <si>
    <t>GCA_022749495.1</t>
  </si>
  <si>
    <t>https://ftp.ncbi.nlm.nih.gov/genomes/all/GCA/022/749/495/GCA_022749495.1_ASM2274949v1</t>
  </si>
  <si>
    <t>GCA_022750565.1</t>
  </si>
  <si>
    <t>BCRC 81148</t>
  </si>
  <si>
    <t>https://ftp.ncbi.nlm.nih.gov/genomes/all/GCA/022/750/565/GCA_022750565.1_ASM2275056v1</t>
  </si>
  <si>
    <t>GCA_022762925.1</t>
  </si>
  <si>
    <t>LR4</t>
  </si>
  <si>
    <t>https://ftp.ncbi.nlm.nih.gov/genomes/all/GCA/022/762/925/GCA_022762925.1_ASM2276292v1</t>
  </si>
  <si>
    <t>GCA_022762945.1</t>
  </si>
  <si>
    <t>LR16</t>
  </si>
  <si>
    <t>https://ftp.ncbi.nlm.nih.gov/genomes/all/GCA/022/762/945/GCA_022762945.1_ASM2276294v1</t>
  </si>
  <si>
    <t>GCA_022770005.1</t>
  </si>
  <si>
    <t>SUG54</t>
  </si>
  <si>
    <t>https://ftp.ncbi.nlm.nih.gov/genomes/all/GCA/022/770/005/GCA_022770005.1_ASM2277000v1</t>
  </si>
  <si>
    <t>SUG503</t>
  </si>
  <si>
    <t>https://ftp.ncbi.nlm.nih.gov/genomes/all/GCA/022/772/185/GCA_022772185.1_ASM2277218v1</t>
  </si>
  <si>
    <t>GCA_022784125.1</t>
  </si>
  <si>
    <t>SUG1006</t>
  </si>
  <si>
    <t>https://ftp.ncbi.nlm.nih.gov/genomes/all/GCA/022/784/125/GCA_022784125.1_ASM2278412v1</t>
  </si>
  <si>
    <t>GCA_022787675.1</t>
  </si>
  <si>
    <t>SUG1073</t>
  </si>
  <si>
    <t>https://ftp.ncbi.nlm.nih.gov/genomes/all/GCA/022/787/675/GCA_022787675.1_ASM2278767v1</t>
  </si>
  <si>
    <t>GCA_022807955.1</t>
  </si>
  <si>
    <t>LI3</t>
  </si>
  <si>
    <t>https://ftp.ncbi.nlm.nih.gov/genomes/all/GCA/022/807/955/GCA_022807955.1_ASM2280795v1</t>
  </si>
  <si>
    <t>GCA_022811505.1</t>
  </si>
  <si>
    <t>MSA_JNM56C1</t>
  </si>
  <si>
    <t>https://ftp.ncbi.nlm.nih.gov/genomes/all/GCA/022/811/505/GCA_022811505.1_ASM2281150v1</t>
  </si>
  <si>
    <t>GCA_022815255.1</t>
  </si>
  <si>
    <t>NJ2</t>
  </si>
  <si>
    <t>https://ftp.ncbi.nlm.nih.gov/genomes/all/GCA/022/815/255/GCA_022815255.1_ASM2281525v1</t>
  </si>
  <si>
    <t>GCA_022815285.1</t>
  </si>
  <si>
    <t>NJ1</t>
  </si>
  <si>
    <t>https://ftp.ncbi.nlm.nih.gov/genomes/all/GCA/022/815/285/GCA_022815285.1_ASM2281528v1</t>
  </si>
  <si>
    <t>GCA_022815345.1</t>
  </si>
  <si>
    <t>NJ7</t>
  </si>
  <si>
    <t>https://ftp.ncbi.nlm.nih.gov/genomes/all/GCA/022/815/345/GCA_022815345.1_ASM2281534v1</t>
  </si>
  <si>
    <t>GCA_022815405.1</t>
  </si>
  <si>
    <t>NJ6</t>
  </si>
  <si>
    <t>https://ftp.ncbi.nlm.nih.gov/genomes/all/GCA/022/815/405/GCA_022815405.1_ASM2281540v1</t>
  </si>
  <si>
    <t>GCA_022815445.1</t>
  </si>
  <si>
    <t>NJ3</t>
  </si>
  <si>
    <t>https://ftp.ncbi.nlm.nih.gov/genomes/all/GCA/022/815/445/GCA_022815445.1_ASM2281544v1</t>
  </si>
  <si>
    <t>GCA_022815485.1</t>
  </si>
  <si>
    <t>NJ5</t>
  </si>
  <si>
    <t>https://ftp.ncbi.nlm.nih.gov/genomes/all/GCA/022/815/485/GCA_022815485.1_ASM2281548v1</t>
  </si>
  <si>
    <t>TM7-037</t>
  </si>
  <si>
    <t>https://ftp.ncbi.nlm.nih.gov/genomes/all/GCA/022/819/345/GCA_022819345.1_ASM2281934v1</t>
  </si>
  <si>
    <t>TM7-072</t>
  </si>
  <si>
    <t>https://ftp.ncbi.nlm.nih.gov/genomes/all/GCA/022/819/365/GCA_022819365.1_ASM2281936v1</t>
  </si>
  <si>
    <t>TM7-001</t>
  </si>
  <si>
    <t>https://ftp.ncbi.nlm.nih.gov/genomes/all/GCA/022/819/385/GCA_022819385.1_ASM2281938v1</t>
  </si>
  <si>
    <t>TM7-008</t>
  </si>
  <si>
    <t>https://ftp.ncbi.nlm.nih.gov/genomes/all/GCA/022/828/245/GCA_022828245.1_ASM2282824v1</t>
  </si>
  <si>
    <t>TM7-075</t>
  </si>
  <si>
    <t>https://ftp.ncbi.nlm.nih.gov/genomes/all/GCA/022/828/255/GCA_022828255.1_ASM2282825v1</t>
  </si>
  <si>
    <t>TM7-033</t>
  </si>
  <si>
    <t>https://ftp.ncbi.nlm.nih.gov/genomes/all/GCA/022/828/285/GCA_022828285.1_ASM2282828v1</t>
  </si>
  <si>
    <t>TM7-057</t>
  </si>
  <si>
    <t>https://ftp.ncbi.nlm.nih.gov/genomes/all/GCA/022/828/295/GCA_022828295.1_ASM2282829v1</t>
  </si>
  <si>
    <t>TM7-076</t>
  </si>
  <si>
    <t>https://ftp.ncbi.nlm.nih.gov/genomes/all/GCA/022/828/325/GCA_022828325.1_ASM2282832v1</t>
  </si>
  <si>
    <t>TM7-087</t>
  </si>
  <si>
    <t>https://ftp.ncbi.nlm.nih.gov/genomes/all/GCA/022/828/365/GCA_022828365.1_ASM2282836v1</t>
  </si>
  <si>
    <t>TM7-053</t>
  </si>
  <si>
    <t>https://ftp.ncbi.nlm.nih.gov/genomes/all/GCA/022/828/375/GCA_022828375.1_ASM2282837v1</t>
  </si>
  <si>
    <t>GCA_022832835.1</t>
  </si>
  <si>
    <t>NY2010</t>
  </si>
  <si>
    <t>https://ftp.ncbi.nlm.nih.gov/genomes/all/GCA/022/832/835/GCA_022832835.1_ASM2283283v1</t>
  </si>
  <si>
    <t>GCA_022832915.1</t>
  </si>
  <si>
    <t>C100</t>
  </si>
  <si>
    <t>https://ftp.ncbi.nlm.nih.gov/genomes/all/GCA/022/832/915/GCA_022832915.1_ASM2283291v1</t>
  </si>
  <si>
    <t>GCA_022834915.1</t>
  </si>
  <si>
    <t>CE91-St38</t>
  </si>
  <si>
    <t>https://ftp.ncbi.nlm.nih.gov/genomes/all/GCA/022/834/915/GCA_022834915.1_ASM2283491v1</t>
  </si>
  <si>
    <t>GCA_022834935.1</t>
  </si>
  <si>
    <t>CE91-St17</t>
  </si>
  <si>
    <t>https://ftp.ncbi.nlm.nih.gov/genomes/all/GCA/022/834/935/GCA_022834935.1_ASM2283493v1</t>
  </si>
  <si>
    <t>CE91-St12</t>
  </si>
  <si>
    <t>https://ftp.ncbi.nlm.nih.gov/genomes/all/GCA/022/834/995/GCA_022834995.1_ASM2283499v1</t>
  </si>
  <si>
    <t>GCA_022835015.1</t>
  </si>
  <si>
    <t>CE91-St29</t>
  </si>
  <si>
    <t>https://ftp.ncbi.nlm.nih.gov/genomes/all/GCA/022/835/015/GCA_022835015.1_ASM2283501v1</t>
  </si>
  <si>
    <t>GCA_022835215.1</t>
  </si>
  <si>
    <t>CE91-St25</t>
  </si>
  <si>
    <t>https://ftp.ncbi.nlm.nih.gov/genomes/all/GCA/022/835/215/GCA_022835215.1_ASM2283521v1</t>
  </si>
  <si>
    <t>CE91-St3</t>
  </si>
  <si>
    <t>https://ftp.ncbi.nlm.nih.gov/genomes/all/GCA/022/835/275/GCA_022835275.1_ASM2283527v1</t>
  </si>
  <si>
    <t>GCA_022835475.1</t>
  </si>
  <si>
    <t>CE91-St39</t>
  </si>
  <si>
    <t>https://ftp.ncbi.nlm.nih.gov/genomes/all/GCA/022/835/475/GCA_022835475.1_ASM2283547v1</t>
  </si>
  <si>
    <t>GCA_022845675.1</t>
  </si>
  <si>
    <t>CE91-St18</t>
  </si>
  <si>
    <t>https://ftp.ncbi.nlm.nih.gov/genomes/all/GCA/022/845/675/GCA_022845675.1_ASM2284567v1</t>
  </si>
  <si>
    <t>GCA_022846135.1</t>
  </si>
  <si>
    <t>CE91-St28</t>
  </si>
  <si>
    <t>https://ftp.ncbi.nlm.nih.gov/genomes/all/GCA/022/846/135/GCA_022846135.1_ASM2284613v1</t>
  </si>
  <si>
    <t>GCA_022846495.1</t>
  </si>
  <si>
    <t>TP-CU411</t>
  </si>
  <si>
    <t>https://ftp.ncbi.nlm.nih.gov/genomes/all/GCA/022/846/495/GCA_022846495.1_ASM2284649v1</t>
  </si>
  <si>
    <t>GCA_022869565.1</t>
  </si>
  <si>
    <t>PartG-Sepidermidis-RM8376</t>
  </si>
  <si>
    <t>https://ftp.ncbi.nlm.nih.gov/genomes/all/GCA/022/869/565/GCA_022869565.1_ASM2286956v1</t>
  </si>
  <si>
    <t>GCA_022869625.1</t>
  </si>
  <si>
    <t>PartF-Saureus-RM8376</t>
  </si>
  <si>
    <t>https://ftp.ncbi.nlm.nih.gov/genomes/all/GCA/022/869/625/GCA_022869625.1_ASM2286962v1</t>
  </si>
  <si>
    <t>GCA_022869645.1</t>
  </si>
  <si>
    <t>PartJ-Nmeningitidis-RM8376</t>
  </si>
  <si>
    <t>https://ftp.ncbi.nlm.nih.gov/genomes/all/GCA/022/869/645/GCA_022869645.1_ASM2286964v1</t>
  </si>
  <si>
    <t>GCA_022870085.1</t>
  </si>
  <si>
    <t>PartM-Axylosoxidans-RM8376</t>
  </si>
  <si>
    <t>https://ftp.ncbi.nlm.nih.gov/genomes/all/GCA/022/870/085/GCA_022870085.1_ASM2287008v1</t>
  </si>
  <si>
    <t>GCA_022870765.1</t>
  </si>
  <si>
    <t>ECB140</t>
  </si>
  <si>
    <t>https://ftp.ncbi.nlm.nih.gov/genomes/all/GCA/022/870/765/GCA_022870765.1_ASM2287076v1</t>
  </si>
  <si>
    <t>GCA_022871005.1</t>
  </si>
  <si>
    <t>4177/66</t>
  </si>
  <si>
    <t>https://ftp.ncbi.nlm.nih.gov/genomes/all/GCA/022/871/005/GCA_022871005.1_ASM2287100v1</t>
  </si>
  <si>
    <t>GCA_022919195.1</t>
  </si>
  <si>
    <t>SKN25lux</t>
  </si>
  <si>
    <t>https://ftp.ncbi.nlm.nih.gov/genomes/all/GCA/022/919/195/GCA_022919195.1_ASM2291919v1</t>
  </si>
  <si>
    <t>GCA_022922955.1</t>
  </si>
  <si>
    <t>Hpfe079</t>
  </si>
  <si>
    <t>https://ftp.ncbi.nlm.nih.gov/genomes/all/GCA/022/922/955/GCA_022922955.1_ASM2292295v1</t>
  </si>
  <si>
    <t>GCA_022936265.1</t>
  </si>
  <si>
    <t>SALI-10</t>
  </si>
  <si>
    <t>https://ftp.ncbi.nlm.nih.gov/genomes/all/GCA/022/936/265/GCA_022936265.1_ASM2293626v1</t>
  </si>
  <si>
    <t>GCA_023016345.1</t>
  </si>
  <si>
    <t>TpN-CL8</t>
  </si>
  <si>
    <t>https://ftp.ncbi.nlm.nih.gov/genomes/all/GCA/023/016/345/GCA_023016345.1_ASM2301634v1</t>
  </si>
  <si>
    <t>GCA_023016425.1</t>
  </si>
  <si>
    <t>TpN-CL3</t>
  </si>
  <si>
    <t>https://ftp.ncbi.nlm.nih.gov/genomes/all/GCA/023/016/425/GCA_023016425.1_ASM2301642v1</t>
  </si>
  <si>
    <t>GCA_023016445.1</t>
  </si>
  <si>
    <t>TpN-CL2</t>
  </si>
  <si>
    <t>https://ftp.ncbi.nlm.nih.gov/genomes/all/GCA/023/016/445/GCA_023016445.1_ASM2301644v1</t>
  </si>
  <si>
    <t>GCA_023078375.1</t>
  </si>
  <si>
    <t>HMT-244</t>
  </si>
  <si>
    <t>ATCC 49956</t>
  </si>
  <si>
    <t>https://ftp.ncbi.nlm.nih.gov/genomes/all/GCA/023/078/375/GCA_023078375.1_ASM2307837v1</t>
  </si>
  <si>
    <t>GCA_023093855.1</t>
  </si>
  <si>
    <t>T1010</t>
  </si>
  <si>
    <t>https://ftp.ncbi.nlm.nih.gov/genomes/all/GCA/023/093/855/GCA_023093855.1_ASM2309385v1</t>
  </si>
  <si>
    <t>GCA_023109005.1</t>
  </si>
  <si>
    <t>S66</t>
  </si>
  <si>
    <t>https://ftp.ncbi.nlm.nih.gov/genomes/all/GCA/023/109/005/GCA_023109005.1_ASM2310900v1</t>
  </si>
  <si>
    <t>GCA_023109095.1</t>
  </si>
  <si>
    <t>S63</t>
  </si>
  <si>
    <t>https://ftp.ncbi.nlm.nih.gov/genomes/all/GCA/023/109/095/GCA_023109095.1_ASM2310909v1</t>
  </si>
  <si>
    <t>GCA_023109175.1</t>
  </si>
  <si>
    <t>S60</t>
  </si>
  <si>
    <t>https://ftp.ncbi.nlm.nih.gov/genomes/all/GCA/023/109/175/GCA_023109175.1_ASM2310917v1</t>
  </si>
  <si>
    <t>GCA_023109195.1</t>
  </si>
  <si>
    <t>S56</t>
  </si>
  <si>
    <t>https://ftp.ncbi.nlm.nih.gov/genomes/all/GCA/023/109/195/GCA_023109195.1_ASM2310919v1</t>
  </si>
  <si>
    <t>GCA_023109215.1</t>
  </si>
  <si>
    <t>S54</t>
  </si>
  <si>
    <t>https://ftp.ncbi.nlm.nih.gov/genomes/all/GCA/023/109/215/GCA_023109215.1_ASM2310921v1</t>
  </si>
  <si>
    <t>GCA_023109235.1</t>
  </si>
  <si>
    <t>S53</t>
  </si>
  <si>
    <t>https://ftp.ncbi.nlm.nih.gov/genomes/all/GCA/023/109/235/GCA_023109235.1_ASM2310923v1</t>
  </si>
  <si>
    <t>GCA_023109275.1</t>
  </si>
  <si>
    <t>S51</t>
  </si>
  <si>
    <t>https://ftp.ncbi.nlm.nih.gov/genomes/all/GCA/023/109/275/GCA_023109275.1_ASM2310927v1</t>
  </si>
  <si>
    <t>GCA_023109295.1</t>
  </si>
  <si>
    <t>S55</t>
  </si>
  <si>
    <t>https://ftp.ncbi.nlm.nih.gov/genomes/all/GCA/023/109/295/GCA_023109295.1_ASM2310929v1</t>
  </si>
  <si>
    <t>GCA_023109315.1</t>
  </si>
  <si>
    <t>S50</t>
  </si>
  <si>
    <t>https://ftp.ncbi.nlm.nih.gov/genomes/all/GCA/023/109/315/GCA_023109315.1_ASM2310931v1</t>
  </si>
  <si>
    <t>GCA_023109335.1</t>
  </si>
  <si>
    <t>S48</t>
  </si>
  <si>
    <t>https://ftp.ncbi.nlm.nih.gov/genomes/all/GCA/023/109/335/GCA_023109335.1_ASM2310933v1</t>
  </si>
  <si>
    <t>GCA_023109355.1</t>
  </si>
  <si>
    <t>S49</t>
  </si>
  <si>
    <t>https://ftp.ncbi.nlm.nih.gov/genomes/all/GCA/023/109/355/GCA_023109355.1_ASM2310935v1</t>
  </si>
  <si>
    <t>GCA_023109395.1</t>
  </si>
  <si>
    <t>S45</t>
  </si>
  <si>
    <t>https://ftp.ncbi.nlm.nih.gov/genomes/all/GCA/023/109/395/GCA_023109395.1_ASM2310939v1</t>
  </si>
  <si>
    <t>GCA_023109405.1</t>
  </si>
  <si>
    <t>S44</t>
  </si>
  <si>
    <t>https://ftp.ncbi.nlm.nih.gov/genomes/all/GCA/023/109/405/GCA_023109405.1_ASM2310940v1</t>
  </si>
  <si>
    <t>GCA_023109435.1</t>
  </si>
  <si>
    <t>S42</t>
  </si>
  <si>
    <t>https://ftp.ncbi.nlm.nih.gov/genomes/all/GCA/023/109/435/GCA_023109435.1_ASM2310943v1</t>
  </si>
  <si>
    <t>GCA_023109445.1</t>
  </si>
  <si>
    <t>S41</t>
  </si>
  <si>
    <t>https://ftp.ncbi.nlm.nih.gov/genomes/all/GCA/023/109/445/GCA_023109445.1_ASM2310944v1</t>
  </si>
  <si>
    <t>GCA_023109465.1</t>
  </si>
  <si>
    <t>S40</t>
  </si>
  <si>
    <t>https://ftp.ncbi.nlm.nih.gov/genomes/all/GCA/023/109/465/GCA_023109465.1_ASM2310946v1</t>
  </si>
  <si>
    <t>GCA_023109515.1</t>
  </si>
  <si>
    <t>S39</t>
  </si>
  <si>
    <t>https://ftp.ncbi.nlm.nih.gov/genomes/all/GCA/023/109/515/GCA_023109515.1_ASM2310951v1</t>
  </si>
  <si>
    <t>GCA_023109545.1</t>
  </si>
  <si>
    <t>S36</t>
  </si>
  <si>
    <t>https://ftp.ncbi.nlm.nih.gov/genomes/all/GCA/023/109/545/GCA_023109545.1_ASM2310954v1</t>
  </si>
  <si>
    <t>GCA_023109575.1</t>
  </si>
  <si>
    <t>S35</t>
  </si>
  <si>
    <t>https://ftp.ncbi.nlm.nih.gov/genomes/all/GCA/023/109/575/GCA_023109575.1_ASM2310957v1</t>
  </si>
  <si>
    <t>GCA_023109585.1</t>
  </si>
  <si>
    <t>S38</t>
  </si>
  <si>
    <t>https://ftp.ncbi.nlm.nih.gov/genomes/all/GCA/023/109/585/GCA_023109585.1_ASM2310958v1</t>
  </si>
  <si>
    <t>GCA_023109615.1</t>
  </si>
  <si>
    <t>S34</t>
  </si>
  <si>
    <t>https://ftp.ncbi.nlm.nih.gov/genomes/all/GCA/023/109/615/GCA_023109615.1_ASM2310961v1</t>
  </si>
  <si>
    <t>GCA_023109655.1</t>
  </si>
  <si>
    <t>S33</t>
  </si>
  <si>
    <t>https://ftp.ncbi.nlm.nih.gov/genomes/all/GCA/023/109/655/GCA_023109655.1_ASM2310965v1</t>
  </si>
  <si>
    <t>GCA_023109675.1</t>
  </si>
  <si>
    <t>S32</t>
  </si>
  <si>
    <t>https://ftp.ncbi.nlm.nih.gov/genomes/all/GCA/023/109/675/GCA_023109675.1_ASM2310967v1</t>
  </si>
  <si>
    <t>GCA_023109685.1</t>
  </si>
  <si>
    <t>S30</t>
  </si>
  <si>
    <t>https://ftp.ncbi.nlm.nih.gov/genomes/all/GCA/023/109/685/GCA_023109685.1_ASM2310968v1</t>
  </si>
  <si>
    <t>GCA_023109815.1</t>
  </si>
  <si>
    <t>S24</t>
  </si>
  <si>
    <t>https://ftp.ncbi.nlm.nih.gov/genomes/all/GCA/023/109/815/GCA_023109815.1_ASM2310981v1</t>
  </si>
  <si>
    <t>GCA_023109865.1</t>
  </si>
  <si>
    <t>S19</t>
  </si>
  <si>
    <t>https://ftp.ncbi.nlm.nih.gov/genomes/all/GCA/023/109/865/GCA_023109865.1_ASM2310986v1</t>
  </si>
  <si>
    <t>GCA_023109885.1</t>
  </si>
  <si>
    <t>S21</t>
  </si>
  <si>
    <t>https://ftp.ncbi.nlm.nih.gov/genomes/all/GCA/023/109/885/GCA_023109885.1_ASM2310988v1</t>
  </si>
  <si>
    <t>GCA_023109915.1</t>
  </si>
  <si>
    <t>S23</t>
  </si>
  <si>
    <t>https://ftp.ncbi.nlm.nih.gov/genomes/all/GCA/023/109/915/GCA_023109915.1_ASM2310991v1</t>
  </si>
  <si>
    <t>GCA_023109935.1</t>
  </si>
  <si>
    <t>S18</t>
  </si>
  <si>
    <t>https://ftp.ncbi.nlm.nih.gov/genomes/all/GCA/023/109/935/GCA_023109935.1_ASM2310993v1</t>
  </si>
  <si>
    <t>GCA_023109975.1</t>
  </si>
  <si>
    <t>S16</t>
  </si>
  <si>
    <t>https://ftp.ncbi.nlm.nih.gov/genomes/all/GCA/023/109/975/GCA_023109975.1_ASM2310997v1</t>
  </si>
  <si>
    <t>GCA_023110055.1</t>
  </si>
  <si>
    <t>S14</t>
  </si>
  <si>
    <t>https://ftp.ncbi.nlm.nih.gov/genomes/all/GCA/023/110/055/GCA_023110055.1_ASM2311005v1</t>
  </si>
  <si>
    <t>GCA_023110145.1</t>
  </si>
  <si>
    <t>S06</t>
  </si>
  <si>
    <t>https://ftp.ncbi.nlm.nih.gov/genomes/all/GCA/023/110/145/GCA_023110145.1_ASM2311014v1</t>
  </si>
  <si>
    <t>GCA_023110155.1</t>
  </si>
  <si>
    <t>S08</t>
  </si>
  <si>
    <t>https://ftp.ncbi.nlm.nih.gov/genomes/all/GCA/023/110/155/GCA_023110155.1_ASM2311015v1</t>
  </si>
  <si>
    <t>GCA_023110175.1</t>
  </si>
  <si>
    <t>S07</t>
  </si>
  <si>
    <t>https://ftp.ncbi.nlm.nih.gov/genomes/all/GCA/023/110/175/GCA_023110175.1_ASM2311017v1</t>
  </si>
  <si>
    <t>GCA_023110255.1</t>
  </si>
  <si>
    <t>S01</t>
  </si>
  <si>
    <t>https://ftp.ncbi.nlm.nih.gov/genomes/all/GCA/023/110/255/GCA_023110255.1_ASM2311025v1</t>
  </si>
  <si>
    <t>GCA_023110315.1</t>
  </si>
  <si>
    <t>O7-2</t>
  </si>
  <si>
    <t>https://ftp.ncbi.nlm.nih.gov/genomes/all/GCA/023/110/315/GCA_023110315.1_ASM2311031v1</t>
  </si>
  <si>
    <t>GCA_023110325.1</t>
  </si>
  <si>
    <t>O4-3</t>
  </si>
  <si>
    <t>https://ftp.ncbi.nlm.nih.gov/genomes/all/GCA/023/110/325/GCA_023110325.1_ASM2311032v1</t>
  </si>
  <si>
    <t>GCA_023110355.1</t>
  </si>
  <si>
    <t>O4-4</t>
  </si>
  <si>
    <t>https://ftp.ncbi.nlm.nih.gov/genomes/all/GCA/023/110/355/GCA_023110355.1_ASM2311035v1</t>
  </si>
  <si>
    <t>GCA_023110375.1</t>
  </si>
  <si>
    <t>O7-1</t>
  </si>
  <si>
    <t>https://ftp.ncbi.nlm.nih.gov/genomes/all/GCA/023/110/375/GCA_023110375.1_ASM2311037v1</t>
  </si>
  <si>
    <t>GCA_023110385.1</t>
  </si>
  <si>
    <t>O5</t>
  </si>
  <si>
    <t>https://ftp.ncbi.nlm.nih.gov/genomes/all/GCA/023/110/385/GCA_023110385.1_ASM2311038v1</t>
  </si>
  <si>
    <t>GCA_023110415.1</t>
  </si>
  <si>
    <t>O4-1</t>
  </si>
  <si>
    <t>https://ftp.ncbi.nlm.nih.gov/genomes/all/GCA/023/110/415/GCA_023110415.1_ASM2311041v1</t>
  </si>
  <si>
    <t>GCA_023110445.1</t>
  </si>
  <si>
    <t>O4-2</t>
  </si>
  <si>
    <t>https://ftp.ncbi.nlm.nih.gov/genomes/all/GCA/023/110/445/GCA_023110445.1_ASM2311044v1</t>
  </si>
  <si>
    <t>GCA_023110515.1</t>
  </si>
  <si>
    <t>O2-1</t>
  </si>
  <si>
    <t>https://ftp.ncbi.nlm.nih.gov/genomes/all/GCA/023/110/515/GCA_023110515.1_ASM2311051v1</t>
  </si>
  <si>
    <t>GCA_023110535.1</t>
  </si>
  <si>
    <t>O1-4</t>
  </si>
  <si>
    <t>https://ftp.ncbi.nlm.nih.gov/genomes/all/GCA/023/110/535/GCA_023110535.1_ASM2311053v1</t>
  </si>
  <si>
    <t>GCA_023110555.1</t>
  </si>
  <si>
    <t>O1-3</t>
  </si>
  <si>
    <t>https://ftp.ncbi.nlm.nih.gov/genomes/all/GCA/023/110/555/GCA_023110555.1_ASM2311055v1</t>
  </si>
  <si>
    <t>GCA_023110605.1</t>
  </si>
  <si>
    <t>O1-1</t>
  </si>
  <si>
    <t>https://ftp.ncbi.nlm.nih.gov/genomes/all/GCA/023/110/605/GCA_023110605.1_ASM2311060v1</t>
  </si>
  <si>
    <t>GCA_023147335.1</t>
  </si>
  <si>
    <t>EYE_437</t>
  </si>
  <si>
    <t>https://ftp.ncbi.nlm.nih.gov/genomes/all/GCA/023/147/335/GCA_023147335.1_ASM2314733v1</t>
  </si>
  <si>
    <t>GCA_023147355.1</t>
  </si>
  <si>
    <t>EYE_450</t>
  </si>
  <si>
    <t>https://ftp.ncbi.nlm.nih.gov/genomes/all/GCA/023/147/355/GCA_023147355.1_ASM2314735v1</t>
  </si>
  <si>
    <t>GCA_023147545.1</t>
  </si>
  <si>
    <t>EYE_346</t>
  </si>
  <si>
    <t>https://ftp.ncbi.nlm.nih.gov/genomes/all/GCA/023/147/545/GCA_023147545.1_ASM2314754v1</t>
  </si>
  <si>
    <t>GCA_023147965.1</t>
  </si>
  <si>
    <t>EYE_66</t>
  </si>
  <si>
    <t>https://ftp.ncbi.nlm.nih.gov/genomes/all/GCA/023/147/965/GCA_023147965.1_ASM2314796v1</t>
  </si>
  <si>
    <t>GCA_023148065.1</t>
  </si>
  <si>
    <t>EYE_30</t>
  </si>
  <si>
    <t>https://ftp.ncbi.nlm.nih.gov/genomes/all/GCA/023/148/065/GCA_023148065.1_ASM2314806v1</t>
  </si>
  <si>
    <t>GCA_023148105.1</t>
  </si>
  <si>
    <t>EYE_29</t>
  </si>
  <si>
    <t>https://ftp.ncbi.nlm.nih.gov/genomes/all/GCA/023/148/105/GCA_023148105.1_ASM2314810v1</t>
  </si>
  <si>
    <t>GCA_023148135.1</t>
  </si>
  <si>
    <t>EYE_27</t>
  </si>
  <si>
    <t>https://ftp.ncbi.nlm.nih.gov/genomes/all/GCA/023/148/135/GCA_023148135.1_ASM2314813v1</t>
  </si>
  <si>
    <t>GCA_023148185.1</t>
  </si>
  <si>
    <t>EYE_26</t>
  </si>
  <si>
    <t>https://ftp.ncbi.nlm.nih.gov/genomes/all/GCA/023/148/185/GCA_023148185.1_ASM2314818v1</t>
  </si>
  <si>
    <t>GCA_023148225.1</t>
  </si>
  <si>
    <t>EYE_25</t>
  </si>
  <si>
    <t>https://ftp.ncbi.nlm.nih.gov/genomes/all/GCA/023/148/225/GCA_023148225.1_ASM2314822v1</t>
  </si>
  <si>
    <t>GCA_023148335.1</t>
  </si>
  <si>
    <t>EYE_769</t>
  </si>
  <si>
    <t>https://ftp.ncbi.nlm.nih.gov/genomes/all/GCA/023/148/335/GCA_023148335.1_ASM2314833v1</t>
  </si>
  <si>
    <t>GCA_023148415.1</t>
  </si>
  <si>
    <t>EYE_117</t>
  </si>
  <si>
    <t>https://ftp.ncbi.nlm.nih.gov/genomes/all/GCA/023/148/415/GCA_023148415.1_ASM2314841v1</t>
  </si>
  <si>
    <t>GCA_023148425.1</t>
  </si>
  <si>
    <t>EYE_410</t>
  </si>
  <si>
    <t>https://ftp.ncbi.nlm.nih.gov/genomes/all/GCA/023/148/425/GCA_023148425.1_ASM2314842v1</t>
  </si>
  <si>
    <t>GCA_023148985.1</t>
  </si>
  <si>
    <t>EYE_742</t>
  </si>
  <si>
    <t>https://ftp.ncbi.nlm.nih.gov/genomes/all/GCA/023/148/985/GCA_023148985.1_ASM2314898v1</t>
  </si>
  <si>
    <t>GCA_023149075.1</t>
  </si>
  <si>
    <t>EYE_411</t>
  </si>
  <si>
    <t>https://ftp.ncbi.nlm.nih.gov/genomes/all/GCA/023/149/075/GCA_023149075.1_ASM2314907v1</t>
  </si>
  <si>
    <t>GCA_023167545.1</t>
  </si>
  <si>
    <t>CCUG 24889</t>
  </si>
  <si>
    <t>https://ftp.ncbi.nlm.nih.gov/genomes/all/GCA/023/167/545/GCA_023167545.1_ASM2316754v1</t>
  </si>
  <si>
    <t>GCA_023169525.1</t>
  </si>
  <si>
    <t>CCUG 27928</t>
  </si>
  <si>
    <t>https://ftp.ncbi.nlm.nih.gov/genomes/all/GCA/023/169/525/GCA_023169525.1_ASM2316952v1</t>
  </si>
  <si>
    <t>https://ftp.ncbi.nlm.nih.gov/genomes/all/GCA/023/169/925/GCA_023169925.1_ASM2316992v1</t>
  </si>
  <si>
    <t>GCA_023170065.1</t>
  </si>
  <si>
    <t>ATCC 27039</t>
  </si>
  <si>
    <t>https://ftp.ncbi.nlm.nih.gov/genomes/all/GCA/023/170/065/GCA_023170065.1_ASM2317006v1</t>
  </si>
  <si>
    <t>GCA_023195735.1</t>
  </si>
  <si>
    <t>SK</t>
  </si>
  <si>
    <t>https://ftp.ncbi.nlm.nih.gov/genomes/all/GCA/023/195/735/GCA_023195735.1_ASM2319573v1</t>
  </si>
  <si>
    <t>GCA_023242235.1</t>
  </si>
  <si>
    <t>W13</t>
  </si>
  <si>
    <t>https://ftp.ncbi.nlm.nih.gov/genomes/all/GCA/023/242/235/GCA_023242235.1_ASM2324223v1</t>
  </si>
  <si>
    <t>GCA_023277465.1</t>
  </si>
  <si>
    <t>WiKim0113</t>
  </si>
  <si>
    <t>https://ftp.ncbi.nlm.nih.gov/genomes/all/GCA/023/277/465/GCA_023277465.1_ASM2327746v1</t>
  </si>
  <si>
    <t>GCA_023277545.1</t>
  </si>
  <si>
    <t>JNFY28</t>
  </si>
  <si>
    <t>https://ftp.ncbi.nlm.nih.gov/genomes/all/GCA/023/277/545/GCA_023277545.1_ASM2327754v1</t>
  </si>
  <si>
    <t>GCA_023277565.1</t>
  </si>
  <si>
    <t>JNFY17</t>
  </si>
  <si>
    <t>https://ftp.ncbi.nlm.nih.gov/genomes/all/GCA/023/277/565/GCA_023277565.1_ASM2327756v1</t>
  </si>
  <si>
    <t>GCA_023277585.1</t>
  </si>
  <si>
    <t>JNFY15</t>
  </si>
  <si>
    <t>https://ftp.ncbi.nlm.nih.gov/genomes/all/GCA/023/277/585/GCA_023277585.1_ASM2327758v1</t>
  </si>
  <si>
    <t>GCA_023277625.1</t>
  </si>
  <si>
    <t>JNFY13</t>
  </si>
  <si>
    <t>https://ftp.ncbi.nlm.nih.gov/genomes/all/GCA/023/277/625/GCA_023277625.1_ASM2327762v1</t>
  </si>
  <si>
    <t>GCA_023277665.1</t>
  </si>
  <si>
    <t>JNFY9</t>
  </si>
  <si>
    <t>https://ftp.ncbi.nlm.nih.gov/genomes/all/GCA/023/277/665/GCA_023277665.1_ASM2327766v1</t>
  </si>
  <si>
    <t>GCA_023277705.1</t>
  </si>
  <si>
    <t>JNFY3</t>
  </si>
  <si>
    <t>https://ftp.ncbi.nlm.nih.gov/genomes/all/GCA/023/277/705/GCA_023277705.1_ASM2327770v1</t>
  </si>
  <si>
    <t>GCA_023278185.1</t>
  </si>
  <si>
    <t>https://ftp.ncbi.nlm.nih.gov/genomes/all/GCA/023/278/185/GCA_023278185.1_ASM2327818v1</t>
  </si>
  <si>
    <t>GCA_023299425.1</t>
  </si>
  <si>
    <t>AT48</t>
  </si>
  <si>
    <t>https://ftp.ncbi.nlm.nih.gov/genomes/all/GCA/023/299/425/GCA_023299425.1_ASM2329942v1</t>
  </si>
  <si>
    <t>GCA_023303005.1</t>
  </si>
  <si>
    <t>JCVI-JB-Md32</t>
  </si>
  <si>
    <t>https://ftp.ncbi.nlm.nih.gov/genomes/all/GCA/023/303/005/GCA_023303005.1_ASM2330300v1</t>
  </si>
  <si>
    <t>GCA_023303065.1</t>
  </si>
  <si>
    <t>JCVI-JB-Rm27</t>
  </si>
  <si>
    <t>https://ftp.ncbi.nlm.nih.gov/genomes/all/GCA/023/303/065/GCA_023303065.1_ASM2330306v1</t>
  </si>
  <si>
    <t>GCA_023347355.1</t>
  </si>
  <si>
    <t>IP-1-18</t>
  </si>
  <si>
    <t>https://ftp.ncbi.nlm.nih.gov/genomes/all/GCA/023/347/355/GCA_023347355.1_ASM2334735v1</t>
  </si>
  <si>
    <t>GCA_023347705.1</t>
  </si>
  <si>
    <t>C0061C2</t>
  </si>
  <si>
    <t>https://ftp.ncbi.nlm.nih.gov/genomes/all/GCA/023/347/705/GCA_023347705.1_ASM2334770v1</t>
  </si>
  <si>
    <t>GCA_023373505.1</t>
  </si>
  <si>
    <t>Noodlococcus</t>
  </si>
  <si>
    <t>https://ftp.ncbi.nlm.nih.gov/genomes/all/GCA/023/373/505/GCA_023373505.1_ASM2337350v1</t>
  </si>
  <si>
    <t>GCA_023375105.1</t>
  </si>
  <si>
    <t>BLa80</t>
  </si>
  <si>
    <t>https://ftp.ncbi.nlm.nih.gov/genomes/all/GCA/023/375/105/GCA_023375105.1_ASM2337510v1</t>
  </si>
  <si>
    <t>GCA_023375285.1</t>
  </si>
  <si>
    <t>S8-3</t>
  </si>
  <si>
    <t>https://ftp.ncbi.nlm.nih.gov/genomes/all/GCA/023/375/285/GCA_023375285.1_ASM2337528v1</t>
  </si>
  <si>
    <t>GCA_023383525.1</t>
  </si>
  <si>
    <t>YWH7054</t>
  </si>
  <si>
    <t>https://ftp.ncbi.nlm.nih.gov/genomes/all/GCA/023/383/525/GCA_023383525.1_ASM2338352v1</t>
  </si>
  <si>
    <t>GCA_023383545.1</t>
  </si>
  <si>
    <t>YWH7053</t>
  </si>
  <si>
    <t>https://ftp.ncbi.nlm.nih.gov/genomes/all/GCA/023/383/545/GCA_023383545.1_ASM2338354v1</t>
  </si>
  <si>
    <t>GCA_023383575.1</t>
  </si>
  <si>
    <t>YWH7055</t>
  </si>
  <si>
    <t>https://ftp.ncbi.nlm.nih.gov/genomes/all/GCA/023/383/575/GCA_023383575.1_ASM2338357v1</t>
  </si>
  <si>
    <t>GCA_023383605.1</t>
  </si>
  <si>
    <t>YWH7056</t>
  </si>
  <si>
    <t>https://ftp.ncbi.nlm.nih.gov/genomes/all/GCA/023/383/605/GCA_023383605.1_ASM2338360v1</t>
  </si>
  <si>
    <t>GCA_023383645.1</t>
  </si>
  <si>
    <t>YWH7199</t>
  </si>
  <si>
    <t>https://ftp.ncbi.nlm.nih.gov/genomes/all/GCA/023/383/645/GCA_023383645.1_ASM2338364v1</t>
  </si>
  <si>
    <t>GCA_023404035.1</t>
  </si>
  <si>
    <t>OH_HFB_15</t>
  </si>
  <si>
    <t>https://ftp.ncbi.nlm.nih.gov/genomes/all/GCA/023/404/035/GCA_023404035.1_ASM2340403v1</t>
  </si>
  <si>
    <t>OH_SBB_74</t>
  </si>
  <si>
    <t>https://ftp.ncbi.nlm.nih.gov/genomes/all/GCA/023/425/005/GCA_023425005.1_ASM2342500v1</t>
  </si>
  <si>
    <t>OH_CDB_24</t>
  </si>
  <si>
    <t>https://ftp.ncbi.nlm.nih.gov/genomes/all/GCA/023/436/275/GCA_023436275.1_ASM2343627v1</t>
  </si>
  <si>
    <t>GCA_023448035.1</t>
  </si>
  <si>
    <t>OH_HBlB_57</t>
  </si>
  <si>
    <t>https://ftp.ncbi.nlm.nih.gov/genomes/all/GCA/023/448/035/GCA_023448035.1_ASM2344803v1</t>
  </si>
  <si>
    <t>GCA_023452175.1</t>
  </si>
  <si>
    <t>OH_HDB_106</t>
  </si>
  <si>
    <t>https://ftp.ncbi.nlm.nih.gov/genomes/all/GCA/023/452/175/GCA_023452175.1_ASM2345217v1</t>
  </si>
  <si>
    <t>GCA_023455535.1</t>
  </si>
  <si>
    <t>OH_HFB_101</t>
  </si>
  <si>
    <t>https://ftp.ncbi.nlm.nih.gov/genomes/all/GCA/023/455/535/GCA_023455535.1_ASM2345553v1</t>
  </si>
  <si>
    <t>GCA_023472875.1</t>
  </si>
  <si>
    <t>CCUG 17915</t>
  </si>
  <si>
    <t>https://ftp.ncbi.nlm.nih.gov/genomes/all/GCA/023/472/875/GCA_023472875.1_ASM2347287v1</t>
  </si>
  <si>
    <t>GCA_023507525.1</t>
  </si>
  <si>
    <t>PC-C1</t>
  </si>
  <si>
    <t>https://ftp.ncbi.nlm.nih.gov/genomes/all/GCA/023/507/525/GCA_023507525.1_ASM2350752v1</t>
  </si>
  <si>
    <t>GCA_023508855.1</t>
  </si>
  <si>
    <t>CGMH-SL131</t>
  </si>
  <si>
    <t>https://ftp.ncbi.nlm.nih.gov/genomes/all/GCA/023/508/855/GCA_023508855.1_ASM2350885v1</t>
  </si>
  <si>
    <t>GCA_023508875.1</t>
  </si>
  <si>
    <t>CGMH-SL138</t>
  </si>
  <si>
    <t>https://ftp.ncbi.nlm.nih.gov/genomes/all/GCA/023/508/875/GCA_023508875.1_ASM2350887v1</t>
  </si>
  <si>
    <t>GCA_023509255.1</t>
  </si>
  <si>
    <t>CD1121</t>
  </si>
  <si>
    <t>https://ftp.ncbi.nlm.nih.gov/genomes/all/GCA/023/509/255/GCA_023509255.1_ASM2350925v1</t>
  </si>
  <si>
    <t>GCA_023509275.1</t>
  </si>
  <si>
    <t>PC1145</t>
  </si>
  <si>
    <t>https://ftp.ncbi.nlm.nih.gov/genomes/all/GCA/023/509/275/GCA_023509275.1_ASM2350927v1</t>
  </si>
  <si>
    <t>GCA_023509295.1</t>
  </si>
  <si>
    <t>PC1130</t>
  </si>
  <si>
    <t>https://ftp.ncbi.nlm.nih.gov/genomes/all/GCA/023/509/295/GCA_023509295.1_ASM2350929v1</t>
  </si>
  <si>
    <t>GCA_023509315.1</t>
  </si>
  <si>
    <t>PC1113</t>
  </si>
  <si>
    <t>https://ftp.ncbi.nlm.nih.gov/genomes/all/GCA/023/509/315/GCA_023509315.1_ASM2350931v1</t>
  </si>
  <si>
    <t>GCA_023517815.1</t>
  </si>
  <si>
    <t>31S</t>
  </si>
  <si>
    <t>https://ftp.ncbi.nlm.nih.gov/genomes/all/GCA/023/517/815/GCA_023517815.1_ASM2351781v1</t>
  </si>
  <si>
    <t>GCA_023517835.1</t>
  </si>
  <si>
    <t>31R</t>
  </si>
  <si>
    <t>https://ftp.ncbi.nlm.nih.gov/genomes/all/GCA/023/517/835/GCA_023517835.1_ASM2351783v1</t>
  </si>
  <si>
    <t>GCA_023517855.1</t>
  </si>
  <si>
    <t>30S</t>
  </si>
  <si>
    <t>https://ftp.ncbi.nlm.nih.gov/genomes/all/GCA/023/517/855/GCA_023517855.1_ASM2351785v1</t>
  </si>
  <si>
    <t>GCA_023517875.1</t>
  </si>
  <si>
    <t>30R</t>
  </si>
  <si>
    <t>https://ftp.ncbi.nlm.nih.gov/genomes/all/GCA/023/517/875/GCA_023517875.1_ASM2351787v1</t>
  </si>
  <si>
    <t>GCA_023517895.1</t>
  </si>
  <si>
    <t>23S</t>
  </si>
  <si>
    <t>https://ftp.ncbi.nlm.nih.gov/genomes/all/GCA/023/517/895/GCA_023517895.1_ASM2351789v1</t>
  </si>
  <si>
    <t>GCA_023517915.1</t>
  </si>
  <si>
    <t>5S</t>
  </si>
  <si>
    <t>https://ftp.ncbi.nlm.nih.gov/genomes/all/GCA/023/517/915/GCA_023517915.1_ASM2351791v1</t>
  </si>
  <si>
    <t>GCA_023517935.1</t>
  </si>
  <si>
    <t>5R</t>
  </si>
  <si>
    <t>https://ftp.ncbi.nlm.nih.gov/genomes/all/GCA/023/517/935/GCA_023517935.1_ASM2351793v1</t>
  </si>
  <si>
    <t>GCA_023518055.1</t>
  </si>
  <si>
    <t>4S</t>
  </si>
  <si>
    <t>https://ftp.ncbi.nlm.nih.gov/genomes/all/GCA/023/518/055/GCA_023518055.1_ASM2351805v1</t>
  </si>
  <si>
    <t>GCA_023520755.1</t>
  </si>
  <si>
    <t>B2</t>
  </si>
  <si>
    <t>https://ftp.ncbi.nlm.nih.gov/genomes/all/GCA/023/520/755/GCA_023520755.1_ASM2352075v1</t>
  </si>
  <si>
    <t>GCA_023520795.1</t>
  </si>
  <si>
    <t>DSM 44278</t>
  </si>
  <si>
    <t>https://ftp.ncbi.nlm.nih.gov/genomes/all/GCA/023/520/795/GCA_023520795.1_ASM2352079v1</t>
  </si>
  <si>
    <t>TCVGH</t>
  </si>
  <si>
    <t>https://ftp.ncbi.nlm.nih.gov/genomes/all/GCA/023/522/295/GCA_023522295.1_ASM2352229v1</t>
  </si>
  <si>
    <t>GCA_023523715.1</t>
  </si>
  <si>
    <t>SP11</t>
  </si>
  <si>
    <t>https://ftp.ncbi.nlm.nih.gov/genomes/all/GCA/023/523/715/GCA_023523715.1_ASM2352371v1</t>
  </si>
  <si>
    <t>GCA_023547085.1</t>
  </si>
  <si>
    <t>C019</t>
  </si>
  <si>
    <t>https://ftp.ncbi.nlm.nih.gov/genomes/all/GCA/023/547/085/GCA_023547085.1_ASM2354708v1</t>
  </si>
  <si>
    <t>GCA_023559645.1</t>
  </si>
  <si>
    <t>ATCC 29522</t>
  </si>
  <si>
    <t>https://ftp.ncbi.nlm.nih.gov/genomes/all/GCA/023/559/645/GCA_023559645.1_ASM2355964v1</t>
  </si>
  <si>
    <t>GCA_023559725.1</t>
  </si>
  <si>
    <t>23R</t>
  </si>
  <si>
    <t>https://ftp.ncbi.nlm.nih.gov/genomes/all/GCA/023/559/725/GCA_023559725.1_ASM2355972v1</t>
  </si>
  <si>
    <t>GCA_023559755.1</t>
  </si>
  <si>
    <t>4R</t>
  </si>
  <si>
    <t>https://ftp.ncbi.nlm.nih.gov/genomes/all/GCA/023/559/755/GCA_023559755.1_ASM2355975v1</t>
  </si>
  <si>
    <t>GCA_023611505.1</t>
  </si>
  <si>
    <t>HP01</t>
  </si>
  <si>
    <t>https://ftp.ncbi.nlm.nih.gov/genomes/all/GCA/023/611/505/GCA_023611505.1_ASM2361150v1</t>
  </si>
  <si>
    <t>GCA_023614525.1</t>
  </si>
  <si>
    <t>SAHP1</t>
  </si>
  <si>
    <t>https://ftp.ncbi.nlm.nih.gov/genomes/all/GCA/023/614/525/GCA_023614525.1_ASM2361452v1</t>
  </si>
  <si>
    <t>GCA_023635035.1</t>
  </si>
  <si>
    <t>HP0076</t>
  </si>
  <si>
    <t>https://ftp.ncbi.nlm.nih.gov/genomes/all/GCA/023/635/035/GCA_023635035.1_ASM2363503v1</t>
  </si>
  <si>
    <t>GCA_023635065.1</t>
  </si>
  <si>
    <t>TT0074</t>
  </si>
  <si>
    <t>https://ftp.ncbi.nlm.nih.gov/genomes/all/GCA/023/635/065/GCA_023635065.1_ASM2363506v1</t>
  </si>
  <si>
    <t>GCA_023635085.1</t>
  </si>
  <si>
    <t>SG0010</t>
  </si>
  <si>
    <t>https://ftp.ncbi.nlm.nih.gov/genomes/all/GCA/023/635/085/GCA_023635085.1_ASM2363508v1</t>
  </si>
  <si>
    <t>GCA_023635105.1</t>
  </si>
  <si>
    <t>HP0001</t>
  </si>
  <si>
    <t>https://ftp.ncbi.nlm.nih.gov/genomes/all/GCA/023/635/105/GCA_023635105.1_ASM2363510v1</t>
  </si>
  <si>
    <t>MB20-206</t>
  </si>
  <si>
    <t>https://ftp.ncbi.nlm.nih.gov/genomes/all/GCA/023/668/195/GCA_023668195.1_ASM2366819v1</t>
  </si>
  <si>
    <t>MB20-133</t>
  </si>
  <si>
    <t>https://ftp.ncbi.nlm.nih.gov/genomes/all/GCA/023/668/475/GCA_023668475.1_ASM2366847v1</t>
  </si>
  <si>
    <t>GCA_023704215.1</t>
  </si>
  <si>
    <t>HY8002</t>
  </si>
  <si>
    <t>https://ftp.ncbi.nlm.nih.gov/genomes/all/GCA/023/704/215/GCA_023704215.1_ASM2370421v1</t>
  </si>
  <si>
    <t>GCA_023712675.1</t>
  </si>
  <si>
    <t>MSL 316.2</t>
  </si>
  <si>
    <t>https://ftp.ncbi.nlm.nih.gov/genomes/all/GCA/023/712/675/GCA_023712675.1_ASM2371267v1</t>
  </si>
  <si>
    <t>GCA_023713025.1</t>
  </si>
  <si>
    <t>MSL 004.1.2</t>
  </si>
  <si>
    <t>https://ftp.ncbi.nlm.nih.gov/genomes/all/GCA/023/713/025/GCA_023713025.1_ASM2371302v1</t>
  </si>
  <si>
    <t>GCA_023713505.1</t>
  </si>
  <si>
    <t>MER TA 18</t>
  </si>
  <si>
    <t>https://ftp.ncbi.nlm.nih.gov/genomes/all/GCA/023/713/505/GCA_023713505.1_ASM2371350v1</t>
  </si>
  <si>
    <t>GCA_023716965.1</t>
  </si>
  <si>
    <t>https://ftp.ncbi.nlm.nih.gov/genomes/all/GCA/023/716/965/GCA_023716965.1_ASM2371696v1</t>
  </si>
  <si>
    <t>GCA_023743875.1</t>
  </si>
  <si>
    <t>DRD-111</t>
  </si>
  <si>
    <t>https://ftp.ncbi.nlm.nih.gov/genomes/all/GCA/023/743/875/GCA_023743875.1_ASM2374387v1</t>
  </si>
  <si>
    <t>GCA_023744155.1</t>
  </si>
  <si>
    <t>DRD-74</t>
  </si>
  <si>
    <t>https://ftp.ncbi.nlm.nih.gov/genomes/all/GCA/023/744/155/GCA_023744155.1_ASM2374415v1</t>
  </si>
  <si>
    <t>GCA_023822425.1</t>
  </si>
  <si>
    <t>https://ftp.ncbi.nlm.nih.gov/genomes/all/GCA/023/822/425/GCA_023822425.1_ASM2382242v1</t>
  </si>
  <si>
    <t>GCA_023822445.1</t>
  </si>
  <si>
    <t>W50/BE1</t>
  </si>
  <si>
    <t>https://ftp.ncbi.nlm.nih.gov/genomes/all/GCA/023/822/445/GCA_023822445.1_ASM2382244v1</t>
  </si>
  <si>
    <t>GCA_023822465.1</t>
  </si>
  <si>
    <t>W50/BR1</t>
  </si>
  <si>
    <t>https://ftp.ncbi.nlm.nih.gov/genomes/all/GCA/023/822/465/GCA_023822465.1_ASM2382246v1</t>
  </si>
  <si>
    <t>GCA_023823145.1</t>
  </si>
  <si>
    <t>9D3</t>
  </si>
  <si>
    <t>https://ftp.ncbi.nlm.nih.gov/genomes/all/GCA/023/823/145/GCA_023823145.1_ASM2382314v1</t>
  </si>
  <si>
    <t>GCA_023824295.1</t>
  </si>
  <si>
    <t>QJ1</t>
  </si>
  <si>
    <t>https://ftp.ncbi.nlm.nih.gov/genomes/all/GCA/023/824/295/GCA_023824295.1_ASM2382429v1</t>
  </si>
  <si>
    <t>GCA_023923185.1</t>
  </si>
  <si>
    <t>TT14</t>
  </si>
  <si>
    <t>https://ftp.ncbi.nlm.nih.gov/genomes/all/GCA/023/923/185/GCA_023923185.1_ASM2392318v1</t>
  </si>
  <si>
    <t>GCA_023972895.1</t>
  </si>
  <si>
    <t>KW1</t>
  </si>
  <si>
    <t>https://ftp.ncbi.nlm.nih.gov/genomes/all/GCA/023/972/895/GCA_023972895.1_ASM2397289v1</t>
  </si>
  <si>
    <t>GCA_023973105.1</t>
  </si>
  <si>
    <t>AJ6079</t>
  </si>
  <si>
    <t>https://ftp.ncbi.nlm.nih.gov/genomes/all/GCA/023/973/105/GCA_023973105.1_ASM2397310v1</t>
  </si>
  <si>
    <t>GCA_024089355.1</t>
  </si>
  <si>
    <t>SN75752</t>
  </si>
  <si>
    <t>https://ftp.ncbi.nlm.nih.gov/genomes/all/GCA/024/089/355/GCA_024089355.1_ASM2408935v1</t>
  </si>
  <si>
    <t>GCA_024104375.1</t>
  </si>
  <si>
    <t>Q-087</t>
  </si>
  <si>
    <t>https://ftp.ncbi.nlm.nih.gov/genomes/all/GCA/024/104/375/GCA_024104375.1_ASM2410437v1</t>
  </si>
  <si>
    <t>GCA_024104395.1</t>
  </si>
  <si>
    <t>Q-081</t>
  </si>
  <si>
    <t>https://ftp.ncbi.nlm.nih.gov/genomes/all/GCA/024/104/395/GCA_024104395.1_ASM2410439v1</t>
  </si>
  <si>
    <t>GCA_024104415.1</t>
  </si>
  <si>
    <t>Q-046</t>
  </si>
  <si>
    <t>https://ftp.ncbi.nlm.nih.gov/genomes/all/GCA/024/104/415/GCA_024104415.1_ASM2410441v1</t>
  </si>
  <si>
    <t>GCA_024104435.1</t>
  </si>
  <si>
    <t>Q-058</t>
  </si>
  <si>
    <t>https://ftp.ncbi.nlm.nih.gov/genomes/all/GCA/024/104/435/GCA_024104435.1_ASM2410443v1</t>
  </si>
  <si>
    <t>GCA_024104455.1</t>
  </si>
  <si>
    <t>Q-026</t>
  </si>
  <si>
    <t>https://ftp.ncbi.nlm.nih.gov/genomes/all/GCA/024/104/455/GCA_024104455.1_ASM2410445v1</t>
  </si>
  <si>
    <t>GCA_024104475.1</t>
  </si>
  <si>
    <t>K-015</t>
  </si>
  <si>
    <t>https://ftp.ncbi.nlm.nih.gov/genomes/all/GCA/024/104/475/GCA_024104475.1_ASM2410447v1</t>
  </si>
  <si>
    <t>GCA_024104495.1</t>
  </si>
  <si>
    <t>K-060</t>
  </si>
  <si>
    <t>https://ftp.ncbi.nlm.nih.gov/genomes/all/GCA/024/104/495/GCA_024104495.1_ASM2410449v1</t>
  </si>
  <si>
    <t>GCA_024104505.1</t>
  </si>
  <si>
    <t>K-016</t>
  </si>
  <si>
    <t>https://ftp.ncbi.nlm.nih.gov/genomes/all/GCA/024/104/505/GCA_024104505.1_ASM2410450v1</t>
  </si>
  <si>
    <t>GCA_024104815.1</t>
  </si>
  <si>
    <t>ESL7</t>
  </si>
  <si>
    <t>https://ftp.ncbi.nlm.nih.gov/genomes/all/GCA/024/104/815/GCA_024104815.1_ASM2410481v1</t>
  </si>
  <si>
    <t>GCA_024104825.1</t>
  </si>
  <si>
    <t>ESL12</t>
  </si>
  <si>
    <t>https://ftp.ncbi.nlm.nih.gov/genomes/all/GCA/024/104/825/GCA_024104825.1_ASM2410482v1</t>
  </si>
  <si>
    <t>GCA_024104855.1</t>
  </si>
  <si>
    <t>ESL6</t>
  </si>
  <si>
    <t>https://ftp.ncbi.nlm.nih.gov/genomes/all/GCA/024/104/855/GCA_024104855.1_ASM2410485v1</t>
  </si>
  <si>
    <t>GCA_024104875.1</t>
  </si>
  <si>
    <t>ESL2</t>
  </si>
  <si>
    <t>https://ftp.ncbi.nlm.nih.gov/genomes/all/GCA/024/104/875/GCA_024104875.1_ASM2410487v1</t>
  </si>
  <si>
    <t>GCA_024104895.1</t>
  </si>
  <si>
    <t>HOL5</t>
  </si>
  <si>
    <t>https://ftp.ncbi.nlm.nih.gov/genomes/all/GCA/024/104/895/GCA_024104895.1_ASM2410489v1</t>
  </si>
  <si>
    <t>GCA_024104915.1</t>
  </si>
  <si>
    <t>ZH12</t>
  </si>
  <si>
    <t>https://ftp.ncbi.nlm.nih.gov/genomes/all/GCA/024/104/915/GCA_024104915.1_ASM2410491v1</t>
  </si>
  <si>
    <t>GCA_024104925.1</t>
  </si>
  <si>
    <t>HOL4</t>
  </si>
  <si>
    <t>https://ftp.ncbi.nlm.nih.gov/genomes/all/GCA/024/104/925/GCA_024104925.1_ASM2410492v1</t>
  </si>
  <si>
    <t>GCA_024104955.1</t>
  </si>
  <si>
    <t>ZH9</t>
  </si>
  <si>
    <t>https://ftp.ncbi.nlm.nih.gov/genomes/all/GCA/024/104/955/GCA_024104955.1_ASM2410495v1</t>
  </si>
  <si>
    <t>GCA_024104975.1</t>
  </si>
  <si>
    <t>FJD262</t>
  </si>
  <si>
    <t>https://ftp.ncbi.nlm.nih.gov/genomes/all/GCA/024/104/975/GCA_024104975.1_ASM2410497v1</t>
  </si>
  <si>
    <t>GCA_024104995.1</t>
  </si>
  <si>
    <t>HS9</t>
  </si>
  <si>
    <t>https://ftp.ncbi.nlm.nih.gov/genomes/all/GCA/024/104/995/GCA_024104995.1_ASM2410499v1</t>
  </si>
  <si>
    <t>GCA_024105015.1</t>
  </si>
  <si>
    <t>HS8</t>
  </si>
  <si>
    <t>https://ftp.ncbi.nlm.nih.gov/genomes/all/GCA/024/105/015/GCA_024105015.1_ASM2410501v1</t>
  </si>
  <si>
    <t>GCA_024105025.1</t>
  </si>
  <si>
    <t>HS7</t>
  </si>
  <si>
    <t>https://ftp.ncbi.nlm.nih.gov/genomes/all/GCA/024/105/025/GCA_024105025.1_ASM2410502v1</t>
  </si>
  <si>
    <t>GCA_024105055.1</t>
  </si>
  <si>
    <t>HS6</t>
  </si>
  <si>
    <t>https://ftp.ncbi.nlm.nih.gov/genomes/all/GCA/024/105/055/GCA_024105055.1_ASM2410505v1</t>
  </si>
  <si>
    <t>GCA_024105075.1</t>
  </si>
  <si>
    <t>HS4</t>
  </si>
  <si>
    <t>https://ftp.ncbi.nlm.nih.gov/genomes/all/GCA/024/105/075/GCA_024105075.1_ASM2410507v1</t>
  </si>
  <si>
    <t>GCA_024105095.1</t>
  </si>
  <si>
    <t>HS2</t>
  </si>
  <si>
    <t>https://ftp.ncbi.nlm.nih.gov/genomes/all/GCA/024/105/095/GCA_024105095.1_ASM2410509v1</t>
  </si>
  <si>
    <t>GCA_024105125.1</t>
  </si>
  <si>
    <t>HS1</t>
  </si>
  <si>
    <t>https://ftp.ncbi.nlm.nih.gov/genomes/all/GCA/024/105/125/GCA_024105125.1_ASM2410512v1</t>
  </si>
  <si>
    <t>NB2A-29-D6</t>
  </si>
  <si>
    <t>https://ftp.ncbi.nlm.nih.gov/genomes/all/GCA/024/125/345/GCA_024125345.1_ASM2412534v1</t>
  </si>
  <si>
    <t>GCA_024129415.1</t>
  </si>
  <si>
    <t>S 4446-13</t>
  </si>
  <si>
    <t>https://ftp.ncbi.nlm.nih.gov/genomes/all/GCA/024/129/415/GCA_024129415.1_ASM2412941v1</t>
  </si>
  <si>
    <t>GCA_024129445.1</t>
  </si>
  <si>
    <t>S 4446-7</t>
  </si>
  <si>
    <t>https://ftp.ncbi.nlm.nih.gov/genomes/all/GCA/024/129/445/GCA_024129445.1_ASM2412944v1</t>
  </si>
  <si>
    <t>GCA_024138775.1</t>
  </si>
  <si>
    <t>DSM 44532</t>
  </si>
  <si>
    <t>https://ftp.ncbi.nlm.nih.gov/genomes/all/GCA/024/138/775/GCA_024138775.1_ASM2413877v1</t>
  </si>
  <si>
    <t>GCA_024140205.1</t>
  </si>
  <si>
    <t>CNGBCC1850030</t>
  </si>
  <si>
    <t>https://ftp.ncbi.nlm.nih.gov/genomes/all/GCA/024/140/205/GCA_024140205.1_ASM2414020v1</t>
  </si>
  <si>
    <t>NB2A-17-FMU</t>
  </si>
  <si>
    <t>https://ftp.ncbi.nlm.nih.gov/genomes/all/GCA/024/167/965/GCA_024167965.1_ASM2416796v1</t>
  </si>
  <si>
    <t>GCA_024170065.1</t>
  </si>
  <si>
    <t>SLBN-103</t>
  </si>
  <si>
    <t>https://ftp.ncbi.nlm.nih.gov/genomes/all/GCA/024/170/065/GCA_024170065.1_ASM2417006v1</t>
  </si>
  <si>
    <t>GCA_024172845.1</t>
  </si>
  <si>
    <t>28N</t>
  </si>
  <si>
    <t>https://ftp.ncbi.nlm.nih.gov/genomes/all/GCA/024/172/845/GCA_024172845.1_ASM2417284v1</t>
  </si>
  <si>
    <t>GCA_024172855.1</t>
  </si>
  <si>
    <t>31N</t>
  </si>
  <si>
    <t>https://ftp.ncbi.nlm.nih.gov/genomes/all/GCA/024/172/855/GCA_024172855.1_ASM2417285v1</t>
  </si>
  <si>
    <t>GCA_024172895.1</t>
  </si>
  <si>
    <t>30N</t>
  </si>
  <si>
    <t>https://ftp.ncbi.nlm.nih.gov/genomes/all/GCA/024/172/895/GCA_024172895.1_ASM2417289v1</t>
  </si>
  <si>
    <t>GCA_024181105.1</t>
  </si>
  <si>
    <t>OMZ 861</t>
  </si>
  <si>
    <t>https://ftp.ncbi.nlm.nih.gov/genomes/all/GCA/024/181/105/GCA_024181105.1_ASM2418110v1</t>
  </si>
  <si>
    <t>GCA_024181125.1</t>
  </si>
  <si>
    <t>OMZ 862</t>
  </si>
  <si>
    <t>https://ftp.ncbi.nlm.nih.gov/genomes/all/GCA/024/181/125/GCA_024181125.1_ASM2418112v1</t>
  </si>
  <si>
    <t>GCA_024181165.1</t>
  </si>
  <si>
    <t>BF2M</t>
  </si>
  <si>
    <t>https://ftp.ncbi.nlm.nih.gov/genomes/all/GCA/024/181/165/GCA_024181165.1_ASM2418116v1</t>
  </si>
  <si>
    <t>GCA_024181185.1</t>
  </si>
  <si>
    <t>OMZ 906</t>
  </si>
  <si>
    <t>https://ftp.ncbi.nlm.nih.gov/genomes/all/GCA/024/181/185/GCA_024181185.1_ASM2418118v1</t>
  </si>
  <si>
    <t>GCA_024181205.1</t>
  </si>
  <si>
    <t>OMZ 802</t>
  </si>
  <si>
    <t>https://ftp.ncbi.nlm.nih.gov/genomes/all/GCA/024/181/205/GCA_024181205.1_ASM2418120v1</t>
  </si>
  <si>
    <t>GCA_024181325.1</t>
  </si>
  <si>
    <t>OMZ 305</t>
  </si>
  <si>
    <t>https://ftp.ncbi.nlm.nih.gov/genomes/all/GCA/024/181/325/GCA_024181325.1_ASM2418132v1</t>
  </si>
  <si>
    <t>GCA_024181425.1</t>
  </si>
  <si>
    <t>OT2B</t>
  </si>
  <si>
    <t>https://ftp.ncbi.nlm.nih.gov/genomes/all/GCA/024/181/425/GCA_024181425.1_ASM2418142v1</t>
  </si>
  <si>
    <t>GCA_024181445.1</t>
  </si>
  <si>
    <t>CD-1</t>
  </si>
  <si>
    <t>https://ftp.ncbi.nlm.nih.gov/genomes/all/GCA/024/181/445/GCA_024181445.1_ASM2418144v1</t>
  </si>
  <si>
    <t>GCA_024181485.1</t>
  </si>
  <si>
    <t>OMZ 852</t>
  </si>
  <si>
    <t>https://ftp.ncbi.nlm.nih.gov/genomes/all/GCA/024/181/485/GCA_024181485.1_ASM2418148v1</t>
  </si>
  <si>
    <t>GCA_024181505.1</t>
  </si>
  <si>
    <t>OMZ 898</t>
  </si>
  <si>
    <t>https://ftp.ncbi.nlm.nih.gov/genomes/all/GCA/024/181/505/GCA_024181505.1_ASM2418150v1</t>
  </si>
  <si>
    <t>GCA_024181545.1</t>
  </si>
  <si>
    <t>OMZ 850</t>
  </si>
  <si>
    <t>https://ftp.ncbi.nlm.nih.gov/genomes/all/GCA/024/181/545/GCA_024181545.1_ASM2418154v1</t>
  </si>
  <si>
    <t>GCA_024181625.1</t>
  </si>
  <si>
    <t>OKA3</t>
  </si>
  <si>
    <t>https://ftp.ncbi.nlm.nih.gov/genomes/all/GCA/024/181/625/GCA_024181625.1_ASM2418162v1</t>
  </si>
  <si>
    <t>GCA_024181645.1</t>
  </si>
  <si>
    <t>OMZ 854</t>
  </si>
  <si>
    <t>https://ftp.ncbi.nlm.nih.gov/genomes/all/GCA/024/181/645/GCA_024181645.1_ASM2418164v1</t>
  </si>
  <si>
    <t>GCA_024181665.1</t>
  </si>
  <si>
    <t>B152</t>
  </si>
  <si>
    <t>https://ftp.ncbi.nlm.nih.gov/genomes/all/GCA/024/181/665/GCA_024181665.1_ASM2418166v1</t>
  </si>
  <si>
    <t>GCA_024204705.1</t>
  </si>
  <si>
    <t>TMDU-41</t>
  </si>
  <si>
    <t>https://ftp.ncbi.nlm.nih.gov/genomes/all/GCA/024/204/705/GCA_024204705.1_ASM2420470v1</t>
  </si>
  <si>
    <t>GCA_024204745.1</t>
  </si>
  <si>
    <t>TMDU-137</t>
  </si>
  <si>
    <t>https://ftp.ncbi.nlm.nih.gov/genomes/all/GCA/024/204/745/GCA_024204745.1_ASM2420474v1</t>
  </si>
  <si>
    <t>GCA_024204765.1</t>
  </si>
  <si>
    <t>TMDU-190</t>
  </si>
  <si>
    <t>https://ftp.ncbi.nlm.nih.gov/genomes/all/GCA/024/204/765/GCA_024204765.1_ASM2420476v1</t>
  </si>
  <si>
    <t>GCA_024204785.1</t>
  </si>
  <si>
    <t>TMDU-265</t>
  </si>
  <si>
    <t>https://ftp.ncbi.nlm.nih.gov/genomes/all/GCA/024/204/785/GCA_024204785.1_ASM2420478v1</t>
  </si>
  <si>
    <t>GCA_024204845.1</t>
  </si>
  <si>
    <t>TMDU-323</t>
  </si>
  <si>
    <t>https://ftp.ncbi.nlm.nih.gov/genomes/all/GCA/024/204/845/GCA_024204845.1_ASM2420484v1</t>
  </si>
  <si>
    <t>GCA_024204865.1</t>
  </si>
  <si>
    <t>TMDU-2014-62</t>
  </si>
  <si>
    <t>https://ftp.ncbi.nlm.nih.gov/genomes/all/GCA/024/204/865/GCA_024204865.1_ASM2420486v1</t>
  </si>
  <si>
    <t>GCA_024204905.1</t>
  </si>
  <si>
    <t>TSM-18</t>
  </si>
  <si>
    <t>https://ftp.ncbi.nlm.nih.gov/genomes/all/GCA/024/204/905/GCA_024204905.1_ASM2420490v1</t>
  </si>
  <si>
    <t>GCA_024204925.1</t>
  </si>
  <si>
    <t>TSM-36</t>
  </si>
  <si>
    <t>https://ftp.ncbi.nlm.nih.gov/genomes/all/GCA/024/204/925/GCA_024204925.1_ASM2420492v1</t>
  </si>
  <si>
    <t>GCA_024204965.1</t>
  </si>
  <si>
    <t>TSM-50</t>
  </si>
  <si>
    <t>https://ftp.ncbi.nlm.nih.gov/genomes/all/GCA/024/204/965/GCA_024204965.1_ASM2420496v1</t>
  </si>
  <si>
    <t>GCA_024205685.1</t>
  </si>
  <si>
    <t>HP0048</t>
  </si>
  <si>
    <t>https://ftp.ncbi.nlm.nih.gov/genomes/all/GCA/024/205/685/GCA_024205685.1_ASM2420568v1</t>
  </si>
  <si>
    <t>GCA_024205725.1</t>
  </si>
  <si>
    <t>TT0073</t>
  </si>
  <si>
    <t>https://ftp.ncbi.nlm.nih.gov/genomes/all/GCA/024/205/725/GCA_024205725.1_ASM2420572v1</t>
  </si>
  <si>
    <t>GCA_024205745.1</t>
  </si>
  <si>
    <t>HP0015</t>
  </si>
  <si>
    <t>https://ftp.ncbi.nlm.nih.gov/genomes/all/GCA/024/205/745/GCA_024205745.1_ASM2420574v1</t>
  </si>
  <si>
    <t>GCA_024205785.1</t>
  </si>
  <si>
    <t>HP0069</t>
  </si>
  <si>
    <t>https://ftp.ncbi.nlm.nih.gov/genomes/all/GCA/024/205/785/GCA_024205785.1_ASM2420578v1</t>
  </si>
  <si>
    <t>GCA_024220095.1</t>
  </si>
  <si>
    <t>SSMR1</t>
  </si>
  <si>
    <t>https://ftp.ncbi.nlm.nih.gov/genomes/all/GCA/024/220/095/GCA_024220095.1_ASM2422009v1</t>
  </si>
  <si>
    <t>GCA_024294625.1</t>
  </si>
  <si>
    <t>CF8_Ac3-4</t>
  </si>
  <si>
    <t>https://ftp.ncbi.nlm.nih.gov/genomes/all/GCA/024/294/625/GCA_024294625.1_ASM2429462v1</t>
  </si>
  <si>
    <t>GCA_024294705.1</t>
  </si>
  <si>
    <t>CF9-1</t>
  </si>
  <si>
    <t>https://ftp.ncbi.nlm.nih.gov/genomes/all/GCA/024/294/705/GCA_024294705.1_ASM2429470v1</t>
  </si>
  <si>
    <t>GCA_024294725.1</t>
  </si>
  <si>
    <t>CF8_Ac3-6</t>
  </si>
  <si>
    <t>https://ftp.ncbi.nlm.nih.gov/genomes/all/GCA/024/294/725/GCA_024294725.1_ASM2429472v1</t>
  </si>
  <si>
    <t>GCA_024294745.1</t>
  </si>
  <si>
    <t>CF9-3</t>
  </si>
  <si>
    <t>https://ftp.ncbi.nlm.nih.gov/genomes/all/GCA/024/294/745/GCA_024294745.1_ASM2429474v1</t>
  </si>
  <si>
    <t>GCA_024295365.1</t>
  </si>
  <si>
    <t>CF8_Ac2-6</t>
  </si>
  <si>
    <t>https://ftp.ncbi.nlm.nih.gov/genomes/all/GCA/024/295/365/GCA_024295365.1_ASM2429536v1</t>
  </si>
  <si>
    <t>GCA_024295385.1</t>
  </si>
  <si>
    <t>CF4-3</t>
  </si>
  <si>
    <t>https://ftp.ncbi.nlm.nih.gov/genomes/all/GCA/024/295/385/GCA_024295385.1_ASM2429538v1</t>
  </si>
  <si>
    <t>GCA_024295425.1</t>
  </si>
  <si>
    <t>CF7_Ac2-6</t>
  </si>
  <si>
    <t>https://ftp.ncbi.nlm.nih.gov/genomes/all/GCA/024/295/425/GCA_024295425.1_ASM2429542v1</t>
  </si>
  <si>
    <t>GCA_024295485.1</t>
  </si>
  <si>
    <t>CF7_Ac3-15</t>
  </si>
  <si>
    <t>https://ftp.ncbi.nlm.nih.gov/genomes/all/GCA/024/295/485/GCA_024295485.1_ASM2429548v1</t>
  </si>
  <si>
    <t>GCA_024295505.1</t>
  </si>
  <si>
    <t>CF8_Ac2-1</t>
  </si>
  <si>
    <t>https://ftp.ncbi.nlm.nih.gov/genomes/all/GCA/024/295/505/GCA_024295505.1_ASM2429550v1</t>
  </si>
  <si>
    <t>GCA_024295525.1</t>
  </si>
  <si>
    <t>CF7-4</t>
  </si>
  <si>
    <t>https://ftp.ncbi.nlm.nih.gov/genomes/all/GCA/024/295/525/GCA_024295525.1_ASM2429552v1</t>
  </si>
  <si>
    <t>GCA_024295545.1</t>
  </si>
  <si>
    <t>CF7_Ac1-10</t>
  </si>
  <si>
    <t>https://ftp.ncbi.nlm.nih.gov/genomes/all/GCA/024/295/545/GCA_024295545.1_ASM2429554v1</t>
  </si>
  <si>
    <t>GCA_024295565.1</t>
  </si>
  <si>
    <t>CF8_Ac1-9</t>
  </si>
  <si>
    <t>https://ftp.ncbi.nlm.nih.gov/genomes/all/GCA/024/295/565/GCA_024295565.1_ASM2429556v1</t>
  </si>
  <si>
    <t>GCA_024295585.1</t>
  </si>
  <si>
    <t>CF8_Ac3-14</t>
  </si>
  <si>
    <t>https://ftp.ncbi.nlm.nih.gov/genomes/all/GCA/024/295/585/GCA_024295585.1_ASM2429558v1</t>
  </si>
  <si>
    <t>GCA_024295605.1</t>
  </si>
  <si>
    <t>CF7_Ac3-11</t>
  </si>
  <si>
    <t>https://ftp.ncbi.nlm.nih.gov/genomes/all/GCA/024/295/605/GCA_024295605.1_ASM2429560v1</t>
  </si>
  <si>
    <t>GCA_024295645.1</t>
  </si>
  <si>
    <t>CF7-6</t>
  </si>
  <si>
    <t>https://ftp.ncbi.nlm.nih.gov/genomes/all/GCA/024/295/645/GCA_024295645.1_ASM2429564v1</t>
  </si>
  <si>
    <t>GCA_024295665.1</t>
  </si>
  <si>
    <t>CF8_St5-17</t>
  </si>
  <si>
    <t>https://ftp.ncbi.nlm.nih.gov/genomes/all/GCA/024/295/665/GCA_024295665.1_ASM2429566v1</t>
  </si>
  <si>
    <t>GCA_024295685.1</t>
  </si>
  <si>
    <t>CF7_Ac3-8</t>
  </si>
  <si>
    <t>https://ftp.ncbi.nlm.nih.gov/genomes/all/GCA/024/295/685/GCA_024295685.1_ASM2429568v1</t>
  </si>
  <si>
    <t>GCA_024295705.1</t>
  </si>
  <si>
    <t>CF8_Ac1-10</t>
  </si>
  <si>
    <t>https://ftp.ncbi.nlm.nih.gov/genomes/all/GCA/024/295/705/GCA_024295705.1_ASM2429570v1</t>
  </si>
  <si>
    <t>GCA_024295715.1</t>
  </si>
  <si>
    <t>CF8_Ac2-3</t>
  </si>
  <si>
    <t>https://ftp.ncbi.nlm.nih.gov/genomes/all/GCA/024/295/715/GCA_024295715.1_ASM2429571v1</t>
  </si>
  <si>
    <t>GCA_024295745.1</t>
  </si>
  <si>
    <t>CF8_Ac3-15</t>
  </si>
  <si>
    <t>https://ftp.ncbi.nlm.nih.gov/genomes/all/GCA/024/295/745/GCA_024295745.1_ASM2429574v1</t>
  </si>
  <si>
    <t>GCA_024295765.1</t>
  </si>
  <si>
    <t>CF8_Ac2-5</t>
  </si>
  <si>
    <t>https://ftp.ncbi.nlm.nih.gov/genomes/all/GCA/024/295/765/GCA_024295765.1_ASM2429576v1</t>
  </si>
  <si>
    <t>GCA_024295785.1</t>
  </si>
  <si>
    <t>CF10-6</t>
  </si>
  <si>
    <t>https://ftp.ncbi.nlm.nih.gov/genomes/all/GCA/024/295/785/GCA_024295785.1_ASM2429578v1</t>
  </si>
  <si>
    <t>GCA_024295845.1</t>
  </si>
  <si>
    <t>CF8-6</t>
  </si>
  <si>
    <t>https://ftp.ncbi.nlm.nih.gov/genomes/all/GCA/024/295/845/GCA_024295845.1_ASM2429584v1</t>
  </si>
  <si>
    <t>GCA_024295855.1</t>
  </si>
  <si>
    <t>CF8_Ac2-4</t>
  </si>
  <si>
    <t>https://ftp.ncbi.nlm.nih.gov/genomes/all/GCA/024/295/855/GCA_024295855.1_ASM2429585v1</t>
  </si>
  <si>
    <t>GCA_024295885.1</t>
  </si>
  <si>
    <t>CF8_Ac1-8</t>
  </si>
  <si>
    <t>https://ftp.ncbi.nlm.nih.gov/genomes/all/GCA/024/295/885/GCA_024295885.1_ASM2429588v1</t>
  </si>
  <si>
    <t>GCA_024295925.1</t>
  </si>
  <si>
    <t>CF7-3</t>
  </si>
  <si>
    <t>https://ftp.ncbi.nlm.nih.gov/genomes/all/GCA/024/295/925/GCA_024295925.1_ASM2429592v1</t>
  </si>
  <si>
    <t>GCA_024295945.1</t>
  </si>
  <si>
    <t>CF7_Ac2-11</t>
  </si>
  <si>
    <t>https://ftp.ncbi.nlm.nih.gov/genomes/all/GCA/024/295/945/GCA_024295945.1_ASM2429594v1</t>
  </si>
  <si>
    <t>GCA_024295965.1</t>
  </si>
  <si>
    <t>CF7_Ac3-14</t>
  </si>
  <si>
    <t>https://ftp.ncbi.nlm.nih.gov/genomes/all/GCA/024/295/965/GCA_024295965.1_ASM2429596v1</t>
  </si>
  <si>
    <t>GCA_024295985.1</t>
  </si>
  <si>
    <t>CF4-2</t>
  </si>
  <si>
    <t>https://ftp.ncbi.nlm.nih.gov/genomes/all/GCA/024/295/985/GCA_024295985.1_ASM2429598v1</t>
  </si>
  <si>
    <t>GCA_024296005.1</t>
  </si>
  <si>
    <t>CF7_Ac2-13</t>
  </si>
  <si>
    <t>https://ftp.ncbi.nlm.nih.gov/genomes/all/GCA/024/296/005/GCA_024296005.1_ASM2429600v1</t>
  </si>
  <si>
    <t>GCA_024296025.1</t>
  </si>
  <si>
    <t>CF8_Ac3-3</t>
  </si>
  <si>
    <t>https://ftp.ncbi.nlm.nih.gov/genomes/all/GCA/024/296/025/GCA_024296025.1_ASM2429602v1</t>
  </si>
  <si>
    <t>GCA_024296065.1</t>
  </si>
  <si>
    <t>CF7-5</t>
  </si>
  <si>
    <t>https://ftp.ncbi.nlm.nih.gov/genomes/all/GCA/024/296/065/GCA_024296065.1_ASM2429606v1</t>
  </si>
  <si>
    <t>HF2130</t>
  </si>
  <si>
    <t>https://ftp.ncbi.nlm.nih.gov/genomes/all/GCA/024/329/925/GCA_024329925.1_ASM2432992v1</t>
  </si>
  <si>
    <t>HF2112</t>
  </si>
  <si>
    <t>https://ftp.ncbi.nlm.nih.gov/genomes/all/GCA/024/330/295/GCA_024330295.1_ASM2433029v1</t>
  </si>
  <si>
    <t>HF2107</t>
  </si>
  <si>
    <t>https://ftp.ncbi.nlm.nih.gov/genomes/all/GCA/024/330/365/GCA_024330365.1_ASM2433036v1</t>
  </si>
  <si>
    <t>HF2100</t>
  </si>
  <si>
    <t>https://ftp.ncbi.nlm.nih.gov/genomes/all/GCA/024/330/435/GCA_024330435.1_ASM2433043v1</t>
  </si>
  <si>
    <t>HF2128</t>
  </si>
  <si>
    <t>https://ftp.ncbi.nlm.nih.gov/genomes/all/GCA/024/330/665/GCA_024330665.1_ASM2433066v1</t>
  </si>
  <si>
    <t>HF2117</t>
  </si>
  <si>
    <t>https://ftp.ncbi.nlm.nih.gov/genomes/all/GCA/024/330/875/GCA_024330875.1_ASM2433087v1</t>
  </si>
  <si>
    <t>HF2119</t>
  </si>
  <si>
    <t>https://ftp.ncbi.nlm.nih.gov/genomes/all/GCA/024/330/905/GCA_024330905.1_ASM2433090v1</t>
  </si>
  <si>
    <t>GCA_024384655.1</t>
  </si>
  <si>
    <t>MRSN940243</t>
  </si>
  <si>
    <t>https://ftp.ncbi.nlm.nih.gov/genomes/all/GCA/024/384/655/GCA_024384655.1_ASM2438465v1</t>
  </si>
  <si>
    <t>GCA_024399395.1</t>
  </si>
  <si>
    <t>TCV107</t>
  </si>
  <si>
    <t>https://ftp.ncbi.nlm.nih.gov/genomes/all/GCA/024/399/395/GCA_024399395.1_ASM2439939v1</t>
  </si>
  <si>
    <t>GCA_024399415.1</t>
  </si>
  <si>
    <t>CCUG 53468</t>
  </si>
  <si>
    <t>https://ftp.ncbi.nlm.nih.gov/genomes/all/GCA/024/399/415/GCA_024399415.1_ASM2439941v1</t>
  </si>
  <si>
    <t>GCA_024400855.1</t>
  </si>
  <si>
    <t>OMZ 847</t>
  </si>
  <si>
    <t>https://ftp.ncbi.nlm.nih.gov/genomes/all/GCA/024/400/855/GCA_024400855.1_ASM2440085v1</t>
  </si>
  <si>
    <t>GCA_024401005.1</t>
  </si>
  <si>
    <t>OMZ 846</t>
  </si>
  <si>
    <t>https://ftp.ncbi.nlm.nih.gov/genomes/all/GCA/024/401/005/GCA_024401005.1_ASM2440100v1</t>
  </si>
  <si>
    <t>GCA_024401155.1</t>
  </si>
  <si>
    <t>OMZ 835</t>
  </si>
  <si>
    <t>https://ftp.ncbi.nlm.nih.gov/genomes/all/GCA/024/401/155/GCA_024401155.1_ASM2440115v1</t>
  </si>
  <si>
    <t>GCA_024461815.1</t>
  </si>
  <si>
    <t>DFI.7.86</t>
  </si>
  <si>
    <t>https://ftp.ncbi.nlm.nih.gov/genomes/all/GCA/024/461/815/GCA_024461815.1_ASM2446181v1</t>
  </si>
  <si>
    <t>GCA_024462405.1</t>
  </si>
  <si>
    <t>DFI.6.34</t>
  </si>
  <si>
    <t>https://ftp.ncbi.nlm.nih.gov/genomes/all/GCA/024/462/405/GCA_024462405.1_ASM2446240v1</t>
  </si>
  <si>
    <t>GCA_024462435.1</t>
  </si>
  <si>
    <t>DFI.6.33</t>
  </si>
  <si>
    <t>https://ftp.ncbi.nlm.nih.gov/genomes/all/GCA/024/462/435/GCA_024462435.1_ASM2446243v1</t>
  </si>
  <si>
    <t>GCA_024462625.1</t>
  </si>
  <si>
    <t>DFI.6.114</t>
  </si>
  <si>
    <t>https://ftp.ncbi.nlm.nih.gov/genomes/all/GCA/024/462/625/GCA_024462625.1_ASM2446262v1</t>
  </si>
  <si>
    <t>GCA_024462755.1</t>
  </si>
  <si>
    <t>DFI.6.106</t>
  </si>
  <si>
    <t>https://ftp.ncbi.nlm.nih.gov/genomes/all/GCA/024/462/755/GCA_024462755.1_ASM2446275v1</t>
  </si>
  <si>
    <t>GCA_024463135.1</t>
  </si>
  <si>
    <t>DFI.4.46</t>
  </si>
  <si>
    <t>https://ftp.ncbi.nlm.nih.gov/genomes/all/GCA/024/463/135/GCA_024463135.1_ASM2446313v1</t>
  </si>
  <si>
    <t>GCA_024463955.1</t>
  </si>
  <si>
    <t>DFI.1.137</t>
  </si>
  <si>
    <t>https://ftp.ncbi.nlm.nih.gov/genomes/all/GCA/024/463/955/GCA_024463955.1_ASM2446395v1</t>
  </si>
  <si>
    <t>GCA_024496285.1</t>
  </si>
  <si>
    <t>C11</t>
  </si>
  <si>
    <t>https://ftp.ncbi.nlm.nih.gov/genomes/all/GCA/024/496/285/GCA_024496285.1_ASM2449628v1</t>
  </si>
  <si>
    <t>GCA_024498415.1</t>
  </si>
  <si>
    <t>https://ftp.ncbi.nlm.nih.gov/genomes/all/GCA/024/498/415/GCA_024498415.1_ASM2449841v1</t>
  </si>
  <si>
    <t>GCA_024539755.1</t>
  </si>
  <si>
    <t>VH6958</t>
  </si>
  <si>
    <t>https://ftp.ncbi.nlm.nih.gov/genomes/all/GCA/024/539/755/GCA_024539755.1_ASM2453975v1</t>
  </si>
  <si>
    <t>GCA_024539775.1</t>
  </si>
  <si>
    <t>VH4147_3</t>
  </si>
  <si>
    <t>https://ftp.ncbi.nlm.nih.gov/genomes/all/GCA/024/539/775/GCA_024539775.1_ASM2453977v1</t>
  </si>
  <si>
    <t>GCA_024539835.1</t>
  </si>
  <si>
    <t>VH4147_1</t>
  </si>
  <si>
    <t>https://ftp.ncbi.nlm.nih.gov/genomes/all/GCA/024/539/835/GCA_024539835.1_ASM2453983v1</t>
  </si>
  <si>
    <t>GCA_024539855.1</t>
  </si>
  <si>
    <t>VH2077</t>
  </si>
  <si>
    <t>https://ftp.ncbi.nlm.nih.gov/genomes/all/GCA/024/539/855/GCA_024539855.1_ASM2453985v1</t>
  </si>
  <si>
    <t>GCA_024539915.1</t>
  </si>
  <si>
    <t>VH1773</t>
  </si>
  <si>
    <t>https://ftp.ncbi.nlm.nih.gov/genomes/all/GCA/024/539/915/GCA_024539915.1_ASM2453991v1</t>
  </si>
  <si>
    <t>GCA_024539935.1</t>
  </si>
  <si>
    <t>VH2225</t>
  </si>
  <si>
    <t>https://ftp.ncbi.nlm.nih.gov/genomes/all/GCA/024/539/935/GCA_024539935.1_ASM2453993v1</t>
  </si>
  <si>
    <t>GCA_024579795.1</t>
  </si>
  <si>
    <t>JF3A-4253</t>
  </si>
  <si>
    <t>https://ftp.ncbi.nlm.nih.gov/genomes/all/GCA/024/579/795/GCA_024579795.1_ASM2457979v1</t>
  </si>
  <si>
    <t>GCA_024584435.1</t>
  </si>
  <si>
    <t>KHUD_008</t>
  </si>
  <si>
    <t>https://ftp.ncbi.nlm.nih.gov/genomes/all/GCA/024/584/435/GCA_024584435.1_ASM2458443v1</t>
  </si>
  <si>
    <t>GCA_024586465.1</t>
  </si>
  <si>
    <t>706569/1</t>
  </si>
  <si>
    <t>https://ftp.ncbi.nlm.nih.gov/genomes/all/GCA/024/586/465/GCA_024586465.1_ASM2458646v1</t>
  </si>
  <si>
    <t>GCA_024586525.1</t>
  </si>
  <si>
    <t>BF-R-2</t>
  </si>
  <si>
    <t>https://ftp.ncbi.nlm.nih.gov/genomes/all/GCA/024/586/525/GCA_024586525.1_ASM2458652v1</t>
  </si>
  <si>
    <t>GSH2021</t>
  </si>
  <si>
    <t>https://ftp.ncbi.nlm.nih.gov/genomes/all/GCA/024/592/595/GCA_024592595.1_ASM2459259v1</t>
  </si>
  <si>
    <t>GCA_024600575.1</t>
  </si>
  <si>
    <t>N3009-2YT</t>
  </si>
  <si>
    <t>https://ftp.ncbi.nlm.nih.gov/genomes/all/GCA/024/600/575/GCA_024600575.1_ASM2460057v1</t>
  </si>
  <si>
    <t>GCA_024655665.1</t>
  </si>
  <si>
    <t>53.2.14</t>
  </si>
  <si>
    <t>https://ftp.ncbi.nlm.nih.gov/genomes/all/GCA/024/655/665/GCA_024655665.1_ASM2465566v1</t>
  </si>
  <si>
    <t>GCA_024655805.1</t>
  </si>
  <si>
    <t>49.2.7</t>
  </si>
  <si>
    <t>https://ftp.ncbi.nlm.nih.gov/genomes/all/GCA/024/655/805/GCA_024655805.1_ASM2465580v1</t>
  </si>
  <si>
    <t>GCA_024665075.1</t>
  </si>
  <si>
    <t>LA-2</t>
  </si>
  <si>
    <t>https://ftp.ncbi.nlm.nih.gov/genomes/all/GCA/024/665/075/GCA_024665075.1_ASM2466507v1</t>
  </si>
  <si>
    <t>GCA_024665435.1</t>
  </si>
  <si>
    <t>BIF195</t>
  </si>
  <si>
    <t>https://ftp.ncbi.nlm.nih.gov/genomes/all/GCA/024/665/435/GCA_024665435.1_ASM2466543v1</t>
  </si>
  <si>
    <t>GCA_024668655.2</t>
  </si>
  <si>
    <t>https://ftp.ncbi.nlm.nih.gov/genomes/all/GCA/024/668/655/GCA_024668655.2_ASM2466865v2</t>
  </si>
  <si>
    <t>GCA_024668745.2</t>
  </si>
  <si>
    <t>https://ftp.ncbi.nlm.nih.gov/genomes/all/GCA/024/668/745/GCA_024668745.2_ASM2466874v2</t>
  </si>
  <si>
    <t>GCA_024668785.2</t>
  </si>
  <si>
    <t>https://ftp.ncbi.nlm.nih.gov/genomes/all/GCA/024/668/785/GCA_024668785.2_ASM2466878v2</t>
  </si>
  <si>
    <t>GCA_024668805.2</t>
  </si>
  <si>
    <t>https://ftp.ncbi.nlm.nih.gov/genomes/all/GCA/024/668/805/GCA_024668805.2_ASM2466880v2</t>
  </si>
  <si>
    <t>GCA_024677885.1</t>
  </si>
  <si>
    <t>Ds1651</t>
  </si>
  <si>
    <t>https://ftp.ncbi.nlm.nih.gov/genomes/all/GCA/024/677/885/GCA_024677885.1_ASM2467788v1</t>
  </si>
  <si>
    <t>GCA_024677965.1</t>
  </si>
  <si>
    <t>25R</t>
  </si>
  <si>
    <t>https://ftp.ncbi.nlm.nih.gov/genomes/all/GCA/024/677/965/GCA_024677965.1_ASM2467796v1</t>
  </si>
  <si>
    <t>GCA_024677985.1</t>
  </si>
  <si>
    <t>20R</t>
  </si>
  <si>
    <t>https://ftp.ncbi.nlm.nih.gov/genomes/all/GCA/024/677/985/GCA_024677985.1_ASM2467798v1</t>
  </si>
  <si>
    <t>GCA_024678005.1</t>
  </si>
  <si>
    <t>7R</t>
  </si>
  <si>
    <t>https://ftp.ncbi.nlm.nih.gov/genomes/all/GCA/024/678/005/GCA_024678005.1_ASM2467800v1</t>
  </si>
  <si>
    <t>GCA_024678025.1</t>
  </si>
  <si>
    <t>8R</t>
  </si>
  <si>
    <t>https://ftp.ncbi.nlm.nih.gov/genomes/all/GCA/024/678/025/GCA_024678025.1_ASM2467802v1</t>
  </si>
  <si>
    <t>GCA_024678085.1</t>
  </si>
  <si>
    <t>3R</t>
  </si>
  <si>
    <t>https://ftp.ncbi.nlm.nih.gov/genomes/all/GCA/024/678/085/GCA_024678085.1_ASM2467808v1</t>
  </si>
  <si>
    <t>GCA_024678105.1</t>
  </si>
  <si>
    <t>2R</t>
  </si>
  <si>
    <t>https://ftp.ncbi.nlm.nih.gov/genomes/all/GCA/024/678/105/GCA_024678105.1_ASM2467810v1</t>
  </si>
  <si>
    <t>GCA_024709665.1</t>
  </si>
  <si>
    <t>RC343_metabat.bin.48</t>
  </si>
  <si>
    <t>https://ftp.ncbi.nlm.nih.gov/genomes/all/GCA/024/709/665/GCA_024709665.1_ASM2470966v1</t>
  </si>
  <si>
    <t>GCA_024711385.1</t>
  </si>
  <si>
    <t>RXF3_metabat.bin.1</t>
  </si>
  <si>
    <t>https://ftp.ncbi.nlm.nih.gov/genomes/all/GCA/024/711/385/GCA_024711385.1_ASM2471138v1</t>
  </si>
  <si>
    <t>GCA_024717335.1</t>
  </si>
  <si>
    <t>VHProbi M56</t>
  </si>
  <si>
    <t>https://ftp.ncbi.nlm.nih.gov/genomes/all/GCA/024/717/335/GCA_024717335.1_ASM2471733v1</t>
  </si>
  <si>
    <t>GCA_024722415.1</t>
  </si>
  <si>
    <t>4M</t>
  </si>
  <si>
    <t>https://ftp.ncbi.nlm.nih.gov/genomes/all/GCA/024/722/415/GCA_024722415.1_ASM2472241v1</t>
  </si>
  <si>
    <t>GCA_024730685.1</t>
  </si>
  <si>
    <t>27R</t>
  </si>
  <si>
    <t>https://ftp.ncbi.nlm.nih.gov/genomes/all/GCA/024/730/685/GCA_024730685.1_ASM2473068v1</t>
  </si>
  <si>
    <t>GCA_024730705.1</t>
  </si>
  <si>
    <t>16R</t>
  </si>
  <si>
    <t>https://ftp.ncbi.nlm.nih.gov/genomes/all/GCA/024/730/705/GCA_024730705.1_ASM2473070v1</t>
  </si>
  <si>
    <t>GCA_024730725.1</t>
  </si>
  <si>
    <t>14R</t>
  </si>
  <si>
    <t>https://ftp.ncbi.nlm.nih.gov/genomes/all/GCA/024/730/725/GCA_024730725.1_ASM2473072v1</t>
  </si>
  <si>
    <t>GCA_024730745.1</t>
  </si>
  <si>
    <t>9R</t>
  </si>
  <si>
    <t>https://ftp.ncbi.nlm.nih.gov/genomes/all/GCA/024/730/745/GCA_024730745.1_ASM2473074v1</t>
  </si>
  <si>
    <t>BFG-626</t>
  </si>
  <si>
    <t>https://ftp.ncbi.nlm.nih.gov/genomes/all/GCA/024/758/205/GCA_024758205.1_ASM2475820v1</t>
  </si>
  <si>
    <t>BFG-244</t>
  </si>
  <si>
    <t>https://ftp.ncbi.nlm.nih.gov/genomes/all/GCA/024/758/245/GCA_024758245.1_ASM2475824v1</t>
  </si>
  <si>
    <t>BFG-464</t>
  </si>
  <si>
    <t>https://ftp.ncbi.nlm.nih.gov/genomes/all/GCA/024/758/285/GCA_024758285.1_ASM2475828v1</t>
  </si>
  <si>
    <t>BFG-514</t>
  </si>
  <si>
    <t>https://ftp.ncbi.nlm.nih.gov/genomes/all/GCA/024/758/345/GCA_024758345.1_ASM2475834v1</t>
  </si>
  <si>
    <t>BFG-129</t>
  </si>
  <si>
    <t>https://ftp.ncbi.nlm.nih.gov/genomes/all/GCA/024/758/405/GCA_024758405.1_ASM2475840v1</t>
  </si>
  <si>
    <t>BFG-101</t>
  </si>
  <si>
    <t>https://ftp.ncbi.nlm.nih.gov/genomes/all/GCA/024/758/425/GCA_024758425.1_ASM2475842v1</t>
  </si>
  <si>
    <t>GCA_024758685.1</t>
  </si>
  <si>
    <t>EV76-CN</t>
  </si>
  <si>
    <t>https://ftp.ncbi.nlm.nih.gov/genomes/all/GCA/024/758/685/GCA_024758685.1_ASM2475868v1</t>
  </si>
  <si>
    <t>BFG-169</t>
  </si>
  <si>
    <t>https://ftp.ncbi.nlm.nih.gov/genomes/all/GCA/024/758/865/GCA_024758865.1_ASM2475886v1</t>
  </si>
  <si>
    <t>BFG-109</t>
  </si>
  <si>
    <t>https://ftp.ncbi.nlm.nih.gov/genomes/all/GCA/024/758/905/GCA_024758905.1_ASM2475890v1</t>
  </si>
  <si>
    <t>BFG-465</t>
  </si>
  <si>
    <t>https://ftp.ncbi.nlm.nih.gov/genomes/all/GCA/024/758/985/GCA_024758985.1_ASM2475898v1</t>
  </si>
  <si>
    <t>BFG-104</t>
  </si>
  <si>
    <t>https://ftp.ncbi.nlm.nih.gov/genomes/all/GCA/024/759/085/GCA_024759085.1_ASM2475908v1</t>
  </si>
  <si>
    <t>BFG-319</t>
  </si>
  <si>
    <t>https://ftp.ncbi.nlm.nih.gov/genomes/all/GCA/024/759/125/GCA_024759125.1_ASM2475912v1</t>
  </si>
  <si>
    <t>BFG-498</t>
  </si>
  <si>
    <t>https://ftp.ncbi.nlm.nih.gov/genomes/all/GCA/024/759/265/GCA_024759265.1_ASM2475926v1</t>
  </si>
  <si>
    <t>BFG-474</t>
  </si>
  <si>
    <t>https://ftp.ncbi.nlm.nih.gov/genomes/all/GCA/024/759/505/GCA_024759505.1_ASM2475950v1</t>
  </si>
  <si>
    <t>BFG-201</t>
  </si>
  <si>
    <t>https://ftp.ncbi.nlm.nih.gov/genomes/all/GCA/024/759/565/GCA_024759565.1_ASM2475956v1</t>
  </si>
  <si>
    <t>BFG-566</t>
  </si>
  <si>
    <t>https://ftp.ncbi.nlm.nih.gov/genomes/all/GCA/024/759/865/GCA_024759865.1_ASM2475986v1</t>
  </si>
  <si>
    <t>GCA_024762155.1</t>
  </si>
  <si>
    <t>UA-159</t>
  </si>
  <si>
    <t>https://ftp.ncbi.nlm.nih.gov/genomes/all/GCA/024/762/155/GCA_024762155.1_ASM2476215v1</t>
  </si>
  <si>
    <t>GCA_024762175.1</t>
  </si>
  <si>
    <t>COCC33-14R</t>
  </si>
  <si>
    <t>https://ftp.ncbi.nlm.nih.gov/genomes/all/GCA/024/762/175/GCA_024762175.1_ASM2476217v1</t>
  </si>
  <si>
    <t>GCA_024762195.1</t>
  </si>
  <si>
    <t>COCC33-14</t>
  </si>
  <si>
    <t>https://ftp.ncbi.nlm.nih.gov/genomes/all/GCA/024/762/195/GCA_024762195.1_ASM2476219v1</t>
  </si>
  <si>
    <t>BFG-146</t>
  </si>
  <si>
    <t>https://ftp.ncbi.nlm.nih.gov/genomes/all/GCA/024/787/025/GCA_024787025.1_ASM2478702v1</t>
  </si>
  <si>
    <t>BFG-254</t>
  </si>
  <si>
    <t>https://ftp.ncbi.nlm.nih.gov/genomes/all/GCA/024/787/725/GCA_024787725.1_ASM2478772v1</t>
  </si>
  <si>
    <t>BFG-213</t>
  </si>
  <si>
    <t>https://ftp.ncbi.nlm.nih.gov/genomes/all/GCA/024/788/785/GCA_024788785.1_ASM2478878v1</t>
  </si>
  <si>
    <t>BFG-350</t>
  </si>
  <si>
    <t>https://ftp.ncbi.nlm.nih.gov/genomes/all/GCA/024/789/025/GCA_024789025.1_ASM2478902v1</t>
  </si>
  <si>
    <t>BFG-194</t>
  </si>
  <si>
    <t>https://ftp.ncbi.nlm.nih.gov/genomes/all/GCA/024/790/365/GCA_024790365.1_ASM2479036v1</t>
  </si>
  <si>
    <t>BFG-550</t>
  </si>
  <si>
    <t>https://ftp.ncbi.nlm.nih.gov/genomes/all/GCA/024/791/515/GCA_024791515.1_ASM2479151v1</t>
  </si>
  <si>
    <t>BFG-429</t>
  </si>
  <si>
    <t>https://ftp.ncbi.nlm.nih.gov/genomes/all/GCA/024/792/005/GCA_024792005.1_ASM2479200v1</t>
  </si>
  <si>
    <t>BFG-382</t>
  </si>
  <si>
    <t>https://ftp.ncbi.nlm.nih.gov/genomes/all/GCA/024/792/395/GCA_024792395.1_ASM2479239v1</t>
  </si>
  <si>
    <t>BFG-289</t>
  </si>
  <si>
    <t>https://ftp.ncbi.nlm.nih.gov/genomes/all/GCA/024/792/655/GCA_024792655.1_ASM2479265v1</t>
  </si>
  <si>
    <t>BFG-407</t>
  </si>
  <si>
    <t>https://ftp.ncbi.nlm.nih.gov/genomes/all/GCA/024/793/125/GCA_024793125.1_ASM2479312v1</t>
  </si>
  <si>
    <t>BFG-193</t>
  </si>
  <si>
    <t>https://ftp.ncbi.nlm.nih.gov/genomes/all/GCA/024/793/755/GCA_024793755.1_ASM2479375v1</t>
  </si>
  <si>
    <t>GCA_024799785.1</t>
  </si>
  <si>
    <t>CGMCC 1.17299</t>
  </si>
  <si>
    <t>https://ftp.ncbi.nlm.nih.gov/genomes/all/GCA/024/799/785/GCA_024799785.1_ASM2479978v1</t>
  </si>
  <si>
    <t>GCA_024917115.1</t>
  </si>
  <si>
    <t>https://ftp.ncbi.nlm.nih.gov/genomes/all/GCA/024/917/115/GCA_024917115.1_ASM2491711v1</t>
  </si>
  <si>
    <t>GCA_024968205.1</t>
  </si>
  <si>
    <t>1269/21</t>
  </si>
  <si>
    <t>https://ftp.ncbi.nlm.nih.gov/genomes/all/GCA/024/968/205/GCA_024968205.1_ASM2496820v1</t>
  </si>
  <si>
    <t>GCA_024968285.1</t>
  </si>
  <si>
    <t>49390/20</t>
  </si>
  <si>
    <t>https://ftp.ncbi.nlm.nih.gov/genomes/all/GCA/024/968/285/GCA_024968285.1_ASM2496828v1</t>
  </si>
  <si>
    <t>GCA_024968525.1</t>
  </si>
  <si>
    <t>824/20</t>
  </si>
  <si>
    <t>https://ftp.ncbi.nlm.nih.gov/genomes/all/GCA/024/968/525/GCA_024968525.1_ASM2496852v1</t>
  </si>
  <si>
    <t>GCA_024969465.1</t>
  </si>
  <si>
    <t>5521/17</t>
  </si>
  <si>
    <t>https://ftp.ncbi.nlm.nih.gov/genomes/all/GCA/024/969/465/GCA_024969465.1_ASM2496946v1</t>
  </si>
  <si>
    <t>GCA_025137495.1</t>
  </si>
  <si>
    <t>L1</t>
  </si>
  <si>
    <t>https://ftp.ncbi.nlm.nih.gov/genomes/all/GCA/025/137/495/GCA_025137495.1_ASM2513749v1</t>
  </si>
  <si>
    <t>GCA_025143445.1</t>
  </si>
  <si>
    <t>p3-SID320</t>
  </si>
  <si>
    <t>https://ftp.ncbi.nlm.nih.gov/genomes/all/GCA/025/143/445/GCA_025143445.1_ASM2514344v1</t>
  </si>
  <si>
    <t>GCA_025143865.1</t>
  </si>
  <si>
    <t>p3-SID1327</t>
  </si>
  <si>
    <t>https://ftp.ncbi.nlm.nih.gov/genomes/all/GCA/025/143/865/GCA_025143865.1_ASM2514386v1</t>
  </si>
  <si>
    <t>GCA_025144085.1</t>
  </si>
  <si>
    <t>p3-SID1220</t>
  </si>
  <si>
    <t>https://ftp.ncbi.nlm.nih.gov/genomes/all/GCA/025/144/085/GCA_025144085.1_ASM2514408v1</t>
  </si>
  <si>
    <t>GCA_025144305.1</t>
  </si>
  <si>
    <t>p3-SID1129</t>
  </si>
  <si>
    <t>https://ftp.ncbi.nlm.nih.gov/genomes/all/GCA/025/144/305/GCA_025144305.1_ASM2514430v1</t>
  </si>
  <si>
    <t>GCA_025144565.1</t>
  </si>
  <si>
    <t>HMT-033</t>
  </si>
  <si>
    <t>appendicis</t>
  </si>
  <si>
    <t>p3-SID973</t>
  </si>
  <si>
    <t>https://ftp.ncbi.nlm.nih.gov/genomes/all/GCA/025/144/565/GCA_025144565.1_ASM2514456v1</t>
  </si>
  <si>
    <t>GCA_025144805.1</t>
  </si>
  <si>
    <t>p3-SID955</t>
  </si>
  <si>
    <t>https://ftp.ncbi.nlm.nih.gov/genomes/all/GCA/025/144/805/GCA_025144805.1_ASM2514480v1</t>
  </si>
  <si>
    <t>GCA_025144985.1</t>
  </si>
  <si>
    <t>p3-SID91</t>
  </si>
  <si>
    <t>https://ftp.ncbi.nlm.nih.gov/genomes/all/GCA/025/144/985/GCA_025144985.1_ASM2514498v1</t>
  </si>
  <si>
    <t>GCA_025145255.1</t>
  </si>
  <si>
    <t>p3-SID879</t>
  </si>
  <si>
    <t>https://ftp.ncbi.nlm.nih.gov/genomes/all/GCA/025/145/255/GCA_025145255.1_ASM2514525v1</t>
  </si>
  <si>
    <t>GCA_025145285.1</t>
  </si>
  <si>
    <t>DSM 19147</t>
  </si>
  <si>
    <t>https://ftp.ncbi.nlm.nih.gov/genomes/all/GCA/025/145/285/GCA_025145285.1_ASM2514528v1</t>
  </si>
  <si>
    <t>GCA_025145325.1</t>
  </si>
  <si>
    <t>p3-SID877</t>
  </si>
  <si>
    <t>https://ftp.ncbi.nlm.nih.gov/genomes/all/GCA/025/145/325/GCA_025145325.1_ASM2514532v1</t>
  </si>
  <si>
    <t>GCA_025145625.2</t>
  </si>
  <si>
    <t>p3-SID855</t>
  </si>
  <si>
    <t>https://ftp.ncbi.nlm.nih.gov/genomes/all/GCA/025/145/625/GCA_025145625.2_ASM2514562v2</t>
  </si>
  <si>
    <t>GCA_025145695.1</t>
  </si>
  <si>
    <t>p3-SID856</t>
  </si>
  <si>
    <t>https://ftp.ncbi.nlm.nih.gov/genomes/all/GCA/025/145/695/GCA_025145695.1_ASM2514569v1</t>
  </si>
  <si>
    <t>GCA_025145775.1</t>
  </si>
  <si>
    <t>p3-SID826</t>
  </si>
  <si>
    <t>https://ftp.ncbi.nlm.nih.gov/genomes/all/GCA/025/145/775/GCA_025145775.1_ASM2514577v1</t>
  </si>
  <si>
    <t>GCA_025145845.1</t>
  </si>
  <si>
    <t>WAL 8301</t>
  </si>
  <si>
    <t>https://ftp.ncbi.nlm.nih.gov/genomes/all/GCA/025/145/845/GCA_025145845.1_ASM2514584v1</t>
  </si>
  <si>
    <t>GCA_025145915.1</t>
  </si>
  <si>
    <t>p3-SID800</t>
  </si>
  <si>
    <t>https://ftp.ncbi.nlm.nih.gov/genomes/all/GCA/025/145/915/GCA_025145915.1_ASM2514591v1</t>
  </si>
  <si>
    <t>GCA_025146235.1</t>
  </si>
  <si>
    <t>p3-SID764</t>
  </si>
  <si>
    <t>https://ftp.ncbi.nlm.nih.gov/genomes/all/GCA/025/146/235/GCA_025146235.1_ASM2514623v1</t>
  </si>
  <si>
    <t>https://ftp.ncbi.nlm.nih.gov/genomes/all/GCA/025/146/315/GCA_025146315.1_ASM2514631v1</t>
  </si>
  <si>
    <t>GCA_025146355.1</t>
  </si>
  <si>
    <t>p3-SID763</t>
  </si>
  <si>
    <t>https://ftp.ncbi.nlm.nih.gov/genomes/all/GCA/025/146/355/GCA_025146355.1_ASM2514635v1</t>
  </si>
  <si>
    <t>https://ftp.ncbi.nlm.nih.gov/genomes/all/GCA/025/146/415/GCA_025146415.1_ASM2514641v1</t>
  </si>
  <si>
    <t>GCA_025146485.1</t>
  </si>
  <si>
    <t>p3-SID715</t>
  </si>
  <si>
    <t>https://ftp.ncbi.nlm.nih.gov/genomes/all/GCA/025/146/485/GCA_025146485.1_ASM2514648v1</t>
  </si>
  <si>
    <t>https://ftp.ncbi.nlm.nih.gov/genomes/all/GCA/025/146/775/GCA_025146775.1_ASM2514677v1</t>
  </si>
  <si>
    <t>GCA_025147045.1</t>
  </si>
  <si>
    <t>p3-SID581</t>
  </si>
  <si>
    <t>https://ftp.ncbi.nlm.nih.gov/genomes/all/GCA/025/147/045/GCA_025147045.1_ASM2514704v1</t>
  </si>
  <si>
    <t>GCA_025147145.1</t>
  </si>
  <si>
    <t>p3-SID57</t>
  </si>
  <si>
    <t>https://ftp.ncbi.nlm.nih.gov/genomes/all/GCA/025/147/145/GCA_025147145.1_ASM2514714v1</t>
  </si>
  <si>
    <t>https://ftp.ncbi.nlm.nih.gov/genomes/all/GCA/025/147/325/GCA_025147325.1_ASM2514732v1</t>
  </si>
  <si>
    <t>ATCC 8492</t>
  </si>
  <si>
    <t>https://ftp.ncbi.nlm.nih.gov/genomes/all/GCA/025/147/485/GCA_025147485.1_ASM2514748v1</t>
  </si>
  <si>
    <t>GCA_025147785.1</t>
  </si>
  <si>
    <t>p3-SID296</t>
  </si>
  <si>
    <t>https://ftp.ncbi.nlm.nih.gov/genomes/all/GCA/025/147/785/GCA_025147785.1_ASM2514778v1</t>
  </si>
  <si>
    <t>GCA_025148845.1</t>
  </si>
  <si>
    <t>p3-SID233</t>
  </si>
  <si>
    <t>https://ftp.ncbi.nlm.nih.gov/genomes/all/GCA/025/148/845/GCA_025148845.1_ASM2514884v1</t>
  </si>
  <si>
    <t>GCA_025148875.1</t>
  </si>
  <si>
    <t>p3-SID230</t>
  </si>
  <si>
    <t>https://ftp.ncbi.nlm.nih.gov/genomes/all/GCA/025/148/875/GCA_025148875.1_ASM2514887v1</t>
  </si>
  <si>
    <t>GCA_025149065.1</t>
  </si>
  <si>
    <t>p3-SID207</t>
  </si>
  <si>
    <t>https://ftp.ncbi.nlm.nih.gov/genomes/all/GCA/025/149/065/GCA_025149065.1_ASM2514906v1</t>
  </si>
  <si>
    <t>GCA_025149095.1</t>
  </si>
  <si>
    <t>p3-SID1900</t>
  </si>
  <si>
    <t>https://ftp.ncbi.nlm.nih.gov/genomes/all/GCA/025/149/095/GCA_025149095.1_ASM2514909v1</t>
  </si>
  <si>
    <t>GCA_025149385.1</t>
  </si>
  <si>
    <t>p3-SID1825</t>
  </si>
  <si>
    <t>https://ftp.ncbi.nlm.nih.gov/genomes/all/GCA/025/149/385/GCA_025149385.1_ASM2514938v1</t>
  </si>
  <si>
    <t>GCA_025149405.1</t>
  </si>
  <si>
    <t>p3-SID1823</t>
  </si>
  <si>
    <t>https://ftp.ncbi.nlm.nih.gov/genomes/all/GCA/025/149/405/GCA_025149405.1_ASM2514940v1</t>
  </si>
  <si>
    <t>GCA_025149525.1</t>
  </si>
  <si>
    <t>p3-SID1731</t>
  </si>
  <si>
    <t>https://ftp.ncbi.nlm.nih.gov/genomes/all/GCA/025/149/525/GCA_025149525.1_ASM2514952v1</t>
  </si>
  <si>
    <t>GCA_025149545.1</t>
  </si>
  <si>
    <t>p3-SID1727</t>
  </si>
  <si>
    <t>https://ftp.ncbi.nlm.nih.gov/genomes/all/GCA/025/149/545/GCA_025149545.1_ASM2514954v1</t>
  </si>
  <si>
    <t>GCA_025149585.1</t>
  </si>
  <si>
    <t>p3-SID1710</t>
  </si>
  <si>
    <t>https://ftp.ncbi.nlm.nih.gov/genomes/all/GCA/025/149/585/GCA_025149585.1_ASM2514958v1</t>
  </si>
  <si>
    <t>GCA_025150105.1</t>
  </si>
  <si>
    <t>p3-SID858</t>
  </si>
  <si>
    <t>https://ftp.ncbi.nlm.nih.gov/genomes/all/GCA/025/150/105/GCA_025150105.1_ASM2515010v1</t>
  </si>
  <si>
    <t>GCA_025150455.1</t>
  </si>
  <si>
    <t>p3-SID1786</t>
  </si>
  <si>
    <t>https://ftp.ncbi.nlm.nih.gov/genomes/all/GCA/025/150/455/GCA_025150455.1_ASM2515045v1</t>
  </si>
  <si>
    <t>GCA_025150485.1</t>
  </si>
  <si>
    <t>p3-SID1796</t>
  </si>
  <si>
    <t>https://ftp.ncbi.nlm.nih.gov/genomes/all/GCA/025/150/485/GCA_025150485.1_ASM2515048v1</t>
  </si>
  <si>
    <t>GCA_025150495.1</t>
  </si>
  <si>
    <t>p3-SID1789</t>
  </si>
  <si>
    <t>https://ftp.ncbi.nlm.nih.gov/genomes/all/GCA/025/150/495/GCA_025150495.1_ASM2515049v1</t>
  </si>
  <si>
    <t>GCA_025150565.1</t>
  </si>
  <si>
    <t>https://ftp.ncbi.nlm.nih.gov/genomes/all/GCA/025/150/565/GCA_025150565.1_ASM2515056v1</t>
  </si>
  <si>
    <t>GCA_025150625.1</t>
  </si>
  <si>
    <t>p3-SID1766</t>
  </si>
  <si>
    <t>https://ftp.ncbi.nlm.nih.gov/genomes/all/GCA/025/150/625/GCA_025150625.1_ASM2515062v1</t>
  </si>
  <si>
    <t>GCA_025150635.1</t>
  </si>
  <si>
    <t>p3-SID1770</t>
  </si>
  <si>
    <t>https://ftp.ncbi.nlm.nih.gov/genomes/all/GCA/025/150/635/GCA_025150635.1_ASM2515063v1</t>
  </si>
  <si>
    <t>GCA_025150665.1</t>
  </si>
  <si>
    <t>p3-SID1762</t>
  </si>
  <si>
    <t>https://ftp.ncbi.nlm.nih.gov/genomes/all/GCA/025/150/665/GCA_025150665.1_ASM2515066v1</t>
  </si>
  <si>
    <t>GCA_025150765.1</t>
  </si>
  <si>
    <t>p3-SID1715</t>
  </si>
  <si>
    <t>https://ftp.ncbi.nlm.nih.gov/genomes/all/GCA/025/150/765/GCA_025150765.1_ASM2515076v1</t>
  </si>
  <si>
    <t>GCA_025150805.1</t>
  </si>
  <si>
    <t>p3-SID1692</t>
  </si>
  <si>
    <t>https://ftp.ncbi.nlm.nih.gov/genomes/all/GCA/025/150/805/GCA_025150805.1_ASM2515080v1</t>
  </si>
  <si>
    <t>GCA_025150845.1</t>
  </si>
  <si>
    <t>p3-SID1701</t>
  </si>
  <si>
    <t>https://ftp.ncbi.nlm.nih.gov/genomes/all/GCA/025/150/845/GCA_025150845.1_ASM2515084v1</t>
  </si>
  <si>
    <t>GCA_025150875.1</t>
  </si>
  <si>
    <t>p3-SID1680</t>
  </si>
  <si>
    <t>https://ftp.ncbi.nlm.nih.gov/genomes/all/GCA/025/150/875/GCA_025150875.1_ASM2515087v1</t>
  </si>
  <si>
    <t>GCA_025150985.1</t>
  </si>
  <si>
    <t>p3-SID1646</t>
  </si>
  <si>
    <t>https://ftp.ncbi.nlm.nih.gov/genomes/all/GCA/025/150/985/GCA_025150985.1_ASM2515098v1</t>
  </si>
  <si>
    <t>GCA_025151025.1</t>
  </si>
  <si>
    <t>p3-SID1644</t>
  </si>
  <si>
    <t>https://ftp.ncbi.nlm.nih.gov/genomes/all/GCA/025/151/025/GCA_025151025.1_ASM2515102v1</t>
  </si>
  <si>
    <t>GCA_025151115.1</t>
  </si>
  <si>
    <t>p3-SID1639</t>
  </si>
  <si>
    <t>https://ftp.ncbi.nlm.nih.gov/genomes/all/GCA/025/151/115/GCA_025151115.1_ASM2515111v1</t>
  </si>
  <si>
    <t>ATCC 43184</t>
  </si>
  <si>
    <t>https://ftp.ncbi.nlm.nih.gov/genomes/all/GCA/025/151/215/GCA_025151215.1_ASM2515121v1</t>
  </si>
  <si>
    <t>https://ftp.ncbi.nlm.nih.gov/genomes/all/GCA/025/151/385/GCA_025151385.1_ASM2515138v1</t>
  </si>
  <si>
    <t>GCA_025151445.1</t>
  </si>
  <si>
    <t>p3-SID1570</t>
  </si>
  <si>
    <t>https://ftp.ncbi.nlm.nih.gov/genomes/all/GCA/025/151/445/GCA_025151445.1_ASM2515144v1</t>
  </si>
  <si>
    <t>GCA_025151505.1</t>
  </si>
  <si>
    <t>p3-SID1517</t>
  </si>
  <si>
    <t>https://ftp.ncbi.nlm.nih.gov/genomes/all/GCA/025/151/505/GCA_025151505.1_ASM2515150v1</t>
  </si>
  <si>
    <t>p3-SID1389</t>
  </si>
  <si>
    <t>https://ftp.ncbi.nlm.nih.gov/genomes/all/GCA/025/151/705/GCA_025151705.1_ASM2515170v1</t>
  </si>
  <si>
    <t>GCA_025151765.1</t>
  </si>
  <si>
    <t>p3-SID1379</t>
  </si>
  <si>
    <t>https://ftp.ncbi.nlm.nih.gov/genomes/all/GCA/025/151/765/GCA_025151765.1_ASM2515176v1</t>
  </si>
  <si>
    <t>GCA_025151785.1</t>
  </si>
  <si>
    <t>p3-SID1378</t>
  </si>
  <si>
    <t>https://ftp.ncbi.nlm.nih.gov/genomes/all/GCA/025/151/785/GCA_025151785.1_ASM2515178v1</t>
  </si>
  <si>
    <t>GCA_025151825.1</t>
  </si>
  <si>
    <t>p3-SID1371</t>
  </si>
  <si>
    <t>https://ftp.ncbi.nlm.nih.gov/genomes/all/GCA/025/151/825/GCA_025151825.1_ASM2515182v1</t>
  </si>
  <si>
    <t>GCA_025151925.1</t>
  </si>
  <si>
    <t>p3-SID1377</t>
  </si>
  <si>
    <t>https://ftp.ncbi.nlm.nih.gov/genomes/all/GCA/025/151/925/GCA_025151925.1_ASM2515192v1</t>
  </si>
  <si>
    <t>GCA_025152065.1</t>
  </si>
  <si>
    <t>p3-SID1362</t>
  </si>
  <si>
    <t>https://ftp.ncbi.nlm.nih.gov/genomes/all/GCA/025/152/065/GCA_025152065.1_ASM2515206v1</t>
  </si>
  <si>
    <t>GCA_025152095.1</t>
  </si>
  <si>
    <t>p3-SID1363</t>
  </si>
  <si>
    <t>https://ftp.ncbi.nlm.nih.gov/genomes/all/GCA/025/152/095/GCA_025152095.1_ASM2515209v1</t>
  </si>
  <si>
    <t>GCA_025152445.1</t>
  </si>
  <si>
    <t>p3-SID102</t>
  </si>
  <si>
    <t>https://ftp.ncbi.nlm.nih.gov/genomes/all/GCA/025/152/445/GCA_025152445.1_ASM2515244v1</t>
  </si>
  <si>
    <t>GCA_025166855.1</t>
  </si>
  <si>
    <t>LK1468</t>
  </si>
  <si>
    <t>https://ftp.ncbi.nlm.nih.gov/genomes/all/GCA/025/166/855/GCA_025166855.1_ASM2516685v1</t>
  </si>
  <si>
    <t>GCA_025170155.2</t>
  </si>
  <si>
    <t>https://ftp.ncbi.nlm.nih.gov/genomes/all/GCA/025/170/155/GCA_025170155.2_ASM2517015v2</t>
  </si>
  <si>
    <t>GCA_025170665.2</t>
  </si>
  <si>
    <t>https://ftp.ncbi.nlm.nih.gov/genomes/all/GCA/025/170/665/GCA_025170665.2_ASM2517066v2</t>
  </si>
  <si>
    <t>GCA_025272695.1</t>
  </si>
  <si>
    <t>K1-2-2-23</t>
  </si>
  <si>
    <t>https://ftp.ncbi.nlm.nih.gov/genomes/all/GCA/025/272/695/GCA_025272695.1_ASM2527269v1</t>
  </si>
  <si>
    <t>GCA_025272815.1</t>
  </si>
  <si>
    <t>H17</t>
  </si>
  <si>
    <t>https://ftp.ncbi.nlm.nih.gov/genomes/all/GCA/025/272/815/GCA_025272815.1_ASM2527281v1</t>
  </si>
  <si>
    <t>GCA_025272975.1</t>
  </si>
  <si>
    <t>DSM 20326</t>
  </si>
  <si>
    <t>https://ftp.ncbi.nlm.nih.gov/genomes/all/GCA/025/272/975/GCA_025272975.1_ASM2527297v1</t>
  </si>
  <si>
    <t>GCA_025309775.1</t>
  </si>
  <si>
    <t>WM02</t>
  </si>
  <si>
    <t>https://ftp.ncbi.nlm.nih.gov/genomes/all/GCA/025/309/775/GCA_025309775.1_ASM2530977v1</t>
  </si>
  <si>
    <t>GCA_025311515.1</t>
  </si>
  <si>
    <t>AM_LB9</t>
  </si>
  <si>
    <t>https://ftp.ncbi.nlm.nih.gov/genomes/all/GCA/025/311/515/GCA_025311515.1_ASM2531151v1</t>
  </si>
  <si>
    <t>GCA_025311535.1</t>
  </si>
  <si>
    <t>colR</t>
  </si>
  <si>
    <t>https://ftp.ncbi.nlm.nih.gov/genomes/all/GCA/025/311/535/GCA_025311535.1_ASM2531153v1</t>
  </si>
  <si>
    <t>GCA_025370135.1</t>
  </si>
  <si>
    <t>DSM 31028</t>
  </si>
  <si>
    <t>https://ftp.ncbi.nlm.nih.gov/genomes/all/GCA/025/370/135/GCA_025370135.1_ASM2537013v1</t>
  </si>
  <si>
    <t>GCA_025398675.1</t>
  </si>
  <si>
    <t>H1</t>
  </si>
  <si>
    <t>https://ftp.ncbi.nlm.nih.gov/genomes/all/GCA/025/398/675/GCA_025398675.1_ASM2539867v1</t>
  </si>
  <si>
    <t>GCA_025398895.1</t>
  </si>
  <si>
    <t>HJ.T1</t>
  </si>
  <si>
    <t>https://ftp.ncbi.nlm.nih.gov/genomes/all/GCA/025/398/895/GCA_025398895.1_ASM2539889v1</t>
  </si>
  <si>
    <t>GCA_025398935.1</t>
  </si>
  <si>
    <t>68-1</t>
  </si>
  <si>
    <t>https://ftp.ncbi.nlm.nih.gov/genomes/all/GCA/025/398/935/GCA_025398935.1_ASM2539893v1</t>
  </si>
  <si>
    <t>GCA_025399565.1</t>
  </si>
  <si>
    <t>CY1</t>
  </si>
  <si>
    <t>https://ftp.ncbi.nlm.nih.gov/genomes/all/GCA/025/399/565/GCA_025399565.1_ASM2539956v1</t>
  </si>
  <si>
    <t>GCA_025399595.1</t>
  </si>
  <si>
    <t>CY2</t>
  </si>
  <si>
    <t>https://ftp.ncbi.nlm.nih.gov/genomes/all/GCA/025/399/595/GCA_025399595.1_ASM2539959v1</t>
  </si>
  <si>
    <t>GCA_025447255.1</t>
  </si>
  <si>
    <t>SRCM210362</t>
  </si>
  <si>
    <t>https://ftp.ncbi.nlm.nih.gov/genomes/all/GCA/025/447/255/GCA_025447255.1_ASM2544725v1</t>
  </si>
  <si>
    <t>GCA_025449295.1</t>
  </si>
  <si>
    <t>IDHaas10a</t>
  </si>
  <si>
    <t>https://ftp.ncbi.nlm.nih.gov/genomes/all/GCA/025/449/295/GCA_025449295.1_ASM2544929v1</t>
  </si>
  <si>
    <t>GCA_025558345.1</t>
  </si>
  <si>
    <t>IVB6180</t>
  </si>
  <si>
    <t>https://ftp.ncbi.nlm.nih.gov/genomes/all/GCA/025/558/345/GCA_025558345.1_ASM2555834v1</t>
  </si>
  <si>
    <t>GCA_025558365.1</t>
  </si>
  <si>
    <t>IVB6176</t>
  </si>
  <si>
    <t>https://ftp.ncbi.nlm.nih.gov/genomes/all/GCA/025/558/365/GCA_025558365.1_ASM2555836v1</t>
  </si>
  <si>
    <t>GCA_025558385.1</t>
  </si>
  <si>
    <t>IVB6198</t>
  </si>
  <si>
    <t>https://ftp.ncbi.nlm.nih.gov/genomes/all/GCA/025/558/385/GCA_025558385.1_ASM2555838v1</t>
  </si>
  <si>
    <t>GCA_025558605.1</t>
  </si>
  <si>
    <t>IVB6247</t>
  </si>
  <si>
    <t>https://ftp.ncbi.nlm.nih.gov/genomes/all/GCA/025/558/605/GCA_025558605.1_ASM2555860v1</t>
  </si>
  <si>
    <t>GCA_025558645.1</t>
  </si>
  <si>
    <t>IVB6256</t>
  </si>
  <si>
    <t>https://ftp.ncbi.nlm.nih.gov/genomes/all/GCA/025/558/645/GCA_025558645.1_ASM2555864v1</t>
  </si>
  <si>
    <t>GCA_025558665.1</t>
  </si>
  <si>
    <t>IVB6213</t>
  </si>
  <si>
    <t>https://ftp.ncbi.nlm.nih.gov/genomes/all/GCA/025/558/665/GCA_025558665.1_ASM2555866v1</t>
  </si>
  <si>
    <t>GCA_025558685.1</t>
  </si>
  <si>
    <t>IVB6210</t>
  </si>
  <si>
    <t>https://ftp.ncbi.nlm.nih.gov/genomes/all/GCA/025/558/685/GCA_025558685.1_ASM2555868v1</t>
  </si>
  <si>
    <t>GCA_025558705.1</t>
  </si>
  <si>
    <t>IVB6208</t>
  </si>
  <si>
    <t>https://ftp.ncbi.nlm.nih.gov/genomes/all/GCA/025/558/705/GCA_025558705.1_ASM2555870v1</t>
  </si>
  <si>
    <t>GCA_025558725.1</t>
  </si>
  <si>
    <t>IVB6194</t>
  </si>
  <si>
    <t>https://ftp.ncbi.nlm.nih.gov/genomes/all/GCA/025/558/725/GCA_025558725.1_ASM2555872v1</t>
  </si>
  <si>
    <t>GCA_025559885.1</t>
  </si>
  <si>
    <t>Yol002</t>
  </si>
  <si>
    <t>https://ftp.ncbi.nlm.nih.gov/genomes/all/GCA/025/559/885/GCA_025559885.1_ASM2555988v1</t>
  </si>
  <si>
    <t>GCA_025560305.1</t>
  </si>
  <si>
    <t>Sta002</t>
  </si>
  <si>
    <t>https://ftp.ncbi.nlm.nih.gov/genomes/all/GCA/025/560/305/GCA_025560305.1_ASM2556030v1</t>
  </si>
  <si>
    <t>GCA_025567495.1</t>
  </si>
  <si>
    <t>Sanger_31</t>
  </si>
  <si>
    <t>https://ftp.ncbi.nlm.nih.gov/genomes/all/GCA/025/567/495/GCA_025567495.1_ASM2556749v1</t>
  </si>
  <si>
    <t>GCA_025617355.1</t>
  </si>
  <si>
    <t>CGMCC 1.1788</t>
  </si>
  <si>
    <t>https://ftp.ncbi.nlm.nih.gov/genomes/all/GCA/025/617/355/GCA_025617355.1_ASM2561735v1</t>
  </si>
  <si>
    <t>GCA_025642215.1</t>
  </si>
  <si>
    <t>KHUD_009</t>
  </si>
  <si>
    <t>https://ftp.ncbi.nlm.nih.gov/genomes/all/GCA/025/642/215/GCA_025642215.1_ASM2564221v1</t>
  </si>
  <si>
    <t>GCA_025665255.1</t>
  </si>
  <si>
    <t>NC56</t>
  </si>
  <si>
    <t>https://ftp.ncbi.nlm.nih.gov/genomes/all/GCA/025/665/255/GCA_025665255.1_ASM2566525v1</t>
  </si>
  <si>
    <t>GCA_025665415.1</t>
  </si>
  <si>
    <t>AH6072</t>
  </si>
  <si>
    <t>https://ftp.ncbi.nlm.nih.gov/genomes/all/GCA/025/665/415/GCA_025665415.1_ASM2566541v1</t>
  </si>
  <si>
    <t>GCA_025677785.1</t>
  </si>
  <si>
    <t>GSH01</t>
  </si>
  <si>
    <t>https://ftp.ncbi.nlm.nih.gov/genomes/all/GCA/025/677/785/GCA_025677785.1_ASM2567778v1</t>
  </si>
  <si>
    <t>GCA_025698165.1</t>
  </si>
  <si>
    <t>M17</t>
  </si>
  <si>
    <t>https://ftp.ncbi.nlm.nih.gov/genomes/all/GCA/025/698/165/GCA_025698165.1_ASM2569816v1</t>
  </si>
  <si>
    <t>GCA_025905525.1</t>
  </si>
  <si>
    <t>KCOM 3500</t>
  </si>
  <si>
    <t>https://ftp.ncbi.nlm.nih.gov/genomes/all/GCA/025/905/525/GCA_025905525.1_ASM2590552v1</t>
  </si>
  <si>
    <t>GCA_025908475.1</t>
  </si>
  <si>
    <t>MAB-22</t>
  </si>
  <si>
    <t>https://ftp.ncbi.nlm.nih.gov/genomes/all/GCA/025/908/475/GCA_025908475.1_ASM2590847v1</t>
  </si>
  <si>
    <t>GCA_025908845.1</t>
  </si>
  <si>
    <t>UMB8342</t>
  </si>
  <si>
    <t>https://ftp.ncbi.nlm.nih.gov/genomes/all/GCA/025/908/845/GCA_025908845.1_ASM2590884v1</t>
  </si>
  <si>
    <t>GCA_025908915.1</t>
  </si>
  <si>
    <t>UMB6654</t>
  </si>
  <si>
    <t>https://ftp.ncbi.nlm.nih.gov/genomes/all/GCA/025/908/915/GCA_025908915.1_ASM2590891v1</t>
  </si>
  <si>
    <t>GCA_025909175.1</t>
  </si>
  <si>
    <t>UMB8047</t>
  </si>
  <si>
    <t>https://ftp.ncbi.nlm.nih.gov/genomes/all/GCA/025/909/175/GCA_025909175.1_ASM2590917v1</t>
  </si>
  <si>
    <t>GCA_025909295.1</t>
  </si>
  <si>
    <t>UMB6516</t>
  </si>
  <si>
    <t>https://ftp.ncbi.nlm.nih.gov/genomes/all/GCA/025/909/295/GCA_025909295.1_ASM2590929v1</t>
  </si>
  <si>
    <t>GCA_025909465.1</t>
  </si>
  <si>
    <t>UMB8810</t>
  </si>
  <si>
    <t>https://ftp.ncbi.nlm.nih.gov/genomes/all/GCA/025/909/465/GCA_025909465.1_ASM2590946v1</t>
  </si>
  <si>
    <t>GCA_025948295.1</t>
  </si>
  <si>
    <t>CNRZ385</t>
  </si>
  <si>
    <t>https://ftp.ncbi.nlm.nih.gov/genomes/all/GCA/025/948/295/GCA_025948295.1_ASM2594829v1</t>
  </si>
  <si>
    <t>GCA_026000695.2</t>
  </si>
  <si>
    <t>https://ftp.ncbi.nlm.nih.gov/genomes/all/GCA/026/000/695/GCA_026000695.2_ASM2600069v2</t>
  </si>
  <si>
    <t>KCOM 2191</t>
  </si>
  <si>
    <t>https://ftp.ncbi.nlm.nih.gov/genomes/all/GCA/026/013/785/GCA_026013785.1_ASM2601378v1</t>
  </si>
  <si>
    <t>KCOM 26681</t>
  </si>
  <si>
    <t>https://ftp.ncbi.nlm.nih.gov/genomes/all/GCA/026/013/805/GCA_026013805.1_ASM2601380v1</t>
  </si>
  <si>
    <t>KCOM 28121</t>
  </si>
  <si>
    <t>https://ftp.ncbi.nlm.nih.gov/genomes/all/GCA/026/013/825/GCA_026013825.1_ASM2601382v1</t>
  </si>
  <si>
    <t>GCA_026013845.1</t>
  </si>
  <si>
    <t>KCOM 20461</t>
  </si>
  <si>
    <t>https://ftp.ncbi.nlm.nih.gov/genomes/all/GCA/026/013/845/GCA_026013845.1_ASM2601384v1</t>
  </si>
  <si>
    <t>GCA_026057535.1</t>
  </si>
  <si>
    <t>LMG 21645</t>
  </si>
  <si>
    <t>https://ftp.ncbi.nlm.nih.gov/genomes/all/GCA/026/057/535/GCA_026057535.1_ASM2605753v1</t>
  </si>
  <si>
    <t>GCA_026057715.1</t>
  </si>
  <si>
    <t>https://ftp.ncbi.nlm.nih.gov/genomes/all/GCA/026/057/715/GCA_026057715.1_ASM2605771v1</t>
  </si>
  <si>
    <t>GCA_026057735.1</t>
  </si>
  <si>
    <t>KCOM 3468</t>
  </si>
  <si>
    <t>https://ftp.ncbi.nlm.nih.gov/genomes/all/GCA/026/057/735/GCA_026057735.1_ASM2605773v1</t>
  </si>
  <si>
    <t>GCA_026089295.1</t>
  </si>
  <si>
    <t>DSM 19848</t>
  </si>
  <si>
    <t>https://ftp.ncbi.nlm.nih.gov/genomes/all/GCA/026/089/295/GCA_026089295.1_ASM2608929v1</t>
  </si>
  <si>
    <t>GCA_026094485.1</t>
  </si>
  <si>
    <t>BE7N</t>
  </si>
  <si>
    <t>https://ftp.ncbi.nlm.nih.gov/genomes/all/GCA/026/094/485/GCA_026094485.1_ASM2609448v1</t>
  </si>
  <si>
    <t>GCA_026153315.1</t>
  </si>
  <si>
    <t>CCSM0287</t>
  </si>
  <si>
    <t>https://ftp.ncbi.nlm.nih.gov/genomes/all/GCA/026/153/315/GCA_026153315.1_ASM2615331v1</t>
  </si>
  <si>
    <t>GCA_026155825.1</t>
  </si>
  <si>
    <t>PT11747</t>
  </si>
  <si>
    <t>https://ftp.ncbi.nlm.nih.gov/genomes/all/GCA/026/155/825/GCA_026155825.1_ASM2615582v1</t>
  </si>
  <si>
    <t>GCA_026222675.1</t>
  </si>
  <si>
    <t>OHF 23</t>
  </si>
  <si>
    <t>https://ftp.ncbi.nlm.nih.gov/genomes/all/GCA/026/222/675/GCA_026222675.1_ASM2622267v1</t>
  </si>
  <si>
    <t>GCA_026222695.1</t>
  </si>
  <si>
    <t>AD3</t>
  </si>
  <si>
    <t>https://ftp.ncbi.nlm.nih.gov/genomes/all/GCA/026/222/695/GCA_026222695.1_ASM2622269v1</t>
  </si>
  <si>
    <t>GCA_026222715.1</t>
  </si>
  <si>
    <t>HV1</t>
  </si>
  <si>
    <t>https://ftp.ncbi.nlm.nih.gov/genomes/all/GCA/026/222/715/GCA_026222715.1_ASM2622271v1</t>
  </si>
  <si>
    <t>GCA_026427435.1</t>
  </si>
  <si>
    <t>RMLUG1</t>
  </si>
  <si>
    <t>https://ftp.ncbi.nlm.nih.gov/genomes/all/GCA/026/427/435/GCA_026427435.1_ASM2642743v1</t>
  </si>
  <si>
    <t>GCA_026427455.1</t>
  </si>
  <si>
    <t>RMLUG2</t>
  </si>
  <si>
    <t>https://ftp.ncbi.nlm.nih.gov/genomes/all/GCA/026/427/455/GCA_026427455.1_ASM2642745v1</t>
  </si>
  <si>
    <t>GCA_026427475.1</t>
  </si>
  <si>
    <t>RMLUG3</t>
  </si>
  <si>
    <t>https://ftp.ncbi.nlm.nih.gov/genomes/all/GCA/026/427/475/GCA_026427475.1_ASM2642747v1</t>
  </si>
  <si>
    <t>GCA_026427495.1</t>
  </si>
  <si>
    <t>RMLUG4</t>
  </si>
  <si>
    <t>https://ftp.ncbi.nlm.nih.gov/genomes/all/GCA/026/427/495/GCA_026427495.1_ASM2642749v1</t>
  </si>
  <si>
    <t>GCA_026427515.1</t>
  </si>
  <si>
    <t>RMLUG5</t>
  </si>
  <si>
    <t>https://ftp.ncbi.nlm.nih.gov/genomes/all/GCA/026/427/515/GCA_026427515.1_ASM2642751v1</t>
  </si>
  <si>
    <t>GCA_026427535.1</t>
  </si>
  <si>
    <t>RMLUG6</t>
  </si>
  <si>
    <t>https://ftp.ncbi.nlm.nih.gov/genomes/all/GCA/026/427/535/GCA_026427535.1_ASM2642753v1</t>
  </si>
  <si>
    <t>GCA_026430575.1</t>
  </si>
  <si>
    <t>CCSM0123</t>
  </si>
  <si>
    <t>https://ftp.ncbi.nlm.nih.gov/genomes/all/GCA/026/430/575/GCA_026430575.1_ASM2643057v1</t>
  </si>
  <si>
    <t>GCA_026461725.1</t>
  </si>
  <si>
    <t>FMS4815</t>
  </si>
  <si>
    <t>https://ftp.ncbi.nlm.nih.gov/genomes/all/GCA/026/461/725/GCA_026461725.1_ASM2646172v1</t>
  </si>
  <si>
    <t>GCA_026461745.1</t>
  </si>
  <si>
    <t>FMS2275</t>
  </si>
  <si>
    <t>https://ftp.ncbi.nlm.nih.gov/genomes/all/GCA/026/461/745/GCA_026461745.1_ASM2646174v1</t>
  </si>
  <si>
    <t>GCA_026636275.1</t>
  </si>
  <si>
    <t>PPE011</t>
  </si>
  <si>
    <t>https://ftp.ncbi.nlm.nih.gov/genomes/all/GCA/026/636/275/GCA_026636275.1_ASM2663627v1</t>
  </si>
  <si>
    <t>GCA_026651425.1</t>
  </si>
  <si>
    <t>BC12</t>
  </si>
  <si>
    <t>https://ftp.ncbi.nlm.nih.gov/genomes/all/GCA/026/651/425/GCA_026651425.1_ASM2665142v1</t>
  </si>
  <si>
    <t>GCA_026659915.1</t>
  </si>
  <si>
    <t>NSP001H</t>
  </si>
  <si>
    <t>https://ftp.ncbi.nlm.nih.gov/genomes/all/GCA/026/659/915/GCA_026659915.1_ASM2665991v1</t>
  </si>
  <si>
    <t>GCA_026659935.1</t>
  </si>
  <si>
    <t>NSP002H</t>
  </si>
  <si>
    <t>https://ftp.ncbi.nlm.nih.gov/genomes/all/GCA/026/659/935/GCA_026659935.1_ASM2665993v1</t>
  </si>
  <si>
    <t>GCA_026660155.1</t>
  </si>
  <si>
    <t>NSP021P</t>
  </si>
  <si>
    <t>https://ftp.ncbi.nlm.nih.gov/genomes/all/GCA/026/660/155/GCA_026660155.1_ASM2666015v1</t>
  </si>
  <si>
    <t>GCA_026660275.1</t>
  </si>
  <si>
    <t>NSP019P</t>
  </si>
  <si>
    <t>https://ftp.ncbi.nlm.nih.gov/genomes/all/GCA/026/660/275/GCA_026660275.1_ASM2666027v1</t>
  </si>
  <si>
    <t>GCA_026684175.1</t>
  </si>
  <si>
    <t>NW6</t>
  </si>
  <si>
    <t>https://ftp.ncbi.nlm.nih.gov/genomes/all/GCA/026/684/175/GCA_026684175.1_ASM2668417v1</t>
  </si>
  <si>
    <t>GCA_026781275.1</t>
  </si>
  <si>
    <t>D13009425</t>
  </si>
  <si>
    <t>https://ftp.ncbi.nlm.nih.gov/genomes/all/GCA/026/781/275/GCA_026781275.1_ASM2678127v1</t>
  </si>
  <si>
    <t>GCA_026781295.1</t>
  </si>
  <si>
    <t>K16280241</t>
  </si>
  <si>
    <t>https://ftp.ncbi.nlm.nih.gov/genomes/all/GCA/026/781/295/GCA_026781295.1_ASM2678129v1</t>
  </si>
  <si>
    <t>GCA_026781315.1</t>
  </si>
  <si>
    <t>B15805315</t>
  </si>
  <si>
    <t>https://ftp.ncbi.nlm.nih.gov/genomes/all/GCA/026/781/315/GCA_026781315.1_ASM2678131v1</t>
  </si>
  <si>
    <t>GCA_026781445.1</t>
  </si>
  <si>
    <t>A15001031</t>
  </si>
  <si>
    <t>https://ftp.ncbi.nlm.nih.gov/genomes/all/GCA/026/781/445/GCA_026781445.1_ASM2678144v1</t>
  </si>
  <si>
    <t>GCA_026781465.1</t>
  </si>
  <si>
    <t>A17000466</t>
  </si>
  <si>
    <t>https://ftp.ncbi.nlm.nih.gov/genomes/all/GCA/026/781/465/GCA_026781465.1_ASM2678146v1</t>
  </si>
  <si>
    <t>GCA_026781525.1</t>
  </si>
  <si>
    <t>A14001025</t>
  </si>
  <si>
    <t>https://ftp.ncbi.nlm.nih.gov/genomes/all/GCA/026/781/525/GCA_026781525.1_ASM2678152v1</t>
  </si>
  <si>
    <t>GCA_026781545.1</t>
  </si>
  <si>
    <t>A15000964</t>
  </si>
  <si>
    <t>https://ftp.ncbi.nlm.nih.gov/genomes/all/GCA/026/781/545/GCA_026781545.1_ASM2678154v1</t>
  </si>
  <si>
    <t>GCA_026781585.1</t>
  </si>
  <si>
    <t>A13000585</t>
  </si>
  <si>
    <t>https://ftp.ncbi.nlm.nih.gov/genomes/all/GCA/026/781/585/GCA_026781585.1_ASM2678158v1</t>
  </si>
  <si>
    <t>GCA_026781625.1</t>
  </si>
  <si>
    <t>A12055600</t>
  </si>
  <si>
    <t>https://ftp.ncbi.nlm.nih.gov/genomes/all/GCA/026/781/625/GCA_026781625.1_ASM2678162v1</t>
  </si>
  <si>
    <t>GCA_026781665.1</t>
  </si>
  <si>
    <t>A12068223</t>
  </si>
  <si>
    <t>https://ftp.ncbi.nlm.nih.gov/genomes/all/GCA/026/781/665/GCA_026781665.1_ASM2678166v1</t>
  </si>
  <si>
    <t>GCA_026781685.1</t>
  </si>
  <si>
    <t>A12021903</t>
  </si>
  <si>
    <t>https://ftp.ncbi.nlm.nih.gov/genomes/all/GCA/026/781/685/GCA_026781685.1_ASM2678168v1</t>
  </si>
  <si>
    <t>GCA_026781745.1</t>
  </si>
  <si>
    <t>15080773Y</t>
  </si>
  <si>
    <t>https://ftp.ncbi.nlm.nih.gov/genomes/all/GCA/026/781/745/GCA_026781745.1_ASM2678174v1</t>
  </si>
  <si>
    <t>GCA_026781795.1</t>
  </si>
  <si>
    <t>D17054061</t>
  </si>
  <si>
    <t>https://ftp.ncbi.nlm.nih.gov/genomes/all/GCA/026/781/795/GCA_026781795.1_ASM2678179v1</t>
  </si>
  <si>
    <t>GCA_026782085.1</t>
  </si>
  <si>
    <t>K16259064</t>
  </si>
  <si>
    <t>https://ftp.ncbi.nlm.nih.gov/genomes/all/GCA/026/782/085/GCA_026782085.1_ASM2678208v1</t>
  </si>
  <si>
    <t>GCA_026782145.1</t>
  </si>
  <si>
    <t>D15003375</t>
  </si>
  <si>
    <t>https://ftp.ncbi.nlm.nih.gov/genomes/all/GCA/026/782/145/GCA_026782145.1_ASM2678214v1</t>
  </si>
  <si>
    <t>GCA_026782185.1</t>
  </si>
  <si>
    <t>B14894613</t>
  </si>
  <si>
    <t>https://ftp.ncbi.nlm.nih.gov/genomes/all/GCA/026/782/185/GCA_026782185.1_ASM2678218v1</t>
  </si>
  <si>
    <t>GCA_026782195.1</t>
  </si>
  <si>
    <t>B11338919</t>
  </si>
  <si>
    <t>https://ftp.ncbi.nlm.nih.gov/genomes/all/GCA/026/782/195/GCA_026782195.1_ASM2678219v1</t>
  </si>
  <si>
    <t>GCA_026782305.1</t>
  </si>
  <si>
    <t>A16000180</t>
  </si>
  <si>
    <t>https://ftp.ncbi.nlm.nih.gov/genomes/all/GCA/026/782/305/GCA_026782305.1_ASM2678230v1</t>
  </si>
  <si>
    <t>GCA_026782325.1</t>
  </si>
  <si>
    <t>A15000402</t>
  </si>
  <si>
    <t>https://ftp.ncbi.nlm.nih.gov/genomes/all/GCA/026/782/325/GCA_026782325.1_ASM2678232v1</t>
  </si>
  <si>
    <t>GCA_026782365.1</t>
  </si>
  <si>
    <t>A14000640</t>
  </si>
  <si>
    <t>https://ftp.ncbi.nlm.nih.gov/genomes/all/GCA/026/782/365/GCA_026782365.1_ASM2678236v1</t>
  </si>
  <si>
    <t>GCA_026782405.1</t>
  </si>
  <si>
    <t>A14000569</t>
  </si>
  <si>
    <t>https://ftp.ncbi.nlm.nih.gov/genomes/all/GCA/026/782/405/GCA_026782405.1_ASM2678240v1</t>
  </si>
  <si>
    <t>GCA_026782425.1</t>
  </si>
  <si>
    <t>A14000182</t>
  </si>
  <si>
    <t>https://ftp.ncbi.nlm.nih.gov/genomes/all/GCA/026/782/425/GCA_026782425.1_ASM2678242v1</t>
  </si>
  <si>
    <t>GCA_026782445.1</t>
  </si>
  <si>
    <t>A12068227</t>
  </si>
  <si>
    <t>https://ftp.ncbi.nlm.nih.gov/genomes/all/GCA/026/782/445/GCA_026782445.1_ASM2678244v1</t>
  </si>
  <si>
    <t>GCA_026782455.1</t>
  </si>
  <si>
    <t>A13000702</t>
  </si>
  <si>
    <t>https://ftp.ncbi.nlm.nih.gov/genomes/all/GCA/026/782/455/GCA_026782455.1_ASM2678245v1</t>
  </si>
  <si>
    <t>GCA_026782485.1</t>
  </si>
  <si>
    <t>A13005712</t>
  </si>
  <si>
    <t>https://ftp.ncbi.nlm.nih.gov/genomes/all/GCA/026/782/485/GCA_026782485.1_ASM2678248v1</t>
  </si>
  <si>
    <t>GCA_026782505.1</t>
  </si>
  <si>
    <t>A12048293</t>
  </si>
  <si>
    <t>https://ftp.ncbi.nlm.nih.gov/genomes/all/GCA/026/782/505/GCA_026782505.1_ASM2678250v1</t>
  </si>
  <si>
    <t>GCA_026782525.1</t>
  </si>
  <si>
    <t>A12034485</t>
  </si>
  <si>
    <t>https://ftp.ncbi.nlm.nih.gov/genomes/all/GCA/026/782/525/GCA_026782525.1_ASM2678252v1</t>
  </si>
  <si>
    <t>GCA_026782545.1</t>
  </si>
  <si>
    <t>A12046408</t>
  </si>
  <si>
    <t>https://ftp.ncbi.nlm.nih.gov/genomes/all/GCA/026/782/545/GCA_026782545.1_ASM2678254v1</t>
  </si>
  <si>
    <t>GCA_026782585.1</t>
  </si>
  <si>
    <t>A11055407</t>
  </si>
  <si>
    <t>https://ftp.ncbi.nlm.nih.gov/genomes/all/GCA/026/782/585/GCA_026782585.1_ASM2678258v1</t>
  </si>
  <si>
    <t>GCA_026782645.1</t>
  </si>
  <si>
    <t>https://ftp.ncbi.nlm.nih.gov/genomes/all/GCA/026/782/645/GCA_026782645.1_ASM2678264v1</t>
  </si>
  <si>
    <t>GCA_026782685.1</t>
  </si>
  <si>
    <t>Y16035778</t>
  </si>
  <si>
    <t>https://ftp.ncbi.nlm.nih.gov/genomes/all/GCA/026/782/685/GCA_026782685.1_ASM2678268v1</t>
  </si>
  <si>
    <t>GCA_026782705.1</t>
  </si>
  <si>
    <t>B16869671</t>
  </si>
  <si>
    <t>https://ftp.ncbi.nlm.nih.gov/genomes/all/GCA/026/782/705/GCA_026782705.1_ASM2678270v1</t>
  </si>
  <si>
    <t>GCA_026782725.1</t>
  </si>
  <si>
    <t>B16012112</t>
  </si>
  <si>
    <t>https://ftp.ncbi.nlm.nih.gov/genomes/all/GCA/026/782/725/GCA_026782725.1_ASM2678272v1</t>
  </si>
  <si>
    <t>GCA_026782745.1</t>
  </si>
  <si>
    <t>B15029983</t>
  </si>
  <si>
    <t>https://ftp.ncbi.nlm.nih.gov/genomes/all/GCA/026/782/745/GCA_026782745.1_ASM2678274v1</t>
  </si>
  <si>
    <t>GCA_026782765.1</t>
  </si>
  <si>
    <t>B13010740</t>
  </si>
  <si>
    <t>https://ftp.ncbi.nlm.nih.gov/genomes/all/GCA/026/782/765/GCA_026782765.1_ASM2678276v1</t>
  </si>
  <si>
    <t>GCA_026782785.1</t>
  </si>
  <si>
    <t>B12305014</t>
  </si>
  <si>
    <t>https://ftp.ncbi.nlm.nih.gov/genomes/all/GCA/026/782/785/GCA_026782785.1_ASM2678278v1</t>
  </si>
  <si>
    <t>GCA_026782805.1</t>
  </si>
  <si>
    <t>A16000882</t>
  </si>
  <si>
    <t>https://ftp.ncbi.nlm.nih.gov/genomes/all/GCA/026/782/805/GCA_026782805.1_ASM2678280v1</t>
  </si>
  <si>
    <t>GCA_026782825.1</t>
  </si>
  <si>
    <t>A15000357</t>
  </si>
  <si>
    <t>https://ftp.ncbi.nlm.nih.gov/genomes/all/GCA/026/782/825/GCA_026782825.1_ASM2678282v1</t>
  </si>
  <si>
    <t>GCA_026782845.1</t>
  </si>
  <si>
    <t>A14000387</t>
  </si>
  <si>
    <t>https://ftp.ncbi.nlm.nih.gov/genomes/all/GCA/026/782/845/GCA_026782845.1_ASM2678284v1</t>
  </si>
  <si>
    <t>GCA_026782865.1</t>
  </si>
  <si>
    <t>B15023435</t>
  </si>
  <si>
    <t>https://ftp.ncbi.nlm.nih.gov/genomes/all/GCA/026/782/865/GCA_026782865.1_ASM2678286v1</t>
  </si>
  <si>
    <t>GCA_026782885.1</t>
  </si>
  <si>
    <t>A14000335</t>
  </si>
  <si>
    <t>https://ftp.ncbi.nlm.nih.gov/genomes/all/GCA/026/782/885/GCA_026782885.1_ASM2678288v1</t>
  </si>
  <si>
    <t>GCA_026782895.1</t>
  </si>
  <si>
    <t>D13054009</t>
  </si>
  <si>
    <t>https://ftp.ncbi.nlm.nih.gov/genomes/all/GCA/026/782/895/GCA_026782895.1_ASM2678289v1</t>
  </si>
  <si>
    <t>GCA_026783025.1</t>
  </si>
  <si>
    <t>B17930858</t>
  </si>
  <si>
    <t>https://ftp.ncbi.nlm.nih.gov/genomes/all/GCA/026/783/025/GCA_026783025.1_ASM2678302v1</t>
  </si>
  <si>
    <t>GCA_026783045.1</t>
  </si>
  <si>
    <t>A16000605</t>
  </si>
  <si>
    <t>https://ftp.ncbi.nlm.nih.gov/genomes/all/GCA/026/783/045/GCA_026783045.1_ASM2678304v1</t>
  </si>
  <si>
    <t>GCA_026783065.1</t>
  </si>
  <si>
    <t>A14000093</t>
  </si>
  <si>
    <t>https://ftp.ncbi.nlm.nih.gov/genomes/all/GCA/026/783/065/GCA_026783065.1_ASM2678306v1</t>
  </si>
  <si>
    <t>GCA_026783085.1</t>
  </si>
  <si>
    <t>A13000540</t>
  </si>
  <si>
    <t>https://ftp.ncbi.nlm.nih.gov/genomes/all/GCA/026/783/085/GCA_026783085.1_ASM2678308v1</t>
  </si>
  <si>
    <t>GCA_026783105.1</t>
  </si>
  <si>
    <t>A13000455</t>
  </si>
  <si>
    <t>https://ftp.ncbi.nlm.nih.gov/genomes/all/GCA/026/783/105/GCA_026783105.1_ASM2678310v1</t>
  </si>
  <si>
    <t>GCA_026783125.1</t>
  </si>
  <si>
    <t>A11129118</t>
  </si>
  <si>
    <t>https://ftp.ncbi.nlm.nih.gov/genomes/all/GCA/026/783/125/GCA_026783125.1_ASM2678312v1</t>
  </si>
  <si>
    <t>GCA_026783145.1</t>
  </si>
  <si>
    <t>17013687B</t>
  </si>
  <si>
    <t>https://ftp.ncbi.nlm.nih.gov/genomes/all/GCA/026/783/145/GCA_026783145.1_ASM2678314v1</t>
  </si>
  <si>
    <t>GCA_026783165.1</t>
  </si>
  <si>
    <t>A11029119</t>
  </si>
  <si>
    <t>https://ftp.ncbi.nlm.nih.gov/genomes/all/GCA/026/783/165/GCA_026783165.1_ASM2678316v1</t>
  </si>
  <si>
    <t>GCA_026783725.1</t>
  </si>
  <si>
    <t>D14035481</t>
  </si>
  <si>
    <t>https://ftp.ncbi.nlm.nih.gov/genomes/all/GCA/026/783/725/GCA_026783725.1_ASM2678372v1</t>
  </si>
  <si>
    <t>GCA_026783785.1</t>
  </si>
  <si>
    <t>K13014465</t>
  </si>
  <si>
    <t>https://ftp.ncbi.nlm.nih.gov/genomes/all/GCA/026/783/785/GCA_026783785.1_ASM2678378v1</t>
  </si>
  <si>
    <t>GCA_026783805.1</t>
  </si>
  <si>
    <t>A15000414</t>
  </si>
  <si>
    <t>https://ftp.ncbi.nlm.nih.gov/genomes/all/GCA/026/783/805/GCA_026783805.1_ASM2678380v1</t>
  </si>
  <si>
    <t>GCA_026784025.1</t>
  </si>
  <si>
    <t>https://ftp.ncbi.nlm.nih.gov/genomes/all/GCA/026/784/025/GCA_026784025.1_ASM2678402v1</t>
  </si>
  <si>
    <t>GCA_026802095.1</t>
  </si>
  <si>
    <t>CW</t>
  </si>
  <si>
    <t>https://ftp.ncbi.nlm.nih.gov/genomes/all/GCA/026/802/095/GCA_026802095.1_ASM2680209v1</t>
  </si>
  <si>
    <t>GCA_026810185.1</t>
  </si>
  <si>
    <t>https://ftp.ncbi.nlm.nih.gov/genomes/all/GCA/026/810/185/GCA_026810185.1_ASM2681018v1</t>
  </si>
  <si>
    <t>GCA_026891875.1</t>
  </si>
  <si>
    <t>ATCC 10048</t>
  </si>
  <si>
    <t>https://ftp.ncbi.nlm.nih.gov/genomes/all/GCA/026/891/875/GCA_026891875.1_ASM2689187v1</t>
  </si>
  <si>
    <t>GCA_026930265.1</t>
  </si>
  <si>
    <t>CCUG 57942</t>
  </si>
  <si>
    <t>https://ftp.ncbi.nlm.nih.gov/genomes/all/GCA/026/930/265/GCA_026930265.1_ASM2693026v1</t>
  </si>
  <si>
    <t>GCA_026935945.1</t>
  </si>
  <si>
    <t>VAG1</t>
  </si>
  <si>
    <t>https://ftp.ncbi.nlm.nih.gov/genomes/all/GCA/026/935/945/GCA_026935945.1_ASM2693594v1</t>
  </si>
  <si>
    <t>GCA_026967675.1</t>
  </si>
  <si>
    <t>CCSM0331</t>
  </si>
  <si>
    <t>https://ftp.ncbi.nlm.nih.gov/genomes/all/GCA/026/967/675/GCA_026967675.1_ASM2696767v1</t>
  </si>
  <si>
    <t>GCA_026970895.1</t>
  </si>
  <si>
    <t>BIM B-1761</t>
  </si>
  <si>
    <t>https://ftp.ncbi.nlm.nih.gov/genomes/all/GCA/026/970/895/GCA_026970895.1_ASM2697089v1</t>
  </si>
  <si>
    <t>GCA_027158175.1</t>
  </si>
  <si>
    <t>R79</t>
  </si>
  <si>
    <t>https://ftp.ncbi.nlm.nih.gov/genomes/all/GCA/027/158/175/GCA_027158175.1_ASM2715817v1</t>
  </si>
  <si>
    <t>GCA_027271175.1</t>
  </si>
  <si>
    <t>Lcr-MH175</t>
  </si>
  <si>
    <t>https://ftp.ncbi.nlm.nih.gov/genomes/all/GCA/027/271/175/GCA_027271175.1_ASM2727117v1</t>
  </si>
  <si>
    <t>GCA_027277265.1</t>
  </si>
  <si>
    <t>URMC_793</t>
  </si>
  <si>
    <t>https://ftp.ncbi.nlm.nih.gov/genomes/all/GCA/027/277/265/GCA_027277265.1_ASM2727726v1</t>
  </si>
  <si>
    <t>GCA_027277305.1</t>
  </si>
  <si>
    <t>URMC_789</t>
  </si>
  <si>
    <t>https://ftp.ncbi.nlm.nih.gov/genomes/all/GCA/027/277/305/GCA_027277305.1_ASM2727730v1</t>
  </si>
  <si>
    <t>GCA_027321625.1</t>
  </si>
  <si>
    <t>clean1930</t>
  </si>
  <si>
    <t>https://ftp.ncbi.nlm.nih.gov/genomes/all/GCA/027/321/625/GCA_027321625.1_ASM2732162v1</t>
  </si>
  <si>
    <t>GCA_027460305.1</t>
  </si>
  <si>
    <t>PM79KC-AC-4</t>
  </si>
  <si>
    <t>https://ftp.ncbi.nlm.nih.gov/genomes/all/GCA/027/460/305/GCA_027460305.1_ASM2746030v1</t>
  </si>
  <si>
    <t>GCA_027460315.1</t>
  </si>
  <si>
    <t>PM94KC-G-1</t>
  </si>
  <si>
    <t>https://ftp.ncbi.nlm.nih.gov/genomes/all/GCA/027/460/315/GCA_027460315.1_ASM2746031v1</t>
  </si>
  <si>
    <t>GCA_027460345.1</t>
  </si>
  <si>
    <t>PM79KC-AC-3</t>
  </si>
  <si>
    <t>https://ftp.ncbi.nlm.nih.gov/genomes/all/GCA/027/460/345/GCA_027460345.1_ASM2746034v1</t>
  </si>
  <si>
    <t>GCA_027460365.1</t>
  </si>
  <si>
    <t>PM79KC-AC-1</t>
  </si>
  <si>
    <t>https://ftp.ncbi.nlm.nih.gov/genomes/all/GCA/027/460/365/GCA_027460365.1_ASM2746036v1</t>
  </si>
  <si>
    <t>GCA_027474905.1</t>
  </si>
  <si>
    <t>PM79KC-G-1</t>
  </si>
  <si>
    <t>https://ftp.ncbi.nlm.nih.gov/genomes/all/GCA/027/474/905/GCA_027474905.1_ASM2747490v1</t>
  </si>
  <si>
    <t>GCA_027474925.1</t>
  </si>
  <si>
    <t>PM79KC-AC-2</t>
  </si>
  <si>
    <t>https://ftp.ncbi.nlm.nih.gov/genomes/all/GCA/027/474/925/GCA_027474925.1_ASM2747492v1</t>
  </si>
  <si>
    <t>GCA_027474945.1</t>
  </si>
  <si>
    <t>PM89KC-G-1</t>
  </si>
  <si>
    <t>https://ftp.ncbi.nlm.nih.gov/genomes/all/GCA/027/474/945/GCA_027474945.1_ASM2747494v1</t>
  </si>
  <si>
    <t>GCA_027474965.1</t>
  </si>
  <si>
    <t>PM89KC-G-2</t>
  </si>
  <si>
    <t>https://ftp.ncbi.nlm.nih.gov/genomes/all/GCA/027/474/965/GCA_027474965.1_ASM2747496v1</t>
  </si>
  <si>
    <t>GCA_027474985.1</t>
  </si>
  <si>
    <t>PM89KC-AC-1</t>
  </si>
  <si>
    <t>https://ftp.ncbi.nlm.nih.gov/genomes/all/GCA/027/474/985/GCA_027474985.1_ASM2747498v1</t>
  </si>
  <si>
    <t>GCA_027475005.1</t>
  </si>
  <si>
    <t>PM102KC-G-1</t>
  </si>
  <si>
    <t>https://ftp.ncbi.nlm.nih.gov/genomes/all/GCA/027/475/005/GCA_027475005.1_ASM2747500v1</t>
  </si>
  <si>
    <t>GCA_027475025.1</t>
  </si>
  <si>
    <t>PM114KC-AC-1</t>
  </si>
  <si>
    <t>https://ftp.ncbi.nlm.nih.gov/genomes/all/GCA/027/475/025/GCA_027475025.1_ASM2747502v1</t>
  </si>
  <si>
    <t>GCA_027497885.1</t>
  </si>
  <si>
    <t>SM2</t>
  </si>
  <si>
    <t>https://ftp.ncbi.nlm.nih.gov/genomes/all/GCA/027/497/885/GCA_027497885.1_ASM2749788v1</t>
  </si>
  <si>
    <t>GCA_027497935.1</t>
  </si>
  <si>
    <t>https://ftp.ncbi.nlm.nih.gov/genomes/all/GCA/027/497/935/GCA_027497935.1_ASM2749793v1</t>
  </si>
  <si>
    <t>GCA_027594605.1</t>
  </si>
  <si>
    <t>CGMH-SH53</t>
  </si>
  <si>
    <t>https://ftp.ncbi.nlm.nih.gov/genomes/all/GCA/027/594/605/GCA_027594605.1_ASM2759460v1</t>
  </si>
  <si>
    <t>GCA_027594625.1</t>
  </si>
  <si>
    <t>CGMH-SH51</t>
  </si>
  <si>
    <t>https://ftp.ncbi.nlm.nih.gov/genomes/all/GCA/027/594/625/GCA_027594625.1_ASM2759462v1</t>
  </si>
  <si>
    <t>GCA_027595705.1</t>
  </si>
  <si>
    <t>S33_CRE34</t>
  </si>
  <si>
    <t>https://ftp.ncbi.nlm.nih.gov/genomes/all/GCA/027/595/705/GCA_027595705.1_ASM2759570v1</t>
  </si>
  <si>
    <t>GCA_027625375.1</t>
  </si>
  <si>
    <t>ED-3</t>
  </si>
  <si>
    <t>https://ftp.ncbi.nlm.nih.gov/genomes/all/GCA/027/625/375/GCA_027625375.1_ASM2762537v1</t>
  </si>
  <si>
    <t>DSM 43536</t>
  </si>
  <si>
    <t>https://ftp.ncbi.nlm.nih.gov/genomes/all/GCA/027/627/515/GCA_027627515.1_ASM2762751v1</t>
  </si>
  <si>
    <t>GCA_027658535.1</t>
  </si>
  <si>
    <t>AM109-19</t>
  </si>
  <si>
    <t>https://ftp.ncbi.nlm.nih.gov/genomes/all/GCA/027/658/535/GCA_027658535.1_ASM2765853v1</t>
  </si>
  <si>
    <t>GCA_027658645.1</t>
  </si>
  <si>
    <t>AM109-45</t>
  </si>
  <si>
    <t>https://ftp.ncbi.nlm.nih.gov/genomes/all/GCA/027/658/645/GCA_027658645.1_ASM2765864v1</t>
  </si>
  <si>
    <t>GCA_027660775.1</t>
  </si>
  <si>
    <t>AM100_PMO_1D_13A</t>
  </si>
  <si>
    <t>https://ftp.ncbi.nlm.nih.gov/genomes/all/GCA/027/660/775/GCA_027660775.1_ASM2766077v1</t>
  </si>
  <si>
    <t>GCA_027661045.1</t>
  </si>
  <si>
    <t>AM100_PB1O_1D_1A</t>
  </si>
  <si>
    <t>https://ftp.ncbi.nlm.nih.gov/genomes/all/GCA/027/661/045/GCA_027661045.1_ASM2766104v1</t>
  </si>
  <si>
    <t>GCA_027662445.1</t>
  </si>
  <si>
    <t>AM09-6</t>
  </si>
  <si>
    <t>https://ftp.ncbi.nlm.nih.gov/genomes/all/GCA/027/662/445/GCA_027662445.1_ASM2766244v1</t>
  </si>
  <si>
    <t>AM09-38</t>
  </si>
  <si>
    <t>https://ftp.ncbi.nlm.nih.gov/genomes/all/GCA/027/662/465/GCA_027662465.1_ASM2766246v1</t>
  </si>
  <si>
    <t>GCA_027662825.1</t>
  </si>
  <si>
    <t>AM07-22C</t>
  </si>
  <si>
    <t>https://ftp.ncbi.nlm.nih.gov/genomes/all/GCA/027/662/825/GCA_027662825.1_ASM2766282v1</t>
  </si>
  <si>
    <t>GCA_027663645.1</t>
  </si>
  <si>
    <t>AM03-4X</t>
  </si>
  <si>
    <t>https://ftp.ncbi.nlm.nih.gov/genomes/all/GCA/027/663/645/GCA_027663645.1_ASM2766364v1</t>
  </si>
  <si>
    <t>AM03-12X</t>
  </si>
  <si>
    <t>https://ftp.ncbi.nlm.nih.gov/genomes/all/GCA/027/663/695/GCA_027663695.1_ASM2766369v1</t>
  </si>
  <si>
    <t>GCA_027663745.1</t>
  </si>
  <si>
    <t>AM02-4W</t>
  </si>
  <si>
    <t>https://ftp.ncbi.nlm.nih.gov/genomes/all/GCA/027/663/745/GCA_027663745.1_ASM2766374v1</t>
  </si>
  <si>
    <t>GCA_027664685.1</t>
  </si>
  <si>
    <t>AF94-12M2BA</t>
  </si>
  <si>
    <t>https://ftp.ncbi.nlm.nih.gov/genomes/all/GCA/027/664/685/GCA_027664685.1_ASM2766468v1</t>
  </si>
  <si>
    <t>AF83-02pH10A</t>
  </si>
  <si>
    <t>https://ftp.ncbi.nlm.nih.gov/genomes/all/GCA/027/665/525/GCA_027665525.1_ASM2766552v1</t>
  </si>
  <si>
    <t>GCA_027665925.1</t>
  </si>
  <si>
    <t>AM81-05CM05A</t>
  </si>
  <si>
    <t>https://ftp.ncbi.nlm.nih.gov/genomes/all/GCA/027/665/925/GCA_027665925.1_ASM2766592v1</t>
  </si>
  <si>
    <t>GCA_027666825.1</t>
  </si>
  <si>
    <t>AM72-29pH10A</t>
  </si>
  <si>
    <t>https://ftp.ncbi.nlm.nih.gov/genomes/all/GCA/027/666/825/GCA_027666825.1_ASM2766682v1</t>
  </si>
  <si>
    <t>GCA_027670005.1</t>
  </si>
  <si>
    <t>AM38-7BH</t>
  </si>
  <si>
    <t>https://ftp.ncbi.nlm.nih.gov/genomes/all/GCA/027/670/005/GCA_027670005.1_ASM2767000v1</t>
  </si>
  <si>
    <t>GCA_027670365.1</t>
  </si>
  <si>
    <t>AM32-5</t>
  </si>
  <si>
    <t>https://ftp.ncbi.nlm.nih.gov/genomes/all/GCA/027/670/365/GCA_027670365.1_ASM2767036v1</t>
  </si>
  <si>
    <t>GCA_027670565.1</t>
  </si>
  <si>
    <t>AM29-17AC</t>
  </si>
  <si>
    <t>https://ftp.ncbi.nlm.nih.gov/genomes/all/GCA/027/670/565/GCA_027670565.1_ASM2767056v1</t>
  </si>
  <si>
    <t>GCA_027671105.1</t>
  </si>
  <si>
    <t>AM27-23</t>
  </si>
  <si>
    <t>https://ftp.ncbi.nlm.nih.gov/genomes/all/GCA/027/671/105/GCA_027671105.1_ASM2767110v1</t>
  </si>
  <si>
    <t>GCA_027671285.1</t>
  </si>
  <si>
    <t>AM25-2</t>
  </si>
  <si>
    <t>https://ftp.ncbi.nlm.nih.gov/genomes/all/GCA/027/671/285/GCA_027671285.1_ASM2767128v1</t>
  </si>
  <si>
    <t>GCA_027672465.1</t>
  </si>
  <si>
    <t>AM113-93</t>
  </si>
  <si>
    <t>https://ftp.ncbi.nlm.nih.gov/genomes/all/GCA/027/672/465/GCA_027672465.1_ASM2767246v1</t>
  </si>
  <si>
    <t>GCA_027672485.1</t>
  </si>
  <si>
    <t>AM113-92</t>
  </si>
  <si>
    <t>https://ftp.ncbi.nlm.nih.gov/genomes/all/GCA/027/672/485/GCA_027672485.1_ASM2767248v1</t>
  </si>
  <si>
    <t>GCA_027672805.1</t>
  </si>
  <si>
    <t>AM113-67</t>
  </si>
  <si>
    <t>https://ftp.ncbi.nlm.nih.gov/genomes/all/GCA/027/672/805/GCA_027672805.1_ASM2767280v1</t>
  </si>
  <si>
    <t>GCA_027673585.1</t>
  </si>
  <si>
    <t>AM113-188</t>
  </si>
  <si>
    <t>https://ftp.ncbi.nlm.nih.gov/genomes/all/GCA/027/673/585/GCA_027673585.1_ASM2767358v1</t>
  </si>
  <si>
    <t>GCA_027675265.1</t>
  </si>
  <si>
    <t>AM110-184</t>
  </si>
  <si>
    <t>https://ftp.ncbi.nlm.nih.gov/genomes/all/GCA/027/675/265/GCA_027675265.1_ASM2767526v1</t>
  </si>
  <si>
    <t>GCA_027680525.1</t>
  </si>
  <si>
    <t>AF73-07pH9A</t>
  </si>
  <si>
    <t>https://ftp.ncbi.nlm.nih.gov/genomes/all/GCA/027/680/525/GCA_027680525.1_ASM2768052v1</t>
  </si>
  <si>
    <t>GCA_027681865.1</t>
  </si>
  <si>
    <t>AF57-07b16A</t>
  </si>
  <si>
    <t>https://ftp.ncbi.nlm.nih.gov/genomes/all/GCA/027/681/865/GCA_027681865.1_ASM2768186v1</t>
  </si>
  <si>
    <t>GCA_027682085.1</t>
  </si>
  <si>
    <t>AF55-12MHA</t>
  </si>
  <si>
    <t>https://ftp.ncbi.nlm.nih.gov/genomes/all/GCA/027/682/085/GCA_027682085.1_ASM2768208v1</t>
  </si>
  <si>
    <t>AF51-2-b9A</t>
  </si>
  <si>
    <t>https://ftp.ncbi.nlm.nih.gov/genomes/all/GCA/027/682/715/GCA_027682715.1_ASM2768271v1</t>
  </si>
  <si>
    <t>GCA_027683265.1</t>
  </si>
  <si>
    <t>AF36-21BH</t>
  </si>
  <si>
    <t>https://ftp.ncbi.nlm.nih.gov/genomes/all/GCA/027/683/265/GCA_027683265.1_ASM2768326v1</t>
  </si>
  <si>
    <t>GCA_027683585.1</t>
  </si>
  <si>
    <t>AF32-9BH</t>
  </si>
  <si>
    <t>https://ftp.ncbi.nlm.nih.gov/genomes/all/GCA/027/683/585/GCA_027683585.1_ASM2768358v1</t>
  </si>
  <si>
    <t>AF25-14LB</t>
  </si>
  <si>
    <t>https://ftp.ncbi.nlm.nih.gov/genomes/all/GCA/027/683/955/GCA_027683955.1_ASM2768395v1</t>
  </si>
  <si>
    <t>GCA_027685345.1</t>
  </si>
  <si>
    <t>AF13-8</t>
  </si>
  <si>
    <t>https://ftp.ncbi.nlm.nih.gov/genomes/all/GCA/027/685/345/GCA_027685345.1_ASM2768534v1</t>
  </si>
  <si>
    <t>GCA_027685745.1</t>
  </si>
  <si>
    <t>AF11-9H</t>
  </si>
  <si>
    <t>https://ftp.ncbi.nlm.nih.gov/genomes/all/GCA/027/685/745/GCA_027685745.1_ASM2768574v1</t>
  </si>
  <si>
    <t>GCA_027685845.1</t>
  </si>
  <si>
    <t>AF11-3H</t>
  </si>
  <si>
    <t>https://ftp.ncbi.nlm.nih.gov/genomes/all/GCA/027/685/845/GCA_027685845.1_ASM2768584v1</t>
  </si>
  <si>
    <t>AF102-87</t>
  </si>
  <si>
    <t>https://ftp.ncbi.nlm.nih.gov/genomes/all/GCA/027/686/135/GCA_027686135.1_ASM2768613v1</t>
  </si>
  <si>
    <t>AF102-42</t>
  </si>
  <si>
    <t>https://ftp.ncbi.nlm.nih.gov/genomes/all/GCA/027/686/445/GCA_027686445.1_ASM2768644v1</t>
  </si>
  <si>
    <t>AF102-36</t>
  </si>
  <si>
    <t>https://ftp.ncbi.nlm.nih.gov/genomes/all/GCA/027/686/485/GCA_027686485.1_ASM2768648v1</t>
  </si>
  <si>
    <t>GCA_027686705.1</t>
  </si>
  <si>
    <t>AF101-85</t>
  </si>
  <si>
    <t>https://ftp.ncbi.nlm.nih.gov/genomes/all/GCA/027/686/705/GCA_027686705.1_ASM2768670v1</t>
  </si>
  <si>
    <t>GCA_027687505.1</t>
  </si>
  <si>
    <t>AF07-5B</t>
  </si>
  <si>
    <t>https://ftp.ncbi.nlm.nih.gov/genomes/all/GCA/027/687/505/GCA_027687505.1_ASM2768750v1</t>
  </si>
  <si>
    <t>GCA_027687595.1</t>
  </si>
  <si>
    <t>AF07-23B</t>
  </si>
  <si>
    <t>https://ftp.ncbi.nlm.nih.gov/genomes/all/GCA/027/687/595/GCA_027687595.1_ASM2768759v1</t>
  </si>
  <si>
    <t>GCA_027687665.1</t>
  </si>
  <si>
    <t>AF07-19</t>
  </si>
  <si>
    <t>https://ftp.ncbi.nlm.nih.gov/genomes/all/GCA/027/687/665/GCA_027687665.1_ASM2768766v1</t>
  </si>
  <si>
    <t>GCA_027687775.1</t>
  </si>
  <si>
    <t>AF07-10B</t>
  </si>
  <si>
    <t>https://ftp.ncbi.nlm.nih.gov/genomes/all/GCA/027/687/775/GCA_027687775.1_ASM2768777v1</t>
  </si>
  <si>
    <t>GCA_027689215.1</t>
  </si>
  <si>
    <t>TM114-130</t>
  </si>
  <si>
    <t>https://ftp.ncbi.nlm.nih.gov/genomes/all/GCA/027/689/215/GCA_027689215.1_ASM2768921v1</t>
  </si>
  <si>
    <t>GCA_027689245.1</t>
  </si>
  <si>
    <t>TM114-127</t>
  </si>
  <si>
    <t>https://ftp.ncbi.nlm.nih.gov/genomes/all/GCA/027/689/245/GCA_027689245.1_ASM2768924v1</t>
  </si>
  <si>
    <t>GCA_027689395.1</t>
  </si>
  <si>
    <t>TM114-05</t>
  </si>
  <si>
    <t>https://ftp.ncbi.nlm.nih.gov/genomes/all/GCA/027/689/395/GCA_027689395.1_ASM2768939v1</t>
  </si>
  <si>
    <t>GCA_027689675.1</t>
  </si>
  <si>
    <t>TM114-128</t>
  </si>
  <si>
    <t>https://ftp.ncbi.nlm.nih.gov/genomes/all/GCA/027/689/675/GCA_027689675.1_ASM2768967v1</t>
  </si>
  <si>
    <t>GCA_027690995.1</t>
  </si>
  <si>
    <t>TF03-1</t>
  </si>
  <si>
    <t>https://ftp.ncbi.nlm.nih.gov/genomes/all/GCA/027/690/995/GCA_027690995.1_ASM2769099v1</t>
  </si>
  <si>
    <t>GCA_027692585.1</t>
  </si>
  <si>
    <t>OF48-6pH5A</t>
  </si>
  <si>
    <t>https://ftp.ncbi.nlm.nih.gov/genomes/all/GCA/027/692/585/GCA_027692585.1_ASM2769258v1</t>
  </si>
  <si>
    <t>GCA_027693065.1</t>
  </si>
  <si>
    <t>OF28-12pH9A</t>
  </si>
  <si>
    <t>https://ftp.ncbi.nlm.nih.gov/genomes/all/GCA/027/693/065/GCA_027693065.1_ASM2769306v1</t>
  </si>
  <si>
    <t>OF30-13pH9A</t>
  </si>
  <si>
    <t>https://ftp.ncbi.nlm.nih.gov/genomes/all/GCA/027/693/505/GCA_027693505.1_ASM2769350v1</t>
  </si>
  <si>
    <t>GCA_027694265.1</t>
  </si>
  <si>
    <t>OF14-9A</t>
  </si>
  <si>
    <t>https://ftp.ncbi.nlm.nih.gov/genomes/all/GCA/027/694/265/GCA_027694265.1_ASM2769426v1</t>
  </si>
  <si>
    <t>CM02-09b3TA</t>
  </si>
  <si>
    <t>https://ftp.ncbi.nlm.nih.gov/genomes/all/GCA/027/696/905/GCA_027696905.1_ASM2769690v1</t>
  </si>
  <si>
    <t>CM02-06A</t>
  </si>
  <si>
    <t>https://ftp.ncbi.nlm.nih.gov/genomes/all/GCA/027/696/975/GCA_027696975.1_ASM2769697v1</t>
  </si>
  <si>
    <t>GCA_027697045.1</t>
  </si>
  <si>
    <t>CM01-37</t>
  </si>
  <si>
    <t>https://ftp.ncbi.nlm.nih.gov/genomes/all/GCA/027/697/045/GCA_027697045.1_ASM2769704v1</t>
  </si>
  <si>
    <t>GCA_027698225.1</t>
  </si>
  <si>
    <t>AM93-01IFCA</t>
  </si>
  <si>
    <t>https://ftp.ncbi.nlm.nih.gov/genomes/all/GCA/027/698/225/GCA_027698225.1_ASM2769822v1</t>
  </si>
  <si>
    <t>GCA_027722505.1</t>
  </si>
  <si>
    <t>AM109-43</t>
  </si>
  <si>
    <t>https://ftp.ncbi.nlm.nih.gov/genomes/all/GCA/027/722/505/GCA_027722505.1_ASM2772250v1</t>
  </si>
  <si>
    <t>GCA_027723265.1</t>
  </si>
  <si>
    <t>AM109-95</t>
  </si>
  <si>
    <t>https://ftp.ncbi.nlm.nih.gov/genomes/all/GCA/027/723/265/GCA_027723265.1_ASM2772326v1</t>
  </si>
  <si>
    <t>GCA_027723325.1</t>
  </si>
  <si>
    <t>AM109-96</t>
  </si>
  <si>
    <t>https://ftp.ncbi.nlm.nih.gov/genomes/all/GCA/027/723/325/GCA_027723325.1_ASM2772332v1</t>
  </si>
  <si>
    <t>DSM 1381</t>
  </si>
  <si>
    <t>https://ftp.ncbi.nlm.nih.gov/genomes/all/GCA/027/857/015/GCA_027857015.1_ASM2785701v1</t>
  </si>
  <si>
    <t>GCA_027945475.1</t>
  </si>
  <si>
    <t>WVU627</t>
  </si>
  <si>
    <t>https://ftp.ncbi.nlm.nih.gov/genomes/all/GCA/027/945/475/GCA_027945475.1_ASM2794547v1</t>
  </si>
  <si>
    <t>GCA_027947475.1</t>
  </si>
  <si>
    <t>JD-Fn1</t>
  </si>
  <si>
    <t>https://ftp.ncbi.nlm.nih.gov/genomes/all/GCA/027/947/475/GCA_027947475.1_ASM2794747v1</t>
  </si>
  <si>
    <t>GCA_028307985.1</t>
  </si>
  <si>
    <t>DP3_2B_2</t>
  </si>
  <si>
    <t>https://ftp.ncbi.nlm.nih.gov/genomes/all/GCA/028/307/985/GCA_028307985.1_ASM2830798v1</t>
  </si>
  <si>
    <t>GCA_028308045.1</t>
  </si>
  <si>
    <t>DP3_4</t>
  </si>
  <si>
    <t>https://ftp.ncbi.nlm.nih.gov/genomes/all/GCA/028/308/045/GCA_028308045.1_ASM2830804v1</t>
  </si>
  <si>
    <t>GCA_028308115.1</t>
  </si>
  <si>
    <t>DP3_6B</t>
  </si>
  <si>
    <t>https://ftp.ncbi.nlm.nih.gov/genomes/all/GCA/028/308/115/GCA_028308115.1_ASM2830811v1</t>
  </si>
  <si>
    <t>GCA_028308145.1</t>
  </si>
  <si>
    <t>DP3_6A_2</t>
  </si>
  <si>
    <t>https://ftp.ncbi.nlm.nih.gov/genomes/all/GCA/028/308/145/GCA_028308145.1_ASM2830814v1</t>
  </si>
  <si>
    <t>GCA_028308185.1</t>
  </si>
  <si>
    <t>DP3_9B</t>
  </si>
  <si>
    <t>https://ftp.ncbi.nlm.nih.gov/genomes/all/GCA/028/308/185/GCA_028308185.1_ASM2830818v1</t>
  </si>
  <si>
    <t>GCA_028308465.1</t>
  </si>
  <si>
    <t>DP4_2A</t>
  </si>
  <si>
    <t>https://ftp.ncbi.nlm.nih.gov/genomes/all/GCA/028/308/465/GCA_028308465.1_ASM2830846v1</t>
  </si>
  <si>
    <t>D53st1_E10_D53t1_180928</t>
  </si>
  <si>
    <t>https://ftp.ncbi.nlm.nih.gov/genomes/all/GCA/028/322/385/GCA_028322385.1_ASM2832238v1</t>
  </si>
  <si>
    <t>D53st1_B3_D53t1_180928</t>
  </si>
  <si>
    <t>https://ftp.ncbi.nlm.nih.gov/genomes/all/GCA/028/322/445/GCA_028322445.1_ASM2832244v1</t>
  </si>
  <si>
    <t>GCA_028325405.1</t>
  </si>
  <si>
    <t>D40st1_F5_D40t1_170626</t>
  </si>
  <si>
    <t>https://ftp.ncbi.nlm.nih.gov/genomes/all/GCA/028/325/405/GCA_028325405.1_ASM2832540v1</t>
  </si>
  <si>
    <t>GCA_028325485.1</t>
  </si>
  <si>
    <t>1001283st1_F4_1001283B150210_160208</t>
  </si>
  <si>
    <t>https://ftp.ncbi.nlm.nih.gov/genomes/all/GCA/028/325/485/GCA_028325485.1_ASM2832548v1</t>
  </si>
  <si>
    <t>GCA_028325505.1</t>
  </si>
  <si>
    <t>1001713st1_G9_1001713B170207_170306</t>
  </si>
  <si>
    <t>https://ftp.ncbi.nlm.nih.gov/genomes/all/GCA/028/325/505/GCA_028325505.1_ASM2832550v1</t>
  </si>
  <si>
    <t>GCA_028325525.1</t>
  </si>
  <si>
    <t>1001713st1_A2_1001713B170131_170501</t>
  </si>
  <si>
    <t>https://ftp.ncbi.nlm.nih.gov/genomes/all/GCA/028/325/525/GCA_028325525.1_ASM2832552v1</t>
  </si>
  <si>
    <t>GCA_028325655.1</t>
  </si>
  <si>
    <t>1001713st1_D3_1001713B170207_170306</t>
  </si>
  <si>
    <t>https://ftp.ncbi.nlm.nih.gov/genomes/all/GCA/028/325/655/GCA_028325655.1_ASM2832565v1</t>
  </si>
  <si>
    <t>GCA_028325865.1</t>
  </si>
  <si>
    <t>1001262st2_G8_1001262B_160229</t>
  </si>
  <si>
    <t>https://ftp.ncbi.nlm.nih.gov/genomes/all/GCA/028/325/865/GCA_028325865.1_ASM2832586v1</t>
  </si>
  <si>
    <t>GCA_028325895.1</t>
  </si>
  <si>
    <t>1001262st1_D8_1001262B_160229</t>
  </si>
  <si>
    <t>https://ftp.ncbi.nlm.nih.gov/genomes/all/GCA/028/325/895/GCA_028325895.1_ASM2832589v1</t>
  </si>
  <si>
    <t>GCA_028325945.1</t>
  </si>
  <si>
    <t>1001095st1_C11_1001095IJ_161003</t>
  </si>
  <si>
    <t>https://ftp.ncbi.nlm.nih.gov/genomes/all/GCA/028/325/945/GCA_028325945.1_ASM2832594v1</t>
  </si>
  <si>
    <t>GCA_028325965.1</t>
  </si>
  <si>
    <t>1001216st1_G2_1001216I_160404</t>
  </si>
  <si>
    <t>https://ftp.ncbi.nlm.nih.gov/genomes/all/GCA/028/325/965/GCA_028325965.1_ASM2832596v1</t>
  </si>
  <si>
    <t>GCA_028325975.1</t>
  </si>
  <si>
    <t>1001216st1_C12_1001216I_160404</t>
  </si>
  <si>
    <t>https://ftp.ncbi.nlm.nih.gov/genomes/all/GCA/028/325/975/GCA_028325975.1_ASM2832597v1</t>
  </si>
  <si>
    <t>GCA_028326025.1</t>
  </si>
  <si>
    <t>1001095st1_G10_1001095IJ_161003</t>
  </si>
  <si>
    <t>https://ftp.ncbi.nlm.nih.gov/genomes/all/GCA/028/326/025/GCA_028326025.1_ASM2832602v1</t>
  </si>
  <si>
    <t>GCA_028326035.1</t>
  </si>
  <si>
    <t>RTP21191st1_H7_RTP21191_200730</t>
  </si>
  <si>
    <t>https://ftp.ncbi.nlm.nih.gov/genomes/all/GCA/028/326/035/GCA_028326035.1_ASM2832603v1</t>
  </si>
  <si>
    <t>GCA_028326065.1</t>
  </si>
  <si>
    <t>1001270st1_A5_1001270J_160509</t>
  </si>
  <si>
    <t>https://ftp.ncbi.nlm.nih.gov/genomes/all/GCA/028/326/065/GCA_028326065.1_ASM2832606v1</t>
  </si>
  <si>
    <t>GCA_028326125.1</t>
  </si>
  <si>
    <t>1001174st1_F4_RTP21191_200730</t>
  </si>
  <si>
    <t>https://ftp.ncbi.nlm.nih.gov/genomes/all/GCA/028/326/125/GCA_028326125.1_ASM2832612v1</t>
  </si>
  <si>
    <t>GCA_028326145.1</t>
  </si>
  <si>
    <t>1001174st1_D8_RTP21191_200730</t>
  </si>
  <si>
    <t>https://ftp.ncbi.nlm.nih.gov/genomes/all/GCA/028/326/145/GCA_028326145.1_ASM2832614v1</t>
  </si>
  <si>
    <t>GCA_028326165.1</t>
  </si>
  <si>
    <t>1001174st1_D5_RTP21191_200730</t>
  </si>
  <si>
    <t>https://ftp.ncbi.nlm.nih.gov/genomes/all/GCA/028/326/165/GCA_028326165.1_ASM2832616v1</t>
  </si>
  <si>
    <t>GCA_028326405.1</t>
  </si>
  <si>
    <t>H2_m1001271B151109d1_201121</t>
  </si>
  <si>
    <t>https://ftp.ncbi.nlm.nih.gov/genomes/all/GCA/028/326/405/GCA_028326405.1_ASM2832640v1</t>
  </si>
  <si>
    <t>GCA_028326425.1</t>
  </si>
  <si>
    <t>F12_m1001271B151109d1_201121</t>
  </si>
  <si>
    <t>https://ftp.ncbi.nlm.nih.gov/genomes/all/GCA/028/326/425/GCA_028326425.1_ASM2832642v1</t>
  </si>
  <si>
    <t>GCA_028326445.1</t>
  </si>
  <si>
    <t>H10_m1001271B151109d1_201121</t>
  </si>
  <si>
    <t>https://ftp.ncbi.nlm.nih.gov/genomes/all/GCA/028/326/445/GCA_028326445.1_ASM2832644v1</t>
  </si>
  <si>
    <t>GCA_028326465.1</t>
  </si>
  <si>
    <t>H11_m1001271B151109d1_201121</t>
  </si>
  <si>
    <t>https://ftp.ncbi.nlm.nih.gov/genomes/all/GCA/028/326/465/GCA_028326465.1_ASM2832646v1</t>
  </si>
  <si>
    <t>GCA_028326485.1</t>
  </si>
  <si>
    <t>G4_m1001271B151109d1_201121</t>
  </si>
  <si>
    <t>https://ftp.ncbi.nlm.nih.gov/genomes/all/GCA/028/326/485/GCA_028326485.1_ASM2832648v1</t>
  </si>
  <si>
    <t>GCA_028326495.1</t>
  </si>
  <si>
    <t>G10_m1001271B151109d1_201121</t>
  </si>
  <si>
    <t>https://ftp.ncbi.nlm.nih.gov/genomes/all/GCA/028/326/495/GCA_028326495.1_ASM2832649v1</t>
  </si>
  <si>
    <t>GCA_028326525.1</t>
  </si>
  <si>
    <t>E6_m1001271B151109d1_201121</t>
  </si>
  <si>
    <t>https://ftp.ncbi.nlm.nih.gov/genomes/all/GCA/028/326/525/GCA_028326525.1_ASM2832652v1</t>
  </si>
  <si>
    <t>GCA_028326545.1</t>
  </si>
  <si>
    <t>G1_m1001271B151109d1_201121</t>
  </si>
  <si>
    <t>https://ftp.ncbi.nlm.nih.gov/genomes/all/GCA/028/326/545/GCA_028326545.1_ASM2832654v1</t>
  </si>
  <si>
    <t>GCA_028326565.1</t>
  </si>
  <si>
    <t>E11_m1001271B151109d1_201121</t>
  </si>
  <si>
    <t>https://ftp.ncbi.nlm.nih.gov/genomes/all/GCA/028/326/565/GCA_028326565.1_ASM2832656v1</t>
  </si>
  <si>
    <t>GCA_028326585.1</t>
  </si>
  <si>
    <t>D7_m1001271B151109d1_201121</t>
  </si>
  <si>
    <t>https://ftp.ncbi.nlm.nih.gov/genomes/all/GCA/028/326/585/GCA_028326585.1_ASM2832658v1</t>
  </si>
  <si>
    <t>GCA_028326605.1</t>
  </si>
  <si>
    <t>B5_m1001271B151109d1_201121</t>
  </si>
  <si>
    <t>https://ftp.ncbi.nlm.nih.gov/genomes/all/GCA/028/326/605/GCA_028326605.1_ASM2832660v1</t>
  </si>
  <si>
    <t>GCA_028326625.1</t>
  </si>
  <si>
    <t>B8_m1001271B151109d1_201121</t>
  </si>
  <si>
    <t>https://ftp.ncbi.nlm.nih.gov/genomes/all/GCA/028/326/625/GCA_028326625.1_ASM2832662v1</t>
  </si>
  <si>
    <t>GCA_028326945.1</t>
  </si>
  <si>
    <t>BSD2780120874st1_H7_BSD2780120874b_170522</t>
  </si>
  <si>
    <t>https://ftp.ncbi.nlm.nih.gov/genomes/all/GCA/028/326/945/GCA_028326945.1_ASM2832694v1</t>
  </si>
  <si>
    <t>GCA_028327565.1</t>
  </si>
  <si>
    <t>D59st1_B8_D59t2_181005</t>
  </si>
  <si>
    <t>https://ftp.ncbi.nlm.nih.gov/genomes/all/GCA/028/327/565/GCA_028327565.1_ASM2832756v1</t>
  </si>
  <si>
    <t>GCA_028327595.1</t>
  </si>
  <si>
    <t>D59st1_B5_D59t2_181005</t>
  </si>
  <si>
    <t>https://ftp.ncbi.nlm.nih.gov/genomes/all/GCA/028/327/595/GCA_028327595.1_ASM2832759v1</t>
  </si>
  <si>
    <t>GCA_028327965.1</t>
  </si>
  <si>
    <t>B1_m1001271B151109d1_201121</t>
  </si>
  <si>
    <t>https://ftp.ncbi.nlm.nih.gov/genomes/all/GCA/028/327/965/GCA_028327965.1_ASM2832796v1</t>
  </si>
  <si>
    <t>GCA_028327985.1</t>
  </si>
  <si>
    <t>A1_m1001271B151109d1_201121</t>
  </si>
  <si>
    <t>https://ftp.ncbi.nlm.nih.gov/genomes/all/GCA/028/327/985/GCA_028327985.1_ASM2832798v1</t>
  </si>
  <si>
    <t>GCA_028328025.1</t>
  </si>
  <si>
    <t>J1101312st1_D9_J1101312_190322</t>
  </si>
  <si>
    <t>https://ftp.ncbi.nlm.nih.gov/genomes/all/GCA/028/328/025/GCA_028328025.1_ASM2832802v1</t>
  </si>
  <si>
    <t>GCA_028328045.1</t>
  </si>
  <si>
    <t>J1101312st1_B2_J1101312_190322</t>
  </si>
  <si>
    <t>https://ftp.ncbi.nlm.nih.gov/genomes/all/GCA/028/328/045/GCA_028328045.1_ASM2832804v1</t>
  </si>
  <si>
    <t>GCA_028328065.1</t>
  </si>
  <si>
    <t>BSD2780120874st1_F9_BSD2780120874b_170522</t>
  </si>
  <si>
    <t>https://ftp.ncbi.nlm.nih.gov/genomes/all/GCA/028/328/065/GCA_028328065.1_ASM2832806v1</t>
  </si>
  <si>
    <t>GCA_028328105.1</t>
  </si>
  <si>
    <t>J1101312st1_E8_J1101312_190322</t>
  </si>
  <si>
    <t>https://ftp.ncbi.nlm.nih.gov/genomes/all/GCA/028/328/105/GCA_028328105.1_ASM2832810v1</t>
  </si>
  <si>
    <t>GCA_028335085.1</t>
  </si>
  <si>
    <t>HG1691old</t>
  </si>
  <si>
    <t>https://ftp.ncbi.nlm.nih.gov/genomes/all/GCA/028/335/085/GCA_028335085.1_ASM2833508v1</t>
  </si>
  <si>
    <t>GCA_028335105.1</t>
  </si>
  <si>
    <t>A7436-C</t>
  </si>
  <si>
    <t>https://ftp.ncbi.nlm.nih.gov/genomes/all/GCA/028/335/105/GCA_028335105.1_ASM2833510v1</t>
  </si>
  <si>
    <t>GCA_028335125.1</t>
  </si>
  <si>
    <t>ATCC 49417</t>
  </si>
  <si>
    <t>https://ftp.ncbi.nlm.nih.gov/genomes/all/GCA/028/335/125/GCA_028335125.1_ASM2833512v1</t>
  </si>
  <si>
    <t>GCA_028335325.1</t>
  </si>
  <si>
    <t>R59-1</t>
  </si>
  <si>
    <t>https://ftp.ncbi.nlm.nih.gov/genomes/all/GCA/028/335/325/GCA_028335325.1_ASM2833532v1</t>
  </si>
  <si>
    <t>GCA_028335645.1</t>
  </si>
  <si>
    <t>R109-1</t>
  </si>
  <si>
    <t>https://ftp.ncbi.nlm.nih.gov/genomes/all/GCA/028/335/645/GCA_028335645.1_ASM2833564v1</t>
  </si>
  <si>
    <t>1001283st1_H1_1001283B150304_161114</t>
  </si>
  <si>
    <t>https://ftp.ncbi.nlm.nih.gov/genomes/all/GCA/028/399/565/GCA_028399565.1_ASM2839956v1</t>
  </si>
  <si>
    <t>GCA_028411915.1</t>
  </si>
  <si>
    <t>Egmn17</t>
  </si>
  <si>
    <t>https://ftp.ncbi.nlm.nih.gov/genomes/all/GCA/028/411/915/GCA_028411915.1_ASM2841191v1</t>
  </si>
  <si>
    <t>GCA_028462385.1</t>
  </si>
  <si>
    <t>SCCH130 Lau2261318</t>
  </si>
  <si>
    <t>https://ftp.ncbi.nlm.nih.gov/genomes/all/GCA/028/462/385/GCA_028462385.1_ASM2846238v1</t>
  </si>
  <si>
    <t>GCA_028464135.1</t>
  </si>
  <si>
    <t>G1M1F</t>
  </si>
  <si>
    <t>https://ftp.ncbi.nlm.nih.gov/genomes/all/GCA/028/464/135/GCA_028464135.1_ASM2846413v1</t>
  </si>
  <si>
    <t>GCA_028464905.1</t>
  </si>
  <si>
    <t>T1</t>
  </si>
  <si>
    <t>https://ftp.ncbi.nlm.nih.gov/genomes/all/GCA/028/464/905/GCA_028464905.1_ASM2846490v1</t>
  </si>
  <si>
    <t>GCA_028527665.1</t>
  </si>
  <si>
    <t>SCPM-O-B-9665 (Don 6)</t>
  </si>
  <si>
    <t>https://ftp.ncbi.nlm.nih.gov/genomes/all/GCA/028/527/665/GCA_028527665.1_ASM2852766v1</t>
  </si>
  <si>
    <t>GCA_028527685.1</t>
  </si>
  <si>
    <t>SCPM-O-B-9664 (Don 5)</t>
  </si>
  <si>
    <t>https://ftp.ncbi.nlm.nih.gov/genomes/all/GCA/028/527/685/GCA_028527685.1_ASM2852768v1</t>
  </si>
  <si>
    <t>GCA_028527725.1</t>
  </si>
  <si>
    <t>SCPM-O-B-9663 (Don 4)</t>
  </si>
  <si>
    <t>https://ftp.ncbi.nlm.nih.gov/genomes/all/GCA/028/527/725/GCA_028527725.1_ASM2852772v1</t>
  </si>
  <si>
    <t>GCA_028527745.1</t>
  </si>
  <si>
    <t>SCPM-O-B-9662 (Don 2)</t>
  </si>
  <si>
    <t>https://ftp.ncbi.nlm.nih.gov/genomes/all/GCA/028/527/745/GCA_028527745.1_ASM2852774v1</t>
  </si>
  <si>
    <t>GCA_028527755.1</t>
  </si>
  <si>
    <t>SCPM-O-B-9438 (R546)</t>
  </si>
  <si>
    <t>https://ftp.ncbi.nlm.nih.gov/genomes/all/GCA/028/527/755/GCA_028527755.1_ASM2852775v1</t>
  </si>
  <si>
    <t>GCA_028527805.1</t>
  </si>
  <si>
    <t>SCPM-O-B-9433 (R11)</t>
  </si>
  <si>
    <t>https://ftp.ncbi.nlm.nih.gov/genomes/all/GCA/028/527/805/GCA_028527805.1_ASM2852780v1</t>
  </si>
  <si>
    <t>GCA_028527825.1</t>
  </si>
  <si>
    <t>SCPM-O-B-9432 (R9)</t>
  </si>
  <si>
    <t>https://ftp.ncbi.nlm.nih.gov/genomes/all/GCA/028/527/825/GCA_028527825.1_ASM2852782v1</t>
  </si>
  <si>
    <t>GCA_028527845.1</t>
  </si>
  <si>
    <t>SCPM-O-B-9431 (R7)</t>
  </si>
  <si>
    <t>https://ftp.ncbi.nlm.nih.gov/genomes/all/GCA/028/527/845/GCA_028527845.1_ASM2852784v1</t>
  </si>
  <si>
    <t>GCA_028527885.1</t>
  </si>
  <si>
    <t>SCPM-O-B-9437 (R12)</t>
  </si>
  <si>
    <t>https://ftp.ncbi.nlm.nih.gov/genomes/all/GCA/028/527/885/GCA_028527885.1_ASM2852788v1</t>
  </si>
  <si>
    <t>GCA_028583345.1</t>
  </si>
  <si>
    <t>RSM43</t>
  </si>
  <si>
    <t>https://ftp.ncbi.nlm.nih.gov/genomes/all/GCA/028/583/345/GCA_028583345.1_ASM2858334v1</t>
  </si>
  <si>
    <t>GCA_028583365.1</t>
  </si>
  <si>
    <t>MC14</t>
  </si>
  <si>
    <t>https://ftp.ncbi.nlm.nih.gov/genomes/all/GCA/028/583/365/GCA_028583365.1_ASM2858336v1</t>
  </si>
  <si>
    <t>GCA_028583385.1</t>
  </si>
  <si>
    <t>RSM163</t>
  </si>
  <si>
    <t>https://ftp.ncbi.nlm.nih.gov/genomes/all/GCA/028/583/385/GCA_028583385.1_ASM2858338v1</t>
  </si>
  <si>
    <t>GCA_028596105.1</t>
  </si>
  <si>
    <t>LMJ</t>
  </si>
  <si>
    <t>https://ftp.ncbi.nlm.nih.gov/genomes/all/GCA/028/596/105/GCA_028596105.1_ASM2859610v1</t>
  </si>
  <si>
    <t>GCA_028607005.1</t>
  </si>
  <si>
    <t>LV1494_C165</t>
  </si>
  <si>
    <t>https://ftp.ncbi.nlm.nih.gov/genomes/all/GCA/028/607/005/GCA_028607005.1_ASM2860700v1</t>
  </si>
  <si>
    <t>GCA_028609805.1</t>
  </si>
  <si>
    <t>https://ftp.ncbi.nlm.nih.gov/genomes/all/GCA/028/609/805/GCA_028609805.1_ASM2860980v1</t>
  </si>
  <si>
    <t>GCA_028609825.1</t>
  </si>
  <si>
    <t>DSM 45751</t>
  </si>
  <si>
    <t>https://ftp.ncbi.nlm.nih.gov/genomes/all/GCA/028/609/825/GCA_028609825.1_ASM2860982v1</t>
  </si>
  <si>
    <t>GCA_028609885.1</t>
  </si>
  <si>
    <t>DSM 7171</t>
  </si>
  <si>
    <t>https://ftp.ncbi.nlm.nih.gov/genomes/all/GCA/028/609/885/GCA_028609885.1_ASM2860988v1</t>
  </si>
  <si>
    <t>GCA_028621975.1</t>
  </si>
  <si>
    <t>FNV</t>
  </si>
  <si>
    <t>https://ftp.ncbi.nlm.nih.gov/genomes/all/GCA/028/621/975/GCA_028621975.1_ASM2862197v1</t>
  </si>
  <si>
    <t>GCA_028621995.1</t>
  </si>
  <si>
    <t>FNU</t>
  </si>
  <si>
    <t>https://ftp.ncbi.nlm.nih.gov/genomes/all/GCA/028/621/995/GCA_028621995.1_ASM2862199v1</t>
  </si>
  <si>
    <t>GCA_028657925.1</t>
  </si>
  <si>
    <t>FNA</t>
  </si>
  <si>
    <t>https://ftp.ncbi.nlm.nih.gov/genomes/all/GCA/028/657/925/GCA_028657925.1_ASM2865792v1</t>
  </si>
  <si>
    <t>GCA_028735995.1</t>
  </si>
  <si>
    <t>FNP</t>
  </si>
  <si>
    <t>https://ftp.ncbi.nlm.nih.gov/genomes/all/GCA/028/735/995/GCA_028735995.1_ASM2873599v1</t>
  </si>
  <si>
    <t>GCA_028743415.1</t>
  </si>
  <si>
    <t>2/1/50A</t>
  </si>
  <si>
    <t>https://ftp.ncbi.nlm.nih.gov/genomes/all/GCA/028/743/415/GCA_028743415.1_ASM2874341v1</t>
  </si>
  <si>
    <t>GCA_028743475.1</t>
  </si>
  <si>
    <t>AC2811 AN NA 2</t>
  </si>
  <si>
    <t>https://ftp.ncbi.nlm.nih.gov/genomes/all/GCA/028/743/475/GCA_028743475.1_ASM2874347v1</t>
  </si>
  <si>
    <t>GCA_028767065.1</t>
  </si>
  <si>
    <t>PGMMGM001</t>
  </si>
  <si>
    <t>https://ftp.ncbi.nlm.nih.gov/genomes/all/GCA/028/767/065/GCA_028767065.1_ASM2876706v1</t>
  </si>
  <si>
    <t>GCA_028861895.1</t>
  </si>
  <si>
    <t>KGMB01548</t>
  </si>
  <si>
    <t>https://ftp.ncbi.nlm.nih.gov/genomes/all/GCA/028/861/895/GCA_028861895.1_ASM2886189v1</t>
  </si>
  <si>
    <t>GCA_028993465.1</t>
  </si>
  <si>
    <t>https://ftp.ncbi.nlm.nih.gov/genomes/all/GCA/028/993/465/GCA_028993465.1_ASM2899346v1</t>
  </si>
  <si>
    <t>GCA_028994155.1</t>
  </si>
  <si>
    <t>G5.M11b</t>
  </si>
  <si>
    <t>https://ftp.ncbi.nlm.nih.gov/genomes/all/GCA/028/994/155/GCA_028994155.1_ASM2899415v1</t>
  </si>
  <si>
    <t>GCA_029011155.1</t>
  </si>
  <si>
    <t>VSI04</t>
  </si>
  <si>
    <t>https://ftp.ncbi.nlm.nih.gov/genomes/all/GCA/029/011/155/GCA_029011155.1_ASM2901115v1</t>
  </si>
  <si>
    <t>GCA_029011475.1</t>
  </si>
  <si>
    <t>VSI24</t>
  </si>
  <si>
    <t>https://ftp.ncbi.nlm.nih.gov/genomes/all/GCA/029/011/475/GCA_029011475.1_ASM2901147v1</t>
  </si>
  <si>
    <t>GCA_029011785.1</t>
  </si>
  <si>
    <t>VSI07</t>
  </si>
  <si>
    <t>https://ftp.ncbi.nlm.nih.gov/genomes/all/GCA/029/011/785/GCA_029011785.1_ASM2901178v1</t>
  </si>
  <si>
    <t>GCA_029023765.1</t>
  </si>
  <si>
    <t>DSM 20340</t>
  </si>
  <si>
    <t>https://ftp.ncbi.nlm.nih.gov/genomes/all/GCA/029/023/765/GCA_029023765.1_ASM2902376v1</t>
  </si>
  <si>
    <t>GCA_029023825.1</t>
  </si>
  <si>
    <t>https://ftp.ncbi.nlm.nih.gov/genomes/all/GCA/029/023/825/GCA_029023825.1_ASM2902382v1</t>
  </si>
  <si>
    <t>GCA_029023845.1</t>
  </si>
  <si>
    <t>DSM 20316</t>
  </si>
  <si>
    <t>https://ftp.ncbi.nlm.nih.gov/genomes/all/GCA/029/023/845/GCA_029023845.1_ASM2902384v1</t>
  </si>
  <si>
    <t>GCA_029023865.1</t>
  </si>
  <si>
    <t>DSM 20481</t>
  </si>
  <si>
    <t>https://ftp.ncbi.nlm.nih.gov/genomes/all/GCA/029/023/865/GCA_029023865.1_ASM2902386v1</t>
  </si>
  <si>
    <t>GCA_029023945.1</t>
  </si>
  <si>
    <t>DSM 20263</t>
  </si>
  <si>
    <t>https://ftp.ncbi.nlm.nih.gov/genomes/all/GCA/029/023/945/GCA_029023945.1_ASM2902394v1</t>
  </si>
  <si>
    <t>GCA_029024105.1</t>
  </si>
  <si>
    <t>DSM 2403</t>
  </si>
  <si>
    <t>https://ftp.ncbi.nlm.nih.gov/genomes/all/GCA/029/024/105/GCA_029024105.1_ASM2902410v1</t>
  </si>
  <si>
    <t>GCA_029026905.1</t>
  </si>
  <si>
    <t>X13</t>
  </si>
  <si>
    <t>https://ftp.ncbi.nlm.nih.gov/genomes/all/GCA/029/026/905/GCA_029026905.1_ASM2902690v1</t>
  </si>
  <si>
    <t>GCA_029027845.1</t>
  </si>
  <si>
    <t>https://ftp.ncbi.nlm.nih.gov/genomes/all/GCA/029/027/845/GCA_029027845.1_ASM2902784v1</t>
  </si>
  <si>
    <t>GCA_029071925.1</t>
  </si>
  <si>
    <t>CIM3001</t>
  </si>
  <si>
    <t>https://ftp.ncbi.nlm.nih.gov/genomes/all/GCA/029/071/925/GCA_029071925.1_ASM2907192v1</t>
  </si>
  <si>
    <t>GCA_029223075.1</t>
  </si>
  <si>
    <t>NCB002</t>
  </si>
  <si>
    <t>https://ftp.ncbi.nlm.nih.gov/genomes/all/GCA/029/223/075/GCA_029223075.1_ASM2922307v1</t>
  </si>
  <si>
    <t>GCA_029223925.1</t>
  </si>
  <si>
    <t>KUFM408</t>
  </si>
  <si>
    <t>https://ftp.ncbi.nlm.nih.gov/genomes/all/GCA/029/223/925/GCA_029223925.1_ASM2922392v1</t>
  </si>
  <si>
    <t>GCA_029226345.1</t>
  </si>
  <si>
    <t>c17Ua_112</t>
  </si>
  <si>
    <t>https://ftp.ncbi.nlm.nih.gov/genomes/all/GCA/029/226/345/GCA_029226345.1_ASM2922634v1</t>
  </si>
  <si>
    <t>GCA_029277405.1</t>
  </si>
  <si>
    <t>37b4</t>
  </si>
  <si>
    <t>https://ftp.ncbi.nlm.nih.gov/genomes/all/GCA/029/277/405/GCA_029277405.1_ASM2927740v1</t>
  </si>
  <si>
    <t>GCA_029338415.1</t>
  </si>
  <si>
    <t>SB-1</t>
  </si>
  <si>
    <t>https://ftp.ncbi.nlm.nih.gov/genomes/all/GCA/029/338/415/GCA_029338415.1_ASM2933841v1</t>
  </si>
  <si>
    <t>GCA_029338475.1</t>
  </si>
  <si>
    <t>YM-1</t>
  </si>
  <si>
    <t>https://ftp.ncbi.nlm.nih.gov/genomes/all/GCA/029/338/475/GCA_029338475.1_ASM2933847v1</t>
  </si>
  <si>
    <t>AY11-1</t>
  </si>
  <si>
    <t>https://ftp.ncbi.nlm.nih.gov/genomes/all/GCA/029/369/765/GCA_029369765.1_ASM2936976v1</t>
  </si>
  <si>
    <t>GCA_029457595.1</t>
  </si>
  <si>
    <t>32FSE06</t>
  </si>
  <si>
    <t>https://ftp.ncbi.nlm.nih.gov/genomes/all/GCA/029/457/595/GCA_029457595.1_ASM2945759v1</t>
  </si>
  <si>
    <t>GCA_029623695.1</t>
  </si>
  <si>
    <t>NRCH180079</t>
  </si>
  <si>
    <t>https://ftp.ncbi.nlm.nih.gov/genomes/all/GCA/029/623/695/GCA_029623695.1_ASM2962369v1</t>
  </si>
  <si>
    <t>GCA_029623715.1</t>
  </si>
  <si>
    <t>NRCH190002</t>
  </si>
  <si>
    <t>https://ftp.ncbi.nlm.nih.gov/genomes/all/GCA/029/623/715/GCA_029623715.1_ASM2962371v1</t>
  </si>
  <si>
    <t>GCA_029623735.1</t>
  </si>
  <si>
    <t>NRCH180136</t>
  </si>
  <si>
    <t>https://ftp.ncbi.nlm.nih.gov/genomes/all/GCA/029/623/735/GCA_029623735.1_ASM2962373v1</t>
  </si>
  <si>
    <t>GCA_029691405.1</t>
  </si>
  <si>
    <t>D7B5</t>
  </si>
  <si>
    <t>https://ftp.ncbi.nlm.nih.gov/genomes/all/GCA/029/691/405/GCA_029691405.1_ASM2969140v1</t>
  </si>
  <si>
    <t>GCA_029691705.1</t>
  </si>
  <si>
    <t>32FSE02</t>
  </si>
  <si>
    <t>https://ftp.ncbi.nlm.nih.gov/genomes/all/GCA/029/691/705/GCA_029691705.1_ASM2969170v1</t>
  </si>
  <si>
    <t>GCA_029691725.1</t>
  </si>
  <si>
    <t>44DSE01</t>
  </si>
  <si>
    <t>https://ftp.ncbi.nlm.nih.gov/genomes/all/GCA/029/691/725/GCA_029691725.1_ASM2969172v1</t>
  </si>
  <si>
    <t>GCA_029691775.1</t>
  </si>
  <si>
    <t>32FSE07</t>
  </si>
  <si>
    <t>https://ftp.ncbi.nlm.nih.gov/genomes/all/GCA/029/691/775/GCA_029691775.1_ASM2969177v1</t>
  </si>
  <si>
    <t>GCA_029691795.1</t>
  </si>
  <si>
    <t>47FSE01</t>
  </si>
  <si>
    <t>https://ftp.ncbi.nlm.nih.gov/genomes/all/GCA/029/691/795/GCA_029691795.1_ASM2969179v1</t>
  </si>
  <si>
    <t>GCA_029691815.1</t>
  </si>
  <si>
    <t>1FSE05</t>
  </si>
  <si>
    <t>https://ftp.ncbi.nlm.nih.gov/genomes/all/GCA/029/691/815/GCA_029691815.1_ASM2969181v1</t>
  </si>
  <si>
    <t>GCA_029691875.1</t>
  </si>
  <si>
    <t>24FSE04</t>
  </si>
  <si>
    <t>https://ftp.ncbi.nlm.nih.gov/genomes/all/GCA/029/691/875/GCA_029691875.1_ASM2969187v1</t>
  </si>
  <si>
    <t>GCA_029691895.1</t>
  </si>
  <si>
    <t>24FSE01</t>
  </si>
  <si>
    <t>https://ftp.ncbi.nlm.nih.gov/genomes/all/GCA/029/691/895/GCA_029691895.1_ASM2969189v1</t>
  </si>
  <si>
    <t>GCA_029691915.1</t>
  </si>
  <si>
    <t>20DL</t>
  </si>
  <si>
    <t>https://ftp.ncbi.nlm.nih.gov/genomes/all/GCA/029/691/915/GCA_029691915.1_ASM2969191v1</t>
  </si>
  <si>
    <t>GCA_029691935.1</t>
  </si>
  <si>
    <t>1FSE01</t>
  </si>
  <si>
    <t>https://ftp.ncbi.nlm.nih.gov/genomes/all/GCA/029/691/935/GCA_029691935.1_ASM2969193v1</t>
  </si>
  <si>
    <t>GCA_029691955.1</t>
  </si>
  <si>
    <t>1FSE03</t>
  </si>
  <si>
    <t>https://ftp.ncbi.nlm.nih.gov/genomes/all/GCA/029/691/955/GCA_029691955.1_ASM2969195v1</t>
  </si>
  <si>
    <t>GCA_029726355.1</t>
  </si>
  <si>
    <t>DSM 115425</t>
  </si>
  <si>
    <t>https://ftp.ncbi.nlm.nih.gov/genomes/all/GCA/029/726/355/GCA_029726355.1_ASM2972635v1</t>
  </si>
  <si>
    <t>GCA_029748795.1</t>
  </si>
  <si>
    <t>DSM 115424</t>
  </si>
  <si>
    <t>https://ftp.ncbi.nlm.nih.gov/genomes/all/GCA/029/748/795/GCA_029748795.1_ASM2974879v1</t>
  </si>
  <si>
    <t>GCA_029813755.1</t>
  </si>
  <si>
    <t>10c7w1</t>
  </si>
  <si>
    <t>https://ftp.ncbi.nlm.nih.gov/genomes/all/GCA/029/813/755/GCA_029813755.1_ASM2981375v1</t>
  </si>
  <si>
    <t>GCA_029814875.1</t>
  </si>
  <si>
    <t>GD04132</t>
  </si>
  <si>
    <t>https://ftp.ncbi.nlm.nih.gov/genomes/all/GCA/029/814/875/GCA_029814875.1_ASM2981487v1</t>
  </si>
  <si>
    <t>GCA_029823225.1</t>
  </si>
  <si>
    <t>LMG 6902</t>
  </si>
  <si>
    <t>https://ftp.ncbi.nlm.nih.gov/genomes/all/GCA/029/823/225/GCA_029823225.1_ASM2982322v1</t>
  </si>
  <si>
    <t>GCA_029823545.1</t>
  </si>
  <si>
    <t>LMG 9477</t>
  </si>
  <si>
    <t>https://ftp.ncbi.nlm.nih.gov/genomes/all/GCA/029/823/545/GCA_029823545.1_ASM2982354v1</t>
  </si>
  <si>
    <t>GCA_029823575.1</t>
  </si>
  <si>
    <t>DSM 20243</t>
  </si>
  <si>
    <t>https://ftp.ncbi.nlm.nih.gov/genomes/all/GCA/029/823/575/GCA_029823575.1_ASM2982357v1</t>
  </si>
  <si>
    <t>GCA_029838685.1</t>
  </si>
  <si>
    <t>GD03976</t>
  </si>
  <si>
    <t>https://ftp.ncbi.nlm.nih.gov/genomes/all/GCA/029/838/685/GCA_029838685.1_ASM2983868v1</t>
  </si>
  <si>
    <t>GCA_029843895.1</t>
  </si>
  <si>
    <t>GD03704</t>
  </si>
  <si>
    <t>https://ftp.ncbi.nlm.nih.gov/genomes/all/GCA/029/843/895/GCA_029843895.1_ASM2984389v1</t>
  </si>
  <si>
    <t>GCA_029846465.1</t>
  </si>
  <si>
    <t>Fn11kaz</t>
  </si>
  <si>
    <t>https://ftp.ncbi.nlm.nih.gov/genomes/all/GCA/029/846/465/GCA_029846465.1_ASM2984646v1</t>
  </si>
  <si>
    <t>GCA_029846575.1</t>
  </si>
  <si>
    <t>https://ftp.ncbi.nlm.nih.gov/genomes/all/GCA/029/846/575/GCA_029846575.1_ASM2984657v1</t>
  </si>
  <si>
    <t>GCA_029850825.1</t>
  </si>
  <si>
    <t>RSM482</t>
  </si>
  <si>
    <t>https://ftp.ncbi.nlm.nih.gov/genomes/all/GCA/029/850/825/GCA_029850825.1_ASM2985082v1</t>
  </si>
  <si>
    <t>GCA_029850855.1</t>
  </si>
  <si>
    <t>RSM522</t>
  </si>
  <si>
    <t>https://ftp.ncbi.nlm.nih.gov/genomes/all/GCA/029/850/855/GCA_029850855.1_ASM2985085v1</t>
  </si>
  <si>
    <t>GCA_029850905.1</t>
  </si>
  <si>
    <t>RSM249</t>
  </si>
  <si>
    <t>https://ftp.ncbi.nlm.nih.gov/genomes/all/GCA/029/850/905/GCA_029850905.1_ASM2985090v1</t>
  </si>
  <si>
    <t>GCA_029850925.1</t>
  </si>
  <si>
    <t>RSM82</t>
  </si>
  <si>
    <t>https://ftp.ncbi.nlm.nih.gov/genomes/all/GCA/029/850/925/GCA_029850925.1_ASM2985092v1</t>
  </si>
  <si>
    <t>GCA_029850955.1</t>
  </si>
  <si>
    <t>RSM89</t>
  </si>
  <si>
    <t>https://ftp.ncbi.nlm.nih.gov/genomes/all/GCA/029/850/955/GCA_029850955.1_ASM2985095v1</t>
  </si>
  <si>
    <t>GCA_029851005.1</t>
  </si>
  <si>
    <t>RSM15</t>
  </si>
  <si>
    <t>https://ftp.ncbi.nlm.nih.gov/genomes/all/GCA/029/851/005/GCA_029851005.1_ASM2985100v1</t>
  </si>
  <si>
    <t>GCA_029851025.1</t>
  </si>
  <si>
    <t>RSM41</t>
  </si>
  <si>
    <t>https://ftp.ncbi.nlm.nih.gov/genomes/all/GCA/029/851/025/GCA_029851025.1_ASM2985102v1</t>
  </si>
  <si>
    <t>GCA_029851045.1</t>
  </si>
  <si>
    <t>RSM16</t>
  </si>
  <si>
    <t>https://ftp.ncbi.nlm.nih.gov/genomes/all/GCA/029/851/045/GCA_029851045.1_ASM2985104v1</t>
  </si>
  <si>
    <t>GCA_029851525.1</t>
  </si>
  <si>
    <t>CBS-BPNBT19153</t>
  </si>
  <si>
    <t>https://ftp.ncbi.nlm.nih.gov/genomes/all/GCA/029/851/525/GCA_029851525.1_ASM2985152v1</t>
  </si>
  <si>
    <t>GCA_029851545.1</t>
  </si>
  <si>
    <t>CBS-BPNBT19227</t>
  </si>
  <si>
    <t>https://ftp.ncbi.nlm.nih.gov/genomes/all/GCA/029/851/545/GCA_029851545.1_ASM2985154v1</t>
  </si>
  <si>
    <t>GCA_029851565.1</t>
  </si>
  <si>
    <t>CBS-BPNBT19223</t>
  </si>
  <si>
    <t>https://ftp.ncbi.nlm.nih.gov/genomes/all/GCA/029/851/565/GCA_029851565.1_ASM2985156v1</t>
  </si>
  <si>
    <t>GCA_029851585.1</t>
  </si>
  <si>
    <t>CBS-BPNBT19329</t>
  </si>
  <si>
    <t>https://ftp.ncbi.nlm.nih.gov/genomes/all/GCA/029/851/585/GCA_029851585.1_ASM2985158v1</t>
  </si>
  <si>
    <t>GCA_029851605.1</t>
  </si>
  <si>
    <t>CBS-BPNBT19195</t>
  </si>
  <si>
    <t>https://ftp.ncbi.nlm.nih.gov/genomes/all/GCA/029/851/605/GCA_029851605.1_ASM2985160v1</t>
  </si>
  <si>
    <t>GCA_029851625.1</t>
  </si>
  <si>
    <t>CBS-BPNBT19269</t>
  </si>
  <si>
    <t>https://ftp.ncbi.nlm.nih.gov/genomes/all/GCA/029/851/625/GCA_029851625.1_ASM2985162v1</t>
  </si>
  <si>
    <t>GCA_029866565.1</t>
  </si>
  <si>
    <t>19LMF8280815</t>
  </si>
  <si>
    <t>https://ftp.ncbi.nlm.nih.gov/genomes/all/GCA/029/866/565/GCA_029866565.1_ASM2986656v1</t>
  </si>
  <si>
    <t>GCA_029866705.1</t>
  </si>
  <si>
    <t>22LMF5290815</t>
  </si>
  <si>
    <t>https://ftp.ncbi.nlm.nih.gov/genomes/all/GCA/029/866/705/GCA_029866705.1_ASM2986670v1</t>
  </si>
  <si>
    <t>GCA_029866725.1</t>
  </si>
  <si>
    <t>24SNM5151115</t>
  </si>
  <si>
    <t>https://ftp.ncbi.nlm.nih.gov/genomes/all/GCA/029/866/725/GCA_029866725.1_ASM2986672v1</t>
  </si>
  <si>
    <t>GCA_029872115.1</t>
  </si>
  <si>
    <t>D-9</t>
  </si>
  <si>
    <t>https://ftp.ncbi.nlm.nih.gov/genomes/all/GCA/029/872/115/GCA_029872115.1_ASM2987211v1</t>
  </si>
  <si>
    <t>LBL</t>
  </si>
  <si>
    <t>https://ftp.ncbi.nlm.nih.gov/genomes/all/GCA/029/893/715/GCA_029893715.1_ASM2989371v1</t>
  </si>
  <si>
    <t>GCA_029911295.1</t>
  </si>
  <si>
    <t>Bg4</t>
  </si>
  <si>
    <t>https://ftp.ncbi.nlm.nih.gov/genomes/all/GCA/029/911/295/GCA_029911295.1_ASM2991129v1</t>
  </si>
  <si>
    <t>GCA_029917045.1</t>
  </si>
  <si>
    <t>SH1275</t>
  </si>
  <si>
    <t>https://ftp.ncbi.nlm.nih.gov/genomes/all/GCA/029/917/045/GCA_029917045.1_ASM2991704v1</t>
  </si>
  <si>
    <t>GCA_029917065.1</t>
  </si>
  <si>
    <t>SH9361</t>
  </si>
  <si>
    <t>https://ftp.ncbi.nlm.nih.gov/genomes/all/GCA/029/917/065/GCA_029917065.1_ASM2991706v1</t>
  </si>
  <si>
    <t>GCA_029917375.1</t>
  </si>
  <si>
    <t>ADPXQ</t>
  </si>
  <si>
    <t>https://ftp.ncbi.nlm.nih.gov/genomes/all/GCA/029/917/375/GCA_029917375.1_ASM2991737v1</t>
  </si>
  <si>
    <t>GCA_029918385.1</t>
  </si>
  <si>
    <t>ADPVN</t>
  </si>
  <si>
    <t>https://ftp.ncbi.nlm.nih.gov/genomes/all/GCA/029/918/385/GCA_029918385.1_ASM2991838v1</t>
  </si>
  <si>
    <t>GCA_029918605.1</t>
  </si>
  <si>
    <t>ADPVB</t>
  </si>
  <si>
    <t>https://ftp.ncbi.nlm.nih.gov/genomes/all/GCA/029/918/605/GCA_029918605.1_ASM2991860v1</t>
  </si>
  <si>
    <t>GCA_029918745.1</t>
  </si>
  <si>
    <t>ADPUU</t>
  </si>
  <si>
    <t>https://ftp.ncbi.nlm.nih.gov/genomes/all/GCA/029/918/745/GCA_029918745.1_ASM2991874v1</t>
  </si>
  <si>
    <t>GCA_029918815.1</t>
  </si>
  <si>
    <t>ADPUS</t>
  </si>
  <si>
    <t>https://ftp.ncbi.nlm.nih.gov/genomes/all/GCA/029/918/815/GCA_029918815.1_ASM2991881v1</t>
  </si>
  <si>
    <t>GCA_029924965.1</t>
  </si>
  <si>
    <t>ACVHD</t>
  </si>
  <si>
    <t>https://ftp.ncbi.nlm.nih.gov/genomes/all/GCA/029/924/965/GCA_029924965.1_ASM2992496v1</t>
  </si>
  <si>
    <t>GCA_029924985.1</t>
  </si>
  <si>
    <t>ACVHC</t>
  </si>
  <si>
    <t>https://ftp.ncbi.nlm.nih.gov/genomes/all/GCA/029/924/985/GCA_029924985.1_ASM2992498v1</t>
  </si>
  <si>
    <t>GCA_029925065.1</t>
  </si>
  <si>
    <t>ACVGX</t>
  </si>
  <si>
    <t>https://ftp.ncbi.nlm.nih.gov/genomes/all/GCA/029/925/065/GCA_029925065.1_ASM2992506v1</t>
  </si>
  <si>
    <t>GCA_029925185.1</t>
  </si>
  <si>
    <t>ACVGS</t>
  </si>
  <si>
    <t>https://ftp.ncbi.nlm.nih.gov/genomes/all/GCA/029/925/185/GCA_029925185.1_ASM2992518v1</t>
  </si>
  <si>
    <t>GCA_029925195.1</t>
  </si>
  <si>
    <t>ACVGP</t>
  </si>
  <si>
    <t>https://ftp.ncbi.nlm.nih.gov/genomes/all/GCA/029/925/195/GCA_029925195.1_ASM2992519v1</t>
  </si>
  <si>
    <t>GCA_029925625.1</t>
  </si>
  <si>
    <t>ACVFB</t>
  </si>
  <si>
    <t>https://ftp.ncbi.nlm.nih.gov/genomes/all/GCA/029/925/625/GCA_029925625.1_ASM2992562v1</t>
  </si>
  <si>
    <t>GCA_029926435.1</t>
  </si>
  <si>
    <t>ACVGQ</t>
  </si>
  <si>
    <t>https://ftp.ncbi.nlm.nih.gov/genomes/all/GCA/029/926/435/GCA_029926435.1_ASM2992643v1</t>
  </si>
  <si>
    <t>GCA_029926445.1</t>
  </si>
  <si>
    <t>ACVGO</t>
  </si>
  <si>
    <t>https://ftp.ncbi.nlm.nih.gov/genomes/all/GCA/029/926/445/GCA_029926445.1_ASM2992644v1</t>
  </si>
  <si>
    <t>GCA_029926485.1</t>
  </si>
  <si>
    <t>ACVGN</t>
  </si>
  <si>
    <t>https://ftp.ncbi.nlm.nih.gov/genomes/all/GCA/029/926/485/GCA_029926485.1_ASM2992648v1</t>
  </si>
  <si>
    <t>GCA_029926535.1</t>
  </si>
  <si>
    <t>ACVGF</t>
  </si>
  <si>
    <t>https://ftp.ncbi.nlm.nih.gov/genomes/all/GCA/029/926/535/GCA_029926535.1_ASM2992653v1</t>
  </si>
  <si>
    <t>GCA_029926565.1</t>
  </si>
  <si>
    <t>ACVGG</t>
  </si>
  <si>
    <t>https://ftp.ncbi.nlm.nih.gov/genomes/all/GCA/029/926/565/GCA_029926565.1_ASM2992656v1</t>
  </si>
  <si>
    <t>GCA_029926605.1</t>
  </si>
  <si>
    <t>ACVGE</t>
  </si>
  <si>
    <t>https://ftp.ncbi.nlm.nih.gov/genomes/all/GCA/029/926/605/GCA_029926605.1_ASM2992660v1</t>
  </si>
  <si>
    <t>GCA_029926805.1</t>
  </si>
  <si>
    <t>ACVFA</t>
  </si>
  <si>
    <t>https://ftp.ncbi.nlm.nih.gov/genomes/all/GCA/029/926/805/GCA_029926805.1_ASM2992680v1</t>
  </si>
  <si>
    <t>GCA_029926865.1</t>
  </si>
  <si>
    <t>ACVEJ</t>
  </si>
  <si>
    <t>https://ftp.ncbi.nlm.nih.gov/genomes/all/GCA/029/926/865/GCA_029926865.1_ASM2992686v1</t>
  </si>
  <si>
    <t>GCA_029926905.1</t>
  </si>
  <si>
    <t>ACVEI</t>
  </si>
  <si>
    <t>https://ftp.ncbi.nlm.nih.gov/genomes/all/GCA/029/926/905/GCA_029926905.1_ASM2992690v1</t>
  </si>
  <si>
    <t>GCA_029926915.1</t>
  </si>
  <si>
    <t>ACVEH</t>
  </si>
  <si>
    <t>https://ftp.ncbi.nlm.nih.gov/genomes/all/GCA/029/926/915/GCA_029926915.1_ASM2992691v1</t>
  </si>
  <si>
    <t>GCA_029927345.1</t>
  </si>
  <si>
    <t>ACVCL</t>
  </si>
  <si>
    <t>https://ftp.ncbi.nlm.nih.gov/genomes/all/GCA/029/927/345/GCA_029927345.1_ASM2992734v1</t>
  </si>
  <si>
    <t>GCA_029927385.1</t>
  </si>
  <si>
    <t>ACVCI</t>
  </si>
  <si>
    <t>https://ftp.ncbi.nlm.nih.gov/genomes/all/GCA/029/927/385/GCA_029927385.1_ASM2992738v1</t>
  </si>
  <si>
    <t>GCA_029927405.1</t>
  </si>
  <si>
    <t>ACVCG</t>
  </si>
  <si>
    <t>https://ftp.ncbi.nlm.nih.gov/genomes/all/GCA/029/927/405/GCA_029927405.1_ASM2992740v1</t>
  </si>
  <si>
    <t>GCA_029927425.1</t>
  </si>
  <si>
    <t>ACVCH</t>
  </si>
  <si>
    <t>https://ftp.ncbi.nlm.nih.gov/genomes/all/GCA/029/927/425/GCA_029927425.1_ASM2992742v1</t>
  </si>
  <si>
    <t>GCA_029928745.1</t>
  </si>
  <si>
    <t>ACVEO</t>
  </si>
  <si>
    <t>https://ftp.ncbi.nlm.nih.gov/genomes/all/GCA/029/928/745/GCA_029928745.1_ASM2992874v1</t>
  </si>
  <si>
    <t>GCA_029928775.1</t>
  </si>
  <si>
    <t>ACVEN</t>
  </si>
  <si>
    <t>https://ftp.ncbi.nlm.nih.gov/genomes/all/GCA/029/928/775/GCA_029928775.1_ASM2992877v1</t>
  </si>
  <si>
    <t>GCA_029928945.1</t>
  </si>
  <si>
    <t>ACVCK</t>
  </si>
  <si>
    <t>https://ftp.ncbi.nlm.nih.gov/genomes/all/GCA/029/928/945/GCA_029928945.1_ASM2992894v1</t>
  </si>
  <si>
    <t>GCA_029928965.1</t>
  </si>
  <si>
    <t>ACVCJ</t>
  </si>
  <si>
    <t>https://ftp.ncbi.nlm.nih.gov/genomes/all/GCA/029/928/965/GCA_029928965.1_ASM2992896v1</t>
  </si>
  <si>
    <t>GCA_029928985.1</t>
  </si>
  <si>
    <t>ACVCF</t>
  </si>
  <si>
    <t>https://ftp.ncbi.nlm.nih.gov/genomes/all/GCA/029/928/985/GCA_029928985.1_ASM2992898v1</t>
  </si>
  <si>
    <t>GCA_029929545.1</t>
  </si>
  <si>
    <t>ACVGR</t>
  </si>
  <si>
    <t>https://ftp.ncbi.nlm.nih.gov/genomes/all/GCA/029/929/545/GCA_029929545.1_ASM2992954v1</t>
  </si>
  <si>
    <t>GCA_029929625.1</t>
  </si>
  <si>
    <t>ACVCM</t>
  </si>
  <si>
    <t>https://ftp.ncbi.nlm.nih.gov/genomes/all/GCA/029/929/625/GCA_029929625.1_ASM2992962v1</t>
  </si>
  <si>
    <t>GCA_029959705.1</t>
  </si>
  <si>
    <t>PS02297</t>
  </si>
  <si>
    <t>https://ftp.ncbi.nlm.nih.gov/genomes/all/GCA/029/959/705/GCA_029959705.1_ASM2995970v1</t>
  </si>
  <si>
    <t>GCA_029961705.1</t>
  </si>
  <si>
    <t>Sample9_3</t>
  </si>
  <si>
    <t>https://ftp.ncbi.nlm.nih.gov/genomes/all/GCA/029/961/705/GCA_029961705.1_ASM2996170v1</t>
  </si>
  <si>
    <t>GCA_029967835.1</t>
  </si>
  <si>
    <t>V87_3</t>
  </si>
  <si>
    <t>https://ftp.ncbi.nlm.nih.gov/genomes/all/GCA/029/967/835/GCA_029967835.1_ASM2996783v1</t>
  </si>
  <si>
    <t>GCA_029984535.1</t>
  </si>
  <si>
    <t>bin-139</t>
  </si>
  <si>
    <t>https://ftp.ncbi.nlm.nih.gov/genomes/all/GCA/029/984/535/GCA_029984535.1_ASM2998453v1</t>
  </si>
  <si>
    <t>GCA_029984765.1</t>
  </si>
  <si>
    <t>bin-100</t>
  </si>
  <si>
    <t>https://ftp.ncbi.nlm.nih.gov/genomes/all/GCA/029/984/765/GCA_029984765.1_ASM2998476v1</t>
  </si>
  <si>
    <t>GCA_029991895.1</t>
  </si>
  <si>
    <t>CCUG 73409</t>
  </si>
  <si>
    <t>https://ftp.ncbi.nlm.nih.gov/genomes/all/GCA/029/991/895/GCA_029991895.1_ASM2999189v1</t>
  </si>
  <si>
    <t>GCA_030008055.1</t>
  </si>
  <si>
    <t>SHL-20230108WGSARO1-L360107582</t>
  </si>
  <si>
    <t>https://ftp.ncbi.nlm.nih.gov/genomes/all/GCA/030/008/055/GCA_030008055.1_ASM3000805v1</t>
  </si>
  <si>
    <t>GCA_030011735.1</t>
  </si>
  <si>
    <t>G0016</t>
  </si>
  <si>
    <t>https://ftp.ncbi.nlm.nih.gov/genomes/all/GCA/030/011/735/GCA_030011735.1_ASM3001173v1</t>
  </si>
  <si>
    <t>GCA_030012845.1</t>
  </si>
  <si>
    <t>https://ftp.ncbi.nlm.nih.gov/genomes/all/GCA/030/012/845/GCA_030012845.1_ASM3001284v1</t>
  </si>
  <si>
    <t>GCA_030013945.1</t>
  </si>
  <si>
    <t>https://ftp.ncbi.nlm.nih.gov/genomes/all/GCA/030/013/945/GCA_030013945.1_ASM3001394v1</t>
  </si>
  <si>
    <t>GCA_030014025.1</t>
  </si>
  <si>
    <t>https://ftp.ncbi.nlm.nih.gov/genomes/all/GCA/030/014/025/GCA_030014025.1_ASM3001402v1</t>
  </si>
  <si>
    <t>GCA_030014045.1</t>
  </si>
  <si>
    <t>https://ftp.ncbi.nlm.nih.gov/genomes/all/GCA/030/014/045/GCA_030014045.1_ASM3001404v1</t>
  </si>
  <si>
    <t>GCA_030014105.1</t>
  </si>
  <si>
    <t>https://ftp.ncbi.nlm.nih.gov/genomes/all/GCA/030/014/105/GCA_030014105.1_ASM3001410v1</t>
  </si>
  <si>
    <t>GCA_030015085.1</t>
  </si>
  <si>
    <t>CCUG 73410</t>
  </si>
  <si>
    <t>https://ftp.ncbi.nlm.nih.gov/genomes/all/GCA/030/015/085/GCA_030015085.1_ASM3001508v1</t>
  </si>
  <si>
    <t>GCA_030027035.1</t>
  </si>
  <si>
    <t>S6 5008-2</t>
  </si>
  <si>
    <t>https://ftp.ncbi.nlm.nih.gov/genomes/all/GCA/030/027/035/GCA_030027035.1_ASM3002703v1</t>
  </si>
  <si>
    <t>GCA_030053195.1</t>
  </si>
  <si>
    <t>BSLO1801</t>
  </si>
  <si>
    <t>https://ftp.ncbi.nlm.nih.gov/genomes/all/GCA/030/053/195/GCA_030053195.1_ASM3005319v1</t>
  </si>
  <si>
    <t>GCA_030053435.1</t>
  </si>
  <si>
    <t>GBY4178</t>
  </si>
  <si>
    <t>https://ftp.ncbi.nlm.nih.gov/genomes/all/GCA/030/053/435/GCA_030053435.1_KVI_CoNS_GBY4178</t>
  </si>
  <si>
    <t>GCA_030062785.1</t>
  </si>
  <si>
    <t>S92</t>
  </si>
  <si>
    <t>https://ftp.ncbi.nlm.nih.gov/genomes/all/GCA/030/062/785/GCA_030062785.1_ASM3006278v1</t>
  </si>
  <si>
    <t>https://ftp.ncbi.nlm.nih.gov/genomes/all/GCA/030/122/685/GCA_030122685.1_ASM3012268v1</t>
  </si>
  <si>
    <t>GCA_030144345.1</t>
  </si>
  <si>
    <t>LyEC01</t>
  </si>
  <si>
    <t>https://ftp.ncbi.nlm.nih.gov/genomes/all/GCA/030/144/345/GCA_030144345.1_ASM3014434v1</t>
  </si>
  <si>
    <t>GCA_030144815.1</t>
  </si>
  <si>
    <t>EL1</t>
  </si>
  <si>
    <t>https://ftp.ncbi.nlm.nih.gov/genomes/all/GCA/030/144/815/GCA_030144815.1_ASM3014481v1</t>
  </si>
  <si>
    <t>GCA_030148125.1</t>
  </si>
  <si>
    <t>BWSM_57</t>
  </si>
  <si>
    <t>https://ftp.ncbi.nlm.nih.gov/genomes/all/GCA/030/148/125/GCA_030148125.1_ASM3014812v1</t>
  </si>
  <si>
    <t>GCA_030166435.1</t>
  </si>
  <si>
    <t>TL17</t>
  </si>
  <si>
    <t>https://ftp.ncbi.nlm.nih.gov/genomes/all/GCA/030/166/435/GCA_030166435.1_ASM3016643v1</t>
  </si>
  <si>
    <t>GCA_030166615.1</t>
  </si>
  <si>
    <t>W80</t>
  </si>
  <si>
    <t>https://ftp.ncbi.nlm.nih.gov/genomes/all/GCA/030/166/615/GCA_030166615.1_ASM3016661v1</t>
  </si>
  <si>
    <t>GCA_030166635.1</t>
  </si>
  <si>
    <t>W81</t>
  </si>
  <si>
    <t>https://ftp.ncbi.nlm.nih.gov/genomes/all/GCA/030/166/635/GCA_030166635.1_ASM3016663v1</t>
  </si>
  <si>
    <t>GCA_030175855.1</t>
  </si>
  <si>
    <t>KPL4066</t>
  </si>
  <si>
    <t>https://ftp.ncbi.nlm.nih.gov/genomes/all/GCA/030/175/855/GCA_030175855.1_ASM3017585v1</t>
  </si>
  <si>
    <t>GCA_030175865.1</t>
  </si>
  <si>
    <t>KPL4040</t>
  </si>
  <si>
    <t>https://ftp.ncbi.nlm.nih.gov/genomes/all/GCA/030/175/865/GCA_030175865.1_ASM3017586v1</t>
  </si>
  <si>
    <t>GCA_030175915.1</t>
  </si>
  <si>
    <t>KPL4065</t>
  </si>
  <si>
    <t>https://ftp.ncbi.nlm.nih.gov/genomes/all/GCA/030/175/915/GCA_030175915.1_ASM3017591v1</t>
  </si>
  <si>
    <t>GCA_030175955.1</t>
  </si>
  <si>
    <t>KPL3674</t>
  </si>
  <si>
    <t>https://ftp.ncbi.nlm.nih.gov/genomes/all/GCA/030/175/955/GCA_030175955.1_ASM3017595v1</t>
  </si>
  <si>
    <t>GCA_030175965.1</t>
  </si>
  <si>
    <t>KPL3647</t>
  </si>
  <si>
    <t>https://ftp.ncbi.nlm.nih.gov/genomes/all/GCA/030/175/965/GCA_030175965.1_ASM3017596v1</t>
  </si>
  <si>
    <t>GCA_030175975.1</t>
  </si>
  <si>
    <t>KPL3675</t>
  </si>
  <si>
    <t>https://ftp.ncbi.nlm.nih.gov/genomes/all/GCA/030/175/975/GCA_030175975.1_ASM3017597v1</t>
  </si>
  <si>
    <t>GCA_030176015.1</t>
  </si>
  <si>
    <t>KPL2660</t>
  </si>
  <si>
    <t>https://ftp.ncbi.nlm.nih.gov/genomes/all/GCA/030/176/015/GCA_030176015.1_ASM3017601v1</t>
  </si>
  <si>
    <t>GCA_030176025.1</t>
  </si>
  <si>
    <t>KPL2811</t>
  </si>
  <si>
    <t>https://ftp.ncbi.nlm.nih.gov/genomes/all/GCA/030/176/025/GCA_030176025.1_ASM3017602v1</t>
  </si>
  <si>
    <t>GCA_030176055.1</t>
  </si>
  <si>
    <t>KPL2785</t>
  </si>
  <si>
    <t>https://ftp.ncbi.nlm.nih.gov/genomes/all/GCA/030/176/055/GCA_030176055.1_ASM3017605v1</t>
  </si>
  <si>
    <t>GCA_030176075.1</t>
  </si>
  <si>
    <t>KPL3672</t>
  </si>
  <si>
    <t>https://ftp.ncbi.nlm.nih.gov/genomes/all/GCA/030/176/075/GCA_030176075.1_ASM3017607v1</t>
  </si>
  <si>
    <t>GCA_030176095.1</t>
  </si>
  <si>
    <t>KPL2915</t>
  </si>
  <si>
    <t>https://ftp.ncbi.nlm.nih.gov/genomes/all/GCA/030/176/095/GCA_030176095.1_ASM3017609v1</t>
  </si>
  <si>
    <t>GCA_030176115.1</t>
  </si>
  <si>
    <t>KPL2795</t>
  </si>
  <si>
    <t>https://ftp.ncbi.nlm.nih.gov/genomes/all/GCA/030/176/115/GCA_030176115.1_ASM3017611v1</t>
  </si>
  <si>
    <t>GCA_030176135.1</t>
  </si>
  <si>
    <t>KPL2865</t>
  </si>
  <si>
    <t>https://ftp.ncbi.nlm.nih.gov/genomes/all/GCA/030/176/135/GCA_030176135.1_ASM3017613v1</t>
  </si>
  <si>
    <t>GCA_030176155.1</t>
  </si>
  <si>
    <t>KPL2640</t>
  </si>
  <si>
    <t>https://ftp.ncbi.nlm.nih.gov/genomes/all/GCA/030/176/155/GCA_030176155.1_ASM3017615v1</t>
  </si>
  <si>
    <t>GCA_030176175.1</t>
  </si>
  <si>
    <t>KPL2859</t>
  </si>
  <si>
    <t>https://ftp.ncbi.nlm.nih.gov/genomes/all/GCA/030/176/175/GCA_030176175.1_ASM3017617v1</t>
  </si>
  <si>
    <t>GCA_030176195.1</t>
  </si>
  <si>
    <t>KPL2804</t>
  </si>
  <si>
    <t>https://ftp.ncbi.nlm.nih.gov/genomes/all/GCA/030/176/195/GCA_030176195.1_ASM3017619v1</t>
  </si>
  <si>
    <t>GCA_030176215.1</t>
  </si>
  <si>
    <t>KPL2834</t>
  </si>
  <si>
    <t>https://ftp.ncbi.nlm.nih.gov/genomes/all/GCA/030/176/215/GCA_030176215.1_ASM3017621v1</t>
  </si>
  <si>
    <t>GCA_030176235.1</t>
  </si>
  <si>
    <t>KPL3772</t>
  </si>
  <si>
    <t>https://ftp.ncbi.nlm.nih.gov/genomes/all/GCA/030/176/235/GCA_030176235.1_ASM3017623v1</t>
  </si>
  <si>
    <t>GCA_030176255.1</t>
  </si>
  <si>
    <t>KPL4075</t>
  </si>
  <si>
    <t>https://ftp.ncbi.nlm.nih.gov/genomes/all/GCA/030/176/255/GCA_030176255.1_ASM3017625v1</t>
  </si>
  <si>
    <t>GCA_030176275.1</t>
  </si>
  <si>
    <t>KPL4041</t>
  </si>
  <si>
    <t>https://ftp.ncbi.nlm.nih.gov/genomes/all/GCA/030/176/275/GCA_030176275.1_ASM3017627v1</t>
  </si>
  <si>
    <t>GCA_030176295.1</t>
  </si>
  <si>
    <t>KPL4025</t>
  </si>
  <si>
    <t>https://ftp.ncbi.nlm.nih.gov/genomes/all/GCA/030/176/295/GCA_030176295.1_ASM3017629v1</t>
  </si>
  <si>
    <t>GCA_030176315.1</t>
  </si>
  <si>
    <t>KPL3967</t>
  </si>
  <si>
    <t>https://ftp.ncbi.nlm.nih.gov/genomes/all/GCA/030/176/315/GCA_030176315.1_ASM3017631v1</t>
  </si>
  <si>
    <t>GCA_030176335.1</t>
  </si>
  <si>
    <t>KPL3926</t>
  </si>
  <si>
    <t>https://ftp.ncbi.nlm.nih.gov/genomes/all/GCA/030/176/335/GCA_030176335.1_ASM3017633v1</t>
  </si>
  <si>
    <t>GCA_030176355.1</t>
  </si>
  <si>
    <t>KPL3833</t>
  </si>
  <si>
    <t>https://ftp.ncbi.nlm.nih.gov/genomes/all/GCA/030/176/355/GCA_030176355.1_ASM3017635v1</t>
  </si>
  <si>
    <t>GCA_030176375.1</t>
  </si>
  <si>
    <t>KPL3921</t>
  </si>
  <si>
    <t>https://ftp.ncbi.nlm.nih.gov/genomes/all/GCA/030/176/375/GCA_030176375.1_ASM3017637v1</t>
  </si>
  <si>
    <t>GCA_030176395.1</t>
  </si>
  <si>
    <t>KPL3966</t>
  </si>
  <si>
    <t>https://ftp.ncbi.nlm.nih.gov/genomes/all/GCA/030/176/395/GCA_030176395.1_ASM3017639v1</t>
  </si>
  <si>
    <t>GCA_030176415.1</t>
  </si>
  <si>
    <t>KPL3953</t>
  </si>
  <si>
    <t>https://ftp.ncbi.nlm.nih.gov/genomes/all/GCA/030/176/415/GCA_030176415.1_ASM3017641v1</t>
  </si>
  <si>
    <t>GCA_030176435.1</t>
  </si>
  <si>
    <t>KPL3889</t>
  </si>
  <si>
    <t>https://ftp.ncbi.nlm.nih.gov/genomes/all/GCA/030/176/435/GCA_030176435.1_ASM3017643v1</t>
  </si>
  <si>
    <t>GCA_030176455.1</t>
  </si>
  <si>
    <t>KPL3970</t>
  </si>
  <si>
    <t>https://ftp.ncbi.nlm.nih.gov/genomes/all/GCA/030/176/455/GCA_030176455.1_ASM3017645v1</t>
  </si>
  <si>
    <t>GCA_030176475.1</t>
  </si>
  <si>
    <t>KPL3703</t>
  </si>
  <si>
    <t>https://ftp.ncbi.nlm.nih.gov/genomes/all/GCA/030/176/475/GCA_030176475.1_ASM3017647v1</t>
  </si>
  <si>
    <t>GCA_030176495.1</t>
  </si>
  <si>
    <t>KPL3807</t>
  </si>
  <si>
    <t>https://ftp.ncbi.nlm.nih.gov/genomes/all/GCA/030/176/495/GCA_030176495.1_ASM3017649v1</t>
  </si>
  <si>
    <t>GCA_030176515.1</t>
  </si>
  <si>
    <t>KPL3802</t>
  </si>
  <si>
    <t>https://ftp.ncbi.nlm.nih.gov/genomes/all/GCA/030/176/515/GCA_030176515.1_ASM3017651v1</t>
  </si>
  <si>
    <t>GCA_030176535.1</t>
  </si>
  <si>
    <t>KPL3702</t>
  </si>
  <si>
    <t>https://ftp.ncbi.nlm.nih.gov/genomes/all/GCA/030/176/535/GCA_030176535.1_ASM3017653v1</t>
  </si>
  <si>
    <t>GCA_030176555.1</t>
  </si>
  <si>
    <t>KPL3774</t>
  </si>
  <si>
    <t>https://ftp.ncbi.nlm.nih.gov/genomes/all/GCA/030/176/555/GCA_030176555.1_ASM3017655v1</t>
  </si>
  <si>
    <t>GCA_030176575.1</t>
  </si>
  <si>
    <t>KPL3832</t>
  </si>
  <si>
    <t>https://ftp.ncbi.nlm.nih.gov/genomes/all/GCA/030/176/575/GCA_030176575.1_ASM3017657v1</t>
  </si>
  <si>
    <t>GCA_030176595.1</t>
  </si>
  <si>
    <t>KPL3770</t>
  </si>
  <si>
    <t>https://ftp.ncbi.nlm.nih.gov/genomes/all/GCA/030/176/595/GCA_030176595.1_ASM3017659v1</t>
  </si>
  <si>
    <t>GCA_030176615.1</t>
  </si>
  <si>
    <t>KPL3671</t>
  </si>
  <si>
    <t>https://ftp.ncbi.nlm.nih.gov/genomes/all/GCA/030/176/615/GCA_030176615.1_ASM3017661v1</t>
  </si>
  <si>
    <t>GCA_030176635.1</t>
  </si>
  <si>
    <t>KPL2667</t>
  </si>
  <si>
    <t>https://ftp.ncbi.nlm.nih.gov/genomes/all/GCA/030/176/635/GCA_030176635.1_ASM3017663v1</t>
  </si>
  <si>
    <t>GCA_030176655.1</t>
  </si>
  <si>
    <t>KPL4010</t>
  </si>
  <si>
    <t>https://ftp.ncbi.nlm.nih.gov/genomes/all/GCA/030/176/655/GCA_030176655.1_ASM3017665v1</t>
  </si>
  <si>
    <t>GCA_030176675.1</t>
  </si>
  <si>
    <t>KPL2826</t>
  </si>
  <si>
    <t>https://ftp.ncbi.nlm.nih.gov/genomes/all/GCA/030/176/675/GCA_030176675.1_ASM3017667v1</t>
  </si>
  <si>
    <t>GCA_030176695.1</t>
  </si>
  <si>
    <t>KPL4034</t>
  </si>
  <si>
    <t>https://ftp.ncbi.nlm.nih.gov/genomes/all/GCA/030/176/695/GCA_030176695.1_ASM3017669v1</t>
  </si>
  <si>
    <t>GCA_030176715.1</t>
  </si>
  <si>
    <t>KPL2733</t>
  </si>
  <si>
    <t>https://ftp.ncbi.nlm.nih.gov/genomes/all/GCA/030/176/715/GCA_030176715.1_ASM3017671v1</t>
  </si>
  <si>
    <t>GCA_030176735.1</t>
  </si>
  <si>
    <t>KPL2621</t>
  </si>
  <si>
    <t>https://ftp.ncbi.nlm.nih.gov/genomes/all/GCA/030/176/735/GCA_030176735.1_ASM3017673v1</t>
  </si>
  <si>
    <t>GCA_030176755.1</t>
  </si>
  <si>
    <t>KPL2617</t>
  </si>
  <si>
    <t>https://ftp.ncbi.nlm.nih.gov/genomes/all/GCA/030/176/755/GCA_030176755.1_ASM3017675v1</t>
  </si>
  <si>
    <t>GCA_030176765.1</t>
  </si>
  <si>
    <t>KPL2657</t>
  </si>
  <si>
    <t>https://ftp.ncbi.nlm.nih.gov/genomes/all/GCA/030/176/765/GCA_030176765.1_ASM3017676v1</t>
  </si>
  <si>
    <t>GCA_030176785.1</t>
  </si>
  <si>
    <t>KPL2783</t>
  </si>
  <si>
    <t>https://ftp.ncbi.nlm.nih.gov/genomes/all/GCA/030/176/785/GCA_030176785.1_ASM3017678v1</t>
  </si>
  <si>
    <t>GCA_030176795.1</t>
  </si>
  <si>
    <t>KPL2773</t>
  </si>
  <si>
    <t>https://ftp.ncbi.nlm.nih.gov/genomes/all/GCA/030/176/795/GCA_030176795.1_ASM3017679v1</t>
  </si>
  <si>
    <t>GCA_030176835.1</t>
  </si>
  <si>
    <t>KPL2755</t>
  </si>
  <si>
    <t>https://ftp.ncbi.nlm.nih.gov/genomes/all/GCA/030/176/835/GCA_030176835.1_ASM3017683v1</t>
  </si>
  <si>
    <t>GCA_030176855.1</t>
  </si>
  <si>
    <t>KPL2654</t>
  </si>
  <si>
    <t>https://ftp.ncbi.nlm.nih.gov/genomes/all/GCA/030/176/855/GCA_030176855.1_ASM3017685v1</t>
  </si>
  <si>
    <t>GCA_030176875.1</t>
  </si>
  <si>
    <t>KPL2641</t>
  </si>
  <si>
    <t>https://ftp.ncbi.nlm.nih.gov/genomes/all/GCA/030/176/875/GCA_030176875.1_ASM3017687v1</t>
  </si>
  <si>
    <t>GCA_030176885.1</t>
  </si>
  <si>
    <t>KPL2618</t>
  </si>
  <si>
    <t>https://ftp.ncbi.nlm.nih.gov/genomes/all/GCA/030/176/885/GCA_030176885.1_ASM3017688v1</t>
  </si>
  <si>
    <t>GCA_030176905.1</t>
  </si>
  <si>
    <t>KPL2652</t>
  </si>
  <si>
    <t>https://ftp.ncbi.nlm.nih.gov/genomes/all/GCA/030/176/905/GCA_030176905.1_ASM3017690v1</t>
  </si>
  <si>
    <t>GCA_030177215.1</t>
  </si>
  <si>
    <t>AM_AQ_BC5</t>
  </si>
  <si>
    <t>https://ftp.ncbi.nlm.nih.gov/genomes/all/GCA/030/177/215/GCA_030177215.1_ASM3017721v1</t>
  </si>
  <si>
    <t>GCA_030177225.1</t>
  </si>
  <si>
    <t>AM_AQ_BC3</t>
  </si>
  <si>
    <t>https://ftp.ncbi.nlm.nih.gov/genomes/all/GCA/030/177/225/GCA_030177225.1_ASM3017722v1</t>
  </si>
  <si>
    <t>GCA_030177875.1</t>
  </si>
  <si>
    <t>D2292</t>
  </si>
  <si>
    <t>https://ftp.ncbi.nlm.nih.gov/genomes/all/GCA/030/177/875/GCA_030177875.1_ASM3017787v1</t>
  </si>
  <si>
    <t>GCA_030177895.1</t>
  </si>
  <si>
    <t>SW7208426</t>
  </si>
  <si>
    <t>https://ftp.ncbi.nlm.nih.gov/genomes/all/GCA/030/177/895/GCA_030177895.1_ASM3017789v1</t>
  </si>
  <si>
    <t>GCA_030180205.1</t>
  </si>
  <si>
    <t>BB149</t>
  </si>
  <si>
    <t>https://ftp.ncbi.nlm.nih.gov/genomes/all/GCA/030/180/205/GCA_030180205.1_ASM3018020v1</t>
  </si>
  <si>
    <t>GCA_030180215.1</t>
  </si>
  <si>
    <t>AA393</t>
  </si>
  <si>
    <t>https://ftp.ncbi.nlm.nih.gov/genomes/all/GCA/030/180/215/GCA_030180215.1_ASM3018021v1</t>
  </si>
  <si>
    <t>GCA_030180225.1</t>
  </si>
  <si>
    <t>AA478</t>
  </si>
  <si>
    <t>https://ftp.ncbi.nlm.nih.gov/genomes/all/GCA/030/180/225/GCA_030180225.1_ASM3018022v1</t>
  </si>
  <si>
    <t>GCA_030180265.1</t>
  </si>
  <si>
    <t>BB270</t>
  </si>
  <si>
    <t>https://ftp.ncbi.nlm.nih.gov/genomes/all/GCA/030/180/265/GCA_030180265.1_ASM3018026v1</t>
  </si>
  <si>
    <t>GCA_030180275.1</t>
  </si>
  <si>
    <t>AA392U8</t>
  </si>
  <si>
    <t>https://ftp.ncbi.nlm.nih.gov/genomes/all/GCA/030/180/275/GCA_030180275.1_ASM3018027v1</t>
  </si>
  <si>
    <t>GCA_030180315.1</t>
  </si>
  <si>
    <t>AA392D9</t>
  </si>
  <si>
    <t>https://ftp.ncbi.nlm.nih.gov/genomes/all/GCA/030/180/315/GCA_030180315.1_ASM3018031v1</t>
  </si>
  <si>
    <t>GCA_030180375.1</t>
  </si>
  <si>
    <t>AA080</t>
  </si>
  <si>
    <t>https://ftp.ncbi.nlm.nih.gov/genomes/all/GCA/030/180/375/GCA_030180375.1_ASM3018037v1</t>
  </si>
  <si>
    <t>GCA_030180395.1</t>
  </si>
  <si>
    <t>BRON_32</t>
  </si>
  <si>
    <t>https://ftp.ncbi.nlm.nih.gov/genomes/all/GCA/030/180/395/GCA_030180395.1_ASM3018039v1</t>
  </si>
  <si>
    <t>GCA_030180405.1</t>
  </si>
  <si>
    <t>BRON_30</t>
  </si>
  <si>
    <t>https://ftp.ncbi.nlm.nih.gov/genomes/all/GCA/030/180/405/GCA_030180405.1_ASM3018040v1</t>
  </si>
  <si>
    <t>GCA_030180445.1</t>
  </si>
  <si>
    <t>BRON_29</t>
  </si>
  <si>
    <t>https://ftp.ncbi.nlm.nih.gov/genomes/all/GCA/030/180/445/GCA_030180445.1_ASM3018044v1</t>
  </si>
  <si>
    <t>GCA_030180465.1</t>
  </si>
  <si>
    <t>BRON_25</t>
  </si>
  <si>
    <t>https://ftp.ncbi.nlm.nih.gov/genomes/all/GCA/030/180/465/GCA_030180465.1_ASM3018046v1</t>
  </si>
  <si>
    <t>GCA_030180475.1</t>
  </si>
  <si>
    <t>BRON_23</t>
  </si>
  <si>
    <t>https://ftp.ncbi.nlm.nih.gov/genomes/all/GCA/030/180/475/GCA_030180475.1_ASM3018047v1</t>
  </si>
  <si>
    <t>GCA_030180485.1</t>
  </si>
  <si>
    <t>BRON_28</t>
  </si>
  <si>
    <t>https://ftp.ncbi.nlm.nih.gov/genomes/all/GCA/030/180/485/GCA_030180485.1_ASM3018048v1</t>
  </si>
  <si>
    <t>GCA_030180505.1</t>
  </si>
  <si>
    <t>BRON_27</t>
  </si>
  <si>
    <t>https://ftp.ncbi.nlm.nih.gov/genomes/all/GCA/030/180/505/GCA_030180505.1_ASM3018050v1</t>
  </si>
  <si>
    <t>GCA_030180545.1</t>
  </si>
  <si>
    <t>BRON_22</t>
  </si>
  <si>
    <t>https://ftp.ncbi.nlm.nih.gov/genomes/all/GCA/030/180/545/GCA_030180545.1_ASM3018054v1</t>
  </si>
  <si>
    <t>GCA_030180565.1</t>
  </si>
  <si>
    <t>BRON_17</t>
  </si>
  <si>
    <t>https://ftp.ncbi.nlm.nih.gov/genomes/all/GCA/030/180/565/GCA_030180565.1_ASM3018056v1</t>
  </si>
  <si>
    <t>GCA_030180575.1</t>
  </si>
  <si>
    <t>BRON_18</t>
  </si>
  <si>
    <t>https://ftp.ncbi.nlm.nih.gov/genomes/all/GCA/030/180/575/GCA_030180575.1_ASM3018057v1</t>
  </si>
  <si>
    <t>GCA_030180585.1</t>
  </si>
  <si>
    <t>BRON_20</t>
  </si>
  <si>
    <t>https://ftp.ncbi.nlm.nih.gov/genomes/all/GCA/030/180/585/GCA_030180585.1_ASM3018058v1</t>
  </si>
  <si>
    <t>GCA_030180625.1</t>
  </si>
  <si>
    <t>BRON_15</t>
  </si>
  <si>
    <t>https://ftp.ncbi.nlm.nih.gov/genomes/all/GCA/030/180/625/GCA_030180625.1_ASM3018062v1</t>
  </si>
  <si>
    <t>GCA_030180645.1</t>
  </si>
  <si>
    <t>BRON_12</t>
  </si>
  <si>
    <t>https://ftp.ncbi.nlm.nih.gov/genomes/all/GCA/030/180/645/GCA_030180645.1_ASM3018064v1</t>
  </si>
  <si>
    <t>GCA_030180665.1</t>
  </si>
  <si>
    <t>BRON_13</t>
  </si>
  <si>
    <t>https://ftp.ncbi.nlm.nih.gov/genomes/all/GCA/030/180/665/GCA_030180665.1_ASM3018066v1</t>
  </si>
  <si>
    <t>GCA_030180685.1</t>
  </si>
  <si>
    <t>BRON_11</t>
  </si>
  <si>
    <t>https://ftp.ncbi.nlm.nih.gov/genomes/all/GCA/030/180/685/GCA_030180685.1_ASM3018068v1</t>
  </si>
  <si>
    <t>GCA_030180695.1</t>
  </si>
  <si>
    <t>BRON_14</t>
  </si>
  <si>
    <t>https://ftp.ncbi.nlm.nih.gov/genomes/all/GCA/030/180/695/GCA_030180695.1_ASM3018069v1</t>
  </si>
  <si>
    <t>GCA_030180725.1</t>
  </si>
  <si>
    <t>BRON_10</t>
  </si>
  <si>
    <t>https://ftp.ncbi.nlm.nih.gov/genomes/all/GCA/030/180/725/GCA_030180725.1_ASM3018072v1</t>
  </si>
  <si>
    <t>GCA_030180765.1</t>
  </si>
  <si>
    <t>BRON_8</t>
  </si>
  <si>
    <t>https://ftp.ncbi.nlm.nih.gov/genomes/all/GCA/030/180/765/GCA_030180765.1_ASM3018076v1</t>
  </si>
  <si>
    <t>GCA_030180785.1</t>
  </si>
  <si>
    <t>BRON_7</t>
  </si>
  <si>
    <t>https://ftp.ncbi.nlm.nih.gov/genomes/all/GCA/030/180/785/GCA_030180785.1_ASM3018078v1</t>
  </si>
  <si>
    <t>GCA_030180805.1</t>
  </si>
  <si>
    <t>BRON_6</t>
  </si>
  <si>
    <t>https://ftp.ncbi.nlm.nih.gov/genomes/all/GCA/030/180/805/GCA_030180805.1_ASM3018080v1</t>
  </si>
  <si>
    <t>GCA_030180825.1</t>
  </si>
  <si>
    <t>BRON_4</t>
  </si>
  <si>
    <t>https://ftp.ncbi.nlm.nih.gov/genomes/all/GCA/030/180/825/GCA_030180825.1_ASM3018082v1</t>
  </si>
  <si>
    <t>GCA_030180835.1</t>
  </si>
  <si>
    <t>BRON_5</t>
  </si>
  <si>
    <t>https://ftp.ncbi.nlm.nih.gov/genomes/all/GCA/030/180/835/GCA_030180835.1_ASM3018083v1</t>
  </si>
  <si>
    <t>GCA_030180865.1</t>
  </si>
  <si>
    <t>BRON_3</t>
  </si>
  <si>
    <t>https://ftp.ncbi.nlm.nih.gov/genomes/all/GCA/030/180/865/GCA_030180865.1_ASM3018086v1</t>
  </si>
  <si>
    <t>GCA_030180885.1</t>
  </si>
  <si>
    <t>BRON_9</t>
  </si>
  <si>
    <t>https://ftp.ncbi.nlm.nih.gov/genomes/all/GCA/030/180/885/GCA_030180885.1_ASM3018088v1</t>
  </si>
  <si>
    <t>GCA_030180905.1</t>
  </si>
  <si>
    <t>BRON_2</t>
  </si>
  <si>
    <t>https://ftp.ncbi.nlm.nih.gov/genomes/all/GCA/030/180/905/GCA_030180905.1_ASM3018090v1</t>
  </si>
  <si>
    <t>GCA_030180925.1</t>
  </si>
  <si>
    <t>BRON_1</t>
  </si>
  <si>
    <t>https://ftp.ncbi.nlm.nih.gov/genomes/all/GCA/030/180/925/GCA_030180925.1_ASM3018092v1</t>
  </si>
  <si>
    <t>GCA_030180945.1</t>
  </si>
  <si>
    <t>CC443</t>
  </si>
  <si>
    <t>https://ftp.ncbi.nlm.nih.gov/genomes/all/GCA/030/180/945/GCA_030180945.1_ASM3018094v1</t>
  </si>
  <si>
    <t>GCA_030180955.1</t>
  </si>
  <si>
    <t>CC132</t>
  </si>
  <si>
    <t>https://ftp.ncbi.nlm.nih.gov/genomes/all/GCA/030/180/955/GCA_030180955.1_ASM3018095v1</t>
  </si>
  <si>
    <t>GCA_030180965.1</t>
  </si>
  <si>
    <t>AA267</t>
  </si>
  <si>
    <t>https://ftp.ncbi.nlm.nih.gov/genomes/all/GCA/030/180/965/GCA_030180965.1_ASM3018096v1</t>
  </si>
  <si>
    <t>GCA_030180985.1</t>
  </si>
  <si>
    <t>BB331</t>
  </si>
  <si>
    <t>https://ftp.ncbi.nlm.nih.gov/genomes/all/GCA/030/180/985/GCA_030180985.1_ASM3018098v1</t>
  </si>
  <si>
    <t>GCA_030180995.1</t>
  </si>
  <si>
    <t>BB526</t>
  </si>
  <si>
    <t>https://ftp.ncbi.nlm.nih.gov/genomes/all/GCA/030/180/995/GCA_030180995.1_ASM3018099v1</t>
  </si>
  <si>
    <t>GCA_030181045.1</t>
  </si>
  <si>
    <t>CC505b</t>
  </si>
  <si>
    <t>https://ftp.ncbi.nlm.nih.gov/genomes/all/GCA/030/181/045/GCA_030181045.1_ASM3018104v1</t>
  </si>
  <si>
    <t>GCA_030181055.1</t>
  </si>
  <si>
    <t>EPA014</t>
  </si>
  <si>
    <t>https://ftp.ncbi.nlm.nih.gov/genomes/all/GCA/030/181/055/GCA_030181055.1_ASM3018105v1</t>
  </si>
  <si>
    <t>GCA_030181065.1</t>
  </si>
  <si>
    <t>PED555</t>
  </si>
  <si>
    <t>https://ftp.ncbi.nlm.nih.gov/genomes/all/GCA/030/181/065/GCA_030181065.1_ASM3018106v1</t>
  </si>
  <si>
    <t>GCA_030181105.1</t>
  </si>
  <si>
    <t>D7641</t>
  </si>
  <si>
    <t>https://ftp.ncbi.nlm.nih.gov/genomes/all/GCA/030/181/105/GCA_030181105.1_ASM3018110v1</t>
  </si>
  <si>
    <t>GCA_030181115.1</t>
  </si>
  <si>
    <t>PVC1712</t>
  </si>
  <si>
    <t>https://ftp.ncbi.nlm.nih.gov/genomes/all/GCA/030/181/115/GCA_030181115.1_ASM3018111v1</t>
  </si>
  <si>
    <t>GCA_030181145.1</t>
  </si>
  <si>
    <t>UnkB</t>
  </si>
  <si>
    <t>https://ftp.ncbi.nlm.nih.gov/genomes/all/GCA/030/181/145/GCA_030181145.1_ASM3018114v1</t>
  </si>
  <si>
    <t>GCA_030181155.1</t>
  </si>
  <si>
    <t>Sch187</t>
  </si>
  <si>
    <t>https://ftp.ncbi.nlm.nih.gov/genomes/all/GCA/030/181/155/GCA_030181155.1_ASM3018115v1</t>
  </si>
  <si>
    <t>GCA_030181185.1</t>
  </si>
  <si>
    <t>UnkA</t>
  </si>
  <si>
    <t>https://ftp.ncbi.nlm.nih.gov/genomes/all/GCA/030/181/185/GCA_030181185.1_ASM3018118v1</t>
  </si>
  <si>
    <t>GCA_030181195.1</t>
  </si>
  <si>
    <t>PYHERBlood</t>
  </si>
  <si>
    <t>https://ftp.ncbi.nlm.nih.gov/genomes/all/GCA/030/181/195/GCA_030181195.1_ASM3018119v1</t>
  </si>
  <si>
    <t>GCA_030181205.1</t>
  </si>
  <si>
    <t>PYP8</t>
  </si>
  <si>
    <t>https://ftp.ncbi.nlm.nih.gov/genomes/all/GCA/030/181/205/GCA_030181205.1_ASM3018120v1</t>
  </si>
  <si>
    <t>GCA_030181245.1</t>
  </si>
  <si>
    <t>KK97</t>
  </si>
  <si>
    <t>https://ftp.ncbi.nlm.nih.gov/genomes/all/GCA/030/181/245/GCA_030181245.1_ASM3018124v1</t>
  </si>
  <si>
    <t>GCA_030181255.1</t>
  </si>
  <si>
    <t>KK96</t>
  </si>
  <si>
    <t>https://ftp.ncbi.nlm.nih.gov/genomes/all/GCA/030/181/255/GCA_030181255.1_ASM3018125v1</t>
  </si>
  <si>
    <t>GCA_030181285.1</t>
  </si>
  <si>
    <t>KK93</t>
  </si>
  <si>
    <t>https://ftp.ncbi.nlm.nih.gov/genomes/all/GCA/030/181/285/GCA_030181285.1_ASM3018128v1</t>
  </si>
  <si>
    <t>GCA_030181305.1</t>
  </si>
  <si>
    <t>KK92</t>
  </si>
  <si>
    <t>https://ftp.ncbi.nlm.nih.gov/genomes/all/GCA/030/181/305/GCA_030181305.1_ASM3018130v1</t>
  </si>
  <si>
    <t>GCA_030181325.1</t>
  </si>
  <si>
    <t>KK94</t>
  </si>
  <si>
    <t>https://ftp.ncbi.nlm.nih.gov/genomes/all/GCA/030/181/325/GCA_030181325.1_ASM3018132v1</t>
  </si>
  <si>
    <t>GCA_030181345.1</t>
  </si>
  <si>
    <t>KK86</t>
  </si>
  <si>
    <t>https://ftp.ncbi.nlm.nih.gov/genomes/all/GCA/030/181/345/GCA_030181345.1_ASM3018134v1</t>
  </si>
  <si>
    <t>GCA_030181355.1</t>
  </si>
  <si>
    <t>KK80</t>
  </si>
  <si>
    <t>https://ftp.ncbi.nlm.nih.gov/genomes/all/GCA/030/181/355/GCA_030181355.1_ASM3018135v1</t>
  </si>
  <si>
    <t>GCA_030181365.1</t>
  </si>
  <si>
    <t>KK82</t>
  </si>
  <si>
    <t>https://ftp.ncbi.nlm.nih.gov/genomes/all/GCA/030/181/365/GCA_030181365.1_ASM3018136v1</t>
  </si>
  <si>
    <t>GCA_030181405.1</t>
  </si>
  <si>
    <t>KK79</t>
  </si>
  <si>
    <t>https://ftp.ncbi.nlm.nih.gov/genomes/all/GCA/030/181/405/GCA_030181405.1_ASM3018140v1</t>
  </si>
  <si>
    <t>GCA_030181425.1</t>
  </si>
  <si>
    <t>KK70</t>
  </si>
  <si>
    <t>https://ftp.ncbi.nlm.nih.gov/genomes/all/GCA/030/181/425/GCA_030181425.1_ASM3018142v1</t>
  </si>
  <si>
    <t>GCA_030181445.1</t>
  </si>
  <si>
    <t>KK69</t>
  </si>
  <si>
    <t>https://ftp.ncbi.nlm.nih.gov/genomes/all/GCA/030/181/445/GCA_030181445.1_ASM3018144v1</t>
  </si>
  <si>
    <t>GCA_030181465.1</t>
  </si>
  <si>
    <t>KK65</t>
  </si>
  <si>
    <t>https://ftp.ncbi.nlm.nih.gov/genomes/all/GCA/030/181/465/GCA_030181465.1_ASM3018146v1</t>
  </si>
  <si>
    <t>GCA_030181475.1</t>
  </si>
  <si>
    <t>KK68</t>
  </si>
  <si>
    <t>https://ftp.ncbi.nlm.nih.gov/genomes/all/GCA/030/181/475/GCA_030181475.1_ASM3018147v1</t>
  </si>
  <si>
    <t>GCA_030181505.1</t>
  </si>
  <si>
    <t>KK64</t>
  </si>
  <si>
    <t>https://ftp.ncbi.nlm.nih.gov/genomes/all/GCA/030/181/505/GCA_030181505.1_ASM3018150v1</t>
  </si>
  <si>
    <t>GCA_030181525.1</t>
  </si>
  <si>
    <t>KK63</t>
  </si>
  <si>
    <t>https://ftp.ncbi.nlm.nih.gov/genomes/all/GCA/030/181/525/GCA_030181525.1_ASM3018152v1</t>
  </si>
  <si>
    <t>GCA_030181545.1</t>
  </si>
  <si>
    <t>KK61</t>
  </si>
  <si>
    <t>https://ftp.ncbi.nlm.nih.gov/genomes/all/GCA/030/181/545/GCA_030181545.1_ASM3018154v1</t>
  </si>
  <si>
    <t>GCA_030181565.1</t>
  </si>
  <si>
    <t>https://ftp.ncbi.nlm.nih.gov/genomes/all/GCA/030/181/565/GCA_030181565.1_ASM3018156v1</t>
  </si>
  <si>
    <t>GCA_030181575.1</t>
  </si>
  <si>
    <t>KK57</t>
  </si>
  <si>
    <t>https://ftp.ncbi.nlm.nih.gov/genomes/all/GCA/030/181/575/GCA_030181575.1_ASM3018157v1</t>
  </si>
  <si>
    <t>GCA_030181595.1</t>
  </si>
  <si>
    <t>KK56</t>
  </si>
  <si>
    <t>https://ftp.ncbi.nlm.nih.gov/genomes/all/GCA/030/181/595/GCA_030181595.1_ASM3018159v1</t>
  </si>
  <si>
    <t>GCA_030181625.1</t>
  </si>
  <si>
    <t>KK48</t>
  </si>
  <si>
    <t>https://ftp.ncbi.nlm.nih.gov/genomes/all/GCA/030/181/625/GCA_030181625.1_ASM3018162v1</t>
  </si>
  <si>
    <t>GCA_030181645.1</t>
  </si>
  <si>
    <t>KK29</t>
  </si>
  <si>
    <t>https://ftp.ncbi.nlm.nih.gov/genomes/all/GCA/030/181/645/GCA_030181645.1_ASM3018164v1</t>
  </si>
  <si>
    <t>GCA_030181665.1</t>
  </si>
  <si>
    <t>KK243</t>
  </si>
  <si>
    <t>https://ftp.ncbi.nlm.nih.gov/genomes/all/GCA/030/181/665/GCA_030181665.1_ASM3018166v1</t>
  </si>
  <si>
    <t>GCA_030181675.1</t>
  </si>
  <si>
    <t>https://ftp.ncbi.nlm.nih.gov/genomes/all/GCA/030/181/675/GCA_030181675.1_ASM3018167v1</t>
  </si>
  <si>
    <t>GCA_030181705.1</t>
  </si>
  <si>
    <t>KK200</t>
  </si>
  <si>
    <t>https://ftp.ncbi.nlm.nih.gov/genomes/all/GCA/030/181/705/GCA_030181705.1_ASM3018170v1</t>
  </si>
  <si>
    <t>GCA_030181715.1</t>
  </si>
  <si>
    <t>KK2</t>
  </si>
  <si>
    <t>https://ftp.ncbi.nlm.nih.gov/genomes/all/GCA/030/181/715/GCA_030181715.1_ASM3018171v1</t>
  </si>
  <si>
    <t>GCA_030181745.1</t>
  </si>
  <si>
    <t>KK197</t>
  </si>
  <si>
    <t>https://ftp.ncbi.nlm.nih.gov/genomes/all/GCA/030/181/745/GCA_030181745.1_ASM3018174v1</t>
  </si>
  <si>
    <t>GCA_030181765.1</t>
  </si>
  <si>
    <t>KK181</t>
  </si>
  <si>
    <t>https://ftp.ncbi.nlm.nih.gov/genomes/all/GCA/030/181/765/GCA_030181765.1_ASM3018176v1</t>
  </si>
  <si>
    <t>GCA_030181785.1</t>
  </si>
  <si>
    <t>KK19</t>
  </si>
  <si>
    <t>https://ftp.ncbi.nlm.nih.gov/genomes/all/GCA/030/181/785/GCA_030181785.1_ASM3018178v1</t>
  </si>
  <si>
    <t>GCA_030181805.1</t>
  </si>
  <si>
    <t>KK16</t>
  </si>
  <si>
    <t>https://ftp.ncbi.nlm.nih.gov/genomes/all/GCA/030/181/805/GCA_030181805.1_ASM3018180v1</t>
  </si>
  <si>
    <t>GCA_030181815.1</t>
  </si>
  <si>
    <t>KK171</t>
  </si>
  <si>
    <t>https://ftp.ncbi.nlm.nih.gov/genomes/all/GCA/030/181/815/GCA_030181815.1_ASM3018181v1</t>
  </si>
  <si>
    <t>GCA_030181845.1</t>
  </si>
  <si>
    <t>KK138</t>
  </si>
  <si>
    <t>https://ftp.ncbi.nlm.nih.gov/genomes/all/GCA/030/181/845/GCA_030181845.1_ASM3018184v1</t>
  </si>
  <si>
    <t>GCA_030181865.1</t>
  </si>
  <si>
    <t>PYKK125</t>
  </si>
  <si>
    <t>https://ftp.ncbi.nlm.nih.gov/genomes/all/GCA/030/181/865/GCA_030181865.1_ASM3018186v1</t>
  </si>
  <si>
    <t>GCA_030181885.1</t>
  </si>
  <si>
    <t>KK124</t>
  </si>
  <si>
    <t>https://ftp.ncbi.nlm.nih.gov/genomes/all/GCA/030/181/885/GCA_030181885.1_ASM3018188v1</t>
  </si>
  <si>
    <t>GCA_030181915.1</t>
  </si>
  <si>
    <t>KK123</t>
  </si>
  <si>
    <t>https://ftp.ncbi.nlm.nih.gov/genomes/all/GCA/030/181/915/GCA_030181915.1_ASM3018191v1</t>
  </si>
  <si>
    <t>GCA_030181925.1</t>
  </si>
  <si>
    <t>KK119</t>
  </si>
  <si>
    <t>https://ftp.ncbi.nlm.nih.gov/genomes/all/GCA/030/181/925/GCA_030181925.1_ASM3018192v1</t>
  </si>
  <si>
    <t>GCA_030181985.1</t>
  </si>
  <si>
    <t>KK103</t>
  </si>
  <si>
    <t>https://ftp.ncbi.nlm.nih.gov/genomes/all/GCA/030/181/985/GCA_030181985.1_ASM3018198v1</t>
  </si>
  <si>
    <t>GCA_030182005.1</t>
  </si>
  <si>
    <t>KK03</t>
  </si>
  <si>
    <t>https://ftp.ncbi.nlm.nih.gov/genomes/all/GCA/030/182/005/GCA_030182005.1_ASM3018200v1</t>
  </si>
  <si>
    <t>GCA_030182015.1</t>
  </si>
  <si>
    <t>KK101</t>
  </si>
  <si>
    <t>https://ftp.ncbi.nlm.nih.gov/genomes/all/GCA/030/182/015/GCA_030182015.1_ASM3018201v1</t>
  </si>
  <si>
    <t>GCA_030182065.1</t>
  </si>
  <si>
    <t>KK01</t>
  </si>
  <si>
    <t>https://ftp.ncbi.nlm.nih.gov/genomes/all/GCA/030/182/065/GCA_030182065.1_ASM3018206v1</t>
  </si>
  <si>
    <t>GCA_030182085.1</t>
  </si>
  <si>
    <t>KahiriBlood</t>
  </si>
  <si>
    <t>https://ftp.ncbi.nlm.nih.gov/genomes/all/GCA/030/182/085/GCA_030182085.1_ASM3018208v1</t>
  </si>
  <si>
    <t>GCA_030182105.1</t>
  </si>
  <si>
    <t>KahiriPH1</t>
  </si>
  <si>
    <t>https://ftp.ncbi.nlm.nih.gov/genomes/all/GCA/030/182/105/GCA_030182105.1_ASM3018210v1</t>
  </si>
  <si>
    <t>GCA_030182125.1</t>
  </si>
  <si>
    <t>KK129</t>
  </si>
  <si>
    <t>https://ftp.ncbi.nlm.nih.gov/genomes/all/GCA/030/182/125/GCA_030182125.1_ASM3018212v1</t>
  </si>
  <si>
    <t>GCA_030182145.1</t>
  </si>
  <si>
    <t>ItzPH1</t>
  </si>
  <si>
    <t>https://ftp.ncbi.nlm.nih.gov/genomes/all/GCA/030/182/145/GCA_030182145.1_ASM3018214v1</t>
  </si>
  <si>
    <t>GCA_030182155.1</t>
  </si>
  <si>
    <t>ItzBlood</t>
  </si>
  <si>
    <t>https://ftp.ncbi.nlm.nih.gov/genomes/all/GCA/030/182/155/GCA_030182155.1_ASM3018215v1</t>
  </si>
  <si>
    <t>GCA_030182185.1</t>
  </si>
  <si>
    <t>IDOPH2</t>
  </si>
  <si>
    <t>https://ftp.ncbi.nlm.nih.gov/genomes/all/GCA/030/182/185/GCA_030182185.1_ASM3018218v1</t>
  </si>
  <si>
    <t>GCA_030182205.1</t>
  </si>
  <si>
    <t>IDOPH1</t>
  </si>
  <si>
    <t>https://ftp.ncbi.nlm.nih.gov/genomes/all/GCA/030/182/205/GCA_030182205.1_ASM3018220v1</t>
  </si>
  <si>
    <t>GCA_030182225.1</t>
  </si>
  <si>
    <t>CC062</t>
  </si>
  <si>
    <t>https://ftp.ncbi.nlm.nih.gov/genomes/all/GCA/030/182/225/GCA_030182225.1_ASM3018222v1</t>
  </si>
  <si>
    <t>GCA_030182245.1</t>
  </si>
  <si>
    <t>IDOBlood</t>
  </si>
  <si>
    <t>https://ftp.ncbi.nlm.nih.gov/genomes/all/GCA/030/182/245/GCA_030182245.1_ASM3018224v1</t>
  </si>
  <si>
    <t>GCA_030182285.1</t>
  </si>
  <si>
    <t>BB300</t>
  </si>
  <si>
    <t>https://ftp.ncbi.nlm.nih.gov/genomes/all/GCA/030/182/285/GCA_030182285.1_ASM3018228v1</t>
  </si>
  <si>
    <t>GCA_030182305.1</t>
  </si>
  <si>
    <t>AA574</t>
  </si>
  <si>
    <t>https://ftp.ncbi.nlm.nih.gov/genomes/all/GCA/030/182/305/GCA_030182305.1_ASM3018230v1</t>
  </si>
  <si>
    <t>GCA_030182315.1</t>
  </si>
  <si>
    <t>BB285</t>
  </si>
  <si>
    <t>https://ftp.ncbi.nlm.nih.gov/genomes/all/GCA/030/182/315/GCA_030182315.1_ASM3018231v1</t>
  </si>
  <si>
    <t>GCA_030182365.1</t>
  </si>
  <si>
    <t>AA026</t>
  </si>
  <si>
    <t>https://ftp.ncbi.nlm.nih.gov/genomes/all/GCA/030/182/365/GCA_030182365.1_ASM3018236v1</t>
  </si>
  <si>
    <t>GCA_030182385.1</t>
  </si>
  <si>
    <t>AA097</t>
  </si>
  <si>
    <t>https://ftp.ncbi.nlm.nih.gov/genomes/all/GCA/030/182/385/GCA_030182385.1_ASM3018238v1</t>
  </si>
  <si>
    <t>GCA_030182405.1</t>
  </si>
  <si>
    <t>AA010</t>
  </si>
  <si>
    <t>https://ftp.ncbi.nlm.nih.gov/genomes/all/GCA/030/182/405/GCA_030182405.1_ASM3018240v1</t>
  </si>
  <si>
    <t>GCA_030212385.1</t>
  </si>
  <si>
    <t>UMB9967</t>
  </si>
  <si>
    <t>https://ftp.ncbi.nlm.nih.gov/genomes/all/GCA/030/212/385/GCA_030212385.1_ASM3021238v1</t>
  </si>
  <si>
    <t>GCA_030215825.1</t>
  </si>
  <si>
    <t>UMB8371</t>
  </si>
  <si>
    <t>https://ftp.ncbi.nlm.nih.gov/genomes/all/GCA/030/215/825/GCA_030215825.1_ASM3021582v1</t>
  </si>
  <si>
    <t>GCA_030216405.1</t>
  </si>
  <si>
    <t>UMB7974A</t>
  </si>
  <si>
    <t>https://ftp.ncbi.nlm.nih.gov/genomes/all/GCA/030/216/405/GCA_030216405.1_ASM3021640v1</t>
  </si>
  <si>
    <t>GCA_030216785.1</t>
  </si>
  <si>
    <t>UMB6494</t>
  </si>
  <si>
    <t>https://ftp.ncbi.nlm.nih.gov/genomes/all/GCA/030/216/785/GCA_030216785.1_ASM3021678v1</t>
  </si>
  <si>
    <t>GCA_030217125.1</t>
  </si>
  <si>
    <t>UMB3162</t>
  </si>
  <si>
    <t>https://ftp.ncbi.nlm.nih.gov/genomes/all/GCA/030/217/125/GCA_030217125.1_ASM3021712v1</t>
  </si>
  <si>
    <t>GCA_030217155.1</t>
  </si>
  <si>
    <t>UMB0829</t>
  </si>
  <si>
    <t>https://ftp.ncbi.nlm.nih.gov/genomes/all/GCA/030/217/155/GCA_030217155.1_ASM3021715v1</t>
  </si>
  <si>
    <t>GCA_030217265.1</t>
  </si>
  <si>
    <t>UMB3106</t>
  </si>
  <si>
    <t>https://ftp.ncbi.nlm.nih.gov/genomes/all/GCA/030/217/265/GCA_030217265.1_ASM3021726v1</t>
  </si>
  <si>
    <t>GCA_030217915.1</t>
  </si>
  <si>
    <t>UMB1181</t>
  </si>
  <si>
    <t>https://ftp.ncbi.nlm.nih.gov/genomes/all/GCA/030/217/915/GCA_030217915.1_ASM3021791v1</t>
  </si>
  <si>
    <t>GCA_030218005.1</t>
  </si>
  <si>
    <t>UMB1063</t>
  </si>
  <si>
    <t>https://ftp.ncbi.nlm.nih.gov/genomes/all/GCA/030/218/005/GCA_030218005.1_ASM3021800v1</t>
  </si>
  <si>
    <t>GCA_030218065.1</t>
  </si>
  <si>
    <t>UMB1050</t>
  </si>
  <si>
    <t>https://ftp.ncbi.nlm.nih.gov/genomes/all/GCA/030/218/065/GCA_030218065.1_ASM3021806v1</t>
  </si>
  <si>
    <t>GCA_030218125.1</t>
  </si>
  <si>
    <t>UMB1048</t>
  </si>
  <si>
    <t>https://ftp.ncbi.nlm.nih.gov/genomes/all/GCA/030/218/125/GCA_030218125.1_ASM3021812v1</t>
  </si>
  <si>
    <t>GCA_030218345.1</t>
  </si>
  <si>
    <t>UMB0889A</t>
  </si>
  <si>
    <t>https://ftp.ncbi.nlm.nih.gov/genomes/all/GCA/030/218/345/GCA_030218345.1_ASM3021834v1</t>
  </si>
  <si>
    <t>GCA_030218885.1</t>
  </si>
  <si>
    <t>UMB0017A</t>
  </si>
  <si>
    <t>https://ftp.ncbi.nlm.nih.gov/genomes/all/GCA/030/218/885/GCA_030218885.1_ASM3021888v1</t>
  </si>
  <si>
    <t>GCA_030219045.1</t>
  </si>
  <si>
    <t>UMB8269</t>
  </si>
  <si>
    <t>https://ftp.ncbi.nlm.nih.gov/genomes/all/GCA/030/219/045/GCA_030219045.1_ASM3021904v1</t>
  </si>
  <si>
    <t>GCA_030219075.1</t>
  </si>
  <si>
    <t>UMB8972</t>
  </si>
  <si>
    <t>https://ftp.ncbi.nlm.nih.gov/genomes/all/GCA/030/219/075/GCA_030219075.1_ASM3021907v1</t>
  </si>
  <si>
    <t>GCA_030219125.1</t>
  </si>
  <si>
    <t>UMB10101</t>
  </si>
  <si>
    <t>https://ftp.ncbi.nlm.nih.gov/genomes/all/GCA/030/219/125/GCA_030219125.1_ASM3021912v1</t>
  </si>
  <si>
    <t>GCA_030219165.1</t>
  </si>
  <si>
    <t>UMB9886</t>
  </si>
  <si>
    <t>https://ftp.ncbi.nlm.nih.gov/genomes/all/GCA/030/219/165/GCA_030219165.1_ASM3021916v1</t>
  </si>
  <si>
    <t>GCA_030219185.1</t>
  </si>
  <si>
    <t>UMB9891</t>
  </si>
  <si>
    <t>https://ftp.ncbi.nlm.nih.gov/genomes/all/GCA/030/219/185/GCA_030219185.1_ASM3021918v1</t>
  </si>
  <si>
    <t>GCA_030219285.1</t>
  </si>
  <si>
    <t>UMB0065</t>
  </si>
  <si>
    <t>https://ftp.ncbi.nlm.nih.gov/genomes/all/GCA/030/219/285/GCA_030219285.1_ASM3021928v1</t>
  </si>
  <si>
    <t>GCA_030219305.1</t>
  </si>
  <si>
    <t>PLW0727</t>
  </si>
  <si>
    <t>https://ftp.ncbi.nlm.nih.gov/genomes/all/GCA/030/219/305/GCA_030219305.1_ASM3021930v1</t>
  </si>
  <si>
    <t>GCA_030220105.1</t>
  </si>
  <si>
    <t>SDAQ-1</t>
  </si>
  <si>
    <t>https://ftp.ncbi.nlm.nih.gov/genomes/all/GCA/030/220/105/GCA_030220105.1_ASM3022010v1</t>
  </si>
  <si>
    <t>GCA_030223345.1</t>
  </si>
  <si>
    <t>UMB6759</t>
  </si>
  <si>
    <t>https://ftp.ncbi.nlm.nih.gov/genomes/all/GCA/030/223/345/GCA_030223345.1_ASM3022334v1</t>
  </si>
  <si>
    <t>GCA_030223365.1</t>
  </si>
  <si>
    <t>UMB0589</t>
  </si>
  <si>
    <t>https://ftp.ncbi.nlm.nih.gov/genomes/all/GCA/030/223/365/GCA_030223365.1_ASM3022336v1</t>
  </si>
  <si>
    <t>GCA_030223695.1</t>
  </si>
  <si>
    <t>UMB0191</t>
  </si>
  <si>
    <t>https://ftp.ncbi.nlm.nih.gov/genomes/all/GCA/030/223/695/GCA_030223695.1_ASM3022369v1</t>
  </si>
  <si>
    <t>GCA_030223725.1</t>
  </si>
  <si>
    <t>UMB12383B</t>
  </si>
  <si>
    <t>https://ftp.ncbi.nlm.nih.gov/genomes/all/GCA/030/223/725/GCA_030223725.1_ASM3022372v1</t>
  </si>
  <si>
    <t>GCA_030223765.1</t>
  </si>
  <si>
    <t>UMB12383A</t>
  </si>
  <si>
    <t>https://ftp.ncbi.nlm.nih.gov/genomes/all/GCA/030/223/765/GCA_030223765.1_ASM3022376v1</t>
  </si>
  <si>
    <t>GCA_030223965.1</t>
  </si>
  <si>
    <t>UMB10226A</t>
  </si>
  <si>
    <t>https://ftp.ncbi.nlm.nih.gov/genomes/all/GCA/030/223/965/GCA_030223965.1_ASM3022396v1</t>
  </si>
  <si>
    <t>GCA_030223985.1</t>
  </si>
  <si>
    <t>UMB10226B</t>
  </si>
  <si>
    <t>https://ftp.ncbi.nlm.nih.gov/genomes/all/GCA/030/223/985/GCA_030223985.1_ASM3022398v1</t>
  </si>
  <si>
    <t>GCA_030224105.1</t>
  </si>
  <si>
    <t>UMB8704B</t>
  </si>
  <si>
    <t>https://ftp.ncbi.nlm.nih.gov/genomes/all/GCA/030/224/105/GCA_030224105.1_ASM3022410v1</t>
  </si>
  <si>
    <t>GCA_030224605.1</t>
  </si>
  <si>
    <t>UMB6355</t>
  </si>
  <si>
    <t>https://ftp.ncbi.nlm.nih.gov/genomes/all/GCA/030/224/605/GCA_030224605.1_ASM3022460v1</t>
  </si>
  <si>
    <t>GCA_030224835.1</t>
  </si>
  <si>
    <t>UMB1283</t>
  </si>
  <si>
    <t>https://ftp.ncbi.nlm.nih.gov/genomes/all/GCA/030/224/835/GCA_030224835.1_ASM3022483v1</t>
  </si>
  <si>
    <t>GCA_030225245.1</t>
  </si>
  <si>
    <t>UMB0026</t>
  </si>
  <si>
    <t>https://ftp.ncbi.nlm.nih.gov/genomes/all/GCA/030/225/245/GCA_030225245.1_ASM3022524v1</t>
  </si>
  <si>
    <t>GCA_030225305.1</t>
  </si>
  <si>
    <t>UMB0017B</t>
  </si>
  <si>
    <t>https://ftp.ncbi.nlm.nih.gov/genomes/all/GCA/030/225/305/GCA_030225305.1_ASM3022530v1</t>
  </si>
  <si>
    <t>GCA_030225585.1</t>
  </si>
  <si>
    <t>UMB750A.1</t>
  </si>
  <si>
    <t>https://ftp.ncbi.nlm.nih.gov/genomes/all/GCA/030/225/585/GCA_030225585.1_ASM3022558v1</t>
  </si>
  <si>
    <t>GCA_030225625.1</t>
  </si>
  <si>
    <t>UMB750B.1</t>
  </si>
  <si>
    <t>https://ftp.ncbi.nlm.nih.gov/genomes/all/GCA/030/225/625/GCA_030225625.1_ASM3022562v1</t>
  </si>
  <si>
    <t>GCA_030226005.1</t>
  </si>
  <si>
    <t>UMB9934</t>
  </si>
  <si>
    <t>https://ftp.ncbi.nlm.nih.gov/genomes/all/GCA/030/226/005/GCA_030226005.1_ASM3022600v1</t>
  </si>
  <si>
    <t>GCA_030226025.1</t>
  </si>
  <si>
    <t>UMB9969</t>
  </si>
  <si>
    <t>https://ftp.ncbi.nlm.nih.gov/genomes/all/GCA/030/226/025/GCA_030226025.1_ASM3022602v1</t>
  </si>
  <si>
    <t>GCA_030226275.1</t>
  </si>
  <si>
    <t>UMB7973B</t>
  </si>
  <si>
    <t>https://ftp.ncbi.nlm.nih.gov/genomes/all/GCA/030/226/275/GCA_030226275.1_ASM3022627v1</t>
  </si>
  <si>
    <t>GCA_030227185.1</t>
  </si>
  <si>
    <t>MSK077</t>
  </si>
  <si>
    <t>https://ftp.ncbi.nlm.nih.gov/genomes/all/GCA/030/227/185/GCA_030227185.1_ASM3022718v1</t>
  </si>
  <si>
    <t>GCA_030227205.1</t>
  </si>
  <si>
    <t>MSK127</t>
  </si>
  <si>
    <t>https://ftp.ncbi.nlm.nih.gov/genomes/all/GCA/030/227/205/GCA_030227205.1_ASM3022720v1</t>
  </si>
  <si>
    <t>GCA_030227215.1</t>
  </si>
  <si>
    <t>MSK081</t>
  </si>
  <si>
    <t>https://ftp.ncbi.nlm.nih.gov/genomes/all/GCA/030/227/215/GCA_030227215.1_ASM3022721v1</t>
  </si>
  <si>
    <t>GCA_030227275.1</t>
  </si>
  <si>
    <t>MSK075</t>
  </si>
  <si>
    <t>https://ftp.ncbi.nlm.nih.gov/genomes/all/GCA/030/227/275/GCA_030227275.1_ASM3022727v1</t>
  </si>
  <si>
    <t>GCA_030227325.1</t>
  </si>
  <si>
    <t>MSK080</t>
  </si>
  <si>
    <t>https://ftp.ncbi.nlm.nih.gov/genomes/all/GCA/030/227/325/GCA_030227325.1_ASM3022732v1</t>
  </si>
  <si>
    <t>GCA_030227545.1</t>
  </si>
  <si>
    <t>UMB12087A.2</t>
  </si>
  <si>
    <t>https://ftp.ncbi.nlm.nih.gov/genomes/all/GCA/030/227/545/GCA_030227545.1_ASM3022754v1</t>
  </si>
  <si>
    <t>GCA_030227555.1</t>
  </si>
  <si>
    <t>UMB10161.3</t>
  </si>
  <si>
    <t>https://ftp.ncbi.nlm.nih.gov/genomes/all/GCA/030/227/555/GCA_030227555.1_ASM3022755v1</t>
  </si>
  <si>
    <t>GCA_030228345.1</t>
  </si>
  <si>
    <t>UMB0030B</t>
  </si>
  <si>
    <t>https://ftp.ncbi.nlm.nih.gov/genomes/all/GCA/030/228/345/GCA_030228345.1_ASM3022834v1</t>
  </si>
  <si>
    <t>GCA_030228465.1</t>
  </si>
  <si>
    <t>UMB5615B</t>
  </si>
  <si>
    <t>https://ftp.ncbi.nlm.nih.gov/genomes/all/GCA/030/228/465/GCA_030228465.1_ASM3022846v1</t>
  </si>
  <si>
    <t>GCA_030228535.1</t>
  </si>
  <si>
    <t>UMB10230B.1</t>
  </si>
  <si>
    <t>https://ftp.ncbi.nlm.nih.gov/genomes/all/GCA/030/228/535/GCA_030228535.1_ASM3022853v1</t>
  </si>
  <si>
    <t>GCA_030228605.1</t>
  </si>
  <si>
    <t>UMB10230B.2</t>
  </si>
  <si>
    <t>https://ftp.ncbi.nlm.nih.gov/genomes/all/GCA/030/228/605/GCA_030228605.1_ASM3022860v1</t>
  </si>
  <si>
    <t>GCA_030228685.1</t>
  </si>
  <si>
    <t>UMB10323</t>
  </si>
  <si>
    <t>https://ftp.ncbi.nlm.nih.gov/genomes/all/GCA/030/228/685/GCA_030228685.1_ASM3022868v1</t>
  </si>
  <si>
    <t>GCA_030228805.1</t>
  </si>
  <si>
    <t>MSK283</t>
  </si>
  <si>
    <t>https://ftp.ncbi.nlm.nih.gov/genomes/all/GCA/030/228/805/GCA_030228805.1_ASM3022880v1</t>
  </si>
  <si>
    <t>GCA_030228865.1</t>
  </si>
  <si>
    <t>MSK079</t>
  </si>
  <si>
    <t>https://ftp.ncbi.nlm.nih.gov/genomes/all/GCA/030/228/865/GCA_030228865.1_ASM3022886v1</t>
  </si>
  <si>
    <t>GCA_030228895.1</t>
  </si>
  <si>
    <t>MSK076</t>
  </si>
  <si>
    <t>https://ftp.ncbi.nlm.nih.gov/genomes/all/GCA/030/228/895/GCA_030228895.1_ASM3022889v1</t>
  </si>
  <si>
    <t>GCA_030228925.1</t>
  </si>
  <si>
    <t>MSK194</t>
  </si>
  <si>
    <t>https://ftp.ncbi.nlm.nih.gov/genomes/all/GCA/030/228/925/GCA_030228925.1_ASM3022892v1</t>
  </si>
  <si>
    <t>GCA_030228935.1</t>
  </si>
  <si>
    <t>MSK124</t>
  </si>
  <si>
    <t>https://ftp.ncbi.nlm.nih.gov/genomes/all/GCA/030/228/935/GCA_030228935.1_ASM3022893v1</t>
  </si>
  <si>
    <t>GCA_030228965.1</t>
  </si>
  <si>
    <t>MSK091</t>
  </si>
  <si>
    <t>https://ftp.ncbi.nlm.nih.gov/genomes/all/GCA/030/228/965/GCA_030228965.1_ASM3022896v1</t>
  </si>
  <si>
    <t>GCA_030229005.1</t>
  </si>
  <si>
    <t>MSK104</t>
  </si>
  <si>
    <t>https://ftp.ncbi.nlm.nih.gov/genomes/all/GCA/030/229/005/GCA_030229005.1_ASM3022900v1</t>
  </si>
  <si>
    <t>GCA_030229025.1</t>
  </si>
  <si>
    <t>MSK121</t>
  </si>
  <si>
    <t>https://ftp.ncbi.nlm.nih.gov/genomes/all/GCA/030/229/025/GCA_030229025.1_ASM3022902v1</t>
  </si>
  <si>
    <t>GCA_030229035.1</t>
  </si>
  <si>
    <t>MSK305</t>
  </si>
  <si>
    <t>https://ftp.ncbi.nlm.nih.gov/genomes/all/GCA/030/229/035/GCA_030229035.1_ASM3022903v1</t>
  </si>
  <si>
    <t>GCA_030229065.1</t>
  </si>
  <si>
    <t>MSK161</t>
  </si>
  <si>
    <t>https://ftp.ncbi.nlm.nih.gov/genomes/all/GCA/030/229/065/GCA_030229065.1_ASM3022906v1</t>
  </si>
  <si>
    <t>GCA_030229105.1</t>
  </si>
  <si>
    <t>MSK146</t>
  </si>
  <si>
    <t>https://ftp.ncbi.nlm.nih.gov/genomes/all/GCA/030/229/105/GCA_030229105.1_ASM3022910v1</t>
  </si>
  <si>
    <t>GCA_030229145.1</t>
  </si>
  <si>
    <t>MSK300</t>
  </si>
  <si>
    <t>https://ftp.ncbi.nlm.nih.gov/genomes/all/GCA/030/229/145/GCA_030229145.1_ASM3022914v1</t>
  </si>
  <si>
    <t>GCA_030229165.1</t>
  </si>
  <si>
    <t>MSK223</t>
  </si>
  <si>
    <t>https://ftp.ncbi.nlm.nih.gov/genomes/all/GCA/030/229/165/GCA_030229165.1_ASM3022916v1</t>
  </si>
  <si>
    <t>GCA_030229185.1</t>
  </si>
  <si>
    <t>MSK238</t>
  </si>
  <si>
    <t>https://ftp.ncbi.nlm.nih.gov/genomes/all/GCA/030/229/185/GCA_030229185.1_ASM3022918v1</t>
  </si>
  <si>
    <t>GCA_030229195.1</t>
  </si>
  <si>
    <t>MSK172</t>
  </si>
  <si>
    <t>https://ftp.ncbi.nlm.nih.gov/genomes/all/GCA/030/229/195/GCA_030229195.1_ASM3022919v1</t>
  </si>
  <si>
    <t>GCA_030229285.1</t>
  </si>
  <si>
    <t>MSK270</t>
  </si>
  <si>
    <t>https://ftp.ncbi.nlm.nih.gov/genomes/all/GCA/030/229/285/GCA_030229285.1_ASM3022928v1</t>
  </si>
  <si>
    <t>GCA_030229305.1</t>
  </si>
  <si>
    <t>MSK092</t>
  </si>
  <si>
    <t>https://ftp.ncbi.nlm.nih.gov/genomes/all/GCA/030/229/305/GCA_030229305.1_ASM3022930v1</t>
  </si>
  <si>
    <t>GCA_030229315.1</t>
  </si>
  <si>
    <t>MSK163</t>
  </si>
  <si>
    <t>https://ftp.ncbi.nlm.nih.gov/genomes/all/GCA/030/229/315/GCA_030229315.1_ASM3022931v1</t>
  </si>
  <si>
    <t>GCA_030229415.1</t>
  </si>
  <si>
    <t>MSK168</t>
  </si>
  <si>
    <t>https://ftp.ncbi.nlm.nih.gov/genomes/all/GCA/030/229/415/GCA_030229415.1_ASM3022941v1</t>
  </si>
  <si>
    <t>GCA_030229425.1</t>
  </si>
  <si>
    <t>MSK188</t>
  </si>
  <si>
    <t>https://ftp.ncbi.nlm.nih.gov/genomes/all/GCA/030/229/425/GCA_030229425.1_ASM3022942v1</t>
  </si>
  <si>
    <t>GCA_030229485.1</t>
  </si>
  <si>
    <t>MSK141</t>
  </si>
  <si>
    <t>https://ftp.ncbi.nlm.nih.gov/genomes/all/GCA/030/229/485/GCA_030229485.1_ASM3022948v1</t>
  </si>
  <si>
    <t>GCA_030229515.1</t>
  </si>
  <si>
    <t>MSK184</t>
  </si>
  <si>
    <t>https://ftp.ncbi.nlm.nih.gov/genomes/all/GCA/030/229/515/GCA_030229515.1_ASM3022951v1</t>
  </si>
  <si>
    <t>GCA_030229545.1</t>
  </si>
  <si>
    <t>MSK095</t>
  </si>
  <si>
    <t>https://ftp.ncbi.nlm.nih.gov/genomes/all/GCA/030/229/545/GCA_030229545.1_ASM3022954v1</t>
  </si>
  <si>
    <t>GCA_030229605.1</t>
  </si>
  <si>
    <t>MSK125</t>
  </si>
  <si>
    <t>https://ftp.ncbi.nlm.nih.gov/genomes/all/GCA/030/229/605/GCA_030229605.1_ASM3022960v1</t>
  </si>
  <si>
    <t>GCA_030229625.1</t>
  </si>
  <si>
    <t>MSK099</t>
  </si>
  <si>
    <t>https://ftp.ncbi.nlm.nih.gov/genomes/all/GCA/030/229/625/GCA_030229625.1_ASM3022962v1</t>
  </si>
  <si>
    <t>GCA_030229665.1</t>
  </si>
  <si>
    <t>MSK110</t>
  </si>
  <si>
    <t>https://ftp.ncbi.nlm.nih.gov/genomes/all/GCA/030/229/665/GCA_030229665.1_ASM3022966v1</t>
  </si>
  <si>
    <t>GCA_030229685.1</t>
  </si>
  <si>
    <t>MSK109</t>
  </si>
  <si>
    <t>https://ftp.ncbi.nlm.nih.gov/genomes/all/GCA/030/229/685/GCA_030229685.1_ASM3022968v1</t>
  </si>
  <si>
    <t>GCA_030229765.1</t>
  </si>
  <si>
    <t>MSK185</t>
  </si>
  <si>
    <t>https://ftp.ncbi.nlm.nih.gov/genomes/all/GCA/030/229/765/GCA_030229765.1_ASM3022976v1</t>
  </si>
  <si>
    <t>GCA_030229785.1</t>
  </si>
  <si>
    <t>MSK202</t>
  </si>
  <si>
    <t>https://ftp.ncbi.nlm.nih.gov/genomes/all/GCA/030/229/785/GCA_030229785.1_ASM3022978v1</t>
  </si>
  <si>
    <t>GCA_030229805.1</t>
  </si>
  <si>
    <t>MSK273</t>
  </si>
  <si>
    <t>https://ftp.ncbi.nlm.nih.gov/genomes/all/GCA/030/229/805/GCA_030229805.1_ASM3022980v1</t>
  </si>
  <si>
    <t>GCA_030229835.1</t>
  </si>
  <si>
    <t>MSK198</t>
  </si>
  <si>
    <t>https://ftp.ncbi.nlm.nih.gov/genomes/all/GCA/030/229/835/GCA_030229835.1_ASM3022983v1</t>
  </si>
  <si>
    <t>GCA_030229925.1</t>
  </si>
  <si>
    <t>MSK290</t>
  </si>
  <si>
    <t>https://ftp.ncbi.nlm.nih.gov/genomes/all/GCA/030/229/925/GCA_030229925.1_ASM3022992v1</t>
  </si>
  <si>
    <t>GCA_030230405.1</t>
  </si>
  <si>
    <t>UMB7933</t>
  </si>
  <si>
    <t>https://ftp.ncbi.nlm.nih.gov/genomes/all/GCA/030/230/405/GCA_030230405.1_ASM3023040v1</t>
  </si>
  <si>
    <t>GCA_030230475.1</t>
  </si>
  <si>
    <t>UMB1308A</t>
  </si>
  <si>
    <t>https://ftp.ncbi.nlm.nih.gov/genomes/all/GCA/030/230/475/GCA_030230475.1_ASM3023047v1</t>
  </si>
  <si>
    <t>GCA_030230485.1</t>
  </si>
  <si>
    <t>UMB6688.2</t>
  </si>
  <si>
    <t>https://ftp.ncbi.nlm.nih.gov/genomes/all/GCA/030/230/485/GCA_030230485.1_ASM3023048v1</t>
  </si>
  <si>
    <t>GCA_030230925.1</t>
  </si>
  <si>
    <t>UMB0046.C</t>
  </si>
  <si>
    <t>https://ftp.ncbi.nlm.nih.gov/genomes/all/GCA/030/230/925/GCA_030230925.1_ASM3023092v1</t>
  </si>
  <si>
    <t>GCA_030231045.1</t>
  </si>
  <si>
    <t>MSK002</t>
  </si>
  <si>
    <t>https://ftp.ncbi.nlm.nih.gov/genomes/all/GCA/030/231/045/GCA_030231045.1_ASM3023104v1</t>
  </si>
  <si>
    <t>GCA_030232045.1</t>
  </si>
  <si>
    <t>MSK311</t>
  </si>
  <si>
    <t>https://ftp.ncbi.nlm.nih.gov/genomes/all/GCA/030/232/045/GCA_030232045.1_ASM3023204v1</t>
  </si>
  <si>
    <t>GCA_030232105.1</t>
  </si>
  <si>
    <t>MSK065</t>
  </si>
  <si>
    <t>https://ftp.ncbi.nlm.nih.gov/genomes/all/GCA/030/232/105/GCA_030232105.1_ASM3023210v1</t>
  </si>
  <si>
    <t>GCA_030232125.1</t>
  </si>
  <si>
    <t>MSK071</t>
  </si>
  <si>
    <t>https://ftp.ncbi.nlm.nih.gov/genomes/all/GCA/030/232/125/GCA_030232125.1_ASM3023212v1</t>
  </si>
  <si>
    <t>GCA_030232145.1</t>
  </si>
  <si>
    <t>MSK070</t>
  </si>
  <si>
    <t>https://ftp.ncbi.nlm.nih.gov/genomes/all/GCA/030/232/145/GCA_030232145.1_ASM3023214v1</t>
  </si>
  <si>
    <t>GCA_030232165.1</t>
  </si>
  <si>
    <t>MSK060</t>
  </si>
  <si>
    <t>https://ftp.ncbi.nlm.nih.gov/genomes/all/GCA/030/232/165/GCA_030232165.1_ASM3023216v1</t>
  </si>
  <si>
    <t>GCA_030232205.1</t>
  </si>
  <si>
    <t>MSK064</t>
  </si>
  <si>
    <t>https://ftp.ncbi.nlm.nih.gov/genomes/all/GCA/030/232/205/GCA_030232205.1_ASM3023220v1</t>
  </si>
  <si>
    <t>GCA_030232215.1</t>
  </si>
  <si>
    <t>MSK059</t>
  </si>
  <si>
    <t>https://ftp.ncbi.nlm.nih.gov/genomes/all/GCA/030/232/215/GCA_030232215.1_ASM3023221v1</t>
  </si>
  <si>
    <t>GCA_030232245.1</t>
  </si>
  <si>
    <t>MSK050</t>
  </si>
  <si>
    <t>https://ftp.ncbi.nlm.nih.gov/genomes/all/GCA/030/232/245/GCA_030232245.1_ASM3023224v1</t>
  </si>
  <si>
    <t>GCA_030232305.1</t>
  </si>
  <si>
    <t>MSK033</t>
  </si>
  <si>
    <t>https://ftp.ncbi.nlm.nih.gov/genomes/all/GCA/030/232/305/GCA_030232305.1_ASM3023230v1</t>
  </si>
  <si>
    <t>GCA_030232325.1</t>
  </si>
  <si>
    <t>MSK038</t>
  </si>
  <si>
    <t>https://ftp.ncbi.nlm.nih.gov/genomes/all/GCA/030/232/325/GCA_030232325.1_ASM3023232v1</t>
  </si>
  <si>
    <t>GCA_030232395.1</t>
  </si>
  <si>
    <t>MSK028</t>
  </si>
  <si>
    <t>https://ftp.ncbi.nlm.nih.gov/genomes/all/GCA/030/232/395/GCA_030232395.1_ASM3023239v1</t>
  </si>
  <si>
    <t>GCA_030232485.1</t>
  </si>
  <si>
    <t>MSK005</t>
  </si>
  <si>
    <t>https://ftp.ncbi.nlm.nih.gov/genomes/all/GCA/030/232/485/GCA_030232485.1_ASM3023248v1</t>
  </si>
  <si>
    <t>GCA_030232565.1</t>
  </si>
  <si>
    <t>MSK037</t>
  </si>
  <si>
    <t>https://ftp.ncbi.nlm.nih.gov/genomes/all/GCA/030/232/565/GCA_030232565.1_ASM3023256v1</t>
  </si>
  <si>
    <t>GCA_030232605.1</t>
  </si>
  <si>
    <t>MSK314</t>
  </si>
  <si>
    <t>https://ftp.ncbi.nlm.nih.gov/genomes/all/GCA/030/232/605/GCA_030232605.1_ASM3023260v1</t>
  </si>
  <si>
    <t>GCA_030232685.1</t>
  </si>
  <si>
    <t>MSK164</t>
  </si>
  <si>
    <t>https://ftp.ncbi.nlm.nih.gov/genomes/all/GCA/030/232/685/GCA_030232685.1_ASM3023268v1</t>
  </si>
  <si>
    <t>GCA_030232755.1</t>
  </si>
  <si>
    <t>MSK096</t>
  </si>
  <si>
    <t>https://ftp.ncbi.nlm.nih.gov/genomes/all/GCA/030/232/755/GCA_030232755.1_ASM3023275v1</t>
  </si>
  <si>
    <t>GCA_030232785.1</t>
  </si>
  <si>
    <t>MSK118</t>
  </si>
  <si>
    <t>https://ftp.ncbi.nlm.nih.gov/genomes/all/GCA/030/232/785/GCA_030232785.1_ASM3023278v1</t>
  </si>
  <si>
    <t>GCA_030232805.1</t>
  </si>
  <si>
    <t>MSK067</t>
  </si>
  <si>
    <t>https://ftp.ncbi.nlm.nih.gov/genomes/all/GCA/030/232/805/GCA_030232805.1_ASM3023280v1</t>
  </si>
  <si>
    <t>GCA_030232845.1</t>
  </si>
  <si>
    <t>MSK166</t>
  </si>
  <si>
    <t>https://ftp.ncbi.nlm.nih.gov/genomes/all/GCA/030/232/845/GCA_030232845.1_ASM3023284v1</t>
  </si>
  <si>
    <t>GCA_030233945.1</t>
  </si>
  <si>
    <t>UMB5615A</t>
  </si>
  <si>
    <t>https://ftp.ncbi.nlm.nih.gov/genomes/all/GCA/030/233/945/GCA_030233945.1_ASM3023394v1</t>
  </si>
  <si>
    <t>GCA_030234045.1</t>
  </si>
  <si>
    <t>UMB6473-AN360BR</t>
  </si>
  <si>
    <t>https://ftp.ncbi.nlm.nih.gov/genomes/all/GCA/030/234/045/GCA_030234045.1_ASM3023404v1</t>
  </si>
  <si>
    <t>GCA_030236405.1</t>
  </si>
  <si>
    <t>OGSA_21</t>
  </si>
  <si>
    <t>https://ftp.ncbi.nlm.nih.gov/genomes/all/GCA/030/236/405/GCA_030236405.1_ASM3023640v1</t>
  </si>
  <si>
    <t>GCA_030238465.1</t>
  </si>
  <si>
    <t>CCUG 42621</t>
  </si>
  <si>
    <t>https://ftp.ncbi.nlm.nih.gov/genomes/all/GCA/030/238/465/GCA_030238465.1_ASM3023846v1</t>
  </si>
  <si>
    <t>GCA_030238485.1</t>
  </si>
  <si>
    <t>CCUG 52976</t>
  </si>
  <si>
    <t>https://ftp.ncbi.nlm.nih.gov/genomes/all/GCA/030/238/485/GCA_030238485.1_ASM3023848v1</t>
  </si>
  <si>
    <t>GCA_030239395.1</t>
  </si>
  <si>
    <t>OGSA_30</t>
  </si>
  <si>
    <t>https://ftp.ncbi.nlm.nih.gov/genomes/all/GCA/030/239/395/GCA_030239395.1_ASM3023939v1</t>
  </si>
  <si>
    <t>GCA_030239425.1</t>
  </si>
  <si>
    <t>OGSA_28</t>
  </si>
  <si>
    <t>https://ftp.ncbi.nlm.nih.gov/genomes/all/GCA/030/239/425/GCA_030239425.1_ASM3023942v1</t>
  </si>
  <si>
    <t>GCA_030252365.1</t>
  </si>
  <si>
    <t>LyEC02</t>
  </si>
  <si>
    <t>https://ftp.ncbi.nlm.nih.gov/genomes/all/GCA/030/252/365/GCA_030252365.1_ASM3025236v1</t>
  </si>
  <si>
    <t>GCA_030253495.1</t>
  </si>
  <si>
    <t>F0345</t>
  </si>
  <si>
    <t>https://ftp.ncbi.nlm.nih.gov/genomes/all/GCA/030/253/495/GCA_030253495.1_ASM3025349v1</t>
  </si>
  <si>
    <t>GCA_030253515.1</t>
  </si>
  <si>
    <t>ML1</t>
  </si>
  <si>
    <t>https://ftp.ncbi.nlm.nih.gov/genomes/all/GCA/030/253/515/GCA_030253515.1_ASM3025351v1</t>
  </si>
  <si>
    <t>GCA_030253535.1</t>
  </si>
  <si>
    <t>https://ftp.ncbi.nlm.nih.gov/genomes/all/GCA/030/253/535/GCA_030253535.1_ASM3025353v1</t>
  </si>
  <si>
    <t>GCA_030264095.1</t>
  </si>
  <si>
    <t>M1691_10</t>
  </si>
  <si>
    <t>https://ftp.ncbi.nlm.nih.gov/genomes/all/GCA/030/264/095/GCA_030264095.1_ASM3026409v1</t>
  </si>
  <si>
    <t>GCA_030272855.1</t>
  </si>
  <si>
    <t>SC1</t>
  </si>
  <si>
    <t>https://ftp.ncbi.nlm.nih.gov/genomes/all/GCA/030/272/855/GCA_030272855.1_ASM3027285v1</t>
  </si>
  <si>
    <t>GCA_030284685.1</t>
  </si>
  <si>
    <t>VTCC 12812</t>
  </si>
  <si>
    <t>https://ftp.ncbi.nlm.nih.gov/genomes/all/GCA/030/284/685/GCA_030284685.1_ASM3028468v1</t>
  </si>
  <si>
    <t>GCA_030294905.1</t>
  </si>
  <si>
    <t>LP13</t>
  </si>
  <si>
    <t>https://ftp.ncbi.nlm.nih.gov/genomes/all/GCA/030/294/905/GCA_030294905.1_ASM3029490v1</t>
  </si>
  <si>
    <t>GCA_030295285.1</t>
  </si>
  <si>
    <t>TP-CG7</t>
  </si>
  <si>
    <t>https://ftp.ncbi.nlm.nih.gov/genomes/all/GCA/030/295/285/GCA_030295285.1_ASM3029528v1</t>
  </si>
  <si>
    <t>GCA_030295305.1</t>
  </si>
  <si>
    <t>TP-CU426</t>
  </si>
  <si>
    <t>https://ftp.ncbi.nlm.nih.gov/genomes/all/GCA/030/295/305/GCA_030295305.1_ASM3029530v1</t>
  </si>
  <si>
    <t>GCA_030296035.1</t>
  </si>
  <si>
    <t>TP-CV302</t>
  </si>
  <si>
    <t>https://ftp.ncbi.nlm.nih.gov/genomes/all/GCA/030/296/035/GCA_030296035.1_ASM3029603v1</t>
  </si>
  <si>
    <t>GCA_030316785.1</t>
  </si>
  <si>
    <t>VTCC 12813</t>
  </si>
  <si>
    <t>https://ftp.ncbi.nlm.nih.gov/genomes/all/GCA/030/316/785/GCA_030316785.1_ASM3031678v1</t>
  </si>
  <si>
    <t>GCA_030323545.1</t>
  </si>
  <si>
    <t>BS06</t>
  </si>
  <si>
    <t>https://ftp.ncbi.nlm.nih.gov/genomes/all/GCA/030/323/545/GCA_030323545.1_ASM3032354v1</t>
  </si>
  <si>
    <t>GCA_030360715.1</t>
  </si>
  <si>
    <t>TOM.1367</t>
  </si>
  <si>
    <t>https://ftp.ncbi.nlm.nih.gov/genomes/all/GCA/030/360/715/GCA_030360715.1_ASM3036071v1</t>
  </si>
  <si>
    <t>ET81</t>
  </si>
  <si>
    <t>https://ftp.ncbi.nlm.nih.gov/genomes/all/GCA/030/371/665/GCA_030371665.1_ASM3037166v1</t>
  </si>
  <si>
    <t>GCA_030403525.1</t>
  </si>
  <si>
    <t>WAC2</t>
  </si>
  <si>
    <t>https://ftp.ncbi.nlm.nih.gov/genomes/all/GCA/030/403/525/GCA_030403525.1_ASM3040352v1</t>
  </si>
  <si>
    <t>GCA_030403625.1</t>
  </si>
  <si>
    <t>ZSM2</t>
  </si>
  <si>
    <t>https://ftp.ncbi.nlm.nih.gov/genomes/all/GCA/030/403/625/GCA_030403625.1_ASM3040362v1</t>
  </si>
  <si>
    <t>GCA_030405845.1</t>
  </si>
  <si>
    <t>SZY H51</t>
  </si>
  <si>
    <t>https://ftp.ncbi.nlm.nih.gov/genomes/all/GCA/030/405/845/GCA_030405845.1_ASM3040584v1</t>
  </si>
  <si>
    <t>GCA_030408355.1</t>
  </si>
  <si>
    <t>DSM 44280</t>
  </si>
  <si>
    <t>https://ftp.ncbi.nlm.nih.gov/genomes/all/GCA/030/408/355/GCA_030408355.1_ASM3040835v1</t>
  </si>
  <si>
    <t>GCA_030408415.1</t>
  </si>
  <si>
    <t>CIP 107643</t>
  </si>
  <si>
    <t>https://ftp.ncbi.nlm.nih.gov/genomes/all/GCA/030/408/415/GCA_030408415.1_ASM3040841v1</t>
  </si>
  <si>
    <t>GCA_030408555.1</t>
  </si>
  <si>
    <t>https://ftp.ncbi.nlm.nih.gov/genomes/all/GCA/030/408/555/GCA_030408555.1_ASM3040855v1</t>
  </si>
  <si>
    <t>GCA_030408615.1</t>
  </si>
  <si>
    <t>https://ftp.ncbi.nlm.nih.gov/genomes/all/GCA/030/408/615/GCA_030408615.1_ASM3040861v1</t>
  </si>
  <si>
    <t>GCA_030408635.1</t>
  </si>
  <si>
    <t>DSM 44184</t>
  </si>
  <si>
    <t>https://ftp.ncbi.nlm.nih.gov/genomes/all/GCA/030/408/635/GCA_030408635.1_ASM3040863v1</t>
  </si>
  <si>
    <t>GCA_030408675.1</t>
  </si>
  <si>
    <t>https://ftp.ncbi.nlm.nih.gov/genomes/all/GCA/030/408/675/GCA_030408675.1_ASM3040867v1</t>
  </si>
  <si>
    <t>GCA_030408695.1</t>
  </si>
  <si>
    <t>https://ftp.ncbi.nlm.nih.gov/genomes/all/GCA/030/408/695/GCA_030408695.1_ASM3040869v1</t>
  </si>
  <si>
    <t>GCA_030408875.1</t>
  </si>
  <si>
    <t>DSM 108986</t>
  </si>
  <si>
    <t>https://ftp.ncbi.nlm.nih.gov/genomes/all/GCA/030/408/875/GCA_030408875.1_ASM3040887v1</t>
  </si>
  <si>
    <t>GCA_030408895.1</t>
  </si>
  <si>
    <t>DSM 108039</t>
  </si>
  <si>
    <t>https://ftp.ncbi.nlm.nih.gov/genomes/all/GCA/030/408/895/GCA_030408895.1_ASM3040889v1</t>
  </si>
  <si>
    <t>GCA_030418255.1</t>
  </si>
  <si>
    <t>NK1</t>
  </si>
  <si>
    <t>https://ftp.ncbi.nlm.nih.gov/genomes/all/GCA/030/418/255/GCA_030418255.1_NK1</t>
  </si>
  <si>
    <t>GCA_030435155.1</t>
  </si>
  <si>
    <t>PWPW_T2</t>
  </si>
  <si>
    <t>https://ftp.ncbi.nlm.nih.gov/genomes/all/GCA/030/435/155/GCA_030435155.1_ASM3043515v1</t>
  </si>
  <si>
    <t>GCA_030435855.1</t>
  </si>
  <si>
    <t>CCSH-121</t>
  </si>
  <si>
    <t>https://ftp.ncbi.nlm.nih.gov/genomes/all/GCA/030/435/855/GCA_030435855.1_ASM3043585v1</t>
  </si>
  <si>
    <t>GCA_030435915.1</t>
  </si>
  <si>
    <t>CKFA-393</t>
  </si>
  <si>
    <t>https://ftp.ncbi.nlm.nih.gov/genomes/all/GCA/030/435/915/GCA_030435915.1_ASM3043591v1</t>
  </si>
  <si>
    <t>GCA_030435935.1</t>
  </si>
  <si>
    <t>CJFE-402M</t>
  </si>
  <si>
    <t>https://ftp.ncbi.nlm.nih.gov/genomes/all/GCA/030/435/935/GCA_030435935.1_ASM3043593v1</t>
  </si>
  <si>
    <t>GCA_030435975.1</t>
  </si>
  <si>
    <t>CCSH-141</t>
  </si>
  <si>
    <t>https://ftp.ncbi.nlm.nih.gov/genomes/all/GCA/030/435/975/GCA_030435975.1_ASM3043597v1</t>
  </si>
  <si>
    <t>GCA_030436145.1</t>
  </si>
  <si>
    <t>L2</t>
  </si>
  <si>
    <t>https://ftp.ncbi.nlm.nih.gov/genomes/all/GCA/030/436/145/GCA_030436145.1_ASM3043614v1</t>
  </si>
  <si>
    <t>GCA_030439925.1</t>
  </si>
  <si>
    <t>SG2</t>
  </si>
  <si>
    <t>https://ftp.ncbi.nlm.nih.gov/genomes/all/GCA/030/439/925/GCA_030439925.1_ASM3043992v1</t>
  </si>
  <si>
    <t>GCA_030439935.1</t>
  </si>
  <si>
    <t>https://ftp.ncbi.nlm.nih.gov/genomes/all/GCA/030/439/935/GCA_030439935.1_ASM3043993v1</t>
  </si>
  <si>
    <t>GCA_030439945.1</t>
  </si>
  <si>
    <t>SI1</t>
  </si>
  <si>
    <t>https://ftp.ncbi.nlm.nih.gov/genomes/all/GCA/030/439/945/GCA_030439945.1_ASM3043994v1</t>
  </si>
  <si>
    <t>GCA_030440045.1</t>
  </si>
  <si>
    <t>SP8</t>
  </si>
  <si>
    <t>https://ftp.ncbi.nlm.nih.gov/genomes/all/GCA/030/440/045/GCA_030440045.1_ASM3044004v1</t>
  </si>
  <si>
    <t>GCA_030440055.1</t>
  </si>
  <si>
    <t>SO4</t>
  </si>
  <si>
    <t>https://ftp.ncbi.nlm.nih.gov/genomes/all/GCA/030/440/055/GCA_030440055.1_ASM3044005v1</t>
  </si>
  <si>
    <t>GCA_030440125.1</t>
  </si>
  <si>
    <t>SS4</t>
  </si>
  <si>
    <t>https://ftp.ncbi.nlm.nih.gov/genomes/all/GCA/030/440/125/GCA_030440125.1_ASM3044012v1</t>
  </si>
  <si>
    <t>GCA_030440175.1</t>
  </si>
  <si>
    <t>SV2</t>
  </si>
  <si>
    <t>https://ftp.ncbi.nlm.nih.gov/genomes/all/GCA/030/440/175/GCA_030440175.1_ASM3044017v1</t>
  </si>
  <si>
    <t>GCA_030440305.1</t>
  </si>
  <si>
    <t>DSM 105365</t>
  </si>
  <si>
    <t>https://ftp.ncbi.nlm.nih.gov/genomes/all/GCA/030/440/305/GCA_030440305.1_ASM3044030v1</t>
  </si>
  <si>
    <t>GCA_030440475.1</t>
  </si>
  <si>
    <t>yellow</t>
  </si>
  <si>
    <t>https://ftp.ncbi.nlm.nih.gov/genomes/all/GCA/030/440/475/GCA_030440475.1_ASM3044047v1</t>
  </si>
  <si>
    <t>GCA_030440495.1</t>
  </si>
  <si>
    <t>grey</t>
  </si>
  <si>
    <t>https://ftp.ncbi.nlm.nih.gov/genomes/all/GCA/030/440/495/GCA_030440495.1_ASM3044049v1</t>
  </si>
  <si>
    <t>GCA_030444115.1</t>
  </si>
  <si>
    <t>SVE8</t>
  </si>
  <si>
    <t>https://ftp.ncbi.nlm.nih.gov/genomes/all/GCA/030/444/115/GCA_030444115.1_ASM3044411v1</t>
  </si>
  <si>
    <t>GCA_030450025.1</t>
  </si>
  <si>
    <t>XZM1</t>
  </si>
  <si>
    <t>https://ftp.ncbi.nlm.nih.gov/genomes/all/GCA/030/450/025/GCA_030450025.1_ASM3045002v1</t>
  </si>
  <si>
    <t>GCA_030450175.1</t>
  </si>
  <si>
    <t>CTNIH10</t>
  </si>
  <si>
    <t>https://ftp.ncbi.nlm.nih.gov/genomes/all/GCA/030/450/175/GCA_030450175.1_ASM3045017v1</t>
  </si>
  <si>
    <t>GCA_030466425.1</t>
  </si>
  <si>
    <t>9.1(2021)</t>
  </si>
  <si>
    <t>https://ftp.ncbi.nlm.nih.gov/genomes/all/GCA/030/466/425/GCA_030466425.1_ASM3046642v1</t>
  </si>
  <si>
    <t>GCA_030480485.1</t>
  </si>
  <si>
    <t>LB-1</t>
  </si>
  <si>
    <t>https://ftp.ncbi.nlm.nih.gov/genomes/all/GCA/030/480/485/GCA_030480485.1_ASM3048048v1</t>
  </si>
  <si>
    <t>GCA_030486605.1</t>
  </si>
  <si>
    <t>P14_F4</t>
  </si>
  <si>
    <t>https://ftp.ncbi.nlm.nih.gov/genomes/all/GCA/030/486/605/GCA_030486605.1_ASM3048660v1</t>
  </si>
  <si>
    <t>GCA_030486705.1</t>
  </si>
  <si>
    <t>P5_F2</t>
  </si>
  <si>
    <t>https://ftp.ncbi.nlm.nih.gov/genomes/all/GCA/030/486/705/GCA_030486705.1_ASM3048670v1</t>
  </si>
  <si>
    <t>GCA_030486785.1</t>
  </si>
  <si>
    <t>P5_C4</t>
  </si>
  <si>
    <t>https://ftp.ncbi.nlm.nih.gov/genomes/all/GCA/030/486/785/GCA_030486785.1_ASM3048678v1</t>
  </si>
  <si>
    <t>GCA_030486815.1</t>
  </si>
  <si>
    <t>P4_C2</t>
  </si>
  <si>
    <t>https://ftp.ncbi.nlm.nih.gov/genomes/all/GCA/030/486/815/GCA_030486815.1_ASM3048681v1</t>
  </si>
  <si>
    <t>GCA_030486845.1</t>
  </si>
  <si>
    <t>P7_F1</t>
  </si>
  <si>
    <t>https://ftp.ncbi.nlm.nih.gov/genomes/all/GCA/030/486/845/GCA_030486845.1_ASM3048684v1</t>
  </si>
  <si>
    <t>GCA_030486885.1</t>
  </si>
  <si>
    <t>P7_C1</t>
  </si>
  <si>
    <t>https://ftp.ncbi.nlm.nih.gov/genomes/all/GCA/030/486/885/GCA_030486885.1_ASM3048688v1</t>
  </si>
  <si>
    <t>GCA_030503475.1</t>
  </si>
  <si>
    <t>CONS_ST78</t>
  </si>
  <si>
    <t>https://ftp.ncbi.nlm.nih.gov/genomes/all/GCA/030/503/475/GCA_030503475.1_ASM3050347v1</t>
  </si>
  <si>
    <t>GCA_030503485.1</t>
  </si>
  <si>
    <t>CONS_83</t>
  </si>
  <si>
    <t>https://ftp.ncbi.nlm.nih.gov/genomes/all/GCA/030/503/485/GCA_030503485.1_ASM3050348v1</t>
  </si>
  <si>
    <t>GCA_030503545.1</t>
  </si>
  <si>
    <t>CONS_84</t>
  </si>
  <si>
    <t>https://ftp.ncbi.nlm.nih.gov/genomes/all/GCA/030/503/545/GCA_030503545.1_ASM3050354v1</t>
  </si>
  <si>
    <t>GCA_030503715.1</t>
  </si>
  <si>
    <t>CTNIH12</t>
  </si>
  <si>
    <t>https://ftp.ncbi.nlm.nih.gov/genomes/all/GCA/030/503/715/GCA_030503715.1_ASM3050371v1</t>
  </si>
  <si>
    <t>GCA_030503795.1</t>
  </si>
  <si>
    <t>DH-B18</t>
  </si>
  <si>
    <t>https://ftp.ncbi.nlm.nih.gov/genomes/all/GCA/030/503/795/GCA_030503795.1_ASM3050379v1</t>
  </si>
  <si>
    <t>GCA_030503915.1</t>
  </si>
  <si>
    <t>C33</t>
  </si>
  <si>
    <t>https://ftp.ncbi.nlm.nih.gov/genomes/all/GCA/030/503/915/GCA_030503915.1_ASM3050391v1</t>
  </si>
  <si>
    <t>GCA_030515635.1</t>
  </si>
  <si>
    <t>CP11</t>
  </si>
  <si>
    <t>https://ftp.ncbi.nlm.nih.gov/genomes/all/GCA/030/515/635/GCA_030515635.1_ASM3051563v1</t>
  </si>
  <si>
    <t>GCA_030515655.1</t>
  </si>
  <si>
    <t>CP10</t>
  </si>
  <si>
    <t>https://ftp.ncbi.nlm.nih.gov/genomes/all/GCA/030/515/655/GCA_030515655.1_ASM3051565v1</t>
  </si>
  <si>
    <t>GCA_030515675.1</t>
  </si>
  <si>
    <t>CP9</t>
  </si>
  <si>
    <t>https://ftp.ncbi.nlm.nih.gov/genomes/all/GCA/030/515/675/GCA_030515675.1_ASM3051567v1</t>
  </si>
  <si>
    <t>GCA_030515695.1</t>
  </si>
  <si>
    <t>CP8</t>
  </si>
  <si>
    <t>https://ftp.ncbi.nlm.nih.gov/genomes/all/GCA/030/515/695/GCA_030515695.1_ASM3051569v1</t>
  </si>
  <si>
    <t>GCA_030515715.1</t>
  </si>
  <si>
    <t>CP7</t>
  </si>
  <si>
    <t>https://ftp.ncbi.nlm.nih.gov/genomes/all/GCA/030/515/715/GCA_030515715.1_ASM3051571v1</t>
  </si>
  <si>
    <t>GCA_030515735.1</t>
  </si>
  <si>
    <t>CP6</t>
  </si>
  <si>
    <t>https://ftp.ncbi.nlm.nih.gov/genomes/all/GCA/030/515/735/GCA_030515735.1_ASM3051573v1</t>
  </si>
  <si>
    <t>GCA_030515755.1</t>
  </si>
  <si>
    <t>CP5</t>
  </si>
  <si>
    <t>https://ftp.ncbi.nlm.nih.gov/genomes/all/GCA/030/515/755/GCA_030515755.1_ASM3051575v1</t>
  </si>
  <si>
    <t>GCA_030515775.1</t>
  </si>
  <si>
    <t>CP4</t>
  </si>
  <si>
    <t>https://ftp.ncbi.nlm.nih.gov/genomes/all/GCA/030/515/775/GCA_030515775.1_ASM3051577v1</t>
  </si>
  <si>
    <t>GCA_030515795.1</t>
  </si>
  <si>
    <t>https://ftp.ncbi.nlm.nih.gov/genomes/all/GCA/030/515/795/GCA_030515795.1_ASM3051579v1</t>
  </si>
  <si>
    <t>GCA_030515815.1</t>
  </si>
  <si>
    <t>CP2</t>
  </si>
  <si>
    <t>https://ftp.ncbi.nlm.nih.gov/genomes/all/GCA/030/515/815/GCA_030515815.1_ASM3051581v1</t>
  </si>
  <si>
    <t>GCA_030515835.1</t>
  </si>
  <si>
    <t>CP1</t>
  </si>
  <si>
    <t>https://ftp.ncbi.nlm.nih.gov/genomes/all/GCA/030/515/835/GCA_030515835.1_ASM3051583v1</t>
  </si>
  <si>
    <t>GCA_030515855.1</t>
  </si>
  <si>
    <t>CPD</t>
  </si>
  <si>
    <t>https://ftp.ncbi.nlm.nih.gov/genomes/all/GCA/030/515/855/GCA_030515855.1_ASM3051585v1</t>
  </si>
  <si>
    <t>GCA_030515875.1</t>
  </si>
  <si>
    <t>CT</t>
  </si>
  <si>
    <t>https://ftp.ncbi.nlm.nih.gov/genomes/all/GCA/030/515/875/GCA_030515875.1_ASM3051587v1</t>
  </si>
  <si>
    <t>GCA_030515895.1</t>
  </si>
  <si>
    <t>CA9</t>
  </si>
  <si>
    <t>https://ftp.ncbi.nlm.nih.gov/genomes/all/GCA/030/515/895/GCA_030515895.1_ASM3051589v1</t>
  </si>
  <si>
    <t>GCA_030515925.1</t>
  </si>
  <si>
    <t>CA8</t>
  </si>
  <si>
    <t>https://ftp.ncbi.nlm.nih.gov/genomes/all/GCA/030/515/925/GCA_030515925.1_ASM3051592v1</t>
  </si>
  <si>
    <t>GCA_030516055.1</t>
  </si>
  <si>
    <t>CA6</t>
  </si>
  <si>
    <t>https://ftp.ncbi.nlm.nih.gov/genomes/all/GCA/030/516/055/GCA_030516055.1_ASM3051605v1</t>
  </si>
  <si>
    <t>GCA_030516125.1</t>
  </si>
  <si>
    <t>CA5</t>
  </si>
  <si>
    <t>https://ftp.ncbi.nlm.nih.gov/genomes/all/GCA/030/516/125/GCA_030516125.1_ASM3051612v1</t>
  </si>
  <si>
    <t>GCA_030516155.1</t>
  </si>
  <si>
    <t>CA4</t>
  </si>
  <si>
    <t>https://ftp.ncbi.nlm.nih.gov/genomes/all/GCA/030/516/155/GCA_030516155.1_ASM3051615v1</t>
  </si>
  <si>
    <t>GCA_030516175.1</t>
  </si>
  <si>
    <t>CA3</t>
  </si>
  <si>
    <t>https://ftp.ncbi.nlm.nih.gov/genomes/all/GCA/030/516/175/GCA_030516175.1_ASM3051617v1</t>
  </si>
  <si>
    <t>GCA_030516195.1</t>
  </si>
  <si>
    <t>CA2</t>
  </si>
  <si>
    <t>https://ftp.ncbi.nlm.nih.gov/genomes/all/GCA/030/516/195/GCA_030516195.1_ASM3051619v1</t>
  </si>
  <si>
    <t>GCA_030516215.1</t>
  </si>
  <si>
    <t>CA1</t>
  </si>
  <si>
    <t>https://ftp.ncbi.nlm.nih.gov/genomes/all/GCA/030/516/215/GCA_030516215.1_ASM3051621v1</t>
  </si>
  <si>
    <t>GCA_030518775.1</t>
  </si>
  <si>
    <t>MWF001</t>
  </si>
  <si>
    <t>https://ftp.ncbi.nlm.nih.gov/genomes/all/GCA/030/518/775/GCA_030518775.1_ASM3051877v1</t>
  </si>
  <si>
    <t>S18M_Sa_5</t>
  </si>
  <si>
    <t>https://ftp.ncbi.nlm.nih.gov/genomes/all/GCA/030/527/835/GCA_030527835.1_ASM3052783v1</t>
  </si>
  <si>
    <t>S18M_Sa_6</t>
  </si>
  <si>
    <t>https://ftp.ncbi.nlm.nih.gov/genomes/all/GCA/030/527/845/GCA_030527845.1_ASM3052784v1</t>
  </si>
  <si>
    <t>S18M_Sa_13</t>
  </si>
  <si>
    <t>https://ftp.ncbi.nlm.nih.gov/genomes/all/GCA/030/527/985/GCA_030527985.1_ASM3052798v1</t>
  </si>
  <si>
    <t>GCA_030528005.1</t>
  </si>
  <si>
    <t>S18M_Sa_12</t>
  </si>
  <si>
    <t>https://ftp.ncbi.nlm.nih.gov/genomes/all/GCA/030/528/005/GCA_030528005.1_ASM3052800v1</t>
  </si>
  <si>
    <t>GCA_030530435.1</t>
  </si>
  <si>
    <t>S12M_Sa_6</t>
  </si>
  <si>
    <t>https://ftp.ncbi.nlm.nih.gov/genomes/all/GCA/030/530/435/GCA_030530435.1_ASM3053043v1</t>
  </si>
  <si>
    <t>GCA_030530555.1</t>
  </si>
  <si>
    <t>S12M_Sa_16</t>
  </si>
  <si>
    <t>https://ftp.ncbi.nlm.nih.gov/genomes/all/GCA/030/530/555/GCA_030530555.1_ASM3053055v1</t>
  </si>
  <si>
    <t>GCA_030540895.1</t>
  </si>
  <si>
    <t>G15S1</t>
  </si>
  <si>
    <t>https://ftp.ncbi.nlm.nih.gov/genomes/all/GCA/030/540/895/GCA_030540895.1_ASM3054089v1</t>
  </si>
  <si>
    <t>GCA_030545605.1</t>
  </si>
  <si>
    <t>GP0477</t>
  </si>
  <si>
    <t>https://ftp.ncbi.nlm.nih.gov/genomes/all/GCA/030/545/605/GCA_030545605.1_ASM3054560v1</t>
  </si>
  <si>
    <t>GCA_030545615.1</t>
  </si>
  <si>
    <t>GP0470</t>
  </si>
  <si>
    <t>https://ftp.ncbi.nlm.nih.gov/genomes/all/GCA/030/545/615/GCA_030545615.1_ASM3054561v1</t>
  </si>
  <si>
    <t>GCA_030546225.1</t>
  </si>
  <si>
    <t>GP0053</t>
  </si>
  <si>
    <t>https://ftp.ncbi.nlm.nih.gov/genomes/all/GCA/030/546/225/GCA_030546225.1_ASM3054622v1</t>
  </si>
  <si>
    <t>GCA_030546245.1</t>
  </si>
  <si>
    <t>GP0025</t>
  </si>
  <si>
    <t>https://ftp.ncbi.nlm.nih.gov/genomes/all/GCA/030/546/245/GCA_030546245.1_ASM3054624v1</t>
  </si>
  <si>
    <t>GCA_030546285.1</t>
  </si>
  <si>
    <t>GP0012</t>
  </si>
  <si>
    <t>https://ftp.ncbi.nlm.nih.gov/genomes/all/GCA/030/546/285/GCA_030546285.1_ASM3054628v1</t>
  </si>
  <si>
    <t>GCA_030546305.1</t>
  </si>
  <si>
    <t>GP0011</t>
  </si>
  <si>
    <t>https://ftp.ncbi.nlm.nih.gov/genomes/all/GCA/030/546/305/GCA_030546305.1_ASM3054630v1</t>
  </si>
  <si>
    <t>GCA_030583585.1</t>
  </si>
  <si>
    <t>K07G-Be</t>
  </si>
  <si>
    <t>https://ftp.ncbi.nlm.nih.gov/genomes/all/GCA/030/583/585/GCA_030583585.1_ASM3058358v1</t>
  </si>
  <si>
    <t>GCA_030584725.1</t>
  </si>
  <si>
    <t>K03I-Be</t>
  </si>
  <si>
    <t>https://ftp.ncbi.nlm.nih.gov/genomes/all/GCA/030/584/725/GCA_030584725.1_ASM3058472v1</t>
  </si>
  <si>
    <t>GCA_030584765.1</t>
  </si>
  <si>
    <t>S07J-Be</t>
  </si>
  <si>
    <t>https://ftp.ncbi.nlm.nih.gov/genomes/all/GCA/030/584/765/GCA_030584765.1_ASM3058476v1</t>
  </si>
  <si>
    <t>GCA_030585185.1</t>
  </si>
  <si>
    <t>K03D-Be</t>
  </si>
  <si>
    <t>https://ftp.ncbi.nlm.nih.gov/genomes/all/GCA/030/585/185/GCA_030585185.1_ASM3058518v1</t>
  </si>
  <si>
    <t>GCA_030585205.1</t>
  </si>
  <si>
    <t>S05J-Be</t>
  </si>
  <si>
    <t>https://ftp.ncbi.nlm.nih.gov/genomes/all/GCA/030/585/205/GCA_030585205.1_ASM3058520v1</t>
  </si>
  <si>
    <t>GCA_030585585.1</t>
  </si>
  <si>
    <t>NL02</t>
  </si>
  <si>
    <t>https://ftp.ncbi.nlm.nih.gov/genomes/all/GCA/030/585/585/GCA_030585585.1_ASM3058558v1</t>
  </si>
  <si>
    <t>GCA_030586545.1</t>
  </si>
  <si>
    <t>P28C7</t>
  </si>
  <si>
    <t>https://ftp.ncbi.nlm.nih.gov/genomes/all/GCA/030/586/545/GCA_030586545.1_ASM3058654v1</t>
  </si>
  <si>
    <t>GCA_030586725.1</t>
  </si>
  <si>
    <t>SSSC01</t>
  </si>
  <si>
    <t>https://ftp.ncbi.nlm.nih.gov/genomes/all/GCA/030/586/725/GCA_030586725.1_ASM3058672v1</t>
  </si>
  <si>
    <t>GCA_030644185.1</t>
  </si>
  <si>
    <t>https://ftp.ncbi.nlm.nih.gov/genomes/all/GCA/030/644/185/GCA_030644185.1_ASM3064418v1</t>
  </si>
  <si>
    <t>GCA_030644205.1</t>
  </si>
  <si>
    <t>HMT-691</t>
  </si>
  <si>
    <t>neglectum</t>
  </si>
  <si>
    <t>ATCC 700924</t>
  </si>
  <si>
    <t>https://ftp.ncbi.nlm.nih.gov/genomes/all/GCA/030/644/205/GCA_030644205.1_ASM3064420v1</t>
  </si>
  <si>
    <t>GCA_030644225.1</t>
  </si>
  <si>
    <t>HMT-139</t>
  </si>
  <si>
    <t>dianae</t>
  </si>
  <si>
    <t>ATCC 43527</t>
  </si>
  <si>
    <t>https://ftp.ncbi.nlm.nih.gov/genomes/all/GCA/030/644/225/GCA_030644225.1_ASM3064422v1</t>
  </si>
  <si>
    <t>GCA_030644245.1</t>
  </si>
  <si>
    <t>F0718</t>
  </si>
  <si>
    <t>https://ftp.ncbi.nlm.nih.gov/genomes/all/GCA/030/644/245/GCA_030644245.1_ASM3064424v1</t>
  </si>
  <si>
    <t>https://ftp.ncbi.nlm.nih.gov/genomes/all/GCA/030/644/325/GCA_030644325.1_ASM3064432v1</t>
  </si>
  <si>
    <t>F0543</t>
  </si>
  <si>
    <t>https://ftp.ncbi.nlm.nih.gov/genomes/all/GCA/030/644/345/GCA_030644345.1_ASM3064434v1</t>
  </si>
  <si>
    <t>GCA_030644365.1</t>
  </si>
  <si>
    <t>https://ftp.ncbi.nlm.nih.gov/genomes/all/GCA/030/644/365/GCA_030644365.1_ASM3064436v1</t>
  </si>
  <si>
    <t>GCA_030644385.1</t>
  </si>
  <si>
    <t>HMT-097</t>
  </si>
  <si>
    <t>Moryella</t>
  </si>
  <si>
    <t>sp. HMT-097</t>
  </si>
  <si>
    <t>F0698</t>
  </si>
  <si>
    <t>https://ftp.ncbi.nlm.nih.gov/genomes/all/GCA/030/644/385/GCA_030644385.1_ASM3064438v1</t>
  </si>
  <si>
    <t>GCA_030644965.1</t>
  </si>
  <si>
    <t>NJ1914215</t>
  </si>
  <si>
    <t>https://ftp.ncbi.nlm.nih.gov/genomes/all/GCA/030/644/965/GCA_030644965.1_ASM3064496v1</t>
  </si>
  <si>
    <t>GCA_030675975.1</t>
  </si>
  <si>
    <t>yellow_1</t>
  </si>
  <si>
    <t>https://ftp.ncbi.nlm.nih.gov/genomes/all/GCA/030/675/975/GCA_030675975.1_ASM3067597v1</t>
  </si>
  <si>
    <t>GCA_030676125.1</t>
  </si>
  <si>
    <t>grey_1</t>
  </si>
  <si>
    <t>https://ftp.ncbi.nlm.nih.gov/genomes/all/GCA/030/676/125/GCA_030676125.1_ASM3067612v1</t>
  </si>
  <si>
    <t>GCA_030676575.1</t>
  </si>
  <si>
    <t>SMC7156</t>
  </si>
  <si>
    <t>https://ftp.ncbi.nlm.nih.gov/genomes/all/GCA/030/676/575/GCA_030676575.1_ASM3067657v1</t>
  </si>
  <si>
    <t>GCA_030676655.1</t>
  </si>
  <si>
    <t>SMC7155</t>
  </si>
  <si>
    <t>https://ftp.ncbi.nlm.nih.gov/genomes/all/GCA/030/676/655/GCA_030676655.1_ASM3067665v1</t>
  </si>
  <si>
    <t>GCA_030676835.1</t>
  </si>
  <si>
    <t>SMC5342</t>
  </si>
  <si>
    <t>https://ftp.ncbi.nlm.nih.gov/genomes/all/GCA/030/676/835/GCA_030676835.1_ASM3067683v1</t>
  </si>
  <si>
    <t>GCA_030721705.1</t>
  </si>
  <si>
    <t>RE225</t>
  </si>
  <si>
    <t>https://ftp.ncbi.nlm.nih.gov/genomes/all/GCA/030/721/705/GCA_030721705.1_ASM3072170v1</t>
  </si>
  <si>
    <t>GCA_030739475.1</t>
  </si>
  <si>
    <t>P21S6</t>
  </si>
  <si>
    <t>https://ftp.ncbi.nlm.nih.gov/genomes/all/GCA/030/739/475/GCA_030739475.1_ASM3073947v1</t>
  </si>
  <si>
    <t>GCA_030739515.1</t>
  </si>
  <si>
    <t>P20MB6</t>
  </si>
  <si>
    <t>https://ftp.ncbi.nlm.nih.gov/genomes/all/GCA/030/739/515/GCA_030739515.1_ASM3073951v1</t>
  </si>
  <si>
    <t>GCA_030739525.1</t>
  </si>
  <si>
    <t>P18C3</t>
  </si>
  <si>
    <t>https://ftp.ncbi.nlm.nih.gov/genomes/all/GCA/030/739/525/GCA_030739525.1_ASM3073952v1</t>
  </si>
  <si>
    <t>GCA_030739555.1</t>
  </si>
  <si>
    <t>P28MB7</t>
  </si>
  <si>
    <t>https://ftp.ncbi.nlm.nih.gov/genomes/all/GCA/030/739/555/GCA_030739555.1_ASM3073955v1</t>
  </si>
  <si>
    <t>GCA_030770265.1</t>
  </si>
  <si>
    <t>NCIMB 15471</t>
  </si>
  <si>
    <t>https://ftp.ncbi.nlm.nih.gov/genomes/all/GCA/030/770/265/GCA_030770265.1_ASM3077026v1</t>
  </si>
  <si>
    <t>GCA_030770295.1</t>
  </si>
  <si>
    <t>NCIMB 15473</t>
  </si>
  <si>
    <t>https://ftp.ncbi.nlm.nih.gov/genomes/all/GCA/030/770/295/GCA_030770295.1_ASM3077029v1</t>
  </si>
  <si>
    <t>GCA_030811115.1</t>
  </si>
  <si>
    <t>DSM 13989</t>
  </si>
  <si>
    <t>https://ftp.ncbi.nlm.nih.gov/genomes/all/GCA/030/811/115/GCA_030811115.1_ASM3081111v1</t>
  </si>
  <si>
    <t>GCA_030812115.1</t>
  </si>
  <si>
    <t>DS3943</t>
  </si>
  <si>
    <t>https://ftp.ncbi.nlm.nih.gov/genomes/all/GCA/030/812/115/GCA_030812115.1_ASM3081211v1</t>
  </si>
  <si>
    <t>GCA_030815625.1</t>
  </si>
  <si>
    <t>CRF3-Va-1 W1I1</t>
  </si>
  <si>
    <t>https://ftp.ncbi.nlm.nih.gov/genomes/all/GCA/030/815/625/GCA_030815625.1_ASM3081562v1</t>
  </si>
  <si>
    <t>GCA_030824905.1</t>
  </si>
  <si>
    <t>RAGGC_297</t>
  </si>
  <si>
    <t>https://ftp.ncbi.nlm.nih.gov/genomes/all/GCA/030/824/905/GCA_030824905.1_ASM3082490v1</t>
  </si>
  <si>
    <t>GCA_030825185.1</t>
  </si>
  <si>
    <t>RAGGC_219</t>
  </si>
  <si>
    <t>https://ftp.ncbi.nlm.nih.gov/genomes/all/GCA/030/825/185/GCA_030825185.1_ASM3082518v1</t>
  </si>
  <si>
    <t>GCA_030825475.1</t>
  </si>
  <si>
    <t>RAGGC_152</t>
  </si>
  <si>
    <t>https://ftp.ncbi.nlm.nih.gov/genomes/all/GCA/030/825/475/GCA_030825475.1_ASM3082547v1</t>
  </si>
  <si>
    <t>GCA_030825925.1</t>
  </si>
  <si>
    <t>RAGGC_103</t>
  </si>
  <si>
    <t>https://ftp.ncbi.nlm.nih.gov/genomes/all/GCA/030/825/925/GCA_030825925.1_ASM3082592v1</t>
  </si>
  <si>
    <t>GCA_030826125.1</t>
  </si>
  <si>
    <t>RAGGC_60</t>
  </si>
  <si>
    <t>https://ftp.ncbi.nlm.nih.gov/genomes/all/GCA/030/826/125/GCA_030826125.1_ASM3082612v1</t>
  </si>
  <si>
    <t>GCA_030826365.1</t>
  </si>
  <si>
    <t>RAGGC_41</t>
  </si>
  <si>
    <t>https://ftp.ncbi.nlm.nih.gov/genomes/all/GCA/030/826/365/GCA_030826365.1_ASM3082636v1</t>
  </si>
  <si>
    <t>GCA_030826425.1</t>
  </si>
  <si>
    <t>RAGGC_32</t>
  </si>
  <si>
    <t>https://ftp.ncbi.nlm.nih.gov/genomes/all/GCA/030/826/425/GCA_030826425.1_ASM3082642v1</t>
  </si>
  <si>
    <t>GCA_030826605.1</t>
  </si>
  <si>
    <t>RAGGC_15</t>
  </si>
  <si>
    <t>https://ftp.ncbi.nlm.nih.gov/genomes/all/GCA/030/826/605/GCA_030826605.1_ASM3082660v1</t>
  </si>
  <si>
    <t>GCA_030839305.1</t>
  </si>
  <si>
    <t>N1156.8</t>
  </si>
  <si>
    <t>https://ftp.ncbi.nlm.nih.gov/genomes/all/GCA/030/839/305/GCA_030839305.1_ASM3083930v1</t>
  </si>
  <si>
    <t>GCA_030842425.1</t>
  </si>
  <si>
    <t>N1170.8</t>
  </si>
  <si>
    <t>https://ftp.ncbi.nlm.nih.gov/genomes/all/GCA/030/842/425/GCA_030842425.1_ASM3084242v1</t>
  </si>
  <si>
    <t>GCA_030843135.1</t>
  </si>
  <si>
    <t>N1167.7</t>
  </si>
  <si>
    <t>https://ftp.ncbi.nlm.nih.gov/genomes/all/GCA/030/843/135/GCA_030843135.1_ASM3084313v1</t>
  </si>
  <si>
    <t>N1167.1</t>
  </si>
  <si>
    <t>https://ftp.ncbi.nlm.nih.gov/genomes/all/GCA/030/843/185/GCA_030843185.1_ASM3084318v1</t>
  </si>
  <si>
    <t>GCA_030844905.1</t>
  </si>
  <si>
    <t>821F</t>
  </si>
  <si>
    <t>https://ftp.ncbi.nlm.nih.gov/genomes/all/GCA/030/844/905/GCA_030844905.1_ASM3084490v1</t>
  </si>
  <si>
    <t>GCA_030844935.1</t>
  </si>
  <si>
    <t>821A</t>
  </si>
  <si>
    <t>https://ftp.ncbi.nlm.nih.gov/genomes/all/GCA/030/844/935/GCA_030844935.1_ASM3084493v1</t>
  </si>
  <si>
    <t>GCA_030844955.1</t>
  </si>
  <si>
    <t>640X</t>
  </si>
  <si>
    <t>https://ftp.ncbi.nlm.nih.gov/genomes/all/GCA/030/844/955/GCA_030844955.1_ASM3084495v1</t>
  </si>
  <si>
    <t>GCA_030844975.1</t>
  </si>
  <si>
    <t>719S</t>
  </si>
  <si>
    <t>https://ftp.ncbi.nlm.nih.gov/genomes/all/GCA/030/844/975/GCA_030844975.1_ASM3084497v1</t>
  </si>
  <si>
    <t>GCA_030844995.1</t>
  </si>
  <si>
    <t>391E</t>
  </si>
  <si>
    <t>https://ftp.ncbi.nlm.nih.gov/genomes/all/GCA/030/844/995/GCA_030844995.1_ASM3084499v1</t>
  </si>
  <si>
    <t>GCA_030845015.1</t>
  </si>
  <si>
    <t>824M</t>
  </si>
  <si>
    <t>https://ftp.ncbi.nlm.nih.gov/genomes/all/GCA/030/845/015/GCA_030845015.1_ASM3084501v1</t>
  </si>
  <si>
    <t>GCA_030845035.1</t>
  </si>
  <si>
    <t>600M</t>
  </si>
  <si>
    <t>https://ftp.ncbi.nlm.nih.gov/genomes/all/GCA/030/845/035/GCA_030845035.1_ASM3084503v1</t>
  </si>
  <si>
    <t>GCA_030845055.1</t>
  </si>
  <si>
    <t>708C</t>
  </si>
  <si>
    <t>https://ftp.ncbi.nlm.nih.gov/genomes/all/GCA/030/845/055/GCA_030845055.1_ASM3084505v1</t>
  </si>
  <si>
    <t>GCA_030846755.1</t>
  </si>
  <si>
    <t>CICC 20372</t>
  </si>
  <si>
    <t>https://ftp.ncbi.nlm.nih.gov/genomes/all/GCA/030/846/755/GCA_030846755.1_ASM3084675v1</t>
  </si>
  <si>
    <t>MmAkkUCB1</t>
  </si>
  <si>
    <t>https://ftp.ncbi.nlm.nih.gov/genomes/all/GCA/030/848/285/GCA_030848285.1_ASM3084828v1</t>
  </si>
  <si>
    <t>GP102</t>
  </si>
  <si>
    <t>https://ftp.ncbi.nlm.nih.gov/genomes/all/GCA/030/875/795/GCA_030875795.1_ASM3087579v1</t>
  </si>
  <si>
    <t>GCA_030913345.1</t>
  </si>
  <si>
    <t>A22</t>
  </si>
  <si>
    <t>https://ftp.ncbi.nlm.nih.gov/genomes/all/GCA/030/913/345/GCA_030913345.1_ASM3091334v1</t>
  </si>
  <si>
    <t>GCA_030938875.1</t>
  </si>
  <si>
    <t>OHS0002</t>
  </si>
  <si>
    <t>https://ftp.ncbi.nlm.nih.gov/genomes/all/GCA/030/938/875/GCA_030938875.1_ASM3093887v1</t>
  </si>
  <si>
    <t>GCA_031082435.1</t>
  </si>
  <si>
    <t>CNGBCC1803727</t>
  </si>
  <si>
    <t>https://ftp.ncbi.nlm.nih.gov/genomes/all/GCA/031/082/435/GCA_031082435.1_ASM3108243v1</t>
  </si>
  <si>
    <t>CNGBCC1804106</t>
  </si>
  <si>
    <t>https://ftp.ncbi.nlm.nih.gov/genomes/all/GCA/031/082/475/GCA_031082475.1_ASM3108247v1</t>
  </si>
  <si>
    <t>GCA_031142805.1</t>
  </si>
  <si>
    <t>IsoGale022</t>
  </si>
  <si>
    <t>https://ftp.ncbi.nlm.nih.gov/genomes/all/GCA/031/142/805/GCA_031142805.1_ASM3114280v1</t>
  </si>
  <si>
    <t>GCA_031158355.1</t>
  </si>
  <si>
    <t>OUH_B21_954616</t>
  </si>
  <si>
    <t>https://ftp.ncbi.nlm.nih.gov/genomes/all/GCA/031/158/355/GCA_031158355.1_ASM3115835v1</t>
  </si>
  <si>
    <t>GCA_031158565.1</t>
  </si>
  <si>
    <t>OUH_B21_961998</t>
  </si>
  <si>
    <t>https://ftp.ncbi.nlm.nih.gov/genomes/all/GCA/031/158/565/GCA_031158565.1_ASM3115856v1</t>
  </si>
  <si>
    <t>GCA_031158635.1</t>
  </si>
  <si>
    <t>OUH_B20_847533</t>
  </si>
  <si>
    <t>https://ftp.ncbi.nlm.nih.gov/genomes/all/GCA/031/158/635/GCA_031158635.1_ASM3115863v1</t>
  </si>
  <si>
    <t>GCA_031158775.1</t>
  </si>
  <si>
    <t>EB23_41501</t>
  </si>
  <si>
    <t>https://ftp.ncbi.nlm.nih.gov/genomes/all/GCA/031/158/775/GCA_031158775.1_ASM3115877v1</t>
  </si>
  <si>
    <t>GCA_031190635.1</t>
  </si>
  <si>
    <t>LMG 5313</t>
  </si>
  <si>
    <t>https://ftp.ncbi.nlm.nih.gov/genomes/all/GCA/031/190/635/GCA_031190635.1_ASM3119063v1</t>
  </si>
  <si>
    <t>GCA_031190775.1</t>
  </si>
  <si>
    <t>DSM 2007</t>
  </si>
  <si>
    <t>https://ftp.ncbi.nlm.nih.gov/genomes/all/GCA/031/190/775/GCA_031190775.1_ASM3119077v1</t>
  </si>
  <si>
    <t>GCA_031191185.1</t>
  </si>
  <si>
    <t>DSM 13386</t>
  </si>
  <si>
    <t>https://ftp.ncbi.nlm.nih.gov/genomes/all/GCA/031/191/185/GCA_031191185.1_ASM3119118v1</t>
  </si>
  <si>
    <t>GCA_031191205.1</t>
  </si>
  <si>
    <t>DSM 8978</t>
  </si>
  <si>
    <t>https://ftp.ncbi.nlm.nih.gov/genomes/all/GCA/031/191/205/GCA_031191205.1_ASM3119120v1</t>
  </si>
  <si>
    <t>GCA_031191225.1</t>
  </si>
  <si>
    <t>LMG 14557</t>
  </si>
  <si>
    <t>https://ftp.ncbi.nlm.nih.gov/genomes/all/GCA/031/191/225/GCA_031191225.1_ASM3119122v1</t>
  </si>
  <si>
    <t>GCA_031191545.1</t>
  </si>
  <si>
    <t>LMG 18080</t>
  </si>
  <si>
    <t>https://ftp.ncbi.nlm.nih.gov/genomes/all/GCA/031/191/545/GCA_031191545.1_ASM3119154v1</t>
  </si>
  <si>
    <t>GCA_031191775.1</t>
  </si>
  <si>
    <t>B-8017</t>
  </si>
  <si>
    <t>https://ftp.ncbi.nlm.nih.gov/genomes/all/GCA/031/191/775/GCA_031191775.1_ASM3119177v1</t>
  </si>
  <si>
    <t>GCA_031191795.1</t>
  </si>
  <si>
    <t>LMG 13131</t>
  </si>
  <si>
    <t>https://ftp.ncbi.nlm.nih.gov/genomes/all/GCA/031/191/795/GCA_031191795.1_ASM3119179v1</t>
  </si>
  <si>
    <t>GCA_031192325.1</t>
  </si>
  <si>
    <t>LMG 11489</t>
  </si>
  <si>
    <t>https://ftp.ncbi.nlm.nih.gov/genomes/all/GCA/031/192/325/GCA_031192325.1_ASM3119232v1</t>
  </si>
  <si>
    <t>GCA_031203395.1</t>
  </si>
  <si>
    <t>BCJB3344</t>
  </si>
  <si>
    <t>https://ftp.ncbi.nlm.nih.gov/genomes/all/GCA/031/203/395/GCA_031203395.1_ASM3120339v1</t>
  </si>
  <si>
    <t>GCA_031292905.1</t>
  </si>
  <si>
    <t>WVU371</t>
  </si>
  <si>
    <t>https://ftp.ncbi.nlm.nih.gov/genomes/all/GCA/031/292/905/GCA_031292905.1_ASM3129290v1</t>
  </si>
  <si>
    <t>GCA_031296445.1</t>
  </si>
  <si>
    <t>NCTC 9935</t>
  </si>
  <si>
    <t>https://ftp.ncbi.nlm.nih.gov/genomes/all/GCA/031/296/445/GCA_031296445.1_ASM3129644v1</t>
  </si>
  <si>
    <t>GCA_031296455.1</t>
  </si>
  <si>
    <t>https://ftp.ncbi.nlm.nih.gov/genomes/all/GCA/031/296/455/GCA_031296455.1_ASM3129645v1</t>
  </si>
  <si>
    <t>GCA_031296485.1</t>
  </si>
  <si>
    <t>NCTC 10951</t>
  </si>
  <si>
    <t>https://ftp.ncbi.nlm.nih.gov/genomes/all/GCA/031/296/485/GCA_031296485.1_ASM3129648v1</t>
  </si>
  <si>
    <t>GCA_031296505.1</t>
  </si>
  <si>
    <t>WVU626</t>
  </si>
  <si>
    <t>https://ftp.ncbi.nlm.nih.gov/genomes/all/GCA/031/296/505/GCA_031296505.1_ASM3129650v1</t>
  </si>
  <si>
    <t>GCA_031296525.1</t>
  </si>
  <si>
    <t>https://ftp.ncbi.nlm.nih.gov/genomes/all/GCA/031/296/525/GCA_031296525.1_ASM3129652v1</t>
  </si>
  <si>
    <t>GCA_031296555.1</t>
  </si>
  <si>
    <t>https://ftp.ncbi.nlm.nih.gov/genomes/all/GCA/031/296/555/GCA_031296555.1_ASM3129655v1</t>
  </si>
  <si>
    <t>GCA_031296575.1</t>
  </si>
  <si>
    <t>C16</t>
  </si>
  <si>
    <t>https://ftp.ncbi.nlm.nih.gov/genomes/all/GCA/031/296/575/GCA_031296575.1_ASM3129657v1</t>
  </si>
  <si>
    <t>GCA_031296595.1</t>
  </si>
  <si>
    <t>ATCC 12104</t>
  </si>
  <si>
    <t>https://ftp.ncbi.nlm.nih.gov/genomes/all/GCA/031/296/595/GCA_031296595.1_ASM3129659v1</t>
  </si>
  <si>
    <t>GCA_031296615.1</t>
  </si>
  <si>
    <t>https://ftp.ncbi.nlm.nih.gov/genomes/all/GCA/031/296/615/GCA_031296615.1_ASM3129661v1</t>
  </si>
  <si>
    <t>GCA_031296635.1</t>
  </si>
  <si>
    <t>VPI D163E-3</t>
  </si>
  <si>
    <t>https://ftp.ncbi.nlm.nih.gov/genomes/all/GCA/031/296/635/GCA_031296635.1_ASM3129663v1</t>
  </si>
  <si>
    <t>GCA_031296655.1</t>
  </si>
  <si>
    <t>https://ftp.ncbi.nlm.nih.gov/genomes/all/GCA/031/296/655/GCA_031296655.1_ASM3129665v1</t>
  </si>
  <si>
    <t>GCA_031296675.1</t>
  </si>
  <si>
    <t>C24</t>
  </si>
  <si>
    <t>https://ftp.ncbi.nlm.nih.gov/genomes/all/GCA/031/296/675/GCA_031296675.1_ASM3129667v1</t>
  </si>
  <si>
    <t>GCA_031296695.1</t>
  </si>
  <si>
    <t>NCTC 9931</t>
  </si>
  <si>
    <t>https://ftp.ncbi.nlm.nih.gov/genomes/all/GCA/031/296/695/GCA_031296695.1_ASM3129669v1</t>
  </si>
  <si>
    <t>GCA_031296715.1</t>
  </si>
  <si>
    <t>https://ftp.ncbi.nlm.nih.gov/genomes/all/GCA/031/296/715/GCA_031296715.1_ASM3129671v1</t>
  </si>
  <si>
    <t>GCA_031297525.1</t>
  </si>
  <si>
    <t>VPIIA/6</t>
  </si>
  <si>
    <t>https://ftp.ncbi.nlm.nih.gov/genomes/all/GCA/031/297/525/GCA_031297525.1_ASM3129752v1</t>
  </si>
  <si>
    <t>GCA_034648895.1</t>
  </si>
  <si>
    <t>ORNL 0101</t>
  </si>
  <si>
    <t>https://ftp.ncbi.nlm.nih.gov/genomes/all/GCA/034/648/895/GCA_034648895.1_ASM3464889v1</t>
  </si>
  <si>
    <t>GCA_035282585.1</t>
  </si>
  <si>
    <t>HMT-471</t>
  </si>
  <si>
    <t>sp. HMT-471</t>
  </si>
  <si>
    <t>https://ftp.ncbi.nlm.nih.gov/genomes/all/GCA/035/282/585/GCA_035282585.1_ASM3528258v1/</t>
  </si>
  <si>
    <t>GCA_037577715.1</t>
  </si>
  <si>
    <t>KCOM3157</t>
  </si>
  <si>
    <t>https://ftp.ncbi.nlm.nih.gov/genomes/all/GCA/037/577/715/GCA_037577715.1_ASM3757771v1</t>
  </si>
  <si>
    <t>GCA_037577875.1</t>
  </si>
  <si>
    <t>KCOM1254</t>
  </si>
  <si>
    <t>https://ftp.ncbi.nlm.nih.gov/genomes/all/GCA/037/577/875/GCA_037577875.1_ASM3757787v1</t>
  </si>
  <si>
    <t>GCA_037577915.1</t>
  </si>
  <si>
    <t>KCOM1260</t>
  </si>
  <si>
    <t>https://ftp.ncbi.nlm.nih.gov/genomes/all/GCA/037/577/915/GCA_037577915.1_ASM3757791v1</t>
  </si>
  <si>
    <t>GCA_037578015.1</t>
  </si>
  <si>
    <t>SB017</t>
  </si>
  <si>
    <t>https://ftp.ncbi.nlm.nih.gov/genomes/all/GCA/037/578/015/GCA_037578015.1_ASM3757801v1</t>
  </si>
  <si>
    <t>GCA_037578025.1</t>
  </si>
  <si>
    <t>SB067</t>
  </si>
  <si>
    <t>https://ftp.ncbi.nlm.nih.gov/genomes/all/GCA/037/578/025/GCA_037578025.1_ASM3757802v1</t>
  </si>
  <si>
    <t>GCA_037888955.1</t>
  </si>
  <si>
    <t>SB018</t>
  </si>
  <si>
    <t>https://ftp.ncbi.nlm.nih.gov/genomes/all/GCA/037/888/955/GCA_037888955.1_ASM3788895v1</t>
  </si>
  <si>
    <t>GCA_037888965.1</t>
  </si>
  <si>
    <t>SB016</t>
  </si>
  <si>
    <t>https://ftp.ncbi.nlm.nih.gov/genomes/all/GCA/037/888/965/GCA_037888965.1_ASM3788896v1</t>
  </si>
  <si>
    <t>GCA_037888975.1</t>
  </si>
  <si>
    <t>SB014</t>
  </si>
  <si>
    <t>https://ftp.ncbi.nlm.nih.gov/genomes/all/GCA/037/888/975/GCA_037888975.1_ASM3788897v1</t>
  </si>
  <si>
    <t>GCA_037888985.1</t>
  </si>
  <si>
    <t>SB013</t>
  </si>
  <si>
    <t>https://ftp.ncbi.nlm.nih.gov/genomes/all/GCA/037/888/985/GCA_037888985.1_ASM3788898v1</t>
  </si>
  <si>
    <t>GCA_037888995.1</t>
  </si>
  <si>
    <t>SB012</t>
  </si>
  <si>
    <t>https://ftp.ncbi.nlm.nih.gov/genomes/all/GCA/037/888/995/GCA_037888995.1_ASM3788899v1</t>
  </si>
  <si>
    <t>GCA_037889005.1</t>
  </si>
  <si>
    <t>SB011</t>
  </si>
  <si>
    <t>https://ftp.ncbi.nlm.nih.gov/genomes/all/GCA/037/889/005/GCA_037889005.1_ASM3788900v1</t>
  </si>
  <si>
    <t>GCA_037889015.1</t>
  </si>
  <si>
    <t>SB010</t>
  </si>
  <si>
    <t>https://ftp.ncbi.nlm.nih.gov/genomes/all/GCA/037/889/015/GCA_037889015.1_ASM3788901v1</t>
  </si>
  <si>
    <t>GCA_037889025.1</t>
  </si>
  <si>
    <t>SB005</t>
  </si>
  <si>
    <t>https://ftp.ncbi.nlm.nih.gov/genomes/all/GCA/037/889/025/GCA_037889025.1_ASM3788902v1</t>
  </si>
  <si>
    <t>GCA_037889035.1</t>
  </si>
  <si>
    <t>SB003</t>
  </si>
  <si>
    <t>https://ftp.ncbi.nlm.nih.gov/genomes/all/GCA/037/889/035/GCA_037889035.1_ASM3788903v1</t>
  </si>
  <si>
    <t>GCA_037889045.1</t>
  </si>
  <si>
    <t>SB001</t>
  </si>
  <si>
    <t>https://ftp.ncbi.nlm.nih.gov/genomes/all/GCA/037/889/045/GCA_037889045.1_ASM3788904v1</t>
  </si>
  <si>
    <t>GCA_037889055.1</t>
  </si>
  <si>
    <t>SB049</t>
  </si>
  <si>
    <t>https://ftp.ncbi.nlm.nih.gov/genomes/all/GCA/037/889/055/GCA_037889055.1_ASM3788905v1</t>
  </si>
  <si>
    <t>GCA_037889065.1</t>
  </si>
  <si>
    <t>SB048</t>
  </si>
  <si>
    <t>https://ftp.ncbi.nlm.nih.gov/genomes/all/GCA/037/889/065/GCA_037889065.1_ASM3788906v1</t>
  </si>
  <si>
    <t>GCA_037889095.1</t>
  </si>
  <si>
    <t>SB032</t>
  </si>
  <si>
    <t>https://ftp.ncbi.nlm.nih.gov/genomes/all/GCA/037/889/095/GCA_037889095.1_ASM3788909v1</t>
  </si>
  <si>
    <t>GCA_037889105.1</t>
  </si>
  <si>
    <t>SB030</t>
  </si>
  <si>
    <t>https://ftp.ncbi.nlm.nih.gov/genomes/all/GCA/037/889/105/GCA_037889105.1_ASM3788910v1</t>
  </si>
  <si>
    <t>GCA_037889115.1</t>
  </si>
  <si>
    <t>KCOM3764</t>
  </si>
  <si>
    <t>https://ftp.ncbi.nlm.nih.gov/genomes/all/GCA/037/889/115/GCA_037889115.1_ASM3788911v1</t>
  </si>
  <si>
    <t>GCA_037889125.1</t>
  </si>
  <si>
    <t>KCOM3756</t>
  </si>
  <si>
    <t>https://ftp.ncbi.nlm.nih.gov/genomes/all/GCA/037/889/125/GCA_037889125.1_ASM3788912v1</t>
  </si>
  <si>
    <t>GCA_037889135.1</t>
  </si>
  <si>
    <t>KCOM3714</t>
  </si>
  <si>
    <t>https://ftp.ncbi.nlm.nih.gov/genomes/all/GCA/037/889/135/GCA_037889135.1_ASM3788913v1</t>
  </si>
  <si>
    <t>GCA_037889145.1</t>
  </si>
  <si>
    <t>KCOM3685</t>
  </si>
  <si>
    <t>https://ftp.ncbi.nlm.nih.gov/genomes/all/GCA/037/889/145/GCA_037889145.1_ASM3788914v1</t>
  </si>
  <si>
    <t>GCA_037889155.1</t>
  </si>
  <si>
    <t>KCOM3503</t>
  </si>
  <si>
    <t>https://ftp.ncbi.nlm.nih.gov/genomes/all/GCA/037/889/155/GCA_037889155.1_ASM3788915v1</t>
  </si>
  <si>
    <t>GCA_037889165.1</t>
  </si>
  <si>
    <t>KCOM3457</t>
  </si>
  <si>
    <t>https://ftp.ncbi.nlm.nih.gov/genomes/all/GCA/037/889/165/GCA_037889165.1_ASM3788916v1</t>
  </si>
  <si>
    <t>GCA_037889175.1</t>
  </si>
  <si>
    <t>KCOM3321</t>
  </si>
  <si>
    <t>https://ftp.ncbi.nlm.nih.gov/genomes/all/GCA/037/889/175/GCA_037889175.1_ASM3788917v1</t>
  </si>
  <si>
    <t>GCA_037889185.1</t>
  </si>
  <si>
    <t>KCOM3208</t>
  </si>
  <si>
    <t>https://ftp.ncbi.nlm.nih.gov/genomes/all/GCA/037/889/185/GCA_037889185.1_ASM3788918v1</t>
  </si>
  <si>
    <t>GCA_037889195.1</t>
  </si>
  <si>
    <t>KCOM3205</t>
  </si>
  <si>
    <t>https://ftp.ncbi.nlm.nih.gov/genomes/all/GCA/037/889/195/GCA_037889195.1_ASM3788919v1</t>
  </si>
  <si>
    <t>GCA_037889205.1</t>
  </si>
  <si>
    <t>KCOM3164</t>
  </si>
  <si>
    <t>https://ftp.ncbi.nlm.nih.gov/genomes/all/GCA/037/889/205/GCA_037889205.1_ASM3788920v1</t>
  </si>
  <si>
    <t>GCA_037889215.1</t>
  </si>
  <si>
    <t>KCOM3154</t>
  </si>
  <si>
    <t>https://ftp.ncbi.nlm.nih.gov/genomes/all/GCA/037/889/215/GCA_037889215.1_ASM3788921v1</t>
  </si>
  <si>
    <t>GCA_037889225.1</t>
  </si>
  <si>
    <t>KCOM2907</t>
  </si>
  <si>
    <t>https://ftp.ncbi.nlm.nih.gov/genomes/all/GCA/037/889/225/GCA_037889225.1_ASM3788922v1</t>
  </si>
  <si>
    <t>GCA_037889235.1</t>
  </si>
  <si>
    <t>KCOM2902</t>
  </si>
  <si>
    <t>https://ftp.ncbi.nlm.nih.gov/genomes/all/GCA/037/889/235/GCA_037889235.1_ASM3788923v1</t>
  </si>
  <si>
    <t>GCA_037889245.1</t>
  </si>
  <si>
    <t>KCOM2898</t>
  </si>
  <si>
    <t>https://ftp.ncbi.nlm.nih.gov/genomes/all/GCA/037/889/245/GCA_037889245.1_ASM3788924v1</t>
  </si>
  <si>
    <t>GCA_037889255.1</t>
  </si>
  <si>
    <t>KCOM2878</t>
  </si>
  <si>
    <t>https://ftp.ncbi.nlm.nih.gov/genomes/all/GCA/037/889/255/GCA_037889255.1_ASM3788925v1</t>
  </si>
  <si>
    <t>GCA_037889265.1</t>
  </si>
  <si>
    <t>KCOM2847</t>
  </si>
  <si>
    <t>https://ftp.ncbi.nlm.nih.gov/genomes/all/GCA/037/889/265/GCA_037889265.1_ASM3788926v1</t>
  </si>
  <si>
    <t>GCA_037889275.1</t>
  </si>
  <si>
    <t>KCOM2373</t>
  </si>
  <si>
    <t>https://ftp.ncbi.nlm.nih.gov/genomes/all/GCA/037/889/275/GCA_037889275.1_ASM3788927v1</t>
  </si>
  <si>
    <t>GCA_037889285.1</t>
  </si>
  <si>
    <t>KCOM1276</t>
  </si>
  <si>
    <t>https://ftp.ncbi.nlm.nih.gov/genomes/all/GCA/037/889/285/GCA_037889285.1_ASM3788928v1</t>
  </si>
  <si>
    <t>GCA_037889315.1</t>
  </si>
  <si>
    <t>KCOM3486</t>
  </si>
  <si>
    <t>https://ftp.ncbi.nlm.nih.gov/genomes/all/GCA/037/889/315/GCA_037889315.1_ASM3788931v1</t>
  </si>
  <si>
    <t>GCA_037889325.1</t>
  </si>
  <si>
    <t>KCOM1801</t>
  </si>
  <si>
    <t>https://ftp.ncbi.nlm.nih.gov/genomes/all/GCA/037/889/325/GCA_037889325.1_ASM3788932v1</t>
  </si>
  <si>
    <t>GCA_037889335.1</t>
  </si>
  <si>
    <t>KCOM3412</t>
  </si>
  <si>
    <t>https://ftp.ncbi.nlm.nih.gov/genomes/all/GCA/037/889/335/GCA_037889335.1_ASM3788933v1</t>
  </si>
  <si>
    <t>GCA_037889345.1</t>
  </si>
  <si>
    <t>KCOM3182</t>
  </si>
  <si>
    <t>https://ftp.ncbi.nlm.nih.gov/genomes/all/GCA/037/889/345/GCA_037889345.1_ASM3788934v1</t>
  </si>
  <si>
    <t>GCA_037889365.1</t>
  </si>
  <si>
    <t>KCOM3758</t>
  </si>
  <si>
    <t>https://ftp.ncbi.nlm.nih.gov/genomes/all/GCA/037/889/365/GCA_037889365.1_ASM3788936v1</t>
  </si>
  <si>
    <t>GCA_037889375.1</t>
  </si>
  <si>
    <t>KCOM3739</t>
  </si>
  <si>
    <t>https://ftp.ncbi.nlm.nih.gov/genomes/all/GCA/037/889/375/GCA_037889375.1_ASM3788937v1</t>
  </si>
  <si>
    <t>GCA_037889385.1</t>
  </si>
  <si>
    <t>KCOM3713</t>
  </si>
  <si>
    <t>https://ftp.ncbi.nlm.nih.gov/genomes/all/GCA/037/889/385/GCA_037889385.1_ASM3788938v1</t>
  </si>
  <si>
    <t>GCA_037890135.1</t>
  </si>
  <si>
    <t>KCOM2312</t>
  </si>
  <si>
    <t>https://ftp.ncbi.nlm.nih.gov/genomes/all/GCA/037/890/135/GCA_037890135.1_ASM3789013v1</t>
  </si>
  <si>
    <t>GCA_037893335.1</t>
  </si>
  <si>
    <t>SB020</t>
  </si>
  <si>
    <t>https://ftp.ncbi.nlm.nih.gov/genomes/all/GCA/037/893/335/GCA_037893335.1_ASM3789333v1</t>
  </si>
  <si>
    <t>GCA_037893545.1</t>
  </si>
  <si>
    <t>SB015</t>
  </si>
  <si>
    <t>https://ftp.ncbi.nlm.nih.gov/genomes/all/GCA/037/893/545/GCA_037893545.1_ASM3789354v1</t>
  </si>
  <si>
    <t>GCA_037893695.1</t>
  </si>
  <si>
    <t>SB009</t>
  </si>
  <si>
    <t>https://ftp.ncbi.nlm.nih.gov/genomes/all/GCA/037/893/695/GCA_037893695.1_ASM3789369v1</t>
  </si>
  <si>
    <t>GCA_037893865.1</t>
  </si>
  <si>
    <t>SB040</t>
  </si>
  <si>
    <t>https://ftp.ncbi.nlm.nih.gov/genomes/all/GCA/037/893/865/GCA_037893865.1_ASM3789386v1</t>
  </si>
  <si>
    <t>GCA_037895375.1</t>
  </si>
  <si>
    <t>SB037</t>
  </si>
  <si>
    <t>https://ftp.ncbi.nlm.nih.gov/genomes/all/GCA/037/895/375/GCA_037895375.1_ASM3789537v1</t>
  </si>
  <si>
    <t>GCA_037896705.1</t>
  </si>
  <si>
    <t>SB035</t>
  </si>
  <si>
    <t>https://ftp.ncbi.nlm.nih.gov/genomes/all/GCA/037/896/705/GCA_037896705.1_ASM3789670v1</t>
  </si>
  <si>
    <t>GCA_037897415.1</t>
  </si>
  <si>
    <t>SB034</t>
  </si>
  <si>
    <t>https://ftp.ncbi.nlm.nih.gov/genomes/all/GCA/037/897/415/GCA_037897415.1_ASM3789741v1</t>
  </si>
  <si>
    <t>GCA_037897425.1</t>
  </si>
  <si>
    <t>SB031</t>
  </si>
  <si>
    <t>https://ftp.ncbi.nlm.nih.gov/genomes/all/GCA/037/897/425/GCA_037897425.1_ASM3789742v1</t>
  </si>
  <si>
    <t>GCA_037897485.1</t>
  </si>
  <si>
    <t>SB029</t>
  </si>
  <si>
    <t>https://ftp.ncbi.nlm.nih.gov/genomes/all/GCA/037/897/485/GCA_037897485.1_ASM3789748v1</t>
  </si>
  <si>
    <t>GCA_037897495.1</t>
  </si>
  <si>
    <t>SB028</t>
  </si>
  <si>
    <t>https://ftp.ncbi.nlm.nih.gov/genomes/all/GCA/037/897/495/GCA_037897495.1_ASM3789749v1</t>
  </si>
  <si>
    <t>GCA_037897505.1</t>
  </si>
  <si>
    <t>SB027</t>
  </si>
  <si>
    <t>https://ftp.ncbi.nlm.nih.gov/genomes/all/GCA/037/897/505/GCA_037897505.1_ASM3789750v1</t>
  </si>
  <si>
    <t>GCA_037897515.1</t>
  </si>
  <si>
    <t>SB026</t>
  </si>
  <si>
    <t>https://ftp.ncbi.nlm.nih.gov/genomes/all/GCA/037/897/515/GCA_037897515.1_ASM3789751v1</t>
  </si>
  <si>
    <t>GCA_037897535.1</t>
  </si>
  <si>
    <t>SB025</t>
  </si>
  <si>
    <t>https://ftp.ncbi.nlm.nih.gov/genomes/all/GCA/037/897/535/GCA_037897535.1_ASM3789753v1</t>
  </si>
  <si>
    <t>GCA_037897545.1</t>
  </si>
  <si>
    <t>SB024</t>
  </si>
  <si>
    <t>https://ftp.ncbi.nlm.nih.gov/genomes/all/GCA/037/897/545/GCA_037897545.1_ASM3789754v1</t>
  </si>
  <si>
    <t>GCA_037897555.1</t>
  </si>
  <si>
    <t>KCOM1281</t>
  </si>
  <si>
    <t>https://ftp.ncbi.nlm.nih.gov/genomes/all/GCA/037/897/555/GCA_037897555.1_ASM3789755v1</t>
  </si>
  <si>
    <t>GCA_037897565.1</t>
  </si>
  <si>
    <t>KCOM1278</t>
  </si>
  <si>
    <t>https://ftp.ncbi.nlm.nih.gov/genomes/all/GCA/037/897/565/GCA_037897565.1_ASM3789756v1</t>
  </si>
  <si>
    <t>GCA_037897635.1</t>
  </si>
  <si>
    <t>KCOM1275</t>
  </si>
  <si>
    <t>https://ftp.ncbi.nlm.nih.gov/genomes/all/GCA/037/897/635/GCA_037897635.1_ASM3789763v1</t>
  </si>
  <si>
    <t>GCA_037897925.1</t>
  </si>
  <si>
    <t>KCOM1272</t>
  </si>
  <si>
    <t>https://ftp.ncbi.nlm.nih.gov/genomes/all/GCA/037/897/925/GCA_037897925.1_ASM3789792v1</t>
  </si>
  <si>
    <t>GCA_037898185.1</t>
  </si>
  <si>
    <t>KCOM1271</t>
  </si>
  <si>
    <t>https://ftp.ncbi.nlm.nih.gov/genomes/all/GCA/037/898/185/GCA_037898185.1_ASM3789818v1</t>
  </si>
  <si>
    <t>GCA_037899555.1</t>
  </si>
  <si>
    <t>KCOM1250</t>
  </si>
  <si>
    <t>https://ftp.ncbi.nlm.nih.gov/genomes/all/GCA/037/899/555/GCA_037899555.1_ASM3789955v1</t>
  </si>
  <si>
    <t>GCA_037899945.1</t>
  </si>
  <si>
    <t>KCOM1231</t>
  </si>
  <si>
    <t>https://ftp.ncbi.nlm.nih.gov/genomes/all/GCA/037/899/945/GCA_037899945.1_ASM3789994v1</t>
  </si>
  <si>
    <t>GCA_037900345.1</t>
  </si>
  <si>
    <t>https://ftp.ncbi.nlm.nih.gov/genomes/all/GCA/037/900/345/GCA_037900345.1_ASM3790034v1</t>
  </si>
  <si>
    <t>GCA_037900625.1</t>
  </si>
  <si>
    <t>https://ftp.ncbi.nlm.nih.gov/genomes/all/GCA/037/900/625/GCA_037900625.1_ASM3790062v1</t>
  </si>
  <si>
    <t>GCA_037904225.1</t>
  </si>
  <si>
    <t>SB019</t>
  </si>
  <si>
    <t>https://ftp.ncbi.nlm.nih.gov/genomes/all/GCA/037/904/225/GCA_037904225.1_ASM3790422v1</t>
  </si>
  <si>
    <t>GCA_037904495.1</t>
  </si>
  <si>
    <t>KCOM1257</t>
  </si>
  <si>
    <t>https://ftp.ncbi.nlm.nih.gov/genomes/all/GCA/037/904/495/GCA_037904495.1_ASM3790449v1</t>
  </si>
  <si>
    <t>GCA_037904575.1</t>
  </si>
  <si>
    <t>KCOM3774</t>
  </si>
  <si>
    <t>https://ftp.ncbi.nlm.nih.gov/genomes/all/GCA/037/904/575/GCA_037904575.1_ASM3790457v1</t>
  </si>
  <si>
    <t>GCA_037904585.1</t>
  </si>
  <si>
    <t>KCOM3370</t>
  </si>
  <si>
    <t>https://ftp.ncbi.nlm.nih.gov/genomes/all/GCA/037/904/585/GCA_037904585.1_ASM3790458v1</t>
  </si>
  <si>
    <t>GCA_037904595.1</t>
  </si>
  <si>
    <t>KCOM3367</t>
  </si>
  <si>
    <t>https://ftp.ncbi.nlm.nih.gov/genomes/all/GCA/037/904/595/GCA_037904595.1_ASM3790459v1</t>
  </si>
  <si>
    <t>GCA_037904605.1</t>
  </si>
  <si>
    <t>KCOM3036</t>
  </si>
  <si>
    <t>https://ftp.ncbi.nlm.nih.gov/genomes/all/GCA/037/904/605/GCA_037904605.1_ASM3790460v1</t>
  </si>
  <si>
    <t>GCA_037904615.1</t>
  </si>
  <si>
    <t>KCOM2988</t>
  </si>
  <si>
    <t>https://ftp.ncbi.nlm.nih.gov/genomes/all/GCA/037/904/615/GCA_037904615.1_ASM3790461v1</t>
  </si>
  <si>
    <t>GCA_037904725.1</t>
  </si>
  <si>
    <t>KCOM2763</t>
  </si>
  <si>
    <t>https://ftp.ncbi.nlm.nih.gov/genomes/all/GCA/037/904/725/GCA_037904725.1_ASM3790472v1</t>
  </si>
  <si>
    <t>GCA_037904935.1</t>
  </si>
  <si>
    <t>KCOM2500</t>
  </si>
  <si>
    <t>https://ftp.ncbi.nlm.nih.gov/genomes/all/GCA/037/904/935/GCA_037904935.1_ASM3790493v1</t>
  </si>
  <si>
    <t>GCA_037905245.1</t>
  </si>
  <si>
    <t>KCOM1280</t>
  </si>
  <si>
    <t>https://ftp.ncbi.nlm.nih.gov/genomes/all/GCA/037/905/245/GCA_037905245.1_ASM3790524v1</t>
  </si>
  <si>
    <t>GCA_037905975.1</t>
  </si>
  <si>
    <t>KCOM1274</t>
  </si>
  <si>
    <t>https://ftp.ncbi.nlm.nih.gov/genomes/all/GCA/037/905/975/GCA_037905975.1_ASM3790597v1</t>
  </si>
  <si>
    <t>GCA_037906325.1</t>
  </si>
  <si>
    <t>KCOM1267</t>
  </si>
  <si>
    <t>https://ftp.ncbi.nlm.nih.gov/genomes/all/GCA/037/906/325/GCA_037906325.1_ASM3790632v1</t>
  </si>
  <si>
    <t>GCA_037906355.1</t>
  </si>
  <si>
    <t>SB008</t>
  </si>
  <si>
    <t>https://ftp.ncbi.nlm.nih.gov/genomes/all/GCA/037/906/355/GCA_037906355.1_ASM3790635v1</t>
  </si>
  <si>
    <t>GCA_037906365.1</t>
  </si>
  <si>
    <t>SB004</t>
  </si>
  <si>
    <t>https://ftp.ncbi.nlm.nih.gov/genomes/all/GCA/037/906/365/GCA_037906365.1_ASM3790636v1</t>
  </si>
  <si>
    <t>GCA_037906395.1</t>
  </si>
  <si>
    <t>SB063</t>
  </si>
  <si>
    <t>https://ftp.ncbi.nlm.nih.gov/genomes/all/GCA/037/906/395/GCA_037906395.1_ASM3790639v1</t>
  </si>
  <si>
    <t>GCA_037906465.1</t>
  </si>
  <si>
    <t>SB059</t>
  </si>
  <si>
    <t>https://ftp.ncbi.nlm.nih.gov/genomes/all/GCA/037/906/465/GCA_037906465.1_ASM3790646v1</t>
  </si>
  <si>
    <t>GCA_037907055.1</t>
  </si>
  <si>
    <t>SB062</t>
  </si>
  <si>
    <t>https://ftp.ncbi.nlm.nih.gov/genomes/all/GCA/037/907/055/GCA_037907055.1_ASM3790705v1</t>
  </si>
  <si>
    <t>GCA_037908355.1</t>
  </si>
  <si>
    <t>SB061</t>
  </si>
  <si>
    <t>https://ftp.ncbi.nlm.nih.gov/genomes/all/GCA/037/908/355/GCA_037908355.1_ASM3790835v1</t>
  </si>
  <si>
    <t>GCA_037909675.1</t>
  </si>
  <si>
    <t>SB060</t>
  </si>
  <si>
    <t>https://ftp.ncbi.nlm.nih.gov/genomes/all/GCA/037/909/675/GCA_037909675.1_ASM3790967v1</t>
  </si>
  <si>
    <t>GCA_037911025.1</t>
  </si>
  <si>
    <t>SB058</t>
  </si>
  <si>
    <t>https://ftp.ncbi.nlm.nih.gov/genomes/all/GCA/037/911/025/GCA_037911025.1_ASM3791102v1</t>
  </si>
  <si>
    <t>GCA_037911815.1</t>
  </si>
  <si>
    <t>SB056</t>
  </si>
  <si>
    <t>https://ftp.ncbi.nlm.nih.gov/genomes/all/GCA/037/911/815/GCA_037911815.1_ASM3791181v1</t>
  </si>
  <si>
    <t>GCA_037911825.1</t>
  </si>
  <si>
    <t>SB055</t>
  </si>
  <si>
    <t>https://ftp.ncbi.nlm.nih.gov/genomes/all/GCA/037/911/825/GCA_037911825.1_ASM3791182v1</t>
  </si>
  <si>
    <t>GCA_037911835.1</t>
  </si>
  <si>
    <t>SB054</t>
  </si>
  <si>
    <t>https://ftp.ncbi.nlm.nih.gov/genomes/all/GCA/037/911/835/GCA_037911835.1_ASM3791183v1</t>
  </si>
  <si>
    <t>GCA_037911845.1</t>
  </si>
  <si>
    <t>SB053</t>
  </si>
  <si>
    <t>https://ftp.ncbi.nlm.nih.gov/genomes/all/GCA/037/911/845/GCA_037911845.1_ASM3791184v1</t>
  </si>
  <si>
    <t>GCA_037911855.1</t>
  </si>
  <si>
    <t>SB052</t>
  </si>
  <si>
    <t>https://ftp.ncbi.nlm.nih.gov/genomes/all/GCA/037/911/855/GCA_037911855.1_ASM3791185v1</t>
  </si>
  <si>
    <t>GCA_037911865.1</t>
  </si>
  <si>
    <t>KCOM2931</t>
  </si>
  <si>
    <t>https://ftp.ncbi.nlm.nih.gov/genomes/all/GCA/037/911/865/GCA_037911865.1_ASM3791186v1</t>
  </si>
  <si>
    <t>GCA_037911875.1</t>
  </si>
  <si>
    <t>KCOM3645</t>
  </si>
  <si>
    <t>https://ftp.ncbi.nlm.nih.gov/genomes/all/GCA/037/911/875/GCA_037911875.1_ASM3791187v1</t>
  </si>
  <si>
    <t>GCA_037911885.1</t>
  </si>
  <si>
    <t>KCOM3229</t>
  </si>
  <si>
    <t>https://ftp.ncbi.nlm.nih.gov/genomes/all/GCA/037/911/885/GCA_037911885.1_ASM3791188v1</t>
  </si>
  <si>
    <t>GCA_037911895.1</t>
  </si>
  <si>
    <t>KCOM3210</t>
  </si>
  <si>
    <t>https://ftp.ncbi.nlm.nih.gov/genomes/all/GCA/037/911/895/GCA_037911895.1_ASM3791189v1</t>
  </si>
  <si>
    <t>GCA_037911905.1</t>
  </si>
  <si>
    <t>KCOM3127</t>
  </si>
  <si>
    <t>https://ftp.ncbi.nlm.nih.gov/genomes/all/GCA/037/911/905/GCA_037911905.1_ASM3791190v1</t>
  </si>
  <si>
    <t>GCA_037911915.1</t>
  </si>
  <si>
    <t>KCOM2969</t>
  </si>
  <si>
    <t>https://ftp.ncbi.nlm.nih.gov/genomes/all/GCA/037/911/915/GCA_037911915.1_ASM3791191v1</t>
  </si>
  <si>
    <t>GCA_037911925.1</t>
  </si>
  <si>
    <t>KCOM2952</t>
  </si>
  <si>
    <t>https://ftp.ncbi.nlm.nih.gov/genomes/all/GCA/037/911/925/GCA_037911925.1_ASM3791192v1</t>
  </si>
  <si>
    <t>GCA_037911935.1</t>
  </si>
  <si>
    <t>KCOM2877</t>
  </si>
  <si>
    <t>https://ftp.ncbi.nlm.nih.gov/genomes/all/GCA/037/911/935/GCA_037911935.1_ASM3791193v1</t>
  </si>
  <si>
    <t>GCA_037911945.1</t>
  </si>
  <si>
    <t>KCOM2860</t>
  </si>
  <si>
    <t>https://ftp.ncbi.nlm.nih.gov/genomes/all/GCA/037/911/945/GCA_037911945.1_ASM3791194v1</t>
  </si>
  <si>
    <t>GCA_037911955.1</t>
  </si>
  <si>
    <t>KCOM2765</t>
  </si>
  <si>
    <t>https://ftp.ncbi.nlm.nih.gov/genomes/all/GCA/037/911/955/GCA_037911955.1_ASM3791195v1</t>
  </si>
  <si>
    <t>GCA_037911965.1</t>
  </si>
  <si>
    <t>KCOM2594</t>
  </si>
  <si>
    <t>https://ftp.ncbi.nlm.nih.gov/genomes/all/GCA/037/911/965/GCA_037911965.1_ASM3791196v1</t>
  </si>
  <si>
    <t>GCA_037911975.1</t>
  </si>
  <si>
    <t>KCOM2538</t>
  </si>
  <si>
    <t>https://ftp.ncbi.nlm.nih.gov/genomes/all/GCA/037/911/975/GCA_037911975.1_ASM3791197v1</t>
  </si>
  <si>
    <t>GCA_037911985.1</t>
  </si>
  <si>
    <t>KCOM2517</t>
  </si>
  <si>
    <t>https://ftp.ncbi.nlm.nih.gov/genomes/all/GCA/037/911/985/GCA_037911985.1_ASM3791198v1</t>
  </si>
  <si>
    <t>GCA_037912005.1</t>
  </si>
  <si>
    <t>KCOM2446</t>
  </si>
  <si>
    <t>https://ftp.ncbi.nlm.nih.gov/genomes/all/GCA/037/912/005/GCA_037912005.1_ASM3791200v1</t>
  </si>
  <si>
    <t>GCA_037912015.1</t>
  </si>
  <si>
    <t>KCOM1330</t>
  </si>
  <si>
    <t>https://ftp.ncbi.nlm.nih.gov/genomes/all/GCA/037/912/015/GCA_037912015.1_ASM3791201v1</t>
  </si>
  <si>
    <t>GCA_037912025.1</t>
  </si>
  <si>
    <t>KCOM1325</t>
  </si>
  <si>
    <t>https://ftp.ncbi.nlm.nih.gov/genomes/all/GCA/037/912/025/GCA_037912025.1_ASM3791202v1</t>
  </si>
  <si>
    <t>GCA_037912275.1</t>
  </si>
  <si>
    <t>KCOM1279</t>
  </si>
  <si>
    <t>https://ftp.ncbi.nlm.nih.gov/genomes/all/GCA/037/912/275/GCA_037912275.1_ASM3791227v1</t>
  </si>
  <si>
    <t>GCA_037951365.1</t>
  </si>
  <si>
    <t>KCOM2995</t>
  </si>
  <si>
    <t>https://ftp.ncbi.nlm.nih.gov/genomes/all/GCA/037/951/365/GCA_037951365.1_ASM3795136v1</t>
  </si>
  <si>
    <t>GCA_037952305.1</t>
  </si>
  <si>
    <t>KCOM2939</t>
  </si>
  <si>
    <t>https://ftp.ncbi.nlm.nih.gov/genomes/all/GCA/037/952/305/GCA_037952305.1_ASM3795230v1</t>
  </si>
  <si>
    <t>GCA_037953125.1</t>
  </si>
  <si>
    <t>KCOM2883</t>
  </si>
  <si>
    <t>https://ftp.ncbi.nlm.nih.gov/genomes/all/GCA/037/953/125/GCA_037953125.1_ASM3795312v1</t>
  </si>
  <si>
    <t>GCA_037953935.1</t>
  </si>
  <si>
    <t>KCOM2013</t>
  </si>
  <si>
    <t>https://ftp.ncbi.nlm.nih.gov/genomes/all/GCA/037/953/935/GCA_037953935.1_ASM3795393v1</t>
  </si>
  <si>
    <t>GCA_037954595.1</t>
  </si>
  <si>
    <t>KCOM2205</t>
  </si>
  <si>
    <t>https://ftp.ncbi.nlm.nih.gov/genomes/all/GCA/037/954/595/GCA_037954595.1_ASM3795459v1</t>
  </si>
  <si>
    <t>GCA_037954885.1</t>
  </si>
  <si>
    <t>KCOM3674</t>
  </si>
  <si>
    <t>https://ftp.ncbi.nlm.nih.gov/genomes/all/GCA/037/954/885/GCA_037954885.1_ASM3795488v1</t>
  </si>
  <si>
    <t>GCA_037955165.1</t>
  </si>
  <si>
    <t>KCOM3363</t>
  </si>
  <si>
    <t>https://ftp.ncbi.nlm.nih.gov/genomes/all/GCA/037/955/165/GCA_037955165.1_ASM3795516v1</t>
  </si>
  <si>
    <t>GCA_037955445.1</t>
  </si>
  <si>
    <t>KCOM3240</t>
  </si>
  <si>
    <t>https://ftp.ncbi.nlm.nih.gov/genomes/all/GCA/037/955/445/GCA_037955445.1_ASM3795544v1</t>
  </si>
  <si>
    <t>GCA_037975335.1</t>
  </si>
  <si>
    <t>KCOM3187</t>
  </si>
  <si>
    <t>https://ftp.ncbi.nlm.nih.gov/genomes/all/GCA/037/975/335/GCA_037975335.1_ASM3797533v1</t>
  </si>
  <si>
    <t>GCA_045159905.1</t>
  </si>
  <si>
    <t>SB033</t>
  </si>
  <si>
    <t>https://ftp.ncbi.nlm.nih.gov/genomes/all/GCA/045/159/905/GCA_045159905.1_ASM4515990v1</t>
  </si>
  <si>
    <t>GCA_045159915.1</t>
  </si>
  <si>
    <t>SB036</t>
  </si>
  <si>
    <t>https://ftp.ncbi.nlm.nih.gov/genomes/all/GCA/045/159/915/GCA_045159915.1_ASM4515991v1</t>
  </si>
  <si>
    <t>GCA_045159925.1</t>
  </si>
  <si>
    <t>SB038</t>
  </si>
  <si>
    <t>https://ftp.ncbi.nlm.nih.gov/genomes/all/GCA/045/159/925/GCA_045159925.1_ASM4515992v1</t>
  </si>
  <si>
    <t>GCA_045159935.1</t>
  </si>
  <si>
    <t>SB041</t>
  </si>
  <si>
    <t>https://ftp.ncbi.nlm.nih.gov/genomes/all/GCA/045/159/935/GCA_045159935.1_ASM4515993v1</t>
  </si>
  <si>
    <t>GCA_045159945.1</t>
  </si>
  <si>
    <t>SB043</t>
  </si>
  <si>
    <t>https://ftp.ncbi.nlm.nih.gov/genomes/all/GCA/045/159/945/GCA_045159945.1_ASM4515994v1</t>
  </si>
  <si>
    <t>GCA_045159955.1</t>
  </si>
  <si>
    <t>SB045</t>
  </si>
  <si>
    <t>https://ftp.ncbi.nlm.nih.gov/genomes/all/GCA/045/159/955/GCA_045159955.1_ASM4515995v1</t>
  </si>
  <si>
    <t>GCA_045159965.1</t>
  </si>
  <si>
    <t>SB046</t>
  </si>
  <si>
    <t>https://ftp.ncbi.nlm.nih.gov/genomes/all/GCA/045/159/965/GCA_045159965.1_ASM4515996v1</t>
  </si>
  <si>
    <t>GCA_045159985.1</t>
  </si>
  <si>
    <t>SB050</t>
  </si>
  <si>
    <t>https://ftp.ncbi.nlm.nih.gov/genomes/all/GCA/045/159/985/GCA_045159985.1_ASM4515998v1</t>
  </si>
  <si>
    <t>GCA_045159995.1</t>
  </si>
  <si>
    <t>SB051</t>
  </si>
  <si>
    <t>https://ftp.ncbi.nlm.nih.gov/genomes/all/GCA/045/159/995/GCA_045159995.1_ASM4515999v1</t>
  </si>
  <si>
    <t>GCA_900006675.1</t>
  </si>
  <si>
    <t>J31</t>
  </si>
  <si>
    <t>https://ftp.ncbi.nlm.nih.gov/genomes/all/GCA/900/006/675/GCA_900006675.1_J31_HGAP2</t>
  </si>
  <si>
    <t>GCA_900009115.1</t>
  </si>
  <si>
    <t>AX_NCIMB_11015_WG</t>
  </si>
  <si>
    <t>https://ftp.ncbi.nlm.nih.gov/genomes/all/GCA/900/009/115/GCA_900009115.1_BN2877</t>
  </si>
  <si>
    <t>GCA_900033555.1</t>
  </si>
  <si>
    <t>2842STDY5753564</t>
  </si>
  <si>
    <t>https://ftp.ncbi.nlm.nih.gov/genomes/all/GCA/900/033/555/GCA_900033555.1_12754_1_95</t>
  </si>
  <si>
    <t>GCA_900065875.1</t>
  </si>
  <si>
    <t>SN19</t>
  </si>
  <si>
    <t>https://ftp.ncbi.nlm.nih.gov/genomes/all/GCA/900/065/875/GCA_900065875.1_PRJEB126981</t>
  </si>
  <si>
    <t>GCA_900068995.1</t>
  </si>
  <si>
    <t>CR07</t>
  </si>
  <si>
    <t>https://ftp.ncbi.nlm.nih.gov/genomes/all/GCA/900/068/995/GCA_900068995.1_CR07</t>
  </si>
  <si>
    <t>CHUV0807</t>
  </si>
  <si>
    <t>https://ftp.ncbi.nlm.nih.gov/genomes/all/GCA/900/079/085/GCA_900079085.1_c_hominis_CHUV0807</t>
  </si>
  <si>
    <t>GCA_900086555.1</t>
  </si>
  <si>
    <t>NCTC13585</t>
  </si>
  <si>
    <t>https://ftp.ncbi.nlm.nih.gov/genomes/all/GCA/900/086/555/GCA_900086555.1_34903_D01</t>
  </si>
  <si>
    <t>GCA_900086615.2</t>
  </si>
  <si>
    <t>BPH0662</t>
  </si>
  <si>
    <t>https://ftp.ncbi.nlm.nih.gov/genomes/all/GCA/900/086/615/GCA_900086615.2_BPH0662</t>
  </si>
  <si>
    <t>GCA_900087685.2</t>
  </si>
  <si>
    <t>WHO_Y</t>
  </si>
  <si>
    <t>https://ftp.ncbi.nlm.nih.gov/genomes/all/GCA/900/087/685/GCA_900087685.2_WHOY</t>
  </si>
  <si>
    <t>V975</t>
  </si>
  <si>
    <t>https://ftp.ncbi.nlm.nih.gov/genomes/all/GCA/900/095/495/GCA_900095495.1_B_ovatus_V975</t>
  </si>
  <si>
    <t>GCA_900095705.1</t>
  </si>
  <si>
    <t>HMT-248</t>
  </si>
  <si>
    <t>sp. HMT-248</t>
  </si>
  <si>
    <t>Marseille-P2749</t>
  </si>
  <si>
    <t>https://ftp.ncbi.nlm.nih.gov/genomes/all/GCA/900/095/705/GCA_900095705.1_PRJEB15286</t>
  </si>
  <si>
    <t>sp. HMT-413</t>
  </si>
  <si>
    <t>Marseille-P2826</t>
  </si>
  <si>
    <t>https://ftp.ncbi.nlm.nih.gov/genomes/all/GCA/900/095/835/GCA_900095835.1_PRJEB15302</t>
  </si>
  <si>
    <t>GCA_900095855.1</t>
  </si>
  <si>
    <t>HMT-123</t>
  </si>
  <si>
    <t>Marseille-P2911</t>
  </si>
  <si>
    <t>https://ftp.ncbi.nlm.nih.gov/genomes/all/GCA/900/095/855/GCA_900095855.1_PRJEB15308</t>
  </si>
  <si>
    <t>UB22</t>
  </si>
  <si>
    <t>https://ftp.ncbi.nlm.nih.gov/genomes/all/GCA/900/096/715/GCA_900096715.1_TFUB22</t>
  </si>
  <si>
    <t>UB4</t>
  </si>
  <si>
    <t>https://ftp.ncbi.nlm.nih.gov/genomes/all/GCA/900/096/725/GCA_900096725.1_TFUB4</t>
  </si>
  <si>
    <t>UB20</t>
  </si>
  <si>
    <t>https://ftp.ncbi.nlm.nih.gov/genomes/all/GCA/900/096/735/GCA_900096735.1_TFUB20</t>
  </si>
  <si>
    <t>GCA_900099625.1</t>
  </si>
  <si>
    <t>https://ftp.ncbi.nlm.nih.gov/genomes/all/GCA/900/099/625/GCA_900099625.1_IMG-taxon_2597490350_annotated_assembly</t>
  </si>
  <si>
    <t>CGMCC 1.11012</t>
  </si>
  <si>
    <t>https://ftp.ncbi.nlm.nih.gov/genomes/all/GCA/900/099/765/GCA_900099765.1_IMG-taxon_2667527451_annotated_assembly</t>
  </si>
  <si>
    <t>GCA_900100745.1</t>
  </si>
  <si>
    <t>BVI</t>
  </si>
  <si>
    <t>https://ftp.ncbi.nlm.nih.gov/genomes/all/GCA/900/100/745/GCA_900100745.1_CJ</t>
  </si>
  <si>
    <t>GCA_900102155.1</t>
  </si>
  <si>
    <t>DSM 938</t>
  </si>
  <si>
    <t>https://ftp.ncbi.nlm.nih.gov/genomes/all/GCA/900/102/155/GCA_900102155.1_IMG-taxon_2597490355_annotated_assembly</t>
  </si>
  <si>
    <t>GCA_900104195.1</t>
  </si>
  <si>
    <t>DSM 15886</t>
  </si>
  <si>
    <t>https://ftp.ncbi.nlm.nih.gov/genomes/all/GCA/900/104/195/GCA_900104195.1_IMG-taxon_2634166320_annotated_assembly</t>
  </si>
  <si>
    <t>GCA_900104395.1</t>
  </si>
  <si>
    <t>https://ftp.ncbi.nlm.nih.gov/genomes/all/GCA/900/104/395/GCA_900104395.1_IMG-taxon_2597490366_annotated_assembly</t>
  </si>
  <si>
    <t>Marseille-P3007</t>
  </si>
  <si>
    <t>https://ftp.ncbi.nlm.nih.gov/genomes/all/GCA/900/104/625/GCA_900104625.1_PRJEB16350</t>
  </si>
  <si>
    <t>GCA_900104835.1</t>
  </si>
  <si>
    <t>DSM 20219</t>
  </si>
  <si>
    <t>https://ftp.ncbi.nlm.nih.gov/genomes/all/GCA/900/104/835/GCA_900104835.1_IMG-taxon_2634166334_annotated_assembly</t>
  </si>
  <si>
    <t>GCA_900105015.1</t>
  </si>
  <si>
    <t>DSM 20733</t>
  </si>
  <si>
    <t>https://ftp.ncbi.nlm.nih.gov/genomes/all/GCA/900/105/015/GCA_900105015.1_IMG-taxon_2634166153_annotated_assembly</t>
  </si>
  <si>
    <t>GCA_900105405.1</t>
  </si>
  <si>
    <t>DSM 4944</t>
  </si>
  <si>
    <t>https://ftp.ncbi.nlm.nih.gov/genomes/all/GCA/900/105/405/GCA_900105405.1_IMG-taxon_2630968301_annotated_assembly</t>
  </si>
  <si>
    <t>GCA_900105505.1</t>
  </si>
  <si>
    <t>https://ftp.ncbi.nlm.nih.gov/genomes/all/GCA/900/105/505/GCA_900105505.1_IMG-taxon_2634166170_annotated_assembly</t>
  </si>
  <si>
    <t>GCA_900105745.1</t>
  </si>
  <si>
    <t>https://ftp.ncbi.nlm.nih.gov/genomes/all/GCA/900/105/745/GCA_900105745.1_IMG-taxon_2634166294_annotated_assembly</t>
  </si>
  <si>
    <t>GCA_900105895.1</t>
  </si>
  <si>
    <t>https://ftp.ncbi.nlm.nih.gov/genomes/all/GCA/900/105/895/GCA_900105895.1_IMG-taxon_2634166360_annotated_assembly</t>
  </si>
  <si>
    <t>GCA_900106515.1</t>
  </si>
  <si>
    <t>https://ftp.ncbi.nlm.nih.gov/genomes/all/GCA/900/106/515/GCA_900106515.1_PRJEB16530</t>
  </si>
  <si>
    <t>GCA_900106575.1</t>
  </si>
  <si>
    <t>DSM 11449</t>
  </si>
  <si>
    <t>https://ftp.ncbi.nlm.nih.gov/genomes/all/GCA/900/106/575/GCA_900106575.1_IMG-taxon_2693429885_annotated_assembly</t>
  </si>
  <si>
    <t>GCA_900109315.1</t>
  </si>
  <si>
    <t>ATCC 33940</t>
  </si>
  <si>
    <t>https://ftp.ncbi.nlm.nih.gov/genomes/all/GCA/900/109/315/GCA_900109315.1_IMG-taxon_2597490374_annotated_assembly</t>
  </si>
  <si>
    <t>GCA_900109865.1</t>
  </si>
  <si>
    <t>NFPP34</t>
  </si>
  <si>
    <t>https://ftp.ncbi.nlm.nih.gov/genomes/all/GCA/900/109/865/GCA_900109865.1_IMG-taxon_2599185353_annotated_assembly</t>
  </si>
  <si>
    <t>GCA_900110795.1</t>
  </si>
  <si>
    <t>LMG 21974</t>
  </si>
  <si>
    <t>https://ftp.ncbi.nlm.nih.gov/genomes/all/GCA/900/110/795/GCA_900110795.1_IMG-taxon_2663762783_annotated_assembly</t>
  </si>
  <si>
    <t>GCA_900111835.1</t>
  </si>
  <si>
    <t>DSM 17224</t>
  </si>
  <si>
    <t>https://ftp.ncbi.nlm.nih.gov/genomes/all/GCA/900/111/835/GCA_900111835.1_IMG-taxon_2663762781_annotated_assembly</t>
  </si>
  <si>
    <t>GCA_900111845.1</t>
  </si>
  <si>
    <t>https://ftp.ncbi.nlm.nih.gov/genomes/all/GCA/900/111/845/GCA_900111845.1_PRJEB17081</t>
  </si>
  <si>
    <t>GCA_900113545.1</t>
  </si>
  <si>
    <t>ATCC 25295</t>
  </si>
  <si>
    <t>https://ftp.ncbi.nlm.nih.gov/genomes/all/GCA/900/113/545/GCA_900113545.1_IMG-taxon_2675903696_annotated_assembly</t>
  </si>
  <si>
    <t>GCA_900115025.1</t>
  </si>
  <si>
    <t>C</t>
  </si>
  <si>
    <t>https://ftp.ncbi.nlm.nih.gov/genomes/all/GCA/900/115/025/GCA_900115025.1_IMG-taxon_2593339272_annotated_assembly</t>
  </si>
  <si>
    <t>DSM 11385</t>
  </si>
  <si>
    <t>https://ftp.ncbi.nlm.nih.gov/genomes/all/GCA/900/115/315/GCA_900115315.1_IMG-taxon_2693429878_annotated_assembly</t>
  </si>
  <si>
    <t>GCA_900116825.1</t>
  </si>
  <si>
    <t>https://ftp.ncbi.nlm.nih.gov/genomes/all/GCA/900/116/825/GCA_900116825.1_IMG-taxon_2634166357_annotated_assembly</t>
  </si>
  <si>
    <t>GCA_900120125.1</t>
  </si>
  <si>
    <t>Marseille-P3249</t>
  </si>
  <si>
    <t>https://ftp.ncbi.nlm.nih.gov/genomes/all/GCA/900/120/125/GCA_900120125.1_PRJEB18020</t>
  </si>
  <si>
    <t>GCA_900120335.1</t>
  </si>
  <si>
    <t>HE147/09</t>
  </si>
  <si>
    <t>https://ftp.ncbi.nlm.nih.gov/genomes/all/GCA/900/120/335/GCA_900120335.1_HE147_09</t>
  </si>
  <si>
    <t>GCA_900120385.1</t>
  </si>
  <si>
    <t>Marseille-P2936</t>
  </si>
  <si>
    <t>https://ftp.ncbi.nlm.nih.gov/genomes/all/GCA/900/120/385/GCA_900120385.1_PRJEB18030</t>
  </si>
  <si>
    <t>GCA_900128465.1</t>
  </si>
  <si>
    <t>HMT-404</t>
  </si>
  <si>
    <t>sp. HMT-404</t>
  </si>
  <si>
    <t>Marseille-P2825</t>
  </si>
  <si>
    <t>https://ftp.ncbi.nlm.nih.gov/genomes/all/GCA/900/128/465/GCA_900128465.1_PRJEB18045</t>
  </si>
  <si>
    <t>GCA_900129435.1</t>
  </si>
  <si>
    <t>DSM 20702</t>
  </si>
  <si>
    <t>https://ftp.ncbi.nlm.nih.gov/genomes/all/GCA/900/129/435/GCA_900129435.1_IMG-taxon_2695421016_annotated_assembly</t>
  </si>
  <si>
    <t>GCA_900129535.1</t>
  </si>
  <si>
    <t>DSM 22613</t>
  </si>
  <si>
    <t>https://ftp.ncbi.nlm.nih.gov/genomes/all/GCA/900/129/535/GCA_900129535.1_IMG-taxon_2695420955_annotated_assembly</t>
  </si>
  <si>
    <t>GCA_900141925.1</t>
  </si>
  <si>
    <t>KACC 15471</t>
  </si>
  <si>
    <t>https://ftp.ncbi.nlm.nih.gov/genomes/all/GCA/900/141/925/GCA_900141925.1_IMG-taxon_2663762797_annotated_assembly</t>
  </si>
  <si>
    <t>GCA_900143035.1</t>
  </si>
  <si>
    <t>ATCC 7073</t>
  </si>
  <si>
    <t>https://ftp.ncbi.nlm.nih.gov/genomes/all/GCA/900/143/035/GCA_900143035.1_IMG-taxon_2687453658_annotated_assembly</t>
  </si>
  <si>
    <t>3bp</t>
  </si>
  <si>
    <t>https://ftp.ncbi.nlm.nih.gov/genomes/all/GCA/900/155/925/GCA_900155925.1_IMG-taxon_2681812868_annotated_assembly</t>
  </si>
  <si>
    <t>GCA_900156035.1</t>
  </si>
  <si>
    <t>https://ftp.ncbi.nlm.nih.gov/genomes/all/GCA/900/156/035/GCA_900156035.1_IMG-taxon_2681813557_annotated_assembly</t>
  </si>
  <si>
    <t>GCA_900156665.1</t>
  </si>
  <si>
    <t>DSM 44531</t>
  </si>
  <si>
    <t>https://ftp.ncbi.nlm.nih.gov/genomes/all/GCA/900/156/665/GCA_900156665.1_IMG-taxon_2681813517_annotated_assembly</t>
  </si>
  <si>
    <t>GCA_900157215.1</t>
  </si>
  <si>
    <t>3_3</t>
  </si>
  <si>
    <t>https://ftp.ncbi.nlm.nih.gov/genomes/all/GCA/900/157/215/GCA_900157215.1_Strain_3-3</t>
  </si>
  <si>
    <t>GCA_900157225.1</t>
  </si>
  <si>
    <t>7BTORR</t>
  </si>
  <si>
    <t>https://ftp.ncbi.nlm.nih.gov/genomes/all/GCA/900/157/225/GCA_900157225.1_7BTORR</t>
  </si>
  <si>
    <t>GCA_900157235.1</t>
  </si>
  <si>
    <t>SU60</t>
  </si>
  <si>
    <t>https://ftp.ncbi.nlm.nih.gov/genomes/all/GCA/900/157/235/GCA_900157235.1_YH522</t>
  </si>
  <si>
    <t>GCA_900157245.1</t>
  </si>
  <si>
    <t>15_9</t>
  </si>
  <si>
    <t>https://ftp.ncbi.nlm.nih.gov/genomes/all/GCA/900/157/245/GCA_900157245.1_15-9</t>
  </si>
  <si>
    <t>GCA_900157255.1</t>
  </si>
  <si>
    <t>https://ftp.ncbi.nlm.nih.gov/genomes/all/GCA/900/157/255/GCA_900157255.1_ATCC49417</t>
  </si>
  <si>
    <t>GCA_900157265.1</t>
  </si>
  <si>
    <t>A7A1_28</t>
  </si>
  <si>
    <t>https://ftp.ncbi.nlm.nih.gov/genomes/all/GCA/900/157/265/GCA_900157265.1_A7A1-28</t>
  </si>
  <si>
    <t>GCA_900157275.1</t>
  </si>
  <si>
    <t>84_3</t>
  </si>
  <si>
    <t>https://ftp.ncbi.nlm.nih.gov/genomes/all/GCA/900/157/275/GCA_900157275.1_84-3</t>
  </si>
  <si>
    <t>GCA_900157285.1</t>
  </si>
  <si>
    <t>13_1</t>
  </si>
  <si>
    <t>https://ftp.ncbi.nlm.nih.gov/genomes/all/GCA/900/157/285/GCA_900157285.1_13-1</t>
  </si>
  <si>
    <t>GCA_900157295.1</t>
  </si>
  <si>
    <t>11A</t>
  </si>
  <si>
    <t>https://ftp.ncbi.nlm.nih.gov/genomes/all/GCA/900/157/295/GCA_900157295.1_11A</t>
  </si>
  <si>
    <t>GCA_900157325.1</t>
  </si>
  <si>
    <t>3A1</t>
  </si>
  <si>
    <t>https://ftp.ncbi.nlm.nih.gov/genomes/all/GCA/900/157/325/GCA_900157325.1_3A1</t>
  </si>
  <si>
    <t>GCA_900157345.1</t>
  </si>
  <si>
    <t>AFR5B1</t>
  </si>
  <si>
    <t>https://ftp.ncbi.nlm.nih.gov/genomes/all/GCA/900/157/345/GCA_900157345.1_AFR-5B1</t>
  </si>
  <si>
    <t>GCA_900167215.1</t>
  </si>
  <si>
    <t>ATCC 43714</t>
  </si>
  <si>
    <t>https://ftp.ncbi.nlm.nih.gov/genomes/all/GCA/900/167/215/GCA_900167215.1_IMG-taxon_2585428116_annotated_assembly</t>
  </si>
  <si>
    <t>GCA_900167385.1</t>
  </si>
  <si>
    <t>ATCC 43324</t>
  </si>
  <si>
    <t>https://ftp.ncbi.nlm.nih.gov/genomes/all/GCA/900/167/385/GCA_900167385.1_IMG-taxon_2585428083_annotated_assembly</t>
  </si>
  <si>
    <t>GCA_900169325.1</t>
  </si>
  <si>
    <t>GC77</t>
  </si>
  <si>
    <t>https://ftp.ncbi.nlm.nih.gov/genomes/all/GCA/900/169/325/GCA_900169325.1_GC77_g1</t>
  </si>
  <si>
    <t>GCA_900176115.1</t>
  </si>
  <si>
    <t>DSM 20463</t>
  </si>
  <si>
    <t>https://ftp.ncbi.nlm.nih.gov/genomes/all/GCA/900/176/115/GCA_900176115.1_IMG-taxon_2503982046_annotated_assembly</t>
  </si>
  <si>
    <t>GCA_900176385.1</t>
  </si>
  <si>
    <t>CGMCC 1.12511</t>
  </si>
  <si>
    <t>https://ftp.ncbi.nlm.nih.gov/genomes/all/GCA/900/176/385/GCA_900176385.1_IMG-taxon_2718217638_annotated_assembly</t>
  </si>
  <si>
    <t>GCA_900176625.1</t>
  </si>
  <si>
    <t>Marseille-P2986</t>
  </si>
  <si>
    <t>https://ftp.ncbi.nlm.nih.gov/genomes/all/GCA/900/176/625/GCA_900176625.1_PRJEB20365</t>
  </si>
  <si>
    <t>GCA_900177895.1</t>
  </si>
  <si>
    <t>https://ftp.ncbi.nlm.nih.gov/genomes/all/GCA/900/177/895/GCA_900177895.1_PRJEB20479</t>
  </si>
  <si>
    <t>GCA_900182485.2</t>
  </si>
  <si>
    <t>kingella_eburonensis</t>
  </si>
  <si>
    <t>https://ftp.ncbi.nlm.nih.gov/genomes/all/GCA/900/182/485/GCA_900182485.2_keburonensis</t>
  </si>
  <si>
    <t>GCA_900186465.1</t>
  </si>
  <si>
    <t>Marseille-P3560</t>
  </si>
  <si>
    <t>https://ftp.ncbi.nlm.nih.gov/genomes/all/GCA/900/186/465/GCA_900186465.1_PRJEB21319</t>
  </si>
  <si>
    <t>GCA_900186865.1</t>
  </si>
  <si>
    <t>NCTC10257</t>
  </si>
  <si>
    <t>https://ftp.ncbi.nlm.nih.gov/genomes/all/GCA/900/186/865/GCA_900186865.1_49243_F02</t>
  </si>
  <si>
    <t>GCA_900186885.1</t>
  </si>
  <si>
    <t>NCTC11810</t>
  </si>
  <si>
    <t>https://ftp.ncbi.nlm.nih.gov/genomes/all/GCA/900/186/885/GCA_900186885.1_48903_D01</t>
  </si>
  <si>
    <t>GCA_900186935.1</t>
  </si>
  <si>
    <t>NCTC13799</t>
  </si>
  <si>
    <t>https://ftp.ncbi.nlm.nih.gov/genomes/all/GCA/900/186/935/GCA_900186935.1_49677_G01</t>
  </si>
  <si>
    <t>GCA_900186975.1</t>
  </si>
  <si>
    <t>NCTC11865</t>
  </si>
  <si>
    <t>https://ftp.ncbi.nlm.nih.gov/genomes/all/GCA/900/186/975/GCA_900186975.1_50569_F01</t>
  </si>
  <si>
    <t>GCA_900186995.1</t>
  </si>
  <si>
    <t>NCTC13334</t>
  </si>
  <si>
    <t>https://ftp.ncbi.nlm.nih.gov/genomes/all/GCA/900/186/995/GCA_900186995.1_50465_A02</t>
  </si>
  <si>
    <t>GCA_900187105.1</t>
  </si>
  <si>
    <t>NCTC10596</t>
  </si>
  <si>
    <t>https://ftp.ncbi.nlm.nih.gov/genomes/all/GCA/900/187/105/GCA_900187105.1_50618_F01</t>
  </si>
  <si>
    <t>GCA_900187225.1</t>
  </si>
  <si>
    <t>NCTC10357</t>
  </si>
  <si>
    <t>https://ftp.ncbi.nlm.nih.gov/genomes/all/GCA/900/187/225/GCA_900187225.1_51881_G01</t>
  </si>
  <si>
    <t>GCA_900187235.1</t>
  </si>
  <si>
    <t>NCTC12011</t>
  </si>
  <si>
    <t>https://ftp.ncbi.nlm.nih.gov/genomes/all/GCA/900/187/235/GCA_900187235.1_52184_D01</t>
  </si>
  <si>
    <t>NCTC12947</t>
  </si>
  <si>
    <t>https://ftp.ncbi.nlm.nih.gov/genomes/all/GCA/900/187/255/GCA_900187255.1_51184_F02</t>
  </si>
  <si>
    <t>DSM 26989</t>
  </si>
  <si>
    <t>https://ftp.ncbi.nlm.nih.gov/genomes/all/GCA/900/187/995/GCA_900187995.1_IMG-taxon_2724679806_annotated_assembly</t>
  </si>
  <si>
    <t>GCA_900215245.1</t>
  </si>
  <si>
    <t>https://ftp.ncbi.nlm.nih.gov/genomes/all/GCA/900/215/245/GCA_900215245.1_IMG-taxon_2617270901_annotated_assembly</t>
  </si>
  <si>
    <t>GCA_900232945.1</t>
  </si>
  <si>
    <t>Marseille-P3926</t>
  </si>
  <si>
    <t>https://ftp.ncbi.nlm.nih.gov/genomes/all/GCA/900/232/945/GCA_900232945.1_PRJEB22715</t>
  </si>
  <si>
    <t>GCA_900240155.1</t>
  </si>
  <si>
    <t>Staphylococcus hominis J11</t>
  </si>
  <si>
    <t>https://ftp.ncbi.nlm.nih.gov/genomes/all/GCA/900/240/155/GCA_900240155.1_J11</t>
  </si>
  <si>
    <t>GCA_900240185.1</t>
  </si>
  <si>
    <t>Staphylococcus hominis J6</t>
  </si>
  <si>
    <t>https://ftp.ncbi.nlm.nih.gov/genomes/all/GCA/900/240/185/GCA_900240185.1_J6</t>
  </si>
  <si>
    <t>GCA_900240195.1</t>
  </si>
  <si>
    <t>Staphylococcus haemolyticus K8</t>
  </si>
  <si>
    <t>https://ftp.ncbi.nlm.nih.gov/genomes/all/GCA/900/240/195/GCA_900240195.1_haemolyticus</t>
  </si>
  <si>
    <t>GCA_900240305.1</t>
  </si>
  <si>
    <t>Marseille-P4747</t>
  </si>
  <si>
    <t>https://ftp.ncbi.nlm.nih.gov/genomes/all/GCA/900/240/305/GCA_900240305.1_PRJEB23089</t>
  </si>
  <si>
    <t>GCA_900289035.1</t>
  </si>
  <si>
    <t>M2 CSUR P5920</t>
  </si>
  <si>
    <t>https://ftp.ncbi.nlm.nih.gov/genomes/all/GCA/900/289/035/GCA_900289035.1_PRJEB24872</t>
  </si>
  <si>
    <t>GCA_900323545.1</t>
  </si>
  <si>
    <t>HMT-403</t>
  </si>
  <si>
    <t>sp. HMT-403</t>
  </si>
  <si>
    <t>Marseille-P3109</t>
  </si>
  <si>
    <t>https://ftp.ncbi.nlm.nih.gov/genomes/all/GCA/900/323/545/GCA_900323545.1_PRJEB18270</t>
  </si>
  <si>
    <t>GCA_900324215.1</t>
  </si>
  <si>
    <t>3_LA_115</t>
  </si>
  <si>
    <t>https://ftp.ncbi.nlm.nih.gov/genomes/all/GCA/900/324/215/GCA_900324215.1_3_LA_115</t>
  </si>
  <si>
    <t>GCA_900324315.1</t>
  </si>
  <si>
    <t>12_LA_293</t>
  </si>
  <si>
    <t>https://ftp.ncbi.nlm.nih.gov/genomes/all/GCA/900/324/315/GCA_900324315.1_12_LA_293</t>
  </si>
  <si>
    <t>GCA_900332045.1</t>
  </si>
  <si>
    <t>CD 337</t>
  </si>
  <si>
    <t>https://ftp.ncbi.nlm.nih.gov/genomes/all/GCA/900/332/045/GCA_900332045.1_Brochothrix_thermosphacta_CD_337</t>
  </si>
  <si>
    <t>GCA_900343115.1</t>
  </si>
  <si>
    <t>Marseille-P4323</t>
  </si>
  <si>
    <t>https://ftp.ncbi.nlm.nih.gov/genomes/all/GCA/900/343/115/GCA_900343115.1_PRJEB25661</t>
  </si>
  <si>
    <t>GCA_900407385.1</t>
  </si>
  <si>
    <t>PTHi-10983</t>
  </si>
  <si>
    <t>https://ftp.ncbi.nlm.nih.gov/genomes/all/GCA/900/407/385/GCA_900407385.1_PTHi-10983</t>
  </si>
  <si>
    <t>GCA_900444855.1</t>
  </si>
  <si>
    <t>NCTC10308</t>
  </si>
  <si>
    <t>https://ftp.ncbi.nlm.nih.gov/genomes/all/GCA/900/444/855/GCA_900444855.1_46338_D01</t>
  </si>
  <si>
    <t>GCA_900444865.1</t>
  </si>
  <si>
    <t>NCTC12153</t>
  </si>
  <si>
    <t>https://ftp.ncbi.nlm.nih.gov/genomes/all/GCA/900/444/865/GCA_900444865.1_57566_G02</t>
  </si>
  <si>
    <t>GCA_900444875.1</t>
  </si>
  <si>
    <t>NCTC10307</t>
  </si>
  <si>
    <t>https://ftp.ncbi.nlm.nih.gov/genomes/all/GCA/900/444/875/GCA_900444875.1_46338_C01</t>
  </si>
  <si>
    <t>GCA_900445025.1</t>
  </si>
  <si>
    <t>https://ftp.ncbi.nlm.nih.gov/genomes/all/GCA/900/445/025/GCA_900445025.1_51670_G01</t>
  </si>
  <si>
    <t>GCA_900445095.1</t>
  </si>
  <si>
    <t>NCTC8251</t>
  </si>
  <si>
    <t>https://ftp.ncbi.nlm.nih.gov/genomes/all/GCA/900/445/095/GCA_900445095.1_48290_F02</t>
  </si>
  <si>
    <t>GCA_900445105.1</t>
  </si>
  <si>
    <t>NCTC7595</t>
  </si>
  <si>
    <t>https://ftp.ncbi.nlm.nih.gov/genomes/all/GCA/900/445/105/GCA_900445105.1_58706_E02</t>
  </si>
  <si>
    <t>GCA_900445165.1</t>
  </si>
  <si>
    <t>NCTC9709</t>
  </si>
  <si>
    <t>https://ftp.ncbi.nlm.nih.gov/genomes/all/GCA/900/445/165/GCA_900445165.1_55433_A01</t>
  </si>
  <si>
    <t>GCA_900445195.1</t>
  </si>
  <si>
    <t>NCTC5908</t>
  </si>
  <si>
    <t>https://ftp.ncbi.nlm.nih.gov/genomes/all/GCA/900/445/195/GCA_900445195.1_52313_B01</t>
  </si>
  <si>
    <t>GCA_900445205.1</t>
  </si>
  <si>
    <t>NCTC13840</t>
  </si>
  <si>
    <t>https://ftp.ncbi.nlm.nih.gov/genomes/all/GCA/900/445/205/GCA_900445205.1_52223_B01</t>
  </si>
  <si>
    <t>GCA_900445265.1</t>
  </si>
  <si>
    <t>NCTC9810</t>
  </si>
  <si>
    <t>https://ftp.ncbi.nlm.nih.gov/genomes/all/GCA/900/445/265/GCA_900445265.1_51765_E01</t>
  </si>
  <si>
    <t>GCA_900445275.1</t>
  </si>
  <si>
    <t>NCTC9697</t>
  </si>
  <si>
    <t>https://ftp.ncbi.nlm.nih.gov/genomes/all/GCA/900/445/275/GCA_900445275.1_55685_C01</t>
  </si>
  <si>
    <t>GCA_900445285.1</t>
  </si>
  <si>
    <t>NCTC11806</t>
  </si>
  <si>
    <t>https://ftp.ncbi.nlm.nih.gov/genomes/all/GCA/900/445/285/GCA_900445285.1_49888_A01</t>
  </si>
  <si>
    <t>GCA_900445305.1</t>
  </si>
  <si>
    <t>NCTC13935</t>
  </si>
  <si>
    <t>https://ftp.ncbi.nlm.nih.gov/genomes/all/GCA/900/445/305/GCA_900445305.1_58174_B01</t>
  </si>
  <si>
    <t>NCTC13052</t>
  </si>
  <si>
    <t>https://ftp.ncbi.nlm.nih.gov/genomes/all/GCA/900/445/495/GCA_900445495.1_52683_B04</t>
  </si>
  <si>
    <t>NCTC11853</t>
  </si>
  <si>
    <t>https://ftp.ncbi.nlm.nih.gov/genomes/all/GCA/900/445/575/GCA_900445575.1_51470_C02</t>
  </si>
  <si>
    <t>GCA_900445725.1</t>
  </si>
  <si>
    <t>NCTC452</t>
  </si>
  <si>
    <t>https://ftp.ncbi.nlm.nih.gov/genomes/all/GCA/900/445/725/GCA_900445725.1_46338_F01</t>
  </si>
  <si>
    <t>GCA_900445765.1</t>
  </si>
  <si>
    <t>NCTC12937</t>
  </si>
  <si>
    <t>https://ftp.ncbi.nlm.nih.gov/genomes/all/GCA/900/445/765/GCA_900445765.1_53618_F01</t>
  </si>
  <si>
    <t>GCA_900445785.1</t>
  </si>
  <si>
    <t>NCTC5952</t>
  </si>
  <si>
    <t>https://ftp.ncbi.nlm.nih.gov/genomes/all/GCA/900/445/785/GCA_900445785.1_52451_D01</t>
  </si>
  <si>
    <t>GCA_900445915.1</t>
  </si>
  <si>
    <t>NCTC11164</t>
  </si>
  <si>
    <t>https://ftp.ncbi.nlm.nih.gov/genomes/all/GCA/900/445/915/GCA_900445915.1_58529_A01</t>
  </si>
  <si>
    <t>GCA_900445995.1</t>
  </si>
  <si>
    <t>NCTC8545</t>
  </si>
  <si>
    <t>https://ftp.ncbi.nlm.nih.gov/genomes/all/GCA/900/445/995/GCA_900445995.1_48290_B02</t>
  </si>
  <si>
    <t>GCA_900446175.1</t>
  </si>
  <si>
    <t>NCTC10743</t>
  </si>
  <si>
    <t>https://ftp.ncbi.nlm.nih.gov/genomes/all/GCA/900/446/175/GCA_900446175.1_52223_E01</t>
  </si>
  <si>
    <t>GCA_900446335.1</t>
  </si>
  <si>
    <t>NCTC12738</t>
  </si>
  <si>
    <t>https://ftp.ncbi.nlm.nih.gov/genomes/all/GCA/900/446/335/GCA_900446335.1_53205_B01</t>
  </si>
  <si>
    <t>GCA_900446595.1</t>
  </si>
  <si>
    <t>NCTC12474</t>
  </si>
  <si>
    <t>https://ftp.ncbi.nlm.nih.gov/genomes/all/GCA/900/446/595/GCA_900446595.1_56931_D02</t>
  </si>
  <si>
    <t>GCA_900446675.1</t>
  </si>
  <si>
    <t>NCTC12948</t>
  </si>
  <si>
    <t>https://ftp.ncbi.nlm.nih.gov/genomes/all/GCA/900/446/675/GCA_900446675.1_51334_C01</t>
  </si>
  <si>
    <t>GCA_900446685.1</t>
  </si>
  <si>
    <t>NCTC12015</t>
  </si>
  <si>
    <t>https://ftp.ncbi.nlm.nih.gov/genomes/all/GCA/900/446/685/GCA_900446685.1_57530_E01</t>
  </si>
  <si>
    <t>NCTC11653</t>
  </si>
  <si>
    <t>https://ftp.ncbi.nlm.nih.gov/genomes/all/GCA/900/446/695/GCA_900446695.1_48903_C01</t>
  </si>
  <si>
    <t>NCTC11546</t>
  </si>
  <si>
    <t>https://ftp.ncbi.nlm.nih.gov/genomes/all/GCA/900/446/705/GCA_900446705.1_57572_F01</t>
  </si>
  <si>
    <t>GCA_900447395.1</t>
  </si>
  <si>
    <t>NCTC11467</t>
  </si>
  <si>
    <t>https://ftp.ncbi.nlm.nih.gov/genomes/all/GCA/900/447/395/GCA_900447395.1_28237_B02</t>
  </si>
  <si>
    <t>GCA_900447475.1</t>
  </si>
  <si>
    <t>NCTC10289</t>
  </si>
  <si>
    <t>https://ftp.ncbi.nlm.nih.gov/genomes/all/GCA/900/447/475/GCA_900447475.1_55064_H01</t>
  </si>
  <si>
    <t>GCA_900447555.1</t>
  </si>
  <si>
    <t>NCTC10254</t>
  </si>
  <si>
    <t>https://ftp.ncbi.nlm.nih.gov/genomes/all/GCA/900/447/555/GCA_900447555.1_51470_A02</t>
  </si>
  <si>
    <t>GCA_900447625.1</t>
  </si>
  <si>
    <t>NCTC9755</t>
  </si>
  <si>
    <t>https://ftp.ncbi.nlm.nih.gov/genomes/all/GCA/900/447/625/GCA_900447625.1_55064_G01</t>
  </si>
  <si>
    <t>GCA_900447665.1</t>
  </si>
  <si>
    <t>NCTC12361</t>
  </si>
  <si>
    <t>https://ftp.ncbi.nlm.nih.gov/genomes/all/GCA/900/447/665/GCA_900447665.1_44927_C01</t>
  </si>
  <si>
    <t>GCA_900447675.1</t>
  </si>
  <si>
    <t>NCTC764</t>
  </si>
  <si>
    <t>https://ftp.ncbi.nlm.nih.gov/genomes/all/GCA/900/447/675/GCA_900447675.1_51765_E02</t>
  </si>
  <si>
    <t>GCA_900450455.1</t>
  </si>
  <si>
    <t>NCTC12940</t>
  </si>
  <si>
    <t>https://ftp.ncbi.nlm.nih.gov/genomes/all/GCA/900/450/455/GCA_900450455.1_52683_A04</t>
  </si>
  <si>
    <t>GCA_900450465.1</t>
  </si>
  <si>
    <t>NCTC11819</t>
  </si>
  <si>
    <t>https://ftp.ncbi.nlm.nih.gov/genomes/all/GCA/900/450/465/GCA_900450465.1_49888_C01</t>
  </si>
  <si>
    <t>GCA_900450505.1</t>
  </si>
  <si>
    <t>NCTC12994</t>
  </si>
  <si>
    <t>https://ftp.ncbi.nlm.nih.gov/genomes/all/GCA/900/450/505/GCA_900450505.1_51765_F02</t>
  </si>
  <si>
    <t>GCA_900450675.1</t>
  </si>
  <si>
    <t>NCTC 8479</t>
  </si>
  <si>
    <t>https://ftp.ncbi.nlm.nih.gov/genomes/all/GCA/900/450/675/GCA_900450675.1_53694_G01</t>
  </si>
  <si>
    <t>GCA_900450755.1</t>
  </si>
  <si>
    <t>NCTC8135</t>
  </si>
  <si>
    <t>https://ftp.ncbi.nlm.nih.gov/genomes/all/GCA/900/450/755/GCA_900450755.1_46514_C02</t>
  </si>
  <si>
    <t>GCA_900450795.1</t>
  </si>
  <si>
    <t>NCTC11326</t>
  </si>
  <si>
    <t>https://ftp.ncbi.nlm.nih.gov/genomes/all/GCA/900/450/795/GCA_900450795.1_50569_D01</t>
  </si>
  <si>
    <t>GCA_900450845.1</t>
  </si>
  <si>
    <t>NCTC 7857</t>
  </si>
  <si>
    <t>https://ftp.ncbi.nlm.nih.gov/genomes/all/GCA/900/450/845/GCA_900450845.1_45473_E02</t>
  </si>
  <si>
    <t>GCA_900450865.1</t>
  </si>
  <si>
    <t>NCTC13335</t>
  </si>
  <si>
    <t>https://ftp.ncbi.nlm.nih.gov/genomes/all/GCA/900/450/865/GCA_900450865.1_57675_F01</t>
  </si>
  <si>
    <t>GCA_900450875.1</t>
  </si>
  <si>
    <t>NCTC10794</t>
  </si>
  <si>
    <t>https://ftp.ncbi.nlm.nih.gov/genomes/all/GCA/900/450/875/GCA_900450875.1_33922_E01</t>
  </si>
  <si>
    <t>GCA_900450995.1</t>
  </si>
  <si>
    <t>NCTC10672</t>
  </si>
  <si>
    <t>https://ftp.ncbi.nlm.nih.gov/genomes/all/GCA/900/450/995/GCA_900450995.1_33922_D01</t>
  </si>
  <si>
    <t>GCA_900451065.1</t>
  </si>
  <si>
    <t>NCTC10671</t>
  </si>
  <si>
    <t>https://ftp.ncbi.nlm.nih.gov/genomes/all/GCA/900/451/065/GCA_900451065.1_45473_G02</t>
  </si>
  <si>
    <t>GCA_900451155.1</t>
  </si>
  <si>
    <t>NCTC10746</t>
  </si>
  <si>
    <t>https://ftp.ncbi.nlm.nih.gov/genomes/all/GCA/900/451/155/GCA_900451155.1_54669_F01</t>
  </si>
  <si>
    <t>GCA_900451365.1</t>
  </si>
  <si>
    <t>NCTC10995</t>
  </si>
  <si>
    <t>https://ftp.ncbi.nlm.nih.gov/genomes/all/GCA/900/451/365/GCA_900451365.1_50569_C01</t>
  </si>
  <si>
    <t>GCA_900452265.1</t>
  </si>
  <si>
    <t>NCTC9737</t>
  </si>
  <si>
    <t>https://ftp.ncbi.nlm.nih.gov/genomes/all/GCA/900/452/265/GCA_900452265.1_54949_C01</t>
  </si>
  <si>
    <t>GCA_900452355.1</t>
  </si>
  <si>
    <t>NCTC13722</t>
  </si>
  <si>
    <t>https://ftp.ncbi.nlm.nih.gov/genomes/all/GCA/900/452/355/GCA_900452355.1_44087_F01</t>
  </si>
  <si>
    <t>NCTC11040</t>
  </si>
  <si>
    <t>https://ftp.ncbi.nlm.nih.gov/genomes/all/GCA/900/452/405/GCA_900452405.1_49508_H02</t>
  </si>
  <si>
    <t>GCA_900452585.1</t>
  </si>
  <si>
    <t>NCTC13644</t>
  </si>
  <si>
    <t>https://ftp.ncbi.nlm.nih.gov/genomes/all/GCA/900/452/585/GCA_900452585.1_55064_C01</t>
  </si>
  <si>
    <t>GCA_900453095.1</t>
  </si>
  <si>
    <t>NCTC3622</t>
  </si>
  <si>
    <t>https://ftp.ncbi.nlm.nih.gov/genomes/all/GCA/900/453/095/GCA_900453095.1_52347_C01</t>
  </si>
  <si>
    <t>GCA_900453115.1</t>
  </si>
  <si>
    <t>NCTC10465</t>
  </si>
  <si>
    <t>https://ftp.ncbi.nlm.nih.gov/genomes/all/GCA/900/453/115/GCA_900453115.1_50450_C01</t>
  </si>
  <si>
    <t>GCA_900453215.1</t>
  </si>
  <si>
    <t>NCTC11658</t>
  </si>
  <si>
    <t>https://ftp.ncbi.nlm.nih.gov/genomes/all/GCA/900/453/215/GCA_900453215.1_50861_D01</t>
  </si>
  <si>
    <t>GCA_900453275.1</t>
  </si>
  <si>
    <t>NCTC11497</t>
  </si>
  <si>
    <t>https://ftp.ncbi.nlm.nih.gov/genomes/all/GCA/900/453/275/GCA_900453275.1_57792_B02</t>
  </si>
  <si>
    <t>GCA_900453805.1</t>
  </si>
  <si>
    <t>NCTC8263</t>
  </si>
  <si>
    <t>https://ftp.ncbi.nlm.nih.gov/genomes/all/GCA/900/453/805/GCA_900453805.1_46338_A01</t>
  </si>
  <si>
    <t>GCA_900453895.1</t>
  </si>
  <si>
    <t>NCTC10660</t>
  </si>
  <si>
    <t>https://ftp.ncbi.nlm.nih.gov/genomes/all/GCA/900/453/895/GCA_900453895.1_42925_E01</t>
  </si>
  <si>
    <t>GCA_900453905.1</t>
  </si>
  <si>
    <t>NCTC9388</t>
  </si>
  <si>
    <t>https://ftp.ncbi.nlm.nih.gov/genomes/all/GCA/900/453/905/GCA_900453905.1_58075_B01</t>
  </si>
  <si>
    <t>GCA_900454015.1</t>
  </si>
  <si>
    <t>NCTC9390</t>
  </si>
  <si>
    <t>https://ftp.ncbi.nlm.nih.gov/genomes/all/GCA/900/454/015/GCA_900454015.1_58075_C01</t>
  </si>
  <si>
    <t>GCA_900454095.1</t>
  </si>
  <si>
    <t>NCTC10618</t>
  </si>
  <si>
    <t>https://ftp.ncbi.nlm.nih.gov/genomes/all/GCA/900/454/095/GCA_900454095.1_34576_G01</t>
  </si>
  <si>
    <t>GCA_900454145.1</t>
  </si>
  <si>
    <t>NCTC10616</t>
  </si>
  <si>
    <t>https://ftp.ncbi.nlm.nih.gov/genomes/all/GCA/900/454/145/GCA_900454145.1_54949_A01</t>
  </si>
  <si>
    <t>GCA_900454235.1</t>
  </si>
  <si>
    <t>NCTC12168</t>
  </si>
  <si>
    <t>https://ftp.ncbi.nlm.nih.gov/genomes/all/GCA/900/454/235/GCA_900454235.1_34576_A02</t>
  </si>
  <si>
    <t>GCA_900454435.1</t>
  </si>
  <si>
    <t>NCTC 10774</t>
  </si>
  <si>
    <t>https://ftp.ncbi.nlm.nih.gov/genomes/all/GCA/900/454/435/GCA_900454435.1_55147_F01</t>
  </si>
  <si>
    <t>GCA_900454605.1</t>
  </si>
  <si>
    <t>NCTC11460</t>
  </si>
  <si>
    <t>https://ftp.ncbi.nlm.nih.gov/genomes/all/GCA/900/454/605/GCA_900454605.1_51470_H02</t>
  </si>
  <si>
    <t>GCA_900454665.1</t>
  </si>
  <si>
    <t>HMT-840</t>
  </si>
  <si>
    <t>indolicus</t>
  </si>
  <si>
    <t>NCTC11088</t>
  </si>
  <si>
    <t>https://ftp.ncbi.nlm.nih.gov/genomes/all/GCA/900/454/665/GCA_900454665.1_51765_G01</t>
  </si>
  <si>
    <t>GCA_900454685.1</t>
  </si>
  <si>
    <t>NCTC13076</t>
  </si>
  <si>
    <t>https://ftp.ncbi.nlm.nih.gov/genomes/all/GCA/900/454/685/GCA_900454685.1_52278_A01</t>
  </si>
  <si>
    <t>GCA_900454715.1</t>
  </si>
  <si>
    <t>NCTC13149</t>
  </si>
  <si>
    <t>https://ftp.ncbi.nlm.nih.gov/genomes/all/GCA/900/454/715/GCA_900454715.1_52700_C01</t>
  </si>
  <si>
    <t>GCA_900454815.1</t>
  </si>
  <si>
    <t>NCTC13058</t>
  </si>
  <si>
    <t>https://ftp.ncbi.nlm.nih.gov/genomes/all/GCA/900/454/815/GCA_900454815.1_52278_C01</t>
  </si>
  <si>
    <t>NCTC13067</t>
  </si>
  <si>
    <t>https://ftp.ncbi.nlm.nih.gov/genomes/all/GCA/900/454/835/GCA_900454835.1_52295_A01</t>
  </si>
  <si>
    <t>NCTC13063</t>
  </si>
  <si>
    <t>https://ftp.ncbi.nlm.nih.gov/genomes/all/GCA/900/454/855/GCA_900454855.1_57800_F01</t>
  </si>
  <si>
    <t>GCA_900454935.1</t>
  </si>
  <si>
    <t>NCTC13043</t>
  </si>
  <si>
    <t>https://ftp.ncbi.nlm.nih.gov/genomes/all/GCA/900/454/935/GCA_900454935.1_57800_C01</t>
  </si>
  <si>
    <t>GCA_900454985.1</t>
  </si>
  <si>
    <t>NCTC9336</t>
  </si>
  <si>
    <t>https://ftp.ncbi.nlm.nih.gov/genomes/all/GCA/900/454/985/GCA_900454985.1_53750_E01</t>
  </si>
  <si>
    <t>GCA_900455005.1</t>
  </si>
  <si>
    <t>NCTC13070</t>
  </si>
  <si>
    <t>https://ftp.ncbi.nlm.nih.gov/genomes/all/GCA/900/455/005/GCA_900455005.1_50624_A01</t>
  </si>
  <si>
    <t>GCA_900455515.1</t>
  </si>
  <si>
    <t>NCTC11842</t>
  </si>
  <si>
    <t>https://ftp.ncbi.nlm.nih.gov/genomes/all/GCA/900/455/515/GCA_900455515.1_43251_F01</t>
  </si>
  <si>
    <t>GCA_900455615.1</t>
  </si>
  <si>
    <t>NCTC10692</t>
  </si>
  <si>
    <t>https://ftp.ncbi.nlm.nih.gov/genomes/all/GCA/900/455/615/GCA_900455615.1_44343_C01</t>
  </si>
  <si>
    <t>GCA_900455835.1</t>
  </si>
  <si>
    <t>NCTC11149</t>
  </si>
  <si>
    <t>https://ftp.ncbi.nlm.nih.gov/genomes/all/GCA/900/455/835/GCA_900455835.1_51699_E01</t>
  </si>
  <si>
    <t>GCA_900455895.1</t>
  </si>
  <si>
    <t>NCTC10917</t>
  </si>
  <si>
    <t>https://ftp.ncbi.nlm.nih.gov/genomes/all/GCA/900/455/895/GCA_900455895.1_49699_C02</t>
  </si>
  <si>
    <t>GCA_900455935.1</t>
  </si>
  <si>
    <t>NCTC13291</t>
  </si>
  <si>
    <t>https://ftp.ncbi.nlm.nih.gov/genomes/all/GCA/900/455/935/GCA_900455935.1_50624_C01</t>
  </si>
  <si>
    <t>GCA_900458255.1</t>
  </si>
  <si>
    <t>NCTC11041</t>
  </si>
  <si>
    <t>https://ftp.ncbi.nlm.nih.gov/genomes/all/GCA/900/458/255/GCA_900458255.1_44343_D01</t>
  </si>
  <si>
    <t>GCA_900458385.1</t>
  </si>
  <si>
    <t>NCTC12196</t>
  </si>
  <si>
    <t>https://ftp.ncbi.nlm.nih.gov/genomes/all/GCA/900/458/385/GCA_900458385.1_35910_C02</t>
  </si>
  <si>
    <t>GCA_900458595.1</t>
  </si>
  <si>
    <t>NCTC11042</t>
  </si>
  <si>
    <t>https://ftp.ncbi.nlm.nih.gov/genomes/all/GCA/900/458/595/GCA_900458595.1_36734_F01</t>
  </si>
  <si>
    <t>GCA_900458605.1</t>
  </si>
  <si>
    <t>NCTC11047</t>
  </si>
  <si>
    <t>https://ftp.ncbi.nlm.nih.gov/genomes/all/GCA/900/458/605/GCA_900458605.1_35910_G02</t>
  </si>
  <si>
    <t>GCA_900458635.1</t>
  </si>
  <si>
    <t>https://ftp.ncbi.nlm.nih.gov/genomes/all/GCA/900/458/635/GCA_900458635.1_41665_G01</t>
  </si>
  <si>
    <t>GCA_900458715.1</t>
  </si>
  <si>
    <t>NCTC10518</t>
  </si>
  <si>
    <t>https://ftp.ncbi.nlm.nih.gov/genomes/all/GCA/900/458/715/GCA_900458715.1_41594_E01</t>
  </si>
  <si>
    <t>GCA_900458745.1</t>
  </si>
  <si>
    <t>NCTC 7802</t>
  </si>
  <si>
    <t>https://ftp.ncbi.nlm.nih.gov/genomes/all/GCA/900/458/745/GCA_900458745.1_40871_D01</t>
  </si>
  <si>
    <t>GCA_900458815.1</t>
  </si>
  <si>
    <t>NCTC11807</t>
  </si>
  <si>
    <t>https://ftp.ncbi.nlm.nih.gov/genomes/all/GCA/900/458/815/GCA_900458815.1_49699_H02</t>
  </si>
  <si>
    <t>GCA_900458845.1</t>
  </si>
  <si>
    <t>NCTC7623</t>
  </si>
  <si>
    <t>https://ftp.ncbi.nlm.nih.gov/genomes/all/GCA/900/458/845/GCA_900458845.1_53750_H01</t>
  </si>
  <si>
    <t>GCA_900458895.2</t>
  </si>
  <si>
    <t>NCTC12218</t>
  </si>
  <si>
    <t>https://ftp.ncbi.nlm.nih.gov/genomes/all/GCA/900/458/895/GCA_900458895.2_GCA_900458895</t>
  </si>
  <si>
    <t>GCA_900458965.1</t>
  </si>
  <si>
    <t>NCTC8181</t>
  </si>
  <si>
    <t>https://ftp.ncbi.nlm.nih.gov/genomes/all/GCA/900/458/965/GCA_900458965.1_43188_F01</t>
  </si>
  <si>
    <t>GCA_900459125.1</t>
  </si>
  <si>
    <t>NCTC11325</t>
  </si>
  <si>
    <t>https://ftp.ncbi.nlm.nih.gov/genomes/all/GCA/900/459/125/GCA_900459125.1_49569_C01</t>
  </si>
  <si>
    <t>GCA_900459175.1</t>
  </si>
  <si>
    <t>NCTC 11391</t>
  </si>
  <si>
    <t>https://ftp.ncbi.nlm.nih.gov/genomes/all/GCA/900/459/175/GCA_900459175.1_52087_B01</t>
  </si>
  <si>
    <t>GCA_900459325.1</t>
  </si>
  <si>
    <t>NCTC11063</t>
  </si>
  <si>
    <t>https://ftp.ncbi.nlm.nih.gov/genomes/all/GCA/900/459/325/GCA_900459325.1_42042_F01</t>
  </si>
  <si>
    <t>GCA_900459345.1</t>
  </si>
  <si>
    <t>NCTC10923</t>
  </si>
  <si>
    <t>https://ftp.ncbi.nlm.nih.gov/genomes/all/GCA/900/459/345/GCA_900459345.1_36725_E02</t>
  </si>
  <si>
    <t>GCA_900459415.1</t>
  </si>
  <si>
    <t>NCTC13771</t>
  </si>
  <si>
    <t>https://ftp.ncbi.nlm.nih.gov/genomes/all/GCA/900/459/415/GCA_900459415.1_45473_C02</t>
  </si>
  <si>
    <t>GCA_900459425.1</t>
  </si>
  <si>
    <t>NCTC12261</t>
  </si>
  <si>
    <t>https://ftp.ncbi.nlm.nih.gov/genomes/all/GCA/900/459/425/GCA_900459425.1_42042_B02</t>
  </si>
  <si>
    <t>GCA_900460235.1</t>
  </si>
  <si>
    <t>NCTC11830</t>
  </si>
  <si>
    <t>https://ftp.ncbi.nlm.nih.gov/genomes/all/GCA/900/460/235/GCA_900460235.1_51485_B02</t>
  </si>
  <si>
    <t>GCA_900460465.1</t>
  </si>
  <si>
    <t>NCTC5923</t>
  </si>
  <si>
    <t>https://ftp.ncbi.nlm.nih.gov/genomes/all/GCA/900/460/465/GCA_900460465.1_57940_B01</t>
  </si>
  <si>
    <t>GCA_900460785.1</t>
  </si>
  <si>
    <t>NCTC12475</t>
  </si>
  <si>
    <t>https://ftp.ncbi.nlm.nih.gov/genomes/all/GCA/900/460/785/GCA_900460785.1_57029_G02</t>
  </si>
  <si>
    <t>GCA_900460885.1</t>
  </si>
  <si>
    <t>NCTC10941</t>
  </si>
  <si>
    <t>https://ftp.ncbi.nlm.nih.gov/genomes/all/GCA/900/460/885/GCA_900460885.1_53694_D01</t>
  </si>
  <si>
    <t>NCTC11545</t>
  </si>
  <si>
    <t>https://ftp.ncbi.nlm.nih.gov/genomes/all/GCA/900/460/915/GCA_900460915.1_57428_A02</t>
  </si>
  <si>
    <t>NCTC13294</t>
  </si>
  <si>
    <t>https://ftp.ncbi.nlm.nih.gov/genomes/all/GCA/900/460/955/GCA_900460955.1_51726_F01</t>
  </si>
  <si>
    <t>GCA_900461185.1</t>
  </si>
  <si>
    <t>NCTC11913</t>
  </si>
  <si>
    <t>https://ftp.ncbi.nlm.nih.gov/genomes/all/GCA/900/461/185/GCA_900461185.1_48853_B02</t>
  </si>
  <si>
    <t>GCA_900461225.1</t>
  </si>
  <si>
    <t>NCTC10698</t>
  </si>
  <si>
    <t>https://ftp.ncbi.nlm.nih.gov/genomes/all/GCA/900/461/225/GCA_900461225.1_51108_F01</t>
  </si>
  <si>
    <t>GCA_900461255.1</t>
  </si>
  <si>
    <t>NCTC11917</t>
  </si>
  <si>
    <t>https://ftp.ncbi.nlm.nih.gov/genomes/all/GCA/900/461/255/GCA_900461255.1_46983_H01</t>
  </si>
  <si>
    <t>GCA_900461385.1</t>
  </si>
  <si>
    <t>NCTC7243</t>
  </si>
  <si>
    <t>https://ftp.ncbi.nlm.nih.gov/genomes/all/GCA/900/461/385/GCA_900461385.1_52465_H02</t>
  </si>
  <si>
    <t>GCA_900474705.1</t>
  </si>
  <si>
    <t>NCTC7990</t>
  </si>
  <si>
    <t>https://ftp.ncbi.nlm.nih.gov/genomes/all/GCA/900/474/705/GCA_900474705.1_41236_B02</t>
  </si>
  <si>
    <t>GCA_900474885.1</t>
  </si>
  <si>
    <t>NCTC12046</t>
  </si>
  <si>
    <t>https://ftp.ncbi.nlm.nih.gov/genomes/all/GCA/900/474/885/GCA_900474885.1_41851_E01</t>
  </si>
  <si>
    <t>GCA_900475015.1</t>
  </si>
  <si>
    <t>NCTC7865</t>
  </si>
  <si>
    <t>https://ftp.ncbi.nlm.nih.gov/genomes/all/GCA/900/475/015/GCA_900475015.1_41975_E01</t>
  </si>
  <si>
    <t>GCA_900475045.1</t>
  </si>
  <si>
    <t>NCTC11085</t>
  </si>
  <si>
    <t>https://ftp.ncbi.nlm.nih.gov/genomes/all/GCA/900/475/045/GCA_900475045.1_42290_B02</t>
  </si>
  <si>
    <t>GCA_900475095.1</t>
  </si>
  <si>
    <t>NCTC10449</t>
  </si>
  <si>
    <t>https://ftp.ncbi.nlm.nih.gov/genomes/all/GCA/900/475/095/GCA_900475095.1_42197_E01</t>
  </si>
  <si>
    <t>GCA_900475215.1</t>
  </si>
  <si>
    <t>NCTC10038</t>
  </si>
  <si>
    <t>https://ftp.ncbi.nlm.nih.gov/genomes/all/GCA/900/475/215/GCA_900475215.1_42727_B01</t>
  </si>
  <si>
    <t>GCA_900475225.1</t>
  </si>
  <si>
    <t>NCTC7366</t>
  </si>
  <si>
    <t>https://ftp.ncbi.nlm.nih.gov/genomes/all/GCA/900/475/225/GCA_900475225.1_42685_C01</t>
  </si>
  <si>
    <t>GCA_900475275.1</t>
  </si>
  <si>
    <t>NCTC11086</t>
  </si>
  <si>
    <t>https://ftp.ncbi.nlm.nih.gov/genomes/all/GCA/900/475/275/GCA_900475275.1_42685_F01</t>
  </si>
  <si>
    <t>GCA_900475315.1</t>
  </si>
  <si>
    <t>NCTC10294</t>
  </si>
  <si>
    <t>https://ftp.ncbi.nlm.nih.gov/genomes/all/GCA/900/475/315/GCA_900475315.1_43721_G02</t>
  </si>
  <si>
    <t>GCA_900475365.1</t>
  </si>
  <si>
    <t>NCTC10921</t>
  </si>
  <si>
    <t>https://ftp.ncbi.nlm.nih.gov/genomes/all/GCA/900/475/365/GCA_900475365.1_43908_G01</t>
  </si>
  <si>
    <t>GCA_900475385.1</t>
  </si>
  <si>
    <t>NCTC3165</t>
  </si>
  <si>
    <t>https://ftp.ncbi.nlm.nih.gov/genomes/all/GCA/900/475/385/GCA_900475385.1_43597_G01</t>
  </si>
  <si>
    <t>GCA_900475395.1</t>
  </si>
  <si>
    <t>NCTC12279</t>
  </si>
  <si>
    <t>https://ftp.ncbi.nlm.nih.gov/genomes/all/GCA/900/475/395/GCA_900475395.1_43908_H01</t>
  </si>
  <si>
    <t>GCA_900475445.1</t>
  </si>
  <si>
    <t>NCTC12479</t>
  </si>
  <si>
    <t>https://ftp.ncbi.nlm.nih.gov/genomes/all/GCA/900/475/445/GCA_900475445.1_42727_F01</t>
  </si>
  <si>
    <t>GCA_900475505.1</t>
  </si>
  <si>
    <t>NCTC7863</t>
  </si>
  <si>
    <t>https://ftp.ncbi.nlm.nih.gov/genomes/all/GCA/900/475/505/GCA_900475505.1_42925_G01</t>
  </si>
  <si>
    <t>GCA_900475515.1</t>
  </si>
  <si>
    <t>NCTC13276</t>
  </si>
  <si>
    <t>https://ftp.ncbi.nlm.nih.gov/genomes/all/GCA/900/475/515/GCA_900475515.1_42731_F01</t>
  </si>
  <si>
    <t>GCA_900475535.1</t>
  </si>
  <si>
    <t>NCTC11931</t>
  </si>
  <si>
    <t>https://ftp.ncbi.nlm.nih.gov/genomes/all/GCA/900/475/535/GCA_900475535.1_44310_E01</t>
  </si>
  <si>
    <t>GCA_900475555.1</t>
  </si>
  <si>
    <t>NCTC2665</t>
  </si>
  <si>
    <t>https://ftp.ncbi.nlm.nih.gov/genomes/all/GCA/900/475/555/GCA_900475555.1_44257_B01</t>
  </si>
  <si>
    <t>GCA_900475625.1</t>
  </si>
  <si>
    <t>NCTC13768</t>
  </si>
  <si>
    <t>https://ftp.ncbi.nlm.nih.gov/genomes/all/GCA/900/475/625/GCA_900475625.1_45709_F01</t>
  </si>
  <si>
    <t>GCA_900475755.1</t>
  </si>
  <si>
    <t>NCTC11426</t>
  </si>
  <si>
    <t>https://ftp.ncbi.nlm.nih.gov/genomes/all/GCA/900/475/755/GCA_900475755.1_45214_B02</t>
  </si>
  <si>
    <t>GCA_900475805.1</t>
  </si>
  <si>
    <t>NCTC11902</t>
  </si>
  <si>
    <t>https://ftp.ncbi.nlm.nih.gov/genomes/all/GCA/900/475/805/GCA_900475805.1_46514_B03</t>
  </si>
  <si>
    <t>GCA_900475815.1</t>
  </si>
  <si>
    <t>NCTC11050</t>
  </si>
  <si>
    <t>https://ftp.ncbi.nlm.nih.gov/genomes/all/GCA/900/475/815/GCA_900475815.1_46758_G01</t>
  </si>
  <si>
    <t>GCA_900475885.1</t>
  </si>
  <si>
    <t>NCTC8502</t>
  </si>
  <si>
    <t>https://ftp.ncbi.nlm.nih.gov/genomes/all/GCA/900/475/885/GCA_900475885.1_49595_C01</t>
  </si>
  <si>
    <t>GCA_900475905.1</t>
  </si>
  <si>
    <t>NCTC10529</t>
  </si>
  <si>
    <t>https://ftp.ncbi.nlm.nih.gov/genomes/all/GCA/900/475/905/GCA_900475905.1_49595_E01</t>
  </si>
  <si>
    <t>GCA_900475915.1</t>
  </si>
  <si>
    <t>NCTC8452</t>
  </si>
  <si>
    <t>https://ftp.ncbi.nlm.nih.gov/genomes/all/GCA/900/475/915/GCA_900475915.1_48128_H02</t>
  </si>
  <si>
    <t>GCA_900475975.1</t>
  </si>
  <si>
    <t>NCTC11324</t>
  </si>
  <si>
    <t>https://ftp.ncbi.nlm.nih.gov/genomes/all/GCA/900/475/975/GCA_900475975.1_46931_F01</t>
  </si>
  <si>
    <t>GCA_900475995.1</t>
  </si>
  <si>
    <t>NCTC12975</t>
  </si>
  <si>
    <t>https://ftp.ncbi.nlm.nih.gov/genomes/all/GCA/900/475/995/GCA_900475995.1_47555_F02</t>
  </si>
  <si>
    <t>GCA_900476035.1</t>
  </si>
  <si>
    <t>NCTC10977</t>
  </si>
  <si>
    <t>https://ftp.ncbi.nlm.nih.gov/genomes/all/GCA/900/476/035/GCA_900476035.1_53694_C01</t>
  </si>
  <si>
    <t>GCA_900476045.1</t>
  </si>
  <si>
    <t>NCTC11323</t>
  </si>
  <si>
    <t>https://ftp.ncbi.nlm.nih.gov/genomes/all/GCA/900/476/045/GCA_900476045.1_50279_D01</t>
  </si>
  <si>
    <t>GCA_900476055.1</t>
  </si>
  <si>
    <t>NCTC13166</t>
  </si>
  <si>
    <t>https://ftp.ncbi.nlm.nih.gov/genomes/all/GCA/900/476/055/GCA_900476055.1_53750_F01</t>
  </si>
  <si>
    <t>GCA_900476075.1</t>
  </si>
  <si>
    <t>NCTC11020</t>
  </si>
  <si>
    <t>https://ftp.ncbi.nlm.nih.gov/genomes/all/GCA/900/476/075/GCA_900476075.1_49595_F01</t>
  </si>
  <si>
    <t>GCA_900476475.1</t>
  </si>
  <si>
    <t>4041STDY6583227</t>
  </si>
  <si>
    <t>https://ftp.ncbi.nlm.nih.gov/genomes/all/GCA/900/476/475/GCA_900476475.1_49768_F01</t>
  </si>
  <si>
    <t>GCA_900476505.1</t>
  </si>
  <si>
    <t>4041STDY6836166</t>
  </si>
  <si>
    <t>https://ftp.ncbi.nlm.nih.gov/genomes/all/GCA/900/476/505/GCA_900476505.1_55312_C02</t>
  </si>
  <si>
    <t>GCA_900477945.1</t>
  </si>
  <si>
    <t>NCTC10839</t>
  </si>
  <si>
    <t>https://ftp.ncbi.nlm.nih.gov/genomes/all/GCA/900/477/945/GCA_900477945.1_45473_H02</t>
  </si>
  <si>
    <t>GCA_900477975.1</t>
  </si>
  <si>
    <t>NCTC11914</t>
  </si>
  <si>
    <t>https://ftp.ncbi.nlm.nih.gov/genomes/all/GCA/900/477/975/GCA_900477975.1_46983_G01</t>
  </si>
  <si>
    <t>GCA_900478045.1</t>
  </si>
  <si>
    <t>NCTC10288</t>
  </si>
  <si>
    <t>https://ftp.ncbi.nlm.nih.gov/genomes/all/GCA/900/478/045/GCA_900478045.1_47555_C02</t>
  </si>
  <si>
    <t>GCA_900478185.1</t>
  </si>
  <si>
    <t>NCTC13807</t>
  </si>
  <si>
    <t>https://ftp.ncbi.nlm.nih.gov/genomes/all/GCA/900/478/185/GCA_900478185.1_51342_H01</t>
  </si>
  <si>
    <t>GCA_900478255.1</t>
  </si>
  <si>
    <t>NCTC12217</t>
  </si>
  <si>
    <t>https://ftp.ncbi.nlm.nih.gov/genomes/all/GCA/900/478/255/GCA_900478255.1_34211_E02</t>
  </si>
  <si>
    <t>GCA_900478265.1</t>
  </si>
  <si>
    <t>NCTC11096</t>
  </si>
  <si>
    <t>https://ftp.ncbi.nlm.nih.gov/genomes/all/GCA/900/478/265/GCA_900478265.1_33962_C02</t>
  </si>
  <si>
    <t>GCA_900478275.1</t>
  </si>
  <si>
    <t>NCTC13377</t>
  </si>
  <si>
    <t>https://ftp.ncbi.nlm.nih.gov/genomes/all/GCA/900/478/275/GCA_900478275.1_34211_D02</t>
  </si>
  <si>
    <t>GCA_900478295.1</t>
  </si>
  <si>
    <t>NCTC 11637</t>
  </si>
  <si>
    <t>https://ftp.ncbi.nlm.nih.gov/genomes/all/GCA/900/478/295/GCA_900478295.1_35377_D02</t>
  </si>
  <si>
    <t>GCA_900478325.1</t>
  </si>
  <si>
    <t>NCTC12194</t>
  </si>
  <si>
    <t>https://ftp.ncbi.nlm.nih.gov/genomes/all/GCA/900/478/325/GCA_900478325.1_33962_G01</t>
  </si>
  <si>
    <t>GCA_900478415.1</t>
  </si>
  <si>
    <t>NCTC12101</t>
  </si>
  <si>
    <t>https://ftp.ncbi.nlm.nih.gov/genomes/all/GCA/900/478/415/GCA_900478415.1_35910_E02</t>
  </si>
  <si>
    <t>GCA_900478735.1</t>
  </si>
  <si>
    <t>NCTC8455</t>
  </si>
  <si>
    <t>https://ftp.ncbi.nlm.nih.gov/genomes/all/GCA/900/478/735/GCA_900478735.1_33763_D01</t>
  </si>
  <si>
    <t>GCA_900490715.1</t>
  </si>
  <si>
    <t>G1552</t>
  </si>
  <si>
    <t>https://ftp.ncbi.nlm.nih.gov/genomes/all/GCA/900/490/715/GCA_900490715.1_G1552</t>
  </si>
  <si>
    <t>GCA_900490725.1</t>
  </si>
  <si>
    <t>G1565</t>
  </si>
  <si>
    <t>https://ftp.ncbi.nlm.nih.gov/genomes/all/GCA/900/490/725/GCA_900490725.1_G1565</t>
  </si>
  <si>
    <t>GCA_900490735.1</t>
  </si>
  <si>
    <t>G1563</t>
  </si>
  <si>
    <t>https://ftp.ncbi.nlm.nih.gov/genomes/all/GCA/900/490/735/GCA_900490735.1_G1563</t>
  </si>
  <si>
    <t>GCA_900490745.1</t>
  </si>
  <si>
    <t>G1557</t>
  </si>
  <si>
    <t>https://ftp.ncbi.nlm.nih.gov/genomes/all/GCA/900/490/745/GCA_900490745.1_G1557</t>
  </si>
  <si>
    <t>GCA_900490765.1</t>
  </si>
  <si>
    <t>G1567</t>
  </si>
  <si>
    <t>https://ftp.ncbi.nlm.nih.gov/genomes/all/GCA/900/490/765/GCA_900490765.1_G1567</t>
  </si>
  <si>
    <t>GCA_900490785.1</t>
  </si>
  <si>
    <t>G1562</t>
  </si>
  <si>
    <t>https://ftp.ncbi.nlm.nih.gov/genomes/all/GCA/900/490/785/GCA_900490785.1_G1562</t>
  </si>
  <si>
    <t>GCA_900490795.1</t>
  </si>
  <si>
    <t>G1554</t>
  </si>
  <si>
    <t>https://ftp.ncbi.nlm.nih.gov/genomes/all/GCA/900/490/795/GCA_900490795.1_G1554</t>
  </si>
  <si>
    <t>GCA_900490805.1</t>
  </si>
  <si>
    <t>G1555</t>
  </si>
  <si>
    <t>https://ftp.ncbi.nlm.nih.gov/genomes/all/GCA/900/490/805/GCA_900490805.1_G1555</t>
  </si>
  <si>
    <t>GCA_900490815.1</t>
  </si>
  <si>
    <t>G1564</t>
  </si>
  <si>
    <t>https://ftp.ncbi.nlm.nih.gov/genomes/all/GCA/900/490/815/GCA_900490815.1_G1564</t>
  </si>
  <si>
    <t>GCA_900490835.1</t>
  </si>
  <si>
    <t>G1568</t>
  </si>
  <si>
    <t>https://ftp.ncbi.nlm.nih.gov/genomes/all/GCA/900/490/835/GCA_900490835.1_G1568</t>
  </si>
  <si>
    <t>GCA_900490855.1</t>
  </si>
  <si>
    <t>G1566</t>
  </si>
  <si>
    <t>https://ftp.ncbi.nlm.nih.gov/genomes/all/GCA/900/490/855/GCA_900490855.1_G1566</t>
  </si>
  <si>
    <t>GCA_900490865.1</t>
  </si>
  <si>
    <t>G1556</t>
  </si>
  <si>
    <t>https://ftp.ncbi.nlm.nih.gov/genomes/all/GCA/900/490/865/GCA_900490865.1_G1556</t>
  </si>
  <si>
    <t>GCA_900497565.1</t>
  </si>
  <si>
    <t>HMT-725</t>
  </si>
  <si>
    <t>pectinovorum</t>
  </si>
  <si>
    <t>Marseille-2-CSURP6642</t>
  </si>
  <si>
    <t>https://ftp.ncbi.nlm.nih.gov/genomes/all/GCA/900/497/565/GCA_900497565.1_PRJEB27758</t>
  </si>
  <si>
    <t>GCA_900497585.1</t>
  </si>
  <si>
    <t>Marseille-4-CSURP7639</t>
  </si>
  <si>
    <t>https://ftp.ncbi.nlm.nih.gov/genomes/all/GCA/900/497/585/GCA_900497585.1_PRJEB27761</t>
  </si>
  <si>
    <t>GCA_900497595.1</t>
  </si>
  <si>
    <t>Marseille-3-CSURP7641</t>
  </si>
  <si>
    <t>https://ftp.ncbi.nlm.nih.gov/genomes/all/GCA/900/497/595/GCA_900497595.1_PRJEB27760</t>
  </si>
  <si>
    <t>GCA_900497605.1</t>
  </si>
  <si>
    <t>Marseille-5-CSURP7640</t>
  </si>
  <si>
    <t>https://ftp.ncbi.nlm.nih.gov/genomes/all/GCA/900/497/605/GCA_900497605.1_PRJEB27762</t>
  </si>
  <si>
    <t>GCA_900538345.1</t>
  </si>
  <si>
    <t>UMGS9</t>
  </si>
  <si>
    <t>https://ftp.ncbi.nlm.nih.gov/genomes/all/GCA/900/538/345/GCA_900538345.1_UMGS9</t>
  </si>
  <si>
    <t>GCA_900538375.1</t>
  </si>
  <si>
    <t>UMGS16</t>
  </si>
  <si>
    <t>https://ftp.ncbi.nlm.nih.gov/genomes/all/GCA/900/538/375/GCA_900538375.1_UMGS16</t>
  </si>
  <si>
    <t>GCA_900538825.1</t>
  </si>
  <si>
    <t>UMGS62</t>
  </si>
  <si>
    <t>https://ftp.ncbi.nlm.nih.gov/genomes/all/GCA/900/538/825/GCA_900538825.1_UMGS62</t>
  </si>
  <si>
    <t>GCA_900539075.1</t>
  </si>
  <si>
    <t>UMGS92</t>
  </si>
  <si>
    <t>https://ftp.ncbi.nlm.nih.gov/genomes/all/GCA/900/539/075/GCA_900539075.1_UMGS92</t>
  </si>
  <si>
    <t>GCA_900542205.1</t>
  </si>
  <si>
    <t>UMGS437</t>
  </si>
  <si>
    <t>https://ftp.ncbi.nlm.nih.gov/genomes/all/GCA/900/542/205/GCA_900542205.1_UMGS437</t>
  </si>
  <si>
    <t>GCA_900543065.1</t>
  </si>
  <si>
    <t>UMGS525</t>
  </si>
  <si>
    <t>https://ftp.ncbi.nlm.nih.gov/genomes/all/GCA/900/543/065/GCA_900543065.1_UMGS525</t>
  </si>
  <si>
    <t>GCA_900543655.1</t>
  </si>
  <si>
    <t>UMGS594</t>
  </si>
  <si>
    <t>https://ftp.ncbi.nlm.nih.gov/genomes/all/GCA/900/543/655/GCA_900543655.1_UMGS594</t>
  </si>
  <si>
    <t>GCA_900549615.1</t>
  </si>
  <si>
    <t>UMGS1208</t>
  </si>
  <si>
    <t>https://ftp.ncbi.nlm.nih.gov/genomes/all/GCA/900/549/615/GCA_900549615.1_UMGS1208</t>
  </si>
  <si>
    <t>GCA_900566195.1</t>
  </si>
  <si>
    <t>Marseille-1-CSURP6641</t>
  </si>
  <si>
    <t>https://ftp.ncbi.nlm.nih.gov/genomes/all/GCA/900/566/195/GCA_900566195.1_PRJEB27756</t>
  </si>
  <si>
    <t>GCA_900573895.1</t>
  </si>
  <si>
    <t>ATCC 700769</t>
  </si>
  <si>
    <t>https://ftp.ncbi.nlm.nih.gov/genomes/all/GCA/900/573/895/GCA_900573895.1_PRJEB29053</t>
  </si>
  <si>
    <t>GCA_900573925.1</t>
  </si>
  <si>
    <t>B32_SW</t>
  </si>
  <si>
    <t>https://ftp.ncbi.nlm.nih.gov/genomes/all/GCA/900/573/925/GCA_900573925.1_B32_SW</t>
  </si>
  <si>
    <t>GCA_900573945.1</t>
  </si>
  <si>
    <t>B91_SCBr</t>
  </si>
  <si>
    <t>https://ftp.ncbi.nlm.nih.gov/genomes/all/GCA/900/573/945/GCA_900573945.1_B91_SCBr</t>
  </si>
  <si>
    <t>GCA_900573955.1</t>
  </si>
  <si>
    <t>B91_TPP</t>
  </si>
  <si>
    <t>https://ftp.ncbi.nlm.nih.gov/genomes/all/GCA/900/573/955/GCA_900573955.1_B91_TPP</t>
  </si>
  <si>
    <t>GCA_900573975.1</t>
  </si>
  <si>
    <t>129_VTPPs</t>
  </si>
  <si>
    <t>https://ftp.ncbi.nlm.nih.gov/genomes/all/GCA/900/573/975/GCA_900573975.1_129_VTPPs</t>
  </si>
  <si>
    <t>GCA_900573985.1</t>
  </si>
  <si>
    <t>CAM</t>
  </si>
  <si>
    <t>https://ftp.ncbi.nlm.nih.gov/genomes/all/GCA/900/573/985/GCA_900573985.1_CAM</t>
  </si>
  <si>
    <t>GCA_900573995.1</t>
  </si>
  <si>
    <t>129_MSG</t>
  </si>
  <si>
    <t>https://ftp.ncbi.nlm.nih.gov/genomes/all/GCA/900/573/995/GCA_900573995.1_129_MSG</t>
  </si>
  <si>
    <t>GCA_900604505.1</t>
  </si>
  <si>
    <t>Marseille-P5998</t>
  </si>
  <si>
    <t>https://ftp.ncbi.nlm.nih.gov/genomes/all/GCA/900/604/505/GCA_900604505.1_PRJEB25865</t>
  </si>
  <si>
    <t>GCA_900610365.2</t>
  </si>
  <si>
    <t>USB-603019</t>
  </si>
  <si>
    <t>https://ftp.ncbi.nlm.nih.gov/genomes/all/GCA/900/610/365/GCA_900610365.2_603019-18</t>
  </si>
  <si>
    <t>NCTC11458</t>
  </si>
  <si>
    <t>https://ftp.ncbi.nlm.nih.gov/genomes/all/GCA/900/618/145/GCA_900618145.1_NCTC11458</t>
  </si>
  <si>
    <t>GCA_900618555.1</t>
  </si>
  <si>
    <t>https://ftp.ncbi.nlm.nih.gov/genomes/all/GCA/900/618/555/GCA_900618555.1_947</t>
  </si>
  <si>
    <t>GCA_900626155.1</t>
  </si>
  <si>
    <t>Marseille-P4512</t>
  </si>
  <si>
    <t>https://ftp.ncbi.nlm.nih.gov/genomes/all/GCA/900/626/155/GCA_900626155.1_PRJEB22908</t>
  </si>
  <si>
    <t>GCA_900626305.1</t>
  </si>
  <si>
    <t>G1553</t>
  </si>
  <si>
    <t>https://ftp.ncbi.nlm.nih.gov/genomes/all/GCA/900/626/305/GCA_900626305.1_PRJEB27335_G1553</t>
  </si>
  <si>
    <t>GCA_900635155.1</t>
  </si>
  <si>
    <t>NCTC 10904</t>
  </si>
  <si>
    <t>https://ftp.ncbi.nlm.nih.gov/genomes/all/GCA/900/635/155/GCA_900635155.1_36725_F02</t>
  </si>
  <si>
    <t>GCA_900635435.1</t>
  </si>
  <si>
    <t>NCTC10006</t>
  </si>
  <si>
    <t>https://ftp.ncbi.nlm.nih.gov/genomes/all/GCA/900/635/435/GCA_900635435.1_28021_A02</t>
  </si>
  <si>
    <t>GCA_900635715.1</t>
  </si>
  <si>
    <t>NCTC8480</t>
  </si>
  <si>
    <t>https://ftp.ncbi.nlm.nih.gov/genomes/all/GCA/900/635/715/GCA_900635715.1_32473_H02</t>
  </si>
  <si>
    <t>GCA_900635795.1</t>
  </si>
  <si>
    <t>NCTC11394</t>
  </si>
  <si>
    <t>https://ftp.ncbi.nlm.nih.gov/genomes/all/GCA/900/635/795/GCA_900635795.1_33962_B02</t>
  </si>
  <si>
    <t>GCA_900635805.1</t>
  </si>
  <si>
    <t>NCTC12699</t>
  </si>
  <si>
    <t>https://ftp.ncbi.nlm.nih.gov/genomes/all/GCA/900/635/805/GCA_900635805.1_34211_C02</t>
  </si>
  <si>
    <t>GCA_900636255.1</t>
  </si>
  <si>
    <t>NCTC4133</t>
  </si>
  <si>
    <t>https://ftp.ncbi.nlm.nih.gov/genomes/all/GCA/900/636/255/GCA_900636255.1_40295_A02</t>
  </si>
  <si>
    <t>GCA_900636265.1</t>
  </si>
  <si>
    <t>NCTC7291</t>
  </si>
  <si>
    <t>https://ftp.ncbi.nlm.nih.gov/genomes/all/GCA/900/636/265/GCA_900636265.1_40295_B02</t>
  </si>
  <si>
    <t>GCA_900636385.1</t>
  </si>
  <si>
    <t>NCTC11044</t>
  </si>
  <si>
    <t>https://ftp.ncbi.nlm.nih.gov/genomes/all/GCA/900/636/385/GCA_900636385.1_41665_E01</t>
  </si>
  <si>
    <t>GCA_900636435.1</t>
  </si>
  <si>
    <t>NCTC8618</t>
  </si>
  <si>
    <t>https://ftp.ncbi.nlm.nih.gov/genomes/all/GCA/900/636/435/GCA_900636435.1_42197_C01</t>
  </si>
  <si>
    <t>GCA_900636445.1</t>
  </si>
  <si>
    <t>NCTC12167</t>
  </si>
  <si>
    <t>https://ftp.ncbi.nlm.nih.gov/genomes/all/GCA/900/636/445/GCA_900636445.1_41965_G01</t>
  </si>
  <si>
    <t>GCA_900636475.1</t>
  </si>
  <si>
    <t>NCTC10713</t>
  </si>
  <si>
    <t>https://ftp.ncbi.nlm.nih.gov/genomes/all/GCA/900/636/475/GCA_900636475.1_42197_F01</t>
  </si>
  <si>
    <t>GCA_900636555.1</t>
  </si>
  <si>
    <t>NCTC7868</t>
  </si>
  <si>
    <t>https://ftp.ncbi.nlm.nih.gov/genomes/all/GCA/900/636/555/GCA_900636555.1_42731_B01</t>
  </si>
  <si>
    <t>GCA_900636715.1</t>
  </si>
  <si>
    <t>NCTC10708</t>
  </si>
  <si>
    <t>https://ftp.ncbi.nlm.nih.gov/genomes/all/GCA/900/636/715/GCA_900636715.1_43908_E01</t>
  </si>
  <si>
    <t>GCA_900636825.1</t>
  </si>
  <si>
    <t>NCTC9428</t>
  </si>
  <si>
    <t>https://ftp.ncbi.nlm.nih.gov/genomes/all/GCA/900/636/825/GCA_900636825.1_44858_E01</t>
  </si>
  <si>
    <t>GCA_900636835.1</t>
  </si>
  <si>
    <t>NCTC10832</t>
  </si>
  <si>
    <t>https://ftp.ncbi.nlm.nih.gov/genomes/all/GCA/900/636/835/GCA_900636835.1_44503_F02</t>
  </si>
  <si>
    <t>GCA_900636915.1</t>
  </si>
  <si>
    <t>NCTC5906</t>
  </si>
  <si>
    <t>https://ftp.ncbi.nlm.nih.gov/genomes/all/GCA/900/636/915/GCA_900636915.1_45532_F02</t>
  </si>
  <si>
    <t>GCA_900636965.1</t>
  </si>
  <si>
    <t>NCTC13764</t>
  </si>
  <si>
    <t>https://ftp.ncbi.nlm.nih.gov/genomes/all/GCA/900/636/965/GCA_900636965.1_45296_G02</t>
  </si>
  <si>
    <t>GCA_900637025.1</t>
  </si>
  <si>
    <t>NCTC11427</t>
  </si>
  <si>
    <t>https://ftp.ncbi.nlm.nih.gov/genomes/all/GCA/900/637/025/GCA_900637025.1_46338_H01</t>
  </si>
  <si>
    <t>GCA_900637065.1</t>
  </si>
  <si>
    <t>NCTC10285</t>
  </si>
  <si>
    <t>https://ftp.ncbi.nlm.nih.gov/genomes/all/GCA/900/637/065/GCA_900637065.1_46941_D01</t>
  </si>
  <si>
    <t>GCA_900637145.1</t>
  </si>
  <si>
    <t>NCTC11815</t>
  </si>
  <si>
    <t>https://ftp.ncbi.nlm.nih.gov/genomes/all/GCA/900/637/145/GCA_900637145.1_49569_E01</t>
  </si>
  <si>
    <t>GCA_900637175.1</t>
  </si>
  <si>
    <t>NCTC11816</t>
  </si>
  <si>
    <t>https://ftp.ncbi.nlm.nih.gov/genomes/all/GCA/900/637/175/GCA_900637175.1_49569_F01</t>
  </si>
  <si>
    <t>NCTC10426</t>
  </si>
  <si>
    <t>https://ftp.ncbi.nlm.nih.gov/genomes/all/GCA/900/637/305/GCA_900637305.1_50618_F02</t>
  </si>
  <si>
    <t>GCA_900637315.1</t>
  </si>
  <si>
    <t>NCTC11483</t>
  </si>
  <si>
    <t>https://ftp.ncbi.nlm.nih.gov/genomes/all/GCA/900/637/315/GCA_900637315.1_50618_G02</t>
  </si>
  <si>
    <t>GCA_900637335.1</t>
  </si>
  <si>
    <t>NCTC11818</t>
  </si>
  <si>
    <t>https://ftp.ncbi.nlm.nih.gov/genomes/all/GCA/900/637/335/GCA_900637335.1_50618_H02</t>
  </si>
  <si>
    <t>GCA_900637475.1</t>
  </si>
  <si>
    <t>NCTC10275</t>
  </si>
  <si>
    <t>https://ftp.ncbi.nlm.nih.gov/genomes/all/GCA/900/637/475/GCA_900637475.1_51108_B01</t>
  </si>
  <si>
    <t>GCA_900637515.1</t>
  </si>
  <si>
    <t>NCTC11831</t>
  </si>
  <si>
    <t>https://ftp.ncbi.nlm.nih.gov/genomes/all/GCA/900/637/515/GCA_900637515.1_51184_A01</t>
  </si>
  <si>
    <t>GCA_900637555.1</t>
  </si>
  <si>
    <t>NCTC12852</t>
  </si>
  <si>
    <t>https://ftp.ncbi.nlm.nih.gov/genomes/all/GCA/900/637/555/GCA_900637555.1_51726_E01</t>
  </si>
  <si>
    <t>GCA_900637625.1</t>
  </si>
  <si>
    <t>NCTC10287</t>
  </si>
  <si>
    <t>https://ftp.ncbi.nlm.nih.gov/genomes/all/GCA/900/637/625/GCA_900637625.1_52295_C01</t>
  </si>
  <si>
    <t>GCA_900637655.1</t>
  </si>
  <si>
    <t>NCTC13071</t>
  </si>
  <si>
    <t>https://ftp.ncbi.nlm.nih.gov/genomes/all/GCA/900/637/655/GCA_900637655.1_52295_B01</t>
  </si>
  <si>
    <t>GCA_900637725.1</t>
  </si>
  <si>
    <t>NCTC12967</t>
  </si>
  <si>
    <t>https://ftp.ncbi.nlm.nih.gov/genomes/all/GCA/900/637/725/GCA_900637725.1_52551_C01</t>
  </si>
  <si>
    <t>GCA_900637765.1</t>
  </si>
  <si>
    <t>NCTC8134</t>
  </si>
  <si>
    <t>https://ftp.ncbi.nlm.nih.gov/genomes/all/GCA/900/637/765/GCA_900637765.1_52579_G01</t>
  </si>
  <si>
    <t>GCA_900637825.1</t>
  </si>
  <si>
    <t>NCTC934</t>
  </si>
  <si>
    <t>https://ftp.ncbi.nlm.nih.gov/genomes/all/GCA/900/637/825/GCA_900637825.1_52683_C03</t>
  </si>
  <si>
    <t>GCA_900637835.1</t>
  </si>
  <si>
    <t>NCTC8340</t>
  </si>
  <si>
    <t>https://ftp.ncbi.nlm.nih.gov/genomes/all/GCA/900/637/835/GCA_900637835.1_52654_C01</t>
  </si>
  <si>
    <t>GCA_900637905.1</t>
  </si>
  <si>
    <t>NCTC11808</t>
  </si>
  <si>
    <t>https://ftp.ncbi.nlm.nih.gov/genomes/all/GCA/900/637/905/GCA_900637905.1_52756_G01</t>
  </si>
  <si>
    <t>GCA_900637975.1</t>
  </si>
  <si>
    <t>NCTC10951</t>
  </si>
  <si>
    <t>https://ftp.ncbi.nlm.nih.gov/genomes/all/GCA/900/637/975/GCA_900637975.1_53550_F01</t>
  </si>
  <si>
    <t>GCA_900637985.1</t>
  </si>
  <si>
    <t>NCTC10207</t>
  </si>
  <si>
    <t>https://ftp.ncbi.nlm.nih.gov/genomes/all/GCA/900/637/985/GCA_900637985.1_54949_H01</t>
  </si>
  <si>
    <t>GCA_900638025.1</t>
  </si>
  <si>
    <t>NCTC10665</t>
  </si>
  <si>
    <t>https://ftp.ncbi.nlm.nih.gov/genomes/all/GCA/900/638/025/GCA_900638025.1_55312_D01</t>
  </si>
  <si>
    <t>GCA_900638055.1</t>
  </si>
  <si>
    <t>NCTC10459</t>
  </si>
  <si>
    <t>https://ftp.ncbi.nlm.nih.gov/genomes/all/GCA/900/638/055/GCA_900638055.1_55147_A01</t>
  </si>
  <si>
    <t>GCA_900638105.1</t>
  </si>
  <si>
    <t>NCTC11873</t>
  </si>
  <si>
    <t>https://ftp.ncbi.nlm.nih.gov/genomes/all/GCA/900/638/105/GCA_900638105.1_56433_A01</t>
  </si>
  <si>
    <t>NCTC11097</t>
  </si>
  <si>
    <t>https://ftp.ncbi.nlm.nih.gov/genomes/all/GCA/900/638/125/GCA_900638125.1_56080_B02</t>
  </si>
  <si>
    <t>GCA_900638255.1</t>
  </si>
  <si>
    <t>NCTC10206</t>
  </si>
  <si>
    <t>https://ftp.ncbi.nlm.nih.gov/genomes/all/GCA/900/638/255/GCA_900638255.1_56931_E02</t>
  </si>
  <si>
    <t>GCA_900638535.1</t>
  </si>
  <si>
    <t>NCTC10918</t>
  </si>
  <si>
    <t>https://ftp.ncbi.nlm.nih.gov/genomes/all/GCA/900/638/535/GCA_900638535.1_57792_C02</t>
  </si>
  <si>
    <t>GCA_900638555.1</t>
  </si>
  <si>
    <t>NCTC10025</t>
  </si>
  <si>
    <t>https://ftp.ncbi.nlm.nih.gov/genomes/all/GCA/900/638/555/GCA_900638555.1_58116_A01</t>
  </si>
  <si>
    <t>GCA_900638565.1</t>
  </si>
  <si>
    <t>NCTC13077</t>
  </si>
  <si>
    <t>https://ftp.ncbi.nlm.nih.gov/genomes/all/GCA/900/638/565/GCA_900638565.1_57800_G01</t>
  </si>
  <si>
    <t>GCA_900638645.1</t>
  </si>
  <si>
    <t>NCTC11666</t>
  </si>
  <si>
    <t>https://ftp.ncbi.nlm.nih.gov/genomes/all/GCA/900/638/645/GCA_900638645.1_58635_A02</t>
  </si>
  <si>
    <t>GCA_900638685.1</t>
  </si>
  <si>
    <t>NCTC12742</t>
  </si>
  <si>
    <t>https://ftp.ncbi.nlm.nih.gov/genomes/all/GCA/900/638/685/GCA_900638685.1_58882_C02</t>
  </si>
  <si>
    <t>GCA_900638695.1</t>
  </si>
  <si>
    <t>NCTC13924</t>
  </si>
  <si>
    <t>https://ftp.ncbi.nlm.nih.gov/genomes/all/GCA/900/638/695/GCA_900638695.1_59178_A02</t>
  </si>
  <si>
    <t>GCA_900654165.1</t>
  </si>
  <si>
    <t>N13</t>
  </si>
  <si>
    <t>https://ftp.ncbi.nlm.nih.gov/genomes/all/GCA/900/654/165/GCA_900654165.1_PRJEB30649-R19</t>
  </si>
  <si>
    <t>GCA_900654175.1</t>
  </si>
  <si>
    <t>N32</t>
  </si>
  <si>
    <t>https://ftp.ncbi.nlm.nih.gov/genomes/all/GCA/900/654/175/GCA_900654175.1_PRJEB30649_R20</t>
  </si>
  <si>
    <t>GCA_900654195.1</t>
  </si>
  <si>
    <t>N78</t>
  </si>
  <si>
    <t>https://ftp.ncbi.nlm.nih.gov/genomes/all/GCA/900/654/195/GCA_900654195.1_PRJEB30649_R23</t>
  </si>
  <si>
    <t>GCA_900660445.2</t>
  </si>
  <si>
    <t>NCTC10113</t>
  </si>
  <si>
    <t>https://ftp.ncbi.nlm.nih.gov/genomes/all/GCA/900/660/445/GCA_900660445.2_GCA_900660445</t>
  </si>
  <si>
    <t>GCA_900660465.1</t>
  </si>
  <si>
    <t>NCTC10119</t>
  </si>
  <si>
    <t>https://ftp.ncbi.nlm.nih.gov/genomes/all/GCA/900/660/465/GCA_900660465.1_50648_A01-3</t>
  </si>
  <si>
    <t>GCA_900683645.1</t>
  </si>
  <si>
    <t>3012STDY7069329</t>
  </si>
  <si>
    <t>https://ftp.ncbi.nlm.nih.gov/genomes/all/GCA/900/683/645/GCA_900683645.1_57792_F02</t>
  </si>
  <si>
    <t>3012STDY7078512</t>
  </si>
  <si>
    <t>https://ftp.ncbi.nlm.nih.gov/genomes/all/GCA/900/683/665/GCA_900683665.1_57940_F02</t>
  </si>
  <si>
    <t>Parabacteroides distasonis 82G9</t>
  </si>
  <si>
    <t>https://ftp.ncbi.nlm.nih.gov/genomes/all/GCA/900/683/725/GCA_900683725.1_Parabacteroides_distasonis_82G9</t>
  </si>
  <si>
    <t>GCA_900683775.1</t>
  </si>
  <si>
    <t>Eubacterium limosum 81C1</t>
  </si>
  <si>
    <t>https://ftp.ncbi.nlm.nih.gov/genomes/all/GCA/900/683/775/GCA_900683775.1_ASM90068377v1</t>
  </si>
  <si>
    <t>GCA_900693025.1</t>
  </si>
  <si>
    <t>2245STDY6178787</t>
  </si>
  <si>
    <t>https://ftp.ncbi.nlm.nih.gov/genomes/all/GCA/900/693/025/GCA_900693025.1_19341_2_86-2</t>
  </si>
  <si>
    <t>GCA_900699155.1</t>
  </si>
  <si>
    <t>NCTC5866</t>
  </si>
  <si>
    <t>https://ftp.ncbi.nlm.nih.gov/genomes/all/GCA/900/699/155/GCA_900699155.1_44927_B02-4</t>
  </si>
  <si>
    <t>GCA_900699785.1</t>
  </si>
  <si>
    <t>B91_SC</t>
  </si>
  <si>
    <t>https://ftp.ncbi.nlm.nih.gov/genomes/all/GCA/900/699/785/GCA_900699785.1_B91_SC</t>
  </si>
  <si>
    <t>GCA_900755465.1</t>
  </si>
  <si>
    <t>HGM02437</t>
  </si>
  <si>
    <t>https://ftp.ncbi.nlm.nih.gov/genomes/all/GCA/900/755/465/GCA_900755465.1_ERS473172_3</t>
  </si>
  <si>
    <t>GCA_900755475.1</t>
  </si>
  <si>
    <t>HGM10404</t>
  </si>
  <si>
    <t>https://ftp.ncbi.nlm.nih.gov/genomes/all/GCA/900/755/475/GCA_900755475.1_ERS473172_12</t>
  </si>
  <si>
    <t>GCA_900759775.1</t>
  </si>
  <si>
    <t>HGM14168</t>
  </si>
  <si>
    <t>https://ftp.ncbi.nlm.nih.gov/genomes/all/GCA/900/759/775/GCA_900759775.1_SRS001031_10</t>
  </si>
  <si>
    <t>GCA_901421975.1</t>
  </si>
  <si>
    <t>NCTC9239</t>
  </si>
  <si>
    <t>https://ftp.ncbi.nlm.nih.gov/genomes/all/GCA/901/421/975/GCA_901421975.1_34410_D01</t>
  </si>
  <si>
    <t>GCA_901472485.1</t>
  </si>
  <si>
    <t>NCTC8468</t>
  </si>
  <si>
    <t>https://ftp.ncbi.nlm.nih.gov/genomes/all/GCA/901/472/485/GCA_901472485.1_35860_G01</t>
  </si>
  <si>
    <t>GCA_901482445.1</t>
  </si>
  <si>
    <t>NCTC10617</t>
  </si>
  <si>
    <t>https://ftp.ncbi.nlm.nih.gov/genomes/all/GCA/901/482/445/GCA_901482445.1_45076_H02</t>
  </si>
  <si>
    <t>GCA_901482635.1</t>
  </si>
  <si>
    <t>NCTC11045</t>
  </si>
  <si>
    <t>https://ftp.ncbi.nlm.nih.gov/genomes/all/GCA/901/482/635/GCA_901482635.1_42552_C01</t>
  </si>
  <si>
    <t>GCA_901542355.1</t>
  </si>
  <si>
    <t>NCTC7870</t>
  </si>
  <si>
    <t>https://ftp.ncbi.nlm.nih.gov/genomes/all/GCA/901/542/355/GCA_901542355.1_43597_H01</t>
  </si>
  <si>
    <t>GCA_901542415.1</t>
  </si>
  <si>
    <t>NCTC11189</t>
  </si>
  <si>
    <t>https://ftp.ncbi.nlm.nih.gov/genomes/all/GCA/901/542/415/GCA_901542415.1_41965_E01</t>
  </si>
  <si>
    <t>GCA_901542485.1</t>
  </si>
  <si>
    <t>NCTC11064</t>
  </si>
  <si>
    <t>https://ftp.ncbi.nlm.nih.gov/genomes/all/GCA/901/542/485/GCA_901542485.1_42166_C01</t>
  </si>
  <si>
    <t>GCA_901543415.1</t>
  </si>
  <si>
    <t>NCTC9124</t>
  </si>
  <si>
    <t>https://ftp.ncbi.nlm.nih.gov/genomes/all/GCA/901/543/415/GCA_901543415.1_42545_E02</t>
  </si>
  <si>
    <t>GCA_901543645.1</t>
  </si>
  <si>
    <t>NCTC7869</t>
  </si>
  <si>
    <t>https://ftp.ncbi.nlm.nih.gov/genomes/all/GCA/901/543/645/GCA_901543645.1_42731_C01</t>
  </si>
  <si>
    <t>GCA_901543815.1</t>
  </si>
  <si>
    <t>NCTC10232</t>
  </si>
  <si>
    <t>https://ftp.ncbi.nlm.nih.gov/genomes/all/GCA/901/543/815/GCA_901543815.1_42731_G02</t>
  </si>
  <si>
    <t>GCA_901544385.1</t>
  </si>
  <si>
    <t>NCTC10231</t>
  </si>
  <si>
    <t>https://ftp.ncbi.nlm.nih.gov/genomes/all/GCA/901/544/385/GCA_901544385.1_42912_F01</t>
  </si>
  <si>
    <t>GCA_901873375.1</t>
  </si>
  <si>
    <t>Haemophilus_parainfluenzae_BgEED17</t>
  </si>
  <si>
    <t>https://ftp.ncbi.nlm.nih.gov/genomes/all/GCA/901/873/375/GCA_901873375.1_Haemophilus_parainfluenzae_BgEED17</t>
  </si>
  <si>
    <t>GCA_901873385.1</t>
  </si>
  <si>
    <t>Neisseria_sicca_BgEED21</t>
  </si>
  <si>
    <t>https://ftp.ncbi.nlm.nih.gov/genomes/all/GCA/901/873/385/GCA_901873385.1_Neisseria_sicca_BgEED21</t>
  </si>
  <si>
    <t>GCA_901873395.1</t>
  </si>
  <si>
    <t>Fusobacterium_periodonticum_BgEED13</t>
  </si>
  <si>
    <t>https://ftp.ncbi.nlm.nih.gov/genomes/all/GCA/901/873/395/GCA_901873395.1_Fusobacterium_periodonticum_BgEED13</t>
  </si>
  <si>
    <t>GCA_901873415.1</t>
  </si>
  <si>
    <t>Fusobacterium_nucleatum_BgEED12</t>
  </si>
  <si>
    <t>https://ftp.ncbi.nlm.nih.gov/genomes/all/GCA/901/873/415/GCA_901873415.1_Fusobacterium_nucleatum_BgEED12</t>
  </si>
  <si>
    <t>GCA_901873425.1</t>
  </si>
  <si>
    <t>Granulicatella_adiacens_BgEED15</t>
  </si>
  <si>
    <t>https://ftp.ncbi.nlm.nih.gov/genomes/all/GCA/901/873/425/GCA_901873425.1_Granulicatella_adiacens_BgEED15</t>
  </si>
  <si>
    <t>GCA_901873445.1</t>
  </si>
  <si>
    <t>Gemella_haemolysans_BgEED14</t>
  </si>
  <si>
    <t>https://ftp.ncbi.nlm.nih.gov/genomes/all/GCA/901/873/445/GCA_901873445.1_Gemella_haemolysans_BgEED14</t>
  </si>
  <si>
    <t>https://ftp.ncbi.nlm.nih.gov/genomes/all/GCA/901/873/485/GCA_901873485.1_Leptotrichia_sp._BgEED20</t>
  </si>
  <si>
    <t>GCA_901873565.1</t>
  </si>
  <si>
    <t>Lactobacillus_oris_BgEED19</t>
  </si>
  <si>
    <t>https://ftp.ncbi.nlm.nih.gov/genomes/all/GCA/901/873/565/GCA_901873565.1_Lactobacillus_oris_BgEED19</t>
  </si>
  <si>
    <t>Actinomyces_naeslundii_BgEED02</t>
  </si>
  <si>
    <t>https://ftp.ncbi.nlm.nih.gov/genomes/all/GCA/901/873/715/GCA_901873715.1_Actinomyces_naeslundii_BgEED02</t>
  </si>
  <si>
    <t>GCA_901873995.1</t>
  </si>
  <si>
    <t>Neisseria_subflava_BgEED22</t>
  </si>
  <si>
    <t>https://ftp.ncbi.nlm.nih.gov/genomes/all/GCA/901/873/995/GCA_901873995.1_Neisseria_subflava_BgEED22</t>
  </si>
  <si>
    <t>GCA_901874975.1</t>
  </si>
  <si>
    <t>Campylobacter_concisus_BgEED07</t>
  </si>
  <si>
    <t>https://ftp.ncbi.nlm.nih.gov/genomes/all/GCA/901/874/975/GCA_901874975.1_Campylobacter_concisus_BgEED07</t>
  </si>
  <si>
    <t>GCA_901875295.1</t>
  </si>
  <si>
    <t>https://ftp.ncbi.nlm.nih.gov/genomes/all/GCA/901/875/295/GCA_901875295.1_Prevotella_sp._BgEED25</t>
  </si>
  <si>
    <t>GCA_901875305.1</t>
  </si>
  <si>
    <t>Rothia_mucilaginosa_BgEED27</t>
  </si>
  <si>
    <t>https://ftp.ncbi.nlm.nih.gov/genomes/all/GCA/901/875/305/GCA_901875305.1_Rothia_mucilaginosa_BgEED27</t>
  </si>
  <si>
    <t>GCA_901875315.1</t>
  </si>
  <si>
    <t>Rothia_dentocariosa_BgEED26</t>
  </si>
  <si>
    <t>https://ftp.ncbi.nlm.nih.gov/genomes/all/GCA/901/875/315/GCA_901875315.1_Rothia_dentocariosa_BgEED26</t>
  </si>
  <si>
    <t>GCA_901875325.1</t>
  </si>
  <si>
    <t>Neisseria_subflava_BgEED23</t>
  </si>
  <si>
    <t>https://ftp.ncbi.nlm.nih.gov/genomes/all/GCA/901/875/325/GCA_901875325.1_Neisseria_subflava_BgEED23</t>
  </si>
  <si>
    <t>Prevotella_melaninogenica_BgEED24</t>
  </si>
  <si>
    <t>https://ftp.ncbi.nlm.nih.gov/genomes/all/GCA/901/875/335/GCA_901875335.1_Prevotella_melaninogenica_BgEED24</t>
  </si>
  <si>
    <t>GCA_901875535.1</t>
  </si>
  <si>
    <t>Veillonella_atypica_BgEED38</t>
  </si>
  <si>
    <t>https://ftp.ncbi.nlm.nih.gov/genomes/all/GCA/901/875/535/GCA_901875535.1_Veillonella_atypica_BgEED38</t>
  </si>
  <si>
    <t>GCA_901875545.1</t>
  </si>
  <si>
    <t>Streptococcus_anginosus_BgEED29</t>
  </si>
  <si>
    <t>https://ftp.ncbi.nlm.nih.gov/genomes/all/GCA/901/875/545/GCA_901875545.1_Streptococcus_anginosus_BgEED29</t>
  </si>
  <si>
    <t>GCA_901875565.1</t>
  </si>
  <si>
    <t>Streptococcus_mutans_BgEED33</t>
  </si>
  <si>
    <t>https://ftp.ncbi.nlm.nih.gov/genomes/all/GCA/901/875/565/GCA_901875565.1_Streptococcus_mutans_BgEED33</t>
  </si>
  <si>
    <t>GCA_901876955.1</t>
  </si>
  <si>
    <t>Veillonella_parvula_BgEED39</t>
  </si>
  <si>
    <t>https://ftp.ncbi.nlm.nih.gov/genomes/all/GCA/901/876/955/GCA_901876955.1_Veillonella_parvula_BgEED39</t>
  </si>
  <si>
    <t>GCA_902159415.1</t>
  </si>
  <si>
    <t>4928STDY7071560</t>
  </si>
  <si>
    <t>https://ftp.ncbi.nlm.nih.gov/genomes/all/GCA/902/159/415/GCA_902159415.1_25426_7_64</t>
  </si>
  <si>
    <t>GCA_902167825.1</t>
  </si>
  <si>
    <t>Streptococcus_salivarius_SS_Bg39</t>
  </si>
  <si>
    <t>https://ftp.ncbi.nlm.nih.gov/genomes/all/GCA/902/167/825/GCA_902167825.1_Streptococcus_salivarius_SS_Bg39</t>
  </si>
  <si>
    <t>GCA_902362205.1</t>
  </si>
  <si>
    <t>MGYG-HGUT-00003</t>
  </si>
  <si>
    <t>https://ftp.ncbi.nlm.nih.gov/genomes/all/GCA/902/362/205/GCA_902362205.1_MGYG-HGUT-00003</t>
  </si>
  <si>
    <t>GCA_902362895.1</t>
  </si>
  <si>
    <t>MGYG-HGUT-00074</t>
  </si>
  <si>
    <t>https://ftp.ncbi.nlm.nih.gov/genomes/all/GCA/902/362/895/GCA_902362895.1_MGYG-HGUT-00074</t>
  </si>
  <si>
    <t>GCA_902362995.1</t>
  </si>
  <si>
    <t>MGYG-HGUT-00081</t>
  </si>
  <si>
    <t>https://ftp.ncbi.nlm.nih.gov/genomes/all/GCA/902/362/995/GCA_902362995.1_MGYG-HGUT-00081</t>
  </si>
  <si>
    <t>GCA_902363285.1</t>
  </si>
  <si>
    <t>MGYG-HGUT-00112</t>
  </si>
  <si>
    <t>https://ftp.ncbi.nlm.nih.gov/genomes/all/GCA/902/363/285/GCA_902363285.1_MGYG-HGUT-00112</t>
  </si>
  <si>
    <t>GCA_902363295.1</t>
  </si>
  <si>
    <t>MGYG-HGUT-00109</t>
  </si>
  <si>
    <t>https://ftp.ncbi.nlm.nih.gov/genomes/all/GCA/902/363/295/GCA_902363295.1_MGYG-HGUT-00109</t>
  </si>
  <si>
    <t>GCA_902363415.1</t>
  </si>
  <si>
    <t>MGYG-HGUT-00113</t>
  </si>
  <si>
    <t>https://ftp.ncbi.nlm.nih.gov/genomes/all/GCA/902/363/415/GCA_902363415.1_MGYG-HGUT-00113</t>
  </si>
  <si>
    <t>GCA_902364015.1</t>
  </si>
  <si>
    <t>MGYG-HGUT-00173</t>
  </si>
  <si>
    <t>https://ftp.ncbi.nlm.nih.gov/genomes/all/GCA/902/364/015/GCA_902364015.1_MGYG-HGUT-00173</t>
  </si>
  <si>
    <t>MGYG-HGUT-00243</t>
  </si>
  <si>
    <t>https://ftp.ncbi.nlm.nih.gov/genomes/all/GCA/902/364/735/GCA_902364735.1_MGYG-HGUT-00243</t>
  </si>
  <si>
    <t>GCA_902365065.1</t>
  </si>
  <si>
    <t>MGYG-HGUT-00277</t>
  </si>
  <si>
    <t>https://ftp.ncbi.nlm.nih.gov/genomes/all/GCA/902/365/065/GCA_902365065.1_MGYG-HGUT-00277</t>
  </si>
  <si>
    <t>GCA_902373285.1</t>
  </si>
  <si>
    <t>MGYG-HGUT-01258</t>
  </si>
  <si>
    <t>https://ftp.ncbi.nlm.nih.gov/genomes/all/GCA/902/373/285/GCA_902373285.1_MGYG-HGUT-01258</t>
  </si>
  <si>
    <t>GCA_902373365.1</t>
  </si>
  <si>
    <t>MGYG-HGUT-01276</t>
  </si>
  <si>
    <t>https://ftp.ncbi.nlm.nih.gov/genomes/all/GCA/902/373/365/GCA_902373365.1_UHGG_MGYG-HGUT-01276</t>
  </si>
  <si>
    <t>GCA_902373445.1</t>
  </si>
  <si>
    <t>MGYG-HGUT-01269</t>
  </si>
  <si>
    <t>https://ftp.ncbi.nlm.nih.gov/genomes/all/GCA/902/373/445/GCA_902373445.1_MGYG-HGUT-01269</t>
  </si>
  <si>
    <t>GCA_902373505.1</t>
  </si>
  <si>
    <t>MGYG-HGUT-01283</t>
  </si>
  <si>
    <t>https://ftp.ncbi.nlm.nih.gov/genomes/all/GCA/902/373/505/GCA_902373505.1_MGYG-HGUT-01283</t>
  </si>
  <si>
    <t>GCA_902373555.1</t>
  </si>
  <si>
    <t>MGYG-HGUT-01291</t>
  </si>
  <si>
    <t>https://ftp.ncbi.nlm.nih.gov/genomes/all/GCA/902/373/555/GCA_902373555.1_MGYG-HGUT-01291</t>
  </si>
  <si>
    <t>GCA_902373575.1</t>
  </si>
  <si>
    <t>MGYG-HGUT-01289</t>
  </si>
  <si>
    <t>https://ftp.ncbi.nlm.nih.gov/genomes/all/GCA/902/373/575/GCA_902373575.1_MGYG-HGUT-01289</t>
  </si>
  <si>
    <t>GCA_902373585.1</t>
  </si>
  <si>
    <t>MGYG-HGUT-01288</t>
  </si>
  <si>
    <t>https://ftp.ncbi.nlm.nih.gov/genomes/all/GCA/902/373/585/GCA_902373585.1_MGYG-HGUT-01288</t>
  </si>
  <si>
    <t>GCA_902373605.1</t>
  </si>
  <si>
    <t>MGYG-HGUT-01295</t>
  </si>
  <si>
    <t>https://ftp.ncbi.nlm.nih.gov/genomes/all/GCA/902/373/605/GCA_902373605.1_MGYG-HGUT-01295</t>
  </si>
  <si>
    <t>GCA_902373675.1</t>
  </si>
  <si>
    <t>MGYG-HGUT-01301</t>
  </si>
  <si>
    <t>https://ftp.ncbi.nlm.nih.gov/genomes/all/GCA/902/373/675/GCA_902373675.1_MGYG-HGUT-01301</t>
  </si>
  <si>
    <t>GCA_902373685.1</t>
  </si>
  <si>
    <t>MGYG-HGUT-01300</t>
  </si>
  <si>
    <t>https://ftp.ncbi.nlm.nih.gov/genomes/all/GCA/902/373/685/GCA_902373685.1_MGYG-HGUT-01300</t>
  </si>
  <si>
    <t>GCA_902373695.1</t>
  </si>
  <si>
    <t>MGYG-HGUT-01302</t>
  </si>
  <si>
    <t>https://ftp.ncbi.nlm.nih.gov/genomes/all/GCA/902/373/695/GCA_902373695.1_MGYG-HGUT-01302</t>
  </si>
  <si>
    <t>GCA_902373855.1</t>
  </si>
  <si>
    <t>MGYG-HGUT-01326</t>
  </si>
  <si>
    <t>https://ftp.ncbi.nlm.nih.gov/genomes/all/GCA/902/373/855/GCA_902373855.1_MGYG-HGUT-01326</t>
  </si>
  <si>
    <t>GCA_902373875.1</t>
  </si>
  <si>
    <t>MGYG-HGUT-01316</t>
  </si>
  <si>
    <t>https://ftp.ncbi.nlm.nih.gov/genomes/all/GCA/902/373/875/GCA_902373875.1_MGYG-HGUT-01316</t>
  </si>
  <si>
    <t>GCA_902373895.1</t>
  </si>
  <si>
    <t>MGYG-HGUT-01325</t>
  </si>
  <si>
    <t>https://ftp.ncbi.nlm.nih.gov/genomes/all/GCA/902/373/895/GCA_902373895.1_MGYG-HGUT-01325</t>
  </si>
  <si>
    <t>GCA_902373915.1</t>
  </si>
  <si>
    <t>MGYG-HGUT-01324</t>
  </si>
  <si>
    <t>https://ftp.ncbi.nlm.nih.gov/genomes/all/GCA/902/373/915/GCA_902373915.1_MGYG-HGUT-01324</t>
  </si>
  <si>
    <t>GCA_902374055.1</t>
  </si>
  <si>
    <t>MGYG-HGUT-01349</t>
  </si>
  <si>
    <t>https://ftp.ncbi.nlm.nih.gov/genomes/all/GCA/902/374/055/GCA_902374055.1_MGYG-HGUT-01349</t>
  </si>
  <si>
    <t>GCA_902374085.1</t>
  </si>
  <si>
    <t>MGYG-HGUT-01342</t>
  </si>
  <si>
    <t>https://ftp.ncbi.nlm.nih.gov/genomes/all/GCA/902/374/085/GCA_902374085.1_MGYG-HGUT-01342</t>
  </si>
  <si>
    <t>GCA_902374155.1</t>
  </si>
  <si>
    <t>MGYG-HGUT-01335</t>
  </si>
  <si>
    <t>https://ftp.ncbi.nlm.nih.gov/genomes/all/GCA/902/374/155/GCA_902374155.1_MGYG-HGUT-01335</t>
  </si>
  <si>
    <t>GCA_902374185.1</t>
  </si>
  <si>
    <t>MGYG-HGUT-01354</t>
  </si>
  <si>
    <t>https://ftp.ncbi.nlm.nih.gov/genomes/all/GCA/902/374/185/GCA_902374185.1_MGYG-HGUT-01354</t>
  </si>
  <si>
    <t>GCA_902374215.1</t>
  </si>
  <si>
    <t>MGYG-HGUT-01350</t>
  </si>
  <si>
    <t>https://ftp.ncbi.nlm.nih.gov/genomes/all/GCA/902/374/215/GCA_902374215.1_MGYG-HGUT-01350</t>
  </si>
  <si>
    <t>GCA_902374235.1</t>
  </si>
  <si>
    <t>MGYG-HGUT-01360</t>
  </si>
  <si>
    <t>https://ftp.ncbi.nlm.nih.gov/genomes/all/GCA/902/374/235/GCA_902374235.1_MGYG-HGUT-01360</t>
  </si>
  <si>
    <t>GCA_902374285.1</t>
  </si>
  <si>
    <t>MGYG-HGUT-01362</t>
  </si>
  <si>
    <t>https://ftp.ncbi.nlm.nih.gov/genomes/all/GCA/902/374/285/GCA_902374285.1_MGYG-HGUT-01362</t>
  </si>
  <si>
    <t>MGYG-HGUT-01364</t>
  </si>
  <si>
    <t>https://ftp.ncbi.nlm.nih.gov/genomes/all/GCA/902/374/375/GCA_902374375.1_MGYG-HGUT-01364</t>
  </si>
  <si>
    <t>GCA_902374455.1</t>
  </si>
  <si>
    <t>MGYG-HGUT-01381</t>
  </si>
  <si>
    <t>https://ftp.ncbi.nlm.nih.gov/genomes/all/GCA/902/374/455/GCA_902374455.1_MGYG-HGUT-01381</t>
  </si>
  <si>
    <t>GCA_902374575.1</t>
  </si>
  <si>
    <t>MGYG-HGUT-01392</t>
  </si>
  <si>
    <t>https://ftp.ncbi.nlm.nih.gov/genomes/all/GCA/902/374/575/GCA_902374575.1_MGYG-HGUT-01392</t>
  </si>
  <si>
    <t>MGYG-HGUT-01411</t>
  </si>
  <si>
    <t>https://ftp.ncbi.nlm.nih.gov/genomes/all/GCA/902/374/745/GCA_902374745.1_MGYG-HGUT-01411</t>
  </si>
  <si>
    <t>GCA_902375045.1</t>
  </si>
  <si>
    <t>MGYG-HGUT-01446</t>
  </si>
  <si>
    <t>https://ftp.ncbi.nlm.nih.gov/genomes/all/GCA/902/375/045/GCA_902375045.1_MGYG-HGUT-01446</t>
  </si>
  <si>
    <t>GCA_902375065.1</t>
  </si>
  <si>
    <t>MGYG-HGUT-01444</t>
  </si>
  <si>
    <t>https://ftp.ncbi.nlm.nih.gov/genomes/all/GCA/902/375/065/GCA_902375065.1_MGYG-HGUT-01444</t>
  </si>
  <si>
    <t>GCA_902375085.1</t>
  </si>
  <si>
    <t>MGYG-HGUT-01447</t>
  </si>
  <si>
    <t>https://ftp.ncbi.nlm.nih.gov/genomes/all/GCA/902/375/085/GCA_902375085.1_MGYG-HGUT-01447</t>
  </si>
  <si>
    <t>GCA_902375175.1</t>
  </si>
  <si>
    <t>MGYG-HGUT-01457</t>
  </si>
  <si>
    <t>https://ftp.ncbi.nlm.nih.gov/genomes/all/GCA/902/375/175/GCA_902375175.1_MGYG-HGUT-01457</t>
  </si>
  <si>
    <t>GCA_902375195.1</t>
  </si>
  <si>
    <t>MGYG-HGUT-01459</t>
  </si>
  <si>
    <t>https://ftp.ncbi.nlm.nih.gov/genomes/all/GCA/902/375/195/GCA_902375195.1_MGYG-HGUT-01459</t>
  </si>
  <si>
    <t>GCA_902375245.1</t>
  </si>
  <si>
    <t>MGYG-HGUT-01464</t>
  </si>
  <si>
    <t>https://ftp.ncbi.nlm.nih.gov/genomes/all/GCA/902/375/245/GCA_902375245.1_MGYG-HGUT-01464</t>
  </si>
  <si>
    <t>MGYG-HGUT-01557</t>
  </si>
  <si>
    <t>https://ftp.ncbi.nlm.nih.gov/genomes/all/GCA/902/376/145/GCA_902376145.1_MGYG-HGUT-01557</t>
  </si>
  <si>
    <t>GCA_902376155.1</t>
  </si>
  <si>
    <t>MGYG-HGUT-01559</t>
  </si>
  <si>
    <t>https://ftp.ncbi.nlm.nih.gov/genomes/all/GCA/902/376/155/GCA_902376155.1_MGYG-HGUT-01559</t>
  </si>
  <si>
    <t>GCA_902376175.1</t>
  </si>
  <si>
    <t>MGYG-HGUT-01555</t>
  </si>
  <si>
    <t>https://ftp.ncbi.nlm.nih.gov/genomes/all/GCA/902/376/175/GCA_902376175.1_MGYG-HGUT-01555</t>
  </si>
  <si>
    <t>GCA_902377555.1</t>
  </si>
  <si>
    <t>MGYG-HGUT-01701</t>
  </si>
  <si>
    <t>https://ftp.ncbi.nlm.nih.gov/genomes/all/GCA/902/377/555/GCA_902377555.1_MGYG-HGUT-01701</t>
  </si>
  <si>
    <t>GCA_902381645.1</t>
  </si>
  <si>
    <t>MGYG-HGUT-01347</t>
  </si>
  <si>
    <t>https://ftp.ncbi.nlm.nih.gov/genomes/all/GCA/902/381/645/GCA_902381645.1_UHGG_MGYG-HGUT-01347</t>
  </si>
  <si>
    <t>GCA_902381725.1</t>
  </si>
  <si>
    <t>MGYG-HGUT-01448</t>
  </si>
  <si>
    <t>https://ftp.ncbi.nlm.nih.gov/genomes/all/GCA/902/381/725/GCA_902381725.1_UHGG_MGYG-HGUT-01448</t>
  </si>
  <si>
    <t>GCA_902381815.1</t>
  </si>
  <si>
    <t>MGYG-HGUT-01706</t>
  </si>
  <si>
    <t>https://ftp.ncbi.nlm.nih.gov/genomes/all/GCA/902/381/815/GCA_902381815.1_UHGG_MGYG-HGUT-01706</t>
  </si>
  <si>
    <t>GCA_902384065.1</t>
  </si>
  <si>
    <t>MGYG-HGUT-02162</t>
  </si>
  <si>
    <t>https://ftp.ncbi.nlm.nih.gov/genomes/all/GCA/902/384/065/GCA_902384065.1_UHGG_MGYG-HGUT-02162</t>
  </si>
  <si>
    <t>GCA_902385235.1</t>
  </si>
  <si>
    <t>MGYG-HGUT-02269</t>
  </si>
  <si>
    <t>https://ftp.ncbi.nlm.nih.gov/genomes/all/GCA/902/385/235/GCA_902385235.1_UHGG_MGYG-HGUT-02269</t>
  </si>
  <si>
    <t>GCA_902385485.1</t>
  </si>
  <si>
    <t>MGYG-HGUT-02296</t>
  </si>
  <si>
    <t>https://ftp.ncbi.nlm.nih.gov/genomes/all/GCA/902/385/485/GCA_902385485.1_UHGG_MGYG-HGUT-02296</t>
  </si>
  <si>
    <t>GCA_902385495.1</t>
  </si>
  <si>
    <t>MGYG-HGUT-02301</t>
  </si>
  <si>
    <t>https://ftp.ncbi.nlm.nih.gov/genomes/all/GCA/902/385/495/GCA_902385495.1_UHGG_MGYG-HGUT-02301</t>
  </si>
  <si>
    <t>GCA_902385605.1</t>
  </si>
  <si>
    <t>MGYG-HGUT-02302</t>
  </si>
  <si>
    <t>https://ftp.ncbi.nlm.nih.gov/genomes/all/GCA/902/385/605/GCA_902385605.1_UHGG_MGYG-HGUT-02302</t>
  </si>
  <si>
    <t>GCA_902385805.1</t>
  </si>
  <si>
    <t>MGYG-HGUT-02317</t>
  </si>
  <si>
    <t>https://ftp.ncbi.nlm.nih.gov/genomes/all/GCA/902/385/805/GCA_902385805.1_UHGG_MGYG-HGUT-02317</t>
  </si>
  <si>
    <t>GCA_902385825.1</t>
  </si>
  <si>
    <t>MGYG-HGUT-02321</t>
  </si>
  <si>
    <t>https://ftp.ncbi.nlm.nih.gov/genomes/all/GCA/902/385/825/GCA_902385825.1_UHGG_MGYG-HGUT-02321</t>
  </si>
  <si>
    <t>GCA_902386295.1</t>
  </si>
  <si>
    <t>MGYG-HGUT-02362</t>
  </si>
  <si>
    <t>https://ftp.ncbi.nlm.nih.gov/genomes/all/GCA/902/386/295/GCA_902386295.1_UHGG_MGYG-HGUT-02362</t>
  </si>
  <si>
    <t>GCA_902387015.1</t>
  </si>
  <si>
    <t>MGYG-HGUT-02430</t>
  </si>
  <si>
    <t>https://ftp.ncbi.nlm.nih.gov/genomes/all/GCA/902/387/015/GCA_902387015.1_UHGG_MGYG-HGUT-02430</t>
  </si>
  <si>
    <t>GCA_902387035.1</t>
  </si>
  <si>
    <t>MGYG-HGUT-02435</t>
  </si>
  <si>
    <t>https://ftp.ncbi.nlm.nih.gov/genomes/all/GCA/902/387/035/GCA_902387035.1_UHGG_MGYG-HGUT-02435</t>
  </si>
  <si>
    <t>GCA_902387055.1</t>
  </si>
  <si>
    <t>MGYG-HGUT-02428</t>
  </si>
  <si>
    <t>https://ftp.ncbi.nlm.nih.gov/genomes/all/GCA/902/387/055/GCA_902387055.1_UHGG_MGYG-HGUT-02428</t>
  </si>
  <si>
    <t>GCA_902387355.1</t>
  </si>
  <si>
    <t>MGYG-HGUT-02459</t>
  </si>
  <si>
    <t>https://ftp.ncbi.nlm.nih.gov/genomes/all/GCA/902/387/355/GCA_902387355.1_UHGG_MGYG-HGUT-02459</t>
  </si>
  <si>
    <t>GCA_902387715.1</t>
  </si>
  <si>
    <t>MGYG-HGUT-02492</t>
  </si>
  <si>
    <t>https://ftp.ncbi.nlm.nih.gov/genomes/all/GCA/902/387/715/GCA_902387715.1_UHGG_MGYG-HGUT-02492</t>
  </si>
  <si>
    <t>GCA_902387945.1</t>
  </si>
  <si>
    <t>MGYG-HGUT-02522</t>
  </si>
  <si>
    <t>https://ftp.ncbi.nlm.nih.gov/genomes/all/GCA/902/387/945/GCA_902387945.1_UHGG_MGYG-HGUT-02522</t>
  </si>
  <si>
    <t>MGYG-HGUT-02541</t>
  </si>
  <si>
    <t>https://ftp.ncbi.nlm.nih.gov/genomes/all/GCA/902/388/165/GCA_902388165.1_UHGG_MGYG-HGUT-02541</t>
  </si>
  <si>
    <t>GCA_902388245.1</t>
  </si>
  <si>
    <t>MGYG-HGUT-02542</t>
  </si>
  <si>
    <t>https://ftp.ncbi.nlm.nih.gov/genomes/all/GCA/902/388/245/GCA_902388245.1_UHGG_MGYG-HGUT-02542</t>
  </si>
  <si>
    <t>GCA_902388305.1</t>
  </si>
  <si>
    <t>MGYG-HGUT-02551</t>
  </si>
  <si>
    <t>https://ftp.ncbi.nlm.nih.gov/genomes/all/GCA/902/388/305/GCA_902388305.1_UHGG_MGYG-HGUT-02551</t>
  </si>
  <si>
    <t>GCA_902405965.1</t>
  </si>
  <si>
    <t>MGYG-HGUT-04259</t>
  </si>
  <si>
    <t>https://ftp.ncbi.nlm.nih.gov/genomes/all/GCA/902/405/965/GCA_902405965.1_UHGG_MGYG-HGUT-04259</t>
  </si>
  <si>
    <t>GCA_902406175.1</t>
  </si>
  <si>
    <t>MGYG-HGUT-04267</t>
  </si>
  <si>
    <t>https://ftp.ncbi.nlm.nih.gov/genomes/all/GCA/902/406/175/GCA_902406175.1_UHGG_MGYG-HGUT-04267</t>
  </si>
  <si>
    <t>GCA_902406345.1</t>
  </si>
  <si>
    <t>MGYG-HGUT-04289</t>
  </si>
  <si>
    <t>https://ftp.ncbi.nlm.nih.gov/genomes/all/GCA/902/406/345/GCA_902406345.1_UHGG_MGYG-HGUT-04289</t>
  </si>
  <si>
    <t>GCA_902460335.1</t>
  </si>
  <si>
    <t>Marseille-P5794</t>
  </si>
  <si>
    <t>https://ftp.ncbi.nlm.nih.gov/genomes/all/GCA/902/460/335/GCA_902460335.1_P5794</t>
  </si>
  <si>
    <t>GCA_902460345.1</t>
  </si>
  <si>
    <t>Marseille-P644</t>
  </si>
  <si>
    <t>https://ftp.ncbi.nlm.nih.gov/genomes/all/GCA/902/460/345/GCA_902460345.1_P644</t>
  </si>
  <si>
    <t>GCA_902460365.1</t>
  </si>
  <si>
    <t>Marseille-P7375</t>
  </si>
  <si>
    <t>https://ftp.ncbi.nlm.nih.gov/genomes/all/GCA/902/460/365/GCA_902460365.1_PRJEB29560</t>
  </si>
  <si>
    <t>GCA_902460385.1</t>
  </si>
  <si>
    <t>Marseille-P7376</t>
  </si>
  <si>
    <t>https://ftp.ncbi.nlm.nih.gov/genomes/all/GCA/902/460/385/GCA_902460385.1_PRJEB33225</t>
  </si>
  <si>
    <t>GCA_902460415.1</t>
  </si>
  <si>
    <t>2010-112100-F</t>
  </si>
  <si>
    <t>https://ftp.ncbi.nlm.nih.gov/genomes/all/GCA/902/460/415/GCA_902460415.1_2010-112100-F</t>
  </si>
  <si>
    <t>GCA_902460445.1</t>
  </si>
  <si>
    <t>2009-42653</t>
  </si>
  <si>
    <t>https://ftp.ncbi.nlm.nih.gov/genomes/all/GCA/902/460/445/GCA_902460445.1_2009-42653</t>
  </si>
  <si>
    <t>GCA_902460455.1</t>
  </si>
  <si>
    <t>2010-112708</t>
  </si>
  <si>
    <t>https://ftp.ncbi.nlm.nih.gov/genomes/all/GCA/902/460/455/GCA_902460455.1_2010-112708</t>
  </si>
  <si>
    <t>GCA_902460465.1</t>
  </si>
  <si>
    <t>2009-75775</t>
  </si>
  <si>
    <t>https://ftp.ncbi.nlm.nih.gov/genomes/all/GCA/902/460/465/GCA_902460465.1_2009-75775</t>
  </si>
  <si>
    <t>GCA_902460475.1</t>
  </si>
  <si>
    <t>2009-173039</t>
  </si>
  <si>
    <t>https://ftp.ncbi.nlm.nih.gov/genomes/all/GCA/902/460/475/GCA_902460475.1_2009-173039</t>
  </si>
  <si>
    <t>GCA_902460505.1</t>
  </si>
  <si>
    <t>2010-112100-O</t>
  </si>
  <si>
    <t>https://ftp.ncbi.nlm.nih.gov/genomes/all/GCA/902/460/505/GCA_902460505.1_2010-112100-O</t>
  </si>
  <si>
    <t>GCA_902460535.1</t>
  </si>
  <si>
    <t>2010-112825</t>
  </si>
  <si>
    <t>https://ftp.ncbi.nlm.nih.gov/genomes/all/GCA/902/460/535/GCA_902460535.1_2010-112825</t>
  </si>
  <si>
    <t>GCA_902460615.1</t>
  </si>
  <si>
    <t>2010-31374</t>
  </si>
  <si>
    <t>https://ftp.ncbi.nlm.nih.gov/genomes/all/GCA/902/460/615/GCA_902460615.1_2010-31374</t>
  </si>
  <si>
    <t>GCA_902460635.1</t>
  </si>
  <si>
    <t>2010-16206</t>
  </si>
  <si>
    <t>https://ftp.ncbi.nlm.nih.gov/genomes/all/GCA/902/460/635/GCA_902460635.1_2010-16206</t>
  </si>
  <si>
    <t>GCA_902460675.1</t>
  </si>
  <si>
    <t>2010-131105</t>
  </si>
  <si>
    <t>https://ftp.ncbi.nlm.nih.gov/genomes/all/GCA/902/460/675/GCA_902460675.1_2010-131105</t>
  </si>
  <si>
    <t>GCA_902460695.1</t>
  </si>
  <si>
    <t>2010-33561</t>
  </si>
  <si>
    <t>https://ftp.ncbi.nlm.nih.gov/genomes/all/GCA/902/460/695/GCA_902460695.1_2010-33561</t>
  </si>
  <si>
    <t>GCA_902460715.1</t>
  </si>
  <si>
    <t>2010-113332-O</t>
  </si>
  <si>
    <t>https://ftp.ncbi.nlm.nih.gov/genomes/all/GCA/902/460/715/GCA_902460715.1_2010-113332-O</t>
  </si>
  <si>
    <t>GCA_902460725.1</t>
  </si>
  <si>
    <t>2010-113862-O</t>
  </si>
  <si>
    <t>https://ftp.ncbi.nlm.nih.gov/genomes/all/GCA/902/460/725/GCA_902460725.1_2010-113862-O</t>
  </si>
  <si>
    <t>GCA_902460745.1</t>
  </si>
  <si>
    <t>2010-36743</t>
  </si>
  <si>
    <t>https://ftp.ncbi.nlm.nih.gov/genomes/all/GCA/902/460/745/GCA_902460745.1_2010-36743</t>
  </si>
  <si>
    <t>GCA_902460755.1</t>
  </si>
  <si>
    <t>2013-42088</t>
  </si>
  <si>
    <t>https://ftp.ncbi.nlm.nih.gov/genomes/all/GCA/902/460/755/GCA_902460755.1_2013-42088</t>
  </si>
  <si>
    <t>GCA_902460815.1</t>
  </si>
  <si>
    <t>B124_Slimy-small</t>
  </si>
  <si>
    <t>https://ftp.ncbi.nlm.nih.gov/genomes/all/GCA/902/460/815/GCA_902460815.1_B124_Slimy-small</t>
  </si>
  <si>
    <t>GCA_902460825.1</t>
  </si>
  <si>
    <t>B124_Slimy-large</t>
  </si>
  <si>
    <t>https://ftp.ncbi.nlm.nih.gov/genomes/all/GCA/902/460/825/GCA_902460825.1_B124_Slimy-large</t>
  </si>
  <si>
    <t>GCA_902460845.1</t>
  </si>
  <si>
    <t>2012-164712</t>
  </si>
  <si>
    <t>https://ftp.ncbi.nlm.nih.gov/genomes/all/GCA/902/460/845/GCA_902460845.1_2012-164712</t>
  </si>
  <si>
    <t>GCA_902460915.1</t>
  </si>
  <si>
    <t>B38_Tiny-mucoid</t>
  </si>
  <si>
    <t>https://ftp.ncbi.nlm.nih.gov/genomes/all/GCA/902/460/915/GCA_902460915.1_B38_Tiny-mucoid</t>
  </si>
  <si>
    <t>GCA_902461015.1</t>
  </si>
  <si>
    <t>MGYG-HGUT-00296</t>
  </si>
  <si>
    <t>https://ftp.ncbi.nlm.nih.gov/genomes/all/GCA/902/461/015/GCA_902461015.1_UHGG-TPA_MGYG-HGUT-00296</t>
  </si>
  <si>
    <t>MGYG-HGUT-00289</t>
  </si>
  <si>
    <t>https://ftp.ncbi.nlm.nih.gov/genomes/all/GCA/902/461/075/GCA_902461075.1_UHGG-TPA_MGYG-HGUT-00289</t>
  </si>
  <si>
    <t>GCA_902461185.1</t>
  </si>
  <si>
    <t>MGYG-HGUT-00317</t>
  </si>
  <si>
    <t>https://ftp.ncbi.nlm.nih.gov/genomes/all/GCA/902/461/185/GCA_902461185.1_UHGG-TPA_MGYG-HGUT-00317</t>
  </si>
  <si>
    <t>GCA_902461255.1</t>
  </si>
  <si>
    <t>MGYG-HGUT-00307</t>
  </si>
  <si>
    <t>https://ftp.ncbi.nlm.nih.gov/genomes/all/GCA/902/461/255/GCA_902461255.1_UHGG-TPA_MGYG-HGUT-00307</t>
  </si>
  <si>
    <t>MGYG-HGUT-00760</t>
  </si>
  <si>
    <t>https://ftp.ncbi.nlm.nih.gov/genomes/all/GCA/902/465/605/GCA_902465605.1_UHGG-TPA_MGYG-HGUT-00760</t>
  </si>
  <si>
    <t>GCA_902468745.1</t>
  </si>
  <si>
    <t>MGYG-HGUT-01066</t>
  </si>
  <si>
    <t>https://ftp.ncbi.nlm.nih.gov/genomes/all/GCA/902/468/745/GCA_902468745.1_UHGG-TPA_MGYG-HGUT-01066</t>
  </si>
  <si>
    <t>GCA_902468925.1</t>
  </si>
  <si>
    <t>MGYG-HGUT-01088</t>
  </si>
  <si>
    <t>https://ftp.ncbi.nlm.nih.gov/genomes/all/GCA/902/468/925/GCA_902468925.1_UHGG-TPA_MGYG-HGUT-01088</t>
  </si>
  <si>
    <t>GCA_902469835.1</t>
  </si>
  <si>
    <t>MGYG-HGUT-01172</t>
  </si>
  <si>
    <t>https://ftp.ncbi.nlm.nih.gov/genomes/all/GCA/902/469/835/GCA_902469835.1_UHGG-TPA_MGYG-HGUT-01172</t>
  </si>
  <si>
    <t>GCA_902470245.1</t>
  </si>
  <si>
    <t>MGYG-HGUT-01209</t>
  </si>
  <si>
    <t>https://ftp.ncbi.nlm.nih.gov/genomes/all/GCA/902/470/245/GCA_902470245.1_UHGG-TPA_MGYG-HGUT-01209</t>
  </si>
  <si>
    <t>GCA_902470875.1</t>
  </si>
  <si>
    <t>MGYG-HGUT-01589</t>
  </si>
  <si>
    <t>https://ftp.ncbi.nlm.nih.gov/genomes/all/GCA/902/470/875/GCA_902470875.1_UHGG-TPA_MGYG-HGUT-01589</t>
  </si>
  <si>
    <t>GCA_902471235.1</t>
  </si>
  <si>
    <t>MGYG-HGUT-01613</t>
  </si>
  <si>
    <t>https://ftp.ncbi.nlm.nih.gov/genomes/all/GCA/902/471/235/GCA_902471235.1_UHGG-TPA_MGYG-HGUT-01613</t>
  </si>
  <si>
    <t>GCA_902472395.1</t>
  </si>
  <si>
    <t>MGYG-HGUT-01762</t>
  </si>
  <si>
    <t>https://ftp.ncbi.nlm.nih.gov/genomes/all/GCA/902/472/395/GCA_902472395.1_UHGG-TPA_MGYG-HGUT-01762</t>
  </si>
  <si>
    <t>GCA_902474955.1</t>
  </si>
  <si>
    <t>MGYG-HGUT-02022</t>
  </si>
  <si>
    <t>https://ftp.ncbi.nlm.nih.gov/genomes/all/GCA/902/474/955/GCA_902474955.1_UHGG-TPA_MGYG-HGUT-02022</t>
  </si>
  <si>
    <t>GCA_902477875.1</t>
  </si>
  <si>
    <t>MGYG-HGUT-02634</t>
  </si>
  <si>
    <t>https://ftp.ncbi.nlm.nih.gov/genomes/all/GCA/902/477/875/GCA_902477875.1_UHGG-TPA_MGYG-HGUT-02634</t>
  </si>
  <si>
    <t>GCA_902477885.1</t>
  </si>
  <si>
    <t>MGYG-HGUT-02638</t>
  </si>
  <si>
    <t>https://ftp.ncbi.nlm.nih.gov/genomes/all/GCA/902/477/885/GCA_902477885.1_UHGG-TPA_MGYG-HGUT-02638</t>
  </si>
  <si>
    <t>GCA_902477965.1</t>
  </si>
  <si>
    <t>MGYG-HGUT-02639</t>
  </si>
  <si>
    <t>https://ftp.ncbi.nlm.nih.gov/genomes/all/GCA/902/477/965/GCA_902477965.1_UHGG-TPA_MGYG-HGUT-02639</t>
  </si>
  <si>
    <t>GCA_902479665.1</t>
  </si>
  <si>
    <t>MGYG-HGUT-02815</t>
  </si>
  <si>
    <t>https://ftp.ncbi.nlm.nih.gov/genomes/all/GCA/902/479/665/GCA_902479665.1_UHGG-TPA_MGYG-HGUT-02815</t>
  </si>
  <si>
    <t>GCA_902479685.1</t>
  </si>
  <si>
    <t>MGYG-HGUT-02822</t>
  </si>
  <si>
    <t>https://ftp.ncbi.nlm.nih.gov/genomes/all/GCA/902/479/685/GCA_902479685.1_UHGG-TPA_MGYG-HGUT-02822</t>
  </si>
  <si>
    <t>GCA_902479845.1</t>
  </si>
  <si>
    <t>MGYG-HGUT-02819</t>
  </si>
  <si>
    <t>https://ftp.ncbi.nlm.nih.gov/genomes/all/GCA/902/479/845/GCA_902479845.1_UHGG-TPA_MGYG-HGUT-02819</t>
  </si>
  <si>
    <t>GCA_902480415.1</t>
  </si>
  <si>
    <t>MGYG-HGUT-02892</t>
  </si>
  <si>
    <t>https://ftp.ncbi.nlm.nih.gov/genomes/all/GCA/902/480/415/GCA_902480415.1_UHGG-TPA_MGYG-HGUT-02892</t>
  </si>
  <si>
    <t>GCA_902480515.1</t>
  </si>
  <si>
    <t>MGYG-HGUT-02898</t>
  </si>
  <si>
    <t>https://ftp.ncbi.nlm.nih.gov/genomes/all/GCA/902/480/515/GCA_902480515.1_UHGG-TPA_MGYG-HGUT-02898</t>
  </si>
  <si>
    <t>GCA_902480595.1</t>
  </si>
  <si>
    <t>MGYG-HGUT-02908</t>
  </si>
  <si>
    <t>https://ftp.ncbi.nlm.nih.gov/genomes/all/GCA/902/480/595/GCA_902480595.1_UHGG-TPA_MGYG-HGUT-02908</t>
  </si>
  <si>
    <t>GCA_902480615.1</t>
  </si>
  <si>
    <t>MGYG-HGUT-02910</t>
  </si>
  <si>
    <t>https://ftp.ncbi.nlm.nih.gov/genomes/all/GCA/902/480/615/GCA_902480615.1_UHGG-TPA_MGYG-HGUT-02910</t>
  </si>
  <si>
    <t>MGYG-HGUT-02941</t>
  </si>
  <si>
    <t>https://ftp.ncbi.nlm.nih.gov/genomes/all/GCA/902/480/825/GCA_902480825.1_UHGG-TPA_MGYG-HGUT-02941</t>
  </si>
  <si>
    <t>GCA_902481125.1</t>
  </si>
  <si>
    <t>MGYG-HGUT-02959</t>
  </si>
  <si>
    <t>https://ftp.ncbi.nlm.nih.gov/genomes/all/GCA/902/481/125/GCA_902481125.1_UHGG-TPA_MGYG-HGUT-02959</t>
  </si>
  <si>
    <t>GCA_902481245.1</t>
  </si>
  <si>
    <t>MGYG-HGUT-02982</t>
  </si>
  <si>
    <t>https://ftp.ncbi.nlm.nih.gov/genomes/all/GCA/902/481/245/GCA_902481245.1_UHGG-TPA_MGYG-HGUT-02982</t>
  </si>
  <si>
    <t>GCA_902481595.1</t>
  </si>
  <si>
    <t>MGYG-HGUT-03001</t>
  </si>
  <si>
    <t>https://ftp.ncbi.nlm.nih.gov/genomes/all/GCA/902/481/595/GCA_902481595.1_UHGG-TPA_MGYG-HGUT-03001</t>
  </si>
  <si>
    <t>GCA_902481605.1</t>
  </si>
  <si>
    <t>MGYG-HGUT-03013</t>
  </si>
  <si>
    <t>https://ftp.ncbi.nlm.nih.gov/genomes/all/GCA/902/481/605/GCA_902481605.1_UHGG-TPA_MGYG-HGUT-03013</t>
  </si>
  <si>
    <t>MGYG-HGUT-03014</t>
  </si>
  <si>
    <t>https://ftp.ncbi.nlm.nih.gov/genomes/all/GCA/902/481/625/GCA_902481625.1_UHGG-TPA_MGYG-HGUT-03014</t>
  </si>
  <si>
    <t>GCA_902482565.1</t>
  </si>
  <si>
    <t>MGYG-HGUT-03118</t>
  </si>
  <si>
    <t>https://ftp.ncbi.nlm.nih.gov/genomes/all/GCA/902/482/565/GCA_902482565.1_UHGG-TPA_MGYG-HGUT-03118</t>
  </si>
  <si>
    <t>MGYG-HGUT-03119</t>
  </si>
  <si>
    <t>https://ftp.ncbi.nlm.nih.gov/genomes/all/GCA/902/482/725/GCA_902482725.1_UHGG-TPA_MGYG-HGUT-03119</t>
  </si>
  <si>
    <t>GCA_902482735.1</t>
  </si>
  <si>
    <t>MGYG-HGUT-03125</t>
  </si>
  <si>
    <t>https://ftp.ncbi.nlm.nih.gov/genomes/all/GCA/902/482/735/GCA_902482735.1_UHGG-TPA_MGYG-HGUT-03125</t>
  </si>
  <si>
    <t>GCA_902482765.1</t>
  </si>
  <si>
    <t>MGYG-HGUT-03129</t>
  </si>
  <si>
    <t>https://ftp.ncbi.nlm.nih.gov/genomes/all/GCA/902/482/765/GCA_902482765.1_UHGG-TPA_MGYG-HGUT-03129</t>
  </si>
  <si>
    <t>GCA_902482785.1</t>
  </si>
  <si>
    <t>MGYG-HGUT-03126</t>
  </si>
  <si>
    <t>https://ftp.ncbi.nlm.nih.gov/genomes/all/GCA/902/482/785/GCA_902482785.1_UHGG-TPA_MGYG-HGUT-03126</t>
  </si>
  <si>
    <t>GCA_902482805.1</t>
  </si>
  <si>
    <t>MGYG-HGUT-03135</t>
  </si>
  <si>
    <t>https://ftp.ncbi.nlm.nih.gov/genomes/all/GCA/902/482/805/GCA_902482805.1_UHGG-TPA_MGYG-HGUT-03135</t>
  </si>
  <si>
    <t>MGYG-HGUT-03152</t>
  </si>
  <si>
    <t>https://ftp.ncbi.nlm.nih.gov/genomes/all/GCA/902/483/045/GCA_902483045.1_UHGG-TPA_MGYG-HGUT-03152</t>
  </si>
  <si>
    <t>GCA_902483375.1</t>
  </si>
  <si>
    <t>MGYG-HGUT-03190</t>
  </si>
  <si>
    <t>https://ftp.ncbi.nlm.nih.gov/genomes/all/GCA/902/483/375/GCA_902483375.1_UHGG-TPA_MGYG-HGUT-03190</t>
  </si>
  <si>
    <t>GCA_902483385.1</t>
  </si>
  <si>
    <t>MGYG-HGUT-03188</t>
  </si>
  <si>
    <t>https://ftp.ncbi.nlm.nih.gov/genomes/all/GCA/902/483/385/GCA_902483385.1_UHGG-TPA_MGYG-HGUT-03188</t>
  </si>
  <si>
    <t>GCA_902483495.1</t>
  </si>
  <si>
    <t>MGYG-HGUT-03197</t>
  </si>
  <si>
    <t>https://ftp.ncbi.nlm.nih.gov/genomes/all/GCA/902/483/495/GCA_902483495.1_UHGG-TPA_MGYG-HGUT-03197</t>
  </si>
  <si>
    <t>MGYG-HGUT-03287</t>
  </si>
  <si>
    <t>https://ftp.ncbi.nlm.nih.gov/genomes/all/GCA/902/484/395/GCA_902484395.1_UHGG-TPA_MGYG-HGUT-03287</t>
  </si>
  <si>
    <t>GCA_902485085.1</t>
  </si>
  <si>
    <t>MGYG-HGUT-03358</t>
  </si>
  <si>
    <t>https://ftp.ncbi.nlm.nih.gov/genomes/all/GCA/902/485/085/GCA_902485085.1_UHGG-TPA_MGYG-HGUT-03358</t>
  </si>
  <si>
    <t>GCA_902485115.1</t>
  </si>
  <si>
    <t>MGYG-HGUT-03374</t>
  </si>
  <si>
    <t>https://ftp.ncbi.nlm.nih.gov/genomes/all/GCA/902/485/115/GCA_902485115.1_UHGG-TPA_MGYG-HGUT-03374</t>
  </si>
  <si>
    <t>GCA_902485225.1</t>
  </si>
  <si>
    <t>MGYG-HGUT-03376</t>
  </si>
  <si>
    <t>https://ftp.ncbi.nlm.nih.gov/genomes/all/GCA/902/485/225/GCA_902485225.1_UHGG-TPA_MGYG-HGUT-03376</t>
  </si>
  <si>
    <t>GCA_902485235.1</t>
  </si>
  <si>
    <t>MGYG-HGUT-03375</t>
  </si>
  <si>
    <t>https://ftp.ncbi.nlm.nih.gov/genomes/all/GCA/902/485/235/GCA_902485235.1_UHGG-TPA_MGYG-HGUT-03375</t>
  </si>
  <si>
    <t>GCA_902485275.1</t>
  </si>
  <si>
    <t>MGYG-HGUT-03388</t>
  </si>
  <si>
    <t>https://ftp.ncbi.nlm.nih.gov/genomes/all/GCA/902/485/275/GCA_902485275.1_UHGG-TPA_MGYG-HGUT-03388</t>
  </si>
  <si>
    <t>GCA_902485365.1</t>
  </si>
  <si>
    <t>MGYG-HGUT-03381</t>
  </si>
  <si>
    <t>https://ftp.ncbi.nlm.nih.gov/genomes/all/GCA/902/485/365/GCA_902485365.1_UHGG-TPA_MGYG-HGUT-03381</t>
  </si>
  <si>
    <t>GCA_902488485.1</t>
  </si>
  <si>
    <t>MGYG-HGUT-03722</t>
  </si>
  <si>
    <t>https://ftp.ncbi.nlm.nih.gov/genomes/all/GCA/902/488/485/GCA_902488485.1_UHGG-TPA_MGYG-HGUT-03722</t>
  </si>
  <si>
    <t>GCA_902488615.1</t>
  </si>
  <si>
    <t>MGYG-HGUT-03738</t>
  </si>
  <si>
    <t>https://ftp.ncbi.nlm.nih.gov/genomes/all/GCA/902/488/615/GCA_902488615.1_UHGG-TPA_MGYG-HGUT-03738</t>
  </si>
  <si>
    <t>GCA_902488655.1</t>
  </si>
  <si>
    <t>MGYG-HGUT-03739</t>
  </si>
  <si>
    <t>https://ftp.ncbi.nlm.nih.gov/genomes/all/GCA/902/488/655/GCA_902488655.1_UHGG-TPA_MGYG-HGUT-03739</t>
  </si>
  <si>
    <t>GCA_902488665.1</t>
  </si>
  <si>
    <t>MGYG-HGUT-03742</t>
  </si>
  <si>
    <t>https://ftp.ncbi.nlm.nih.gov/genomes/all/GCA/902/488/665/GCA_902488665.1_UHGG-TPA_MGYG-HGUT-03742</t>
  </si>
  <si>
    <t>GCA_902488705.1</t>
  </si>
  <si>
    <t>MGYG-HGUT-03734</t>
  </si>
  <si>
    <t>https://ftp.ncbi.nlm.nih.gov/genomes/all/GCA/902/488/705/GCA_902488705.1_UHGG-TPA_MGYG-HGUT-03734</t>
  </si>
  <si>
    <t>GCA_902489065.1</t>
  </si>
  <si>
    <t>MGYG-HGUT-03780</t>
  </si>
  <si>
    <t>https://ftp.ncbi.nlm.nih.gov/genomes/all/GCA/902/489/065/GCA_902489065.1_UHGG-TPA_MGYG-HGUT-03780</t>
  </si>
  <si>
    <t>GCA_902489165.1</t>
  </si>
  <si>
    <t>MGYG-HGUT-03790</t>
  </si>
  <si>
    <t>https://ftp.ncbi.nlm.nih.gov/genomes/all/GCA/902/489/165/GCA_902489165.1_UHGG-TPA_MGYG-HGUT-03790</t>
  </si>
  <si>
    <t>GCA_902489385.1</t>
  </si>
  <si>
    <t>MGYG-HGUT-03811</t>
  </si>
  <si>
    <t>https://ftp.ncbi.nlm.nih.gov/genomes/all/GCA/902/489/385/GCA_902489385.1_UHGG-TPA_MGYG-HGUT-03811</t>
  </si>
  <si>
    <t>GCA_902490035.1</t>
  </si>
  <si>
    <t>MGYG-HGUT-03878</t>
  </si>
  <si>
    <t>https://ftp.ncbi.nlm.nih.gov/genomes/all/GCA/902/490/035/GCA_902490035.1_UHGG-TPA_MGYG-HGUT-03878</t>
  </si>
  <si>
    <t>GCA_902490215.1</t>
  </si>
  <si>
    <t>MGYG-HGUT-03893</t>
  </si>
  <si>
    <t>https://ftp.ncbi.nlm.nih.gov/genomes/all/GCA/902/490/215/GCA_902490215.1_UHGG-TPA_MGYG-HGUT-03893</t>
  </si>
  <si>
    <t>GCA_902490295.1</t>
  </si>
  <si>
    <t>MGYG-HGUT-03902</t>
  </si>
  <si>
    <t>https://ftp.ncbi.nlm.nih.gov/genomes/all/GCA/902/490/295/GCA_902490295.1_UHGG-TPA_MGYG-HGUT-03902</t>
  </si>
  <si>
    <t>GCA_902492845.1</t>
  </si>
  <si>
    <t>MGYG-HGUT-04158</t>
  </si>
  <si>
    <t>https://ftp.ncbi.nlm.nih.gov/genomes/all/GCA/902/492/845/GCA_902492845.1_UHGG-TPA_MGYG-HGUT-04158</t>
  </si>
  <si>
    <t>GCA_902494015.1</t>
  </si>
  <si>
    <t>MGYG-HGUT-04316</t>
  </si>
  <si>
    <t>https://ftp.ncbi.nlm.nih.gov/genomes/all/GCA/902/494/015/GCA_902494015.1_UHGG-TPA_MGYG-HGUT-04316</t>
  </si>
  <si>
    <t>GCA_902494025.1</t>
  </si>
  <si>
    <t>MGYG-HGUT-04321</t>
  </si>
  <si>
    <t>https://ftp.ncbi.nlm.nih.gov/genomes/all/GCA/902/494/025/GCA_902494025.1_UHGG-TPA_MGYG-HGUT-04321</t>
  </si>
  <si>
    <t>GCA_902494125.1</t>
  </si>
  <si>
    <t>MGYG-HGUT-04313</t>
  </si>
  <si>
    <t>https://ftp.ncbi.nlm.nih.gov/genomes/all/GCA/902/494/125/GCA_902494125.1_UHGG-TPA_MGYG-HGUT-04313</t>
  </si>
  <si>
    <t>GCA_902496035.1</t>
  </si>
  <si>
    <t>MGYG-HGUT-04516</t>
  </si>
  <si>
    <t>https://ftp.ncbi.nlm.nih.gov/genomes/all/GCA/902/496/035/GCA_902496035.1_UHGG-TPA_MGYG-HGUT-04516</t>
  </si>
  <si>
    <t>GCA_902496485.1</t>
  </si>
  <si>
    <t>MGYG-HGUT-04562</t>
  </si>
  <si>
    <t>https://ftp.ncbi.nlm.nih.gov/genomes/all/GCA/902/496/485/GCA_902496485.1_UHGG-TPA_MGYG-HGUT-04562</t>
  </si>
  <si>
    <t>GCA_902496525.1</t>
  </si>
  <si>
    <t>MGYG-HGUT-04565</t>
  </si>
  <si>
    <t>https://ftp.ncbi.nlm.nih.gov/genomes/all/GCA/902/496/525/GCA_902496525.1_UHGG-TPA_MGYG-HGUT-04565</t>
  </si>
  <si>
    <t>MGYG-HGUT-04638</t>
  </si>
  <si>
    <t>https://ftp.ncbi.nlm.nih.gov/genomes/all/GCA/902/497/175/GCA_902497175.1_UHGG-TPA_MGYG-HGUT-04638</t>
  </si>
  <si>
    <t>GCA_902497265.1</t>
  </si>
  <si>
    <t>MGYG-HGUT-04627</t>
  </si>
  <si>
    <t>https://ftp.ncbi.nlm.nih.gov/genomes/all/GCA/902/497/265/GCA_902497265.1_UHGG-TPA_MGYG-HGUT-04627</t>
  </si>
  <si>
    <t>GCA_902497285.1</t>
  </si>
  <si>
    <t>MGYG-HGUT-04629</t>
  </si>
  <si>
    <t>https://ftp.ncbi.nlm.nih.gov/genomes/all/GCA/902/497/285/GCA_902497285.1_UHGG-TPA_MGYG-HGUT-04629</t>
  </si>
  <si>
    <t>GCA_902509485.1</t>
  </si>
  <si>
    <t>none</t>
  </si>
  <si>
    <t>https://ftp.ncbi.nlm.nih.gov/genomes/all/GCA/902/509/485/GCA_902509485.1_Se_BPH0697</t>
  </si>
  <si>
    <t>GCA_902509495.1</t>
  </si>
  <si>
    <t>https://ftp.ncbi.nlm.nih.gov/genomes/all/GCA/902/509/495/GCA_902509495.1_Se_BPH0704</t>
  </si>
  <si>
    <t>GCA_902509505.1</t>
  </si>
  <si>
    <t>https://ftp.ncbi.nlm.nih.gov/genomes/all/GCA/902/509/505/GCA_902509505.1_Se_BPH0736</t>
  </si>
  <si>
    <t>GCA_902509515.1</t>
  </si>
  <si>
    <t>https://ftp.ncbi.nlm.nih.gov/genomes/all/GCA/902/509/515/GCA_902509515.1_Se_BPH0723</t>
  </si>
  <si>
    <t>GCA_902509525.1</t>
  </si>
  <si>
    <t>https://ftp.ncbi.nlm.nih.gov/genomes/all/GCA/902/509/525/GCA_902509525.1_Se_RP62a_UoM</t>
  </si>
  <si>
    <t>GCA_902509535.1</t>
  </si>
  <si>
    <t>https://ftp.ncbi.nlm.nih.gov/genomes/all/GCA/902/509/535/GCA_902509535.1_Se_BPH0711</t>
  </si>
  <si>
    <t>GCA_902809765.1</t>
  </si>
  <si>
    <t>https://ftp.ncbi.nlm.nih.gov/genomes/all/GCA/902/809/765/GCA_902809765.1_NCTC11397</t>
  </si>
  <si>
    <t>GCA_902810435.1</t>
  </si>
  <si>
    <t>SKV38</t>
  </si>
  <si>
    <t>https://ftp.ncbi.nlm.nih.gov/genomes/all/GCA/902/810/435/GCA_902810435.1_SKV38</t>
  </si>
  <si>
    <t>GCA_902810545.1</t>
  </si>
  <si>
    <t>CCUG 50783</t>
  </si>
  <si>
    <t>https://ftp.ncbi.nlm.nih.gov/genomes/all/GCA/902/810/545/GCA_902810545.1_Bartonella_schoenbuchensis_CCUG50783</t>
  </si>
  <si>
    <t>GCA_902825205.1</t>
  </si>
  <si>
    <t>SC467</t>
  </si>
  <si>
    <t>https://ftp.ncbi.nlm.nih.gov/genomes/all/GCA/902/825/205/GCA_902825205.1_SC467</t>
  </si>
  <si>
    <t>GCA_902827125.1</t>
  </si>
  <si>
    <t>Marseille-P9010</t>
  </si>
  <si>
    <t>https://ftp.ncbi.nlm.nih.gov/genomes/all/GCA/902/827/125/GCA_902827125.1_P9010</t>
  </si>
  <si>
    <t>GCA_902850275.2</t>
  </si>
  <si>
    <t>clinical strain from anonymous patient from Besancon hospital</t>
  </si>
  <si>
    <t>https://ftp.ncbi.nlm.nih.gov/genomes/all/GCA/902/850/275/GCA_902850275.2_Ssal_B35_v2</t>
  </si>
  <si>
    <t>GCA_902850315.1</t>
  </si>
  <si>
    <t>clinical strain from anonymous patient of Besancon hospital</t>
  </si>
  <si>
    <t>https://ftp.ncbi.nlm.nih.gov/genomes/all/GCA/902/850/315/GCA_902850315.1_Ssal_B50</t>
  </si>
  <si>
    <t>GCA_902850335.2</t>
  </si>
  <si>
    <t>commensal strain from anonymous patient (individual 1)</t>
  </si>
  <si>
    <t>https://ftp.ncbi.nlm.nih.gov/genomes/all/GCA/902/850/335/GCA_902850335.2_Ssal_F1-8_v2</t>
  </si>
  <si>
    <t>GCA_902850355.2</t>
  </si>
  <si>
    <t>clinical strain from anonymous patient of Limoges Hospital</t>
  </si>
  <si>
    <t>https://ftp.ncbi.nlm.nih.gov/genomes/all/GCA/902/850/355/GCA_902850355.2_Ssal_L11_v2</t>
  </si>
  <si>
    <t>GCA_902858925.1</t>
  </si>
  <si>
    <t>https://ftp.ncbi.nlm.nih.gov/genomes/all/GCA/902/858/925/GCA_902858925.1_Ssal_L22</t>
  </si>
  <si>
    <t>GCA_902858935.1</t>
  </si>
  <si>
    <t>https://ftp.ncbi.nlm.nih.gov/genomes/all/GCA/902/858/935/GCA_902858935.1_Ssal_L25</t>
  </si>
  <si>
    <t>GCA_902858945.1</t>
  </si>
  <si>
    <t>https://ftp.ncbi.nlm.nih.gov/genomes/all/GCA/902/858/945/GCA_902858945.1_Ssal_L45</t>
  </si>
  <si>
    <t>GCA_902858995.1</t>
  </si>
  <si>
    <t>https://ftp.ncbi.nlm.nih.gov/genomes/all/GCA/902/858/995/GCA_902858995.1_Ssal_L60</t>
  </si>
  <si>
    <t>GCA_902859005.1</t>
  </si>
  <si>
    <t>clinical strain from anonymous patient of Nancy Hospital</t>
  </si>
  <si>
    <t>https://ftp.ncbi.nlm.nih.gov/genomes/all/GCA/902/859/005/GCA_902859005.1_Ssal_N20</t>
  </si>
  <si>
    <t>GCA_902859025.1</t>
  </si>
  <si>
    <t>https://ftp.ncbi.nlm.nih.gov/genomes/all/GCA/902/859/025/GCA_902859025.1_Ssal_L64</t>
  </si>
  <si>
    <t>GCA_902859035.1</t>
  </si>
  <si>
    <t>clinical strain from anonymous patient of Tours Hospital</t>
  </si>
  <si>
    <t>https://ftp.ncbi.nlm.nih.gov/genomes/all/GCA/902/859/035/GCA_902859035.1_Ssal_T93</t>
  </si>
  <si>
    <t>GCA_902983995.1</t>
  </si>
  <si>
    <t>HMT-438</t>
  </si>
  <si>
    <t>socranskii subsp. buccale</t>
  </si>
  <si>
    <t>Marseille-CSURQ0203</t>
  </si>
  <si>
    <t>https://ftp.ncbi.nlm.nih.gov/genomes/all/GCA/902/983/995/GCA_902983995.1_Q0203</t>
  </si>
  <si>
    <t>GCA_903172975.1</t>
  </si>
  <si>
    <t>https://ftp.ncbi.nlm.nih.gov/genomes/all/GCA/903/172/975/GCA_903172975.1_Ssal_F1-4</t>
  </si>
  <si>
    <t>GCA_903797675.1</t>
  </si>
  <si>
    <t>https://ftp.ncbi.nlm.nih.gov/genomes/all/GCA/903/797/675/GCA_903797675.1_B337</t>
  </si>
  <si>
    <t>GCA_903886345.1</t>
  </si>
  <si>
    <t>STH_CIRM_32</t>
  </si>
  <si>
    <t>https://ftp.ncbi.nlm.nih.gov/genomes/all/GCA/903/886/345/GCA_903886345.1_Streptococcus_thermophilus_CIRM_32</t>
  </si>
  <si>
    <t>GCA_903908965.1</t>
  </si>
  <si>
    <t>https://ftp.ncbi.nlm.nih.gov/genomes/all/GCA/903/908/965/GCA_903908965.1_Ssal_B35_v3</t>
  </si>
  <si>
    <t>GCA_903909965.1</t>
  </si>
  <si>
    <t>https://ftp.ncbi.nlm.nih.gov/genomes/all/GCA/903/909/965/GCA_903909965.1_Ssal_F1-8_v3</t>
  </si>
  <si>
    <t>GCA_903910465.1</t>
  </si>
  <si>
    <t>https://ftp.ncbi.nlm.nih.gov/genomes/all/GCA/903/910/465/GCA_903910465.1_Ssal_L11_v3</t>
  </si>
  <si>
    <t>GCA_904423865.1</t>
  </si>
  <si>
    <t>Marseille-P2668</t>
  </si>
  <si>
    <t>https://ftp.ncbi.nlm.nih.gov/genomes/all/GCA/904/423/865/GCA_904423865.1_G1426</t>
  </si>
  <si>
    <t>GCA_904425455.1</t>
  </si>
  <si>
    <t>UPC1</t>
  </si>
  <si>
    <t>https://ftp.ncbi.nlm.nih.gov/genomes/all/GCA/904/425/455/GCA_904425455.1_ASM90442545v1</t>
  </si>
  <si>
    <t>GCA_905071805.1</t>
  </si>
  <si>
    <t>AMBR12</t>
  </si>
  <si>
    <t>https://ftp.ncbi.nlm.nih.gov/genomes/all/GCA/905/071/805/GCA_905071805.1_AMBR12</t>
  </si>
  <si>
    <t>GCA_905071825.1</t>
  </si>
  <si>
    <t>AMBR024</t>
  </si>
  <si>
    <t>https://ftp.ncbi.nlm.nih.gov/genomes/all/GCA/905/071/825/GCA_905071825.1_AMBR024</t>
  </si>
  <si>
    <t>GCA_905071845.1</t>
  </si>
  <si>
    <t>AMBR055</t>
  </si>
  <si>
    <t>https://ftp.ncbi.nlm.nih.gov/genomes/all/GCA/905/071/845/GCA_905071845.1_AMBR055</t>
  </si>
  <si>
    <t>GCA_905187725.1</t>
  </si>
  <si>
    <t>SRR413758-bin.8</t>
  </si>
  <si>
    <t>https://ftp.ncbi.nlm.nih.gov/genomes/all/GCA/905/187/725/GCA_905187725.1_SRR413758-mag-bin.8</t>
  </si>
  <si>
    <t>GCA_905188175.1</t>
  </si>
  <si>
    <t>ERR414493-bin.20</t>
  </si>
  <si>
    <t>https://ftp.ncbi.nlm.nih.gov/genomes/all/GCA/905/188/175/GCA_905188175.1_ERR414493-mag-bin.20</t>
  </si>
  <si>
    <t>GCA_905193455.1</t>
  </si>
  <si>
    <t>ERR1190612-bin.35</t>
  </si>
  <si>
    <t>https://ftp.ncbi.nlm.nih.gov/genomes/all/GCA/905/193/455/GCA_905193455.1_ERR1190612-mag-bin.35</t>
  </si>
  <si>
    <t>GCA_905194015.1</t>
  </si>
  <si>
    <t>ERR1190793-bin.22</t>
  </si>
  <si>
    <t>https://ftp.ncbi.nlm.nih.gov/genomes/all/GCA/905/194/015/GCA_905194015.1_ERR1190793-mag-bin.22</t>
  </si>
  <si>
    <t>GCA_905194225.1</t>
  </si>
  <si>
    <t>ERR1430404-bin.12</t>
  </si>
  <si>
    <t>https://ftp.ncbi.nlm.nih.gov/genomes/all/GCA/905/194/225/GCA_905194225.1_ERR1430404-mag-bin.12</t>
  </si>
  <si>
    <t>GCA_905196715.1</t>
  </si>
  <si>
    <t>ERR414493-bin.1</t>
  </si>
  <si>
    <t>https://ftp.ncbi.nlm.nih.gov/genomes/all/GCA/905/196/715/GCA_905196715.1_ERR414493-mag-bin.1</t>
  </si>
  <si>
    <t>GCA_905197735.1</t>
  </si>
  <si>
    <t>ERR1190737-bin.22</t>
  </si>
  <si>
    <t>https://ftp.ncbi.nlm.nih.gov/genomes/all/GCA/905/197/735/GCA_905197735.1_ERR1190737-mag-bin.22</t>
  </si>
  <si>
    <t>GCA_905197845.1</t>
  </si>
  <si>
    <t>ERR1190736-bin.4</t>
  </si>
  <si>
    <t>https://ftp.ncbi.nlm.nih.gov/genomes/all/GCA/905/197/845/GCA_905197845.1_ERR1190736-mag-bin.4</t>
  </si>
  <si>
    <t>GCA_905197865.1</t>
  </si>
  <si>
    <t>ERR1190736-bin.21</t>
  </si>
  <si>
    <t>https://ftp.ncbi.nlm.nih.gov/genomes/all/GCA/905/197/865/GCA_905197865.1_ERR1190736-mag-bin.21</t>
  </si>
  <si>
    <t>GCA_905198045.1</t>
  </si>
  <si>
    <t>ERR1430547-bin.16</t>
  </si>
  <si>
    <t>https://ftp.ncbi.nlm.nih.gov/genomes/all/GCA/905/198/045/GCA_905198045.1_ERR1430547-mag-bin.16</t>
  </si>
  <si>
    <t>GCA_905198105.1</t>
  </si>
  <si>
    <t>ERR1190758-bin.22</t>
  </si>
  <si>
    <t>https://ftp.ncbi.nlm.nih.gov/genomes/all/GCA/905/198/105/GCA_905198105.1_ERR1190758-mag-bin.22</t>
  </si>
  <si>
    <t>GCA_905198325.1</t>
  </si>
  <si>
    <t>ERR1190746-bin.10</t>
  </si>
  <si>
    <t>https://ftp.ncbi.nlm.nih.gov/genomes/all/GCA/905/198/325/GCA_905198325.1_ERR1190746-mag-bin.10</t>
  </si>
  <si>
    <t>GCA_905199265.1</t>
  </si>
  <si>
    <t>ERR1430407-bin.9</t>
  </si>
  <si>
    <t>https://ftp.ncbi.nlm.nih.gov/genomes/all/GCA/905/199/265/GCA_905199265.1_ERR1430407-mag-bin.9</t>
  </si>
  <si>
    <t>GCA_905199975.1</t>
  </si>
  <si>
    <t>SRR7721897-bin.27</t>
  </si>
  <si>
    <t>https://ftp.ncbi.nlm.nih.gov/genomes/all/GCA/905/199/975/GCA_905199975.1_SRR7721897-mag-bin.27</t>
  </si>
  <si>
    <t>GCA_905201815.1</t>
  </si>
  <si>
    <t>SRR341688-bin.4</t>
  </si>
  <si>
    <t>https://ftp.ncbi.nlm.nih.gov/genomes/all/GCA/905/201/815/GCA_905201815.1_SRR341688-mag-bin.4</t>
  </si>
  <si>
    <t>GCA_905202725.1</t>
  </si>
  <si>
    <t>ERR1430548-bin.10</t>
  </si>
  <si>
    <t>https://ftp.ncbi.nlm.nih.gov/genomes/all/GCA/905/202/725/GCA_905202725.1_ERR1430548-mag-bin.10</t>
  </si>
  <si>
    <t>GCA_905203035.1</t>
  </si>
  <si>
    <t>ERR1600749-bin.17</t>
  </si>
  <si>
    <t>https://ftp.ncbi.nlm.nih.gov/genomes/all/GCA/905/203/035/GCA_905203035.1_ERR1600749-mag-bin.17</t>
  </si>
  <si>
    <t>GCA_905203515.1</t>
  </si>
  <si>
    <t>ERR414442-bin.5</t>
  </si>
  <si>
    <t>https://ftp.ncbi.nlm.nih.gov/genomes/all/GCA/905/203/515/GCA_905203515.1_ERR414442-mag-bin.5</t>
  </si>
  <si>
    <t>GCA_905204285.1</t>
  </si>
  <si>
    <t>SRR5558175-bin.6</t>
  </si>
  <si>
    <t>https://ftp.ncbi.nlm.nih.gov/genomes/all/GCA/905/204/285/GCA_905204285.1_SRR5558175-mag-bin.6</t>
  </si>
  <si>
    <t>GCA_905204445.1</t>
  </si>
  <si>
    <t>ERR414468-bin.7</t>
  </si>
  <si>
    <t>https://ftp.ncbi.nlm.nih.gov/genomes/all/GCA/905/204/445/GCA_905204445.1_ERR414468-mag-bin.7</t>
  </si>
  <si>
    <t>GCA_905204565.1</t>
  </si>
  <si>
    <t>ERR414475-bin.32</t>
  </si>
  <si>
    <t>https://ftp.ncbi.nlm.nih.gov/genomes/all/GCA/905/204/565/GCA_905204565.1_ERR414475-mag-bin.32</t>
  </si>
  <si>
    <t>GCA_905205105.1</t>
  </si>
  <si>
    <t>SRR7721899-bin.5</t>
  </si>
  <si>
    <t>https://ftp.ncbi.nlm.nih.gov/genomes/all/GCA/905/205/105/GCA_905205105.1_SRR7721899-mag-bin.5</t>
  </si>
  <si>
    <t>GCA_905208655.1</t>
  </si>
  <si>
    <t>ERR1430443-bin.2</t>
  </si>
  <si>
    <t>https://ftp.ncbi.nlm.nih.gov/genomes/all/GCA/905/208/655/GCA_905208655.1_ERR1430443-mag-bin.2</t>
  </si>
  <si>
    <t>GCA_905208875.1</t>
  </si>
  <si>
    <t>ERR1600666-bin.80</t>
  </si>
  <si>
    <t>https://ftp.ncbi.nlm.nih.gov/genomes/all/GCA/905/208/875/GCA_905208875.1_ERR1600666-mag-bin.80</t>
  </si>
  <si>
    <t>GCA_905209855.1</t>
  </si>
  <si>
    <t>ERR260276-bin.4</t>
  </si>
  <si>
    <t>https://ftp.ncbi.nlm.nih.gov/genomes/all/GCA/905/209/855/GCA_905209855.1_ERR260276-mag-bin.4</t>
  </si>
  <si>
    <t>GCA_905210985.1</t>
  </si>
  <si>
    <t>ERR414242-bin.5</t>
  </si>
  <si>
    <t>https://ftp.ncbi.nlm.nih.gov/genomes/all/GCA/905/210/985/GCA_905210985.1_ERR414242-mag-bin.5</t>
  </si>
  <si>
    <t>GCA_905211915.1</t>
  </si>
  <si>
    <t>SRR413667-bin.4</t>
  </si>
  <si>
    <t>https://ftp.ncbi.nlm.nih.gov/genomes/all/GCA/905/211/915/GCA_905211915.1_SRR413667-mag-bin.4</t>
  </si>
  <si>
    <t>GCA_905212025.1</t>
  </si>
  <si>
    <t>SRR413637-bin.17</t>
  </si>
  <si>
    <t>https://ftp.ncbi.nlm.nih.gov/genomes/all/GCA/905/212/025/GCA_905212025.1_SRR413637-mag-bin.17</t>
  </si>
  <si>
    <t>GCA_905213095.1</t>
  </si>
  <si>
    <t>ERR414442-bin.14</t>
  </si>
  <si>
    <t>https://ftp.ncbi.nlm.nih.gov/genomes/all/GCA/905/213/095/GCA_905213095.1_ERR414442-mag-bin.14</t>
  </si>
  <si>
    <t>GCA_905214355.1</t>
  </si>
  <si>
    <t>ERR1430458-bin.9</t>
  </si>
  <si>
    <t>https://ftp.ncbi.nlm.nih.gov/genomes/all/GCA/905/214/355/GCA_905214355.1_ERR1430458-mag-bin.9</t>
  </si>
  <si>
    <t>GCA_905232535.2</t>
  </si>
  <si>
    <t>https://ftp.ncbi.nlm.nih.gov/genomes/all/GCA/905/232/535/GCA_905232535.2_AI2662v1_cp</t>
  </si>
  <si>
    <t>DRR046092-mag-bin.2</t>
  </si>
  <si>
    <t>https://ftp.ncbi.nlm.nih.gov/genomes/all/GCA/905/369/805/GCA_905369805.1_DRR046092-mag-bin.2</t>
  </si>
  <si>
    <t>GCA_905369845.1</t>
  </si>
  <si>
    <t>DRR046098-mag-bin.6</t>
  </si>
  <si>
    <t>https://ftp.ncbi.nlm.nih.gov/genomes/all/GCA/905/369/845/GCA_905369845.1_DRR046098-mag-bin.6</t>
  </si>
  <si>
    <t>GCA_905369895.1</t>
  </si>
  <si>
    <t>DRR046069-mag-bin.2</t>
  </si>
  <si>
    <t>https://ftp.ncbi.nlm.nih.gov/genomes/all/GCA/905/369/895/GCA_905369895.1_DRR046069-mag-bin.2</t>
  </si>
  <si>
    <t>GCA_905369905.1</t>
  </si>
  <si>
    <t>DRR046091-mag-bin.3</t>
  </si>
  <si>
    <t>https://ftp.ncbi.nlm.nih.gov/genomes/all/GCA/905/369/905/GCA_905369905.1_DRR046091-mag-bin.3</t>
  </si>
  <si>
    <t>DRR046100-mag-bin.3</t>
  </si>
  <si>
    <t>https://ftp.ncbi.nlm.nih.gov/genomes/all/GCA/905/369/945/GCA_905369945.1_DRR046100-mag-bin.3</t>
  </si>
  <si>
    <t>GCA_905370215.1</t>
  </si>
  <si>
    <t>DRR046100-mag-bin.6</t>
  </si>
  <si>
    <t>https://ftp.ncbi.nlm.nih.gov/genomes/all/GCA/905/370/215/GCA_905370215.1_DRR046100-mag-bin.6</t>
  </si>
  <si>
    <t>GCA_905370285.1</t>
  </si>
  <si>
    <t>DRR241310-mag-bin.1</t>
  </si>
  <si>
    <t>https://ftp.ncbi.nlm.nih.gov/genomes/all/GCA/905/370/285/GCA_905370285.1_DRR241310-mag-bin.1</t>
  </si>
  <si>
    <t>GCA_905370355.1</t>
  </si>
  <si>
    <t>DRR241310-mag-bin.2</t>
  </si>
  <si>
    <t>https://ftp.ncbi.nlm.nih.gov/genomes/all/GCA/905/370/355/GCA_905370355.1_DRR241310-mag-bin.2</t>
  </si>
  <si>
    <t>DRR241310-mag-bin.4</t>
  </si>
  <si>
    <t>https://ftp.ncbi.nlm.nih.gov/genomes/all/GCA/905/370/375/GCA_905370375.1_DRR241310-mag-bin.4</t>
  </si>
  <si>
    <t>GCA_905371295.1</t>
  </si>
  <si>
    <t>SRR6059110-mag-bin.5</t>
  </si>
  <si>
    <t>https://ftp.ncbi.nlm.nih.gov/genomes/all/GCA/905/371/295/GCA_905371295.1_SRR6059110-mag-bin.5</t>
  </si>
  <si>
    <t>GCA_905371345.1</t>
  </si>
  <si>
    <t>SRR6059111-mag-bin.5</t>
  </si>
  <si>
    <t>https://ftp.ncbi.nlm.nih.gov/genomes/all/GCA/905/371/345/GCA_905371345.1_SRR6059111-mag-bin.5</t>
  </si>
  <si>
    <t>GCA_905371445.1</t>
  </si>
  <si>
    <t>SRR6059115-mag-bin.3</t>
  </si>
  <si>
    <t>https://ftp.ncbi.nlm.nih.gov/genomes/all/GCA/905/371/445/GCA_905371445.1_SRR6059115-mag-bin.3</t>
  </si>
  <si>
    <t>GCA_905371485.1</t>
  </si>
  <si>
    <t>SRR6059123-mag-bin.5</t>
  </si>
  <si>
    <t>https://ftp.ncbi.nlm.nih.gov/genomes/all/GCA/905/371/485/GCA_905371485.1_SRR6059123-mag-bin.5</t>
  </si>
  <si>
    <t>GCA_905371525.1</t>
  </si>
  <si>
    <t>SRR6059123-mag-bin.4</t>
  </si>
  <si>
    <t>https://ftp.ncbi.nlm.nih.gov/genomes/all/GCA/905/371/525/GCA_905371525.1_SRR6059123-mag-bin.4</t>
  </si>
  <si>
    <t>GCA_905371625.1</t>
  </si>
  <si>
    <t>SRR9217389-mag-bin.17</t>
  </si>
  <si>
    <t>https://ftp.ncbi.nlm.nih.gov/genomes/all/GCA/905/371/625/GCA_905371625.1_SRR9217389-mag-bin.17</t>
  </si>
  <si>
    <t>GCA_905371645.1</t>
  </si>
  <si>
    <t>SRR9217391-mag-bin.16</t>
  </si>
  <si>
    <t>https://ftp.ncbi.nlm.nih.gov/genomes/all/GCA/905/371/645/GCA_905371645.1_SRR9217391-mag-bin.16</t>
  </si>
  <si>
    <t>GCA_905371655.1</t>
  </si>
  <si>
    <t>SRR9217389-mag-bin.9</t>
  </si>
  <si>
    <t>https://ftp.ncbi.nlm.nih.gov/genomes/all/GCA/905/371/655/GCA_905371655.1_SRR9217389-mag-bin.9</t>
  </si>
  <si>
    <t>GCA_905371675.1</t>
  </si>
  <si>
    <t>SRR9217391-mag-bin.22</t>
  </si>
  <si>
    <t>https://ftp.ncbi.nlm.nih.gov/genomes/all/GCA/905/371/675/GCA_905371675.1_SRR9217391-mag-bin.22</t>
  </si>
  <si>
    <t>GCA_905371755.1</t>
  </si>
  <si>
    <t>SRR9217391-mag-bin.19</t>
  </si>
  <si>
    <t>https://ftp.ncbi.nlm.nih.gov/genomes/all/GCA/905/371/755/GCA_905371755.1_SRR9217391-mag-bin.19</t>
  </si>
  <si>
    <t>GCA_905371775.1</t>
  </si>
  <si>
    <t>SRR9217391-mag-bin.6</t>
  </si>
  <si>
    <t>https://ftp.ncbi.nlm.nih.gov/genomes/all/GCA/905/371/775/GCA_905371775.1_SRR9217391-mag-bin.6</t>
  </si>
  <si>
    <t>GCA_905371815.1</t>
  </si>
  <si>
    <t>SRR9217391-mag-bin.9</t>
  </si>
  <si>
    <t>https://ftp.ncbi.nlm.nih.gov/genomes/all/GCA/905/371/815/GCA_905371815.1_SRR9217391-mag-bin.9</t>
  </si>
  <si>
    <t>GCA_905371825.1</t>
  </si>
  <si>
    <t>SRR9217392-mag-bin.12</t>
  </si>
  <si>
    <t>https://ftp.ncbi.nlm.nih.gov/genomes/all/GCA/905/371/825/GCA_905371825.1_SRR9217392-mag-bin.12</t>
  </si>
  <si>
    <t>GCA_905371835.1</t>
  </si>
  <si>
    <t>SRR9217392-mag-bin.20</t>
  </si>
  <si>
    <t>https://ftp.ncbi.nlm.nih.gov/genomes/all/GCA/905/371/835/GCA_905371835.1_SRR9217392-mag-bin.20</t>
  </si>
  <si>
    <t>GCA_905371855.1</t>
  </si>
  <si>
    <t>SRR9217392-mag-bin.10</t>
  </si>
  <si>
    <t>https://ftp.ncbi.nlm.nih.gov/genomes/all/GCA/905/371/855/GCA_905371855.1_SRR9217392-mag-bin.10</t>
  </si>
  <si>
    <t>GCA_905371905.1</t>
  </si>
  <si>
    <t>SRR9217392-mag-bin.5</t>
  </si>
  <si>
    <t>https://ftp.ncbi.nlm.nih.gov/genomes/all/GCA/905/371/905/GCA_905371905.1_SRR9217392-mag-bin.5</t>
  </si>
  <si>
    <t>GCA_905371915.1</t>
  </si>
  <si>
    <t>SRR9217392-mag-bin.16</t>
  </si>
  <si>
    <t>https://ftp.ncbi.nlm.nih.gov/genomes/all/GCA/905/371/915/GCA_905371915.1_SRR9217392-mag-bin.16</t>
  </si>
  <si>
    <t>GCA_905371925.1</t>
  </si>
  <si>
    <t>SRR9217392-mag-bin.14</t>
  </si>
  <si>
    <t>https://ftp.ncbi.nlm.nih.gov/genomes/all/GCA/905/371/925/GCA_905371925.1_SRR9217392-mag-bin.14</t>
  </si>
  <si>
    <t>SRR9217392-mag-bin.11</t>
  </si>
  <si>
    <t>https://ftp.ncbi.nlm.nih.gov/genomes/all/GCA/905/371/935/GCA_905371935.1_SRR9217392-mag-bin.11</t>
  </si>
  <si>
    <t>GCA_905371945.1</t>
  </si>
  <si>
    <t>SRR9217392-mag-bin.7</t>
  </si>
  <si>
    <t>https://ftp.ncbi.nlm.nih.gov/genomes/all/GCA/905/371/945/GCA_905371945.1_SRR9217392-mag-bin.7</t>
  </si>
  <si>
    <t>GCA_905371955.1</t>
  </si>
  <si>
    <t>SRR9217392-mag-bin.18</t>
  </si>
  <si>
    <t>https://ftp.ncbi.nlm.nih.gov/genomes/all/GCA/905/371/955/GCA_905371955.1_SRR9217392-mag-bin.18</t>
  </si>
  <si>
    <t>SRR9217392-mag-bin.8</t>
  </si>
  <si>
    <t>https://ftp.ncbi.nlm.nih.gov/genomes/all/GCA/905/371/985/GCA_905371985.1_SRR9217392-mag-bin.8</t>
  </si>
  <si>
    <t>GCA_905372005.1</t>
  </si>
  <si>
    <t>SRR9217393-mag-bin.4</t>
  </si>
  <si>
    <t>https://ftp.ncbi.nlm.nih.gov/genomes/all/GCA/905/372/005/GCA_905372005.1_SRR9217393-mag-bin.4</t>
  </si>
  <si>
    <t>GCA_905372015.1</t>
  </si>
  <si>
    <t>SRR9217393-mag-bin.6</t>
  </si>
  <si>
    <t>https://ftp.ncbi.nlm.nih.gov/genomes/all/GCA/905/372/015/GCA_905372015.1_SRR9217393-mag-bin.6</t>
  </si>
  <si>
    <t>GCA_905372045.1</t>
  </si>
  <si>
    <t>SRR9217394-mag-bin.6</t>
  </si>
  <si>
    <t>https://ftp.ncbi.nlm.nih.gov/genomes/all/GCA/905/372/045/GCA_905372045.1_SRR9217394-mag-bin.6</t>
  </si>
  <si>
    <t>GCA_905372065.1</t>
  </si>
  <si>
    <t>SRR9217400-mag-bin.3</t>
  </si>
  <si>
    <t>https://ftp.ncbi.nlm.nih.gov/genomes/all/GCA/905/372/065/GCA_905372065.1_SRR9217400-mag-bin.3</t>
  </si>
  <si>
    <t>GCA_905372075.1</t>
  </si>
  <si>
    <t>SRR9217400-mag-bin.11</t>
  </si>
  <si>
    <t>https://ftp.ncbi.nlm.nih.gov/genomes/all/GCA/905/372/075/GCA_905372075.1_SRR9217400-mag-bin.11</t>
  </si>
  <si>
    <t>SRR9217393-mag-bin.14</t>
  </si>
  <si>
    <t>https://ftp.ncbi.nlm.nih.gov/genomes/all/GCA/905/372/085/GCA_905372085.1_SRR9217393-mag-bin.14</t>
  </si>
  <si>
    <t>GCA_905372125.1</t>
  </si>
  <si>
    <t>SRR9217394-mag-bin.3</t>
  </si>
  <si>
    <t>https://ftp.ncbi.nlm.nih.gov/genomes/all/GCA/905/372/125/GCA_905372125.1_SRR9217394-mag-bin.3</t>
  </si>
  <si>
    <t>GCA_905372145.1</t>
  </si>
  <si>
    <t>SRR9217399-mag-bin.13</t>
  </si>
  <si>
    <t>https://ftp.ncbi.nlm.nih.gov/genomes/all/GCA/905/372/145/GCA_905372145.1_SRR9217399-mag-bin.13</t>
  </si>
  <si>
    <t>GCA_905372215.1</t>
  </si>
  <si>
    <t>SRR9217402-mag-bin.1</t>
  </si>
  <si>
    <t>https://ftp.ncbi.nlm.nih.gov/genomes/all/GCA/905/372/215/GCA_905372215.1_SRR9217402-mag-bin.1</t>
  </si>
  <si>
    <t>SRR9217404-mag-bin.10</t>
  </si>
  <si>
    <t>https://ftp.ncbi.nlm.nih.gov/genomes/all/GCA/905/372/245/GCA_905372245.1_SRR9217404-mag-bin.10</t>
  </si>
  <si>
    <t>GCA_905372255.1</t>
  </si>
  <si>
    <t>SRR9217404-mag-bin.8</t>
  </si>
  <si>
    <t>https://ftp.ncbi.nlm.nih.gov/genomes/all/GCA/905/372/255/GCA_905372255.1_SRR9217404-mag-bin.8</t>
  </si>
  <si>
    <t>GCA_905372295.1</t>
  </si>
  <si>
    <t>SRR9217404-mag-bin.16</t>
  </si>
  <si>
    <t>https://ftp.ncbi.nlm.nih.gov/genomes/all/GCA/905/372/295/GCA_905372295.1_SRR9217404-mag-bin.16</t>
  </si>
  <si>
    <t>GCA_905372315.1</t>
  </si>
  <si>
    <t>SRR9217414-mag-bin.16</t>
  </si>
  <si>
    <t>https://ftp.ncbi.nlm.nih.gov/genomes/all/GCA/905/372/315/GCA_905372315.1_SRR9217414-mag-bin.16</t>
  </si>
  <si>
    <t>GCA_905372325.1</t>
  </si>
  <si>
    <t>SRR9217406-mag-bin.1</t>
  </si>
  <si>
    <t>https://ftp.ncbi.nlm.nih.gov/genomes/all/GCA/905/372/325/GCA_905372325.1_SRR9217406-mag-bin.1</t>
  </si>
  <si>
    <t>GCA_905372375.1</t>
  </si>
  <si>
    <t>SRR9217414-mag-bin.19</t>
  </si>
  <si>
    <t>https://ftp.ncbi.nlm.nih.gov/genomes/all/GCA/905/372/375/GCA_905372375.1_SRR9217414-mag-bin.19</t>
  </si>
  <si>
    <t>GCA_905372395.1</t>
  </si>
  <si>
    <t>SRR9217414-mag-bin.3</t>
  </si>
  <si>
    <t>https://ftp.ncbi.nlm.nih.gov/genomes/all/GCA/905/372/395/GCA_905372395.1_SRR9217414-mag-bin.3</t>
  </si>
  <si>
    <t>GCA_905372415.1</t>
  </si>
  <si>
    <t>SRR9217404-mag-bin.5</t>
  </si>
  <si>
    <t>https://ftp.ncbi.nlm.nih.gov/genomes/all/GCA/905/372/415/GCA_905372415.1_SRR9217404-mag-bin.5</t>
  </si>
  <si>
    <t>SRR9217414-mag-bin.15</t>
  </si>
  <si>
    <t>https://ftp.ncbi.nlm.nih.gov/genomes/all/GCA/905/372/425/GCA_905372425.1_SRR9217414-mag-bin.15</t>
  </si>
  <si>
    <t>GCA_905372435.1</t>
  </si>
  <si>
    <t>SRR9217408-mag-bin.13</t>
  </si>
  <si>
    <t>https://ftp.ncbi.nlm.nih.gov/genomes/all/GCA/905/372/435/GCA_905372435.1_SRR9217408-mag-bin.13</t>
  </si>
  <si>
    <t>GCA_905372455.1</t>
  </si>
  <si>
    <t>SRR9217414-mag-bin.4</t>
  </si>
  <si>
    <t>https://ftp.ncbi.nlm.nih.gov/genomes/all/GCA/905/372/455/GCA_905372455.1_SRR9217414-mag-bin.4</t>
  </si>
  <si>
    <t>SRR9217422-mag-bin.6</t>
  </si>
  <si>
    <t>https://ftp.ncbi.nlm.nih.gov/genomes/all/GCA/905/372/475/GCA_905372475.1_SRR9217422-mag-bin.6</t>
  </si>
  <si>
    <t>SRR9217416-mag-bin.1</t>
  </si>
  <si>
    <t>https://ftp.ncbi.nlm.nih.gov/genomes/all/GCA/905/372/485/GCA_905372485.1_SRR9217416-mag-bin.1</t>
  </si>
  <si>
    <t>GCA_905372505.1</t>
  </si>
  <si>
    <t>SRR9217423-mag-bin.5</t>
  </si>
  <si>
    <t>https://ftp.ncbi.nlm.nih.gov/genomes/all/GCA/905/372/505/GCA_905372505.1_SRR9217423-mag-bin.5</t>
  </si>
  <si>
    <t>SRR9217414-mag-bin.5</t>
  </si>
  <si>
    <t>https://ftp.ncbi.nlm.nih.gov/genomes/all/GCA/905/372/535/GCA_905372535.1_SRR9217414-mag-bin.5</t>
  </si>
  <si>
    <t>GCA_905372545.1</t>
  </si>
  <si>
    <t>SRR9217415-mag-bin.5</t>
  </si>
  <si>
    <t>https://ftp.ncbi.nlm.nih.gov/genomes/all/GCA/905/372/545/GCA_905372545.1_SRR9217415-mag-bin.5</t>
  </si>
  <si>
    <t>GCA_905372625.1</t>
  </si>
  <si>
    <t>SRR9217422-mag-bin.10</t>
  </si>
  <si>
    <t>https://ftp.ncbi.nlm.nih.gov/genomes/all/GCA/905/372/625/GCA_905372625.1_SRR9217422-mag-bin.10</t>
  </si>
  <si>
    <t>GCA_905372645.1</t>
  </si>
  <si>
    <t>SRR9217423-mag-bin.14</t>
  </si>
  <si>
    <t>https://ftp.ncbi.nlm.nih.gov/genomes/all/GCA/905/372/645/GCA_905372645.1_SRR9217423-mag-bin.14</t>
  </si>
  <si>
    <t>SRR9217415-mag-bin.1</t>
  </si>
  <si>
    <t>https://ftp.ncbi.nlm.nih.gov/genomes/all/GCA/905/372/655/GCA_905372655.1_SRR9217415-mag-bin.1</t>
  </si>
  <si>
    <t>GCA_905372665.1</t>
  </si>
  <si>
    <t>SRR9217416-mag-bin.2</t>
  </si>
  <si>
    <t>https://ftp.ncbi.nlm.nih.gov/genomes/all/GCA/905/372/665/GCA_905372665.1_SRR9217416-mag-bin.2</t>
  </si>
  <si>
    <t>GCA_905372675.1</t>
  </si>
  <si>
    <t>SRR9217428-mag-bin.33</t>
  </si>
  <si>
    <t>https://ftp.ncbi.nlm.nih.gov/genomes/all/GCA/905/372/675/GCA_905372675.1_SRR9217428-mag-bin.33</t>
  </si>
  <si>
    <t>GCA_905372685.1</t>
  </si>
  <si>
    <t>SRR9217428-mag-bin.34</t>
  </si>
  <si>
    <t>https://ftp.ncbi.nlm.nih.gov/genomes/all/GCA/905/372/685/GCA_905372685.1_SRR9217428-mag-bin.34</t>
  </si>
  <si>
    <t>GCA_905372695.1</t>
  </si>
  <si>
    <t>SRR9217428-mag-bin.1</t>
  </si>
  <si>
    <t>https://ftp.ncbi.nlm.nih.gov/genomes/all/GCA/905/372/695/GCA_905372695.1_SRR9217428-mag-bin.1</t>
  </si>
  <si>
    <t>SRR9217428-mag-bin.20</t>
  </si>
  <si>
    <t>https://ftp.ncbi.nlm.nih.gov/genomes/all/GCA/905/372/705/GCA_905372705.1_SRR9217428-mag-bin.20</t>
  </si>
  <si>
    <t>GCA_905372755.1</t>
  </si>
  <si>
    <t>SRR9217428-mag-bin.24</t>
  </si>
  <si>
    <t>https://ftp.ncbi.nlm.nih.gov/genomes/all/GCA/905/372/755/GCA_905372755.1_SRR9217428-mag-bin.24</t>
  </si>
  <si>
    <t>GCA_905372775.1</t>
  </si>
  <si>
    <t>SRR9217428-mag-bin.18</t>
  </si>
  <si>
    <t>https://ftp.ncbi.nlm.nih.gov/genomes/all/GCA/905/372/775/GCA_905372775.1_SRR9217428-mag-bin.18</t>
  </si>
  <si>
    <t>GCA_905372815.1</t>
  </si>
  <si>
    <t>SRR9217428-mag-bin.2</t>
  </si>
  <si>
    <t>https://ftp.ncbi.nlm.nih.gov/genomes/all/GCA/905/372/815/GCA_905372815.1_SRR9217428-mag-bin.2</t>
  </si>
  <si>
    <t>GCA_905372825.1</t>
  </si>
  <si>
    <t>SRR9217428-mag-bin.17</t>
  </si>
  <si>
    <t>https://ftp.ncbi.nlm.nih.gov/genomes/all/GCA/905/372/825/GCA_905372825.1_SRR9217428-mag-bin.17</t>
  </si>
  <si>
    <t>GCA_905372845.1</t>
  </si>
  <si>
    <t>SRR9217428-mag-bin.3</t>
  </si>
  <si>
    <t>https://ftp.ncbi.nlm.nih.gov/genomes/all/GCA/905/372/845/GCA_905372845.1_SRR9217428-mag-bin.3</t>
  </si>
  <si>
    <t>GCA_905372915.1</t>
  </si>
  <si>
    <t>SRR9217433-mag-bin.7</t>
  </si>
  <si>
    <t>https://ftp.ncbi.nlm.nih.gov/genomes/all/GCA/905/372/915/GCA_905372915.1_SRR9217433-mag-bin.7</t>
  </si>
  <si>
    <t>GCA_905372935.1</t>
  </si>
  <si>
    <t>SRR9217449-mag-bin.18</t>
  </si>
  <si>
    <t>https://ftp.ncbi.nlm.nih.gov/genomes/all/GCA/905/372/935/GCA_905372935.1_SRR9217449-mag-bin.18</t>
  </si>
  <si>
    <t>GCA_905372955.1</t>
  </si>
  <si>
    <t>SRR9217441-mag-bin.4</t>
  </si>
  <si>
    <t>https://ftp.ncbi.nlm.nih.gov/genomes/all/GCA/905/372/955/GCA_905372955.1_SRR9217441-mag-bin.4</t>
  </si>
  <si>
    <t>GCA_905372965.1</t>
  </si>
  <si>
    <t>SRR9217435-mag-bin.6</t>
  </si>
  <si>
    <t>https://ftp.ncbi.nlm.nih.gov/genomes/all/GCA/905/372/965/GCA_905372965.1_SRR9217435-mag-bin.6</t>
  </si>
  <si>
    <t>GCA_905372985.1</t>
  </si>
  <si>
    <t>SRR9217449-mag-bin.15</t>
  </si>
  <si>
    <t>https://ftp.ncbi.nlm.nih.gov/genomes/all/GCA/905/372/985/GCA_905372985.1_SRR9217449-mag-bin.15</t>
  </si>
  <si>
    <t>GCA_905372995.1</t>
  </si>
  <si>
    <t>SRR9217435-mag-bin.2</t>
  </si>
  <si>
    <t>https://ftp.ncbi.nlm.nih.gov/genomes/all/GCA/905/372/995/GCA_905372995.1_SRR9217435-mag-bin.2</t>
  </si>
  <si>
    <t>GCA_905373015.1</t>
  </si>
  <si>
    <t>SRR9217449-mag-bin.11</t>
  </si>
  <si>
    <t>https://ftp.ncbi.nlm.nih.gov/genomes/all/GCA/905/373/015/GCA_905373015.1_SRR9217449-mag-bin.11</t>
  </si>
  <si>
    <t>SRR9217433-mag-bin.5</t>
  </si>
  <si>
    <t>https://ftp.ncbi.nlm.nih.gov/genomes/all/GCA/905/373/025/GCA_905373025.1_SRR9217433-mag-bin.5</t>
  </si>
  <si>
    <t>GCA_905373045.1</t>
  </si>
  <si>
    <t>SRR9217430-mag-bin.2</t>
  </si>
  <si>
    <t>https://ftp.ncbi.nlm.nih.gov/genomes/all/GCA/905/373/045/GCA_905373045.1_SRR9217430-mag-bin.2</t>
  </si>
  <si>
    <t>GCA_905373065.1</t>
  </si>
  <si>
    <t>SRR9217449-mag-bin.2</t>
  </si>
  <si>
    <t>https://ftp.ncbi.nlm.nih.gov/genomes/all/GCA/905/373/065/GCA_905373065.1_SRR9217449-mag-bin.2</t>
  </si>
  <si>
    <t>GCA_905373095.1</t>
  </si>
  <si>
    <t>SRR9217449-mag-bin.7</t>
  </si>
  <si>
    <t>https://ftp.ncbi.nlm.nih.gov/genomes/all/GCA/905/373/095/GCA_905373095.1_SRR9217449-mag-bin.7</t>
  </si>
  <si>
    <t>GCA_905373115.1</t>
  </si>
  <si>
    <t>SRR9217449-mag-bin.6</t>
  </si>
  <si>
    <t>https://ftp.ncbi.nlm.nih.gov/genomes/all/GCA/905/373/115/GCA_905373115.1_SRR9217449-mag-bin.6</t>
  </si>
  <si>
    <t>GCA_905373135.1</t>
  </si>
  <si>
    <t>SRR9217453-mag-bin.5</t>
  </si>
  <si>
    <t>https://ftp.ncbi.nlm.nih.gov/genomes/all/GCA/905/373/135/GCA_905373135.1_SRR9217453-mag-bin.5</t>
  </si>
  <si>
    <t>GCA_905373145.1</t>
  </si>
  <si>
    <t>SRR9217457-mag-bin.3</t>
  </si>
  <si>
    <t>https://ftp.ncbi.nlm.nih.gov/genomes/all/GCA/905/373/145/GCA_905373145.1_SRR9217457-mag-bin.3</t>
  </si>
  <si>
    <t>GCA_905373155.1</t>
  </si>
  <si>
    <t>SRR9217457-mag-bin.5</t>
  </si>
  <si>
    <t>https://ftp.ncbi.nlm.nih.gov/genomes/all/GCA/905/373/155/GCA_905373155.1_SRR9217457-mag-bin.5</t>
  </si>
  <si>
    <t>GCA_905373165.1</t>
  </si>
  <si>
    <t>SRR9217451-mag-bin.9</t>
  </si>
  <si>
    <t>https://ftp.ncbi.nlm.nih.gov/genomes/all/GCA/905/373/165/GCA_905373165.1_SRR9217451-mag-bin.9</t>
  </si>
  <si>
    <t>GCA_905373225.1</t>
  </si>
  <si>
    <t>SRR9217454-mag-bin.8</t>
  </si>
  <si>
    <t>https://ftp.ncbi.nlm.nih.gov/genomes/all/GCA/905/373/225/GCA_905373225.1_SRR9217454-mag-bin.8</t>
  </si>
  <si>
    <t>GCA_905373255.1</t>
  </si>
  <si>
    <t>SRR9217457-mag-bin.4</t>
  </si>
  <si>
    <t>https://ftp.ncbi.nlm.nih.gov/genomes/all/GCA/905/373/255/GCA_905373255.1_SRR9217457-mag-bin.4</t>
  </si>
  <si>
    <t>SRR9217453-mag-bin.1</t>
  </si>
  <si>
    <t>https://ftp.ncbi.nlm.nih.gov/genomes/all/GCA/905/373/265/GCA_905373265.1_SRR9217453-mag-bin.1</t>
  </si>
  <si>
    <t>SRR9217470-mag-bin.2</t>
  </si>
  <si>
    <t>https://ftp.ncbi.nlm.nih.gov/genomes/all/GCA/905/373/335/GCA_905373335.1_SRR9217470-mag-bin.2</t>
  </si>
  <si>
    <t>SRR9217464-mag-bin.5</t>
  </si>
  <si>
    <t>https://ftp.ncbi.nlm.nih.gov/genomes/all/GCA/905/373/395/GCA_905373395.1_SRR9217464-mag-bin.5</t>
  </si>
  <si>
    <t>GCA_905373405.1</t>
  </si>
  <si>
    <t>SRR9217464-mag-bin.10</t>
  </si>
  <si>
    <t>https://ftp.ncbi.nlm.nih.gov/genomes/all/GCA/905/373/405/GCA_905373405.1_SRR9217464-mag-bin.10</t>
  </si>
  <si>
    <t>GCA_905373435.1</t>
  </si>
  <si>
    <t>SRR9217464-mag-bin.4</t>
  </si>
  <si>
    <t>https://ftp.ncbi.nlm.nih.gov/genomes/all/GCA/905/373/435/GCA_905373435.1_SRR9217464-mag-bin.4</t>
  </si>
  <si>
    <t>SRR9217464-mag-bin.6</t>
  </si>
  <si>
    <t>https://ftp.ncbi.nlm.nih.gov/genomes/all/GCA/905/373/445/GCA_905373445.1_SRR9217464-mag-bin.6</t>
  </si>
  <si>
    <t>GCA_905373455.1</t>
  </si>
  <si>
    <t>SRR9217472-mag-bin.2</t>
  </si>
  <si>
    <t>https://ftp.ncbi.nlm.nih.gov/genomes/all/GCA/905/373/455/GCA_905373455.1_SRR9217472-mag-bin.2</t>
  </si>
  <si>
    <t>SRR9217471-mag-bin.5</t>
  </si>
  <si>
    <t>https://ftp.ncbi.nlm.nih.gov/genomes/all/GCA/905/373/465/GCA_905373465.1_SRR9217471-mag-bin.5</t>
  </si>
  <si>
    <t>GCA_905373485.1</t>
  </si>
  <si>
    <t>SRR9217473-mag-bin.5</t>
  </si>
  <si>
    <t>https://ftp.ncbi.nlm.nih.gov/genomes/all/GCA/905/373/485/GCA_905373485.1_SRR9217473-mag-bin.5</t>
  </si>
  <si>
    <t>SRR9217473-mag-bin.6</t>
  </si>
  <si>
    <t>https://ftp.ncbi.nlm.nih.gov/genomes/all/GCA/905/373/495/GCA_905373495.1_SRR9217473-mag-bin.6</t>
  </si>
  <si>
    <t>SRR9217473-mag-bin.9</t>
  </si>
  <si>
    <t>https://ftp.ncbi.nlm.nih.gov/genomes/all/GCA/905/373/515/GCA_905373515.1_SRR9217473-mag-bin.9</t>
  </si>
  <si>
    <t>GCA_905373535.1</t>
  </si>
  <si>
    <t>SRR9217479-mag-bin.5</t>
  </si>
  <si>
    <t>https://ftp.ncbi.nlm.nih.gov/genomes/all/GCA/905/373/535/GCA_905373535.1_SRR9217479-mag-bin.5</t>
  </si>
  <si>
    <t>GCA_905373545.1</t>
  </si>
  <si>
    <t>SRR9217479-mag-bin.7</t>
  </si>
  <si>
    <t>https://ftp.ncbi.nlm.nih.gov/genomes/all/GCA/905/373/545/GCA_905373545.1_SRR9217479-mag-bin.7</t>
  </si>
  <si>
    <t>SRR9217479-mag-bin.6</t>
  </si>
  <si>
    <t>https://ftp.ncbi.nlm.nih.gov/genomes/all/GCA/905/373/595/GCA_905373595.1_SRR9217479-mag-bin.6</t>
  </si>
  <si>
    <t>GCA_905373635.1</t>
  </si>
  <si>
    <t>SRR9217479-mag-bin.15</t>
  </si>
  <si>
    <t>https://ftp.ncbi.nlm.nih.gov/genomes/all/GCA/905/373/635/GCA_905373635.1_SRR9217479-mag-bin.15</t>
  </si>
  <si>
    <t>GCA_905373695.1</t>
  </si>
  <si>
    <t>SRR9217487-mag-bin.14</t>
  </si>
  <si>
    <t>https://ftp.ncbi.nlm.nih.gov/genomes/all/GCA/905/373/695/GCA_905373695.1_SRR9217487-mag-bin.14</t>
  </si>
  <si>
    <t>GCA_905373725.1</t>
  </si>
  <si>
    <t>SRR9217489-mag-bin.1</t>
  </si>
  <si>
    <t>https://ftp.ncbi.nlm.nih.gov/genomes/all/GCA/905/373/725/GCA_905373725.1_SRR9217489-mag-bin.1</t>
  </si>
  <si>
    <t>GCA_905373735.1</t>
  </si>
  <si>
    <t>SRR9217490-mag-bin.7</t>
  </si>
  <si>
    <t>https://ftp.ncbi.nlm.nih.gov/genomes/all/GCA/905/373/735/GCA_905373735.1_SRR9217490-mag-bin.7</t>
  </si>
  <si>
    <t>GCA_905373745.1</t>
  </si>
  <si>
    <t>SRR9217490-mag-bin.10</t>
  </si>
  <si>
    <t>https://ftp.ncbi.nlm.nih.gov/genomes/all/GCA/905/373/745/GCA_905373745.1_SRR9217490-mag-bin.10</t>
  </si>
  <si>
    <t>GCA_905373765.1</t>
  </si>
  <si>
    <t>SRR9217492-mag-bin.9</t>
  </si>
  <si>
    <t>https://ftp.ncbi.nlm.nih.gov/genomes/all/GCA/905/373/765/GCA_905373765.1_SRR9217492-mag-bin.9</t>
  </si>
  <si>
    <t>GCA_905373805.1</t>
  </si>
  <si>
    <t>SRR9217492-mag-bin.14</t>
  </si>
  <si>
    <t>https://ftp.ncbi.nlm.nih.gov/genomes/all/GCA/905/373/805/GCA_905373805.1_SRR9217492-mag-bin.14</t>
  </si>
  <si>
    <t>GCA_905373815.1</t>
  </si>
  <si>
    <t>SRR9217489-mag-bin.4</t>
  </si>
  <si>
    <t>https://ftp.ncbi.nlm.nih.gov/genomes/all/GCA/905/373/815/GCA_905373815.1_SRR9217489-mag-bin.4</t>
  </si>
  <si>
    <t>GCA_905373845.1</t>
  </si>
  <si>
    <t>SRR9217492-mag-bin.11</t>
  </si>
  <si>
    <t>https://ftp.ncbi.nlm.nih.gov/genomes/all/GCA/905/373/845/GCA_905373845.1_SRR9217492-mag-bin.11</t>
  </si>
  <si>
    <t>GCA_905373855.1</t>
  </si>
  <si>
    <t>SRR9217490-mag-bin.1</t>
  </si>
  <si>
    <t>https://ftp.ncbi.nlm.nih.gov/genomes/all/GCA/905/373/855/GCA_905373855.1_SRR9217490-mag-bin.1</t>
  </si>
  <si>
    <t>GCA_905373865.1</t>
  </si>
  <si>
    <t>SRR9217490-mag-bin.8</t>
  </si>
  <si>
    <t>https://ftp.ncbi.nlm.nih.gov/genomes/all/GCA/905/373/865/GCA_905373865.1_SRR9217490-mag-bin.8</t>
  </si>
  <si>
    <t>GCA_910574905.1</t>
  </si>
  <si>
    <t>A42_34_SW_DSS</t>
  </si>
  <si>
    <t>https://ftp.ncbi.nlm.nih.gov/genomes/all/GCA/910/574/905/GCA_910574905.1_MGBC000139</t>
  </si>
  <si>
    <t>GCA_910575195.1</t>
  </si>
  <si>
    <t>A88_80_GA_DSS</t>
  </si>
  <si>
    <t>https://ftp.ncbi.nlm.nih.gov/genomes/all/GCA/910/575/195/GCA_910575195.1_MGBC000101</t>
  </si>
  <si>
    <t>GCA_910575295.1</t>
  </si>
  <si>
    <t>A72_64_SM_DSS</t>
  </si>
  <si>
    <t>https://ftp.ncbi.nlm.nih.gov/genomes/all/GCA/910/575/295/GCA_910575295.1_MGBC000172</t>
  </si>
  <si>
    <t>GCA_910576065.1</t>
  </si>
  <si>
    <t>A88</t>
  </si>
  <si>
    <t>https://ftp.ncbi.nlm.nih.gov/genomes/all/GCA/910/576/065/GCA_910576065.1_MGBC000234</t>
  </si>
  <si>
    <t>GCA_912073625.1</t>
  </si>
  <si>
    <t>YH</t>
  </si>
  <si>
    <t>https://ftp.ncbi.nlm.nih.gov/genomes/all/GCA/912/073/625/GCA_912073625.1_PRJEB46774</t>
  </si>
  <si>
    <t>GCA_912422195.1</t>
  </si>
  <si>
    <t>DRR076989_bin.1_metaWRAP_v1.1_MAG</t>
  </si>
  <si>
    <t>https://ftp.ncbi.nlm.nih.gov/genomes/all/GCA/912/422/195/GCA_912422195.1_DRR076989_bin.1_metaWRAP_v1.1_MAG</t>
  </si>
  <si>
    <t>GCA_913778555.1</t>
  </si>
  <si>
    <t>SP39_3_metabat2_genome_mining.9</t>
  </si>
  <si>
    <t>https://ftp.ncbi.nlm.nih.gov/genomes/all/GCA/913/778/555/GCA_913778555.1_SP39_3_metabat2_genome_mining.9</t>
  </si>
  <si>
    <t>GCA_915063465.1</t>
  </si>
  <si>
    <t>SRR1045097_bin.7_metaWRAP_v1.1_MAG</t>
  </si>
  <si>
    <t>https://ftp.ncbi.nlm.nih.gov/genomes/all/GCA/915/063/465/GCA_915063465.1_SRR1045097_bin.7_metaWRAP_v1.1_MAG</t>
  </si>
  <si>
    <t>GCA_915063675.1</t>
  </si>
  <si>
    <t>SRR2037090_bin.21_metaWRAP_v1.1_MAG</t>
  </si>
  <si>
    <t>https://ftp.ncbi.nlm.nih.gov/genomes/all/GCA/915/063/675/GCA_915063675.1_SRR2037090_bin.21_metaWRAP_v1.1_MAG</t>
  </si>
  <si>
    <t>GCA_915063695.1</t>
  </si>
  <si>
    <t>SRR2037090_bin.3_metaWRAP_v1.1_MAG</t>
  </si>
  <si>
    <t>https://ftp.ncbi.nlm.nih.gov/genomes/all/GCA/915/063/695/GCA_915063695.1_SRR2037090_bin.3_metaWRAP_v1.1_MAG</t>
  </si>
  <si>
    <t>GCA_915063715.1</t>
  </si>
  <si>
    <t>SRR1045097_bin.2_metaWRAP_v1.1_MAG</t>
  </si>
  <si>
    <t>https://ftp.ncbi.nlm.nih.gov/genomes/all/GCA/915/063/715/GCA_915063715.1_SRR1045097_bin.2_metaWRAP_v1.1_MAG</t>
  </si>
  <si>
    <t>GCA_915063725.1</t>
  </si>
  <si>
    <t>SRR1045093_bin.10_metaWRAP_v1.1_MAG</t>
  </si>
  <si>
    <t>https://ftp.ncbi.nlm.nih.gov/genomes/all/GCA/915/063/725/GCA_915063725.1_SRR1045093_bin.10_metaWRAP_v1.1_MAG</t>
  </si>
  <si>
    <t>GCA_915066165.1</t>
  </si>
  <si>
    <t>SRR1045097_bin.4_metaWRAP_v1.1_MAG</t>
  </si>
  <si>
    <t>https://ftp.ncbi.nlm.nih.gov/genomes/all/GCA/915/066/165/GCA_915066165.1_SRR1045097_bin.4_metaWRAP_v1.1_MAG</t>
  </si>
  <si>
    <t>GCA_915066195.1</t>
  </si>
  <si>
    <t>SRR1045097_bin.5_metaWRAP_v1.1_MAG</t>
  </si>
  <si>
    <t>https://ftp.ncbi.nlm.nih.gov/genomes/all/GCA/915/066/195/GCA_915066195.1_SRR1045097_bin.5_metaWRAP_v1.1_MAG</t>
  </si>
  <si>
    <t>GCA_915066855.1</t>
  </si>
  <si>
    <t>SRR1045099_bin.1_metaWRAP_v1.1_MAG</t>
  </si>
  <si>
    <t>https://ftp.ncbi.nlm.nih.gov/genomes/all/GCA/915/066/855/GCA_915066855.1_SRR1045099_bin.1_metaWRAP_v1.1_MAG</t>
  </si>
  <si>
    <t>SRR1045093_bin.1_metaWRAP_v1.1_MAG</t>
  </si>
  <si>
    <t>https://ftp.ncbi.nlm.nih.gov/genomes/all/GCA/915/066/995/GCA_915066995.1_SRR1045093_bin.1_metaWRAP_v1.1_MAG</t>
  </si>
  <si>
    <t>GCA_915068245.1</t>
  </si>
  <si>
    <t>SRR1045092_bin.4_metaWRAP_v1.1_MAG</t>
  </si>
  <si>
    <t>https://ftp.ncbi.nlm.nih.gov/genomes/all/GCA/915/068/245/GCA_915068245.1_SRR1045092_bin.4_metaWRAP_v1.1_MAG</t>
  </si>
  <si>
    <t>GCA_915068305.1</t>
  </si>
  <si>
    <t>SRR2037090_bin.20_metaWRAP_v1.1_MAG</t>
  </si>
  <si>
    <t>https://ftp.ncbi.nlm.nih.gov/genomes/all/GCA/915/068/305/GCA_915068305.1_SRR2037090_bin.20_metaWRAP_v1.1_MAG</t>
  </si>
  <si>
    <t>GCA_915069505.1</t>
  </si>
  <si>
    <t>SRR1044017_bin.1_metaWRAP_v1.1_MAG</t>
  </si>
  <si>
    <t>https://ftp.ncbi.nlm.nih.gov/genomes/all/GCA/915/069/505/GCA_915069505.1_SRR1044017_bin.1_metaWRAP_v1.1_MAG</t>
  </si>
  <si>
    <t>GCA_915069595.1</t>
  </si>
  <si>
    <t>SRR2037088_bin.12_metaWRAP_v1.1_MAG</t>
  </si>
  <si>
    <t>https://ftp.ncbi.nlm.nih.gov/genomes/all/GCA/915/069/595/GCA_915069595.1_SRR2037088_bin.12_metaWRAP_v1.1_MAG</t>
  </si>
  <si>
    <t>GCA_915070555.1</t>
  </si>
  <si>
    <t>SRR1045093_bin.11_metaWRAP_v1.1_MAG</t>
  </si>
  <si>
    <t>https://ftp.ncbi.nlm.nih.gov/genomes/all/GCA/915/070/555/GCA_915070555.1_SRR1045093_bin.11_metaWRAP_v1.1_MAG</t>
  </si>
  <si>
    <t>GCA_916048135.1</t>
  </si>
  <si>
    <t>ERR2764840_bin.6_metaWRAP_v1.1_MAG</t>
  </si>
  <si>
    <t>https://ftp.ncbi.nlm.nih.gov/genomes/all/GCA/916/048/135/GCA_916048135.1_ERR2764840_bin.6_metaWRAP_v1.1_MAG</t>
  </si>
  <si>
    <t>ERR2764998_bin.2_metaWRAP_v1.1_MAG</t>
  </si>
  <si>
    <t>https://ftp.ncbi.nlm.nih.gov/genomes/all/GCA/916/048/225/GCA_916048225.1_ERR2764998_bin.2_metaWRAP_v1.1_MAG</t>
  </si>
  <si>
    <t>GCA_916048245.1</t>
  </si>
  <si>
    <t>ERR2764965_bin.3_metaWRAP_v1.1_MAG</t>
  </si>
  <si>
    <t>https://ftp.ncbi.nlm.nih.gov/genomes/all/GCA/916/048/245/GCA_916048245.1_ERR2764965_bin.3_metaWRAP_v1.1_MAG</t>
  </si>
  <si>
    <t>GCA_916048315.1</t>
  </si>
  <si>
    <t>ERR2764810_bin.2_metaWRAP_v1.1_MAG</t>
  </si>
  <si>
    <t>https://ftp.ncbi.nlm.nih.gov/genomes/all/GCA/916/048/315/GCA_916048315.1_ERR2764810_bin.2_metaWRAP_v1.1_MAG</t>
  </si>
  <si>
    <t>ERR2764965_bin.9_metaWRAP_v1.1_MAG</t>
  </si>
  <si>
    <t>https://ftp.ncbi.nlm.nih.gov/genomes/all/GCA/916/048/355/GCA_916048355.1_ERR2764965_bin.9_metaWRAP_v1.1_MAG</t>
  </si>
  <si>
    <t>GCA_916048365.1</t>
  </si>
  <si>
    <t>ERR2764814_bin.4_metaWRAP_v1.1_MAG</t>
  </si>
  <si>
    <t>https://ftp.ncbi.nlm.nih.gov/genomes/all/GCA/916/048/365/GCA_916048365.1_ERR2764814_bin.4_metaWRAP_v1.1_MAG</t>
  </si>
  <si>
    <t>GCA_916048385.1</t>
  </si>
  <si>
    <t>ERR2764975_bin.4_metaWRAP_v1.1_MAG</t>
  </si>
  <si>
    <t>https://ftp.ncbi.nlm.nih.gov/genomes/all/GCA/916/048/385/GCA_916048385.1_ERR2764975_bin.4_metaWRAP_v1.1_MAG</t>
  </si>
  <si>
    <t>GCA_916048505.1</t>
  </si>
  <si>
    <t>ERR2764996_bin.6_metaWRAP_v1.1_MAG</t>
  </si>
  <si>
    <t>https://ftp.ncbi.nlm.nih.gov/genomes/all/GCA/916/048/505/GCA_916048505.1_ERR2764996_bin.6_metaWRAP_v1.1_MAG</t>
  </si>
  <si>
    <t>GCA_916048645.1</t>
  </si>
  <si>
    <t>ERR2764820_bin.5_metaWRAP_v1.1_MAG</t>
  </si>
  <si>
    <t>https://ftp.ncbi.nlm.nih.gov/genomes/all/GCA/916/048/645/GCA_916048645.1_ERR2764820_bin.5_metaWRAP_v1.1_MAG</t>
  </si>
  <si>
    <t>GCA_916048815.1</t>
  </si>
  <si>
    <t>ERR2764996_bin.3_metaWRAP_v1.1_MAG</t>
  </si>
  <si>
    <t>https://ftp.ncbi.nlm.nih.gov/genomes/all/GCA/916/048/815/GCA_916048815.1_ERR2764996_bin.3_metaWRAP_v1.1_MAG</t>
  </si>
  <si>
    <t>GCA_916049685.1</t>
  </si>
  <si>
    <t>ERR2764924_bin.3_metaWRAP_v1.1_MAG</t>
  </si>
  <si>
    <t>https://ftp.ncbi.nlm.nih.gov/genomes/all/GCA/916/049/685/GCA_916049685.1_ERR2764924_bin.3_metaWRAP_v1.1_MAG</t>
  </si>
  <si>
    <t>GCA_916049695.1</t>
  </si>
  <si>
    <t>ERR2764931_bin.5_metaWRAP_v1.1_MAG</t>
  </si>
  <si>
    <t>https://ftp.ncbi.nlm.nih.gov/genomes/all/GCA/916/049/695/GCA_916049695.1_ERR2764931_bin.5_metaWRAP_v1.1_MAG</t>
  </si>
  <si>
    <t>GCA_916049745.1</t>
  </si>
  <si>
    <t>ERR2764996_bin.5_metaWRAP_v1.1_MAG</t>
  </si>
  <si>
    <t>https://ftp.ncbi.nlm.nih.gov/genomes/all/GCA/916/049/745/GCA_916049745.1_ERR2764996_bin.5_metaWRAP_v1.1_MAG</t>
  </si>
  <si>
    <t>GCA_916049875.1</t>
  </si>
  <si>
    <t>ERR2765003_bin.2_metaWRAP_v1.1_MAG</t>
  </si>
  <si>
    <t>https://ftp.ncbi.nlm.nih.gov/genomes/all/GCA/916/049/875/GCA_916049875.1_ERR2765003_bin.2_metaWRAP_v1.1_MAG</t>
  </si>
  <si>
    <t>GCA_916049885.1</t>
  </si>
  <si>
    <t>ERR2764920_bin.2_metaWRAP_v1.1_MAG</t>
  </si>
  <si>
    <t>https://ftp.ncbi.nlm.nih.gov/genomes/all/GCA/916/049/885/GCA_916049885.1_ERR2764920_bin.2_metaWRAP_v1.1_MAG</t>
  </si>
  <si>
    <t>GCA_916049915.1</t>
  </si>
  <si>
    <t>ERR2764927_bin.2_metaWRAP_v1.1_MAG</t>
  </si>
  <si>
    <t>https://ftp.ncbi.nlm.nih.gov/genomes/all/GCA/916/049/915/GCA_916049915.1_ERR2764927_bin.2_metaWRAP_v1.1_MAG</t>
  </si>
  <si>
    <t>GCA_916049965.1</t>
  </si>
  <si>
    <t>ERR2764907_bin.3_metaWRAP_v1.1_MAG</t>
  </si>
  <si>
    <t>https://ftp.ncbi.nlm.nih.gov/genomes/all/GCA/916/049/965/GCA_916049965.1_ERR2764907_bin.3_metaWRAP_v1.1_MAG</t>
  </si>
  <si>
    <t>GCA_916050205.1</t>
  </si>
  <si>
    <t>ERR2764931_bin.4_metaWRAP_v1.1_MAG</t>
  </si>
  <si>
    <t>https://ftp.ncbi.nlm.nih.gov/genomes/all/GCA/916/050/205/GCA_916050205.1_ERR2764931_bin.4_metaWRAP_v1.1_MAG</t>
  </si>
  <si>
    <t>GCA_916050265.1</t>
  </si>
  <si>
    <t>ERR2765224_bin.2_metaWRAP_v1.1_MAG</t>
  </si>
  <si>
    <t>https://ftp.ncbi.nlm.nih.gov/genomes/all/GCA/916/050/265/GCA_916050265.1_ERR2765224_bin.2_metaWRAP_v1.1_MAG</t>
  </si>
  <si>
    <t>GCA_916050295.1</t>
  </si>
  <si>
    <t>ERR2764978_bin.4_metaWRAP_v1.1_MAG</t>
  </si>
  <si>
    <t>https://ftp.ncbi.nlm.nih.gov/genomes/all/GCA/916/050/295/GCA_916050295.1_ERR2764978_bin.4_metaWRAP_v1.1_MAG</t>
  </si>
  <si>
    <t>GCA_916050365.1</t>
  </si>
  <si>
    <t>ERR2764966_bin.3_metaWRAP_v1.1_MAG</t>
  </si>
  <si>
    <t>https://ftp.ncbi.nlm.nih.gov/genomes/all/GCA/916/050/365/GCA_916050365.1_ERR2764966_bin.3_metaWRAP_v1.1_MAG</t>
  </si>
  <si>
    <t>GCA_916050395.1</t>
  </si>
  <si>
    <t>ERR2764986_bin.2_metaWRAP_v1.1_MAG</t>
  </si>
  <si>
    <t>https://ftp.ncbi.nlm.nih.gov/genomes/all/GCA/916/050/395/GCA_916050395.1_ERR2764986_bin.2_metaWRAP_v1.1_MAG</t>
  </si>
  <si>
    <t>GCA_916050405.1</t>
  </si>
  <si>
    <t>ERR2764903_bin.3_metaWRAP_v1.1_MAG</t>
  </si>
  <si>
    <t>https://ftp.ncbi.nlm.nih.gov/genomes/all/GCA/916/050/405/GCA_916050405.1_ERR2764903_bin.3_metaWRAP_v1.1_MAG</t>
  </si>
  <si>
    <t>GCA_916050445.1</t>
  </si>
  <si>
    <t>ERR2764997_bin.10_metaWRAP_v1.1_MAG</t>
  </si>
  <si>
    <t>https://ftp.ncbi.nlm.nih.gov/genomes/all/GCA/916/050/445/GCA_916050445.1_ERR2764997_bin.10_metaWRAP_v1.1_MAG</t>
  </si>
  <si>
    <t>ERR2764871_bin.3_metaWRAP_v1.1_MAG</t>
  </si>
  <si>
    <t>https://ftp.ncbi.nlm.nih.gov/genomes/all/GCA/916/050/455/GCA_916050455.1_ERR2764871_bin.3_metaWRAP_v1.1_MAG</t>
  </si>
  <si>
    <t>ERR2764838_bin.1_metaWRAP_v1.1_MAG</t>
  </si>
  <si>
    <t>https://ftp.ncbi.nlm.nih.gov/genomes/all/GCA/916/050/515/GCA_916050515.1_ERR2764838_bin.1_metaWRAP_v1.1_MAG</t>
  </si>
  <si>
    <t>GCA_916438255.1</t>
  </si>
  <si>
    <t>DRR214962_bin.5_metaWRAP_v1.1_MAG</t>
  </si>
  <si>
    <t>https://ftp.ncbi.nlm.nih.gov/genomes/all/GCA/916/438/255/GCA_916438255.1_DRR214962_bin.5_metaWRAP_v1.1_MAG</t>
  </si>
  <si>
    <t>GCA_916438325.1</t>
  </si>
  <si>
    <t>DRR214959_bin.37_metaWRAP_v1.1_MAG</t>
  </si>
  <si>
    <t>https://ftp.ncbi.nlm.nih.gov/genomes/all/GCA/916/438/325/GCA_916438325.1_DRR214959_bin.37_metaWRAP_v1.1_MAG</t>
  </si>
  <si>
    <t>GCA_916438355.1</t>
  </si>
  <si>
    <t>DRR214962_bin.15_metaWRAP_v1.1_MAG</t>
  </si>
  <si>
    <t>https://ftp.ncbi.nlm.nih.gov/genomes/all/GCA/916/438/355/GCA_916438355.1_DRR214962_bin.15_metaWRAP_v1.1_MAG</t>
  </si>
  <si>
    <t>DRR214960_bin.12_metaWRAP_v1.1_MAG</t>
  </si>
  <si>
    <t>https://ftp.ncbi.nlm.nih.gov/genomes/all/GCA/916/438/435/GCA_916438435.1_DRR214960_bin.12_metaWRAP_v1.1_MAG</t>
  </si>
  <si>
    <t>DRR214962_bin.4_metaWRAP_v1.1_MAG</t>
  </si>
  <si>
    <t>https://ftp.ncbi.nlm.nih.gov/genomes/all/GCA/916/438/585/GCA_916438585.1_DRR214962_bin.4_metaWRAP_v1.1_MAG</t>
  </si>
  <si>
    <t>DRR214962_bin.1_metaWRAP_v1.1_MAG</t>
  </si>
  <si>
    <t>https://ftp.ncbi.nlm.nih.gov/genomes/all/GCA/916/438/675/GCA_916438675.1_DRR214962_bin.1_metaWRAP_v1.1_MAG</t>
  </si>
  <si>
    <t>GCA_916438715.1</t>
  </si>
  <si>
    <t>DRR214962_bin.25_metaWRAP_v1.1_MAG</t>
  </si>
  <si>
    <t>https://ftp.ncbi.nlm.nih.gov/genomes/all/GCA/916/438/715/GCA_916438715.1_DRR214962_bin.25_metaWRAP_v1.1_MAG</t>
  </si>
  <si>
    <t>GCA_916438985.1</t>
  </si>
  <si>
    <t>DRR214961_bin.18_metaWRAP_v1.1_MAG</t>
  </si>
  <si>
    <t>https://ftp.ncbi.nlm.nih.gov/genomes/all/GCA/916/438/985/GCA_916438985.1_DRR214961_bin.18_metaWRAP_v1.1_MAG</t>
  </si>
  <si>
    <t>GCA_916439015.1</t>
  </si>
  <si>
    <t>DRR214959_bin.28_metaWRAP_v1.1_MAG</t>
  </si>
  <si>
    <t>https://ftp.ncbi.nlm.nih.gov/genomes/all/GCA/916/439/015/GCA_916439015.1_DRR214959_bin.28_metaWRAP_v1.1_MAG</t>
  </si>
  <si>
    <t>DRR214959_bin.4_metaWRAP_v1.1_MAG</t>
  </si>
  <si>
    <t>https://ftp.ncbi.nlm.nih.gov/genomes/all/GCA/916/439/075/GCA_916439075.1_DRR214959_bin.4_metaWRAP_v1.1_MAG</t>
  </si>
  <si>
    <t>GCA_916439165.1</t>
  </si>
  <si>
    <t>DRR214962_bin.24_metaWRAP_v1.1_MAG</t>
  </si>
  <si>
    <t>https://ftp.ncbi.nlm.nih.gov/genomes/all/GCA/916/439/165/GCA_916439165.1_DRR214962_bin.24_metaWRAP_v1.1_MAG</t>
  </si>
  <si>
    <t>GCA_916439175.1</t>
  </si>
  <si>
    <t>DRR214962_bin.6_metaWRAP_v1.1_MAG</t>
  </si>
  <si>
    <t>https://ftp.ncbi.nlm.nih.gov/genomes/all/GCA/916/439/175/GCA_916439175.1_DRR214962_bin.6_metaWRAP_v1.1_MAG</t>
  </si>
  <si>
    <t>DRR214960_bin.22_metaWRAP_v1.1_MAG</t>
  </si>
  <si>
    <t>https://ftp.ncbi.nlm.nih.gov/genomes/all/GCA/916/439/255/GCA_916439255.1_DRR214960_bin.22_metaWRAP_v1.1_MAG</t>
  </si>
  <si>
    <t>GCA_916439315.1</t>
  </si>
  <si>
    <t>DRR214960_bin.36_metaWRAP_v1.1_MAG</t>
  </si>
  <si>
    <t>https://ftp.ncbi.nlm.nih.gov/genomes/all/GCA/916/439/315/GCA_916439315.1_DRR214960_bin.36_metaWRAP_v1.1_MAG</t>
  </si>
  <si>
    <t>GCA_916440305.1</t>
  </si>
  <si>
    <t>DRR214960_bin.1_metaWRAP_v1.1_MAG</t>
  </si>
  <si>
    <t>https://ftp.ncbi.nlm.nih.gov/genomes/all/GCA/916/440/305/GCA_916440305.1_DRR214960_bin.1_metaWRAP_v1.1_MAG</t>
  </si>
  <si>
    <t>GCA_916444975.1</t>
  </si>
  <si>
    <t>DRR214960_bin.3_metaWRAP_v1.1_MAG</t>
  </si>
  <si>
    <t>https://ftp.ncbi.nlm.nih.gov/genomes/all/GCA/916/444/975/GCA_916444975.1_DRR214960_bin.3_metaWRAP_v1.1_MAG</t>
  </si>
  <si>
    <t>GCA_916619785.1</t>
  </si>
  <si>
    <t>Marseille-Q3604</t>
  </si>
  <si>
    <t>https://ftp.ncbi.nlm.nih.gov/genomes/all/GCA/916/619/785/GCA_916619785.1_PRJEB46726</t>
  </si>
  <si>
    <t>GCA_916700545.1</t>
  </si>
  <si>
    <t>Marseille-Q4154</t>
  </si>
  <si>
    <t>https://ftp.ncbi.nlm.nih.gov/genomes/all/GCA/916/700/545/GCA_916700545.1_PRJEB46725</t>
  </si>
  <si>
    <t>GCA_916709915.1</t>
  </si>
  <si>
    <t>SRR15235657_bin.2_metaWRAP_v1.1_MAG</t>
  </si>
  <si>
    <t>https://ftp.ncbi.nlm.nih.gov/genomes/all/GCA/916/709/915/GCA_916709915.1_SRR15235657_bin.2_metaWRAP_v1.1_MAG</t>
  </si>
  <si>
    <t>SRR15235651_bin.4_metaWRAP_v1.1_MAG</t>
  </si>
  <si>
    <t>https://ftp.ncbi.nlm.nih.gov/genomes/all/GCA/916/709/935/GCA_916709935.1_SRR15235651_bin.4_metaWRAP_v1.1_MAG</t>
  </si>
  <si>
    <t>GCA_916709955.1</t>
  </si>
  <si>
    <t>SRR15235667_bin.14_metaWRAP_v1.1_MAG</t>
  </si>
  <si>
    <t>https://ftp.ncbi.nlm.nih.gov/genomes/all/GCA/916/709/955/GCA_916709955.1_SRR15235667_bin.14_metaWRAP_v1.1_MAG</t>
  </si>
  <si>
    <t>GCA_916715705.1</t>
  </si>
  <si>
    <t>SRR15235652_bin.2_metaWRAP_v1.1_MAG</t>
  </si>
  <si>
    <t>https://ftp.ncbi.nlm.nih.gov/genomes/all/GCA/916/715/705/GCA_916715705.1_SRR15235652_bin.2_metaWRAP_v1.1_MAG</t>
  </si>
  <si>
    <t>GCA_916715745.1</t>
  </si>
  <si>
    <t>SRR15235661_bin.8_metaWRAP_v1.1_MAG</t>
  </si>
  <si>
    <t>https://ftp.ncbi.nlm.nih.gov/genomes/all/GCA/916/715/745/GCA_916715745.1_SRR15235661_bin.8_metaWRAP_v1.1_MAG</t>
  </si>
  <si>
    <t>GCA_916715755.1</t>
  </si>
  <si>
    <t>SRR15235649_bin.18_metaWRAP_v1.1_MAG</t>
  </si>
  <si>
    <t>https://ftp.ncbi.nlm.nih.gov/genomes/all/GCA/916/715/755/GCA_916715755.1_SRR15235649_bin.18_metaWRAP_v1.1_MAG</t>
  </si>
  <si>
    <t>GCA_916719845.1</t>
  </si>
  <si>
    <t>SRR15235668_bin.2_metaWRAP_v1.1_MAG</t>
  </si>
  <si>
    <t>https://ftp.ncbi.nlm.nih.gov/genomes/all/GCA/916/719/845/GCA_916719845.1_SRR15235668_bin.2_metaWRAP_v1.1_MAG</t>
  </si>
  <si>
    <t>GCA_916719885.1</t>
  </si>
  <si>
    <t>SRR15235655_bin.6_metaWRAP_v1.1_MAG</t>
  </si>
  <si>
    <t>https://ftp.ncbi.nlm.nih.gov/genomes/all/GCA/916/719/885/GCA_916719885.1_SRR15235655_bin.6_metaWRAP_v1.1_MAG</t>
  </si>
  <si>
    <t>GCA_916719905.1</t>
  </si>
  <si>
    <t>SRR15235659_bin.10_metaWRAP_v1.1_MAG</t>
  </si>
  <si>
    <t>https://ftp.ncbi.nlm.nih.gov/genomes/all/GCA/916/719/905/GCA_916719905.1_SRR15235659_bin.10_metaWRAP_v1.1_MAG</t>
  </si>
  <si>
    <t>GCA_916719955.1</t>
  </si>
  <si>
    <t>SRR15235667_bin.3_metaWRAP_v1.1_MAG</t>
  </si>
  <si>
    <t>https://ftp.ncbi.nlm.nih.gov/genomes/all/GCA/916/719/955/GCA_916719955.1_SRR15235667_bin.3_metaWRAP_v1.1_MAG</t>
  </si>
  <si>
    <t>SRR15235656_bin.17_metaWRAP_v1.1_MAG</t>
  </si>
  <si>
    <t>https://ftp.ncbi.nlm.nih.gov/genomes/all/GCA/916/720/025/GCA_916720025.1_SRR15235656_bin.17_metaWRAP_v1.1_MAG</t>
  </si>
  <si>
    <t>GCA_916720055.1</t>
  </si>
  <si>
    <t>SRR15235650_bin.7_metaWRAP_v1.1_MAG</t>
  </si>
  <si>
    <t>https://ftp.ncbi.nlm.nih.gov/genomes/all/GCA/916/720/055/GCA_916720055.1_SRR15235650_bin.7_metaWRAP_v1.1_MAG</t>
  </si>
  <si>
    <t>GCA_916720075.1</t>
  </si>
  <si>
    <t>SRR15235654_bin.4_metaWRAP_v1.1_MAG</t>
  </si>
  <si>
    <t>https://ftp.ncbi.nlm.nih.gov/genomes/all/GCA/916/720/075/GCA_916720075.1_SRR15235654_bin.4_metaWRAP_v1.1_MAG</t>
  </si>
  <si>
    <t>GCA_916720085.1</t>
  </si>
  <si>
    <t>SRR15235658_bin.5_metaWRAP_v1.1_MAG</t>
  </si>
  <si>
    <t>https://ftp.ncbi.nlm.nih.gov/genomes/all/GCA/916/720/085/GCA_916720085.1_SRR15235658_bin.5_metaWRAP_v1.1_MAG</t>
  </si>
  <si>
    <t>GCA_916720105.1</t>
  </si>
  <si>
    <t>SRR15235650_bin.2_metaWRAP_v1.1_MAG</t>
  </si>
  <si>
    <t>https://ftp.ncbi.nlm.nih.gov/genomes/all/GCA/916/720/105/GCA_916720105.1_SRR15235650_bin.2_metaWRAP_v1.1_MAG</t>
  </si>
  <si>
    <t>SRR15235662_bin.26_metaWRAP_v1.1_MAG</t>
  </si>
  <si>
    <t>https://ftp.ncbi.nlm.nih.gov/genomes/all/GCA/916/720/135/GCA_916720135.1_SRR15235662_bin.26_metaWRAP_v1.1_MAG</t>
  </si>
  <si>
    <t>GCA_916720155.1</t>
  </si>
  <si>
    <t>SRR15235659_bin.27_metaWRAP_v1.1_MAG</t>
  </si>
  <si>
    <t>https://ftp.ncbi.nlm.nih.gov/genomes/all/GCA/916/720/155/GCA_916720155.1_SRR15235659_bin.27_metaWRAP_v1.1_MAG</t>
  </si>
  <si>
    <t>GCA_916720205.1</t>
  </si>
  <si>
    <t>SRR15235666_bin.18_metaWRAP_v1.1_MAG</t>
  </si>
  <si>
    <t>https://ftp.ncbi.nlm.nih.gov/genomes/all/GCA/916/720/205/GCA_916720205.1_SRR15235666_bin.18_metaWRAP_v1.1_MAG</t>
  </si>
  <si>
    <t>GCA_916720355.1</t>
  </si>
  <si>
    <t>SRR15235666_bin.10_metaWRAP_v1.1_MAG</t>
  </si>
  <si>
    <t>https://ftp.ncbi.nlm.nih.gov/genomes/all/GCA/916/720/355/GCA_916720355.1_SRR15235666_bin.10_metaWRAP_v1.1_MAG</t>
  </si>
  <si>
    <t>SRR15235659_bin.13_metaWRAP_v1.1_MAG</t>
  </si>
  <si>
    <t>https://ftp.ncbi.nlm.nih.gov/genomes/all/GCA/916/720/365/GCA_916720365.1_SRR15235659_bin.13_metaWRAP_v1.1_MAG</t>
  </si>
  <si>
    <t>GCA_916720385.1</t>
  </si>
  <si>
    <t>SRR15235663_bin.9_metaWRAP_v1.1_MAG</t>
  </si>
  <si>
    <t>https://ftp.ncbi.nlm.nih.gov/genomes/all/GCA/916/720/385/GCA_916720385.1_SRR15235663_bin.9_metaWRAP_v1.1_MAG</t>
  </si>
  <si>
    <t>GCA_916720395.1</t>
  </si>
  <si>
    <t>SRR15235662_bin.6_metaWRAP_v1.1_MAG</t>
  </si>
  <si>
    <t>https://ftp.ncbi.nlm.nih.gov/genomes/all/GCA/916/720/395/GCA_916720395.1_SRR15235662_bin.6_metaWRAP_v1.1_MAG</t>
  </si>
  <si>
    <t>GCA_916720415.1</t>
  </si>
  <si>
    <t>SRR15235662_bin.10_metaWRAP_v1.1_MAG</t>
  </si>
  <si>
    <t>https://ftp.ncbi.nlm.nih.gov/genomes/all/GCA/916/720/415/GCA_916720415.1_SRR15235662_bin.10_metaWRAP_v1.1_MAG</t>
  </si>
  <si>
    <t>SRR15235657_bin.10_metaWRAP_v1.1_MAG</t>
  </si>
  <si>
    <t>https://ftp.ncbi.nlm.nih.gov/genomes/all/GCA/916/720/475/GCA_916720475.1_SRR15235657_bin.10_metaWRAP_v1.1_MAG</t>
  </si>
  <si>
    <t>GCA_916720605.1</t>
  </si>
  <si>
    <t>SRR15235668_bin.10_metaWRAP_v1.1_MAG</t>
  </si>
  <si>
    <t>https://ftp.ncbi.nlm.nih.gov/genomes/all/GCA/916/720/605/GCA_916720605.1_SRR15235668_bin.10_metaWRAP_v1.1_MAG</t>
  </si>
  <si>
    <t>GCA_916720615.1</t>
  </si>
  <si>
    <t>SRR15235652_bin.5_metaWRAP_v1.1_MAG</t>
  </si>
  <si>
    <t>https://ftp.ncbi.nlm.nih.gov/genomes/all/GCA/916/720/615/GCA_916720615.1_SRR15235652_bin.5_metaWRAP_v1.1_MAG</t>
  </si>
  <si>
    <t>GCA_916720625.1</t>
  </si>
  <si>
    <t>SRR15235657_bin.8_metaWRAP_v1.1_MAG</t>
  </si>
  <si>
    <t>https://ftp.ncbi.nlm.nih.gov/genomes/all/GCA/916/720/625/GCA_916720625.1_SRR15235657_bin.8_metaWRAP_v1.1_MAG</t>
  </si>
  <si>
    <t>GCA_916720675.1</t>
  </si>
  <si>
    <t>SRR15235658_bin.10_metaWRAP_v1.1_MAG</t>
  </si>
  <si>
    <t>https://ftp.ncbi.nlm.nih.gov/genomes/all/GCA/916/720/675/GCA_916720675.1_SRR15235658_bin.10_metaWRAP_v1.1_MAG</t>
  </si>
  <si>
    <t>GCA_916720735.1</t>
  </si>
  <si>
    <t>SRR15235655_bin.4_metaWRAP_v1.1_MAG</t>
  </si>
  <si>
    <t>https://ftp.ncbi.nlm.nih.gov/genomes/all/GCA/916/720/735/GCA_916720735.1_SRR15235655_bin.4_metaWRAP_v1.1_MAG</t>
  </si>
  <si>
    <t>GCA_916720955.1</t>
  </si>
  <si>
    <t>SRR15235657_bin.11_metaWRAP_v1.1_MAG</t>
  </si>
  <si>
    <t>https://ftp.ncbi.nlm.nih.gov/genomes/all/GCA/916/720/955/GCA_916720955.1_SRR15235657_bin.11_metaWRAP_v1.1_MAG</t>
  </si>
  <si>
    <t>GCA_916720985.1</t>
  </si>
  <si>
    <t>SRR15235667_bin.24_metaWRAP_v1.1_MAG</t>
  </si>
  <si>
    <t>https://ftp.ncbi.nlm.nih.gov/genomes/all/GCA/916/720/985/GCA_916720985.1_SRR15235667_bin.24_metaWRAP_v1.1_MAG</t>
  </si>
  <si>
    <t>GCA_916856725.1</t>
  </si>
  <si>
    <t>Marseille-Q0026</t>
  </si>
  <si>
    <t>https://ftp.ncbi.nlm.nih.gov/genomes/all/GCA/916/856/725/GCA_916856725.1_PRJEB46705</t>
  </si>
  <si>
    <t>GCA_916862695.1</t>
  </si>
  <si>
    <t>Marseille-P9675</t>
  </si>
  <si>
    <t>https://ftp.ncbi.nlm.nih.gov/genomes/all/GCA/916/862/695/GCA_916862695.1_PRJEB46706</t>
  </si>
  <si>
    <t>VPIC145</t>
  </si>
  <si>
    <t>https://ftp.ncbi.nlm.nih.gov/genomes/all/GCA/918/258/265/GCA_918258265.1_BOVAC1</t>
  </si>
  <si>
    <t>VPI435</t>
  </si>
  <si>
    <t>https://ftp.ncbi.nlm.nih.gov/genomes/all/GCA/918/292/745/GCA_918292745.1_BOVA435</t>
  </si>
  <si>
    <t>GCA_919946725.1</t>
  </si>
  <si>
    <t>KR271</t>
  </si>
  <si>
    <t>https://ftp.ncbi.nlm.nih.gov/genomes/all/GCA/919/946/725/GCA_919946725.1_KRLund_NTHi_Assembly_Genome271</t>
  </si>
  <si>
    <t>GCA_919949215.1</t>
  </si>
  <si>
    <t>https://ftp.ncbi.nlm.nih.gov/genomes/all/GCA/919/949/215/GCA_919949215.1_KRLund_NTHi_Assembly_Genome3655</t>
  </si>
  <si>
    <t>GCA_920939465.1</t>
  </si>
  <si>
    <t>Marseille-P9115</t>
  </si>
  <si>
    <t>https://ftp.ncbi.nlm.nih.gov/genomes/all/GCA/920/939/465/GCA_920939465.1_PRJEB46694</t>
  </si>
  <si>
    <t>GCA_925282535.1</t>
  </si>
  <si>
    <t>IM1314</t>
  </si>
  <si>
    <t>https://ftp.ncbi.nlm.nih.gov/genomes/all/GCA/925/282/535/GCA_925282535.1_IM1314</t>
  </si>
  <si>
    <t>GCA_925293305.1</t>
  </si>
  <si>
    <t>IM1319</t>
  </si>
  <si>
    <t>https://ftp.ncbi.nlm.nih.gov/genomes/all/GCA/925/293/305/GCA_925293305.1_IM1319</t>
  </si>
  <si>
    <t>ERR3827227_bin.8_metaWRAP_v1.1_MAG</t>
  </si>
  <si>
    <t>https://ftp.ncbi.nlm.nih.gov/genomes/all/GCA/927/910/845/GCA_927910845.1_ERR3827227_bin.8_metaWRAP_v1.1_MAG</t>
  </si>
  <si>
    <t>GCA_927910925.1</t>
  </si>
  <si>
    <t>ERR3827219_bin.1_metaWRAP_v1.1_MAG</t>
  </si>
  <si>
    <t>https://ftp.ncbi.nlm.nih.gov/genomes/all/GCA/927/910/925/GCA_927910925.1_ERR3827219_bin.1_metaWRAP_v1.1_MAG</t>
  </si>
  <si>
    <t>ERR3827247_bin.3_metaWRAP_v1.1_MAG</t>
  </si>
  <si>
    <t>https://ftp.ncbi.nlm.nih.gov/genomes/all/GCA/927/911/275/GCA_927911275.1_ERR3827247_bin.3_metaWRAP_v1.1_MAG</t>
  </si>
  <si>
    <t>GCA_927911295.1</t>
  </si>
  <si>
    <t>ERR3827195_bin.2_metaWRAP_v1.1_MAG</t>
  </si>
  <si>
    <t>https://ftp.ncbi.nlm.nih.gov/genomes/all/GCA/927/911/295/GCA_927911295.1_ERR3827195_bin.2_metaWRAP_v1.1_MAG</t>
  </si>
  <si>
    <t>ERR3827227_bin.6_metaWRAP_v1.1_MAG</t>
  </si>
  <si>
    <t>https://ftp.ncbi.nlm.nih.gov/genomes/all/GCA/927/911/435/GCA_927911435.1_ERR3827227_bin.6_metaWRAP_v1.1_MAG</t>
  </si>
  <si>
    <t>GCA_927911585.1</t>
  </si>
  <si>
    <t>ERR3827235_bin.1_metaWRAP_v1.1_MAG</t>
  </si>
  <si>
    <t>https://ftp.ncbi.nlm.nih.gov/genomes/all/GCA/927/911/585/GCA_927911585.1_ERR3827235_bin.1_metaWRAP_v1.1_MAG</t>
  </si>
  <si>
    <t>GCA_927911655.1</t>
  </si>
  <si>
    <t>ERR3827212_bin.2_metaWRAP_v1.1_MAG</t>
  </si>
  <si>
    <t>https://ftp.ncbi.nlm.nih.gov/genomes/all/GCA/927/911/655/GCA_927911655.1_ERR3827212_bin.2_metaWRAP_v1.1_MAG</t>
  </si>
  <si>
    <t>ERR3827207_bin.1_metaWRAP_v1.1_MAG</t>
  </si>
  <si>
    <t>https://ftp.ncbi.nlm.nih.gov/genomes/all/GCA/927/911/685/GCA_927911685.1_ERR3827207_bin.1_metaWRAP_v1.1_MAG</t>
  </si>
  <si>
    <t>GCA_927911715.1</t>
  </si>
  <si>
    <t>ERR3827259_bin.3_metaWRAP_v1.1_MAG</t>
  </si>
  <si>
    <t>https://ftp.ncbi.nlm.nih.gov/genomes/all/GCA/927/911/715/GCA_927911715.1_ERR3827259_bin.3_metaWRAP_v1.1_MAG</t>
  </si>
  <si>
    <t>GCA_927911755.1</t>
  </si>
  <si>
    <t>ERR3827324_bin.1_metaWRAP_v1.1_MAG</t>
  </si>
  <si>
    <t>https://ftp.ncbi.nlm.nih.gov/genomes/all/GCA/927/911/755/GCA_927911755.1_ERR3827324_bin.1_metaWRAP_v1.1_MAG</t>
  </si>
  <si>
    <t>GCA_927911785.1</t>
  </si>
  <si>
    <t>ERR3827215_bin.1_metaWRAP_v1.1_MAG</t>
  </si>
  <si>
    <t>https://ftp.ncbi.nlm.nih.gov/genomes/all/GCA/927/911/785/GCA_927911785.1_ERR3827215_bin.1_metaWRAP_v1.1_MAG</t>
  </si>
  <si>
    <t>GCA_927911805.1</t>
  </si>
  <si>
    <t>ERR3827335_bin.1_metaWRAP_v1.1_MAG</t>
  </si>
  <si>
    <t>https://ftp.ncbi.nlm.nih.gov/genomes/all/GCA/927/911/805/GCA_927911805.1_ERR3827335_bin.1_metaWRAP_v1.1_MAG</t>
  </si>
  <si>
    <t>GCA_934101525.1</t>
  </si>
  <si>
    <t>REFINED_METABAT215_TOP10_CONTIGS_1500_ASSEMBLY_K77_MERGED__Hadza_MoBio_hadza-I-L_M_10_2632.105</t>
  </si>
  <si>
    <t>https://ftp.ncbi.nlm.nih.gov/genomes/all/GCA/934/101/525/GCA_934101525.1_ERR7746219_bin.105</t>
  </si>
  <si>
    <t>GCA_934149205.1</t>
  </si>
  <si>
    <t>REFINED_METABAT215_TOP10_CONTIGS_1500_ASSEMBLY_K77_MERGED__Hadza_MoBio_hadza-E-H_B_9_1942.10</t>
  </si>
  <si>
    <t>https://ftp.ncbi.nlm.nih.gov/genomes/all/GCA/934/149/205/GCA_934149205.1_ERR7738550_bin.10</t>
  </si>
  <si>
    <t>GCA_934190595.1</t>
  </si>
  <si>
    <t>REFINED_METABAT215_TOP10_CONTIGS_1500_ASSEMBLY_K77_MERGED__Hadza_MoBio_hadza-E-H_K_24_1920.232</t>
  </si>
  <si>
    <t>https://ftp.ncbi.nlm.nih.gov/genomes/all/GCA/934/190/595/GCA_934190595.1_ERR7746688_bin.232</t>
  </si>
  <si>
    <t>GCA_934190745.1</t>
  </si>
  <si>
    <t>REFINED_METABAT215_TOP10_CONTIGS_1500_ASSEMBLY_K77_MERGED__Hadza_MoBio_hadza-I-L_I_2_2614.21</t>
  </si>
  <si>
    <t>https://ftp.ncbi.nlm.nih.gov/genomes/all/GCA/934/190/745/GCA_934190745.1_ERR7745722_bin.21</t>
  </si>
  <si>
    <t>GCA_934190915.1</t>
  </si>
  <si>
    <t>REFINED_METABAT215_TOP10_CONTIGS_1500_ASSEMBLY_K77_MERGED__Hadza_MoBio_hadza-I-L_I_2_2614.25</t>
  </si>
  <si>
    <t>https://ftp.ncbi.nlm.nih.gov/genomes/all/GCA/934/190/915/GCA_934190915.1_ERR7745722_bin.25</t>
  </si>
  <si>
    <t>GCA_934191025.1</t>
  </si>
  <si>
    <t>REFINED_METABAT215_TOP10_CONTIGS_1500_ASSEMBLY_K77_MERGED__Hadza_MoBio_hadza-I-L_I_2_2614.24</t>
  </si>
  <si>
    <t>https://ftp.ncbi.nlm.nih.gov/genomes/all/GCA/934/191/025/GCA_934191025.1_ERR7745722_bin.24</t>
  </si>
  <si>
    <t>GCA_934201715.1</t>
  </si>
  <si>
    <t>REFINED_METABAT215_TOP10_CONTIGS_1500_ASSEMBLY_K77_MERGED__Hadza_MoBio_hadza-E-H_C_10_1834.5</t>
  </si>
  <si>
    <t>https://ftp.ncbi.nlm.nih.gov/genomes/all/GCA/934/201/715/GCA_934201715.1_ERR7746185_bin.5</t>
  </si>
  <si>
    <t>GCA_934201805.1</t>
  </si>
  <si>
    <t>REFINED_METABAT215_TOP10_CONTIGS_1500_ASSEMBLY_K77_MERGED__Hadza_PheChl_Fiber-Hadza-Nepal_A_16_1650.189</t>
  </si>
  <si>
    <t>https://ftp.ncbi.nlm.nih.gov/genomes/all/GCA/934/201/805/GCA_934201805.1_ERR7746321_bin.189</t>
  </si>
  <si>
    <t>GCA_934216645.1</t>
  </si>
  <si>
    <t>REFINED_METABAT215_TOP10_CONTIGS_1500_ASSEMBLY_K77_MERGED__Hadza_MoBio_hadza-E-H_E_4_1847.6</t>
  </si>
  <si>
    <t>https://ftp.ncbi.nlm.nih.gov/genomes/all/GCA/934/216/645/GCA_934216645.1_ERR7745888_bin.6</t>
  </si>
  <si>
    <t>GCA_934216815.1</t>
  </si>
  <si>
    <t>REFINED_METABAT215_TOP10_CONTIGS_1500_ASSEMBLY_K77_MERGED__Nepal_MoBio_Fiber-Hadza-Nepal_H_9_THA1076JZ.111</t>
  </si>
  <si>
    <t>https://ftp.ncbi.nlm.nih.gov/genomes/all/GCA/934/216/815/GCA_934216815.1_ERR7738560_bin.111</t>
  </si>
  <si>
    <t>GCA_934232835.1</t>
  </si>
  <si>
    <t>REFINED_METABAT215_TOP10_CONTIGS_1500_ASSEMBLY_K77_MERGED__Hadza_MoBio_hadza-A-D_F_10_1632.57</t>
  </si>
  <si>
    <t>https://ftp.ncbi.nlm.nih.gov/genomes/all/GCA/934/232/835/GCA_934232835.1_ERR7745429_bin.57</t>
  </si>
  <si>
    <t>GCA_934233785.1</t>
  </si>
  <si>
    <t>REFINED_METABAT215_TOP10_CONTIGS_1500_ASSEMBLY_K77_MERGED__Nepal_MoBio_Fiber-Hadza-Nepal_D_17_CHE1007SZ.92</t>
  </si>
  <si>
    <t>https://ftp.ncbi.nlm.nih.gov/genomes/all/GCA/934/233/785/GCA_934233785.1_ERR7738580_bin.92</t>
  </si>
  <si>
    <t>GCA_934234175.1</t>
  </si>
  <si>
    <t>REFINED_METABAT215_SUBJECT_CONTIGS_1500_ASSEMBLY_K77_MERGED__Pilot_MoBio_Fiber_C_5_1018.152</t>
  </si>
  <si>
    <t>https://ftp.ncbi.nlm.nih.gov/genomes/all/GCA/934/234/175/GCA_934234175.1_ERR7738276_bin.152</t>
  </si>
  <si>
    <t>GCA_934255625.1</t>
  </si>
  <si>
    <t>REFINED_METABAT215_TOP10_CONTIGS_1500_ASSEMBLY_K77_MERGED__Hadza_MoBio_hadza-E-H_G_3_1732.107</t>
  </si>
  <si>
    <t>https://ftp.ncbi.nlm.nih.gov/genomes/all/GCA/934/255/625/GCA_934255625.1_ERR7738532_bin.107</t>
  </si>
  <si>
    <t>GCA_934271155.1</t>
  </si>
  <si>
    <t>REFINED_METABAT215_TOP10_CONTIGS_1500_ASSEMBLY_K77_MERGED__Hadza_MoBio_hadza-E-H_A_2_1814.24</t>
  </si>
  <si>
    <t>https://ftp.ncbi.nlm.nih.gov/genomes/all/GCA/934/271/155/GCA_934271155.1_ERR7745828_bin.24</t>
  </si>
  <si>
    <t>GCA_934274085.1</t>
  </si>
  <si>
    <t>REFINED_METABAT215_SUBJECT_CONTIGS_1500_ASSEMBLY_K77_MERGED__Pilot_MoBio_Fiber_C_5_1018.183</t>
  </si>
  <si>
    <t>https://ftp.ncbi.nlm.nih.gov/genomes/all/GCA/934/274/085/GCA_934274085.1_ERR7738276_bin.183</t>
  </si>
  <si>
    <t>GCA_934277535.1</t>
  </si>
  <si>
    <t>REFINED_METABAT215_TOP10_CONTIGS_1500_ASSEMBLY_K77_MERGED__Nepal_MoBio_Fiber-Hadza-Nepal_H_3_THA1060YZ.42</t>
  </si>
  <si>
    <t>https://ftp.ncbi.nlm.nih.gov/genomes/all/GCA/934/277/535/GCA_934277535.1_ERR7738572_bin.42</t>
  </si>
  <si>
    <t>GCA_934667405.1</t>
  </si>
  <si>
    <t>REFINED_METABAT215_TOP10_CONTIGS_1500_ASSEMBLY_K77_MERGED__Hadza_MoBio_hadza-I-L_L_13_1278.16</t>
  </si>
  <si>
    <t>https://ftp.ncbi.nlm.nih.gov/genomes/all/GCA/934/667/405/GCA_934667405.1_ERR7746794_bin.16</t>
  </si>
  <si>
    <t>GCA_934679015.1</t>
  </si>
  <si>
    <t>REFINED_METABAT215_TOP10_CONTIGS_1500_ASSEMBLY_K77_MERGED__Hadza_MoBio_hadza-E-H_A_17_1704.22</t>
  </si>
  <si>
    <t>https://ftp.ncbi.nlm.nih.gov/genomes/all/GCA/934/679/015/GCA_934679015.1_ERR7745376_bin.22</t>
  </si>
  <si>
    <t>GCA_934831285.1</t>
  </si>
  <si>
    <t>MTG220_bin.40.fa</t>
  </si>
  <si>
    <t>https://ftp.ncbi.nlm.nih.gov/genomes/all/GCA/934/831/285/GCA_934831285.1_MTG220_bin.40.fa</t>
  </si>
  <si>
    <t>GCA_934838025.1</t>
  </si>
  <si>
    <t>MTG225_bin.45.fa</t>
  </si>
  <si>
    <t>https://ftp.ncbi.nlm.nih.gov/genomes/all/GCA/934/838/025/GCA_934838025.1_MTG225_bin.45.fa</t>
  </si>
  <si>
    <t>GCA_934875275.1</t>
  </si>
  <si>
    <t>MTG241_bin.47.fa</t>
  </si>
  <si>
    <t>https://ftp.ncbi.nlm.nih.gov/genomes/all/GCA/934/875/275/GCA_934875275.1_MTG241_bin.47.fa</t>
  </si>
  <si>
    <t>GCA_936914865.1</t>
  </si>
  <si>
    <t>SRR1950741_bin.19_CONCOCT_v1.1_MAG</t>
  </si>
  <si>
    <t>https://ftp.ncbi.nlm.nih.gov/genomes/all/GCA/936/914/865/GCA_936914865.1_SRR1950741_bin.19_CONCOCT_v1.1_MAG</t>
  </si>
  <si>
    <t>GCA_936919755.1</t>
  </si>
  <si>
    <t>SRR3184092_bin.37_CONCOCT_v1.1_MAG</t>
  </si>
  <si>
    <t>https://ftp.ncbi.nlm.nih.gov/genomes/all/GCA/936/919/755/GCA_936919755.1_SRR3184092_bin.37_CONCOCT_v1.1_MAG</t>
  </si>
  <si>
    <t>GCA_936919775.1</t>
  </si>
  <si>
    <t>SRR6145093_bin.10_CONCOCT_v1.1_MAG</t>
  </si>
  <si>
    <t>https://ftp.ncbi.nlm.nih.gov/genomes/all/GCA/936/919/775/GCA_936919775.1_SRR6145093_bin.10_CONCOCT_v1.1_MAG</t>
  </si>
  <si>
    <t>GCA_936919845.1</t>
  </si>
  <si>
    <t>SRR3184093_bin.7_CONCOCT_v1.1_MAG</t>
  </si>
  <si>
    <t>https://ftp.ncbi.nlm.nih.gov/genomes/all/GCA/936/919/845/GCA_936919845.1_SRR3184093_bin.7_CONCOCT_v1.1_MAG</t>
  </si>
  <si>
    <t>GCA_936925515.1</t>
  </si>
  <si>
    <t>SRR2005651_bin.20_CONCOCT_v1.1_MAG</t>
  </si>
  <si>
    <t>https://ftp.ncbi.nlm.nih.gov/genomes/all/GCA/936/925/515/GCA_936925515.1_SRR2005651_bin.20_CONCOCT_v1.1_MAG</t>
  </si>
  <si>
    <t>GCA_936940875.1</t>
  </si>
  <si>
    <t>SRR1621010_bin.14_CONCOCT_v1.1_MAG</t>
  </si>
  <si>
    <t>https://ftp.ncbi.nlm.nih.gov/genomes/all/GCA/936/940/875/GCA_936940875.1_SRR1621010_bin.14_CONCOCT_v1.1_MAG</t>
  </si>
  <si>
    <t>GCA_936941285.1</t>
  </si>
  <si>
    <t>SRR3183846_bin.53_CONCOCT_v1.1_MAG</t>
  </si>
  <si>
    <t>https://ftp.ncbi.nlm.nih.gov/genomes/all/GCA/936/941/285/GCA_936941285.1_SRR3183846_bin.53_CONCOCT_v1.1_MAG</t>
  </si>
  <si>
    <t>GCA_937875745.1</t>
  </si>
  <si>
    <t>SRR2077399_bin.31_CONCOCT_v1.1_MAG</t>
  </si>
  <si>
    <t>https://ftp.ncbi.nlm.nih.gov/genomes/all/GCA/937/875/745/GCA_937875745.1_SRR2077399_bin.31_CONCOCT_v1.1_MAG</t>
  </si>
  <si>
    <t>GCA_937875925.1</t>
  </si>
  <si>
    <t>SRR2240958_bin.36_CONCOCT_v1.1_MAG</t>
  </si>
  <si>
    <t>https://ftp.ncbi.nlm.nih.gov/genomes/all/GCA/937/875/925/GCA_937875925.1_SRR2240958_bin.36_CONCOCT_v1.1_MAG</t>
  </si>
  <si>
    <t>GCA_937876545.1</t>
  </si>
  <si>
    <t>SRR2240840_bin.21_CONCOCT_v1.1_MAG</t>
  </si>
  <si>
    <t>https://ftp.ncbi.nlm.nih.gov/genomes/all/GCA/937/876/545/GCA_937876545.1_SRR2240840_bin.21_CONCOCT_v1.1_MAG</t>
  </si>
  <si>
    <t>GCA_937876575.1</t>
  </si>
  <si>
    <t>SRR2077399_bin.1_CONCOCT_v1.1_MAG</t>
  </si>
  <si>
    <t>https://ftp.ncbi.nlm.nih.gov/genomes/all/GCA/937/876/575/GCA_937876575.1_SRR2077399_bin.1_CONCOCT_v1.1_MAG</t>
  </si>
  <si>
    <t>SRR2240920_bin.30_CONCOCT_v1.1_MAG</t>
  </si>
  <si>
    <t>https://ftp.ncbi.nlm.nih.gov/genomes/all/GCA/937/881/025/GCA_937881025.1_SRR2240920_bin.30_CONCOCT_v1.1_MAG</t>
  </si>
  <si>
    <t>GCA_937888685.1</t>
  </si>
  <si>
    <t>SRR1952623_bin.4_CONCOCT_v1.1_MAG</t>
  </si>
  <si>
    <t>https://ftp.ncbi.nlm.nih.gov/genomes/all/GCA/937/888/685/GCA_937888685.1_SRR1952623_bin.4_CONCOCT_v1.1_MAG</t>
  </si>
  <si>
    <t>GCA_937889145.1</t>
  </si>
  <si>
    <t>SRR1952591_bin.88_CONCOCT_v1.1_MAG</t>
  </si>
  <si>
    <t>https://ftp.ncbi.nlm.nih.gov/genomes/all/GCA/937/889/145/GCA_937889145.1_SRR1952591_bin.88_CONCOCT_v1.1_MAG</t>
  </si>
  <si>
    <t>GCA_937890275.1</t>
  </si>
  <si>
    <t>SRR1952507_bin.57_CONCOCT_v1.1_MAG</t>
  </si>
  <si>
    <t>https://ftp.ncbi.nlm.nih.gov/genomes/all/GCA/937/890/275/GCA_937890275.1_SRR1952507_bin.57_CONCOCT_v1.1_MAG</t>
  </si>
  <si>
    <t>GCA_937890375.1</t>
  </si>
  <si>
    <t>SRR1952558_bin.17_CONCOCT_v1.1_MAG</t>
  </si>
  <si>
    <t>https://ftp.ncbi.nlm.nih.gov/genomes/all/GCA/937/890/375/GCA_937890375.1_SRR1952558_bin.17_CONCOCT_v1.1_MAG</t>
  </si>
  <si>
    <t>GCA_937890405.1</t>
  </si>
  <si>
    <t>SRR1952379_bin.15_CONCOCT_v1.1_MAG</t>
  </si>
  <si>
    <t>https://ftp.ncbi.nlm.nih.gov/genomes/all/GCA/937/890/405/GCA_937890405.1_SRR1952379_bin.15_CONCOCT_v1.1_MAG</t>
  </si>
  <si>
    <t>GCA_937890425.1</t>
  </si>
  <si>
    <t>SRR1952572_bin.59_CONCOCT_v1.1_MAG</t>
  </si>
  <si>
    <t>https://ftp.ncbi.nlm.nih.gov/genomes/all/GCA/937/890/425/GCA_937890425.1_SRR1952572_bin.59_CONCOCT_v1.1_MAG</t>
  </si>
  <si>
    <t>SRR1952431_bin.72_CONCOCT_v1.1_MAG</t>
  </si>
  <si>
    <t>https://ftp.ncbi.nlm.nih.gov/genomes/all/GCA/937/891/685/GCA_937891685.1_SRR1952431_bin.72_CONCOCT_v1.1_MAG</t>
  </si>
  <si>
    <t>SRR1952462_bin.7_CONCOCT_v1.1_MAG</t>
  </si>
  <si>
    <t>https://ftp.ncbi.nlm.nih.gov/genomes/all/GCA/937/891/745/GCA_937891745.1_SRR1952462_bin.7_CONCOCT_v1.1_MAG</t>
  </si>
  <si>
    <t>GCA_937893325.1</t>
  </si>
  <si>
    <t>SRR1952502_bin.2_CONCOCT_v1.1_MAG</t>
  </si>
  <si>
    <t>https://ftp.ncbi.nlm.nih.gov/genomes/all/GCA/937/893/325/GCA_937893325.1_SRR1952502_bin.2_CONCOCT_v1.1_MAG</t>
  </si>
  <si>
    <t>GCA_937897765.1</t>
  </si>
  <si>
    <t>ERR1332622_bin.1_CONCOCT_v1.1_MAG</t>
  </si>
  <si>
    <t>https://ftp.ncbi.nlm.nih.gov/genomes/all/GCA/937/897/765/GCA_937897765.1_ERR1332622_bin.1_CONCOCT_v1.1_MAG</t>
  </si>
  <si>
    <t>GCA_937900105.1</t>
  </si>
  <si>
    <t>SRR1952507_bin.46_CONCOCT_v1.1_MAG</t>
  </si>
  <si>
    <t>https://ftp.ncbi.nlm.nih.gov/genomes/all/GCA/937/900/105/GCA_937900105.1_SRR1952507_bin.46_CONCOCT_v1.1_MAG</t>
  </si>
  <si>
    <t>GCA_937900375.1</t>
  </si>
  <si>
    <t>SRR1952591_bin.11_CONCOCT_v1.1_MAG</t>
  </si>
  <si>
    <t>https://ftp.ncbi.nlm.nih.gov/genomes/all/GCA/937/900/375/GCA_937900375.1_SRR1952591_bin.11_CONCOCT_v1.1_MAG</t>
  </si>
  <si>
    <t>GCA_937906735.1</t>
  </si>
  <si>
    <t>SRR1952611_bin.42_CONCOCT_v1.1_MAG</t>
  </si>
  <si>
    <t>https://ftp.ncbi.nlm.nih.gov/genomes/all/GCA/937/906/735/GCA_937906735.1_SRR1952611_bin.42_CONCOCT_v1.1_MAG</t>
  </si>
  <si>
    <t>GCA_937906745.1</t>
  </si>
  <si>
    <t>SRR1952602_bin.29_CONCOCT_v1.1_MAG</t>
  </si>
  <si>
    <t>https://ftp.ncbi.nlm.nih.gov/genomes/all/GCA/937/906/745/GCA_937906745.1_SRR1952602_bin.29_CONCOCT_v1.1_MAG</t>
  </si>
  <si>
    <t>SRR2077401_bin.16_CONCOCT_v1.1_MAG</t>
  </si>
  <si>
    <t>https://ftp.ncbi.nlm.nih.gov/genomes/all/GCA/937/910/295/GCA_937910295.1_SRR2077401_bin.16_CONCOCT_v1.1_MAG</t>
  </si>
  <si>
    <t>GCA_937914765.1</t>
  </si>
  <si>
    <t>SRR2240918_bin.21_CONCOCT_v1.1_MAG</t>
  </si>
  <si>
    <t>https://ftp.ncbi.nlm.nih.gov/genomes/all/GCA/937/914/765/GCA_937914765.1_SRR2240918_bin.21_CONCOCT_v1.1_MAG</t>
  </si>
  <si>
    <t>GCA_937919105.1</t>
  </si>
  <si>
    <t>SRR2077399_bin.34_CONCOCT_v1.1_MAG</t>
  </si>
  <si>
    <t>https://ftp.ncbi.nlm.nih.gov/genomes/all/GCA/937/919/105/GCA_937919105.1_SRR2077399_bin.34_CONCOCT_v1.1_MAG</t>
  </si>
  <si>
    <t>SRR2240920_bin.15_CONCOCT_v1.1_MAG</t>
  </si>
  <si>
    <t>https://ftp.ncbi.nlm.nih.gov/genomes/all/GCA/937/919/505/GCA_937919505.1_SRR2240920_bin.15_CONCOCT_v1.1_MAG</t>
  </si>
  <si>
    <t>SRR2240840_bin.17_CONCOCT_v1.1_MAG</t>
  </si>
  <si>
    <t>https://ftp.ncbi.nlm.nih.gov/genomes/all/GCA/937/919/565/GCA_937919565.1_SRR2240840_bin.17_CONCOCT_v1.1_MAG</t>
  </si>
  <si>
    <t>GCA_937919835.1</t>
  </si>
  <si>
    <t>SRR2240840_bin.2_CONCOCT_v1.1_MAG</t>
  </si>
  <si>
    <t>https://ftp.ncbi.nlm.nih.gov/genomes/all/GCA/937/919/835/GCA_937919835.1_SRR2240840_bin.2_CONCOCT_v1.1_MAG</t>
  </si>
  <si>
    <t>GCA_937920795.1</t>
  </si>
  <si>
    <t>SRR3546782_bin.26_CONCOCT_v1.1_MAG</t>
  </si>
  <si>
    <t>https://ftp.ncbi.nlm.nih.gov/genomes/all/GCA/937/920/795/GCA_937920795.1_SRR3546782_bin.26_CONCOCT_v1.1_MAG</t>
  </si>
  <si>
    <t>GCA_937921215.1</t>
  </si>
  <si>
    <t>ERR912144_bin.107_CONCOCT_v1.1_MAG</t>
  </si>
  <si>
    <t>https://ftp.ncbi.nlm.nih.gov/genomes/all/GCA/937/921/215/GCA_937921215.1_ERR912144_bin.107_CONCOCT_v1.1_MAG</t>
  </si>
  <si>
    <t>GCA_937921715.1</t>
  </si>
  <si>
    <t>ERR589631_bin.95_CONCOCT_v1.1_MAG</t>
  </si>
  <si>
    <t>https://ftp.ncbi.nlm.nih.gov/genomes/all/GCA/937/921/715/GCA_937921715.1_ERR589631_bin.95_CONCOCT_v1.1_MAG</t>
  </si>
  <si>
    <t>GCA_937921785.1</t>
  </si>
  <si>
    <t>ERR589641_bin.81_CONCOCT_v1.1_MAG</t>
  </si>
  <si>
    <t>https://ftp.ncbi.nlm.nih.gov/genomes/all/GCA/937/921/785/GCA_937921785.1_ERR589641_bin.81_CONCOCT_v1.1_MAG</t>
  </si>
  <si>
    <t>GCA_937922535.1</t>
  </si>
  <si>
    <t>ERR589661_bin.72_CONCOCT_v1.1_MAG</t>
  </si>
  <si>
    <t>https://ftp.ncbi.nlm.nih.gov/genomes/all/GCA/937/922/535/GCA_937922535.1_ERR589661_bin.72_CONCOCT_v1.1_MAG</t>
  </si>
  <si>
    <t>GCA_937922685.1</t>
  </si>
  <si>
    <t>SRR9217414_bin.53_CONCOCT_v1.1_MAG</t>
  </si>
  <si>
    <t>https://ftp.ncbi.nlm.nih.gov/genomes/all/GCA/937/922/685/GCA_937922685.1_SRR9217414_bin.53_CONCOCT_v1.1_MAG</t>
  </si>
  <si>
    <t>ERR589658_bin.20_CONCOCT_v1.1_MAG</t>
  </si>
  <si>
    <t>https://ftp.ncbi.nlm.nih.gov/genomes/all/GCA/937/922/695/GCA_937922695.1_ERR589658_bin.20_CONCOCT_v1.1_MAG</t>
  </si>
  <si>
    <t>GCA_937922855.1</t>
  </si>
  <si>
    <t>ERR589647_bin.24_CONCOCT_v1.1_MAG</t>
  </si>
  <si>
    <t>https://ftp.ncbi.nlm.nih.gov/genomes/all/GCA/937/922/855/GCA_937922855.1_ERR589647_bin.24_CONCOCT_v1.1_MAG</t>
  </si>
  <si>
    <t>GCA_937923135.1</t>
  </si>
  <si>
    <t>ERR589666_bin.30_CONCOCT_v1.1_MAG</t>
  </si>
  <si>
    <t>https://ftp.ncbi.nlm.nih.gov/genomes/all/GCA/937/923/135/GCA_937923135.1_ERR589666_bin.30_CONCOCT_v1.1_MAG</t>
  </si>
  <si>
    <t>GCA_937924665.1</t>
  </si>
  <si>
    <t>SRR8114033_bin.79_CONCOCT_v1.1_MAG</t>
  </si>
  <si>
    <t>https://ftp.ncbi.nlm.nih.gov/genomes/all/GCA/937/924/665/GCA_937924665.1_SRR8114033_bin.79_CONCOCT_v1.1_MAG</t>
  </si>
  <si>
    <t>GCA_937924935.1</t>
  </si>
  <si>
    <t>ERR589686_bin.50_CONCOCT_v1.1_MAG</t>
  </si>
  <si>
    <t>https://ftp.ncbi.nlm.nih.gov/genomes/all/GCA/937/924/935/GCA_937924935.1_ERR589686_bin.50_CONCOCT_v1.1_MAG</t>
  </si>
  <si>
    <t>GCA_937924985.1</t>
  </si>
  <si>
    <t>ERR589725_bin.7_CONCOCT_v1.1_MAG</t>
  </si>
  <si>
    <t>https://ftp.ncbi.nlm.nih.gov/genomes/all/GCA/937/924/985/GCA_937924985.1_ERR589725_bin.7_CONCOCT_v1.1_MAG</t>
  </si>
  <si>
    <t>GCA_937925075.1</t>
  </si>
  <si>
    <t>ERR589356_bin.114_CONCOCT_v1.1_MAG</t>
  </si>
  <si>
    <t>https://ftp.ncbi.nlm.nih.gov/genomes/all/GCA/937/925/075/GCA_937925075.1_ERR589356_bin.114_CONCOCT_v1.1_MAG</t>
  </si>
  <si>
    <t>GCA_937925415.1</t>
  </si>
  <si>
    <t>ERR589607_bin.15_CONCOCT_v1.1_MAG</t>
  </si>
  <si>
    <t>https://ftp.ncbi.nlm.nih.gov/genomes/all/GCA/937/925/415/GCA_937925415.1_ERR589607_bin.15_CONCOCT_v1.1_MAG</t>
  </si>
  <si>
    <t>GCA_937925425.1</t>
  </si>
  <si>
    <t>SRR3160452_bin.69_CONCOCT_v1.1_MAG</t>
  </si>
  <si>
    <t>https://ftp.ncbi.nlm.nih.gov/genomes/all/GCA/937/925/425/GCA_937925425.1_SRR3160452_bin.69_CONCOCT_v1.1_MAG</t>
  </si>
  <si>
    <t>GCA_937925875.1</t>
  </si>
  <si>
    <t>SRR5558175_bin.43_CONCOCT_v1.1_MAG</t>
  </si>
  <si>
    <t>https://ftp.ncbi.nlm.nih.gov/genomes/all/GCA/937/925/875/GCA_937925875.1_SRR5558175_bin.43_CONCOCT_v1.1_MAG</t>
  </si>
  <si>
    <t>GCA_937926735.1</t>
  </si>
  <si>
    <t>SRR8114039_bin.50_CONCOCT_v1.1_MAG</t>
  </si>
  <si>
    <t>https://ftp.ncbi.nlm.nih.gov/genomes/all/GCA/937/926/735/GCA_937926735.1_SRR8114039_bin.50_CONCOCT_v1.1_MAG</t>
  </si>
  <si>
    <t>SRR8114063_bin.23_CONCOCT_v1.1_MAG</t>
  </si>
  <si>
    <t>https://ftp.ncbi.nlm.nih.gov/genomes/all/GCA/937/926/905/GCA_937926905.1_SRR8114063_bin.23_CONCOCT_v1.1_MAG</t>
  </si>
  <si>
    <t>ERR589597_bin.12_CONCOCT_v1.1_MAG</t>
  </si>
  <si>
    <t>https://ftp.ncbi.nlm.nih.gov/genomes/all/GCA/937/926/985/GCA_937926985.1_ERR589597_bin.12_CONCOCT_v1.1_MAG</t>
  </si>
  <si>
    <t>GCA_937927005.1</t>
  </si>
  <si>
    <t>ERR589515_bin.80_CONCOCT_v1.1_MAG</t>
  </si>
  <si>
    <t>https://ftp.ncbi.nlm.nih.gov/genomes/all/GCA/937/927/005/GCA_937927005.1_ERR589515_bin.80_CONCOCT_v1.1_MAG</t>
  </si>
  <si>
    <t>ERR589515_bin.73_CONCOCT_v1.1_MAG</t>
  </si>
  <si>
    <t>https://ftp.ncbi.nlm.nih.gov/genomes/all/GCA/937/927/035/GCA_937927035.1_ERR589515_bin.73_CONCOCT_v1.1_MAG</t>
  </si>
  <si>
    <t>ERR589377_bin.20_CONCOCT_v1.1_MAG</t>
  </si>
  <si>
    <t>https://ftp.ncbi.nlm.nih.gov/genomes/all/GCA/937/927/175/GCA_937927175.1_ERR589377_bin.20_CONCOCT_v1.1_MAG</t>
  </si>
  <si>
    <t>GCA_937927245.1</t>
  </si>
  <si>
    <t>ERR589473_bin.57_CONCOCT_v1.1_MAG</t>
  </si>
  <si>
    <t>https://ftp.ncbi.nlm.nih.gov/genomes/all/GCA/937/927/245/GCA_937927245.1_ERR589473_bin.57_CONCOCT_v1.1_MAG</t>
  </si>
  <si>
    <t>GCA_937930255.1</t>
  </si>
  <si>
    <t>ERR589701_bin.29_CONCOCT_v1.1_MAG</t>
  </si>
  <si>
    <t>https://ftp.ncbi.nlm.nih.gov/genomes/all/GCA/937/930/255/GCA_937930255.1_ERR589701_bin.29_CONCOCT_v1.1_MAG</t>
  </si>
  <si>
    <t>GCA_937930665.1</t>
  </si>
  <si>
    <t>ERR589426_bin.13_CONCOCT_v1.1_MAG</t>
  </si>
  <si>
    <t>https://ftp.ncbi.nlm.nih.gov/genomes/all/GCA/937/930/665/GCA_937930665.1_ERR589426_bin.13_CONCOCT_v1.1_MAG</t>
  </si>
  <si>
    <t>GCA_937934505.1</t>
  </si>
  <si>
    <t>SRR11615773_bin.97_CONCOCT_v1.1_MAG</t>
  </si>
  <si>
    <t>https://ftp.ncbi.nlm.nih.gov/genomes/all/GCA/937/934/505/GCA_937934505.1_SRR11615773_bin.97_CONCOCT_v1.1_MAG</t>
  </si>
  <si>
    <t>GCA_937936115.1</t>
  </si>
  <si>
    <t>SRR8114063_bin.40_CONCOCT_v1.1_MAG</t>
  </si>
  <si>
    <t>https://ftp.ncbi.nlm.nih.gov/genomes/all/GCA/937/936/115/GCA_937936115.1_SRR8114063_bin.40_CONCOCT_v1.1_MAG</t>
  </si>
  <si>
    <t>GCA_937936225.1</t>
  </si>
  <si>
    <t>SRR8114096_bin.65_CONCOCT_v1.1_MAG</t>
  </si>
  <si>
    <t>https://ftp.ncbi.nlm.nih.gov/genomes/all/GCA/937/936/225/GCA_937936225.1_SRR8114096_bin.65_CONCOCT_v1.1_MAG</t>
  </si>
  <si>
    <t>GCA_937936265.1</t>
  </si>
  <si>
    <t>SRR8114056_bin.73_CONCOCT_v1.1_MAG</t>
  </si>
  <si>
    <t>https://ftp.ncbi.nlm.nih.gov/genomes/all/GCA/937/936/265/GCA_937936265.1_SRR8114056_bin.73_CONCOCT_v1.1_MAG</t>
  </si>
  <si>
    <t>GCA_937940695.1</t>
  </si>
  <si>
    <t>SRR12395661_bin.83_CONCOCT_v1.1_MAG</t>
  </si>
  <si>
    <t>https://ftp.ncbi.nlm.nih.gov/genomes/all/GCA/937/940/695/GCA_937940695.1_SRR12395661_bin.83_CONCOCT_v1.1_MAG</t>
  </si>
  <si>
    <t>GCA_937945075.1</t>
  </si>
  <si>
    <t>SRR2047620_bin.6_CONCOCT_v1.1_MAG</t>
  </si>
  <si>
    <t>https://ftp.ncbi.nlm.nih.gov/genomes/all/GCA/937/945/075/GCA_937945075.1_SRR2047620_bin.6_CONCOCT_v1.1_MAG</t>
  </si>
  <si>
    <t>GCA_937950115.1</t>
  </si>
  <si>
    <t>ERR589659_bin.87_CONCOCT_v1.1_MAG</t>
  </si>
  <si>
    <t>https://ftp.ncbi.nlm.nih.gov/genomes/all/GCA/937/950/115/GCA_937950115.1_ERR589659_bin.87_CONCOCT_v1.1_MAG</t>
  </si>
  <si>
    <t>GCA_937950445.1</t>
  </si>
  <si>
    <t>SRR9217400_bin.5_CONCOCT_v1.1_MAG</t>
  </si>
  <si>
    <t>https://ftp.ncbi.nlm.nih.gov/genomes/all/GCA/937/950/445/GCA_937950445.1_SRR9217400_bin.5_CONCOCT_v1.1_MAG</t>
  </si>
  <si>
    <t>GCA_937957785.1</t>
  </si>
  <si>
    <t>SRR4028141_bin.28_CONCOCT_v1.1_MAG</t>
  </si>
  <si>
    <t>https://ftp.ncbi.nlm.nih.gov/genomes/all/GCA/937/957/785/GCA_937957785.1_SRR4028141_bin.28_CONCOCT_v1.1_MAG</t>
  </si>
  <si>
    <t>GCA_937957905.1</t>
  </si>
  <si>
    <t>ERR589661_bin.12_CONCOCT_v1.1_MAG</t>
  </si>
  <si>
    <t>https://ftp.ncbi.nlm.nih.gov/genomes/all/GCA/937/957/905/GCA_937957905.1_ERR589661_bin.12_CONCOCT_v1.1_MAG</t>
  </si>
  <si>
    <t>GCA_937958335.1</t>
  </si>
  <si>
    <t>ERR2764965_bin.75_CONCOCT_v1.1_MAG</t>
  </si>
  <si>
    <t>https://ftp.ncbi.nlm.nih.gov/genomes/all/GCA/937/958/335/GCA_937958335.1_ERR2764965_bin.75_CONCOCT_v1.1_MAG</t>
  </si>
  <si>
    <t>GCA_937959765.1</t>
  </si>
  <si>
    <t>SRR9217400_bin.51_CONCOCT_v1.1_MAG</t>
  </si>
  <si>
    <t>https://ftp.ncbi.nlm.nih.gov/genomes/all/GCA/937/959/765/GCA_937959765.1_SRR9217400_bin.51_CONCOCT_v1.1_MAG</t>
  </si>
  <si>
    <t>GCA_937966185.1</t>
  </si>
  <si>
    <t>ERR527209_bin.35_CONCOCT_v1.1_MAG</t>
  </si>
  <si>
    <t>https://ftp.ncbi.nlm.nih.gov/genomes/all/GCA/937/966/185/GCA_937966185.1_ERR527209_bin.35_CONCOCT_v1.1_MAG</t>
  </si>
  <si>
    <t>GCA_937974095.1</t>
  </si>
  <si>
    <t>SRR3546782_bin.52_CONCOCT_v1.1_MAG</t>
  </si>
  <si>
    <t>https://ftp.ncbi.nlm.nih.gov/genomes/all/GCA/937/974/095/GCA_937974095.1_SRR3546782_bin.52_CONCOCT_v1.1_MAG</t>
  </si>
  <si>
    <t>GCA_937974105.1</t>
  </si>
  <si>
    <t>SRR9217471_bin.92_CONCOCT_v1.1_MAG</t>
  </si>
  <si>
    <t>https://ftp.ncbi.nlm.nih.gov/genomes/all/GCA/937/974/105/GCA_937974105.1_SRR9217471_bin.92_CONCOCT_v1.1_MAG</t>
  </si>
  <si>
    <t>GCA_937974765.1</t>
  </si>
  <si>
    <t>ERR589649_bin.61_CONCOCT_v1.1_MAG</t>
  </si>
  <si>
    <t>https://ftp.ncbi.nlm.nih.gov/genomes/all/GCA/937/974/765/GCA_937974765.1_ERR589649_bin.61_CONCOCT_v1.1_MAG</t>
  </si>
  <si>
    <t>ERR589648_bin.55_CONCOCT_v1.1_MAG</t>
  </si>
  <si>
    <t>https://ftp.ncbi.nlm.nih.gov/genomes/all/GCA/937/974/815/GCA_937974815.1_ERR589648_bin.55_CONCOCT_v1.1_MAG</t>
  </si>
  <si>
    <t>GCA_937975755.1</t>
  </si>
  <si>
    <t>ERR589646_bin.92_CONCOCT_v1.1_MAG</t>
  </si>
  <si>
    <t>https://ftp.ncbi.nlm.nih.gov/genomes/all/GCA/937/975/755/GCA_937975755.1_ERR589646_bin.92_CONCOCT_v1.1_MAG</t>
  </si>
  <si>
    <t>GCA_937975845.1</t>
  </si>
  <si>
    <t>ERR1018188_bin.3_CONCOCT_v1.1_MAG</t>
  </si>
  <si>
    <t>https://ftp.ncbi.nlm.nih.gov/genomes/all/GCA/937/975/845/GCA_937975845.1_ERR1018188_bin.3_CONCOCT_v1.1_MAG</t>
  </si>
  <si>
    <t>GCA_937980405.1</t>
  </si>
  <si>
    <t>SRR12395647_bin.57_CONCOCT_v1.1_MAG</t>
  </si>
  <si>
    <t>https://ftp.ncbi.nlm.nih.gov/genomes/all/GCA/937/980/405/GCA_937980405.1_SRR12395647_bin.57_CONCOCT_v1.1_MAG</t>
  </si>
  <si>
    <t>SRR8114064_bin.71_CONCOCT_v1.1_MAG</t>
  </si>
  <si>
    <t>https://ftp.ncbi.nlm.nih.gov/genomes/all/GCA/937/981/545/GCA_937981545.1_SRR8114064_bin.71_CONCOCT_v1.1_MAG</t>
  </si>
  <si>
    <t>GCA_937984615.1</t>
  </si>
  <si>
    <t>SRR7403881_bin.34_CONCOCT_v1.1_MAG</t>
  </si>
  <si>
    <t>https://ftp.ncbi.nlm.nih.gov/genomes/all/GCA/937/984/615/GCA_937984615.1_SRR7403881_bin.34_CONCOCT_v1.1_MAG</t>
  </si>
  <si>
    <t>GCA_937989475.1</t>
  </si>
  <si>
    <t>SRR8114094_bin.42_CONCOCT_v1.1_MAG</t>
  </si>
  <si>
    <t>https://ftp.ncbi.nlm.nih.gov/genomes/all/GCA/937/989/475/GCA_937989475.1_SRR8114094_bin.42_CONCOCT_v1.1_MAG</t>
  </si>
  <si>
    <t>GCA_937989495.1</t>
  </si>
  <si>
    <t>SRR8114088_bin.67_CONCOCT_v1.1_MAG</t>
  </si>
  <si>
    <t>https://ftp.ncbi.nlm.nih.gov/genomes/all/GCA/937/989/495/GCA_937989495.1_SRR8114088_bin.67_CONCOCT_v1.1_MAG</t>
  </si>
  <si>
    <t>GCA_937989635.1</t>
  </si>
  <si>
    <t>SRR8114077_bin.22_CONCOCT_v1.1_MAG</t>
  </si>
  <si>
    <t>https://ftp.ncbi.nlm.nih.gov/genomes/all/GCA/937/989/635/GCA_937989635.1_SRR8114077_bin.22_CONCOCT_v1.1_MAG</t>
  </si>
  <si>
    <t>GCA_937989655.1</t>
  </si>
  <si>
    <t>ERR1995237_bin.21_CONCOCT_v1.1_MAG</t>
  </si>
  <si>
    <t>https://ftp.ncbi.nlm.nih.gov/genomes/all/GCA/937/989/655/GCA_937989655.1_ERR1995237_bin.21_CONCOCT_v1.1_MAG</t>
  </si>
  <si>
    <t>GCA_937990535.1</t>
  </si>
  <si>
    <t>SRR8114010_bin.97_CONCOCT_v1.1_MAG</t>
  </si>
  <si>
    <t>https://ftp.ncbi.nlm.nih.gov/genomes/all/GCA/937/990/535/GCA_937990535.1_SRR8114010_bin.97_CONCOCT_v1.1_MAG</t>
  </si>
  <si>
    <t>GCA_937990675.1</t>
  </si>
  <si>
    <t>ERR589682_bin.108_CONCOCT_v1.1_MAG</t>
  </si>
  <si>
    <t>https://ftp.ncbi.nlm.nih.gov/genomes/all/GCA/937/990/675/GCA_937990675.1_ERR589682_bin.108_CONCOCT_v1.1_MAG</t>
  </si>
  <si>
    <t>ERR589687_bin.47_CONCOCT_v1.1_MAG</t>
  </si>
  <si>
    <t>https://ftp.ncbi.nlm.nih.gov/genomes/all/GCA/937/990/705/GCA_937990705.1_ERR589687_bin.47_CONCOCT_v1.1_MAG</t>
  </si>
  <si>
    <t>GCA_937990745.1</t>
  </si>
  <si>
    <t>ERR589679_bin.98_CONCOCT_v1.1_MAG</t>
  </si>
  <si>
    <t>https://ftp.ncbi.nlm.nih.gov/genomes/all/GCA/937/990/745/GCA_937990745.1_ERR589679_bin.98_CONCOCT_v1.1_MAG</t>
  </si>
  <si>
    <t>GCA_937991325.1</t>
  </si>
  <si>
    <t>ERR688618_bin.93_CONCOCT_v1.1_MAG</t>
  </si>
  <si>
    <t>https://ftp.ncbi.nlm.nih.gov/genomes/all/GCA/937/991/325/GCA_937991325.1_ERR688618_bin.93_CONCOCT_v1.1_MAG</t>
  </si>
  <si>
    <t>GCA_937997015.1</t>
  </si>
  <si>
    <t>SRR3901706_bin.73_CONCOCT_v1.1_MAG</t>
  </si>
  <si>
    <t>https://ftp.ncbi.nlm.nih.gov/genomes/all/GCA/937/997/015/GCA_937997015.1_SRR3901706_bin.73_CONCOCT_v1.1_MAG</t>
  </si>
  <si>
    <t>GCA_938003205.1</t>
  </si>
  <si>
    <t>SRR2037089_bin.59_CONCOCT_v1.1_MAG</t>
  </si>
  <si>
    <t>https://ftp.ncbi.nlm.nih.gov/genomes/all/GCA/938/003/205/GCA_938003205.1_SRR2037089_bin.59_CONCOCT_v1.1_MAG</t>
  </si>
  <si>
    <t>GCA_938009395.1</t>
  </si>
  <si>
    <t>SRR3546782_bin.17_CONCOCT_v1.1_MAG</t>
  </si>
  <si>
    <t>https://ftp.ncbi.nlm.nih.gov/genomes/all/GCA/938/009/395/GCA_938009395.1_SRR3546782_bin.17_CONCOCT_v1.1_MAG</t>
  </si>
  <si>
    <t>GCA_938010375.1</t>
  </si>
  <si>
    <t>ERR589471_bin.58_CONCOCT_v1.1_MAG</t>
  </si>
  <si>
    <t>https://ftp.ncbi.nlm.nih.gov/genomes/all/GCA/938/010/375/GCA_938010375.1_ERR589471_bin.58_CONCOCT_v1.1_MAG</t>
  </si>
  <si>
    <t>GCA_938010395.1</t>
  </si>
  <si>
    <t>ERR589472_bin.16_CONCOCT_v1.1_MAG</t>
  </si>
  <si>
    <t>https://ftp.ncbi.nlm.nih.gov/genomes/all/GCA/938/010/395/GCA_938010395.1_ERR589472_bin.16_CONCOCT_v1.1_MAG</t>
  </si>
  <si>
    <t>ERR589371_bin.123_CONCOCT_v1.1_MAG</t>
  </si>
  <si>
    <t>https://ftp.ncbi.nlm.nih.gov/genomes/all/GCA/938/011/375/GCA_938011375.1_ERR589371_bin.123_CONCOCT_v1.1_MAG</t>
  </si>
  <si>
    <t>GCA_938011465.1</t>
  </si>
  <si>
    <t>ERR589365_bin.88_CONCOCT_v1.1_MAG</t>
  </si>
  <si>
    <t>https://ftp.ncbi.nlm.nih.gov/genomes/all/GCA/938/011/465/GCA_938011465.1_ERR589365_bin.88_CONCOCT_v1.1_MAG</t>
  </si>
  <si>
    <t>GCA_938011615.1</t>
  </si>
  <si>
    <t>ERR2198631_bin.113_CONCOCT_v1.1_MAG</t>
  </si>
  <si>
    <t>https://ftp.ncbi.nlm.nih.gov/genomes/all/GCA/938/011/615/GCA_938011615.1_ERR2198631_bin.113_CONCOCT_v1.1_MAG</t>
  </si>
  <si>
    <t>GCA_938014155.1</t>
  </si>
  <si>
    <t>SRR8114013_bin.50_CONCOCT_v1.1_MAG</t>
  </si>
  <si>
    <t>https://ftp.ncbi.nlm.nih.gov/genomes/all/GCA/938/014/155/GCA_938014155.1_SRR8114013_bin.50_CONCOCT_v1.1_MAG</t>
  </si>
  <si>
    <t>SRR8114048_bin.2_CONCOCT_v1.1_MAG</t>
  </si>
  <si>
    <t>https://ftp.ncbi.nlm.nih.gov/genomes/all/GCA/938/014/195/GCA_938014195.1_SRR8114048_bin.2_CONCOCT_v1.1_MAG</t>
  </si>
  <si>
    <t>GCA_938014255.1</t>
  </si>
  <si>
    <t>ERR414468_bin.30_CONCOCT_v1.1_MAG</t>
  </si>
  <si>
    <t>https://ftp.ncbi.nlm.nih.gov/genomes/all/GCA/938/014/255/GCA_938014255.1_ERR414468_bin.30_CONCOCT_v1.1_MAG</t>
  </si>
  <si>
    <t>SRR8114062_bin.40_CONCOCT_v1.1_MAG</t>
  </si>
  <si>
    <t>https://ftp.ncbi.nlm.nih.gov/genomes/all/GCA/938/014/305/GCA_938014305.1_SRR8114062_bin.40_CONCOCT_v1.1_MAG</t>
  </si>
  <si>
    <t>ERR589495_bin.72_CONCOCT_v1.1_MAG</t>
  </si>
  <si>
    <t>https://ftp.ncbi.nlm.nih.gov/genomes/all/GCA/938/015/825/GCA_938015825.1_ERR589495_bin.72_CONCOCT_v1.1_MAG</t>
  </si>
  <si>
    <t>ERR1430533_bin.121_CONCOCT_v1.1_MAG</t>
  </si>
  <si>
    <t>https://ftp.ncbi.nlm.nih.gov/genomes/all/GCA/938/016/215/GCA_938016215.1_ERR1430533_bin.121_CONCOCT_v1.1_MAG</t>
  </si>
  <si>
    <t>GCA_938017755.1</t>
  </si>
  <si>
    <t>ERR589728_bin.0_CONCOCT_v1.1_MAG</t>
  </si>
  <si>
    <t>https://ftp.ncbi.nlm.nih.gov/genomes/all/GCA/938/017/755/GCA_938017755.1_ERR589728_bin.0_CONCOCT_v1.1_MAG</t>
  </si>
  <si>
    <t>GCA_938017805.1</t>
  </si>
  <si>
    <t>ERR589558_bin.82_CONCOCT_v1.1_MAG</t>
  </si>
  <si>
    <t>https://ftp.ncbi.nlm.nih.gov/genomes/all/GCA/938/017/805/GCA_938017805.1_ERR589558_bin.82_CONCOCT_v1.1_MAG</t>
  </si>
  <si>
    <t>ERR589515_bin.6_CONCOCT_v1.1_MAG</t>
  </si>
  <si>
    <t>https://ftp.ncbi.nlm.nih.gov/genomes/all/GCA/938/018/165/GCA_938018165.1_ERR589515_bin.6_CONCOCT_v1.1_MAG</t>
  </si>
  <si>
    <t>GCA_938018175.1</t>
  </si>
  <si>
    <t>ERR589478_bin.51_CONCOCT_v1.1_MAG</t>
  </si>
  <si>
    <t>https://ftp.ncbi.nlm.nih.gov/genomes/all/GCA/938/018/175/GCA_938018175.1_ERR589478_bin.51_CONCOCT_v1.1_MAG</t>
  </si>
  <si>
    <t>GCA_938018195.1</t>
  </si>
  <si>
    <t>ERR589475_bin.46_CONCOCT_v1.1_MAG</t>
  </si>
  <si>
    <t>https://ftp.ncbi.nlm.nih.gov/genomes/all/GCA/938/018/195/GCA_938018195.1_ERR589475_bin.46_CONCOCT_v1.1_MAG</t>
  </si>
  <si>
    <t>ERR589471_bin.86_CONCOCT_v1.1_MAG</t>
  </si>
  <si>
    <t>https://ftp.ncbi.nlm.nih.gov/genomes/all/GCA/938/020/355/GCA_938020355.1_ERR589471_bin.86_CONCOCT_v1.1_MAG</t>
  </si>
  <si>
    <t>GCA_938020375.1</t>
  </si>
  <si>
    <t>ERR414475_bin.6_CONCOCT_v1.1_MAG</t>
  </si>
  <si>
    <t>https://ftp.ncbi.nlm.nih.gov/genomes/all/GCA/938/020/375/GCA_938020375.1_ERR414475_bin.6_CONCOCT_v1.1_MAG</t>
  </si>
  <si>
    <t>GCA_938021125.1</t>
  </si>
  <si>
    <t>ERR589367_bin.14_CONCOCT_v1.1_MAG</t>
  </si>
  <si>
    <t>https://ftp.ncbi.nlm.nih.gov/genomes/all/GCA/938/021/125/GCA_938021125.1_ERR589367_bin.14_CONCOCT_v1.1_MAG</t>
  </si>
  <si>
    <t>ERR589357_bin.83_CONCOCT_v1.1_MAG</t>
  </si>
  <si>
    <t>https://ftp.ncbi.nlm.nih.gov/genomes/all/GCA/938/021/135/GCA_938021135.1_ERR589357_bin.83_CONCOCT_v1.1_MAG</t>
  </si>
  <si>
    <t>GCA_938021145.1</t>
  </si>
  <si>
    <t>ERR589356_bin.6_CONCOCT_v1.1_MAG</t>
  </si>
  <si>
    <t>https://ftp.ncbi.nlm.nih.gov/genomes/all/GCA/938/021/145/GCA_938021145.1_ERR589356_bin.6_CONCOCT_v1.1_MAG</t>
  </si>
  <si>
    <t>GCA_938021175.1</t>
  </si>
  <si>
    <t>ERR589365_bin.97_CONCOCT_v1.1_MAG</t>
  </si>
  <si>
    <t>https://ftp.ncbi.nlm.nih.gov/genomes/all/GCA/938/021/175/GCA_938021175.1_ERR589365_bin.97_CONCOCT_v1.1_MAG</t>
  </si>
  <si>
    <t>GCA_938021195.1</t>
  </si>
  <si>
    <t>ERR589473_bin.15_CONCOCT_v1.1_MAG</t>
  </si>
  <si>
    <t>https://ftp.ncbi.nlm.nih.gov/genomes/all/GCA/938/021/195/GCA_938021195.1_ERR589473_bin.15_CONCOCT_v1.1_MAG</t>
  </si>
  <si>
    <t>GCA_938021905.1</t>
  </si>
  <si>
    <t>ERR1474568_bin.54_CONCOCT_v1.1_MAG</t>
  </si>
  <si>
    <t>https://ftp.ncbi.nlm.nih.gov/genomes/all/GCA/938/021/905/GCA_938021905.1_ERR1474568_bin.54_CONCOCT_v1.1_MAG</t>
  </si>
  <si>
    <t>GCA_938022445.1</t>
  </si>
  <si>
    <t>ERR589371_bin.96_CONCOCT_v1.1_MAG</t>
  </si>
  <si>
    <t>https://ftp.ncbi.nlm.nih.gov/genomes/all/GCA/938/022/445/GCA_938022445.1_ERR589371_bin.96_CONCOCT_v1.1_MAG</t>
  </si>
  <si>
    <t>GCA_938023115.1</t>
  </si>
  <si>
    <t>ERR414493_bin.34_CONCOCT_v1.1_MAG</t>
  </si>
  <si>
    <t>https://ftp.ncbi.nlm.nih.gov/genomes/all/GCA/938/023/115/GCA_938023115.1_ERR414493_bin.34_CONCOCT_v1.1_MAG</t>
  </si>
  <si>
    <t>GCA_938023715.1</t>
  </si>
  <si>
    <t>ERR1430407_bin.68_CONCOCT_v1.1_MAG</t>
  </si>
  <si>
    <t>https://ftp.ncbi.nlm.nih.gov/genomes/all/GCA/938/023/715/GCA_938023715.1_ERR1430407_bin.68_CONCOCT_v1.1_MAG</t>
  </si>
  <si>
    <t>GCA_938028205.1</t>
  </si>
  <si>
    <t>ERR589642_bin.94_CONCOCT_v1.1_MAG</t>
  </si>
  <si>
    <t>https://ftp.ncbi.nlm.nih.gov/genomes/all/GCA/938/028/205/GCA_938028205.1_ERR589642_bin.94_CONCOCT_v1.1_MAG</t>
  </si>
  <si>
    <t>GCA_938028215.1</t>
  </si>
  <si>
    <t>ERR589609_bin.2_CONCOCT_v1.1_MAG</t>
  </si>
  <si>
    <t>https://ftp.ncbi.nlm.nih.gov/genomes/all/GCA/938/028/215/GCA_938028215.1_ERR589609_bin.2_CONCOCT_v1.1_MAG</t>
  </si>
  <si>
    <t>GCA_938028225.1</t>
  </si>
  <si>
    <t>ERR589623_bin.60_CONCOCT_v1.1_MAG</t>
  </si>
  <si>
    <t>https://ftp.ncbi.nlm.nih.gov/genomes/all/GCA/938/028/225/GCA_938028225.1_ERR589623_bin.60_CONCOCT_v1.1_MAG</t>
  </si>
  <si>
    <t>GCA_938028245.1</t>
  </si>
  <si>
    <t>ERR589636_bin.74_CONCOCT_v1.1_MAG</t>
  </si>
  <si>
    <t>https://ftp.ncbi.nlm.nih.gov/genomes/all/GCA/938/028/245/GCA_938028245.1_ERR589636_bin.74_CONCOCT_v1.1_MAG</t>
  </si>
  <si>
    <t>GCA_938028575.1</t>
  </si>
  <si>
    <t>ERR589362_bin.1_CONCOCT_v1.1_MAG</t>
  </si>
  <si>
    <t>https://ftp.ncbi.nlm.nih.gov/genomes/all/GCA/938/028/575/GCA_938028575.1_ERR589362_bin.1_CONCOCT_v1.1_MAG</t>
  </si>
  <si>
    <t>GCA_938029425.1</t>
  </si>
  <si>
    <t>ERR589377_bin.87_CONCOCT_v1.1_MAG</t>
  </si>
  <si>
    <t>https://ftp.ncbi.nlm.nih.gov/genomes/all/GCA/938/029/425/GCA_938029425.1_ERR589377_bin.87_CONCOCT_v1.1_MAG</t>
  </si>
  <si>
    <t>GCA_938029445.1</t>
  </si>
  <si>
    <t>ERR589371_bin.95_CONCOCT_v1.1_MAG</t>
  </si>
  <si>
    <t>https://ftp.ncbi.nlm.nih.gov/genomes/all/GCA/938/029/445/GCA_938029445.1_ERR589371_bin.95_CONCOCT_v1.1_MAG</t>
  </si>
  <si>
    <t>GCA_938029845.1</t>
  </si>
  <si>
    <t>ERR589600_bin.49_CONCOCT_v1.1_MAG</t>
  </si>
  <si>
    <t>https://ftp.ncbi.nlm.nih.gov/genomes/all/GCA/938/029/845/GCA_938029845.1_ERR589600_bin.49_CONCOCT_v1.1_MAG/</t>
  </si>
  <si>
    <t>GCA_938030085.1</t>
  </si>
  <si>
    <t>ERR589642_bin.0_CONCOCT_v1.1_MAG</t>
  </si>
  <si>
    <t>https://ftp.ncbi.nlm.nih.gov/genomes/all/GCA/938/030/085/GCA_938030085.1_ERR589642_bin.0_CONCOCT_v1.1_MAG</t>
  </si>
  <si>
    <t>GCA_938030135.1</t>
  </si>
  <si>
    <t>ERR589646_bin.22_CONCOCT_v1.1_MAG</t>
  </si>
  <si>
    <t>https://ftp.ncbi.nlm.nih.gov/genomes/all/GCA/938/030/135/GCA_938030135.1_ERR589646_bin.22_CONCOCT_v1.1_MAG</t>
  </si>
  <si>
    <t>GCA_938030635.1</t>
  </si>
  <si>
    <t>ERR589374_bin.71_CONCOCT_v1.1_MAG</t>
  </si>
  <si>
    <t>https://ftp.ncbi.nlm.nih.gov/genomes/all/GCA/938/030/635/GCA_938030635.1_ERR589374_bin.71_CONCOCT_v1.1_MAG</t>
  </si>
  <si>
    <t>GCA_938030695.1</t>
  </si>
  <si>
    <t>ERR589373_bin.89_CONCOCT_v1.1_MAG</t>
  </si>
  <si>
    <t>https://ftp.ncbi.nlm.nih.gov/genomes/all/GCA/938/030/695/GCA_938030695.1_ERR589373_bin.89_CONCOCT_v1.1_MAG</t>
  </si>
  <si>
    <t>GCA_938030775.1</t>
  </si>
  <si>
    <t>ERR589450_bin.81_CONCOCT_v1.1_MAG</t>
  </si>
  <si>
    <t>https://ftp.ncbi.nlm.nih.gov/genomes/all/GCA/938/030/775/GCA_938030775.1_ERR589450_bin.81_CONCOCT_v1.1_MAG</t>
  </si>
  <si>
    <t>GCA_938031325.1</t>
  </si>
  <si>
    <t>ERR589381_bin.12_CONCOCT_v1.1_MAG</t>
  </si>
  <si>
    <t>https://ftp.ncbi.nlm.nih.gov/genomes/all/GCA/938/031/325/GCA_938031325.1_ERR589381_bin.12_CONCOCT_v1.1_MAG</t>
  </si>
  <si>
    <t>GCA_938034265.1</t>
  </si>
  <si>
    <t>ERR1018211_bin.35_CONCOCT_v1.1_MAG</t>
  </si>
  <si>
    <t>https://ftp.ncbi.nlm.nih.gov/genomes/all/GCA/938/034/265/GCA_938034265.1_ERR1018211_bin.35_CONCOCT_v1.1_MAG</t>
  </si>
  <si>
    <t>ERR2764840_bin.11_CONCOCT_v1.1_MAG</t>
  </si>
  <si>
    <t>https://ftp.ncbi.nlm.nih.gov/genomes/all/GCA/938/034/465/GCA_938034465.1_ERR2764840_bin.11_CONCOCT_v1.1_MAG</t>
  </si>
  <si>
    <t>GCA_938034675.1</t>
  </si>
  <si>
    <t>ERR589663_bin.92_CONCOCT_v1.1_MAG</t>
  </si>
  <si>
    <t>https://ftp.ncbi.nlm.nih.gov/genomes/all/GCA/938/034/675/GCA_938034675.1_ERR589663_bin.92_CONCOCT_v1.1_MAG</t>
  </si>
  <si>
    <t>SRR9217414_bin.59_CONCOCT_v1.1_MAG</t>
  </si>
  <si>
    <t>https://ftp.ncbi.nlm.nih.gov/genomes/all/GCA/938/034/995/GCA_938034995.1_SRR9217414_bin.59_CONCOCT_v1.1_MAG</t>
  </si>
  <si>
    <t>GCA_938035375.1</t>
  </si>
  <si>
    <t>ERR589708_bin.56_CONCOCT_v1.1_MAG</t>
  </si>
  <si>
    <t>https://ftp.ncbi.nlm.nih.gov/genomes/all/GCA/938/035/375/GCA_938035375.1_ERR589708_bin.56_CONCOCT_v1.1_MAG</t>
  </si>
  <si>
    <t>GCA_938036205.1</t>
  </si>
  <si>
    <t>ERR589655_bin.98_CONCOCT_v1.1_MAG</t>
  </si>
  <si>
    <t>https://ftp.ncbi.nlm.nih.gov/genomes/all/GCA/938/036/205/GCA_938036205.1_ERR589655_bin.98_CONCOCT_v1.1_MAG</t>
  </si>
  <si>
    <t>GCA_938036365.1</t>
  </si>
  <si>
    <t>ERR414475_bin.24_CONCOCT_v1.1_MAG</t>
  </si>
  <si>
    <t>https://ftp.ncbi.nlm.nih.gov/genomes/all/GCA/938/036/365/GCA_938036365.1_ERR414475_bin.24_CONCOCT_v1.1_MAG</t>
  </si>
  <si>
    <t>GCA_938036385.1</t>
  </si>
  <si>
    <t>ERR414471_bin.73_CONCOCT_v1.1_MAG</t>
  </si>
  <si>
    <t>https://ftp.ncbi.nlm.nih.gov/genomes/all/GCA/938/036/385/GCA_938036385.1_ERR414471_bin.73_CONCOCT_v1.1_MAG</t>
  </si>
  <si>
    <t>GCA_938036855.1</t>
  </si>
  <si>
    <t>ERR589615_bin.13_CONCOCT_v1.1_MAG</t>
  </si>
  <si>
    <t>https://ftp.ncbi.nlm.nih.gov/genomes/all/GCA/938/036/855/GCA_938036855.1_ERR589615_bin.13_CONCOCT_v1.1_MAG</t>
  </si>
  <si>
    <t>GCA_938036865.1</t>
  </si>
  <si>
    <t>ERR589611_bin.78_CONCOCT_v1.1_MAG</t>
  </si>
  <si>
    <t>https://ftp.ncbi.nlm.nih.gov/genomes/all/GCA/938/036/865/GCA_938036865.1_ERR589611_bin.78_CONCOCT_v1.1_MAG</t>
  </si>
  <si>
    <t>GCA_938037165.1</t>
  </si>
  <si>
    <t>ERR589644_bin.43_CONCOCT_v1.1_MAG</t>
  </si>
  <si>
    <t>https://ftp.ncbi.nlm.nih.gov/genomes/all/GCA/938/037/165/GCA_938037165.1_ERR589644_bin.43_CONCOCT_v1.1_MAG</t>
  </si>
  <si>
    <t>GCA_938037195.1</t>
  </si>
  <si>
    <t>ERR589663_bin.38_CONCOCT_v1.1_MAG</t>
  </si>
  <si>
    <t>https://ftp.ncbi.nlm.nih.gov/genomes/all/GCA/938/037/195/GCA_938037195.1_ERR589663_bin.38_CONCOCT_v1.1_MAG</t>
  </si>
  <si>
    <t>GCA_938038625.1</t>
  </si>
  <si>
    <t>ERR589365_bin.92_CONCOCT_v1.1_MAG</t>
  </si>
  <si>
    <t>https://ftp.ncbi.nlm.nih.gov/genomes/all/GCA/938/038/625/GCA_938038625.1_ERR589365_bin.92_CONCOCT_v1.1_MAG</t>
  </si>
  <si>
    <t>GCA_938038765.1</t>
  </si>
  <si>
    <t>ERR589373_bin.14_CONCOCT_v1.1_MAG</t>
  </si>
  <si>
    <t>https://ftp.ncbi.nlm.nih.gov/genomes/all/GCA/938/038/765/GCA_938038765.1_ERR589373_bin.14_CONCOCT_v1.1_MAG</t>
  </si>
  <si>
    <t>GCA_938038795.1</t>
  </si>
  <si>
    <t>ERR589362_bin.124_CONCOCT_v1.1_MAG</t>
  </si>
  <si>
    <t>https://ftp.ncbi.nlm.nih.gov/genomes/all/GCA/938/038/795/GCA_938038795.1_ERR589362_bin.124_CONCOCT_v1.1_MAG</t>
  </si>
  <si>
    <t>ERR589484_bin.19_CONCOCT_v1.1_MAG</t>
  </si>
  <si>
    <t>https://ftp.ncbi.nlm.nih.gov/genomes/all/GCA/938/038/995/GCA_938038995.1_ERR589484_bin.19_CONCOCT_v1.1_MAG</t>
  </si>
  <si>
    <t>GCA_938039355.1</t>
  </si>
  <si>
    <t>ERR589404_bin.38_CONCOCT_v1.1_MAG</t>
  </si>
  <si>
    <t>https://ftp.ncbi.nlm.nih.gov/genomes/all/GCA/938/039/355/GCA_938039355.1_ERR589404_bin.38_CONCOCT_v1.1_MAG</t>
  </si>
  <si>
    <t>GCA_938039385.1</t>
  </si>
  <si>
    <t>ERR589444_bin.22_CONCOCT_v1.1_MAG</t>
  </si>
  <si>
    <t>https://ftp.ncbi.nlm.nih.gov/genomes/all/GCA/938/039/385/GCA_938039385.1_ERR589444_bin.22_CONCOCT_v1.1_MAG</t>
  </si>
  <si>
    <t>GCA_938040075.1</t>
  </si>
  <si>
    <t>ERR589447_bin.37_CONCOCT_v1.1_MAG</t>
  </si>
  <si>
    <t>https://ftp.ncbi.nlm.nih.gov/genomes/all/GCA/938/040/075/GCA_938040075.1_ERR589447_bin.37_CONCOCT_v1.1_MAG</t>
  </si>
  <si>
    <t>GCA_938040835.1</t>
  </si>
  <si>
    <t>ERR589462_bin.56_CONCOCT_v1.1_MAG</t>
  </si>
  <si>
    <t>https://ftp.ncbi.nlm.nih.gov/genomes/all/GCA/938/040/835/GCA_938040835.1_ERR589462_bin.56_CONCOCT_v1.1_MAG</t>
  </si>
  <si>
    <t>GCA_938040855.1</t>
  </si>
  <si>
    <t>ERR589381_bin.122_CONCOCT_v1.1_MAG</t>
  </si>
  <si>
    <t>https://ftp.ncbi.nlm.nih.gov/genomes/all/GCA/938/040/855/GCA_938040855.1_ERR589381_bin.122_CONCOCT_v1.1_MAG</t>
  </si>
  <si>
    <t>GCA_938040935.1</t>
  </si>
  <si>
    <t>ERR589434_bin.104_CONCOCT_v1.1_MAG</t>
  </si>
  <si>
    <t>https://ftp.ncbi.nlm.nih.gov/genomes/all/GCA/938/040/935/GCA_938040935.1_ERR589434_bin.104_CONCOCT_v1.1_MAG</t>
  </si>
  <si>
    <t>GCA_938041085.1</t>
  </si>
  <si>
    <t>ERR589355_bin.54_CONCOCT_v1.1_MAG</t>
  </si>
  <si>
    <t>https://ftp.ncbi.nlm.nih.gov/genomes/all/GCA/938/041/085/GCA_938041085.1_ERR589355_bin.54_CONCOCT_v1.1_MAG</t>
  </si>
  <si>
    <t>GCA_938041115.1</t>
  </si>
  <si>
    <t>ERR589490_bin.67_CONCOCT_v1.1_MAG</t>
  </si>
  <si>
    <t>https://ftp.ncbi.nlm.nih.gov/genomes/all/GCA/938/041/115/GCA_938041115.1_ERR589490_bin.67_CONCOCT_v1.1_MAG</t>
  </si>
  <si>
    <t>ERR589356_bin.51_CONCOCT_v1.1_MAG</t>
  </si>
  <si>
    <t>https://ftp.ncbi.nlm.nih.gov/genomes/all/GCA/938/041/125/GCA_938041125.1_ERR589356_bin.51_CONCOCT_v1.1_MAG</t>
  </si>
  <si>
    <t>SRR8114056_bin.29_CONCOCT_v1.1_MAG</t>
  </si>
  <si>
    <t>https://ftp.ncbi.nlm.nih.gov/genomes/all/GCA/938/041/155/GCA_938041155.1_SRR8114056_bin.29_CONCOCT_v1.1_MAG</t>
  </si>
  <si>
    <t>GCA_938041425.1</t>
  </si>
  <si>
    <t>ERR589597_bin.67_CONCOCT_v1.1_MAG</t>
  </si>
  <si>
    <t>https://ftp.ncbi.nlm.nih.gov/genomes/all/GCA/938/041/425/GCA_938041425.1_ERR589597_bin.67_CONCOCT_v1.1_MAG</t>
  </si>
  <si>
    <t>GCA_938041855.1</t>
  </si>
  <si>
    <t>ERR589472_bin.90_CONCOCT_v1.1_MAG</t>
  </si>
  <si>
    <t>https://ftp.ncbi.nlm.nih.gov/genomes/all/GCA/938/041/855/GCA_938041855.1_ERR589472_bin.90_CONCOCT_v1.1_MAG</t>
  </si>
  <si>
    <t>GCA_938042165.1</t>
  </si>
  <si>
    <t>ERR589384_bin.90_CONCOCT_v1.1_MAG</t>
  </si>
  <si>
    <t>https://ftp.ncbi.nlm.nih.gov/genomes/all/GCA/938/042/165/GCA_938042165.1_ERR589384_bin.90_CONCOCT_v1.1_MAG</t>
  </si>
  <si>
    <t>ERR589382_bin.2_CONCOCT_v1.1_MAG</t>
  </si>
  <si>
    <t>https://ftp.ncbi.nlm.nih.gov/genomes/all/GCA/938/042/185/GCA_938042185.1_ERR589382_bin.2_CONCOCT_v1.1_MAG</t>
  </si>
  <si>
    <t>ERR589702_bin.71_CONCOCT_v1.1_MAG</t>
  </si>
  <si>
    <t>https://ftp.ncbi.nlm.nih.gov/genomes/all/GCA/938/043/945/GCA_938043945.1_ERR589702_bin.71_CONCOCT_v1.1_MAG</t>
  </si>
  <si>
    <t>GCA_938043975.1</t>
  </si>
  <si>
    <t>ERR589711_bin.98_CONCOCT_v1.1_MAG</t>
  </si>
  <si>
    <t>https://ftp.ncbi.nlm.nih.gov/genomes/all/GCA/938/043/975/GCA_938043975.1_ERR589711_bin.98_CONCOCT_v1.1_MAG</t>
  </si>
  <si>
    <t>GCA_938043995.1</t>
  </si>
  <si>
    <t>ERR589708_bin.88_CONCOCT_v1.1_MAG</t>
  </si>
  <si>
    <t>https://ftp.ncbi.nlm.nih.gov/genomes/all/GCA/938/043/995/GCA_938043995.1_ERR589708_bin.88_CONCOCT_v1.1_MAG</t>
  </si>
  <si>
    <t>GCA_938044075.1</t>
  </si>
  <si>
    <t>ERR589687_bin.28_CONCOCT_v1.1_MAG</t>
  </si>
  <si>
    <t>https://ftp.ncbi.nlm.nih.gov/genomes/all/GCA/938/044/075/GCA_938044075.1_ERR589687_bin.28_CONCOCT_v1.1_MAG</t>
  </si>
  <si>
    <t>GCA_938044115.1</t>
  </si>
  <si>
    <t>ERR589656_bin.44_CONCOCT_v1.1_MAG</t>
  </si>
  <si>
    <t>https://ftp.ncbi.nlm.nih.gov/genomes/all/GCA/938/044/115/GCA_938044115.1_ERR589656_bin.44_CONCOCT_v1.1_MAG</t>
  </si>
  <si>
    <t>GCA_938044185.1</t>
  </si>
  <si>
    <t>ERR589668_bin.88_CONCOCT_v1.1_MAG</t>
  </si>
  <si>
    <t>https://ftp.ncbi.nlm.nih.gov/genomes/all/GCA/938/044/185/GCA_938044185.1_ERR589668_bin.88_CONCOCT_v1.1_MAG</t>
  </si>
  <si>
    <t>GCA_938044195.1</t>
  </si>
  <si>
    <t>ERR589642_bin.33_CONCOCT_v1.1_MAG</t>
  </si>
  <si>
    <t>https://ftp.ncbi.nlm.nih.gov/genomes/all/GCA/938/044/195/GCA_938044195.1_ERR589642_bin.33_CONCOCT_v1.1_MAG</t>
  </si>
  <si>
    <t>GCA_938045125.1</t>
  </si>
  <si>
    <t>SRR11615785_bin.62_CONCOCT_v1.1_MAG</t>
  </si>
  <si>
    <t>https://ftp.ncbi.nlm.nih.gov/genomes/all/GCA/938/045/125/GCA_938045125.1_SRR11615785_bin.62_CONCOCT_v1.1_MAG</t>
  </si>
  <si>
    <t>GCA_938045375.1</t>
  </si>
  <si>
    <t>ERR589631_bin.11_CONCOCT_v1.1_MAG</t>
  </si>
  <si>
    <t>https://ftp.ncbi.nlm.nih.gov/genomes/all/GCA/938/045/375/GCA_938045375.1_ERR589631_bin.11_CONCOCT_v1.1_MAG</t>
  </si>
  <si>
    <t>ERR589608_bin.6_CONCOCT_v1.1_MAG</t>
  </si>
  <si>
    <t>https://ftp.ncbi.nlm.nih.gov/genomes/all/GCA/938/045/425/GCA_938045425.1_ERR589608_bin.6_CONCOCT_v1.1_MAG</t>
  </si>
  <si>
    <t>GCA_938045455.1</t>
  </si>
  <si>
    <t>ERR589631_bin.19_CONCOCT_v1.1_MAG</t>
  </si>
  <si>
    <t>https://ftp.ncbi.nlm.nih.gov/genomes/all/GCA/938/045/455/GCA_938045455.1_ERR589631_bin.19_CONCOCT_v1.1_MAG</t>
  </si>
  <si>
    <t>GCA_938045515.1</t>
  </si>
  <si>
    <t>ERR589642_bin.35_CONCOCT_v1.1_MAG</t>
  </si>
  <si>
    <t>https://ftp.ncbi.nlm.nih.gov/genomes/all/GCA/938/045/515/GCA_938045515.1_ERR589642_bin.35_CONCOCT_v1.1_MAG</t>
  </si>
  <si>
    <t>GCA_938045525.1</t>
  </si>
  <si>
    <t>ERR589616_bin.43_CONCOCT_v1.1_MAG</t>
  </si>
  <si>
    <t>https://ftp.ncbi.nlm.nih.gov/genomes/all/GCA/938/045/525/GCA_938045525.1_ERR589616_bin.43_CONCOCT_v1.1_MAG</t>
  </si>
  <si>
    <t>GCA_938045605.1</t>
  </si>
  <si>
    <t>ERR589599_bin.87_CONCOCT_v1.1_MAG</t>
  </si>
  <si>
    <t>https://ftp.ncbi.nlm.nih.gov/genomes/all/GCA/938/045/605/GCA_938045605.1_ERR589599_bin.87_CONCOCT_v1.1_MAG</t>
  </si>
  <si>
    <t>GCA_938045635.1</t>
  </si>
  <si>
    <t>ERR589609_bin.77_CONCOCT_v1.1_MAG</t>
  </si>
  <si>
    <t>https://ftp.ncbi.nlm.nih.gov/genomes/all/GCA/938/045/635/GCA_938045635.1_ERR589609_bin.77_CONCOCT_v1.1_MAG</t>
  </si>
  <si>
    <t>ERR589615_bin.45_CONCOCT_v1.1_MAG</t>
  </si>
  <si>
    <t>https://ftp.ncbi.nlm.nih.gov/genomes/all/GCA/938/045/645/GCA_938045645.1_ERR589615_bin.45_CONCOCT_v1.1_MAG</t>
  </si>
  <si>
    <t>GCA_938046275.1</t>
  </si>
  <si>
    <t>ERR589490_bin.53_CONCOCT_v1.1_MAG</t>
  </si>
  <si>
    <t>https://ftp.ncbi.nlm.nih.gov/genomes/all/GCA/938/046/275/GCA_938046275.1_ERR589490_bin.53_CONCOCT_v1.1_MAG</t>
  </si>
  <si>
    <t>GCA_938046305.1</t>
  </si>
  <si>
    <t>ERR589473_bin.60_CONCOCT_v1.1_MAG</t>
  </si>
  <si>
    <t>https://ftp.ncbi.nlm.nih.gov/genomes/all/GCA/938/046/305/GCA_938046305.1_ERR589473_bin.60_CONCOCT_v1.1_MAG</t>
  </si>
  <si>
    <t>GCA_938046545.1</t>
  </si>
  <si>
    <t>ERR589467_bin.38_CONCOCT_v1.1_MAG</t>
  </si>
  <si>
    <t>https://ftp.ncbi.nlm.nih.gov/genomes/all/GCA/938/046/545/GCA_938046545.1_ERR589467_bin.38_CONCOCT_v1.1_MAG</t>
  </si>
  <si>
    <t>GCA_938046675.1</t>
  </si>
  <si>
    <t>ERR589463_bin.60_CONCOCT_v1.1_MAG</t>
  </si>
  <si>
    <t>https://ftp.ncbi.nlm.nih.gov/genomes/all/GCA/938/046/675/GCA_938046675.1_ERR589463_bin.60_CONCOCT_v1.1_MAG</t>
  </si>
  <si>
    <t>GCA_938046685.1</t>
  </si>
  <si>
    <t>ERR1430443_bin.89_CONCOCT_v1.1_MAG</t>
  </si>
  <si>
    <t>https://ftp.ncbi.nlm.nih.gov/genomes/all/GCA/938/046/685/GCA_938046685.1_ERR1430443_bin.89_CONCOCT_v1.1_MAG</t>
  </si>
  <si>
    <t>GCA_938046695.1</t>
  </si>
  <si>
    <t>ERR589356_bin.17_CONCOCT_v1.1_MAG</t>
  </si>
  <si>
    <t>https://ftp.ncbi.nlm.nih.gov/genomes/all/GCA/938/046/695/GCA_938046695.1_ERR589356_bin.17_CONCOCT_v1.1_MAG</t>
  </si>
  <si>
    <t>GCA_938046745.1</t>
  </si>
  <si>
    <t>ERR589372_bin.68_CONCOCT_v1.1_MAG</t>
  </si>
  <si>
    <t>https://ftp.ncbi.nlm.nih.gov/genomes/all/GCA/938/046/745/GCA_938046745.1_ERR589372_bin.68_CONCOCT_v1.1_MAG</t>
  </si>
  <si>
    <t>GCA_938046765.1</t>
  </si>
  <si>
    <t>ERR589364_bin.14_CONCOCT_v1.1_MAG</t>
  </si>
  <si>
    <t>https://ftp.ncbi.nlm.nih.gov/genomes/all/GCA/938/046/765/GCA_938046765.1_ERR589364_bin.14_CONCOCT_v1.1_MAG</t>
  </si>
  <si>
    <t>GCA_938049055.1</t>
  </si>
  <si>
    <t>ERR589373_bin.39_CONCOCT_v1.1_MAG</t>
  </si>
  <si>
    <t>https://ftp.ncbi.nlm.nih.gov/genomes/all/GCA/938/049/055/GCA_938049055.1_ERR589373_bin.39_CONCOCT_v1.1_MAG</t>
  </si>
  <si>
    <t>GCA_943169685.1</t>
  </si>
  <si>
    <t>EMRHCC_6C</t>
  </si>
  <si>
    <t>https://ftp.ncbi.nlm.nih.gov/genomes/all/GCA/943/169/685/GCA_943169685.1_Porphyromonas_sp._bobii-EMRHCC_6C</t>
  </si>
  <si>
    <t>GCA_943912515.1</t>
  </si>
  <si>
    <t>ykKrFY3FWv_bin.4.MAG</t>
  </si>
  <si>
    <t>https://ftp.ncbi.nlm.nih.gov/genomes/all/GCA/943/912/515/GCA_943912515.1_ykKrFY3FWv_bin.4.MAG</t>
  </si>
  <si>
    <t>GCA_943912545.1</t>
  </si>
  <si>
    <t>Bqd3KCLXfU_bin.6.MAG</t>
  </si>
  <si>
    <t>https://ftp.ncbi.nlm.nih.gov/genomes/all/GCA/943/912/545/GCA_943912545.1_Bqd3KCLXfU_bin.6.MAG</t>
  </si>
  <si>
    <t>GCA_943912715.1</t>
  </si>
  <si>
    <t>MyiHyXazvK_bin.1.MAG</t>
  </si>
  <si>
    <t>https://ftp.ncbi.nlm.nih.gov/genomes/all/GCA/943/912/715/GCA_943912715.1_MyiHyXazvK_bin.1.MAG</t>
  </si>
  <si>
    <t>GCA_943912805.1</t>
  </si>
  <si>
    <t>ALSxanwf21_bin.36.MAG</t>
  </si>
  <si>
    <t>https://ftp.ncbi.nlm.nih.gov/genomes/all/GCA/943/912/805/GCA_943912805.1_ALSxanwf21_bin.36.MAG</t>
  </si>
  <si>
    <t>GCA_943912895.1</t>
  </si>
  <si>
    <t>pnuwtxEkki_bin.1.MAG</t>
  </si>
  <si>
    <t>https://ftp.ncbi.nlm.nih.gov/genomes/all/GCA/943/912/895/GCA_943912895.1_pnuwtxEkki_bin.1.MAG</t>
  </si>
  <si>
    <t>GCA_943912935.1</t>
  </si>
  <si>
    <t>i7kYWQRPAm_bin.6.MAG</t>
  </si>
  <si>
    <t>https://ftp.ncbi.nlm.nih.gov/genomes/all/GCA/943/912/935/GCA_943912935.1_i7kYWQRPAm_bin.6.MAG</t>
  </si>
  <si>
    <t>GCA_943912945.1</t>
  </si>
  <si>
    <t>h9MutR4ofj_bin.46.MAG</t>
  </si>
  <si>
    <t>https://ftp.ncbi.nlm.nih.gov/genomes/all/GCA/943/912/945/GCA_943912945.1_h9MutR4ofj_bin.46.MAG</t>
  </si>
  <si>
    <t>GCA_943912955.1</t>
  </si>
  <si>
    <t>in4FWvFvrJ_bin.3.MAG</t>
  </si>
  <si>
    <t>https://ftp.ncbi.nlm.nih.gov/genomes/all/GCA/943/912/955/GCA_943912955.1_in4FWvFvrJ_bin.3.MAG</t>
  </si>
  <si>
    <t>GCA_943912975.1</t>
  </si>
  <si>
    <t>1pMM6ns1sI_bin.1.MAG</t>
  </si>
  <si>
    <t>https://ftp.ncbi.nlm.nih.gov/genomes/all/GCA/943/912/975/GCA_943912975.1_1pMM6ns1sI_bin.1.MAG</t>
  </si>
  <si>
    <t>GCA_943913635.1</t>
  </si>
  <si>
    <t>CRFYdp367m_bin.35.MAG</t>
  </si>
  <si>
    <t>https://ftp.ncbi.nlm.nih.gov/genomes/all/GCA/943/913/635/GCA_943913635.1_CRFYdp367m_bin.35.MAG</t>
  </si>
  <si>
    <t>GCA_943913685.1</t>
  </si>
  <si>
    <t>DCeZfn8tmZ_bin.11.MAG</t>
  </si>
  <si>
    <t>https://ftp.ncbi.nlm.nih.gov/genomes/all/GCA/943/913/685/GCA_943913685.1_DCeZfn8tmZ_bin.11.MAG</t>
  </si>
  <si>
    <t>hn1YYbGFJY_bin.5.MAG</t>
  </si>
  <si>
    <t>https://ftp.ncbi.nlm.nih.gov/genomes/all/GCA/943/913/865/GCA_943913865.1_hn1YYbGFJY_bin.5.MAG</t>
  </si>
  <si>
    <t>GCA_943914075.1</t>
  </si>
  <si>
    <t>IASS5iDOpI_bin.1.MAG</t>
  </si>
  <si>
    <t>https://ftp.ncbi.nlm.nih.gov/genomes/all/GCA/943/914/075/GCA_943914075.1_IASS5iDOpI_bin.1.MAG</t>
  </si>
  <si>
    <t>GCA_943914145.1</t>
  </si>
  <si>
    <t>W84SXvyAOe_bin.3.MAG</t>
  </si>
  <si>
    <t>https://ftp.ncbi.nlm.nih.gov/genomes/all/GCA/943/914/145/GCA_943914145.1_W84SXvyAOe_bin.3.MAG</t>
  </si>
  <si>
    <t>GCA_943914235.1</t>
  </si>
  <si>
    <t>etXQlXaGiH_bin.5.MAG</t>
  </si>
  <si>
    <t>https://ftp.ncbi.nlm.nih.gov/genomes/all/GCA/943/914/235/GCA_943914235.1_etXQlXaGiH_bin.5.MAG</t>
  </si>
  <si>
    <t>GCA_943914275.1</t>
  </si>
  <si>
    <t>JVunxdyFQ0_bin.2.MAG</t>
  </si>
  <si>
    <t>https://ftp.ncbi.nlm.nih.gov/genomes/all/GCA/943/914/275/GCA_943914275.1_JVunxdyFQ0_bin.2.MAG</t>
  </si>
  <si>
    <t>GCA_943914375.1</t>
  </si>
  <si>
    <t>hIn5OIDK9I_bin.2.MAG</t>
  </si>
  <si>
    <t>https://ftp.ncbi.nlm.nih.gov/genomes/all/GCA/943/914/375/GCA_943914375.1_hIn5OIDK9I_bin.2.MAG</t>
  </si>
  <si>
    <t>GCA_943914495.1</t>
  </si>
  <si>
    <t>da6yrKMu1g_bin.19.MAG</t>
  </si>
  <si>
    <t>https://ftp.ncbi.nlm.nih.gov/genomes/all/GCA/943/914/495/GCA_943914495.1_da6yrKMu1g_bin.19.MAG</t>
  </si>
  <si>
    <t>GCA_943914625.1</t>
  </si>
  <si>
    <t>1MCyelp1G5_bin.1.MAG</t>
  </si>
  <si>
    <t>https://ftp.ncbi.nlm.nih.gov/genomes/all/GCA/943/914/625/GCA_943914625.1_1MCyelp1G5_bin.1.MAG</t>
  </si>
  <si>
    <t>GCA_943915015.1</t>
  </si>
  <si>
    <t>QqBYd94U16_bin.6.MAG</t>
  </si>
  <si>
    <t>https://ftp.ncbi.nlm.nih.gov/genomes/all/GCA/943/915/015/GCA_943915015.1_QqBYd94U16_bin.6.MAG</t>
  </si>
  <si>
    <t>GCA_945828425.1</t>
  </si>
  <si>
    <t>SRR5240737_bin.4_metaWRAP_v1.3_MAG</t>
  </si>
  <si>
    <t>https://ftp.ncbi.nlm.nih.gov/genomes/all/GCA/945/828/425/GCA_945828425.1_SRR5240737_bin.4_metaWRAP_v1.3_MAG</t>
  </si>
  <si>
    <t>SRR5240741_bin.24_metaWRAP_v1.3_MAG</t>
  </si>
  <si>
    <t>https://ftp.ncbi.nlm.nih.gov/genomes/all/GCA/945/829/905/GCA_945829905.1_SRR5240741_bin.24_metaWRAP_v1.3_MAG</t>
  </si>
  <si>
    <t>ERR1855539_bin.12_metaWRAP_v1.3_MAG</t>
  </si>
  <si>
    <t>https://ftp.ncbi.nlm.nih.gov/genomes/all/GCA/945/869/495/GCA_945869495.1_ERR1855539_bin.12_metaWRAP_v1.3_MAG</t>
  </si>
  <si>
    <t>GCA_945873285.1</t>
  </si>
  <si>
    <t>ERR1855541_bin.19_metaWRAP_v1.3_MAG</t>
  </si>
  <si>
    <t>https://ftp.ncbi.nlm.nih.gov/genomes/all/GCA/945/873/285/GCA_945873285.1_ERR1855541_bin.19_metaWRAP_v1.3_MAG</t>
  </si>
  <si>
    <t>SRR15057927_bin.23_metaWRAP_v1.3_MAG</t>
  </si>
  <si>
    <t>https://ftp.ncbi.nlm.nih.gov/genomes/all/GCA/945/917/645/GCA_945917645.1_SRR15057927_bin.23_metaWRAP_v1.3_MAG</t>
  </si>
  <si>
    <t>GCA_946220795.1</t>
  </si>
  <si>
    <t>KWDhT5f8NI_bin.7.MAG</t>
  </si>
  <si>
    <t>https://ftp.ncbi.nlm.nih.gov/genomes/all/GCA/946/220/795/GCA_946220795.1_KWDhT5f8NI_bin.7.MAG</t>
  </si>
  <si>
    <t>GCA_946220875.1</t>
  </si>
  <si>
    <t>KIZcLlzh1D_bin.1.MAG</t>
  </si>
  <si>
    <t>https://ftp.ncbi.nlm.nih.gov/genomes/all/GCA/946/220/875/GCA_946220875.1_KIZcLlzh1D_bin.1.MAG</t>
  </si>
  <si>
    <t>GCA_946221355.1</t>
  </si>
  <si>
    <t>iknnSsCAXX_bin.1.MAG</t>
  </si>
  <si>
    <t>https://ftp.ncbi.nlm.nih.gov/genomes/all/GCA/946/221/355/GCA_946221355.1_iknnSsCAXX_bin.1.MAG</t>
  </si>
  <si>
    <t>GCA_946221375.1</t>
  </si>
  <si>
    <t>ftJtv3UNaR_bin.1.MAG</t>
  </si>
  <si>
    <t>https://ftp.ncbi.nlm.nih.gov/genomes/all/GCA/946/221/375/GCA_946221375.1_ftJtv3UNaR_bin.1.MAG</t>
  </si>
  <si>
    <t>GCA_946221565.1</t>
  </si>
  <si>
    <t>WQArXgqSXM_bin.4.MAG</t>
  </si>
  <si>
    <t>https://ftp.ncbi.nlm.nih.gov/genomes/all/GCA/946/221/565/GCA_946221565.1_WQArXgqSXM_bin.4.MAG</t>
  </si>
  <si>
    <t>GCA_946221605.1</t>
  </si>
  <si>
    <t>jyXc63ftR2_bin.7.MAG</t>
  </si>
  <si>
    <t>https://ftp.ncbi.nlm.nih.gov/genomes/all/GCA/946/221/605/GCA_946221605.1_jyXc63ftR2_bin.7.MAG</t>
  </si>
  <si>
    <t>GCA_946221685.1</t>
  </si>
  <si>
    <t>TwPYMTC7eD_bin.3.MAG</t>
  </si>
  <si>
    <t>https://ftp.ncbi.nlm.nih.gov/genomes/all/GCA/946/221/685/GCA_946221685.1_TwPYMTC7eD_bin.3.MAG</t>
  </si>
  <si>
    <t>GCA_946221715.1</t>
  </si>
  <si>
    <t>7C5DOzIQju_bin.2.MAG</t>
  </si>
  <si>
    <t>https://ftp.ncbi.nlm.nih.gov/genomes/all/GCA/946/221/715/GCA_946221715.1_7C5DOzIQju_bin.2.MAG</t>
  </si>
  <si>
    <t>GCA_946221985.1</t>
  </si>
  <si>
    <t>G1PKZQxjmC_bin.4.MAG</t>
  </si>
  <si>
    <t>https://ftp.ncbi.nlm.nih.gov/genomes/all/GCA/946/221/985/GCA_946221985.1_G1PKZQxjmC_bin.4.MAG</t>
  </si>
  <si>
    <t>GCA_946222135.1</t>
  </si>
  <si>
    <t>qftHktE6oN_bin.12.MAG</t>
  </si>
  <si>
    <t>https://ftp.ncbi.nlm.nih.gov/genomes/all/GCA/946/222/135/GCA_946222135.1_qftHktE6oN_bin.12.MAG</t>
  </si>
  <si>
    <t>GCA_946222205.1</t>
  </si>
  <si>
    <t>HhTKsAlsX1_bin.61.MAG</t>
  </si>
  <si>
    <t>https://ftp.ncbi.nlm.nih.gov/genomes/all/GCA/946/222/205/GCA_946222205.1_HhTKsAlsX1_bin.61.MAG</t>
  </si>
  <si>
    <t>GCA_946222355.1</t>
  </si>
  <si>
    <t>kNHPwAnfK3_bin.39.MAG</t>
  </si>
  <si>
    <t>https://ftp.ncbi.nlm.nih.gov/genomes/all/GCA/946/222/355/GCA_946222355.1_kNHPwAnfK3_bin.39.MAG</t>
  </si>
  <si>
    <t>GCA_946222405.1</t>
  </si>
  <si>
    <t>27CQ6gwMHQ_bin.1.MAG</t>
  </si>
  <si>
    <t>https://ftp.ncbi.nlm.nih.gov/genomes/all/GCA/946/222/405/GCA_946222405.1_27CQ6gwMHQ_bin.1.MAG</t>
  </si>
  <si>
    <t>GCA_946222715.1</t>
  </si>
  <si>
    <t>VH8NOi5sr4_bin.11.MAG</t>
  </si>
  <si>
    <t>https://ftp.ncbi.nlm.nih.gov/genomes/all/GCA/946/222/715/GCA_946222715.1_VH8NOi5sr4_bin.11.MAG</t>
  </si>
  <si>
    <t>GCA_946222745.1</t>
  </si>
  <si>
    <t>XhiCe5G8Pp_bin.1.MAG</t>
  </si>
  <si>
    <t>https://ftp.ncbi.nlm.nih.gov/genomes/all/GCA/946/222/745/GCA_946222745.1_XhiCe5G8Pp_bin.1.MAG</t>
  </si>
  <si>
    <t>GCA_946222795.1</t>
  </si>
  <si>
    <t>rfhJd5zLSv_bin.10.MAG</t>
  </si>
  <si>
    <t>https://ftp.ncbi.nlm.nih.gov/genomes/all/GCA/946/222/795/GCA_946222795.1_rfhJd5zLSv_bin.10.MAG</t>
  </si>
  <si>
    <t>GCA_946222855.1</t>
  </si>
  <si>
    <t>YSbNyl2jJB_bin.12.MAG</t>
  </si>
  <si>
    <t>https://ftp.ncbi.nlm.nih.gov/genomes/all/GCA/946/222/855/GCA_946222855.1_YSbNyl2jJB_bin.12.MAG</t>
  </si>
  <si>
    <t>GCA_946223045.1</t>
  </si>
  <si>
    <t>02bTmArL1Z_bin.6.MAG</t>
  </si>
  <si>
    <t>https://ftp.ncbi.nlm.nih.gov/genomes/all/GCA/946/223/045/GCA_946223045.1_02bTmArL1Z_bin.6.MAG</t>
  </si>
  <si>
    <t>GCA_946223055.1</t>
  </si>
  <si>
    <t>4ktD2U0ZO9_bin.8.MAG</t>
  </si>
  <si>
    <t>https://ftp.ncbi.nlm.nih.gov/genomes/all/GCA/946/223/055/GCA_946223055.1_4ktD2U0ZO9_bin.8.MAG</t>
  </si>
  <si>
    <t>GCA_946223195.1</t>
  </si>
  <si>
    <t>faN1RZmXxW_bin.37.MAG</t>
  </si>
  <si>
    <t>https://ftp.ncbi.nlm.nih.gov/genomes/all/GCA/946/223/195/GCA_946223195.1_faN1RZmXxW_bin.37.MAG</t>
  </si>
  <si>
    <t>GCA_946223255.1</t>
  </si>
  <si>
    <t>yPK97vJ9D2_bin.2.MAG</t>
  </si>
  <si>
    <t>https://ftp.ncbi.nlm.nih.gov/genomes/all/GCA/946/223/255/GCA_946223255.1_yPK97vJ9D2_bin.2.MAG</t>
  </si>
  <si>
    <t>GCA_946481935.1</t>
  </si>
  <si>
    <t>SRR12180963_bin.2_metawrap_v1.3.0_MAG</t>
  </si>
  <si>
    <t>https://ftp.ncbi.nlm.nih.gov/genomes/all/GCA/946/481/935/GCA_946481935.1_SRR12180963_bin.2_metawrap_v1.3.0_MAG</t>
  </si>
  <si>
    <t>GCA_946891045.1</t>
  </si>
  <si>
    <t>ERR9530663_bin.9_metaWRAP_v1.3_MAG</t>
  </si>
  <si>
    <t>https://ftp.ncbi.nlm.nih.gov/genomes/all/GCA/946/891/045/GCA_946891045.1_ERR9530663_bin.9_metaWRAP_v1.3_MAG</t>
  </si>
  <si>
    <t>GCA_946891365.1</t>
  </si>
  <si>
    <t>ERR9538876_bin.6_metaWRAP_v1.3_MAG</t>
  </si>
  <si>
    <t>https://ftp.ncbi.nlm.nih.gov/genomes/all/GCA/946/891/365/GCA_946891365.1_ERR9538876_bin.6_metaWRAP_v1.3_MAG</t>
  </si>
  <si>
    <t>GCA_946891465.1</t>
  </si>
  <si>
    <t>SRR12830916_bin.11_metaWRAP_v1.3_MAG</t>
  </si>
  <si>
    <t>https://ftp.ncbi.nlm.nih.gov/genomes/all/GCA/946/891/465/GCA_946891465.1_SRR12830916_bin.11_metaWRAP_v1.3_MAG</t>
  </si>
  <si>
    <t>GCA_946891835.1</t>
  </si>
  <si>
    <t>ERR9530650_bin.7_metaWRAP_v1.3_MAG</t>
  </si>
  <si>
    <t>https://ftp.ncbi.nlm.nih.gov/genomes/all/GCA/946/891/835/GCA_946891835.1_ERR9530650_bin.7_metaWRAP_v1.3_MAG</t>
  </si>
  <si>
    <t>GCA_946891865.1</t>
  </si>
  <si>
    <t>SRR12830911_bin.13_metaWRAP_v1.3_MAG</t>
  </si>
  <si>
    <t>https://ftp.ncbi.nlm.nih.gov/genomes/all/GCA/946/891/865/GCA_946891865.1_SRR12830911_bin.13_metaWRAP_v1.3_MAG</t>
  </si>
  <si>
    <t>GCA_946891875.1</t>
  </si>
  <si>
    <t>SRR12830919_bin.4_metaWRAP_v1.3_MAG</t>
  </si>
  <si>
    <t>https://ftp.ncbi.nlm.nih.gov/genomes/all/GCA/946/891/875/GCA_946891875.1_SRR12830919_bin.4_metaWRAP_v1.3_MAG</t>
  </si>
  <si>
    <t>GCA_946891905.1</t>
  </si>
  <si>
    <t>SRR12830911_bin.23_metaWRAP_v1.3_MAG</t>
  </si>
  <si>
    <t>https://ftp.ncbi.nlm.nih.gov/genomes/all/GCA/946/891/905/GCA_946891905.1_SRR12830911_bin.23_metaWRAP_v1.3_MAG</t>
  </si>
  <si>
    <t>GCA_946891925.1</t>
  </si>
  <si>
    <t>SRR12830914_bin.3_metaWRAP_v1.3_MAG</t>
  </si>
  <si>
    <t>https://ftp.ncbi.nlm.nih.gov/genomes/all/GCA/946/891/925/GCA_946891925.1_SRR12830914_bin.3_metaWRAP_v1.3_MAG</t>
  </si>
  <si>
    <t>GCA_946891995.1</t>
  </si>
  <si>
    <t>SRR12830918_bin.4_metaWRAP_v1.3_MAG</t>
  </si>
  <si>
    <t>https://ftp.ncbi.nlm.nih.gov/genomes/all/GCA/946/891/995/GCA_946891995.1_SRR12830918_bin.4_metaWRAP_v1.3_MAG</t>
  </si>
  <si>
    <t>GCA_946892155.1</t>
  </si>
  <si>
    <t>SRR12830916_bin.6_metaWRAP_v1.3_MAG</t>
  </si>
  <si>
    <t>https://ftp.ncbi.nlm.nih.gov/genomes/all/GCA/946/892/155/GCA_946892155.1_SRR12830916_bin.6_metaWRAP_v1.3_MAG</t>
  </si>
  <si>
    <t>GCA_946892435.1</t>
  </si>
  <si>
    <t>SRR12830927_bin.1_metaWRAP_v1.3_MAG</t>
  </si>
  <si>
    <t>https://ftp.ncbi.nlm.nih.gov/genomes/all/GCA/946/892/435/GCA_946892435.1_SRR12830927_bin.1_metaWRAP_v1.3_MAG</t>
  </si>
  <si>
    <t>GCA_946902955.1</t>
  </si>
  <si>
    <t>Marseille-P8863</t>
  </si>
  <si>
    <t>https://ftp.ncbi.nlm.nih.gov/genomes/all/GCA/946/902/955/GCA_946902955.1_PRJEB46701</t>
  </si>
  <si>
    <t>GCA_946997125.1</t>
  </si>
  <si>
    <t>SRR16916848_bin.5_metaWRAP_v1.3_MAG</t>
  </si>
  <si>
    <t>https://ftp.ncbi.nlm.nih.gov/genomes/all/GCA/946/997/125/GCA_946997125.1_SRR16916848_bin.5_metaWRAP_v1.3_MAG</t>
  </si>
  <si>
    <t>GCA_946997235.1</t>
  </si>
  <si>
    <t>SRR16916875_bin.30_metaWRAP_v1.3_MAG</t>
  </si>
  <si>
    <t>https://ftp.ncbi.nlm.nih.gov/genomes/all/GCA/946/997/235/GCA_946997235.1_SRR16916875_bin.30_metaWRAP_v1.3_MAG</t>
  </si>
  <si>
    <t>GCA_946997265.1</t>
  </si>
  <si>
    <t>SRR16916875_bin.8_metaWRAP_v1.3_MAG</t>
  </si>
  <si>
    <t>https://ftp.ncbi.nlm.nih.gov/genomes/all/GCA/946/997/265/GCA_946997265.1_SRR16916875_bin.8_metaWRAP_v1.3_MAG</t>
  </si>
  <si>
    <t>GCA_946997545.1</t>
  </si>
  <si>
    <t>SRR16916879_bin.5_metaWRAP_v1.3_MAG</t>
  </si>
  <si>
    <t>https://ftp.ncbi.nlm.nih.gov/genomes/all/GCA/946/997/545/GCA_946997545.1_SRR16916879_bin.5_metaWRAP_v1.3_MAG</t>
  </si>
  <si>
    <t>GCA_946997615.1</t>
  </si>
  <si>
    <t>SRR16916866_bin.5_metaWRAP_v1.3_MAG</t>
  </si>
  <si>
    <t>https://ftp.ncbi.nlm.nih.gov/genomes/all/GCA/946/997/615/GCA_946997615.1_SRR16916866_bin.5_metaWRAP_v1.3_MAG</t>
  </si>
  <si>
    <t>GCA_946997625.1</t>
  </si>
  <si>
    <t>SRR16916882_bin.12_metaWRAP_v1.3_MAG</t>
  </si>
  <si>
    <t>https://ftp.ncbi.nlm.nih.gov/genomes/all/GCA/946/997/625/GCA_946997625.1_SRR16916882_bin.12_metaWRAP_v1.3_MAG</t>
  </si>
  <si>
    <t>GCA_946997855.1</t>
  </si>
  <si>
    <t>SRR16916863_bin.6_metaWRAP_v1.3_MAG</t>
  </si>
  <si>
    <t>https://ftp.ncbi.nlm.nih.gov/genomes/all/GCA/946/997/855/GCA_946997855.1_SRR16916863_bin.6_metaWRAP_v1.3_MAG</t>
  </si>
  <si>
    <t>SRR16916891_bin.7_metaWRAP_v1.3_MAG</t>
  </si>
  <si>
    <t>https://ftp.ncbi.nlm.nih.gov/genomes/all/GCA/946/997/865/GCA_946997865.1_SRR16916891_bin.7_metaWRAP_v1.3_MAG</t>
  </si>
  <si>
    <t>GCA_946997945.1</t>
  </si>
  <si>
    <t>SRR16916860_bin.27_metaWRAP_v1.3_MAG</t>
  </si>
  <si>
    <t>https://ftp.ncbi.nlm.nih.gov/genomes/all/GCA/946/997/945/GCA_946997945.1_SRR16916860_bin.27_metaWRAP_v1.3_MAG</t>
  </si>
  <si>
    <t>GCA_946998075.1</t>
  </si>
  <si>
    <t>SRR16916864_bin.5_metaWRAP_v1.3_MAG</t>
  </si>
  <si>
    <t>https://ftp.ncbi.nlm.nih.gov/genomes/all/GCA/946/998/075/GCA_946998075.1_SRR16916864_bin.5_metaWRAP_v1.3_MAG</t>
  </si>
  <si>
    <t>GCA_946998135.1</t>
  </si>
  <si>
    <t>SRR16916875_bin.10_metaWRAP_v1.3_MAG</t>
  </si>
  <si>
    <t>https://ftp.ncbi.nlm.nih.gov/genomes/all/GCA/946/998/135/GCA_946998135.1_SRR16916875_bin.10_metaWRAP_v1.3_MAG</t>
  </si>
  <si>
    <t>GCA_946999085.1</t>
  </si>
  <si>
    <t>SRR16916860_bin.16_metaWRAP_v1.3_MAG</t>
  </si>
  <si>
    <t>https://ftp.ncbi.nlm.nih.gov/genomes/all/GCA/946/999/085/GCA_946999085.1_SRR16916860_bin.16_metaWRAP_v1.3_MAG</t>
  </si>
  <si>
    <t>GCA_946999245.1</t>
  </si>
  <si>
    <t>SRR16916868_bin.4_metaWRAP_v1.3_MAG</t>
  </si>
  <si>
    <t>https://ftp.ncbi.nlm.nih.gov/genomes/all/GCA/946/999/245/GCA_946999245.1_SRR16916868_bin.4_metaWRAP_v1.3_MAG</t>
  </si>
  <si>
    <t>GCA_946999455.1</t>
  </si>
  <si>
    <t>SRR16916891_bin.5_metaWRAP_v1.3_MAG</t>
  </si>
  <si>
    <t>https://ftp.ncbi.nlm.nih.gov/genomes/all/GCA/946/999/455/GCA_946999455.1_SRR16916891_bin.5_metaWRAP_v1.3_MAG</t>
  </si>
  <si>
    <t>SRR16916848_bin.6_metaWRAP_v1.3_MAG</t>
  </si>
  <si>
    <t>https://ftp.ncbi.nlm.nih.gov/genomes/all/GCA/947/000/095/GCA_947000095.1_SRR16916848_bin.6_metaWRAP_v1.3_MAG</t>
  </si>
  <si>
    <t>GCA_947002055.1</t>
  </si>
  <si>
    <t>SRR19721643_bin.4_metawrap_v1.3_MAG</t>
  </si>
  <si>
    <t>https://ftp.ncbi.nlm.nih.gov/genomes/all/GCA/947/002/055/GCA_947002055.1_SRR19721643_bin.4_metawrap_v1.3_MAG</t>
  </si>
  <si>
    <t>GCA_947036975.1</t>
  </si>
  <si>
    <t>SRR11293606_bin.1_metaWRAP_v1.3_MAG</t>
  </si>
  <si>
    <t>https://ftp.ncbi.nlm.nih.gov/genomes/all/GCA/947/036/975/GCA_947036975.1_SRR11293606_bin.1_metaWRAP_v1.3_MAG</t>
  </si>
  <si>
    <t>GCA_947038995.1</t>
  </si>
  <si>
    <t>ERR4705226_bin.14_metaWRAP_v1.3_MAG</t>
  </si>
  <si>
    <t>https://ftp.ncbi.nlm.nih.gov/genomes/all/GCA/947/038/995/GCA_947038995.1_ERR4705226_bin.14_metaWRAP_v1.3_MAG</t>
  </si>
  <si>
    <t>GCA_947039085.1</t>
  </si>
  <si>
    <t>ERR4705329_bin.2_metaWRAP_v1.3_MAG</t>
  </si>
  <si>
    <t>https://ftp.ncbi.nlm.nih.gov/genomes/all/GCA/947/039/085/GCA_947039085.1_ERR4705329_bin.2_metaWRAP_v1.3_MAG</t>
  </si>
  <si>
    <t>GCA_947039735.1</t>
  </si>
  <si>
    <t>ERR4705195_bin.10_metaWRAP_v1.3_MAG</t>
  </si>
  <si>
    <t>https://ftp.ncbi.nlm.nih.gov/genomes/all/GCA/947/039/735/GCA_947039735.1_ERR4705195_bin.10_metaWRAP_v1.3_MAG</t>
  </si>
  <si>
    <t>GCA_947039915.1</t>
  </si>
  <si>
    <t>ERR4705329_bin.7_metaWRAP_v1.3_MAG</t>
  </si>
  <si>
    <t>https://ftp.ncbi.nlm.nih.gov/genomes/all/GCA/947/039/915/GCA_947039915.1_ERR4705329_bin.7_metaWRAP_v1.3_MAG</t>
  </si>
  <si>
    <t>GCA_947039925.1</t>
  </si>
  <si>
    <t>ERR4705252_bin.2_metaWRAP_v1.3_MAG</t>
  </si>
  <si>
    <t>https://ftp.ncbi.nlm.nih.gov/genomes/all/GCA/947/039/925/GCA_947039925.1_ERR4705252_bin.2_metaWRAP_v1.3_MAG</t>
  </si>
  <si>
    <t>GCA_947041195.1</t>
  </si>
  <si>
    <t>ERR4705195_bin.2_metaWRAP_v1.3_MAG</t>
  </si>
  <si>
    <t>https://ftp.ncbi.nlm.nih.gov/genomes/all/GCA/947/041/195/GCA_947041195.1_ERR4705195_bin.2_metaWRAP_v1.3_MAG</t>
  </si>
  <si>
    <t>GCA_947041955.1</t>
  </si>
  <si>
    <t>ERR4705252_bin.5_metaWRAP_v1.3_MAG</t>
  </si>
  <si>
    <t>https://ftp.ncbi.nlm.nih.gov/genomes/all/GCA/947/041/955/GCA_947041955.1_ERR4705252_bin.5_metaWRAP_v1.3_MAG</t>
  </si>
  <si>
    <t>GCA_947055995.1</t>
  </si>
  <si>
    <t>SRR12358615_bin.13_metawrap_v1.3_MAG</t>
  </si>
  <si>
    <t>https://ftp.ncbi.nlm.nih.gov/genomes/all/GCA/947/055/995/GCA_947055995.1_SRR12358615_bin.13_metawrap_v1.3_MAG</t>
  </si>
  <si>
    <t>GCA_947062025.1</t>
  </si>
  <si>
    <t>SRR6311991_bin.4_metaWRAP_v1.3_MAG</t>
  </si>
  <si>
    <t>https://ftp.ncbi.nlm.nih.gov/genomes/all/GCA/947/062/025/GCA_947062025.1_SRR6311991_bin.4_metaWRAP_v1.3_MAG</t>
  </si>
  <si>
    <t>GCA_947086575.1</t>
  </si>
  <si>
    <t>SRR11749280_bin.18_metaWRAP_v1.3_MAG</t>
  </si>
  <si>
    <t>https://ftp.ncbi.nlm.nih.gov/genomes/all/GCA/947/086/575/GCA_947086575.1_SRR11749280_bin.18_metaWRAP_v1.3_MAG</t>
  </si>
  <si>
    <t>GCA_947086705.1</t>
  </si>
  <si>
    <t>SRR10258545_bin.1_metaWRAP_v1.3_MAG</t>
  </si>
  <si>
    <t>https://ftp.ncbi.nlm.nih.gov/genomes/all/GCA/947/086/705/GCA_947086705.1_SRR10258545_bin.1_metaWRAP_v1.3_MAG</t>
  </si>
  <si>
    <t>GCA_947087535.1</t>
  </si>
  <si>
    <t>SRR11749285_bin.1_metaWRAP_v1.3_MAG</t>
  </si>
  <si>
    <t>https://ftp.ncbi.nlm.nih.gov/genomes/all/GCA/947/087/535/GCA_947087535.1_SRR11749285_bin.1_metaWRAP_v1.3_MAG</t>
  </si>
  <si>
    <t>GCA_947087635.1</t>
  </si>
  <si>
    <t>SRR11749280_bin.19_metaWRAP_v1.3_MAG</t>
  </si>
  <si>
    <t>https://ftp.ncbi.nlm.nih.gov/genomes/all/GCA/947/087/635/GCA_947087635.1_SRR11749280_bin.19_metaWRAP_v1.3_MAG</t>
  </si>
  <si>
    <t>GCA_947087685.1</t>
  </si>
  <si>
    <t>SRR11749269_bin.2_metaWRAP_v1.3_MAG</t>
  </si>
  <si>
    <t>https://ftp.ncbi.nlm.nih.gov/genomes/all/GCA/947/087/685/GCA_947087685.1_SRR11749269_bin.2_metaWRAP_v1.3_MAG</t>
  </si>
  <si>
    <t>GCA_947089735.1</t>
  </si>
  <si>
    <t>SRR10258545_bin.4_metaWRAP_v1.3_MAG</t>
  </si>
  <si>
    <t>https://ftp.ncbi.nlm.nih.gov/genomes/all/GCA/947/089/735/GCA_947089735.1_SRR10258545_bin.4_metaWRAP_v1.3_MAG</t>
  </si>
  <si>
    <t>GCA_947090005.1</t>
  </si>
  <si>
    <t>SRR10258546_bin.5_metaWRAP_v1.3_MAG</t>
  </si>
  <si>
    <t>https://ftp.ncbi.nlm.nih.gov/genomes/all/GCA/947/090/005/GCA_947090005.1_SRR10258546_bin.5_metaWRAP_v1.3_MAG</t>
  </si>
  <si>
    <t>GCA_947090205.1</t>
  </si>
  <si>
    <t>SRR10258546_bin.3_metaWRAP_v1.3_MAG</t>
  </si>
  <si>
    <t>https://ftp.ncbi.nlm.nih.gov/genomes/all/GCA/947/090/205/GCA_947090205.1_SRR10258546_bin.3_metaWRAP_v1.3_MAG</t>
  </si>
  <si>
    <t>GCA_947090595.1</t>
  </si>
  <si>
    <t>SRR10258545_bin.3_metaWRAP_v1.3_MAG</t>
  </si>
  <si>
    <t>https://ftp.ncbi.nlm.nih.gov/genomes/all/GCA/947/090/595/GCA_947090595.1_SRR10258545_bin.3_metaWRAP_v1.3_MAG</t>
  </si>
  <si>
    <t>SRR8786265_bin.7_metaWRAP_v1.3_MAG</t>
  </si>
  <si>
    <t>https://ftp.ncbi.nlm.nih.gov/genomes/all/GCA/947/095/725/GCA_947095725.1_SRR8786265_bin.7_metaWRAP_v1.3_MAG</t>
  </si>
  <si>
    <t>GCA_947096185.1</t>
  </si>
  <si>
    <t>SRR8786261_bin.15_metaWRAP_v1.3_MAG</t>
  </si>
  <si>
    <t>https://ftp.ncbi.nlm.nih.gov/genomes/all/GCA/947/096/185/GCA_947096185.1_SRR8786261_bin.15_metaWRAP_v1.3_MAG</t>
  </si>
  <si>
    <t>GCA_947096235.1</t>
  </si>
  <si>
    <t>SRR8786267_bin.3_metaWRAP_v1.3_MAG</t>
  </si>
  <si>
    <t>https://ftp.ncbi.nlm.nih.gov/genomes/all/GCA/947/096/235/GCA_947096235.1_SRR8786267_bin.3_metaWRAP_v1.3_MAG</t>
  </si>
  <si>
    <t>SRR8786267_bin.8_metaWRAP_v1.3_MAG</t>
  </si>
  <si>
    <t>https://ftp.ncbi.nlm.nih.gov/genomes/all/GCA/947/096/245/GCA_947096245.1_SRR8786267_bin.8_metaWRAP_v1.3_MAG</t>
  </si>
  <si>
    <t>GCA_947097095.1</t>
  </si>
  <si>
    <t>SRR8786265_bin.1_metaWRAP_v1.3_MAG</t>
  </si>
  <si>
    <t>https://ftp.ncbi.nlm.nih.gov/genomes/all/GCA/947/097/095/GCA_947097095.1_SRR8786265_bin.1_metaWRAP_v1.3_MAG</t>
  </si>
  <si>
    <t>GCA_947097145.1</t>
  </si>
  <si>
    <t>SRR8786264_bin.11_metaWRAP_v1.3_MAG</t>
  </si>
  <si>
    <t>https://ftp.ncbi.nlm.nih.gov/genomes/all/GCA/947/097/145/GCA_947097145.1_SRR8786264_bin.11_metaWRAP_v1.3_MAG</t>
  </si>
  <si>
    <t>GCA_947097175.1</t>
  </si>
  <si>
    <t>SRR8786267_bin.7_metaWRAP_v1.3_MAG</t>
  </si>
  <si>
    <t>https://ftp.ncbi.nlm.nih.gov/genomes/all/GCA/947/097/175/GCA_947097175.1_SRR8786267_bin.7_metaWRAP_v1.3_MAG</t>
  </si>
  <si>
    <t>GCA_947097315.1</t>
  </si>
  <si>
    <t>SRR8786264_bin.13_metaWRAP_v1.3_MAG</t>
  </si>
  <si>
    <t>https://ftp.ncbi.nlm.nih.gov/genomes/all/GCA/947/097/315/GCA_947097315.1_SRR8786264_bin.13_metaWRAP_v1.3_MAG</t>
  </si>
  <si>
    <t>GCA_947097335.1</t>
  </si>
  <si>
    <t>SRR8786264_bin.8_metaWRAP_v1.3_MAG</t>
  </si>
  <si>
    <t>https://ftp.ncbi.nlm.nih.gov/genomes/all/GCA/947/097/335/GCA_947097335.1_SRR8786264_bin.8_metaWRAP_v1.3_MAG</t>
  </si>
  <si>
    <t>SRR8786264_bin.3_metaWRAP_v1.3_MAG</t>
  </si>
  <si>
    <t>https://ftp.ncbi.nlm.nih.gov/genomes/all/GCA/947/097/345/GCA_947097345.1_SRR8786264_bin.3_metaWRAP_v1.3_MAG</t>
  </si>
  <si>
    <t>GCA_947097835.1</t>
  </si>
  <si>
    <t>SRR8786261_bin.10_metaWRAP_v1.3_MAG</t>
  </si>
  <si>
    <t>https://ftp.ncbi.nlm.nih.gov/genomes/all/GCA/947/097/835/GCA_947097835.1_SRR8786261_bin.10_metaWRAP_v1.3_MAG</t>
  </si>
  <si>
    <t>GCA_947097935.1</t>
  </si>
  <si>
    <t>SRR8786260_bin.7_metaWRAP_v1.3_MAG</t>
  </si>
  <si>
    <t>https://ftp.ncbi.nlm.nih.gov/genomes/all/GCA/947/097/935/GCA_947097935.1_SRR8786260_bin.7_metaWRAP_v1.3_MAG</t>
  </si>
  <si>
    <t>GCA_947097945.1</t>
  </si>
  <si>
    <t>SRR8786260_bin.11_metaWRAP_v1.3_MAG</t>
  </si>
  <si>
    <t>https://ftp.ncbi.nlm.nih.gov/genomes/all/GCA/947/097/945/GCA_947097945.1_SRR8786260_bin.11_metaWRAP_v1.3_MAG</t>
  </si>
  <si>
    <t>GCA_947098785.1</t>
  </si>
  <si>
    <t>SRR8786267_bin.1_metaWRAP_v1.3_MAG</t>
  </si>
  <si>
    <t>https://ftp.ncbi.nlm.nih.gov/genomes/all/GCA/947/098/785/GCA_947098785.1_SRR8786267_bin.1_metaWRAP_v1.3_MAG</t>
  </si>
  <si>
    <t>GCA_947252355.1</t>
  </si>
  <si>
    <t>SRR17635492_bin.19_metaWRAP_v1.3_MAG</t>
  </si>
  <si>
    <t>https://ftp.ncbi.nlm.nih.gov/genomes/all/GCA/947/252/355/GCA_947252355.1_SRR17635492_bin.19_metaWRAP_v1.3_MAG</t>
  </si>
  <si>
    <t>GCA_947252375.1</t>
  </si>
  <si>
    <t>SRR17635694_bin.12_metaWRAP_v1.3_MAG</t>
  </si>
  <si>
    <t>https://ftp.ncbi.nlm.nih.gov/genomes/all/GCA/947/252/375/GCA_947252375.1_SRR17635694_bin.12_metaWRAP_v1.3_MAG</t>
  </si>
  <si>
    <t>GCA_947252405.1</t>
  </si>
  <si>
    <t>SRR17635632_bin.7_metaWRAP_v1.3_MAG</t>
  </si>
  <si>
    <t>https://ftp.ncbi.nlm.nih.gov/genomes/all/GCA/947/252/405/GCA_947252405.1_SRR17635632_bin.7_metaWRAP_v1.3_MAG</t>
  </si>
  <si>
    <t>GCA_947252495.1</t>
  </si>
  <si>
    <t>SRR17635465_bin.22_metaWRAP_v1.3_MAG</t>
  </si>
  <si>
    <t>https://ftp.ncbi.nlm.nih.gov/genomes/all/GCA/947/252/495/GCA_947252495.1_SRR17635465_bin.22_metaWRAP_v1.3_MAG</t>
  </si>
  <si>
    <t>GCA_947252715.1</t>
  </si>
  <si>
    <t>SRR17635703_bin.21_metaWRAP_v1.3_MAG</t>
  </si>
  <si>
    <t>https://ftp.ncbi.nlm.nih.gov/genomes/all/GCA/947/252/715/GCA_947252715.1_SRR17635703_bin.21_metaWRAP_v1.3_MAG</t>
  </si>
  <si>
    <t>GCA_947252725.1</t>
  </si>
  <si>
    <t>SRR17635559_bin.3_metaWRAP_v1.3_MAG</t>
  </si>
  <si>
    <t>https://ftp.ncbi.nlm.nih.gov/genomes/all/GCA/947/252/725/GCA_947252725.1_SRR17635559_bin.3_metaWRAP_v1.3_MAG</t>
  </si>
  <si>
    <t>GCA_947252985.1</t>
  </si>
  <si>
    <t>SRR17635676_bin.1_metaWRAP_v1.3_MAG</t>
  </si>
  <si>
    <t>https://ftp.ncbi.nlm.nih.gov/genomes/all/GCA/947/252/985/GCA_947252985.1_SRR17635676_bin.1_metaWRAP_v1.3_MAG</t>
  </si>
  <si>
    <t>GCA_947253095.1</t>
  </si>
  <si>
    <t>SRR17635694_bin.15_metaWRAP_v1.3_MAG</t>
  </si>
  <si>
    <t>https://ftp.ncbi.nlm.nih.gov/genomes/all/GCA/947/253/095/GCA_947253095.1_SRR17635694_bin.15_metaWRAP_v1.3_MAG</t>
  </si>
  <si>
    <t>GCA_947253115.1</t>
  </si>
  <si>
    <t>SRR17635664_bin.8_metaWRAP_v1.3_MAG</t>
  </si>
  <si>
    <t>https://ftp.ncbi.nlm.nih.gov/genomes/all/GCA/947/253/115/GCA_947253115.1_SRR17635664_bin.8_metaWRAP_v1.3_MAG</t>
  </si>
  <si>
    <t>GCA_947253215.1</t>
  </si>
  <si>
    <t>SRR17635602_bin.5_metaWRAP_v1.3_MAG</t>
  </si>
  <si>
    <t>https://ftp.ncbi.nlm.nih.gov/genomes/all/GCA/947/253/215/GCA_947253215.1_SRR17635602_bin.5_metaWRAP_v1.3_MAG</t>
  </si>
  <si>
    <t>GCA_947253345.1</t>
  </si>
  <si>
    <t>SRR17635737_bin.1_metaWRAP_v1.3_MAG</t>
  </si>
  <si>
    <t>https://ftp.ncbi.nlm.nih.gov/genomes/all/GCA/947/253/345/GCA_947253345.1_SRR17635737_bin.1_metaWRAP_v1.3_MAG</t>
  </si>
  <si>
    <t>GCA_947253375.1</t>
  </si>
  <si>
    <t>SRR17635709_bin.13_metaWRAP_v1.3_MAG</t>
  </si>
  <si>
    <t>https://ftp.ncbi.nlm.nih.gov/genomes/all/GCA/947/253/375/GCA_947253375.1_SRR17635709_bin.13_metaWRAP_v1.3_MAG</t>
  </si>
  <si>
    <t>GCA_947253505.1</t>
  </si>
  <si>
    <t>SRR17635492_bin.15_metaWRAP_v1.3_MAG</t>
  </si>
  <si>
    <t>https://ftp.ncbi.nlm.nih.gov/genomes/all/GCA/947/253/505/GCA_947253505.1_SRR17635492_bin.15_metaWRAP_v1.3_MAG</t>
  </si>
  <si>
    <t>SRR17635465_bin.2_metaWRAP_v1.3_MAG</t>
  </si>
  <si>
    <t>https://ftp.ncbi.nlm.nih.gov/genomes/all/GCA/947/253/705/GCA_947253705.1_SRR17635465_bin.2_metaWRAP_v1.3_MAG</t>
  </si>
  <si>
    <t>GCA_947253825.1</t>
  </si>
  <si>
    <t>SRR17635683_bin.24_metaWRAP_v1.3_MAG</t>
  </si>
  <si>
    <t>https://ftp.ncbi.nlm.nih.gov/genomes/all/GCA/947/253/825/GCA_947253825.1_SRR17635683_bin.24_metaWRAP_v1.3_MAG</t>
  </si>
  <si>
    <t>GCA_947253865.1</t>
  </si>
  <si>
    <t>SRR17635632_bin.4_metaWRAP_v1.3_MAG</t>
  </si>
  <si>
    <t>https://ftp.ncbi.nlm.nih.gov/genomes/all/GCA/947/253/865/GCA_947253865.1_SRR17635632_bin.4_metaWRAP_v1.3_MAG</t>
  </si>
  <si>
    <t>GCA_947253985.1</t>
  </si>
  <si>
    <t>SRR17635703_bin.40_metaWRAP_v1.3_MAG</t>
  </si>
  <si>
    <t>https://ftp.ncbi.nlm.nih.gov/genomes/all/GCA/947/253/985/GCA_947253985.1_SRR17635703_bin.40_metaWRAP_v1.3_MAG</t>
  </si>
  <si>
    <t>GCA_947254015.1</t>
  </si>
  <si>
    <t>SRR17635770_bin.7_metaWRAP_v1.3_MAG</t>
  </si>
  <si>
    <t>https://ftp.ncbi.nlm.nih.gov/genomes/all/GCA/947/254/015/GCA_947254015.1_SRR17635770_bin.7_metaWRAP_v1.3_MAG</t>
  </si>
  <si>
    <t>GCA_947254125.1</t>
  </si>
  <si>
    <t>SRR17635677_bin.9_metaWRAP_v1.3_MAG</t>
  </si>
  <si>
    <t>https://ftp.ncbi.nlm.nih.gov/genomes/all/GCA/947/254/125/GCA_947254125.1_SRR17635677_bin.9_metaWRAP_v1.3_MAG</t>
  </si>
  <si>
    <t>GCA_947254495.1</t>
  </si>
  <si>
    <t>SRR17635498_bin.5_metaWRAP_v1.3_MAG</t>
  </si>
  <si>
    <t>https://ftp.ncbi.nlm.nih.gov/genomes/all/GCA/947/254/495/GCA_947254495.1_SRR17635498_bin.5_metaWRAP_v1.3_MAG</t>
  </si>
  <si>
    <t>GCA_947254525.1</t>
  </si>
  <si>
    <t>SRR17635500_bin.2_metaWRAP_v1.3_MAG</t>
  </si>
  <si>
    <t>https://ftp.ncbi.nlm.nih.gov/genomes/all/GCA/947/254/525/GCA_947254525.1_SRR17635500_bin.2_metaWRAP_v1.3_MAG</t>
  </si>
  <si>
    <t>GCA_947254575.1</t>
  </si>
  <si>
    <t>SRR17635698_bin.31_metaWRAP_v1.3_MAG</t>
  </si>
  <si>
    <t>https://ftp.ncbi.nlm.nih.gov/genomes/all/GCA/947/254/575/GCA_947254575.1_SRR17635698_bin.31_metaWRAP_v1.3_MAG</t>
  </si>
  <si>
    <t>GCA_947254615.1</t>
  </si>
  <si>
    <t>SRR17635492_bin.20_metaWRAP_v1.3_MAG</t>
  </si>
  <si>
    <t>https://ftp.ncbi.nlm.nih.gov/genomes/all/GCA/947/254/615/GCA_947254615.1_SRR17635492_bin.20_metaWRAP_v1.3_MAG</t>
  </si>
  <si>
    <t>GCA_947254675.1</t>
  </si>
  <si>
    <t>SRR17635492_bin.7_metaWRAP_v1.3_MAG</t>
  </si>
  <si>
    <t>https://ftp.ncbi.nlm.nih.gov/genomes/all/GCA/947/254/675/GCA_947254675.1_SRR17635492_bin.7_metaWRAP_v1.3_MAG</t>
  </si>
  <si>
    <t>GCA_947254785.1</t>
  </si>
  <si>
    <t>SRR17635686_bin.7_metaWRAP_v1.3_MAG</t>
  </si>
  <si>
    <t>https://ftp.ncbi.nlm.nih.gov/genomes/all/GCA/947/254/785/GCA_947254785.1_SRR17635686_bin.7_metaWRAP_v1.3_MAG</t>
  </si>
  <si>
    <t>GCA_947254855.1</t>
  </si>
  <si>
    <t>SRR17635612_bin.7_metaWRAP_v1.3_MAG</t>
  </si>
  <si>
    <t>https://ftp.ncbi.nlm.nih.gov/genomes/all/GCA/947/254/855/GCA_947254855.1_SRR17635612_bin.7_metaWRAP_v1.3_MAG</t>
  </si>
  <si>
    <t>SRR17635649_bin.20_metaWRAP_v1.3_MAG</t>
  </si>
  <si>
    <t>https://ftp.ncbi.nlm.nih.gov/genomes/all/GCA/947/254/935/GCA_947254935.1_SRR17635649_bin.20_metaWRAP_v1.3_MAG</t>
  </si>
  <si>
    <t>GCA_947254985.1</t>
  </si>
  <si>
    <t>SRR17635472_bin.17_metaWRAP_v1.3_MAG</t>
  </si>
  <si>
    <t>https://ftp.ncbi.nlm.nih.gov/genomes/all/GCA/947/254/985/GCA_947254985.1_SRR17635472_bin.17_metaWRAP_v1.3_MAG</t>
  </si>
  <si>
    <t>GCA_947255095.1</t>
  </si>
  <si>
    <t>SRR17635736_bin.6_metaWRAP_v1.3_MAG</t>
  </si>
  <si>
    <t>https://ftp.ncbi.nlm.nih.gov/genomes/all/GCA/947/255/095/GCA_947255095.1_SRR17635736_bin.6_metaWRAP_v1.3_MAG</t>
  </si>
  <si>
    <t>GCA_947381755.1</t>
  </si>
  <si>
    <t>J30</t>
  </si>
  <si>
    <t>https://ftp.ncbi.nlm.nih.gov/genomes/all/GCA/947/381/755/GCA_947381755.1_J30</t>
  </si>
  <si>
    <t>GCA_947495435.1</t>
  </si>
  <si>
    <t>4-104.fasta</t>
  </si>
  <si>
    <t>https://ftp.ncbi.nlm.nih.gov/genomes/all/GCA/947/495/435/GCA_947495435.1_4-104.fasta</t>
  </si>
  <si>
    <t>GCA_949152215.1</t>
  </si>
  <si>
    <t>Marseille-Q7238</t>
  </si>
  <si>
    <t>https://ftp.ncbi.nlm.nih.gov/genomes/all/GCA/949/152/215/GCA_949152215.1_Q7238</t>
  </si>
  <si>
    <t>GCA_949769225.1</t>
  </si>
  <si>
    <t>Marseille-Q7072</t>
  </si>
  <si>
    <t>https://ftp.ncbi.nlm.nih.gov/genomes/all/GCA/949/769/225/GCA_949769225.1_Q7072</t>
  </si>
  <si>
    <t>GCA_949788945.1</t>
  </si>
  <si>
    <t>MRI Z2-158</t>
  </si>
  <si>
    <t>https://ftp.ncbi.nlm.nih.gov/genomes/all/GCA/949/788/945/GCA_949788945.1_23495_7_344_h_nanopore</t>
  </si>
  <si>
    <t>SRR12445067_bin.8_MetaWRAP_v1.3_MAG</t>
  </si>
  <si>
    <t>https://ftp.ncbi.nlm.nih.gov/genomes/all/GCA/951/230/325/GCA_951230325.1_SRR12445067_bin.8_MetaWRAP_v1.3_MAG</t>
  </si>
  <si>
    <t>SRR12445067_bin.4_MetaWRAP_v1.3_MAG</t>
  </si>
  <si>
    <t>https://ftp.ncbi.nlm.nih.gov/genomes/all/GCA/951/230/405/GCA_951230405.1_SRR12445067_bin.4_MetaWRAP_v1.3_MAG</t>
  </si>
  <si>
    <t>GCA_951230495.1</t>
  </si>
  <si>
    <t>SRR12445063_bin.2_MetaWRAP_v1.3_MAG</t>
  </si>
  <si>
    <t>https://ftp.ncbi.nlm.nih.gov/genomes/all/GCA/951/230/495/GCA_951230495.1_SRR12445063_bin.2_MetaWRAP_v1.3_MAG</t>
  </si>
  <si>
    <t>GCA_958346815.1</t>
  </si>
  <si>
    <t>ERR8263829_bin.10_MetaWRAP_v1.3_MAG</t>
  </si>
  <si>
    <t>https://ftp.ncbi.nlm.nih.gov/genomes/all/GCA/958/346/815/GCA_958346815.1_ERR8263829_bin.10_MetaWRAP_v1.3_MAG</t>
  </si>
  <si>
    <t>GCA_958347515.1</t>
  </si>
  <si>
    <t>ERR9354191_bin.15_MetaWRAP_v1.3_MAG</t>
  </si>
  <si>
    <t>https://ftp.ncbi.nlm.nih.gov/genomes/all/GCA/958/347/515/GCA_958347515.1_ERR9354191_bin.15_MetaWRAP_v1.3_MAG</t>
  </si>
  <si>
    <t>GCA_958349375.1</t>
  </si>
  <si>
    <t>ERR10960891_bin.20_MetaWRAP_v1.3_MAG</t>
  </si>
  <si>
    <t>https://ftp.ncbi.nlm.nih.gov/genomes/all/GCA/958/349/375/GCA_958349375.1_ERR10960891_bin.20_MetaWRAP_v1.3_MAG</t>
  </si>
  <si>
    <t>GCA_958351335.1</t>
  </si>
  <si>
    <t>ERR9606990_bin.23_MetaWRAP_v1.3_MAG</t>
  </si>
  <si>
    <t>https://ftp.ncbi.nlm.nih.gov/genomes/all/GCA/958/351/335/GCA_958351335.1_ERR9606990_bin.23_MetaWRAP_v1.3_MAG</t>
  </si>
  <si>
    <t>GCA_958368465.1</t>
  </si>
  <si>
    <t>SRR22541674_bin.27_MetaWRAP_v1.3_MAG</t>
  </si>
  <si>
    <t>https://ftp.ncbi.nlm.nih.gov/genomes/all/GCA/958/368/465/GCA_958368465.1_SRR22541674_bin.27_MetaWRAP_v1.3_MAG</t>
  </si>
  <si>
    <t>GCA_958402775.1</t>
  </si>
  <si>
    <t>ERR9492500_bin.3_MetaWRAP_v1.3_MAG</t>
  </si>
  <si>
    <t>https://ftp.ncbi.nlm.nih.gov/genomes/all/GCA/958/402/775/GCA_958402775.1_ERR9492500_bin.3_MetaWRAP_v1.3_MAG</t>
  </si>
  <si>
    <t>GCA_958403305.1</t>
  </si>
  <si>
    <t>ERR9762703_bin.33_MetaWRAP_v1.3_MAG</t>
  </si>
  <si>
    <t>https://ftp.ncbi.nlm.nih.gov/genomes/all/GCA/958/403/305/GCA_958403305.1_ERR9762703_bin.33_MetaWRAP_v1.3_MAG</t>
  </si>
  <si>
    <t>GCA_958404195.1</t>
  </si>
  <si>
    <t>ERR9492489_bin.18_MetaWRAP_v1.3_MAG</t>
  </si>
  <si>
    <t>https://ftp.ncbi.nlm.nih.gov/genomes/all/GCA/958/404/195/GCA_958404195.1_ERR9492489_bin.18_MetaWRAP_v1.3_MAG</t>
  </si>
  <si>
    <t>GCA_958404255.1</t>
  </si>
  <si>
    <t>ERR9492492_bin.21_MetaWRAP_v1.3_MAG</t>
  </si>
  <si>
    <t>https://ftp.ncbi.nlm.nih.gov/genomes/all/GCA/958/404/255/GCA_958404255.1_ERR9492492_bin.21_MetaWRAP_v1.3_MAG</t>
  </si>
  <si>
    <t>GCA_958406395.1</t>
  </si>
  <si>
    <t>ERR8263860_bin.13_MetaWRAP_v1.3_MAG</t>
  </si>
  <si>
    <t>https://ftp.ncbi.nlm.nih.gov/genomes/all/GCA/958/406/395/GCA_958406395.1_ERR8263860_bin.13_MetaWRAP_v1.3_MAG</t>
  </si>
  <si>
    <t>GCA_958413055.1</t>
  </si>
  <si>
    <t>ERR9578262_bin.4_MetaWRAP_v1.3_MAG</t>
  </si>
  <si>
    <t>https://ftp.ncbi.nlm.nih.gov/genomes/all/GCA/958/413/055/GCA_958413055.1_ERR9578262_bin.4_MetaWRAP_v1.3_MAG</t>
  </si>
  <si>
    <t>ERR10960885_bin.3_MetaWRAP_v1.3_MAG</t>
  </si>
  <si>
    <t>https://ftp.ncbi.nlm.nih.gov/genomes/all/GCA/958/415/905/GCA_958415905.1_ERR10960885_bin.3_MetaWRAP_v1.3_MAG</t>
  </si>
  <si>
    <t>GCA_958423935.1</t>
  </si>
  <si>
    <t>SRR18940283_bin.18_MetaWRAP_v1.3_MAG</t>
  </si>
  <si>
    <t>https://ftp.ncbi.nlm.nih.gov/genomes/all/GCA/958/423/935/GCA_958423935.1_SRR18940283_bin.18_MetaWRAP_v1.3_MAG</t>
  </si>
  <si>
    <t>GCA_958424575.1</t>
  </si>
  <si>
    <t>ERR9578289_bin.13_MetaWRAP_v1.3_MAG</t>
  </si>
  <si>
    <t>https://ftp.ncbi.nlm.nih.gov/genomes/all/GCA/958/424/575/GCA_958424575.1_ERR9578289_bin.13_MetaWRAP_v1.3_MAG</t>
  </si>
  <si>
    <t>SRR22541666_bin.20_MetaWRAP_v1.3_MAG</t>
  </si>
  <si>
    <t>https://ftp.ncbi.nlm.nih.gov/genomes/all/GCA/958/433/865/GCA_958433865.1_SRR22541666_bin.20_MetaWRAP_v1.3_MAG</t>
  </si>
  <si>
    <t>GCA_958434125.1</t>
  </si>
  <si>
    <t>SRR22541675_bin.26_MetaWRAP_v1.3_MAG</t>
  </si>
  <si>
    <t>https://ftp.ncbi.nlm.nih.gov/genomes/all/GCA/958/434/125/GCA_958434125.1_SRR22541675_bin.26_MetaWRAP_v1.3_MAG</t>
  </si>
  <si>
    <t>GCA_958434275.1</t>
  </si>
  <si>
    <t>SRR17798012_bin.7_MetaWRAP_v1.3_MAG</t>
  </si>
  <si>
    <t>https://ftp.ncbi.nlm.nih.gov/genomes/all/GCA/958/434/275/GCA_958434275.1_SRR17798012_bin.7_MetaWRAP_v1.3_MAG</t>
  </si>
  <si>
    <t>GCA_958434595.1</t>
  </si>
  <si>
    <t>SRR22541670_bin.5_MetaWRAP_v1.3_MAG</t>
  </si>
  <si>
    <t>https://ftp.ncbi.nlm.nih.gov/genomes/all/GCA/958/434/595/GCA_958434595.1_SRR22541670_bin.5_MetaWRAP_v1.3_MAG</t>
  </si>
  <si>
    <t>GCA_958435325.1</t>
  </si>
  <si>
    <t>SRR18940292_bin.16_MetaWRAP_v1.3_MAG</t>
  </si>
  <si>
    <t>https://ftp.ncbi.nlm.nih.gov/genomes/all/GCA/958/435/325/GCA_958435325.1_SRR18940292_bin.16_MetaWRAP_v1.3_MAG</t>
  </si>
  <si>
    <t>GCA_958437735.1</t>
  </si>
  <si>
    <t>ERR10960901_bin.11_MetaWRAP_v1.3_MAG</t>
  </si>
  <si>
    <t>https://ftp.ncbi.nlm.nih.gov/genomes/all/GCA/958/437/735/GCA_958437735.1_ERR10960901_bin.11_MetaWRAP_v1.3_MAG</t>
  </si>
  <si>
    <t>GCA_958440135.1</t>
  </si>
  <si>
    <t>ERR4316487_bin.16_MetaWRAP_v1.3_MAG</t>
  </si>
  <si>
    <t>https://ftp.ncbi.nlm.nih.gov/genomes/all/GCA/958/440/135/GCA_958440135.1_ERR4316487_bin.16_MetaWRAP_v1.3_MAG</t>
  </si>
  <si>
    <t>GCA_958443835.1</t>
  </si>
  <si>
    <t>ERR4918892_bin.21_MetaWRAP_v1.3_MAG</t>
  </si>
  <si>
    <t>https://ftp.ncbi.nlm.nih.gov/genomes/all/GCA/958/443/835/GCA_958443835.1_ERR4918892_bin.21_MetaWRAP_v1.3_MAG</t>
  </si>
  <si>
    <t>GCA_958443905.1</t>
  </si>
  <si>
    <t>ERR4918920_bin.10_MetaWRAP_v1.3_MAG</t>
  </si>
  <si>
    <t>https://ftp.ncbi.nlm.nih.gov/genomes/all/GCA/958/443/905/GCA_958443905.1_ERR4918920_bin.10_MetaWRAP_v1.3_MAG</t>
  </si>
  <si>
    <t>GCA_958445235.1</t>
  </si>
  <si>
    <t>ERR9609794_bin.7_MetaWRAP_v1.3_MAG</t>
  </si>
  <si>
    <t>https://ftp.ncbi.nlm.nih.gov/genomes/all/GCA/958/445/235/GCA_958445235.1_ERR9609794_bin.7_MetaWRAP_v1.3_MAG</t>
  </si>
  <si>
    <t>GCA_958449315.1</t>
  </si>
  <si>
    <t>ERR9610759_bin.7_MetaWRAP_v1.3_MAG</t>
  </si>
  <si>
    <t>https://ftp.ncbi.nlm.nih.gov/genomes/all/GCA/958/449/315/GCA_958449315.1_ERR9610759_bin.7_MetaWRAP_v1.3_MAG</t>
  </si>
  <si>
    <t>GCA_958454085.1</t>
  </si>
  <si>
    <t>SRR18940294_bin.8_MetaWRAP_v1.3_MAG</t>
  </si>
  <si>
    <t>https://ftp.ncbi.nlm.nih.gov/genomes/all/GCA/958/454/085/GCA_958454085.1_SRR18940294_bin.8_MetaWRAP_v1.3_MAG</t>
  </si>
  <si>
    <t>GCA_958455085.1</t>
  </si>
  <si>
    <t>SRR22541661_bin.8_MetaWRAP_v1.3_MAG</t>
  </si>
  <si>
    <t>https://ftp.ncbi.nlm.nih.gov/genomes/all/GCA/958/455/085/GCA_958455085.1_SRR22541661_bin.8_MetaWRAP_v1.3_MAG</t>
  </si>
  <si>
    <t>GCA_959017935.1</t>
  </si>
  <si>
    <t>SRR13494493_bin.2_MetaWRAP_v1.3_MAG</t>
  </si>
  <si>
    <t>https://ftp.ncbi.nlm.nih.gov/genomes/all/GCA/959/017/935/GCA_959017935.1_SRR13494493_bin.2_MetaWRAP_v1.3_MAG</t>
  </si>
  <si>
    <t>GCA_959018115.1</t>
  </si>
  <si>
    <t>SRR13494501_bin.4_MetaWRAP_v1.3_MAG</t>
  </si>
  <si>
    <t>https://ftp.ncbi.nlm.nih.gov/genomes/all/GCA/959/018/115/GCA_959018115.1_SRR13494501_bin.4_MetaWRAP_v1.3_MAG</t>
  </si>
  <si>
    <t>GCA_959019185.1</t>
  </si>
  <si>
    <t>SRR13494483_bin.14_MetaWRAP_v1.3_MAG</t>
  </si>
  <si>
    <t>https://ftp.ncbi.nlm.nih.gov/genomes/all/GCA/959/019/185/GCA_959019185.1_SRR13494483_bin.14_MetaWRAP_v1.3_MAG</t>
  </si>
  <si>
    <t>GCA_959019235.1</t>
  </si>
  <si>
    <t>SRR13494483_bin.3_MetaWRAP_v1.3_MAG</t>
  </si>
  <si>
    <t>https://ftp.ncbi.nlm.nih.gov/genomes/all/GCA/959/019/235/GCA_959019235.1_SRR13494483_bin.3_MetaWRAP_v1.3_MAG</t>
  </si>
  <si>
    <t>GCA_959020135.1</t>
  </si>
  <si>
    <t>ERR10149224_bin.13_MetaWRAP_v1.3_MAG</t>
  </si>
  <si>
    <t>https://ftp.ncbi.nlm.nih.gov/genomes/all/GCA/959/020/135/GCA_959020135.1_ERR10149224_bin.13_MetaWRAP_v1.3_MAG</t>
  </si>
  <si>
    <t>GCA_959020975.1</t>
  </si>
  <si>
    <t>SRR13494527_bin.17_MetaWRAP_v1.3_MAG</t>
  </si>
  <si>
    <t>https://ftp.ncbi.nlm.nih.gov/genomes/all/GCA/959/020/975/GCA_959020975.1_SRR13494527_bin.17_MetaWRAP_v1.3_MAG</t>
  </si>
  <si>
    <t>GCA_959021785.1</t>
  </si>
  <si>
    <t>ERR10149268_bin.3_MetaWRAP_v1.3_MAG</t>
  </si>
  <si>
    <t>https://ftp.ncbi.nlm.nih.gov/genomes/all/GCA/959/021/785/GCA_959021785.1_ERR10149268_bin.3_MetaWRAP_v1.3_MAG</t>
  </si>
  <si>
    <t>GCA_959021795.1</t>
  </si>
  <si>
    <t>SRR13494527_bin.18_MetaWRAP_v1.3_MAG</t>
  </si>
  <si>
    <t>https://ftp.ncbi.nlm.nih.gov/genomes/all/GCA/959/021/795/GCA_959021795.1_SRR13494527_bin.18_MetaWRAP_v1.3_MAG</t>
  </si>
  <si>
    <t>GCA_959021855.1</t>
  </si>
  <si>
    <t>SRR13494527_bin.10_MetaWRAP_v1.3_MAG</t>
  </si>
  <si>
    <t>https://ftp.ncbi.nlm.nih.gov/genomes/all/GCA/959/021/855/GCA_959021855.1_SRR13494527_bin.10_MetaWRAP_v1.3_MAG</t>
  </si>
  <si>
    <t>GCA_959022565.1</t>
  </si>
  <si>
    <t>SRR20881988_bin.13_MetaWRAP_v1.3_MAG</t>
  </si>
  <si>
    <t>https://ftp.ncbi.nlm.nih.gov/genomes/all/GCA/959/022/565/GCA_959022565.1_SRR20881988_bin.13_MetaWRAP_v1.3_MAG</t>
  </si>
  <si>
    <t>GCA_959023135.1</t>
  </si>
  <si>
    <t>ERR10149252_bin.13_MetaWRAP_v1.3_MAG</t>
  </si>
  <si>
    <t>https://ftp.ncbi.nlm.nih.gov/genomes/all/GCA/959/023/135/GCA_959023135.1_ERR10149252_bin.13_MetaWRAP_v1.3_MAG</t>
  </si>
  <si>
    <t>DRR221348_bin.7_MetaWRAP_v1.3_MAG</t>
  </si>
  <si>
    <t>https://ftp.ncbi.nlm.nih.gov/genomes/all/GCA/959/023/205/GCA_959023205.1_DRR221348_bin.7_MetaWRAP_v1.3_MAG</t>
  </si>
  <si>
    <t>GCA_959023485.1</t>
  </si>
  <si>
    <t>ERR10149261_bin.10_MetaWRAP_v1.3_MAG</t>
  </si>
  <si>
    <t>https://ftp.ncbi.nlm.nih.gov/genomes/all/GCA/959/023/485/GCA_959023485.1_ERR10149261_bin.10_MetaWRAP_v1.3_MAG</t>
  </si>
  <si>
    <t>GCA_959023595.1</t>
  </si>
  <si>
    <t>ERR10149264_bin.18_MetaWRAP_v1.3_MAG</t>
  </si>
  <si>
    <t>https://ftp.ncbi.nlm.nih.gov/genomes/all/GCA/959/023/595/GCA_959023595.1_ERR10149264_bin.18_MetaWRAP_v1.3_MAG</t>
  </si>
  <si>
    <t>GCA_959023615.1</t>
  </si>
  <si>
    <t>ERR10149262_bin.7_MetaWRAP_v1.3_MAG</t>
  </si>
  <si>
    <t>https://ftp.ncbi.nlm.nih.gov/genomes/all/GCA/959/023/615/GCA_959023615.1_ERR10149262_bin.7_MetaWRAP_v1.3_MAG</t>
  </si>
  <si>
    <t>GCA_959023655.1</t>
  </si>
  <si>
    <t>ERR10149265_bin.7_MetaWRAP_v1.3_MAG</t>
  </si>
  <si>
    <t>https://ftp.ncbi.nlm.nih.gov/genomes/all/GCA/959/023/655/GCA_959023655.1_ERR10149265_bin.7_MetaWRAP_v1.3_MAG</t>
  </si>
  <si>
    <t>GCA_959023855.1</t>
  </si>
  <si>
    <t>SRR13494518_bin.24_MetaWRAP_v1.3_MAG</t>
  </si>
  <si>
    <t>https://ftp.ncbi.nlm.nih.gov/genomes/all/GCA/959/023/855/GCA_959023855.1_SRR13494518_bin.24_MetaWRAP_v1.3_MAG</t>
  </si>
  <si>
    <t>GCA_959023905.1</t>
  </si>
  <si>
    <t>SRR13494478_bin.5_MetaWRAP_v1.3_MAG</t>
  </si>
  <si>
    <t>https://ftp.ncbi.nlm.nih.gov/genomes/all/GCA/959/023/905/GCA_959023905.1_SRR13494478_bin.5_MetaWRAP_v1.3_MAG</t>
  </si>
  <si>
    <t>GCA_959023915.1</t>
  </si>
  <si>
    <t>SRR13494478_bin.17_MetaWRAP_v1.3_MAG</t>
  </si>
  <si>
    <t>https://ftp.ncbi.nlm.nih.gov/genomes/all/GCA/959/023/915/GCA_959023915.1_SRR13494478_bin.17_MetaWRAP_v1.3_MAG</t>
  </si>
  <si>
    <t>GCA_959023985.1</t>
  </si>
  <si>
    <t>SRR13494479_bin.12_MetaWRAP_v1.3_MAG</t>
  </si>
  <si>
    <t>https://ftp.ncbi.nlm.nih.gov/genomes/all/GCA/959/023/985/GCA_959023985.1_SRR13494479_bin.12_MetaWRAP_v1.3_MAG</t>
  </si>
  <si>
    <t>GCA_959024065.1</t>
  </si>
  <si>
    <t>SRR13494527_bin.15_MetaWRAP_v1.3_MAG</t>
  </si>
  <si>
    <t>https://ftp.ncbi.nlm.nih.gov/genomes/all/GCA/959/024/065/GCA_959024065.1_SRR13494527_bin.15_MetaWRAP_v1.3_MAG</t>
  </si>
  <si>
    <t>GCA_959024075.1</t>
  </si>
  <si>
    <t>SRR13494479_bin.1_MetaWRAP_v1.3_MAG</t>
  </si>
  <si>
    <t>https://ftp.ncbi.nlm.nih.gov/genomes/all/GCA/959/024/075/GCA_959024075.1_SRR13494479_bin.1_MetaWRAP_v1.3_MAG</t>
  </si>
  <si>
    <t>GCA_959025365.1</t>
  </si>
  <si>
    <t>ERR10149248_bin.7_MetaWRAP_v1.3_MAG</t>
  </si>
  <si>
    <t>https://ftp.ncbi.nlm.nih.gov/genomes/all/GCA/959/025/365/GCA_959025365.1_ERR10149248_bin.7_MetaWRAP_v1.3_MAG</t>
  </si>
  <si>
    <t>GCA_959025785.1</t>
  </si>
  <si>
    <t>ERR10149257_bin.22_MetaWRAP_v1.3_MAG</t>
  </si>
  <si>
    <t>https://ftp.ncbi.nlm.nih.gov/genomes/all/GCA/959/025/785/GCA_959025785.1_ERR10149257_bin.22_MetaWRAP_v1.3_MAG</t>
  </si>
  <si>
    <t>GCA_959027405.1</t>
  </si>
  <si>
    <t>SRR20881977_bin.37_MetaWRAP_v1.3_MAG</t>
  </si>
  <si>
    <t>https://ftp.ncbi.nlm.nih.gov/genomes/all/GCA/959/027/405/GCA_959027405.1_SRR20881977_bin.37_MetaWRAP_v1.3_MAG</t>
  </si>
  <si>
    <t>GCA_959028025.1</t>
  </si>
  <si>
    <t>ERR10149224_bin.3_MetaWRAP_v1.3_MAG</t>
  </si>
  <si>
    <t>https://ftp.ncbi.nlm.nih.gov/genomes/all/GCA/959/028/025/GCA_959028025.1_ERR10149224_bin.3_MetaWRAP_v1.3_MAG</t>
  </si>
  <si>
    <t>GCA_959028555.1</t>
  </si>
  <si>
    <t>ERR10149249_bin.8_MetaWRAP_v1.3_MAG</t>
  </si>
  <si>
    <t>https://ftp.ncbi.nlm.nih.gov/genomes/all/GCA/959/028/555/GCA_959028555.1_ERR10149249_bin.8_MetaWRAP_v1.3_MAG</t>
  </si>
  <si>
    <t>GCA_959029415.1</t>
  </si>
  <si>
    <t>SRR13494479_bin.3_MetaWRAP_v1.3_MAG</t>
  </si>
  <si>
    <t>https://ftp.ncbi.nlm.nih.gov/genomes/all/GCA/959/029/415/GCA_959029415.1_SRR13494479_bin.3_MetaWRAP_v1.3_MAG</t>
  </si>
  <si>
    <t>GCA_959596705.1</t>
  </si>
  <si>
    <t>SRR16244391_bin.36_MetaWRAP_v1.3_MAG</t>
  </si>
  <si>
    <t>https://ftp.ncbi.nlm.nih.gov/genomes/all/GCA/959/596/705/GCA_959596705.1_SRR16244391_bin.36_MetaWRAP_v1.3_MAG</t>
  </si>
  <si>
    <t>GCA_959597085.1</t>
  </si>
  <si>
    <t>SRR16280069_bin.10_MetaWRAP_v1.3_MAG</t>
  </si>
  <si>
    <t>https://ftp.ncbi.nlm.nih.gov/genomes/all/GCA/959/597/085/GCA_959597085.1_SRR16280069_bin.10_MetaWRAP_v1.3_MAG</t>
  </si>
  <si>
    <t>GCA_959599805.1</t>
  </si>
  <si>
    <t>SRR16280109_bin.44_MetaWRAP_v1.3_MAG</t>
  </si>
  <si>
    <t>https://ftp.ncbi.nlm.nih.gov/genomes/all/GCA/959/599/805/GCA_959599805.1_SRR16280109_bin.44_MetaWRAP_v1.3_MAG</t>
  </si>
  <si>
    <t>GCA_959600255.1</t>
  </si>
  <si>
    <t>SRR16280109_bin.45_MetaWRAP_v1.3_MAG</t>
  </si>
  <si>
    <t>https://ftp.ncbi.nlm.nih.gov/genomes/all/GCA/959/600/255/GCA_959600255.1_SRR16280109_bin.45_MetaWRAP_v1.3_MAG</t>
  </si>
  <si>
    <t>GCA_959602185.1</t>
  </si>
  <si>
    <t>SRR16280094_bin.39_MetaWRAP_v1.3_MAG</t>
  </si>
  <si>
    <t>https://ftp.ncbi.nlm.nih.gov/genomes/all/GCA/959/602/185/GCA_959602185.1_SRR16280094_bin.39_MetaWRAP_v1.3_MAG</t>
  </si>
  <si>
    <t>GCA_959605405.1</t>
  </si>
  <si>
    <t>SRR16279958_bin.49_MetaWRAP_v1.3_MAG</t>
  </si>
  <si>
    <t>https://ftp.ncbi.nlm.nih.gov/genomes/all/GCA/959/605/405/GCA_959605405.1_SRR16279958_bin.49_MetaWRAP_v1.3_MAG</t>
  </si>
  <si>
    <t>GCA_959607315.1</t>
  </si>
  <si>
    <t>SRR16280065_bin.9_MetaWRAP_v1.3_MAG</t>
  </si>
  <si>
    <t>https://ftp.ncbi.nlm.nih.gov/genomes/all/GCA/959/607/315/GCA_959607315.1_SRR16280065_bin.9_MetaWRAP_v1.3_MAG</t>
  </si>
  <si>
    <t>GCA_959608055.1</t>
  </si>
  <si>
    <t>SRR16280094_bin.34_MetaWRAP_v1.3_MAG</t>
  </si>
  <si>
    <t>https://ftp.ncbi.nlm.nih.gov/genomes/all/GCA/959/608/055/GCA_959608055.1_SRR16280094_bin.34_MetaWRAP_v1.3_MAG</t>
  </si>
  <si>
    <t>GCA_959608295.1</t>
  </si>
  <si>
    <t>SRR16280103_bin.30_MetaWRAP_v1.3_MAG</t>
  </si>
  <si>
    <t>https://ftp.ncbi.nlm.nih.gov/genomes/all/GCA/959/608/295/GCA_959608295.1_SRR16280103_bin.30_MetaWRAP_v1.3_MAG</t>
  </si>
  <si>
    <t>GCA_962707545.1</t>
  </si>
  <si>
    <t>4fa87c50-ed1b-11e5-88b1-3c4a9275d6c6</t>
  </si>
  <si>
    <t>https://ftp.ncbi.nlm.nih.gov/genomes/all/GCA/962/707/545/GCA_962707545.1_01_00098_XS1_1</t>
  </si>
  <si>
    <t>GCA_962713235.1</t>
  </si>
  <si>
    <t>5a80ab70-ed1b-11e5-bc69-3c4a9275d6c6</t>
  </si>
  <si>
    <t>https://ftp.ncbi.nlm.nih.gov/genomes/all/GCA/962/713/235/GCA_962713235.1_01_08009_XS1_1</t>
  </si>
  <si>
    <t>GCA_962715115.1</t>
  </si>
  <si>
    <t>SAMPLE_WTCHG_311190_282102</t>
  </si>
  <si>
    <t>https://ftp.ncbi.nlm.nih.gov/genomes/all/GCA/962/715/115/GCA_962715115.1_G97_1162</t>
  </si>
  <si>
    <t>GCA_962715145.1</t>
  </si>
  <si>
    <t>SAMPLE_WTCHG_311190_222102</t>
  </si>
  <si>
    <t>https://ftp.ncbi.nlm.nih.gov/genomes/all/GCA/962/715/145/GCA_962715145.1_G97_6093</t>
  </si>
  <si>
    <t>GCA_962719605.1</t>
  </si>
  <si>
    <t>5a557cc0-ed1b-11e5-bc69-3c4a9275d6c6</t>
  </si>
  <si>
    <t>https://ftp.ncbi.nlm.nih.gov/genomes/all/GCA/962/719/605/GCA_962719605.1_01_07665_XS1_1</t>
  </si>
  <si>
    <t>GCA_962720465.1</t>
  </si>
  <si>
    <t>SAMPLE_WTCHG_311190_272102</t>
  </si>
  <si>
    <t>https://ftp.ncbi.nlm.nih.gov/genomes/all/GCA/962/720/465/GCA_962720465.1_G97_1651</t>
  </si>
  <si>
    <t>GCA_962724685.1</t>
  </si>
  <si>
    <t>SAMPLE_WTCHG_311190_303102</t>
  </si>
  <si>
    <t>https://ftp.ncbi.nlm.nih.gov/genomes/all/GCA/962/724/685/GCA_962724685.1_G97_1151</t>
  </si>
  <si>
    <t>GCA_962724695.1</t>
  </si>
  <si>
    <t>SAMPLE_WTCHG_311190_285102</t>
  </si>
  <si>
    <t>https://ftp.ncbi.nlm.nih.gov/genomes/all/GCA/962/724/695/GCA_962724695.1_G97_1072</t>
  </si>
  <si>
    <t>GCA_962728725.1</t>
  </si>
  <si>
    <t>5a6ad980-ed1b-11e5-bc69-3c4a9275d6c6</t>
  </si>
  <si>
    <t>https://ftp.ncbi.nlm.nih.gov/genomes/all/GCA/962/728/725/GCA_962728725.1_01_03967_XS1_1</t>
  </si>
  <si>
    <t>GCA_962728865.1</t>
  </si>
  <si>
    <t>5a75aef0-ed1b-11e5-bc69-3c4a9275d6c6</t>
  </si>
  <si>
    <t>https://ftp.ncbi.nlm.nih.gov/genomes/all/GCA/962/728/865/GCA_962728865.1_01_07343_XS1_1</t>
  </si>
  <si>
    <t>GCA_962728915.1</t>
  </si>
  <si>
    <t>5a8ae4a0-ed1b-11e5-bc69-3c4a9275d6c6</t>
  </si>
  <si>
    <t>https://ftp.ncbi.nlm.nih.gov/genomes/all/GCA/962/728/915/GCA_962728915.1_01_13553_XS3_1</t>
  </si>
  <si>
    <t>GCA_962729065.1</t>
  </si>
  <si>
    <t>5aa179e0-ed1b-11e5-bc69-3c4a9275d6c6</t>
  </si>
  <si>
    <t>https://ftp.ncbi.nlm.nih.gov/genomes/all/GCA/962/729/065/GCA_962729065.1_01_13564_XS3_1</t>
  </si>
  <si>
    <t>GCA_962746765.1</t>
  </si>
  <si>
    <t>SAMPLE_WTCHG_311190_286102</t>
  </si>
  <si>
    <t>https://ftp.ncbi.nlm.nih.gov/genomes/all/GCA/962/746/765/GCA_962746765.1_G97_1061</t>
  </si>
  <si>
    <t>GCA_962747745.1</t>
  </si>
  <si>
    <t>SAMPLE_WTCHG_311190_229102</t>
  </si>
  <si>
    <t>https://ftp.ncbi.nlm.nih.gov/genomes/all/GCA/962/747/745/GCA_962747745.1_G97_5907</t>
  </si>
  <si>
    <t>GCA_962747755.1</t>
  </si>
  <si>
    <t>SAMPLE_WTCHG_311190_259102</t>
  </si>
  <si>
    <t>https://ftp.ncbi.nlm.nih.gov/genomes/all/GCA/962/747/755/GCA_962747755.1_G97_2571</t>
  </si>
  <si>
    <t>GCA_962747925.1</t>
  </si>
  <si>
    <t>5a960830-ed1b-11e5-bc69-3c4a9275d6c6</t>
  </si>
  <si>
    <t>https://ftp.ncbi.nlm.nih.gov/genomes/all/GCA/962/747/925/GCA_962747925.1_01_13554_XS3_1</t>
  </si>
  <si>
    <t>GCA_963392915.1</t>
  </si>
  <si>
    <t>M_571-sc-2011-12-13T12:42:02Z-1324698</t>
  </si>
  <si>
    <t>https://ftp.ncbi.nlm.nih.gov/genomes/all/GCA/963/392/915/GCA_963392915.1_M-571</t>
  </si>
  <si>
    <t>GCA_963392925.1</t>
  </si>
  <si>
    <t>M_198-sc-2011-12-13T12:41:33Z-1324658</t>
  </si>
  <si>
    <t>https://ftp.ncbi.nlm.nih.gov/genomes/all/GCA/963/392/925/GCA_963392925.1_M-198</t>
  </si>
  <si>
    <t>GCA_963392945.1</t>
  </si>
  <si>
    <t>M_264-sc-2011-12-13T12:41:49Z-1324680</t>
  </si>
  <si>
    <t>https://ftp.ncbi.nlm.nih.gov/genomes/all/GCA/963/392/945/GCA_963392945.1_M-264</t>
  </si>
  <si>
    <t>GCA_963392955.1</t>
  </si>
  <si>
    <t>M_286-sc-2011-12-13T12:41:50Z-1324682</t>
  </si>
  <si>
    <t>https://ftp.ncbi.nlm.nih.gov/genomes/all/GCA/963/392/955/GCA_963392955.1_M-286</t>
  </si>
  <si>
    <t>GCA_963392985.1</t>
  </si>
  <si>
    <t>M_104-sc-2011-12-13T12:41:24Z-1324647</t>
  </si>
  <si>
    <t>https://ftp.ncbi.nlm.nih.gov/genomes/all/GCA/963/392/985/GCA_963392985.1_M-104</t>
  </si>
  <si>
    <t>GCA_963393065.1</t>
  </si>
  <si>
    <t>M_442-sc-2011-12-13T12:41:59Z-1324693</t>
  </si>
  <si>
    <t>https://ftp.ncbi.nlm.nih.gov/genomes/all/GCA/963/393/065/GCA_963393065.1_M-442</t>
  </si>
  <si>
    <t>GCA_963393115.1</t>
  </si>
  <si>
    <t>M_856-sc-2011-12-13T12:42:08Z-1324706</t>
  </si>
  <si>
    <t>https://ftp.ncbi.nlm.nih.gov/genomes/all/GCA/963/393/115/GCA_963393115.1_M-856</t>
  </si>
  <si>
    <t>GCA_963393145.1</t>
  </si>
  <si>
    <t>M_104A-sc-2011-12-13T12:41:25Z-1324648</t>
  </si>
  <si>
    <t>https://ftp.ncbi.nlm.nih.gov/genomes/all/GCA/963/393/145/GCA_963393145.1_M-104A</t>
  </si>
  <si>
    <t>GCA_963393175.1</t>
  </si>
  <si>
    <t>M_223-sc-2011-12-13T12:41:39Z-1324667</t>
  </si>
  <si>
    <t>https://ftp.ncbi.nlm.nih.gov/genomes/all/GCA/963/393/175/GCA_963393175.1_M-223</t>
  </si>
  <si>
    <t>GCA_963393195.1</t>
  </si>
  <si>
    <t>M_080-sc-2011-12-13T12:41:18Z-1324639</t>
  </si>
  <si>
    <t>https://ftp.ncbi.nlm.nih.gov/genomes/all/GCA/963/393/195/GCA_963393195.1_M-080</t>
  </si>
  <si>
    <t>GCA_963394815.1</t>
  </si>
  <si>
    <t>https://ftp.ncbi.nlm.nih.gov/genomes/all/GCA/963/394/815/GCA_963394815.1_8206</t>
  </si>
  <si>
    <t>GCA_963394825.1</t>
  </si>
  <si>
    <t>CCUG 27178 A</t>
  </si>
  <si>
    <t>https://ftp.ncbi.nlm.nih.gov/genomes/all/GCA/963/394/825/GCA_963394825.1_CCUG_27178_A</t>
  </si>
  <si>
    <t>GCA_963394835.1</t>
  </si>
  <si>
    <t>CCUG 32112</t>
  </si>
  <si>
    <t>https://ftp.ncbi.nlm.nih.gov/genomes/all/GCA/963/394/835/GCA_963394835.1_CCUG_32112</t>
  </si>
  <si>
    <t>GCA_963394845.1</t>
  </si>
  <si>
    <t>09002S1</t>
  </si>
  <si>
    <t>https://ftp.ncbi.nlm.nih.gov/genomes/all/GCA/963/394/845/GCA_963394845.1_09002S1</t>
  </si>
  <si>
    <t>GCA_963394855.1</t>
  </si>
  <si>
    <t>CCUG 18031</t>
  </si>
  <si>
    <t>https://ftp.ncbi.nlm.nih.gov/genomes/all/GCA/963/394/855/GCA_963394855.1_CCUG_18031</t>
  </si>
  <si>
    <t>GCA_963394865.1</t>
  </si>
  <si>
    <t>CCUG 24846</t>
  </si>
  <si>
    <t>https://ftp.ncbi.nlm.nih.gov/genomes/all/GCA/963/394/865/GCA_963394865.1_CCUG_24846</t>
  </si>
  <si>
    <t>GCA_963394875.1</t>
  </si>
  <si>
    <t>CCUG 24845</t>
  </si>
  <si>
    <t>https://ftp.ncbi.nlm.nih.gov/genomes/all/GCA/963/394/875/GCA_963394875.1_CCUG_24845</t>
  </si>
  <si>
    <t>GCA_963394895.1</t>
  </si>
  <si>
    <t>014-24</t>
  </si>
  <si>
    <t>https://ftp.ncbi.nlm.nih.gov/genomes/all/GCA/963/394/895/GCA_963394895.1_014-24</t>
  </si>
  <si>
    <t>GCA_963394905.1</t>
  </si>
  <si>
    <t>CCUG 27182</t>
  </si>
  <si>
    <t>https://ftp.ncbi.nlm.nih.gov/genomes/all/GCA/963/394/905/GCA_963394905.1_CCUG_27182</t>
  </si>
  <si>
    <t>GCA_963394925.1</t>
  </si>
  <si>
    <t>type strain: CCUG 346</t>
  </si>
  <si>
    <t>https://ftp.ncbi.nlm.nih.gov/genomes/all/GCA/963/394/925/GCA_963394925.1_CCUG_346_T</t>
  </si>
  <si>
    <t>GCA_963394935.1</t>
  </si>
  <si>
    <t>CCUG 41451</t>
  </si>
  <si>
    <t>https://ftp.ncbi.nlm.nih.gov/genomes/all/GCA/963/394/935/GCA_963394935.1_CCUG_41451_T</t>
  </si>
  <si>
    <t>GCA_963394945.1</t>
  </si>
  <si>
    <t>CCUG 25879</t>
  </si>
  <si>
    <t>https://ftp.ncbi.nlm.nih.gov/genomes/all/GCA/963/394/945/GCA_963394945.1_CCUG_25879</t>
  </si>
  <si>
    <t>GCA_963394955.1</t>
  </si>
  <si>
    <t>CCUG 17913</t>
  </si>
  <si>
    <t>https://ftp.ncbi.nlm.nih.gov/genomes/all/GCA/963/394/955/GCA_963394955.1_CCUG_17913_T</t>
  </si>
  <si>
    <t>GCA_963394965.1</t>
  </si>
  <si>
    <t>CCUG 806</t>
  </si>
  <si>
    <t>https://ftp.ncbi.nlm.nih.gov/genomes/all/GCA/963/394/965/GCA_963394965.1_CCUG_806</t>
  </si>
  <si>
    <t>GCA_963394975.1</t>
  </si>
  <si>
    <t>CCUG 32036</t>
  </si>
  <si>
    <t>https://ftp.ncbi.nlm.nih.gov/genomes/all/GCA/963/394/975/GCA_963394975.1_CCUG_32036</t>
  </si>
  <si>
    <t>GCA_963394995.1</t>
  </si>
  <si>
    <t>CCUG 7826</t>
  </si>
  <si>
    <t>https://ftp.ncbi.nlm.nih.gov/genomes/all/GCA/963/394/995/GCA_963394995.1_CCUG_7826</t>
  </si>
  <si>
    <t>GCA_963395005.1</t>
  </si>
  <si>
    <t>CCUG 4788</t>
  </si>
  <si>
    <t>https://ftp.ncbi.nlm.nih.gov/genomes/all/GCA/963/395/005/GCA_963395005.1_CCUG_4788</t>
  </si>
  <si>
    <t>GCA_963395025.1</t>
  </si>
  <si>
    <t>030-24</t>
  </si>
  <si>
    <t>https://ftp.ncbi.nlm.nih.gov/genomes/all/GCA/963/395/025/GCA_963395025.1_030-24</t>
  </si>
  <si>
    <t>GCA_963395045.1</t>
  </si>
  <si>
    <t>CCUG 28662</t>
  </si>
  <si>
    <t>https://ftp.ncbi.nlm.nih.gov/genomes/all/GCA/963/395/045/GCA_963395045.1_CCUG_28662</t>
  </si>
  <si>
    <t>GCA_963395055.1</t>
  </si>
  <si>
    <t>CCUG 29761</t>
  </si>
  <si>
    <t>https://ftp.ncbi.nlm.nih.gov/genomes/all/GCA/963/395/055/GCA_963395055.1_CCUG_29761</t>
  </si>
  <si>
    <t>GCA_963396185.1</t>
  </si>
  <si>
    <t>type strain: CCUG 4007</t>
  </si>
  <si>
    <t>https://ftp.ncbi.nlm.nih.gov/genomes/all/GCA/963/396/185/GCA_963396185.1_CCUG_4007_T</t>
  </si>
  <si>
    <t>GCA_963396205.1</t>
  </si>
  <si>
    <t>CCUG 801</t>
  </si>
  <si>
    <t>https://ftp.ncbi.nlm.nih.gov/genomes/all/GCA/963/396/205/GCA_963396205.1_CCUG_801</t>
  </si>
  <si>
    <t>GCA_963396215.1</t>
  </si>
  <si>
    <t>CCUG 24918</t>
  </si>
  <si>
    <t>https://ftp.ncbi.nlm.nih.gov/genomes/all/GCA/963/396/215/GCA_963396215.1_CCUG_24918</t>
  </si>
  <si>
    <t>GCA_963396225.1</t>
  </si>
  <si>
    <t>type strain: CCUG 23930</t>
  </si>
  <si>
    <t>https://ftp.ncbi.nlm.nih.gov/genomes/all/GCA/963/396/225/GCA_963396225.1_CCUG_23930_T</t>
  </si>
  <si>
    <t>GCA_963396245.1</t>
  </si>
  <si>
    <t>CCUG 25198</t>
  </si>
  <si>
    <t>https://ftp.ncbi.nlm.nih.gov/genomes/all/GCA/963/396/245/GCA_963396245.1_CCUG_25198</t>
  </si>
  <si>
    <t>GCA_963396255.1</t>
  </si>
  <si>
    <t>CCUG 24960</t>
  </si>
  <si>
    <t>https://ftp.ncbi.nlm.nih.gov/genomes/all/GCA/963/396/255/GCA_963396255.1_CCUG_24960</t>
  </si>
  <si>
    <t>GCA_963396265.1</t>
  </si>
  <si>
    <t>CCUG 800</t>
  </si>
  <si>
    <t>https://ftp.ncbi.nlm.nih.gov/genomes/all/GCA/963/396/265/GCA_963396265.1_CCUG_800</t>
  </si>
  <si>
    <t>GCA_963525585.1</t>
  </si>
  <si>
    <t>HMT-470</t>
  </si>
  <si>
    <t>sp. HMT-470</t>
  </si>
  <si>
    <t>ERR9968993_bin.15_MetaWRAP_v1.3_MAG</t>
  </si>
  <si>
    <t>https://ftp.ncbi.nlm.nih.gov/genomes/all/GCA/963/525/585/GCA_963525585.1_ERR9968993_bin.15_MetaWRAP_v1.3_MAG/</t>
  </si>
  <si>
    <t>strain_name_clean</t>
  </si>
  <si>
    <t>gca_in_tree?</t>
  </si>
  <si>
    <t>BgEED24</t>
  </si>
  <si>
    <t>BgEED02</t>
  </si>
  <si>
    <t>NCTC 13374</t>
  </si>
  <si>
    <t>…</t>
  </si>
  <si>
    <t>Tannerella_forsythia [3313]</t>
  </si>
  <si>
    <t>Tannerella_forsythia [9610]</t>
  </si>
  <si>
    <t>Capnocytophaga_periodontitidis [51621]</t>
  </si>
  <si>
    <t>Absconditicoccaceae_[G1] […]</t>
  </si>
  <si>
    <t>Capnocytophaga_sputigena […]</t>
  </si>
  <si>
    <t>Actinomyces_graevenitzii […]</t>
  </si>
  <si>
    <t>Prevotella_melaninogenica […]</t>
  </si>
  <si>
    <t>Leptotrichia_sp. […]</t>
  </si>
  <si>
    <t>Schaalia_lingnae […]</t>
  </si>
  <si>
    <t>Pseudoleptotrichia_sp. […]</t>
  </si>
  <si>
    <t>Prevotella_multiformis […]</t>
  </si>
  <si>
    <t>Paludibacteraceae_[G1] […]</t>
  </si>
  <si>
    <t>Capnocytophaga_ochracea […]</t>
  </si>
  <si>
    <t>Prevotella_denticola […]</t>
  </si>
  <si>
    <t>Peptidiphaga_sp. […]</t>
  </si>
  <si>
    <t>Actinomyces_oris […]</t>
  </si>
  <si>
    <t>Prevotella_histicola […]</t>
  </si>
  <si>
    <t>Alloprevotella_sp. […]</t>
  </si>
  <si>
    <t>Anaerolineae_[G1] […]</t>
  </si>
  <si>
    <t>Saccharimonas_sp. […]</t>
  </si>
  <si>
    <t>Tannerella_forsythia […]</t>
  </si>
  <si>
    <t>Prevotella_jejuni […]</t>
  </si>
  <si>
    <t>Arachnia_rubra […]</t>
  </si>
  <si>
    <t>Capnocytophaga_periodontitidis […]</t>
  </si>
  <si>
    <t>Capnocytophaga_gingivalis […]</t>
  </si>
  <si>
    <t>Segatella_buccae […]</t>
  </si>
  <si>
    <t>Capnocytophaga_sp. […]</t>
  </si>
  <si>
    <t>Prevotella_veroralis […]</t>
  </si>
  <si>
    <t>Capnocytophaga_leadbetteri […]</t>
  </si>
  <si>
    <t>Schaalia_hongkongensis […]</t>
  </si>
  <si>
    <t>Prevotella_sp. […]</t>
  </si>
  <si>
    <t>Peptidiphaga_gingivicola […]</t>
  </si>
  <si>
    <t>Rothia_mucilaginosa […]</t>
  </si>
  <si>
    <t>Segatella_maculosa […]</t>
  </si>
  <si>
    <t>Hoylesella_loescheii […]</t>
  </si>
  <si>
    <t>Bacteroides_heparinolyticus […]</t>
  </si>
  <si>
    <t>Phocaeicola_abscessus […]</t>
  </si>
  <si>
    <t>Schaalia_lingnae [1093_SCAT]</t>
  </si>
  <si>
    <t>Bacteroides_heparinolyticus [3012STDY7078512]</t>
  </si>
  <si>
    <t>Capnocytophaga_ochracea [490_CAPN]</t>
  </si>
  <si>
    <t>Cardiobacterium_hominis [598_FBAL]</t>
  </si>
  <si>
    <t>Cardiobacterium_hominis [599_SSED]</t>
  </si>
  <si>
    <t>Cardiobacterium_hominis [612_ETAR]</t>
  </si>
  <si>
    <t>Tannerella_forsythia [92A2]</t>
  </si>
  <si>
    <t>Prevotella_illustrans [A2931]</t>
  </si>
  <si>
    <t>Prevotella_denticola [AF51-2-b9A]</t>
  </si>
  <si>
    <t>Capnocytophaga_periodontitidis [AHN 8751]</t>
  </si>
  <si>
    <t>Capnocytophaga_periodontitidis [AHN 9528]</t>
  </si>
  <si>
    <t>Capnocytophaga_periodontitidis [AHN 9798]</t>
  </si>
  <si>
    <t>Capnocytophaga_periodontitidis [AHN9576]</t>
  </si>
  <si>
    <t>Streptococcus_parasanguinis [AM03-12X]</t>
  </si>
  <si>
    <t>Streptococcus_parasanguinis [AM27-45]</t>
  </si>
  <si>
    <t>Cardiobacterium_hominis [ATCC 15826]</t>
  </si>
  <si>
    <t>Hoylesella_loescheii [ATCC 15930]</t>
  </si>
  <si>
    <t>Prevotella_melaninogenica [ATCC 25845]</t>
  </si>
  <si>
    <t>Segatella_buccae [ATCC 33574]</t>
  </si>
  <si>
    <t>Capnocytophaga_gingivalis [ATCC 33624]</t>
  </si>
  <si>
    <t>Tannerella_forsythia [ATCC 43037]</t>
  </si>
  <si>
    <t>Peptidiphaga_gingivicola [BA112]</t>
  </si>
  <si>
    <t>Nanosynbacter_featherlites [BB001]</t>
  </si>
  <si>
    <t>Actinomyces_oris [BgEED02]</t>
  </si>
  <si>
    <t>Prevotella_melaninogenica [BgEED24]</t>
  </si>
  <si>
    <t>Schaalia_hongkongensis [bin_1]</t>
  </si>
  <si>
    <t>Leptotrichia_sp. [bin_23]</t>
  </si>
  <si>
    <t>Streptococcus_parasanguinis [BIOML-A12]</t>
  </si>
  <si>
    <t>Streptococcus_parasanguinis [BIOML-A2]</t>
  </si>
  <si>
    <t>Streptococcus_parasanguinis [BIOML-A4]</t>
  </si>
  <si>
    <t>Streptococcus_parasanguinis [BIOML-A6]</t>
  </si>
  <si>
    <t>Prevotella_jejuni [C561]</t>
  </si>
  <si>
    <t>Actinomyces_graevenitzii [C83]</t>
  </si>
  <si>
    <t>Capnocytophaga_sputigena [Capno]</t>
  </si>
  <si>
    <t>Capnocytophaga_haemolytica [CCUG 32990]</t>
  </si>
  <si>
    <t>Actinomyces_oris [CCUG 33920]</t>
  </si>
  <si>
    <t>Phocaeicola_abscessus [CCUG 55929]</t>
  </si>
  <si>
    <t>Prevotella_jejuni [CD3:33]</t>
  </si>
  <si>
    <t>Capnocytophaga_periodontitidis [ChDC OS43]</t>
  </si>
  <si>
    <t>Cardiobacterium_hominis [CHUV0807]</t>
  </si>
  <si>
    <t>Segatella_buccae [CM02-06A]</t>
  </si>
  <si>
    <t>Segatella_buccae [CM02-09b3TA]</t>
  </si>
  <si>
    <t>Actinomyces_oris [CNGBCC1804106]</t>
  </si>
  <si>
    <t>Prevotella_denticola [CRIS 18C-A]</t>
  </si>
  <si>
    <t>Capnocytophaga_sputigena [D1179]</t>
  </si>
  <si>
    <t>Segatella_buccae [D17]</t>
  </si>
  <si>
    <t>Prevotella_melaninogenica [D18]</t>
  </si>
  <si>
    <t>Prevotella_histicola [DNF00424]</t>
  </si>
  <si>
    <t>Prevotella_denticola [DNF00960]</t>
  </si>
  <si>
    <t>Leptotrichia_buccalis [DSM 1135]</t>
  </si>
  <si>
    <t>Capnocytophaga_haemolytica [DSM 11385]</t>
  </si>
  <si>
    <t>Prevotella_multiformis [DSM 16608]</t>
  </si>
  <si>
    <t>Segatella_baroniae [DSM 16972]</t>
  </si>
  <si>
    <t>Prevotella_veroralis [DSM 19559]</t>
  </si>
  <si>
    <t>Hoylesella_loescheii [DSM 19665]</t>
  </si>
  <si>
    <t>Pseudoleptotrichia_goodfellowii [DSM 19756]</t>
  </si>
  <si>
    <t>Leptotrichia_shahii [DSM 19757]</t>
  </si>
  <si>
    <t>Leptotrichia_wadei [DSM 19758]</t>
  </si>
  <si>
    <t>Prevotella_denticola [DSM 20614]</t>
  </si>
  <si>
    <t>Leptotrichia_hofstadii [DSM 21651]</t>
  </si>
  <si>
    <t>Alloprevotella_rava [DSM 22548]</t>
  </si>
  <si>
    <t>Capnocytophaga_leadbetteri [DSM 22902]</t>
  </si>
  <si>
    <t>Bacteroides_heparinolyticus [DSM 23917]</t>
  </si>
  <si>
    <t>Prevotella_jejuni [DSM 26989]</t>
  </si>
  <si>
    <t>Schaalia_georgiae [DSM 6843]</t>
  </si>
  <si>
    <t>Capnocytophaga_ochracea [DSM 7271]</t>
  </si>
  <si>
    <t>Arachnia_rubra [DSMZ 100122]</t>
  </si>
  <si>
    <t>Actinomyces_oris [ET81]</t>
  </si>
  <si>
    <t>Alloprevotella_sp. [F0040]</t>
  </si>
  <si>
    <t>Prevotella_sp. [F0054]</t>
  </si>
  <si>
    <t>Paludibacteraceae_[G1] [F0058]</t>
  </si>
  <si>
    <t>Segatella_baroniae [F0067]</t>
  </si>
  <si>
    <t>Capnocytophaga_leadbetteri [F0087]</t>
  </si>
  <si>
    <t>Prevotella_sp. [F0091]</t>
  </si>
  <si>
    <t>Prevotella_multiformis [F0096]</t>
  </si>
  <si>
    <t>Prevotella_denticola [F0105]</t>
  </si>
  <si>
    <t>Prevotella_jejuni [F0106]</t>
  </si>
  <si>
    <t>Bacteroides_heparinolyticus [F0111]</t>
  </si>
  <si>
    <t>Prevotella_denticola [F0115]</t>
  </si>
  <si>
    <t>Prevotella_denticola [F0119]</t>
  </si>
  <si>
    <t>Capnocytophaga_sp. [F0234]</t>
  </si>
  <si>
    <t>Leptotrichia_hofstadii [F0254]</t>
  </si>
  <si>
    <t>Leptotrichia_sp. [F0260]</t>
  </si>
  <si>
    <t>Pseudoleptotrichia_goodfellowii [F0264]</t>
  </si>
  <si>
    <t>Leptotrichia_wadei [F0279]</t>
  </si>
  <si>
    <t>Capnocytophaga_ochracea [F0287]</t>
  </si>
  <si>
    <t>Prevotella_denticola [F0288]</t>
  </si>
  <si>
    <t>Prevotella_denticola [F0289]</t>
  </si>
  <si>
    <t>Phocaeicola_abscessus [F0290]</t>
  </si>
  <si>
    <t>Hoylesella_loescheii [F0295]</t>
  </si>
  <si>
    <t>Prevotella_melaninogenica [F0299]</t>
  </si>
  <si>
    <t>Prevotella_melaninogenica [F0300]</t>
  </si>
  <si>
    <t>Prevotella_melaninogenica [F0301]</t>
  </si>
  <si>
    <t>Prevotella_veroralis [F0319]</t>
  </si>
  <si>
    <t>Alloprevotella_rava [F0323]</t>
  </si>
  <si>
    <t>Peptidiphaga_gingivicola [F0332]</t>
  </si>
  <si>
    <t>Actinomyces_oris [F0337]</t>
  </si>
  <si>
    <t>Schaalia_lingnae [F0379]</t>
  </si>
  <si>
    <t>Capnocytophaga_periodontitidis [F0382]</t>
  </si>
  <si>
    <t>Capnocytophaga_ochracea [F0383]</t>
  </si>
  <si>
    <t>Streptococcus_parasanguinis [F0405]</t>
  </si>
  <si>
    <t>Prevotella_histicola [F0411]</t>
  </si>
  <si>
    <t>Capnocytophaga_ochracea [F0483]</t>
  </si>
  <si>
    <t>Capnocytophaga_ochracea [F0486]</t>
  </si>
  <si>
    <t>Capnocytophaga_ochracea [F0487]</t>
  </si>
  <si>
    <t>Capnocytophaga_ochracea [F0488]</t>
  </si>
  <si>
    <t>Actinomyces_oris [F0496]</t>
  </si>
  <si>
    <t>Capnocytophaga_ochracea [F0502]</t>
  </si>
  <si>
    <t>Capnocytophaga_ochracea [F0512]</t>
  </si>
  <si>
    <t>Prevotella_melaninogenica [F0516]</t>
  </si>
  <si>
    <t>Actinomyces_graevenitzii [F0530]</t>
  </si>
  <si>
    <t>Schaalia_hongkongensis [F0543]</t>
  </si>
  <si>
    <t>Capnocytophaga_sp. [F0545]</t>
  </si>
  <si>
    <t>Peptidiphaga_sp. [F0552]</t>
  </si>
  <si>
    <t>Leptotrichia_sp. [F0557]</t>
  </si>
  <si>
    <t>Leptotrichia_sp. [F0581]</t>
  </si>
  <si>
    <t>Leptotrichia_sp. [F0590]</t>
  </si>
  <si>
    <t>Prevotella_jejuni [F0648]</t>
  </si>
  <si>
    <t>Prevotella_melaninogenica [F0692]</t>
  </si>
  <si>
    <t>Prevotella_melaninogenica [F0695]</t>
  </si>
  <si>
    <t>Prevotella_jejuni [F0697]</t>
  </si>
  <si>
    <t>Leptotrichia_sp. [F0703]</t>
  </si>
  <si>
    <t>Leptotrichia_sp. [F0705]</t>
  </si>
  <si>
    <t>Leptotrichia_sp. [F0707]</t>
  </si>
  <si>
    <t>Leptotrichia_sp. [F0708]</t>
  </si>
  <si>
    <t>Actinomyces_oris [F4D1]</t>
  </si>
  <si>
    <t>Capnocytophaga_ochracea [FDAARGOS_1468]</t>
  </si>
  <si>
    <t>Capnocytophaga_ochracea [FDAARGOS_1550]</t>
  </si>
  <si>
    <t>Prevotella_melaninogenica [FDAARGOS_1566]</t>
  </si>
  <si>
    <t>Prevotella_melaninogenica [FDAARGOS_306]</t>
  </si>
  <si>
    <t>Capnocytophaga_leadbetteri [FDAARGOS_737]</t>
  </si>
  <si>
    <t>Prevotella_melaninogenica [FDAARGOS_760]</t>
  </si>
  <si>
    <t>Prevotella_melaninogenica [GAI 07411]</t>
  </si>
  <si>
    <t>Capnocytophaga_gingivalis [H1496]</t>
  </si>
  <si>
    <t>Capnocytophaga_sputigena [H4486]</t>
  </si>
  <si>
    <t>Capnocytophaga_leadbetteri [H6253]</t>
  </si>
  <si>
    <t>Capnocytophaga_sputigena [H6490]</t>
  </si>
  <si>
    <t>Actinomyces_oris [HMT 175]</t>
  </si>
  <si>
    <t>Leptotrichia_sp. [HMT-225]</t>
  </si>
  <si>
    <t>Capnocytophaga_ochracea [Holt 25]</t>
  </si>
  <si>
    <t>Prevotella_melaninogenica [ICM33]</t>
  </si>
  <si>
    <t>Hoylesella_loescheii [JCM 12249]</t>
  </si>
  <si>
    <t>Segatella_baroniae [JCM 13447]</t>
  </si>
  <si>
    <t>Prevotella_denticola [JCM 13449]</t>
  </si>
  <si>
    <t>Prevotella_histicola [JCM 15637]</t>
  </si>
  <si>
    <t>Prevotella_fusca [JCM 17724]</t>
  </si>
  <si>
    <t>Prevotella_veroralis [JCM 6290]</t>
  </si>
  <si>
    <t>Pseudoleptotrichia_goodfellowii [JCM16774]</t>
  </si>
  <si>
    <t>Leptotrichia_hofstadii [JCM16775]</t>
  </si>
  <si>
    <t>Leptotrichia_shahii [JCM16776]</t>
  </si>
  <si>
    <t>Leptotrichia_wadei [JCM16777]</t>
  </si>
  <si>
    <t>Nanosynbacter_sp. [JCVI_1_bin.14]</t>
  </si>
  <si>
    <t>Prevotella_histicola [JCVI_10_bin.9]</t>
  </si>
  <si>
    <t>Schaalia_lingnae [JCVI_11_bin.15]</t>
  </si>
  <si>
    <t>Prevotella_melaninogenica [JCVI_13_bin.7]</t>
  </si>
  <si>
    <t>Prevotella_melaninogenica [JCVI_18_bin.4]</t>
  </si>
  <si>
    <t>Prevotella_histicola [JCVI_23_bin.9]</t>
  </si>
  <si>
    <t>Prevotella_melaninogenica [JCVI_27_bin.6]</t>
  </si>
  <si>
    <t>Prevotella_histicola [JCVI_31A_bin.21]</t>
  </si>
  <si>
    <t>Actinomyces_graevenitzii [JCVI_32_bin.45]</t>
  </si>
  <si>
    <t>Saccharimonas_sp. [JCVI_32_bin.57]</t>
  </si>
  <si>
    <t>Prevotella_denticola [JCVI_32_bin.7]</t>
  </si>
  <si>
    <t>Prevotella_melaninogenica [JCVI_33_bin.7]</t>
  </si>
  <si>
    <t>Prevotella_melaninogenica [JCVI_34_bin.5]</t>
  </si>
  <si>
    <t>Prevotella_melaninogenica [JCVI_35_bin.7]</t>
  </si>
  <si>
    <t>Prevotella_melaninogenica [JCVI_36_bin.6]</t>
  </si>
  <si>
    <t>Prevotella_melaninogenica [JCVI_37_bin.4]</t>
  </si>
  <si>
    <t>Prevotella_histicola [JCVI_37_bin.5]</t>
  </si>
  <si>
    <t>Schaalia_lingnae [JCVI_38_bin.7]</t>
  </si>
  <si>
    <t>Prevotella_melaninogenica [JCVI_41_bin.15]</t>
  </si>
  <si>
    <t>Prevotella_histicola [JCVI_43_bin.10]</t>
  </si>
  <si>
    <t>Rothia_mucilaginosa [JCVI_44_bin.2]</t>
  </si>
  <si>
    <t>Prevotella_histicola [JCVI_7_bin.12]</t>
  </si>
  <si>
    <t>Prevotella_melaninogenica [JCVI_9_bin.4]</t>
  </si>
  <si>
    <t>Prevotella_histicola [JCVI_9_bin.7]</t>
  </si>
  <si>
    <t>Leptotrichia_wadei [JMUB3933]</t>
  </si>
  <si>
    <t>Leptotrichia_wadei [JMUB3934]</t>
  </si>
  <si>
    <t>Leptotrichia_sp. [JMUB3936]</t>
  </si>
  <si>
    <t>Leptotrichia_hongkongensis [JMUB5056]</t>
  </si>
  <si>
    <t>Actinomyces_oris [K20]</t>
  </si>
  <si>
    <t>Leptotrichia_wadei [KA00185]</t>
  </si>
  <si>
    <t>Nanosynbacter_sp. [KC1]</t>
  </si>
  <si>
    <t>Capnocytophaga_sputigena [KC1668]</t>
  </si>
  <si>
    <t>Prevotella_denticola [KCOM 1525]</t>
  </si>
  <si>
    <t>Capnocytophaga_ochracea [KCOM 2191]</t>
  </si>
  <si>
    <t>Capnocytophaga_ochracea [KCOM 26681]</t>
  </si>
  <si>
    <t>Capnocytophaga_ochracea [KCOM 28121]</t>
  </si>
  <si>
    <t>Tannerella_forsythia [KS16]</t>
  </si>
  <si>
    <t>Alloprevotella_sp. [Marseille-P2826]</t>
  </si>
  <si>
    <t>Leptotrichia_sp. [Marseille-P3007]</t>
  </si>
  <si>
    <t>Segatella_buccae [MGYG-HGUT-00289]</t>
  </si>
  <si>
    <t>Schaalia_lingnae [MGYG-HGUT-01411]</t>
  </si>
  <si>
    <t>Alloprevotella_sp. [MGYG-HGUT-01557]</t>
  </si>
  <si>
    <t>Actinomyces_graevenitzii [MGYG-HGUT-02941]</t>
  </si>
  <si>
    <t>Actinomyces_graevenitzii [MGYG-HGUT-03014]</t>
  </si>
  <si>
    <t>Capnocytophaga_ochracea [MGYG-HGUT-03119]</t>
  </si>
  <si>
    <t>Prevotella_denticola [MGYG-HGUT-03152]</t>
  </si>
  <si>
    <t>Prevotella_melaninogenica [MGYG-HGUT-03287]</t>
  </si>
  <si>
    <t>Alloprevotella_sp. [MGYG-HGUT-04638]</t>
  </si>
  <si>
    <t>Segatella_buccae [MSX73]</t>
  </si>
  <si>
    <t>Segatella_buccae [N1167.1]</t>
  </si>
  <si>
    <t>Leptotrichia_sp. [na]</t>
  </si>
  <si>
    <t>Capnocytophaga_periodontitidis [NCTC 13374]</t>
  </si>
  <si>
    <t>Cardiobacterium_hominis [NCTC10426]</t>
  </si>
  <si>
    <t>Capnocytophaga_sputigena [NCTC11097]</t>
  </si>
  <si>
    <t>Capnocytophaga_ochracea [NCTC11458]</t>
  </si>
  <si>
    <t>Capnocytophaga_ochracea [NCTC11545]</t>
  </si>
  <si>
    <t>Capnocytophaga_ochracea [NCTC11546]</t>
  </si>
  <si>
    <t>Capnocytophaga_sputigena [NCTC11653]</t>
  </si>
  <si>
    <t>Capnocytophaga_haemolytica [NCTC12947]</t>
  </si>
  <si>
    <t>Segatella_buccae [NCTC13063]</t>
  </si>
  <si>
    <t>Prevotella_denticola [NCTC13067]</t>
  </si>
  <si>
    <t>Eikenella_corrodens [NML120819]</t>
  </si>
  <si>
    <t>Bacteroides_heparinolyticus [OH_CDB_24]</t>
  </si>
  <si>
    <t>Bacteroides_heparinolyticus [OH_SBB_74]</t>
  </si>
  <si>
    <t>Bacteroides_heparinolyticus [OH1047_COT-310]</t>
  </si>
  <si>
    <t>Nanosynbacter_sp. [OHS0013]</t>
  </si>
  <si>
    <t>Segatella_maculosa [OT 289]</t>
  </si>
  <si>
    <t>Capnocytophaga_periodontitidis [p1a2]</t>
  </si>
  <si>
    <t>Schaalia_lingnae [ph3]</t>
  </si>
  <si>
    <t>Actinomyces_oris [S18M_Sa_13]</t>
  </si>
  <si>
    <t>Leptotrichia_hongkongensis [S18M_Sa_5]</t>
  </si>
  <si>
    <t>Arachnia_rubra [S18M_Sa_6]</t>
  </si>
  <si>
    <t>Prevotella_histicola [SCHI0006.S.13]</t>
  </si>
  <si>
    <t>Prevotella_melaninogenica [SCHI0009.S.5]</t>
  </si>
  <si>
    <t>Prevotella_histicola [SCHI0009.S.6]</t>
  </si>
  <si>
    <t>Prevotella_jejuni [SCHI0011.S.13]</t>
  </si>
  <si>
    <t>Prevotella_denticola [SCHI0021.S.9]</t>
  </si>
  <si>
    <t>Prevotella_melaninogenica [SCHI0027.S.11]</t>
  </si>
  <si>
    <t>Prevotella_denticola [SCHI0027.S.12]</t>
  </si>
  <si>
    <t>Prevotella_melaninogenica [SCHI0027.S.13]</t>
  </si>
  <si>
    <t>Prevotella_denticola [SCHI0027.S.14]</t>
  </si>
  <si>
    <t>Prevotella_melaninogenica [SCHI0027.S.6]</t>
  </si>
  <si>
    <t>Prevotella_histicola [SCHI0027.S.7]</t>
  </si>
  <si>
    <t>Prevotella_melaninogenica [SCHI0027.S.9]</t>
  </si>
  <si>
    <t>Prevotella_histicola [SCHI0028.S.1]</t>
  </si>
  <si>
    <t>Prevotella_histicola [SCHI0028.S.4]</t>
  </si>
  <si>
    <t>Prevotella_histicola [SCHI0034.S.10]</t>
  </si>
  <si>
    <t>Prevotella_histicola [SCHI0034.S.5]</t>
  </si>
  <si>
    <t>Prevotella_histicola [SCHI0034.S.6]</t>
  </si>
  <si>
    <t>Prevotella_denticola [SCHI0042.S.4]</t>
  </si>
  <si>
    <t>Prevotella_melaninogenica [SCHI0043.S.1]</t>
  </si>
  <si>
    <t>Prevotella_melaninogenica [SCHI0043.S.2]</t>
  </si>
  <si>
    <t>Prevotella_melaninogenica [SCHI0043.S.3]</t>
  </si>
  <si>
    <t>Prevotella_melaninogenica [SCHI0044.S.1]</t>
  </si>
  <si>
    <t>Prevotella_melaninogenica [SCHI0047.S.2]</t>
  </si>
  <si>
    <t>Segatella_buccae [SCHI0047.S.4]</t>
  </si>
  <si>
    <t>Prevotella_melaninogenica [SCHI0049.S.1]</t>
  </si>
  <si>
    <t>Arachnia_rubra [SK-1]</t>
  </si>
  <si>
    <t>Streptococcus_parasanguinis [SK236]</t>
  </si>
  <si>
    <t>Streptococcus_infantis [SK970]</t>
  </si>
  <si>
    <t>Nanosynbacter_sp. [TM7_HOT_352-SAG8]</t>
  </si>
  <si>
    <t>Nanosynbacter_sp. [TM7-001]</t>
  </si>
  <si>
    <t>Nanosynbacter_sp. [TM7-008]</t>
  </si>
  <si>
    <t>Nanosynbacter_sp. [TM7-033]</t>
  </si>
  <si>
    <t>Nanosynbacter_sp. [TM7-037]</t>
  </si>
  <si>
    <t>Nanosynbacter_sp. [TM7-053]</t>
  </si>
  <si>
    <t>Nanosynbacter_sp. [TM7-057]</t>
  </si>
  <si>
    <t>Nanosynbacter_sp. [TM7-072]</t>
  </si>
  <si>
    <t>Nanosynbacter_sp. [TM7-075]</t>
  </si>
  <si>
    <t>Nanosynbacter_sp. [TM7-076]</t>
  </si>
  <si>
    <t>Nanosynbacter_sp. [TM7-087]</t>
  </si>
  <si>
    <t>Nanosynbacter_lyticus [TM7x]</t>
  </si>
  <si>
    <t>Tannerella_forsythia [UB20]</t>
  </si>
  <si>
    <t>Tannerella_forsythia [UB22]</t>
  </si>
  <si>
    <t>Tannerella_forsythia [UB4]</t>
  </si>
  <si>
    <t>Actinomyces_oris [UMB0183]</t>
  </si>
  <si>
    <t>Actinomyces_graevenitzii [UMB0286]</t>
  </si>
  <si>
    <t>Pseudoleptotrichia_sp. [W10393]</t>
  </si>
  <si>
    <t>Capnocytophaga_ochracea [W10638]</t>
  </si>
  <si>
    <t>Capnocytophaga_ochracea [W10654]</t>
  </si>
  <si>
    <t>Actinomyces_oris [W11-1-1]</t>
  </si>
  <si>
    <t>Anaerolineae_[G1] [W11661]</t>
  </si>
  <si>
    <t>Prevotella_fusca [W1435]</t>
  </si>
  <si>
    <t>Prevotella_illustrans [W6195]</t>
  </si>
  <si>
    <t>Pseudoleptotrichia_sp. [W9775]</t>
  </si>
  <si>
    <t>Tannerella_forsythia [WW10960]</t>
  </si>
  <si>
    <t>Tannerella_forsythia [WW11663]</t>
  </si>
  <si>
    <t>Tannerella_forsythia [3313] AP013044.1_2347</t>
  </si>
  <si>
    <t>Tannerella_forsythia [3313] AP013044.1_155</t>
  </si>
  <si>
    <t>Tannerella_forsythia [9610] MEHX01000001.1_32</t>
  </si>
  <si>
    <t>Tannerella_forsythia [9610] MEHX01000002.1_19</t>
  </si>
  <si>
    <t>Capnocytophaga_periodontitidis [51621] JAEFDC010000001.1_17</t>
  </si>
  <si>
    <t>Capnocytophaga_periodontitidis [51621] JAEFDC010000001.1_298</t>
  </si>
  <si>
    <t>Capnocytophaga_periodontitidis [51621] JAEFDC010000001.1_122</t>
  </si>
  <si>
    <t>Absconditicoccaceae_[G1] […] JABCNX020000014.1_25</t>
  </si>
  <si>
    <t>Capnocytophaga_sputigena […] CALGFZ010000014.1_1</t>
  </si>
  <si>
    <t>Actinomyces_graevenitzii […] JAGZHL010000008.1_64</t>
  </si>
  <si>
    <t>Prevotella_melaninogenica […] CAJPJO010000003.1_134</t>
  </si>
  <si>
    <t>Leptotrichia_sp. […] CAKAQG010000020.1_13</t>
  </si>
  <si>
    <t>Schaalia_lingnae […] CALENC010000074.1_43</t>
  </si>
  <si>
    <t>Actinomyces_graevenitzii […] JAGZXT010000040.1_9</t>
  </si>
  <si>
    <t>Actinomyces_graevenitzii […] CAJPJJ010000023.1_5</t>
  </si>
  <si>
    <t>Pseudoleptotrichia_sp. […] CALLUC010000045.1_44</t>
  </si>
  <si>
    <t>Schaalia_lingnae […] JAGZNM010000023.1_8</t>
  </si>
  <si>
    <t>Pseudoleptotrichia_sp. […] CAJPTA010000275.1_2</t>
  </si>
  <si>
    <t>Leptotrichia_sp. […] CAKAFQ010000001.1_1779</t>
  </si>
  <si>
    <t>Leptotrichia_sp. […] CALBAS010000119.1_5</t>
  </si>
  <si>
    <t>Pseudoleptotrichia_sp. […] CAKAIB010000002.1_2072</t>
  </si>
  <si>
    <t>Prevotella_multiformis […] CALIID010000055.1_18</t>
  </si>
  <si>
    <t>Leptotrichia_sp. […] JAHAGV010000025.1_8</t>
  </si>
  <si>
    <t>Actinomyces_graevenitzii […] CAJZKW010000002.1_48</t>
  </si>
  <si>
    <t>Prevotella_melaninogenica […] CAJZLG010000001.1_72</t>
  </si>
  <si>
    <t>Absconditicoccaceae_[G1] […] JABCOM020000035.1_21</t>
  </si>
  <si>
    <t>Leptotrichia_sp. […] CALBAS010000014.1_2</t>
  </si>
  <si>
    <t>Paludibacteraceae_[G1] […] CAJPPW010000023.1_9</t>
  </si>
  <si>
    <t>Capnocytophaga_ochracea […] CALBCK010000091.1_4</t>
  </si>
  <si>
    <t>Prevotella_denticola […] CAJPSO010000005.1_61</t>
  </si>
  <si>
    <t>Peptidiphaga_sp. […] CALBCH010000023.1_234</t>
  </si>
  <si>
    <t>Actinomyces_oris […] CAJPSZ010000021.1_21</t>
  </si>
  <si>
    <t>Pseudoleptotrichia_sp. […] CALLUC010000059.1_5</t>
  </si>
  <si>
    <t>Peptidiphaga_sp. […] CAJPQB010000032.1_3</t>
  </si>
  <si>
    <t>Prevotella_melaninogenica […] CATNVM010000024.1_21</t>
  </si>
  <si>
    <t>Actinomyces_graevenitzii […] CAKMPM010000093.1_3</t>
  </si>
  <si>
    <t>Schaalia_lingnae […] CAJZHS010000062.1_3</t>
  </si>
  <si>
    <t>Actinomyces_oris […] CAKAHW010000018.1_249</t>
  </si>
  <si>
    <t>Actinomyces_graevenitzii […] CAKAPV010000042.1_15</t>
  </si>
  <si>
    <t>Prevotella_melaninogenica […] CAJPKL010000031.1_7</t>
  </si>
  <si>
    <t>Prevotella_multiformis […] CAMUPY010000061.1_2</t>
  </si>
  <si>
    <t>Prevotella_histicola […] JAGZXD010000010.1_13</t>
  </si>
  <si>
    <t>Alloprevotella_sp. […] CAKARG010000010.1_34</t>
  </si>
  <si>
    <t>Anaerolineae_[G1] […] CAJPNW010000001.1_79</t>
  </si>
  <si>
    <t>Anaerolineae_[G1] […] CAJPNW010000001.1_78</t>
  </si>
  <si>
    <t>Saccharimonas_sp. […] JABCOK020000001.1_35</t>
  </si>
  <si>
    <t>Peptidiphaga_sp. […] CAKMQE010000042.1_5</t>
  </si>
  <si>
    <t>Pseudoleptotrichia_sp. […] CAJPTA010000007.1_6</t>
  </si>
  <si>
    <t>Tannerella_forsythia […] CALHNL010000052.1_51</t>
  </si>
  <si>
    <t>Prevotella_histicola […] JAHAJH010000013.1_12</t>
  </si>
  <si>
    <t>Prevotella_jejuni […] CAKAFN010000001.1_1948</t>
  </si>
  <si>
    <t>Arachnia_rubra […] CAJPPP010000049.1_16</t>
  </si>
  <si>
    <t>Capnocytophaga_ochracea […] CALBCK010000144.1_1</t>
  </si>
  <si>
    <t>Tannerella_forsythia […] CAJPTF010000023.1_31</t>
  </si>
  <si>
    <t>Capnocytophaga_ochracea […] CAJPNJ010000066.1_10</t>
  </si>
  <si>
    <t>Capnocytophaga_periodontitidis […] CALIAT010000141.1_10</t>
  </si>
  <si>
    <t>Capnocytophaga_ochracea […] CAJPNJ010000096.1_4</t>
  </si>
  <si>
    <t>Prevotella_melaninogenica […] CAJZGV010000093.1_6</t>
  </si>
  <si>
    <t>Capnocytophaga_sputigena […] CAJPRX010000003.1_25</t>
  </si>
  <si>
    <t>Capnocytophaga_gingivalis […] CALAHR010000016.1_51</t>
  </si>
  <si>
    <t>Actinomyces_graevenitzii […] CALLSI010000002.1_35</t>
  </si>
  <si>
    <t>Actinomyces_graevenitzii […] CALIQV010000004.1_190</t>
  </si>
  <si>
    <t>Alloprevotella_sp. […] CALIHJ010000047.1_32</t>
  </si>
  <si>
    <t>Alloprevotella_sp. […] CALAHJ010000038.1_57</t>
  </si>
  <si>
    <t>Prevotella_melaninogenica […] CAKAHD010000002.1_1308</t>
  </si>
  <si>
    <t>Segatella_buccae […] JAHAJI010000002.1_94</t>
  </si>
  <si>
    <t>Prevotella_melaninogenica […] CALHLH010000011.1_7</t>
  </si>
  <si>
    <t>Segatella_buccae […] CALLWX010000003.1_131</t>
  </si>
  <si>
    <t>Prevotella_jejuni […] CALLVZ010000051.1_21</t>
  </si>
  <si>
    <t>Capnocytophaga_sputigena […] CAJPRX010000004.1_77</t>
  </si>
  <si>
    <t>Capnocytophaga_sp. […] CAJPNH010000068.1_4</t>
  </si>
  <si>
    <t>Actinomyces_oris […] CALJNX010000008.1_117</t>
  </si>
  <si>
    <t>Prevotella_veroralis […] CALHVO010000013.1_23</t>
  </si>
  <si>
    <t>Saccharimonas_sp. […] JABCOG020000121.1_3</t>
  </si>
  <si>
    <t>Segatella_buccae […] CAUFBI010000030.1_11</t>
  </si>
  <si>
    <t>Leptotrichia_sp. […] JAHAGV010000099.1_2</t>
  </si>
  <si>
    <t>Capnocytophaga_sputigena […] CALGFZ010000002.1_141</t>
  </si>
  <si>
    <t>Capnocytophaga_gingivalis […] CAJPPZ010000009.1_20</t>
  </si>
  <si>
    <t>Capnocytophaga_gingivalis […] CAMUQP010000005.1_25</t>
  </si>
  <si>
    <t>Capnocytophaga_periodontitidis […] CALIAT010000024.1_15</t>
  </si>
  <si>
    <t>Prevotella_denticola […] CAJPOG010000107.1_2</t>
  </si>
  <si>
    <t>Prevotella_denticola […] CALKRA010000061.1_74</t>
  </si>
  <si>
    <t>Prevotella_histicola […] CALLSE010000030.1_27</t>
  </si>
  <si>
    <t>Prevotella_histicola […] CAKAQX010000002.1_61</t>
  </si>
  <si>
    <t>Prevotella_histicola […] CAKMOA010000132.1_16</t>
  </si>
  <si>
    <t>Prevotella_histicola […] CATNVF010000178.1_3</t>
  </si>
  <si>
    <t>Saccharimonas_sp. […] JABCOK020000016.1_84</t>
  </si>
  <si>
    <t>Capnocytophaga_leadbetteri […] CAJPPO010000047.1_2</t>
  </si>
  <si>
    <t>Capnocytophaga_leadbetteri […] CAJZEI010000161.1_3</t>
  </si>
  <si>
    <t>Schaalia_hongkongensis […] CAJPRI010000033.1_16</t>
  </si>
  <si>
    <t>Schaalia_hongkongensis […] CALAIK010000104.1_2</t>
  </si>
  <si>
    <t>Saccharimonas_sp. […] JABCOK020000017.1_24</t>
  </si>
  <si>
    <t>Saccharimonas_sp. […] JABCOG020000031.1_3</t>
  </si>
  <si>
    <t>Prevotella_sp. […] CAJPSW010000012.1_8</t>
  </si>
  <si>
    <t>Prevotella_melaninogenica […] CALIRV010000054.1_35</t>
  </si>
  <si>
    <t>Prevotella_melaninogenica […] CAMPXV010000122.1_1</t>
  </si>
  <si>
    <t>Peptidiphaga_gingivicola […] CALIAP010000005.1_40</t>
  </si>
  <si>
    <t>Saccharimonas_sp. […] JABCOG020000079.1_3</t>
  </si>
  <si>
    <t>Rothia_mucilaginosa […] CAKAOT010000054.1_5</t>
  </si>
  <si>
    <t>Capnocytophaga_gingivalis […] CALAHR010000039.1_33</t>
  </si>
  <si>
    <t>Leptotrichia_sp. […] CALHZS010000109.1_3</t>
  </si>
  <si>
    <t>Pseudoleptotrichia_sp. […] CALLUC010000046.1_12</t>
  </si>
  <si>
    <t>Arachnia_rubra […] JABCOF020000067.1_15</t>
  </si>
  <si>
    <t>Arachnia_rubra […] CAKMPF010000137.1_23</t>
  </si>
  <si>
    <t>Arachnia_rubra […] CALJVG010000177.1_45</t>
  </si>
  <si>
    <t>Alloprevotella_sp. […] CAMURC010000032.1_14</t>
  </si>
  <si>
    <t>Segatella_maculosa […] CAJPPA010000007.1_25</t>
  </si>
  <si>
    <t>Segatella_buccae […] CATYZT010000009.1_23</t>
  </si>
  <si>
    <t>Segatella_buccae […] CALLWX010000007.1_76</t>
  </si>
  <si>
    <t>Segatella_buccae […] CAUFBI010000001.1_27</t>
  </si>
  <si>
    <t>Hoylesella_loescheii […] CALFPC010000022.1_31</t>
  </si>
  <si>
    <t>Segatella_buccae […] JAHAJI010000009.1_47</t>
  </si>
  <si>
    <t>Bacteroides_heparinolyticus […] CAMBOX010000026.1_11</t>
  </si>
  <si>
    <t>Hoylesella_loescheii […] CAJPTE010000005.1_3</t>
  </si>
  <si>
    <t>Bacteroides_heparinolyticus […] CALZWP010000026.1_11</t>
  </si>
  <si>
    <t>Segatella_maculosa […] CALBBY010000160.1_6</t>
  </si>
  <si>
    <t>Segatella_buccae […] CAUBAF010000089.1_2</t>
  </si>
  <si>
    <t>Bacteroides_heparinolyticus […] CAMEHQ010000036.1_5</t>
  </si>
  <si>
    <t>Prevotella_sp. […] CAJPSW010000018.1_9</t>
  </si>
  <si>
    <t>Capnocytophaga_ochracea […] CAJPNJ010000052.1_6</t>
  </si>
  <si>
    <t>Capnocytophaga_ochracea […] CALBCK010000143.1_6</t>
  </si>
  <si>
    <t>Capnocytophaga_leadbetteri […] JABCOI020000012.1_5</t>
  </si>
  <si>
    <t>Capnocytophaga_leadbetteri […] CALIIH010000002.1_66</t>
  </si>
  <si>
    <t>Phocaeicola_abscessus […] CAJPTI010000012.1_8</t>
  </si>
  <si>
    <t>Tannerella_forsythia […] CAJPTF010000006.1_17</t>
  </si>
  <si>
    <t>Tannerella_forsythia […] CALHNL010000032.1_51</t>
  </si>
  <si>
    <t>Bacteroides_heparinolyticus […] CALZWP010000066.1_2</t>
  </si>
  <si>
    <t>Capnocytophaga_sputigena […] CALGFZ010000002.1_55</t>
  </si>
  <si>
    <t>Capnocytophaga_periodontitidis […] CALIAT010000112.1_2</t>
  </si>
  <si>
    <t>Capnocytophaga_sputigena […] CAJPRX010000025.1_2</t>
  </si>
  <si>
    <t>Schaalia_lingnae [1093_SCAT] JWDF01000007.1_78</t>
  </si>
  <si>
    <t>Bacteroides_heparinolyticus [3012STDY7078512] CAACYH010000004.1_2121</t>
  </si>
  <si>
    <t>Capnocytophaga_ochracea [490_CAPN] JVFB01000033.1_4</t>
  </si>
  <si>
    <t>Capnocytophaga_ochracea [490_CAPN] JVFB01000004.1_1</t>
  </si>
  <si>
    <t>Capnocytophaga_ochracea [490_CAPN] JVFB01000068.1_62</t>
  </si>
  <si>
    <t>Cardiobacterium_hominis [598_FBAL] JVAR01000153.1_1</t>
  </si>
  <si>
    <t>Cardiobacterium_hominis [599_SSED] JVAQ01000123.1_1</t>
  </si>
  <si>
    <t>Cardiobacterium_hominis [612_ETAR] JVAB01000175.1_1</t>
  </si>
  <si>
    <t>Tannerella_forsythia [92A2] CP003191.1_2351</t>
  </si>
  <si>
    <t>Tannerella_forsythia [92A2] CP003191.1_173</t>
  </si>
  <si>
    <t>Prevotella_illustrans [A2931] JAERMS010000038.1_9</t>
  </si>
  <si>
    <t>Prevotella_denticola [AF51-2-b9A] JAQCZE010000007.1_71</t>
  </si>
  <si>
    <t>Capnocytophaga_periodontitidis [AHN 8751] JAESPJ010000026.1_59</t>
  </si>
  <si>
    <t>Capnocytophaga_periodontitidis [AHN 8751] JAESPJ010000006.1_196</t>
  </si>
  <si>
    <t>Capnocytophaga_periodontitidis [AHN 8751] JAESPJ010000027.1_5</t>
  </si>
  <si>
    <t>Capnocytophaga_periodontitidis [AHN 9528] JAESPI010000055.1_11</t>
  </si>
  <si>
    <t>Capnocytophaga_periodontitidis [AHN 9528] JAESPI010000045.1_4</t>
  </si>
  <si>
    <t>Capnocytophaga_periodontitidis [AHN 9798] JAESPH010000003.1_420</t>
  </si>
  <si>
    <t>Capnocytophaga_periodontitidis [AHN 9798] JAESPH010000002.1_214</t>
  </si>
  <si>
    <t>Capnocytophaga_periodontitidis [AHN 9798] JAESPH010000002.1_376</t>
  </si>
  <si>
    <t>Capnocytophaga_periodontitidis [AHN9576] JAEUAH010000001.1_59</t>
  </si>
  <si>
    <t>Capnocytophaga_periodontitidis [AHN9576] JAEUAH010000004.1_8</t>
  </si>
  <si>
    <t>Capnocytophaga_periodontitidis [AHN9576] JAEUAH010000007.1_44</t>
  </si>
  <si>
    <t>Streptococcus_parasanguinis [AM03-12X] JAQDHM010000012.1_4</t>
  </si>
  <si>
    <t>Streptococcus_parasanguinis [AM03-12X] JAQDHM010000008.1_83</t>
  </si>
  <si>
    <t>Streptococcus_parasanguinis [AM27-45] QSKM01000035.1_1</t>
  </si>
  <si>
    <t>Streptococcus_parasanguinis [AM27-45] QSKM01000011.1_1</t>
  </si>
  <si>
    <t>Cardiobacterium_hominis [ATCC 15826] GG694032.1_1</t>
  </si>
  <si>
    <t>Hoylesella_loescheii [ATCC 15930] KL205535.1_22</t>
  </si>
  <si>
    <t>Prevotella_melaninogenica [ATCC 25845] CP002122.1_1389</t>
  </si>
  <si>
    <t>Segatella_buccae [ATCC 33574] GL586311.1_2531</t>
  </si>
  <si>
    <t>Segatella_buccae [ATCC 33574] GL586311.1_558</t>
  </si>
  <si>
    <t>Capnocytophaga_gingivalis [ATCC 33624] ACLQ01000010.1_54</t>
  </si>
  <si>
    <t>Tannerella_forsythia [ATCC 43037] JUET01000076.1_79</t>
  </si>
  <si>
    <t>Tannerella_forsythia [ATCC 43037] VFJI01000001.1_1178</t>
  </si>
  <si>
    <t>Tannerella_forsythia [ATCC 43037] JUET01000092.1_53</t>
  </si>
  <si>
    <t>Tannerella_forsythia [ATCC 43037] VFJI01000001.1_264</t>
  </si>
  <si>
    <t>Peptidiphaga_gingivicola [BA112] LVZK01000001.1_1526</t>
  </si>
  <si>
    <t>Nanosynbacter_featherlites [BB001] CP040004.1_641</t>
  </si>
  <si>
    <t>Actinomyces_oris [BgEED02] CABFLV010000015.1_88</t>
  </si>
  <si>
    <t>Prevotella_melaninogenica [BgEED24] CABFMA010000009.1_2</t>
  </si>
  <si>
    <t>Schaalia_hongkongensis [bin_1] RBJH01000131.1_2</t>
  </si>
  <si>
    <t>Leptotrichia_sp. [bin_23] RBKD01000048.1_1</t>
  </si>
  <si>
    <t>Streptococcus_parasanguinis [BIOML-A12] WMYY01000005.1_223</t>
  </si>
  <si>
    <t>Streptococcus_parasanguinis [BIOML-A12] WMYY01000021.1_3</t>
  </si>
  <si>
    <t>Streptococcus_parasanguinis [BIOML-A2] WMZI01000003.1_173</t>
  </si>
  <si>
    <t>Streptococcus_parasanguinis [BIOML-A2] WMZI01000010.1_1</t>
  </si>
  <si>
    <t>Streptococcus_parasanguinis [BIOML-A4] WMZG01000003.1_173</t>
  </si>
  <si>
    <t>Streptococcus_parasanguinis [BIOML-A4] WMZG01000008.1_1</t>
  </si>
  <si>
    <t>Streptococcus_parasanguinis [BIOML-A6] WMZE01000005.1_1</t>
  </si>
  <si>
    <t>Streptococcus_parasanguinis [BIOML-A6] WMZE01000005.1_4</t>
  </si>
  <si>
    <t>Prevotella_jejuni [C561] JH114157.1_41</t>
  </si>
  <si>
    <t>Actinomyces_graevenitzii [C83] JH470339.1_212</t>
  </si>
  <si>
    <t>Capnocytophaga_sputigena [Capno] ABZV01000007.1_151</t>
  </si>
  <si>
    <t>Capnocytophaga_sputigena [Capno] ABZV01000002.1_115</t>
  </si>
  <si>
    <t>Capnocytophaga_haemolytica [CCUG 32990] CP014227.1_2338</t>
  </si>
  <si>
    <t>Capnocytophaga_haemolytica [CCUG 32990] CP014227.1_789</t>
  </si>
  <si>
    <t>Actinomyces_oris [CCUG 33920] MSKJ01000001.1_28</t>
  </si>
  <si>
    <t>Phocaeicola_abscessus [CCUG 55929] HE997182.1_416</t>
  </si>
  <si>
    <t>Prevotella_jejuni [CD3:33] CP023863.1_1626</t>
  </si>
  <si>
    <t>Capnocytophaga_periodontitidis [ChDC OS43] CP022022.1_3039</t>
  </si>
  <si>
    <t>Capnocytophaga_periodontitidis [ChDC OS43] CP022022.1_227</t>
  </si>
  <si>
    <t>Capnocytophaga_periodontitidis [ChDC OS43] CP022022.1_47</t>
  </si>
  <si>
    <t>Cardiobacterium_hominis [CHUV0807] FKLO01000052.1_2</t>
  </si>
  <si>
    <t>Segatella_buccae [CM02-06A] JAQETA010000007.1_54</t>
  </si>
  <si>
    <t>Segatella_buccae [CM02-06A] JAQETA010000002.1_130</t>
  </si>
  <si>
    <t>Segatella_buccae [CM02-09b3TA] JAQETB010000007.1_95</t>
  </si>
  <si>
    <t>Segatella_buccae [CM02-09b3TA] JAQETB010000001.1_224</t>
  </si>
  <si>
    <t>Actinomyces_oris [CNGBCC1804106] JAMZMG010000004.1_123</t>
  </si>
  <si>
    <t>Prevotella_denticola [CRIS 18C-A] AEXO01000095.1_68</t>
  </si>
  <si>
    <t>Capnocytophaga_sputigena [D1179] CP022379.1_1762</t>
  </si>
  <si>
    <t>Capnocytophaga_sputigena [D1179] CP022379.1_1672</t>
  </si>
  <si>
    <t>Segatella_buccae [D17] GG739939.1_6</t>
  </si>
  <si>
    <t>Segatella_buccae [D17] GG739929.1_126</t>
  </si>
  <si>
    <t>Prevotella_melaninogenica [D18] GG740010.1_332</t>
  </si>
  <si>
    <t>Prevotella_histicola [DNF00424] JRNJ01000055.1_34</t>
  </si>
  <si>
    <t>Prevotella_denticola [DNF00960] JRNO01000001.1_147</t>
  </si>
  <si>
    <t>Leptotrichia_buccalis [DSM 1135] CP001685.1_2144</t>
  </si>
  <si>
    <t>Capnocytophaga_haemolytica [DSM 11385] FOVX01000011.1_51</t>
  </si>
  <si>
    <t>Capnocytophaga_haemolytica [DSM 11385] FOVX01000002.1_16</t>
  </si>
  <si>
    <t>Prevotella_multiformis [DSM 16608] GL872283.1_214</t>
  </si>
  <si>
    <t>Segatella_baroniae [DSM 16972] AUFQ01000014.1_19</t>
  </si>
  <si>
    <t>Segatella_baroniae [DSM 16972] AUFQ01000005.1_122</t>
  </si>
  <si>
    <t>Prevotella_veroralis [DSM 19559] KB898331.1_113</t>
  </si>
  <si>
    <t>Hoylesella_loescheii [DSM 19665] KB899214.1_244</t>
  </si>
  <si>
    <t>Pseudoleptotrichia_goodfellowii [DSM 19756] KI911785.1_2206</t>
  </si>
  <si>
    <t>Leptotrichia_shahii [DSM 19757] KB890278.1_41</t>
  </si>
  <si>
    <t>Leptotrichia_wadei [DSM 19758] KB891079.1_4</t>
  </si>
  <si>
    <t>Prevotella_denticola [DSM 20614] ATWK01000006.1_77</t>
  </si>
  <si>
    <t>Leptotrichia_hofstadii [DSM 21651] AUAY01000020.1_4</t>
  </si>
  <si>
    <t>Alloprevotella_rava [DSM 22548] JACICA010000001.1_232</t>
  </si>
  <si>
    <t>Capnocytophaga_leadbetteri [DSM 22902] QBKG01000008.1_19</t>
  </si>
  <si>
    <t>Bacteroides_heparinolyticus [DSM 23917] SLXB01000040.1_3</t>
  </si>
  <si>
    <t>Prevotella_jejuni [DSM 26989] FZNZ01000032.1_4</t>
  </si>
  <si>
    <t>Schaalia_georgiae [DSM 6843] KE386870.1_246</t>
  </si>
  <si>
    <t>Capnocytophaga_ochracea [DSM 7271] CP001632.1_561</t>
  </si>
  <si>
    <t>Capnocytophaga_ochracea [DSM 7271] CP001632.1_587</t>
  </si>
  <si>
    <t>Capnocytophaga_ochracea [DSM 7271] CP001632.1_1126</t>
  </si>
  <si>
    <t>Arachnia_rubra [DSMZ 100122] CP072384.1_2380</t>
  </si>
  <si>
    <t>Actinomyces_oris [ET81] JAUDBR010000014.1_71</t>
  </si>
  <si>
    <t>Alloprevotella_sp. [F0040] KB290702.1_52</t>
  </si>
  <si>
    <t>Prevotella_sp. [F0054] CP072361.1_127</t>
  </si>
  <si>
    <t>Prevotella_sp. [F0054] CP072361.1_485</t>
  </si>
  <si>
    <t>Paludibacteraceae_[G1] [F0058] GG774890.1_10</t>
  </si>
  <si>
    <t>Segatella_baroniae [F0067] AWEY01000008.1_368</t>
  </si>
  <si>
    <t>Segatella_baroniae [F0067] AWEY01000008.1_70</t>
  </si>
  <si>
    <t>Capnocytophaga_leadbetteri [F0087] KN390011.1_9</t>
  </si>
  <si>
    <t>Prevotella_sp. [F0091] KI259594.1_3</t>
  </si>
  <si>
    <t>Prevotella_sp. [F0091] CP072360.1_265</t>
  </si>
  <si>
    <t>Prevotella_multiformis [F0096] CP072357.1_1163</t>
  </si>
  <si>
    <t>Prevotella_denticola [F0105] CP073339.1_268</t>
  </si>
  <si>
    <t>Prevotella_jejuni [F0106] CP072365.1_625</t>
  </si>
  <si>
    <t>Bacteroides_heparinolyticus [F0111] CP027234.1_465</t>
  </si>
  <si>
    <t>Prevotella_denticola [F0115] CP072374.1_1487</t>
  </si>
  <si>
    <t>Prevotella_denticola [F0119] CP072373.1_5</t>
  </si>
  <si>
    <t>Capnocytophaga_sp. [F0234] GL872413.1_246</t>
  </si>
  <si>
    <t>Leptotrichia_hofstadii [F0254] GG700633.1_126</t>
  </si>
  <si>
    <t>Leptotrichia_sp. [F0260] CP014231.1_1168</t>
  </si>
  <si>
    <t>Pseudoleptotrichia_goodfellowii [F0264] ADAD01000002.1_7</t>
  </si>
  <si>
    <t>Leptotrichia_wadei [F0279] KI271431.1_2</t>
  </si>
  <si>
    <t>Capnocytophaga_ochracea [F0287] GL573160.1_1402</t>
  </si>
  <si>
    <t>Capnocytophaga_ochracea [F0287] GL573160.1_1406</t>
  </si>
  <si>
    <t>Capnocytophaga_ochracea [F0287] GL573160.1_1911</t>
  </si>
  <si>
    <t>Prevotella_denticola [F0288] CP072371.1_1398</t>
  </si>
  <si>
    <t>Prevotella_denticola [F0289] CP002589.1_506</t>
  </si>
  <si>
    <t>Phocaeicola_abscessus [F0290] AUTU01000019.1_17</t>
  </si>
  <si>
    <t>Hoylesella_loescheii [F0295] GG704824.1_693</t>
  </si>
  <si>
    <t>Prevotella_melaninogenica [F0299] CP072354.1_45</t>
  </si>
  <si>
    <t>Prevotella_melaninogenica [F0299] CP072354.1_1397</t>
  </si>
  <si>
    <t>Prevotella_melaninogenica [F0300] CP072351.1_1564</t>
  </si>
  <si>
    <t>Prevotella_melaninogenica [F0300] CP072351.1_325</t>
  </si>
  <si>
    <t>Prevotella_melaninogenica [F0301] CP072349.1_147</t>
  </si>
  <si>
    <t>Prevotella_melaninogenica [F0301] CP072349.1_1255</t>
  </si>
  <si>
    <t>Prevotella_veroralis [F0319] CP072330.1_27</t>
  </si>
  <si>
    <t>Prevotella_veroralis [F0319] GG698713.1_272</t>
  </si>
  <si>
    <t>Alloprevotella_rava [F0323] JH376829.1_128</t>
  </si>
  <si>
    <t>Peptidiphaga_gingivicola [F0332] GG703879.1_802</t>
  </si>
  <si>
    <t>Peptidiphaga_gingivicola [F0332] CP040503.1_133</t>
  </si>
  <si>
    <t>Actinomyces_oris [F0337] CP040005.1_469</t>
  </si>
  <si>
    <t>Schaalia_lingnae [F0379] KB291553.1_679</t>
  </si>
  <si>
    <t>Capnocytophaga_periodontitidis [F0382] KB291425.1_13</t>
  </si>
  <si>
    <t>Capnocytophaga_periodontitidis [F0382] KB291387.1_32</t>
  </si>
  <si>
    <t>Capnocytophaga_periodontitidis [F0382] KB291470.1_77</t>
  </si>
  <si>
    <t>Capnocytophaga_ochracea [F0383] CP012589.1_1260</t>
  </si>
  <si>
    <t>Capnocytophaga_ochracea [F0383] CP012589.1_1282</t>
  </si>
  <si>
    <t>Capnocytophaga_ochracea [F0383] CP012589.1_1887</t>
  </si>
  <si>
    <t>Streptococcus_parasanguinis [F0405] AEKM01000012.1_170</t>
  </si>
  <si>
    <t>Streptococcus_parasanguinis [F0405] AEKM01000012.1_173</t>
  </si>
  <si>
    <t>Prevotella_histicola [F0411] JH376764.1_47</t>
  </si>
  <si>
    <t>Prevotella_histicola [F0411] CP072367.1_63</t>
  </si>
  <si>
    <t>Capnocytophaga_ochracea [F0483] KB291492.1_10</t>
  </si>
  <si>
    <t>Capnocytophaga_ochracea [F0483] KB291531.1_17</t>
  </si>
  <si>
    <t>Capnocytophaga_ochracea [F0483] KB291533.1_10</t>
  </si>
  <si>
    <t>Capnocytophaga_ochracea [F0486] AKFR01000037.1_73</t>
  </si>
  <si>
    <t>Capnocytophaga_ochracea [F0486] AKFR01000012.1_12</t>
  </si>
  <si>
    <t>Capnocytophaga_ochracea [F0486] AKFR01000015.1_107</t>
  </si>
  <si>
    <t>Capnocytophaga_ochracea [F0487] AJZR01000002.1_35</t>
  </si>
  <si>
    <t>Capnocytophaga_ochracea [F0487] AJZR01000023.1_2</t>
  </si>
  <si>
    <t>Capnocytophaga_ochracea [F0487] AJZR01000053.1_34</t>
  </si>
  <si>
    <t>Capnocytophaga_ochracea [F0488] KB291225.1_1</t>
  </si>
  <si>
    <t>Capnocytophaga_ochracea [F0488] KB291243.1_16</t>
  </si>
  <si>
    <t>Capnocytophaga_ochracea [F0488] KB291185.1_76</t>
  </si>
  <si>
    <t>Actinomyces_oris [F0496] CP058259.1_421</t>
  </si>
  <si>
    <t>Capnocytophaga_ochracea [F0502] KE150488.1_12</t>
  </si>
  <si>
    <t>Capnocytophaga_ochracea [F0502] KE150494.1_73</t>
  </si>
  <si>
    <t>Capnocytophaga_ochracea [F0502] KE150488.1_512</t>
  </si>
  <si>
    <t>Capnocytophaga_ochracea [F0512] CP027232.1_1840</t>
  </si>
  <si>
    <t>Capnocytophaga_ochracea [F0512] CP027232.1_1863</t>
  </si>
  <si>
    <t>Capnocytophaga_ochracea [F0512] CP027232.1_1319</t>
  </si>
  <si>
    <t>Prevotella_melaninogenica [F0516] CP072348.1_1325</t>
  </si>
  <si>
    <t>Actinomyces_graevenitzii [F0530] KE951502.1_204</t>
  </si>
  <si>
    <t>Schaalia_hongkongensis [F0543] CP130059.1_718</t>
  </si>
  <si>
    <t>Capnocytophaga_sp. [F0545] CP027229.1_1515</t>
  </si>
  <si>
    <t>Peptidiphaga_sp. [F0552] KE951428.1_85</t>
  </si>
  <si>
    <t>Leptotrichia_sp. [F0557] KI271337.1_7</t>
  </si>
  <si>
    <t>Leptotrichia_sp. [F0581] KI272920.1_1</t>
  </si>
  <si>
    <t>Leptotrichia_sp. [F0590] CP016753.1_720</t>
  </si>
  <si>
    <t>Prevotella_jejuni [F0648] PYXE01000001.1_2038</t>
  </si>
  <si>
    <t>Prevotella_melaninogenica [F0692] CP072345.1_286</t>
  </si>
  <si>
    <t>Prevotella_melaninogenica [F0695] CP072343.1_1413</t>
  </si>
  <si>
    <t>Prevotella_jejuni [F0697] CP072363.1_1066</t>
  </si>
  <si>
    <t>Leptotrichia_sp. [F0703] JABXYV010000001.1_2150</t>
  </si>
  <si>
    <t>Leptotrichia_sp. [F0705] CP072378.1_1731</t>
  </si>
  <si>
    <t>Leptotrichia_sp. [F0707] CP072377.1_1974</t>
  </si>
  <si>
    <t>Leptotrichia_sp. [F0708] JABXYU010000001.1_1156</t>
  </si>
  <si>
    <t>Actinomyces_oris [F4D1] MSQE01000004.1_19</t>
  </si>
  <si>
    <t>Capnocytophaga_ochracea [FDAARGOS_1468] CP082870.1_1763</t>
  </si>
  <si>
    <t>Capnocytophaga_ochracea [FDAARGOS_1468] CP082870.1_1789</t>
  </si>
  <si>
    <t>Capnocytophaga_ochracea [FDAARGOS_1468] CP082870.1_142</t>
  </si>
  <si>
    <t>Capnocytophaga_ochracea [FDAARGOS_1550] CP085961.1_1061</t>
  </si>
  <si>
    <t>Capnocytophaga_ochracea [FDAARGOS_1550] CP085961.1_1065</t>
  </si>
  <si>
    <t>Capnocytophaga_ochracea [FDAARGOS_1550] CP085961.1_1568</t>
  </si>
  <si>
    <t>Prevotella_melaninogenica [FDAARGOS_1566] CP085942.1_1106</t>
  </si>
  <si>
    <t>Prevotella_melaninogenica [FDAARGOS_306] CP022040.2_4</t>
  </si>
  <si>
    <t>Capnocytophaga_leadbetteri [FDAARGOS_737] CP046316.1_2236</t>
  </si>
  <si>
    <t>Prevotella_melaninogenica [FDAARGOS_760] CP054011.1_1341</t>
  </si>
  <si>
    <t>Prevotella_melaninogenica [GAI 07411] AP018049.1_1341</t>
  </si>
  <si>
    <t>Capnocytophaga_gingivalis [H1496] CP022386.1_1507</t>
  </si>
  <si>
    <t>Capnocytophaga_sputigena [H4486] CP022383.1_1982</t>
  </si>
  <si>
    <t>Capnocytophaga_sputigena [H4486] CP022383.1_1795</t>
  </si>
  <si>
    <t>Capnocytophaga_sputigena [H4486] CP022383.1_1885</t>
  </si>
  <si>
    <t>Capnocytophaga_leadbetteri [H6253] CP022384.1_1071</t>
  </si>
  <si>
    <t>Capnocytophaga_sputigena [H6490] NIBW01000001.1_339</t>
  </si>
  <si>
    <t>Capnocytophaga_sputigena [H6490] NIBW01000001.1_530</t>
  </si>
  <si>
    <t>Capnocytophaga_sputigena [H6490] NIBW01000001.1_445</t>
  </si>
  <si>
    <t>Actinomyces_oris [HMT 175] CP068012.1_432</t>
  </si>
  <si>
    <t>Leptotrichia_sp. [HMT-225] CP130323.1_247</t>
  </si>
  <si>
    <t>Capnocytophaga_ochracea [Holt 25] AKFV01000025.1_22</t>
  </si>
  <si>
    <t>Capnocytophaga_ochracea [Holt 25] AKFV01000025.1_26</t>
  </si>
  <si>
    <t>Capnocytophaga_ochracea [Holt 25] AKFV01000021.1_32</t>
  </si>
  <si>
    <t>Prevotella_melaninogenica [ICM33] JACD01000054.1_33</t>
  </si>
  <si>
    <t>Hoylesella_loescheii [JCM 12249] BAJB01000012.1_49</t>
  </si>
  <si>
    <t>Segatella_baroniae [JCM 13447] BAJF01000022.1_22</t>
  </si>
  <si>
    <t>Segatella_baroniae [JCM 13447] BAJF01000020.1_49</t>
  </si>
  <si>
    <t>Prevotella_denticola [JCM 13449] BAJG01000001.1_85</t>
  </si>
  <si>
    <t>Prevotella_histicola [JCM 15637] BAJX01000018.1_20</t>
  </si>
  <si>
    <t>Prevotella_fusca [JCM 17724] BAKO01000029.1_14</t>
  </si>
  <si>
    <t>Prevotella_veroralis [JCM 6290] BAIP01000010.1_60</t>
  </si>
  <si>
    <t>Pseudoleptotrichia_goodfellowii [JCM16774] AP019822.1_2182</t>
  </si>
  <si>
    <t>Leptotrichia_hofstadii [JCM16775] AP019823.1_2220</t>
  </si>
  <si>
    <t>Leptotrichia_shahii [JCM16776] AP019827.1_92</t>
  </si>
  <si>
    <t>Leptotrichia_wadei [JCM16777] AP019829.2_2003</t>
  </si>
  <si>
    <t>Nanosynbacter_sp. [JCVI_1_bin.14] JABZKA010000003.1_159</t>
  </si>
  <si>
    <t>Nanosynbacter_sp. [JCVI_1_bin.14] JABZKA010000003.1_158</t>
  </si>
  <si>
    <t>Prevotella_histicola [JCVI_10_bin.9] JABZSL010000001.1_230</t>
  </si>
  <si>
    <t>Schaalia_lingnae [JCVI_11_bin.15] JABZGJ010000083.1_3</t>
  </si>
  <si>
    <t>Prevotella_melaninogenica [JCVI_13_bin.7] JABZWH010000010.1_30</t>
  </si>
  <si>
    <t>Prevotella_melaninogenica [JCVI_18_bin.4] JABZWL010000006.1_35</t>
  </si>
  <si>
    <t>Prevotella_histicola [JCVI_23_bin.9] JABZSO010000009.1_61</t>
  </si>
  <si>
    <t>Prevotella_melaninogenica [JCVI_27_bin.6] JABZWP010000004.1_115</t>
  </si>
  <si>
    <t>Prevotella_histicola [JCVI_31A_bin.21] JABZSR010000010.1_39</t>
  </si>
  <si>
    <t>Prevotella_histicola [JCVI_31A_bin.21] JABZSR010000081.1_1</t>
  </si>
  <si>
    <t>Actinomyces_graevenitzii [JCVI_32_bin.45] JABZGB010000026.1_1</t>
  </si>
  <si>
    <t>Saccharimonas_sp. [JCVI_32_bin.57] JABZJS010000001.1_81</t>
  </si>
  <si>
    <t>Saccharimonas_sp. [JCVI_32_bin.57] JABZJS010000025.1_5</t>
  </si>
  <si>
    <t>Saccharimonas_sp. [JCVI_32_bin.57] JABZJS010000022.1_2</t>
  </si>
  <si>
    <t>Saccharimonas_sp. [JCVI_32_bin.57] JABZJS010000005.1_22</t>
  </si>
  <si>
    <t>Prevotella_denticola [JCVI_32_bin.7] JABZSK010000002.1_42</t>
  </si>
  <si>
    <t>Prevotella_melaninogenica [JCVI_33_bin.7] JABZWR010000010.1_44</t>
  </si>
  <si>
    <t>Prevotella_melaninogenica [JCVI_34_bin.5] JABZWS010000070.1_3</t>
  </si>
  <si>
    <t>Prevotella_melaninogenica [JCVI_35_bin.7] JABZWT010000004.1_35</t>
  </si>
  <si>
    <t>Prevotella_melaninogenica [JCVI_36_bin.6] JABZWU010000008.1_31</t>
  </si>
  <si>
    <t>Prevotella_melaninogenica [JCVI_37_bin.4] JABZWV010000007.1_6</t>
  </si>
  <si>
    <t>Prevotella_histicola [JCVI_37_bin.5] JABZST010000031.1_7</t>
  </si>
  <si>
    <t>Schaalia_lingnae [JCVI_38_bin.7] JABZGH010000001.1_48</t>
  </si>
  <si>
    <t>Prevotella_melaninogenica [JCVI_41_bin.15] JABZSZ010000090.1_4</t>
  </si>
  <si>
    <t>Prevotella_histicola [JCVI_43_bin.10] JABZSV010000019.1_18</t>
  </si>
  <si>
    <t>Rothia_mucilaginosa [JCVI_44_bin.2] JABZXR010000050.1_16</t>
  </si>
  <si>
    <t>Prevotella_histicola [JCVI_7_bin.12] JABZSX010000003.1_82</t>
  </si>
  <si>
    <t>Prevotella_melaninogenica [JCVI_9_bin.4] JABZWZ010000007.1_11</t>
  </si>
  <si>
    <t>Prevotella_histicola [JCVI_9_bin.7] JABZSY010000004.1_58</t>
  </si>
  <si>
    <t>Leptotrichia_wadei [JMUB3933] AP019834.1_2071</t>
  </si>
  <si>
    <t>Leptotrichia_wadei [JMUB3933] AP019834.1_149</t>
  </si>
  <si>
    <t>Leptotrichia_wadei [JMUB3934] AP019835.1_2159</t>
  </si>
  <si>
    <t>Leptotrichia_sp. [JMUB3936] AP019841.1_2093</t>
  </si>
  <si>
    <t>Leptotrichia_hongkongensis [JMUB5056] AP019846.1_68</t>
  </si>
  <si>
    <t>Actinomyces_oris [K20] BABV01000514.1_8</t>
  </si>
  <si>
    <t>Actinomyces_oris [K20] AP025590.1_479</t>
  </si>
  <si>
    <t>Leptotrichia_wadei [KA00185] KQ960105.1_1</t>
  </si>
  <si>
    <t>Leptotrichia_wadei [KA00185] KQ960074.1_1</t>
  </si>
  <si>
    <t>Nanosynbacter_sp. [KC1] CP089520.1_607</t>
  </si>
  <si>
    <t>Nanosynbacter_sp. [KC1] CP089520.1_608</t>
  </si>
  <si>
    <t>Capnocytophaga_sputigena [KC1668] CP022385.1_1838</t>
  </si>
  <si>
    <t>Capnocytophaga_sputigena [KC1668] CP022385.1_1747</t>
  </si>
  <si>
    <t>Prevotella_denticola [KCOM 1525] CP032056.1_965</t>
  </si>
  <si>
    <t>Capnocytophaga_ochracea [KCOM 2191] CP110228.1_57</t>
  </si>
  <si>
    <t>Capnocytophaga_ochracea [KCOM 2191] CP110228.1_84</t>
  </si>
  <si>
    <t>Capnocytophaga_ochracea [KCOM 2191] CP110228.1_603</t>
  </si>
  <si>
    <t>Capnocytophaga_ochracea [KCOM 26681] CP110229.1_653</t>
  </si>
  <si>
    <t>Capnocytophaga_ochracea [KCOM 26681] CP110229.1_676</t>
  </si>
  <si>
    <t>Capnocytophaga_ochracea [KCOM 26681] CP110229.1_152</t>
  </si>
  <si>
    <t>Capnocytophaga_ochracea [KCOM 28121] CP110230.1_1650</t>
  </si>
  <si>
    <t>Capnocytophaga_ochracea [KCOM 28121] CP110230.1_1676</t>
  </si>
  <si>
    <t>Capnocytophaga_ochracea [KCOM 28121] CP110230.1_1106</t>
  </si>
  <si>
    <t>Tannerella_forsythia [KS16] AP013045.1_2419</t>
  </si>
  <si>
    <t>Tannerella_forsythia [KS16] AP013045.1_217</t>
  </si>
  <si>
    <t>Alloprevotella_sp. [Marseille-P2826] LT608321.1_1682</t>
  </si>
  <si>
    <t>Leptotrichia_sp. [Marseille-P3007] FNVZ01000003.1_101</t>
  </si>
  <si>
    <t>Segatella_buccae [MGYG-HGUT-00289] CABPVU010000002.1_112</t>
  </si>
  <si>
    <t>Segatella_buccae [MGYG-HGUT-00289] CABPVU010000050.1_9</t>
  </si>
  <si>
    <t>Schaalia_lingnae [MGYG-HGUT-01411] CABKRD010000010.1_73</t>
  </si>
  <si>
    <t>Alloprevotella_sp. [MGYG-HGUT-01557] CABKWU010000006.1_1682</t>
  </si>
  <si>
    <t>Actinomyces_graevenitzii [MGYG-HGUT-02941] CABSUF010000012.1_36</t>
  </si>
  <si>
    <t>Actinomyces_graevenitzii [MGYG-HGUT-03014] CABSXG010000004.1_32</t>
  </si>
  <si>
    <t>Capnocytophaga_ochracea [MGYG-HGUT-03119] CABTAG010000070.1_8</t>
  </si>
  <si>
    <t>Capnocytophaga_ochracea [MGYG-HGUT-03119] CABTAG010000071.1_10</t>
  </si>
  <si>
    <t>Capnocytophaga_ochracea [MGYG-HGUT-03119] CABTAG010000052.1_6</t>
  </si>
  <si>
    <t>Prevotella_denticola [MGYG-HGUT-03152] CABTBH010000007.1_35</t>
  </si>
  <si>
    <t>Prevotella_melaninogenica [MGYG-HGUT-03287] CABTGN010000079.1_6</t>
  </si>
  <si>
    <t>Alloprevotella_sp. [MGYG-HGUT-04638] CABVDX010000029.1_4</t>
  </si>
  <si>
    <t>Segatella_buccae [MSX73] ALJQ01000015.1_69</t>
  </si>
  <si>
    <t>Segatella_buccae [MSX73] ALJQ01000024.1_142</t>
  </si>
  <si>
    <t>Segatella_buccae [N1167.1] JAUUQB010000004.1_74</t>
  </si>
  <si>
    <t>Leptotrichia_sp. [na] CABFLH010000008.1_35</t>
  </si>
  <si>
    <t>Capnocytophaga_periodontitidis [NCTC 13374] JAESPK010000027.1_13</t>
  </si>
  <si>
    <t>Capnocytophaga_periodontitidis [NCTC 13374] JAESPK010000025.1_2</t>
  </si>
  <si>
    <t>Capnocytophaga_periodontitidis [NCTC 13374] JAESPK010000015.1_29</t>
  </si>
  <si>
    <t>Cardiobacterium_hominis [NCTC10426] LR134365.1_2381</t>
  </si>
  <si>
    <t>Capnocytophaga_sputigena [NCTC11097] LR134489.1_1896</t>
  </si>
  <si>
    <t>Capnocytophaga_sputigena [NCTC11097] LR134489.1_1715</t>
  </si>
  <si>
    <t>Capnocytophaga_sputigena [NCTC11097] LR134489.1_1804</t>
  </si>
  <si>
    <t>Capnocytophaga_ochracea [NCTC11458] UYIQ01000001.1_823</t>
  </si>
  <si>
    <t>Capnocytophaga_ochracea [NCTC11458] UYIQ01000001.1_1672</t>
  </si>
  <si>
    <t>Capnocytophaga_ochracea [NCTC11458] UYIQ01000001.1_1330</t>
  </si>
  <si>
    <t>Capnocytophaga_ochracea [NCTC11545] UAVS01000001.1_740</t>
  </si>
  <si>
    <t>Capnocytophaga_ochracea [NCTC11545] UAVS01000001.1_713</t>
  </si>
  <si>
    <t>Capnocytophaga_ochracea [NCTC11545] UAVS01000001.1_136</t>
  </si>
  <si>
    <t>Capnocytophaga_ochracea [NCTC11546] UARG01000017.1_911</t>
  </si>
  <si>
    <t>Capnocytophaga_ochracea [NCTC11546] UARG01000017.1_934</t>
  </si>
  <si>
    <t>Capnocytophaga_ochracea [NCTC11546] UARG01000017.1_1456</t>
  </si>
  <si>
    <t>Capnocytophaga_sputigena [NCTC11653] UAVP01000008.1_151</t>
  </si>
  <si>
    <t>Capnocytophaga_sputigena [NCTC11653] UAVP01000008.1_244</t>
  </si>
  <si>
    <t>Capnocytophaga_haemolytica [NCTC12947] LT906449.1_1815</t>
  </si>
  <si>
    <t>Capnocytophaga_haemolytica [NCTC12947] LT906449.1_937</t>
  </si>
  <si>
    <t>Segatella_buccae [NCTC13063] UGTJ01000001.1_1583</t>
  </si>
  <si>
    <t>Prevotella_denticola [NCTC13067] UGTM01000001.1_1561</t>
  </si>
  <si>
    <t>Eikenella_corrodens [NML120819] LXSH01000028.1_32</t>
  </si>
  <si>
    <t>Bacteroides_heparinolyticus [OH_CDB_24] JAEZJU010000009.1_24</t>
  </si>
  <si>
    <t>Bacteroides_heparinolyticus [OH_SBB_74] JAFADK010000084.1_11</t>
  </si>
  <si>
    <t>Bacteroides_heparinolyticus [OH1047_COT-310] RQYF01000021.1_6</t>
  </si>
  <si>
    <t>Nanosynbacter_sp. [OHS0013] JAGTWK010000002.1_39</t>
  </si>
  <si>
    <t>Nanosynbacter_sp. [OHS0013] JAGTWK010000002.1_38</t>
  </si>
  <si>
    <t>Segatella_maculosa [OT 289] JH594501.1_223</t>
  </si>
  <si>
    <t>Capnocytophaga_periodontitidis [p1a2] JAEFDB010000002.1_148</t>
  </si>
  <si>
    <t>Capnocytophaga_periodontitidis [p1a2] JAEFDB010000003.1_72</t>
  </si>
  <si>
    <t>Capnocytophaga_periodontitidis [p1a2] JAEFDB010000002.1_311</t>
  </si>
  <si>
    <t>Schaalia_lingnae [ph3] CAGY01000001.1_73</t>
  </si>
  <si>
    <t>Actinomyces_oris [S18M_Sa_13] JAUMZT010000024.1_30</t>
  </si>
  <si>
    <t>Leptotrichia_hongkongensis [S18M_Sa_5] JAUMZZ010000014.1_2</t>
  </si>
  <si>
    <t>Leptotrichia_hongkongensis [S18M_Sa_5] JAUMZZ010000004.1_74</t>
  </si>
  <si>
    <t>Arachnia_rubra [S18M_Sa_6] JAUNAA010000005.1_57</t>
  </si>
  <si>
    <t>Prevotella_histicola [SCHI0006.S.13] JAHXCX010000019.1_43</t>
  </si>
  <si>
    <t>Prevotella_melaninogenica [SCHI0009.S.5] JAHXCW010000010.1_39</t>
  </si>
  <si>
    <t>Prevotella_histicola [SCHI0009.S.6] JAHXCV010000001.1_41</t>
  </si>
  <si>
    <t>Prevotella_jejuni [SCHI0011.S.13] JAHXCS010000033.1_34</t>
  </si>
  <si>
    <t>Prevotella_denticola [SCHI0021.S.9] JAHXCQ010000002.1_85</t>
  </si>
  <si>
    <t>Prevotella_melaninogenica [SCHI0027.S.11] JAHXCM010000003.1_45</t>
  </si>
  <si>
    <t>Prevotella_denticola [SCHI0027.S.12] JAHXCL010000001.1_123</t>
  </si>
  <si>
    <t>Prevotella_melaninogenica [SCHI0027.S.13] JAHXCK010000003.1_96</t>
  </si>
  <si>
    <t>Prevotella_denticola [SCHI0027.S.14] JAHXCJ010000001.1_123</t>
  </si>
  <si>
    <t>Prevotella_melaninogenica [SCHI0027.S.6] JAHXCP010000002.1_212</t>
  </si>
  <si>
    <t>Prevotella_histicola [SCHI0027.S.7] JAHXCO010000001.1_295</t>
  </si>
  <si>
    <t>Prevotella_melaninogenica [SCHI0027.S.9] JAHXCN010000003.1_96</t>
  </si>
  <si>
    <t>Prevotella_histicola [SCHI0028.S.1] JAHXCI010000015.1_33</t>
  </si>
  <si>
    <t>Prevotella_histicola [SCHI0028.S.4] JAHXCH010000014.1_33</t>
  </si>
  <si>
    <t>Prevotella_histicola [SCHI0034.S.10] JAHXRE010000011.1_39</t>
  </si>
  <si>
    <t>Prevotella_histicola [SCHI0034.S.5] JAHXCF010000011.1_37</t>
  </si>
  <si>
    <t>Prevotella_histicola [SCHI0034.S.6] JAHXRH010000017.1_8</t>
  </si>
  <si>
    <t>Prevotella_denticola [SCHI0042.S.4] JAHXRC010000002.1_92</t>
  </si>
  <si>
    <t>Prevotella_melaninogenica [SCHI0043.S.1] JAHXRA010000010.1_78</t>
  </si>
  <si>
    <t>Prevotella_melaninogenica [SCHI0043.S.2] JAHXCD010000010.1_35</t>
  </si>
  <si>
    <t>Prevotella_melaninogenica [SCHI0043.S.3] JAHXCC010000010.1_35</t>
  </si>
  <si>
    <t>Prevotella_melaninogenica [SCHI0044.S.1] JAHXQZ010000009.1_60</t>
  </si>
  <si>
    <t>Prevotella_melaninogenica [SCHI0047.S.2] JAHXCE010000010.1_7</t>
  </si>
  <si>
    <t>Segatella_buccae [SCHI0047.S.4] JAHXQX010000008.1_67</t>
  </si>
  <si>
    <t>Segatella_buccae [SCHI0047.S.4] JAHXQX010000002.1_128</t>
  </si>
  <si>
    <t>Prevotella_melaninogenica [SCHI0049.S.1] JAHXQW010000020.1_40</t>
  </si>
  <si>
    <t>Arachnia_rubra [SK-1] AP024463.1_2375</t>
  </si>
  <si>
    <t>Streptococcus_parasanguinis [SK236] AFUC01000015.1_34</t>
  </si>
  <si>
    <t>Streptococcus_parasanguinis [SK236] AFUC01000015.1_31</t>
  </si>
  <si>
    <t>Streptococcus_infantis [SK970] AFUT01000003.1_98</t>
  </si>
  <si>
    <t>Nanosynbacter_sp. [TM7_HOT_352-SAG8] SDRM01000007.1_30</t>
  </si>
  <si>
    <t>Nanosynbacter_sp. [TM7_HOT_352-SAG8] SDRM01000007.1_29</t>
  </si>
  <si>
    <t>Nanosynbacter_sp. [TM7-001] CP089290.1_89</t>
  </si>
  <si>
    <t>Nanosynbacter_sp. [TM7-001] CP089290.1_90</t>
  </si>
  <si>
    <t>Nanosynbacter_sp. [TM7-008] JAJQJV010000002.1_23</t>
  </si>
  <si>
    <t>Nanosynbacter_sp. [TM7-008] JAJQJV010000002.1_24</t>
  </si>
  <si>
    <t>Nanosynbacter_sp. [TM7-033] JAJQJR010000003.1_189</t>
  </si>
  <si>
    <t>Nanosynbacter_sp. [TM7-033] JAJQJR010000003.1_188</t>
  </si>
  <si>
    <t>Nanosynbacter_sp. [TM7-037] CP089288.1_205</t>
  </si>
  <si>
    <t>Nanosynbacter_sp. [TM7-037] CP089288.1_204</t>
  </si>
  <si>
    <t>Nanosynbacter_sp. [TM7-053] JAJQJX010000001.1_506</t>
  </si>
  <si>
    <t>Nanosynbacter_sp. [TM7-053] JAJQJX010000001.1_505</t>
  </si>
  <si>
    <t>Nanosynbacter_sp. [TM7-057] JAJQJT010000001.1_359</t>
  </si>
  <si>
    <t>Nanosynbacter_sp. [TM7-057] JAJQJT010000001.1_360</t>
  </si>
  <si>
    <t>Nanosynbacter_sp. [TM7-072] CP089289.1_22</t>
  </si>
  <si>
    <t>Nanosynbacter_sp. [TM7-072] CP089289.1_21</t>
  </si>
  <si>
    <t>Nanosynbacter_sp. [TM7-075] JAJQJW010000002.1_309</t>
  </si>
  <si>
    <t>Nanosynbacter_sp. [TM7-075] JAJQJW010000002.1_310</t>
  </si>
  <si>
    <t>Nanosynbacter_sp. [TM7-076] JAJQJS010000002.1_305</t>
  </si>
  <si>
    <t>Nanosynbacter_sp. [TM7-076] JAJQJS010000002.1_304</t>
  </si>
  <si>
    <t>Nanosynbacter_sp. [TM7-087] JAJQJU010000003.1_16</t>
  </si>
  <si>
    <t>Nanosynbacter_sp. [TM7-087] JAJQJU010000003.1_17</t>
  </si>
  <si>
    <t>Nanosynbacter_lyticus [TM7x] CP007496.1_681</t>
  </si>
  <si>
    <t>Nanosynbacter_lyticus [TM7x] CP040011.1_687</t>
  </si>
  <si>
    <t>Tannerella_forsythia [UB20] FMMM01000078.1_84</t>
  </si>
  <si>
    <t>Tannerella_forsythia [UB20] FMMM01000014.1_28</t>
  </si>
  <si>
    <t>Tannerella_forsythia [UB22] FMML01000082.1_32</t>
  </si>
  <si>
    <t>Tannerella_forsythia [UB22] FMML01000005.1_18</t>
  </si>
  <si>
    <t>Tannerella_forsythia [UB4] FMMN01000061.1_101</t>
  </si>
  <si>
    <t>Tannerella_forsythia [UB4] FMMN01000012.1_17</t>
  </si>
  <si>
    <t>Actinomyces_oris [UMB0183] PKKL01000003.1_28</t>
  </si>
  <si>
    <t>Actinomyces_graevenitzii [UMB0286] PNHV01000005.1_49</t>
  </si>
  <si>
    <t>Pseudoleptotrichia_sp. [W10393] CP012410.1_2172</t>
  </si>
  <si>
    <t>Pseudoleptotrichia_sp. [W10393] CP012410.1_743</t>
  </si>
  <si>
    <t>Capnocytophaga_ochracea [W10638] CP058261.1_832</t>
  </si>
  <si>
    <t>Capnocytophaga_ochracea [W10638] CP058261.1_860</t>
  </si>
  <si>
    <t>Capnocytophaga_ochracea [W10638] CP058261.1_1509</t>
  </si>
  <si>
    <t>Capnocytophaga_ochracea [W10654] JABXYW010000002.1_538</t>
  </si>
  <si>
    <t>Capnocytophaga_ochracea [W10654] JABXYW010000002.1_562</t>
  </si>
  <si>
    <t>Capnocytophaga_ochracea [W10654] JABXYW010000002.1_1030</t>
  </si>
  <si>
    <t>Actinomyces_oris [W11-1-1] MSKV01000004.1_53</t>
  </si>
  <si>
    <t>Anaerolineae_[G1] [W11661] CP017039.1_2062</t>
  </si>
  <si>
    <t>Anaerolineae_[G1] [W11661] CP017039.1_2063</t>
  </si>
  <si>
    <t>Prevotella_fusca [W1435] CP072370.1_190</t>
  </si>
  <si>
    <t>Prevotella_fusca [W1435] CP012074.1_1401</t>
  </si>
  <si>
    <t>Prevotella_illustrans [W6195] PYXD01000001.1_530</t>
  </si>
  <si>
    <t>Pseudoleptotrichia_sp. [W9775] KI272830.1_30</t>
  </si>
  <si>
    <t>Pseudoleptotrichia_sp. [W9775] KI272827.1_86</t>
  </si>
  <si>
    <t>Tannerella_forsythia [WW10960] NSLK01000002.1_173</t>
  </si>
  <si>
    <t>Tannerella_forsythia [WW10960] NSLK01000017.1_49</t>
  </si>
  <si>
    <t>Tannerella_forsythia [WW11663] NSLJ01000005.1_4</t>
  </si>
  <si>
    <t>Tannerella_forsythia [WW11663] NSLJ01000012.1_71</t>
  </si>
  <si>
    <t>itol.genus</t>
  </si>
  <si>
    <t>itol.genus_color</t>
  </si>
  <si>
    <t>itol.leaf_label</t>
  </si>
  <si>
    <t>itol.leaf_label_prot</t>
  </si>
  <si>
    <t>#E07B00</t>
  </si>
  <si>
    <t>#1A6FB5</t>
  </si>
  <si>
    <t>#1DAA6A</t>
  </si>
  <si>
    <t>#8B4FC2</t>
  </si>
  <si>
    <t>#D4306A</t>
  </si>
  <si>
    <t>#1AADAD</t>
  </si>
  <si>
    <t>#C05880</t>
  </si>
  <si>
    <t>#6A3F9E</t>
  </si>
  <si>
    <t>#0E8080</t>
  </si>
  <si>
    <t>#D496AA</t>
  </si>
  <si>
    <t>#E8A830</t>
  </si>
  <si>
    <t>#A0522D</t>
  </si>
  <si>
    <t>#B89AD4</t>
  </si>
  <si>
    <t>#9B6ABF</t>
  </si>
  <si>
    <t>#4DA6C8</t>
  </si>
  <si>
    <t>#C47A2B</t>
  </si>
  <si>
    <t>#9BAA8A</t>
  </si>
  <si>
    <t>#C9A227</t>
  </si>
  <si>
    <t>#7A8C6E</t>
  </si>
  <si>
    <t>#5C6B5A</t>
  </si>
  <si>
    <t>#5C4D8A</t>
  </si>
  <si>
    <t>#0D5C63</t>
  </si>
  <si>
    <t>GCA_000238215.1_00177</t>
  </si>
  <si>
    <t>GCA_900096735.1_01579</t>
  </si>
  <si>
    <t>GCA_900096715.1_00503</t>
  </si>
  <si>
    <t>GCA_002529295.1_00561</t>
  </si>
  <si>
    <t>GCA_001547875.1_00156</t>
  </si>
  <si>
    <t>GCA_938034995.1_00642</t>
  </si>
  <si>
    <t>GCA_905373495.1_00364</t>
  </si>
  <si>
    <t>GCA_900096725.1_01689</t>
  </si>
  <si>
    <t>GCA_002529085.1_00246</t>
  </si>
  <si>
    <t>GCA_001938785.1_00089</t>
  </si>
  <si>
    <t>GCA_006385365.1_00309</t>
  </si>
  <si>
    <t>GCA_001006485.1_01882</t>
  </si>
  <si>
    <t>GCA_001547855.1_00219</t>
  </si>
  <si>
    <t>GCA_017426725.1_01426</t>
  </si>
  <si>
    <t>GCA_003043925.1_00540</t>
  </si>
  <si>
    <t>GCA_000468635.1_00521</t>
  </si>
  <si>
    <t>GCA_000613565.1_01173</t>
  </si>
  <si>
    <t>GCA_000426585.1_01178</t>
  </si>
  <si>
    <t>GCA_945869495.1_01750</t>
  </si>
  <si>
    <t>GCA_945829905.1_02014</t>
  </si>
  <si>
    <t>GCA_900683665.1_02579</t>
  </si>
  <si>
    <t>GCA_002998535.1_00479</t>
  </si>
  <si>
    <t>GCA_023425005.1_00771</t>
  </si>
  <si>
    <t>GCA_003932775.1_01060</t>
  </si>
  <si>
    <t>GCA_023436275.1_01085</t>
  </si>
  <si>
    <t>GCA_945917645.1_02466</t>
  </si>
  <si>
    <t>GCA_004342845.1_03005</t>
  </si>
  <si>
    <t>GCA_959023205.1_00027</t>
  </si>
  <si>
    <t>GCA_900187255.1_00958</t>
  </si>
  <si>
    <t>GCA_900115315.1_01037</t>
  </si>
  <si>
    <t>GCA_001553545.1_00814</t>
  </si>
  <si>
    <t>GCA_026013825.1_01141</t>
  </si>
  <si>
    <t>GCA_013394735.1_01532</t>
  </si>
  <si>
    <t>GCA_026013785.1_00614</t>
  </si>
  <si>
    <t>GCA_001717545.1_02110</t>
  </si>
  <si>
    <t>GCA_002312885.1_00458</t>
  </si>
  <si>
    <t>GCA_902482725.1_01577</t>
  </si>
  <si>
    <t>GCA_905371985.1_01431</t>
  </si>
  <si>
    <t>GCA_002302495.1_01710</t>
  </si>
  <si>
    <t>GCA_905373265.1_01773</t>
  </si>
  <si>
    <t>GCA_016126035.1_00127</t>
  </si>
  <si>
    <t>GCA_002302595.1_01922</t>
  </si>
  <si>
    <t>GCA_001278825.1_01937</t>
  </si>
  <si>
    <t>GCA_016806995.1_00993</t>
  </si>
  <si>
    <t>GCA_905372085.1_00079</t>
  </si>
  <si>
    <t>GCA_016806985.1_02069</t>
  </si>
  <si>
    <t>GCA_000318315.2_02023</t>
  </si>
  <si>
    <t>GCA_002998835.1_01359</t>
  </si>
  <si>
    <t>GCA_938045645.1_01716</t>
  </si>
  <si>
    <t>GCA_016126015.1_01735</t>
  </si>
  <si>
    <t>GCA_016807025.1_02687</t>
  </si>
  <si>
    <t>GCA_016806965.1_01035</t>
  </si>
  <si>
    <t>GCA_937926985.1_01711</t>
  </si>
  <si>
    <t>GCA_000271925.1_01762</t>
  </si>
  <si>
    <t>GCA_937881025.1_00067</t>
  </si>
  <si>
    <t>GCA_900638125.1_01840</t>
  </si>
  <si>
    <t>GCA_001057035.1_01645</t>
  </si>
  <si>
    <t>GCA_900446705.1_01663</t>
  </si>
  <si>
    <t>GCA_026013805.1_00159</t>
  </si>
  <si>
    <t>GCA_002209445.1_00051</t>
  </si>
  <si>
    <t>GCA_016806945.1_01430</t>
  </si>
  <si>
    <t>GCA_000318295.1_03033</t>
  </si>
  <si>
    <t>GCA_000277665.1_00635</t>
  </si>
  <si>
    <t>GCA_020736165.1_01605</t>
  </si>
  <si>
    <t>GCA_000277585.1_01286</t>
  </si>
  <si>
    <t>GCA_000183985.1_01934</t>
  </si>
  <si>
    <t>GCA_900618145.1_01360</t>
  </si>
  <si>
    <t>GCA_937919505.1_01487</t>
  </si>
  <si>
    <t>GCA_000411575.1_00519</t>
  </si>
  <si>
    <t>GCA_000163495.1_02298</t>
  </si>
  <si>
    <t>GCA_000698925.1_01892</t>
  </si>
  <si>
    <t>GCA_000613485.1_00992</t>
  </si>
  <si>
    <t>GCA_000378085.1_01533</t>
  </si>
  <si>
    <t>GCA_900460915.1_00136</t>
  </si>
  <si>
    <t>GCA_013394785.1_01053</t>
  </si>
  <si>
    <t>GCA_019391755.1_01657</t>
  </si>
  <si>
    <t>GCA_030843185.1_01826</t>
  </si>
  <si>
    <t>GCA_902461075.1_02189</t>
  </si>
  <si>
    <t>GCA_000287635.1_01226</t>
  </si>
  <si>
    <t>GCA_000184945.1_00567</t>
  </si>
  <si>
    <t>GCA_900454855.1_02036</t>
  </si>
  <si>
    <t>GCA_958415905.1_00491</t>
  </si>
  <si>
    <t>GCA_027696905.1_00226</t>
  </si>
  <si>
    <t>GCA_938016215.1_00767</t>
  </si>
  <si>
    <t>GCA_027696975.1_01258</t>
  </si>
  <si>
    <t>GCA_000162455.1_01976</t>
  </si>
  <si>
    <t>GCA_018372275.1_00164</t>
  </si>
  <si>
    <t>GCA_958433865.1_01826</t>
  </si>
  <si>
    <t>GCA_905373515.1_00340</t>
  </si>
  <si>
    <t>GCA_900446695.1_01915</t>
  </si>
  <si>
    <t>GCA_002302395.1_01777</t>
  </si>
  <si>
    <t>GCA_000173675.1_02417</t>
  </si>
  <si>
    <t>GCA_000318255.2_00631</t>
  </si>
  <si>
    <t>GCA_019930725.1_00144</t>
  </si>
  <si>
    <t>GCA_000023285.1_01150</t>
  </si>
  <si>
    <t>GCA_900446705.1_01137</t>
  </si>
  <si>
    <t>GCA_013333705.2_00154</t>
  </si>
  <si>
    <t>GCA_020736165.1_01092</t>
  </si>
  <si>
    <t>GCA_000277585.1_01574</t>
  </si>
  <si>
    <t>GCA_000183985.1_01427</t>
  </si>
  <si>
    <t>GCA_000318255.2_01832</t>
  </si>
  <si>
    <t>GCA_002302615.1_01103</t>
  </si>
  <si>
    <t>GCA_009730375.1_02296</t>
  </si>
  <si>
    <t>GCA_000213295.2_01385</t>
  </si>
  <si>
    <t>GCA_915066995.1_02121</t>
  </si>
  <si>
    <t>GCA_026013805.1_00665</t>
  </si>
  <si>
    <t>GCA_938018165.1_00169</t>
  </si>
  <si>
    <t>GCA_900460915.1_00719</t>
  </si>
  <si>
    <t>GCA_002998835.1_01886</t>
  </si>
  <si>
    <t>GCA_000318315.2_00410</t>
  </si>
  <si>
    <t>GCA_937926985.1_01742</t>
  </si>
  <si>
    <t>GCA_938041155.1_02093</t>
  </si>
  <si>
    <t>GCA_916720135.1_00945</t>
  </si>
  <si>
    <t>GCA_000411575.1_00015</t>
  </si>
  <si>
    <t>GCA_901873485.1_00477</t>
  </si>
  <si>
    <t>GCA_013394735.1_00877</t>
  </si>
  <si>
    <t>GCA_007990405.1_02221</t>
  </si>
  <si>
    <t>GCA_007990545.2_02064</t>
  </si>
  <si>
    <t>GCA_000469405.1_02202</t>
  </si>
  <si>
    <t>GCA_000373345.1_01767</t>
  </si>
  <si>
    <t>GCA_019930725.1_01852</t>
  </si>
  <si>
    <t>GCA_000023285.1_00606</t>
  </si>
  <si>
    <t>GCA_008327825.1_00101</t>
  </si>
  <si>
    <t>GCA_000373045.1_02031</t>
  </si>
  <si>
    <t>GCA_001553045.1_01747</t>
  </si>
  <si>
    <t>GCA_013394795.1_01198</t>
  </si>
  <si>
    <t>GCA_007990385.1_02133</t>
  </si>
  <si>
    <t>GCA_000192225.1_00255</t>
  </si>
  <si>
    <t>GCA_001278825.1_01321</t>
  </si>
  <si>
    <t>GCA_013394865.1_02235</t>
  </si>
  <si>
    <t>GCA_905371985.1_01626</t>
  </si>
  <si>
    <t>GCA_902482725.1_01815</t>
  </si>
  <si>
    <t>GCA_007990445.1_02169</t>
  </si>
  <si>
    <t>GCA_001057035.1_00001</t>
  </si>
  <si>
    <t>GCA_016126035.1_00017</t>
  </si>
  <si>
    <t>GCA_000277665.1_02061</t>
  </si>
  <si>
    <t>GCA_905371935.1_00698</t>
  </si>
  <si>
    <t>GCA_016806995.1_01963</t>
  </si>
  <si>
    <t>GCA_900079085.1_01834</t>
  </si>
  <si>
    <t>GCA_900618145.1_00848</t>
  </si>
  <si>
    <t>GCA_905372535.1_01507</t>
  </si>
  <si>
    <t>GCA_000271925.1_00714</t>
  </si>
  <si>
    <t>GCA_026013785.1_00090</t>
  </si>
  <si>
    <t>GCA_021222645.1_00648</t>
  </si>
  <si>
    <t>GCA_900637305.1_02444</t>
  </si>
  <si>
    <t>GCA_002302595.1_02024</t>
  </si>
  <si>
    <t>GCA_007845265.1_00660</t>
  </si>
  <si>
    <t>GCA_022828325.1_00321</t>
  </si>
  <si>
    <t>GCA_002302495.1_01806</t>
  </si>
  <si>
    <t>GCA_018127965.1_01298</t>
  </si>
  <si>
    <t>GCA_900446695.1_01817</t>
  </si>
  <si>
    <t>GCA_002302395.1_01873</t>
  </si>
  <si>
    <t>GCA_000173675.1_01598</t>
  </si>
  <si>
    <t>GCA_022828295.1_00385</t>
  </si>
  <si>
    <t>GCA_900638125.1_01938</t>
  </si>
  <si>
    <t>GCA_022828325.1_00322</t>
  </si>
  <si>
    <t>GCA_021222645.1_00647</t>
  </si>
  <si>
    <t>GCA_015257495.1_00671</t>
  </si>
  <si>
    <t>GCA_905373265.1_00268</t>
  </si>
  <si>
    <t>GCA_020912025.1_00608</t>
  </si>
  <si>
    <t>GCA_937891745.1_00370</t>
  </si>
  <si>
    <t>GCA_002209445.1_03098</t>
  </si>
  <si>
    <t>GCA_002312885.1_00347</t>
  </si>
  <si>
    <t>GCA_022819365.1_00023</t>
  </si>
  <si>
    <t>GCA_022828245.1_00024</t>
  </si>
  <si>
    <t>GCA_022828375.1_00529</t>
  </si>
  <si>
    <t>GCA_022828375.1_00530</t>
  </si>
  <si>
    <t>GCA_022819385.1_00095</t>
  </si>
  <si>
    <t>GCA_002302415.1_01539</t>
  </si>
  <si>
    <t>GCA_905373265.1_00445</t>
  </si>
  <si>
    <t>GCA_022819385.1_00094</t>
  </si>
  <si>
    <t>GCA_900104625.1_00670</t>
  </si>
  <si>
    <t>GCA_016807025.1_00059</t>
  </si>
  <si>
    <t>GCA_016806965.1_01977</t>
  </si>
  <si>
    <t>GCA_030644325.1_00263</t>
  </si>
  <si>
    <t>GCA_000469525.1_00530</t>
  </si>
  <si>
    <t>GCA_001057555.1_01080</t>
  </si>
  <si>
    <t>GCA_001063785.1_00958</t>
  </si>
  <si>
    <t>GCA_022828285.1_00600</t>
  </si>
  <si>
    <t>GCA_022819345.1_00221</t>
  </si>
  <si>
    <t>GCA_003054025.1_01572</t>
  </si>
  <si>
    <t>GCA_001057485.1_00896</t>
  </si>
  <si>
    <t>GCA_002999135.1_01544</t>
  </si>
  <si>
    <t>GCA_018128005.1_01424</t>
  </si>
  <si>
    <t>GCA_018127945.1_00341</t>
  </si>
  <si>
    <t>GCA_002312885.1_00544</t>
  </si>
  <si>
    <t>GCA_016807025.1_02106</t>
  </si>
  <si>
    <t>GCA_016806965.1_00872</t>
  </si>
  <si>
    <t>GCA_938045645.1_00295</t>
  </si>
  <si>
    <t>GCA_016126015.1_01935</t>
  </si>
  <si>
    <t>GCA_938011375.1_00831</t>
  </si>
  <si>
    <t>GCA_905373465.1_00092</t>
  </si>
  <si>
    <t>GCA_005697395.1_00736</t>
  </si>
  <si>
    <t>GCA_000803625.1_00730</t>
  </si>
  <si>
    <t>GCA_002302595.1_01831</t>
  </si>
  <si>
    <t>GCA_947096245.1_00200</t>
  </si>
  <si>
    <t>GCA_007845265.1_00659</t>
  </si>
  <si>
    <t>GCA_905369945.1_00637</t>
  </si>
  <si>
    <t>GCA_022819365.1_00022</t>
  </si>
  <si>
    <t>GCA_000160655.1_00011</t>
  </si>
  <si>
    <t>GCA_937881025.1_00154</t>
  </si>
  <si>
    <t>GCA_905372655.1_00420</t>
  </si>
  <si>
    <t>GCA_000174755.1_01790</t>
  </si>
  <si>
    <t>GCA_000163695.1_00018</t>
  </si>
  <si>
    <t>GCA_001274535.1_02226</t>
  </si>
  <si>
    <t>GCA_938011375.1_00845</t>
  </si>
  <si>
    <t>GCA_002209445.1_00232</t>
  </si>
  <si>
    <t>GCA_022828255.1_00325</t>
  </si>
  <si>
    <t>GCA_000318295.1_01884</t>
  </si>
  <si>
    <t>GCA_016806995.1_01901</t>
  </si>
  <si>
    <t>GCA_902480825.1_00707</t>
  </si>
  <si>
    <t>GCA_016806945.1_01240</t>
  </si>
  <si>
    <t>GCA_938045645.1_02142</t>
  </si>
  <si>
    <t>GCA_016126015.1_01571</t>
  </si>
  <si>
    <t>GCA_022828365.1_00734</t>
  </si>
  <si>
    <t>GCA_018366775.1_01380</t>
  </si>
  <si>
    <t>GCA_015259495.1_00043</t>
  </si>
  <si>
    <t>GCA_000466185.1_01610</t>
  </si>
  <si>
    <t>GCA_905372485.1_01899</t>
  </si>
  <si>
    <t>GCA_937881025.1_00588</t>
  </si>
  <si>
    <t>GCA_916720025.1_01333</t>
  </si>
  <si>
    <t>GCA_018378275.1_00886</t>
  </si>
  <si>
    <t>GCA_000239695.1_01759</t>
  </si>
  <si>
    <t>GCA_016806985.1_02480</t>
  </si>
  <si>
    <t>GCA_938014305.1_00110</t>
  </si>
  <si>
    <t>GCA_016806945.1_02353</t>
  </si>
  <si>
    <t>GCA_022828365.1_00735</t>
  </si>
  <si>
    <t>GCA_938043945.1_00293</t>
  </si>
  <si>
    <t>GCA_007990525.1_02291</t>
  </si>
  <si>
    <t>GCA_000428965.1_02077</t>
  </si>
  <si>
    <t>GCA_905373495.1_01261</t>
  </si>
  <si>
    <t>GCA_900096735.1_01123</t>
  </si>
  <si>
    <t>GCA_002529085.1_02228</t>
  </si>
  <si>
    <t>GCA_001547855.1_02478</t>
  </si>
  <si>
    <t>GCA_900638125.1_01750</t>
  </si>
  <si>
    <t>GCA_000318295.1_00842</t>
  </si>
  <si>
    <t>GCA_905373445.1_00482</t>
  </si>
  <si>
    <t>GCA_018128045.1_00504</t>
  </si>
  <si>
    <t>GCA_030527835.1_00845</t>
  </si>
  <si>
    <t>GCA_016126035.1_00304</t>
  </si>
  <si>
    <t>GCA_000238215.1_02397</t>
  </si>
  <si>
    <t>GCA_916050455.1_00117</t>
  </si>
  <si>
    <t>GCA_902481625.1_00224</t>
  </si>
  <si>
    <t>GCA_015260465.1_01641</t>
  </si>
  <si>
    <t>GCA_905373445.1_00333</t>
  </si>
  <si>
    <t>GCA_018128045.1_00127</t>
  </si>
  <si>
    <t>GCA_916439075.1_02245</t>
  </si>
  <si>
    <t>GCA_000469385.1_01561</t>
  </si>
  <si>
    <t>GCA_001547875.1_02393</t>
  </si>
  <si>
    <t>GCA_900096725.1_00783</t>
  </si>
  <si>
    <t>GCA_006385365.1_01241</t>
  </si>
  <si>
    <t>GCA_001006485.1_01403</t>
  </si>
  <si>
    <t>GCA_000469505.1_00468</t>
  </si>
  <si>
    <t>GCA_937891745.1_01592</t>
  </si>
  <si>
    <t>GCA_938034995.1_01362</t>
  </si>
  <si>
    <t>GCA_026013825.1_01690</t>
  </si>
  <si>
    <t>GCA_007990635.1_00072</t>
  </si>
  <si>
    <t>GCA_003609775.1_01395</t>
  </si>
  <si>
    <t>GCA_001938785.1_00032</t>
  </si>
  <si>
    <t>GCA_927911435.1_01789</t>
  </si>
  <si>
    <t>GCA_900096715.1_02577</t>
  </si>
  <si>
    <t>GCA_019375935.1_00038</t>
  </si>
  <si>
    <t>GCA_018128065.1_00273</t>
  </si>
  <si>
    <t>GCA_000467895.1_00929</t>
  </si>
  <si>
    <t>GCA_022828245.1_00023</t>
  </si>
  <si>
    <t>GCA_019375815.1_01547</t>
  </si>
  <si>
    <t>GCA_001553645.1_01213</t>
  </si>
  <si>
    <t>GCA_018373565.1_00509</t>
  </si>
  <si>
    <t>GCA_013394735.1_00846</t>
  </si>
  <si>
    <t>GCA_000162955.1_00470</t>
  </si>
  <si>
    <t>GCA_002871975.1_01444</t>
  </si>
  <si>
    <t>GCA_018127905.1_00301</t>
  </si>
  <si>
    <t>GCA_018127885.1_01467</t>
  </si>
  <si>
    <t>GCA_015260405.1_02164</t>
  </si>
  <si>
    <t>GCA_000429245.1_00247</t>
  </si>
  <si>
    <t>GCA_937926905.1_00153</t>
  </si>
  <si>
    <t>GCA_007990385.1_00152</t>
  </si>
  <si>
    <t>GCA_001553045.1_01130</t>
  </si>
  <si>
    <t>GCA_018127945.1_01626</t>
  </si>
  <si>
    <t>GCA_018373565.1_00894</t>
  </si>
  <si>
    <t>GCA_018128225.1_02069</t>
  </si>
  <si>
    <t>GCA_000023905.1_02242</t>
  </si>
  <si>
    <t>GCA_002529295.1_01544</t>
  </si>
  <si>
    <t>GCA_000318255.2_02272</t>
  </si>
  <si>
    <t>GCA_916438585.1_01842</t>
  </si>
  <si>
    <t>GCA_019391735.1_00876</t>
  </si>
  <si>
    <t>GCA_015260495.1_02046</t>
  </si>
  <si>
    <t>GCA_020735785.1_01154</t>
  </si>
  <si>
    <t>GCA_002208725.2_00004</t>
  </si>
  <si>
    <t>GCA_000144405.1_01442</t>
  </si>
  <si>
    <t>GCA_902484395.1_01791</t>
  </si>
  <si>
    <t>GCA_013394785.1_00580</t>
  </si>
  <si>
    <t>GCA_019375855.1_01686</t>
  </si>
  <si>
    <t>GCA_000224595.1_03052</t>
  </si>
  <si>
    <t>GCA_938042185.1_01314</t>
  </si>
  <si>
    <t>GCA_905370375.1_01189</t>
  </si>
  <si>
    <t>GCA_916048225.1_01797</t>
  </si>
  <si>
    <t>GCA_015262365.1_02108</t>
  </si>
  <si>
    <t>GCA_905369805.1_00537</t>
  </si>
  <si>
    <t>GCA_018128085.1_01084</t>
  </si>
  <si>
    <t>GCA_026013785.1_00058</t>
  </si>
  <si>
    <t>GCA_020736165.1_01088</t>
  </si>
  <si>
    <t>GCA_000277585.1_01570</t>
  </si>
  <si>
    <t>GCA_000183985.1_01423</t>
  </si>
  <si>
    <t>GCA_015257495.1_00672</t>
  </si>
  <si>
    <t>GCA_015262505.1_01438</t>
  </si>
  <si>
    <t>GCA_015260355.1_01951</t>
  </si>
  <si>
    <t>GCA_000411575.1_02373</t>
  </si>
  <si>
    <t>GCA_916438675.1_01998</t>
  </si>
  <si>
    <t>GCA_000517825.1_01332</t>
  </si>
  <si>
    <t>GCA_007990505.1_02254</t>
  </si>
  <si>
    <t>GCA_000516535.1_02270</t>
  </si>
  <si>
    <t>GCA_002998835.1_01912</t>
  </si>
  <si>
    <t>GCA_015260395.1_02096</t>
  </si>
  <si>
    <t>GCA_019930725.1_01821</t>
  </si>
  <si>
    <t>GCA_000023285.1_00575</t>
  </si>
  <si>
    <t>GCA_001057035.1_00508</t>
  </si>
  <si>
    <t>GCA_951230405.1_00984</t>
  </si>
  <si>
    <t>GCA_938034465.1_00330</t>
  </si>
  <si>
    <t>GCA_916050515.1_00072</t>
  </si>
  <si>
    <t>GCA_000277665.1_00376</t>
  </si>
  <si>
    <t>GCA_003043935.1_02067</t>
  </si>
  <si>
    <t>GCA_000176335.1_02237</t>
  </si>
  <si>
    <t>GCA_916438435.1_02673</t>
  </si>
  <si>
    <t>GCA_022828295.1_00384</t>
  </si>
  <si>
    <t>GCA_022828255.1_00324</t>
  </si>
  <si>
    <t>GCA_019375575.1_00007</t>
  </si>
  <si>
    <t>GCA_015260455.1_02122</t>
  </si>
  <si>
    <t>GCA_000243015.1_00718</t>
  </si>
  <si>
    <t>GCA_900187995.1_02412</t>
  </si>
  <si>
    <t>GCA_002849795.1_01676</t>
  </si>
  <si>
    <t>GCA_001278825.1_01295</t>
  </si>
  <si>
    <t>GCA_022828285.1_00601</t>
  </si>
  <si>
    <t>GCA_022819345.1_00222</t>
  </si>
  <si>
    <t>GCA_900618145.1_01715</t>
  </si>
  <si>
    <t>GCA_013267595.1_02483</t>
  </si>
  <si>
    <t>GCA_000163035.1_02597</t>
  </si>
  <si>
    <t>GCA_946997865.1_01958</t>
  </si>
  <si>
    <t>GCA_938015825.1_00630</t>
  </si>
  <si>
    <t>GCA_018127925.1_01373</t>
  </si>
  <si>
    <t>GCA_018128005.1_00044</t>
  </si>
  <si>
    <t>GCA_905372425.1_00430</t>
  </si>
  <si>
    <t>GCA_018128105.1_00641</t>
  </si>
  <si>
    <t>GCA_019391815.1_00078</t>
  </si>
  <si>
    <t>GCA_019375605.1_00036</t>
  </si>
  <si>
    <t>GCA_019375525.1_00035</t>
  </si>
  <si>
    <t>GCA_015260605.1_01685</t>
  </si>
  <si>
    <t>GCA_002240055.1_00754</t>
  </si>
  <si>
    <t>GCA_003638725.1_00400</t>
  </si>
  <si>
    <t>GCA_019391775.1_02694</t>
  </si>
  <si>
    <t>GCA_905373025.1_00699</t>
  </si>
  <si>
    <t>GCA_937922695.1_02193</t>
  </si>
  <si>
    <t>GCA_030644345.1_00732</t>
  </si>
  <si>
    <t>GCA_015260375.1_02366</t>
  </si>
  <si>
    <t>GCA_018127965.1_00146</t>
  </si>
  <si>
    <t>GCA_003639045.1_00829</t>
  </si>
  <si>
    <t>GCA_019375775.1_01648</t>
  </si>
  <si>
    <t>GCA_019375745.1_01620</t>
  </si>
  <si>
    <t>GCA_019375715.1_01816</t>
  </si>
  <si>
    <t>GCA_937927175.1_02223</t>
  </si>
  <si>
    <t>GCA_015260265.1_02079</t>
  </si>
  <si>
    <t>GCA_901875335.1_00559</t>
  </si>
  <si>
    <t>GCA_018128245.1_01844</t>
  </si>
  <si>
    <t>GCA_018372295.1_01596</t>
  </si>
  <si>
    <t>GCA_020912025.1_00609</t>
  </si>
  <si>
    <t>GCA_000312445.1_00427</t>
  </si>
  <si>
    <t>GCA_937926985.1_01118</t>
  </si>
  <si>
    <t>GCA_905373595.1_00556</t>
  </si>
  <si>
    <t>GCA_951230325.1_01972</t>
  </si>
  <si>
    <t>GCA_937926905.1_01279</t>
  </si>
  <si>
    <t>GCA_015262505.1_00649</t>
  </si>
  <si>
    <t>GCA_938014195.1_00892</t>
  </si>
  <si>
    <t>GCA_018128145.1_00189</t>
  </si>
  <si>
    <t>GCA_001262015.1_01444</t>
  </si>
  <si>
    <t>GCA_000614245.1_00607</t>
  </si>
  <si>
    <t>GCA_000271925.1_00043</t>
  </si>
  <si>
    <t>GCA_000442105.1_01314</t>
  </si>
  <si>
    <t>GCA_905371985.1_01956</t>
  </si>
  <si>
    <t>GCA_026013825.1_01720</t>
  </si>
  <si>
    <t>GCA_900446705.1_01109</t>
  </si>
  <si>
    <t>GCA_947095725.1_01121</t>
  </si>
  <si>
    <t>GCA_902482725.1_01802</t>
  </si>
  <si>
    <t>GCA_938020355.1_00980</t>
  </si>
  <si>
    <t>GCA_026013805.1_00693</t>
  </si>
  <si>
    <t>GCA_015262625.1_01120</t>
  </si>
  <si>
    <t>GCA_000318315.2_01974</t>
  </si>
  <si>
    <t>GCA_019375835.1_00930</t>
  </si>
  <si>
    <t>GCA_000191065.1_01312</t>
  </si>
  <si>
    <t>GCA_927910845.1_01528</t>
  </si>
  <si>
    <t>GCA_000759075.1_01264</t>
  </si>
  <si>
    <t>GCA_013394785.1_00554</t>
  </si>
  <si>
    <t>GCA_015262355.1_01590</t>
  </si>
  <si>
    <t>GCA_000613925.1_00449</t>
  </si>
  <si>
    <t>GCA_015262445.1_01080</t>
  </si>
  <si>
    <t>GCA_015262545.1_01418</t>
  </si>
  <si>
    <t>GCA_916720365.1_00160</t>
  </si>
  <si>
    <t>GCA_015262435.1_00525</t>
  </si>
  <si>
    <t>GCA_015262395.1_01632</t>
  </si>
  <si>
    <t>GCA_018378595.1_02165</t>
  </si>
  <si>
    <t>GCA_019375895.1_00604</t>
  </si>
  <si>
    <t>GCA_018128125.1_00062</t>
  </si>
  <si>
    <t>GCA_000234055.1_01502</t>
  </si>
  <si>
    <t>GCA_900460915.1_00752</t>
  </si>
  <si>
    <t>GCA_019375695.1_00493</t>
  </si>
  <si>
    <t>GCA_019375655.1_00406</t>
  </si>
  <si>
    <t>GCA_938038995.1_00249</t>
  </si>
  <si>
    <t>GCA_018127985.1_01198</t>
  </si>
  <si>
    <t>GCA_019375975.1_00668</t>
  </si>
  <si>
    <t>GCA_000613325.1_01249</t>
  </si>
  <si>
    <t>GCA_000377625.1_01576</t>
  </si>
  <si>
    <t>GCA_018127765.1_00026</t>
  </si>
  <si>
    <t>GCA_000162935.1_01590</t>
  </si>
  <si>
    <t>GCA_000468635.1_00823</t>
  </si>
  <si>
    <t>GCA_000426585.1_01909</t>
  </si>
  <si>
    <t>GCA_018141825.1_00275</t>
  </si>
  <si>
    <t>GCA_937990705.1_01290</t>
  </si>
  <si>
    <t>GCA_018128185.1_00005</t>
  </si>
  <si>
    <t>GCA_019391855.1_01385</t>
  </si>
  <si>
    <t>GCA_003515045.1_00997</t>
  </si>
  <si>
    <t>GCA_001717545.1_02109</t>
  </si>
  <si>
    <t>GCA_905372085.1_00080</t>
  </si>
  <si>
    <t>GCA_905373395.1_00819</t>
  </si>
  <si>
    <t>GCA_015262675.1_01621</t>
  </si>
  <si>
    <t>GCA_019375725.1_00698</t>
  </si>
  <si>
    <t>GCA_019375675.1_00640</t>
  </si>
  <si>
    <t>GCA_027682715.1_02198</t>
  </si>
  <si>
    <t>GCA_000191765.2_00695</t>
  </si>
  <si>
    <t>GCA_018128165.1_01447</t>
  </si>
  <si>
    <t>GCA_000193395.1_00526</t>
  </si>
  <si>
    <t>GCA_000759205.1_00147</t>
  </si>
  <si>
    <t>GCA_900454835.1_02618</t>
  </si>
  <si>
    <t>GCA_000613585.1_02632</t>
  </si>
  <si>
    <t>GCA_000421205.1_00860</t>
  </si>
  <si>
    <t>GCA_916709935.1_01753</t>
  </si>
  <si>
    <t>GCA_018128205.1_01536</t>
  </si>
  <si>
    <t>GCA_902483045.1_01218</t>
  </si>
  <si>
    <t>GCA_019375865.1_01275</t>
  </si>
  <si>
    <t>GCA_905372245.1_01641</t>
  </si>
  <si>
    <t>GCA_000234115.1_00980</t>
  </si>
  <si>
    <t>GCA_014195585.1_00238</t>
  </si>
  <si>
    <t>GCA_000318095.2_00053</t>
  </si>
  <si>
    <t>GCA_945829905.1_02819</t>
  </si>
  <si>
    <t>GCA_000222725.2_00202</t>
  </si>
  <si>
    <t>GCA_947097345.1_00762</t>
  </si>
  <si>
    <t>GCA_938021135.1_01928</t>
  </si>
  <si>
    <t>GCA_009717845.1_01613</t>
  </si>
  <si>
    <t>GCA_009717805.1_01664</t>
  </si>
  <si>
    <t>GCA_902497175.1_00992</t>
  </si>
  <si>
    <t>GCA_001652275.1_01560</t>
  </si>
  <si>
    <t>GCA_005886335.1_00136</t>
  </si>
  <si>
    <t>GCA_000162895.1_01358</t>
  </si>
  <si>
    <t>GCA_019391935.1_00463</t>
  </si>
  <si>
    <t>GCA_019391885.1_00185</t>
  </si>
  <si>
    <t>GCA_019375585.1_00183</t>
  </si>
  <si>
    <t>GCA_000180035.1_00561</t>
  </si>
  <si>
    <t>GCA_916720475.1_01107</t>
  </si>
  <si>
    <t>GCA_938045425.1_00405</t>
  </si>
  <si>
    <t>GCA_000466165.1_01176</t>
  </si>
  <si>
    <t>GCA_927911275.1_03219</t>
  </si>
  <si>
    <t>GCA_905372475.1_02025</t>
  </si>
  <si>
    <t>GCA_030527845.1_01357</t>
  </si>
  <si>
    <t>GCA_013333735.2_01629</t>
  </si>
  <si>
    <t>GCA_937974815.1_02372</t>
  </si>
  <si>
    <t>GCA_019973735.1_02429</t>
  </si>
  <si>
    <t>GCA_018128325.1_02434</t>
  </si>
  <si>
    <t>GCA_905372705.1_01479</t>
  </si>
  <si>
    <t>GCA_937927035.1_01660</t>
  </si>
  <si>
    <t>GCA_927911685.1_00485</t>
  </si>
  <si>
    <t>GCA_000223255.2_01198</t>
  </si>
  <si>
    <t>GCA_937891685.1_01954</t>
  </si>
  <si>
    <t>GCA_902376145.1_01769</t>
  </si>
  <si>
    <t>GCA_900095835.1_01769</t>
  </si>
  <si>
    <t>GCA_937910295.1_00529</t>
  </si>
  <si>
    <t>GCA_018363635.1_00306</t>
  </si>
  <si>
    <t>GCA_916048355.1_01130</t>
  </si>
  <si>
    <t>GCA_000318335.2_01620</t>
  </si>
  <si>
    <t>GCA_015259405.1_01036</t>
  </si>
  <si>
    <t>GCA_902374745.1_01020</t>
  </si>
  <si>
    <t>GCA_000308055.1_01020</t>
  </si>
  <si>
    <t>GCA_015259385.1_01429</t>
  </si>
  <si>
    <t>GCA_001070095.1_00183</t>
  </si>
  <si>
    <t>GCA_013333915.2_01881</t>
  </si>
  <si>
    <t>GCA_000180035.1_00565</t>
  </si>
  <si>
    <t>GCA_013333605.2_01072</t>
  </si>
  <si>
    <t>GCA_015257665.1_00464</t>
  </si>
  <si>
    <t>GCA_009717635.1_01908</t>
  </si>
  <si>
    <t>GCA_013333645.2_00812</t>
  </si>
  <si>
    <t>GCA_009717765.1_01758</t>
  </si>
  <si>
    <t>GCA_000222725.2_00199</t>
  </si>
  <si>
    <t>GCA_013333765.2_00281</t>
  </si>
  <si>
    <t>GCA_000613565.1_01035</t>
  </si>
  <si>
    <t>GCA_015257665.1_00959</t>
  </si>
  <si>
    <t>GCA_005697565.1_00685</t>
  </si>
  <si>
    <t>GCA_013333645.2_00689</t>
  </si>
  <si>
    <t>GCA_900187255.1_01862</t>
  </si>
  <si>
    <t>GCA_900115315.1_01840</t>
  </si>
  <si>
    <t>GCA_001553545.1_02393</t>
  </si>
  <si>
    <t>GCA_938016215.1_00376</t>
  </si>
  <si>
    <t>GCA_027696975.1_02435</t>
  </si>
  <si>
    <t>GCA_027696905.1_02609</t>
  </si>
  <si>
    <t>GCA_000287635.1_00740</t>
  </si>
  <si>
    <t>GCA_000184945.1_02569</t>
  </si>
  <si>
    <t>GCA_902461075.1_00307</t>
  </si>
  <si>
    <t>GCA_018372275.1_00278</t>
  </si>
  <si>
    <t>GCA_000162455.1_00920</t>
  </si>
  <si>
    <t>GCA_959023205.1_01124</t>
  </si>
  <si>
    <t>GCA_019391755.1_02596</t>
  </si>
  <si>
    <t>GCA_001274535.1_00766</t>
  </si>
  <si>
    <t>GCA_030527835.1_01443</t>
  </si>
  <si>
    <t>GCA_013333645.2_00036</t>
  </si>
  <si>
    <t>GCA_938011375.1_01049</t>
  </si>
  <si>
    <t>GCA_905373465.1_01285</t>
  </si>
  <si>
    <t>GCA_013333765.2_00931</t>
  </si>
  <si>
    <t>GCA_000469505.1_00514</t>
  </si>
  <si>
    <t>window_size</t>
  </si>
  <si>
    <t>SusD</t>
  </si>
  <si>
    <t>SusC</t>
  </si>
  <si>
    <t>Sigma</t>
  </si>
  <si>
    <t>GH16_3_hits</t>
  </si>
  <si>
    <t>SusD_hits</t>
  </si>
  <si>
    <t>SusC_hits</t>
  </si>
  <si>
    <t>FecR_hits</t>
  </si>
  <si>
    <t>Sigma_hits</t>
  </si>
  <si>
    <t>AP013044.1_2347(bglS|Beta-glucanase)</t>
  </si>
  <si>
    <t>. . . . . GH16_3 . . . . .</t>
  </si>
  <si>
    <t>AP013044.1_155(bglS|Beta-glucanase)</t>
  </si>
  <si>
    <t>AP013044.1_156(Putative lipoprotein)</t>
  </si>
  <si>
    <t>AP013044.1_157(cirA|TonB-dependent receptor SusC)</t>
  </si>
  <si>
    <t>AP013044.1_158(fecR|Sigma factor regulatory protein, FecR/PupR family)</t>
  </si>
  <si>
    <t>AP013044.1_159(rpoE|RNA polymerase sigma factor CarQ)</t>
  </si>
  <si>
    <t>. . . . . GH16_3 SusD SusC FecR Sigma .</t>
  </si>
  <si>
    <t>MEHX01000001.1_32(bglS|Beta-glucanase)</t>
  </si>
  <si>
    <t>MEHX01000002.1_19(bglS|Beta-glucanase)</t>
  </si>
  <si>
    <t>MEHX01000002.1_20(Putative lipoprotein)</t>
  </si>
  <si>
    <t>MEHX01000002.1_21(cirA|TonB-dependent receptor SusC)</t>
  </si>
  <si>
    <t>MEHX01000002.1_22(fecR|Sigma factor regulatory protein, FecR/PupR family)</t>
  </si>
  <si>
    <t>MEHX01000002.1_23(rpoE|RNA polymerase sigma factor CarQ)</t>
  </si>
  <si>
    <t>JAEFDC010000001.1_17(glycoside hydrolase family 16 protein)</t>
  </si>
  <si>
    <t>JAEFDC010000001.1_298(Beta-glucanase)</t>
  </si>
  <si>
    <t>JAEFDC010000001.1_122(Glycosyl hydrolase family 16)</t>
  </si>
  <si>
    <t>JAEFDC010000001.1_124(susD|Carbohydrate-binding protein SusD)</t>
  </si>
  <si>
    <t>JAEFDC010000001.1_125(TonB-dependent receptor)</t>
  </si>
  <si>
    <t>. . . . . GH16_3 . SusD SusC . .</t>
  </si>
  <si>
    <t>JABCNX020000014.1_25(Glycoside hydrolase family 16 protein)</t>
  </si>
  <si>
    <t>CALGFZ010000014.1_1(Beta-glucanase)</t>
  </si>
  <si>
    <t>JAGZHL010000008.1_64(GH16 domain-containing protein)</t>
  </si>
  <si>
    <t>CAJPJO010000003.1_134(bglS|Glycoside hydrolase, family 16)</t>
  </si>
  <si>
    <t>CAKAQG010000020.1_13(Glycosyl hydrolase family 16)</t>
  </si>
  <si>
    <t>CALENC010000074.1_43(Glucan endo-1,3-beta-glucosidase A1)</t>
  </si>
  <si>
    <t>JAGZXT010000040.1_9(GH16 domain-containing protein)</t>
  </si>
  <si>
    <t>CAJPJJ010000023.1_5(GH16 domain-containing protein)</t>
  </si>
  <si>
    <t>CALLUC010000045.1_44(GH16 domain-containing protein)</t>
  </si>
  <si>
    <t>JAGZNM010000023.1_8(Glucan endo-1,3-beta-glucosidase A1)</t>
  </si>
  <si>
    <t>CAJPTA010000275.1_2(GH16 domain-containing protein)</t>
  </si>
  <si>
    <t>CAKAFQ010000001.1_1779(Glycosyl hydrolase family 16)</t>
  </si>
  <si>
    <t>CALBAS010000119.1_5(glycoside hydrolase family 16 protein)</t>
  </si>
  <si>
    <t>CAKAIB010000002.1_2072(GH16 domain-containing protein)</t>
  </si>
  <si>
    <t>CALIID010000055.1_18(Glycosyl hydrolase family 16)</t>
  </si>
  <si>
    <t>JAHAGV010000025.1_8(glycoside hydrolase family 16 protein)</t>
  </si>
  <si>
    <t>CAJZKW010000002.1_48(GH16 domain-containing protein)</t>
  </si>
  <si>
    <t>CAJZLG010000001.1_72(bglS|Glycoside hydrolase, family 16)</t>
  </si>
  <si>
    <t>JABCOM020000035.1_21(Glycoside hydrolase family 16 protein)</t>
  </si>
  <si>
    <t>CALBAS010000014.1_2(Glucan endo-1,3-beta-D-glucosidase)</t>
  </si>
  <si>
    <t>CAJPPW010000023.1_9(Licheninase)</t>
  </si>
  <si>
    <t>CALBCK010000091.1_4(GH16 domain-containing protein)</t>
  </si>
  <si>
    <t>CALBCK010000092.1_2(RagB/SusD domain protein)</t>
  </si>
  <si>
    <t>CALBCK010000092.1_1(TonB-dependent receptor plug)</t>
  </si>
  <si>
    <t>. . . . . GH16_3 . . . SusC SusD</t>
  </si>
  <si>
    <t>CAJPSO010000005.1_61(Glucan endo-1,3-beta-glucosidase A1)</t>
  </si>
  <si>
    <t>CALBCH010000023.1_234(Glycoside hydrolase family 16 protein)</t>
  </si>
  <si>
    <t>CAJPSZ010000021.1_21(Glycoside hydrolase family 16 protein)</t>
  </si>
  <si>
    <t>CALLUC010000059.1_5(GH16 domain-containing protein)</t>
  </si>
  <si>
    <t>CAJPQB010000032.1_3(Glycoside hydrolase family 16 protein)</t>
  </si>
  <si>
    <t>CATNVM010000024.1_21(bglS|Glycoside hydrolase, family 16)</t>
  </si>
  <si>
    <t>CAKMPM010000093.1_3(GH16 domain-containing protein)</t>
  </si>
  <si>
    <t>CAJZHS010000062.1_3(Glucan endo-1,3-beta-glucosidase A1)</t>
  </si>
  <si>
    <t>CAKAHW010000018.1_249(hypothetical protein)</t>
  </si>
  <si>
    <t>CAKAPV010000042.1_15(GH16 domain-containing protein)</t>
  </si>
  <si>
    <t>CAJPKL010000031.1_7(bglS|Glycoside hydrolase, family 16)</t>
  </si>
  <si>
    <t>CAMUPY010000061.1_2(Glycosyl hydrolase family 16)</t>
  </si>
  <si>
    <t>JAGZXD010000010.1_13(GH16 domain-containing protein)</t>
  </si>
  <si>
    <t>CAKARG010000010.1_34(family 16 glycosylhydrolase)</t>
  </si>
  <si>
    <t>CAKARG010000010.1_39(TonB-dependent receptor domain-containing protein)</t>
  </si>
  <si>
    <t>. . . . . GH16_3 . . . . SusC</t>
  </si>
  <si>
    <t>CAJPNW010000001.1_79(GH16 domain-containing protein)</t>
  </si>
  <si>
    <t>CAJPNW010000001.1_78(GH16 domain-containing protein)</t>
  </si>
  <si>
    <t>JABCOK020000001.1_35(Family 16 glycosylhydrolase)</t>
  </si>
  <si>
    <t>CAKMQE010000042.1_5(Glycoside hydrolase family 16 protein)</t>
  </si>
  <si>
    <t>CAJPTA010000007.1_6(GH16 domain-containing protein)</t>
  </si>
  <si>
    <t>CALHNL010000052.1_51(bglS|Beta-glucanase)</t>
  </si>
  <si>
    <t>JAHAJH010000013.1_12(GH16 domain-containing protein)</t>
  </si>
  <si>
    <t>CAKAFN010000001.1_1948(GH16 domain-containing protein)</t>
  </si>
  <si>
    <t>CAJPPP010000049.1_16(family 16 glycosylhydrolase)</t>
  </si>
  <si>
    <t>CAJPPP010000049.1_12(RNA polymerase sigma-70 region 4 domain-containing protein)</t>
  </si>
  <si>
    <t>. Sigma . . . GH16_3 . . . . .</t>
  </si>
  <si>
    <t>CALBCK010000144.1_1(GH16 domain-containing protein)</t>
  </si>
  <si>
    <t>CAJPTF010000023.1_31(bglS|Beta-glucanase)</t>
  </si>
  <si>
    <t>CAJPNJ010000066.1_10(GH16 domain-containing protein)</t>
  </si>
  <si>
    <t>CALIAT010000141.1_10(Beta-glucanase)</t>
  </si>
  <si>
    <t>CAJPNJ010000096.1_4(GH16 domain-containing protein)</t>
  </si>
  <si>
    <t>CAJZGV010000093.1_6(bglS|Glycoside hydrolase, family 16)</t>
  </si>
  <si>
    <t>CAJPRX010000003.1_25(Beta-glucanase)</t>
  </si>
  <si>
    <t>CALAHR010000016.1_51(Glycoside hydrolase family 16 protein)</t>
  </si>
  <si>
    <t>CALLSI010000002.1_35(GH16 domain-containing protein)</t>
  </si>
  <si>
    <t>CALIQV010000004.1_190(GH16 domain-containing protein)</t>
  </si>
  <si>
    <t>CALIHJ010000047.1_32(Glycosyl hydrolase family 16)</t>
  </si>
  <si>
    <t>CALIHJ010000047.1_37(TonB-dependent receptor plug domain protein)</t>
  </si>
  <si>
    <t>CALAHJ010000038.1_57(family 16 glycosylhydrolase)</t>
  </si>
  <si>
    <t>CALAHJ010000038.1_52(TonB-dependent receptor domain-containing protein)</t>
  </si>
  <si>
    <t>SusC . . . . GH16_3 . . . . .</t>
  </si>
  <si>
    <t>CAKAHD010000002.1_1308(bglS|Glycoside hydrolase, family 16)</t>
  </si>
  <si>
    <t>JAHAJI010000002.1_94(Glycosyl hydrolase family 16)</t>
  </si>
  <si>
    <t>CALHLH010000011.1_7(bglS|Glycoside hydrolase, family 16)</t>
  </si>
  <si>
    <t>CALLWX010000003.1_131(Glycosyl hydrolase family 16)</t>
  </si>
  <si>
    <t>CALLVZ010000051.1_21(GH16 domain-containing protein)</t>
  </si>
  <si>
    <t>CAJPRX010000004.1_77(Beta-glucanase)</t>
  </si>
  <si>
    <t>CAJPNH010000068.1_4(Licheninase)</t>
  </si>
  <si>
    <t>CALJNX010000008.1_117(Glycoside hydrolase family 16 protein)</t>
  </si>
  <si>
    <t>CALHVO010000013.1_23(Glycosyl hydrolase family 16)</t>
  </si>
  <si>
    <t>JABCOG020000121.1_3(hypothetical protein)</t>
  </si>
  <si>
    <t>CAUFBI010000030.1_11(Glycosyl hydrolase family 16)</t>
  </si>
  <si>
    <t>JAHAGV010000099.1_2(glycoside hydrolase family 16 protein)</t>
  </si>
  <si>
    <t>CALGFZ010000002.1_141(Beta-glucanase)</t>
  </si>
  <si>
    <t>CAJPPZ010000009.1_20(Beta-glucanase)</t>
  </si>
  <si>
    <t>CAJPPZ010000009.1_16(Outer membrane receptor proteins, mostly Fe transport)</t>
  </si>
  <si>
    <t>. SusC . . . GH16_3 . . . . .</t>
  </si>
  <si>
    <t>CAMUQP010000005.1_25(GH16 domain-containing protein)</t>
  </si>
  <si>
    <t>CALIAT010000024.1_15(Beta-glucanase)</t>
  </si>
  <si>
    <t>CAJPOG010000107.1_2(Glucan endo-1,3-beta-glucosidase A1)</t>
  </si>
  <si>
    <t>CALKRA010000061.1_74(Glucan endo-1,3-beta-glucosidase A1)</t>
  </si>
  <si>
    <t>CALLSE010000030.1_27(GH16 domain-containing protein)</t>
  </si>
  <si>
    <t>CAKAQX010000002.1_61(GH16 domain-containing protein)</t>
  </si>
  <si>
    <t>CAKMOA010000132.1_16(GH16 domain-containing protein)</t>
  </si>
  <si>
    <t>CATNVF010000178.1_3(GH16 domain-containing protein)</t>
  </si>
  <si>
    <t>JABCOK020000016.1_84(Glycoside hydrolase family 16 protein)</t>
  </si>
  <si>
    <t>JABCOK020000016.1_79(sigA|RNA polymerase sigma factor SigA)</t>
  </si>
  <si>
    <t>Sigma . . . . GH16_3 . . . . .</t>
  </si>
  <si>
    <t>CAJPPO010000047.1_2(Family 16 glycosylhydrolase)</t>
  </si>
  <si>
    <t>CAJZEI010000161.1_3(Family 16 glycosylhydrolase)</t>
  </si>
  <si>
    <t>CAJPRI010000033.1_16(hypothetical protein)</t>
  </si>
  <si>
    <t>CALAIK010000104.1_2(hypothetical protein)</t>
  </si>
  <si>
    <t>JABCOK020000017.1_24(Family 16 glycosylhydrolase)</t>
  </si>
  <si>
    <t>JABCOG020000031.1_3(Family 16 glycosylhydrolase)</t>
  </si>
  <si>
    <t>CAJPSW010000012.1_8(Glycosyl hydrolase family 16)</t>
  </si>
  <si>
    <t>CALIRV010000054.1_35(bglS|Glycoside hydrolase, family 16)</t>
  </si>
  <si>
    <t>CAMPXV010000122.1_1(bglS|Glycoside hydrolase, family 16)</t>
  </si>
  <si>
    <t>CAMPXV010000122.1_6(RNA polymerase sigma-70 factor)</t>
  </si>
  <si>
    <t>. . . . . GH16_3 . . . . Sigma</t>
  </si>
  <si>
    <t>CALIAP010000005.1_40(GH16 domain-containing protein)</t>
  </si>
  <si>
    <t>JABCOG020000079.1_3(Family 16 glycosylhydrolase)</t>
  </si>
  <si>
    <t>CAKAOT010000054.1_5(family 16 glycosylhydrolase)</t>
  </si>
  <si>
    <t>CALAHR010000039.1_33(Beta-glucanase)</t>
  </si>
  <si>
    <t>CALAHR010000039.1_29(Outer membrane receptor proteins, mostly Fe transport)</t>
  </si>
  <si>
    <t>CALHZS010000109.1_3(Glycosyl hydrolase family 16)</t>
  </si>
  <si>
    <t>CALLUC010000046.1_12(GH16 domain-containing protein)</t>
  </si>
  <si>
    <t>JABCOF020000067.1_15(family 16 glycosylhydrolase)</t>
  </si>
  <si>
    <t>JABCOF020000067.1_11(RNA polymerase sigma-70 region 4 domain-containing protein)</t>
  </si>
  <si>
    <t>CAKMPF010000137.1_23(family 16 glycosylhydrolase)</t>
  </si>
  <si>
    <t>CALJVG010000177.1_45(family 16 glycosylhydrolase)</t>
  </si>
  <si>
    <t>CALJVG010000177.1_41(RNA polymerase sigma-70 region 4 domain-containing protein)</t>
  </si>
  <si>
    <t>CAMURC010000032.1_14(Glycosyl hydrolase family 16)</t>
  </si>
  <si>
    <t>CAMURC010000032.1_9(TonB-dependent receptor plug domain protein)</t>
  </si>
  <si>
    <t>CAJPPA010000007.1_25(GH16 domain-containing protein)</t>
  </si>
  <si>
    <t>CAJPPA010000007.1_26(RagB/SusD domain-containing protein);CAJPPA010000007.1_28(RagB/SusD domain-containing protein)</t>
  </si>
  <si>
    <t>CAJPPA010000007.1_27(SusC/RagA family TonB-linked outer membrane protein);CAJPPA010000007.1_29(SusC/RagA family TonB-linked outer membrane protein)</t>
  </si>
  <si>
    <t>. . . . . GH16_3 SusD SusC SusD SusC .</t>
  </si>
  <si>
    <t>CATYZT010000009.1_23(Beta-glucanase)</t>
  </si>
  <si>
    <t>CATYZT010000009.1_25(susD|SusD family protein)</t>
  </si>
  <si>
    <t>CATYZT010000009.1_26(TonB-linked outer membrane protein, SusC/RagA family)</t>
  </si>
  <si>
    <t>CALLWX010000007.1_76(Beta-glucanase)</t>
  </si>
  <si>
    <t>CALLWX010000007.1_78(susD|SusD family protein)</t>
  </si>
  <si>
    <t>CALLWX010000007.1_79(TonB-linked outer membrane protein, SusC/RagA family)</t>
  </si>
  <si>
    <t>CAUFBI010000001.1_27(Beta-glucanase)</t>
  </si>
  <si>
    <t>CAUFBI010000001.1_29(susD|SusD family protein)</t>
  </si>
  <si>
    <t>CAUFBI010000001.1_30(TonB-linked outer membrane protein, SusC/RagA family)</t>
  </si>
  <si>
    <t>CALFPC010000022.1_31(Licheninase domain protein)</t>
  </si>
  <si>
    <t>CALFPC010000022.1_29(susD|SusD family protein)</t>
  </si>
  <si>
    <t>CALFPC010000022.1_28(TonB-dependent receptor plug domain protein)</t>
  </si>
  <si>
    <t>. . SusC SusD . GH16_3 . . . . .</t>
  </si>
  <si>
    <t>JAHAJI010000009.1_47(Beta-glucanase)</t>
  </si>
  <si>
    <t>JAHAJI010000009.1_49(susD|SusD family protein)</t>
  </si>
  <si>
    <t>JAHAJI010000009.1_50(TonB-linked outer membrane protein, SusC/RagA family)</t>
  </si>
  <si>
    <t>CAMBOX010000026.1_11(Licheninase)</t>
  </si>
  <si>
    <t>CAMBOX010000026.1_13(RagB/SusD domain protein)</t>
  </si>
  <si>
    <t>CAMBOX010000026.1_14(TonB-dependent receptor plug domain protein)</t>
  </si>
  <si>
    <t>CAJPTE010000005.1_3(Licheninase domain protein)</t>
  </si>
  <si>
    <t>CAJPTE010000005.1_5(susD|SusD family protein)</t>
  </si>
  <si>
    <t>CAJPTE010000005.1_6(TonB-dependent receptor plug domain protein)</t>
  </si>
  <si>
    <t>CALZWP010000026.1_11(Licheninase)</t>
  </si>
  <si>
    <t>CALZWP010000026.1_13(RagB/SusD domain protein)</t>
  </si>
  <si>
    <t>CALZWP010000026.1_14(TonB-dependent receptor plug domain protein)</t>
  </si>
  <si>
    <t>CALBBY010000160.1_6(GH16 domain-containing protein)</t>
  </si>
  <si>
    <t>CALBBY010000160.1_7(RagB/SusD domain-containing protein);CALBBY010000160.1_9(RagB/SusD domain-containing protein)</t>
  </si>
  <si>
    <t>CALBBY010000160.1_8(SusC/RagA family TonB-linked outer membrane protein);CALBBY010000160.1_10(SusC/RagA family TonB-linked outer membrane protein)</t>
  </si>
  <si>
    <t>CAUBAF010000089.1_2(Beta-glucanase)</t>
  </si>
  <si>
    <t>CAUBAF010000089.1_4(susD|SusD family protein)</t>
  </si>
  <si>
    <t>CAUBAF010000089.1_5(TonB-linked outer membrane protein, SusC/RagA family)</t>
  </si>
  <si>
    <t>CAMEHQ010000036.1_5(Licheninase)</t>
  </si>
  <si>
    <t>CAMEHQ010000036.1_3(RagB/SusD domain protein)</t>
  </si>
  <si>
    <t>CAMEHQ010000036.1_2(TonB-dependent receptor plug domain protein)</t>
  </si>
  <si>
    <t>CAJPSW010000018.1_9(family 16 glycosylhydrolase)</t>
  </si>
  <si>
    <t>CAJPSW010000018.1_8(RagB/SusD family nutrient uptake outer membrane protein)</t>
  </si>
  <si>
    <t>CAJPSW010000018.1_7(TonB-dependent receptor)</t>
  </si>
  <si>
    <t>. . . SusC SusD GH16_3 . . . . .</t>
  </si>
  <si>
    <t>CAJPNJ010000052.1_6(Glycosyl hydrolase family 16)</t>
  </si>
  <si>
    <t>CAJPNJ010000052.1_4(susD|Carbohydrate-binding protein SusD)</t>
  </si>
  <si>
    <t>CAJPNJ010000052.1_3(TonB-dependent receptor)</t>
  </si>
  <si>
    <t>CALBCK010000143.1_6(Glycosyl hydrolase family 16)</t>
  </si>
  <si>
    <t>CALBCK010000143.1_4(susD|Carbohydrate-binding protein SusD)</t>
  </si>
  <si>
    <t>CALBCK010000143.1_3(TonB-dependent receptor)</t>
  </si>
  <si>
    <t>JABCOI020000012.1_5(Family 16 glycosylhydrolase)</t>
  </si>
  <si>
    <t>JABCOI020000012.1_6(RagB/SusD family nutrient uptake outer membrane protein)</t>
  </si>
  <si>
    <t>. . . . . GH16_3 SusD . . . .</t>
  </si>
  <si>
    <t>CALIIH010000002.1_66(Family 16 glycosylhydrolase)</t>
  </si>
  <si>
    <t>CALIIH010000002.1_69(RagB/SusD family nutrient uptake outer membrane protein)</t>
  </si>
  <si>
    <t>CALIIH010000002.1_70(SusC/RagA family TonB-linked outer membrane protein)</t>
  </si>
  <si>
    <t>. . . . . GH16_3 . . SusD SusC .</t>
  </si>
  <si>
    <t>CAJPTI010000012.1_8(Glycoside hydrolase, family 16)</t>
  </si>
  <si>
    <t>CAJPTI010000012.1_6(Putative lipoprotein)</t>
  </si>
  <si>
    <t>CAJPTI010000012.1_4(RNA polymerase sigma-70 factor)</t>
  </si>
  <si>
    <t>. Sigma . SusD . GH16_3 . . . . .</t>
  </si>
  <si>
    <t>CAJPTF010000006.1_17(bglS|Beta-glucanase)</t>
  </si>
  <si>
    <t>CAJPTF010000006.1_18(Putative lipoprotein)</t>
  </si>
  <si>
    <t>CAJPTF010000006.1_19(cirA|TonB-dependent receptor SusC)</t>
  </si>
  <si>
    <t>CAJPTF010000006.1_20(fecR|Sigma factor regulatory protein, FecR/PupR family)</t>
  </si>
  <si>
    <t>CAJPTF010000006.1_21(rpoE|RNA polymerase sigma factor CarQ)</t>
  </si>
  <si>
    <t>CALHNL010000032.1_51(bglS|Beta-glucanase)</t>
  </si>
  <si>
    <t>CALHNL010000032.1_50(Putative lipoprotein)</t>
  </si>
  <si>
    <t>CALHNL010000032.1_49(cirA|TonB-dependent receptor SusC)</t>
  </si>
  <si>
    <t>CALHNL010000032.1_48(fecR|Sigma factor regulatory protein, FecR/PupR family)</t>
  </si>
  <si>
    <t>CALHNL010000032.1_47(rpoE|RNA polymerase sigma factor CarQ)</t>
  </si>
  <si>
    <t>. Sigma FecR SusC SusD GH16_3 . . . . .</t>
  </si>
  <si>
    <t>CALZWP010000066.1_2(GH16 domain-containing protein)</t>
  </si>
  <si>
    <t>CALZWP010000066.1_4(SusD/RagB family nutrient-binding outer membrane lipoprotein)</t>
  </si>
  <si>
    <t>CALZWP010000066.1_3(TonB-dependent receptor plug domain-containing protein)</t>
  </si>
  <si>
    <t>. . . . . GH16_3 SusC SusD . . .</t>
  </si>
  <si>
    <t>CALGFZ010000002.1_55(Glycosyl hydrolase family 16)</t>
  </si>
  <si>
    <t>CALGFZ010000002.1_57(susD|Carbohydrate-binding protein SusD)</t>
  </si>
  <si>
    <t>CALGFZ010000002.1_58(TonB-dependent receptor)</t>
  </si>
  <si>
    <t>CALIAT010000112.1_2(Glycosyl hydrolase family 16)</t>
  </si>
  <si>
    <t>CALIAT010000112.1_4(susD|Carbohydrate-binding protein SusD)</t>
  </si>
  <si>
    <t>CALIAT010000112.1_5(TonB-dependent receptor)</t>
  </si>
  <si>
    <t>CAJPRX010000025.1_2(Glycosyl hydrolase family 16)</t>
  </si>
  <si>
    <t>CAJPRX010000024.1_52(RagB/SusD family nutrient uptake outer membrane protein);CAJPRX010000025.1_4(susD|Carbohydrate-binding protein SusD)</t>
  </si>
  <si>
    <t>CAJPRX010000024.1_51(SusC/RagA family TonB-linked outer membrane protein);CAJPRX010000025.1_5(TonB-dependent receptor)</t>
  </si>
  <si>
    <t>. . SusC SusD . GH16_3 . SusD SusC . .</t>
  </si>
  <si>
    <t>JWDF01000007.1_78(Glucan endo-1,3-beta-glucosidase A1)</t>
  </si>
  <si>
    <t>CAACYH010000004.1_2121(Licheninase)</t>
  </si>
  <si>
    <t>CAACYH010000004.1_2123(RagB/SusD domain protein)</t>
  </si>
  <si>
    <t>CAACYH010000004.1_2124(TonB-dependent receptor plug domain protein)</t>
  </si>
  <si>
    <t>JVFB01000033.1_4(GH16 domain-containing protein)</t>
  </si>
  <si>
    <t>JVFB01000004.1_1(GH16 domain-containing protein)</t>
  </si>
  <si>
    <t>. GH16_3 . . . . .</t>
  </si>
  <si>
    <t>JVFB01000068.1_62(Glycosyl hydrolase family 16)</t>
  </si>
  <si>
    <t>JVFB01000068.1_60(susD|Carbohydrate-binding protein SusD)</t>
  </si>
  <si>
    <t>JVFB01000068.1_59(TonB-dependent receptor);JVFB01000068.1_66(TonB-dependent receptor plug domain-containing protein)</t>
  </si>
  <si>
    <t>. . SusC SusD . GH16_3 . . . SusC .</t>
  </si>
  <si>
    <t>JVAR01000153.1_1(family 16 glycosylhydrolase)</t>
  </si>
  <si>
    <t>JVAQ01000123.1_1(family 16 glycosylhydrolase)</t>
  </si>
  <si>
    <t>JVAB01000175.1_1(family 16 glycosylhydrolase)</t>
  </si>
  <si>
    <t>CP003191.1_2351(bglS|Beta-glucanase)</t>
  </si>
  <si>
    <t>CP003191.1_173(bglS|Beta-glucanase)</t>
  </si>
  <si>
    <t>CP003191.1_174(Putative lipoprotein)</t>
  </si>
  <si>
    <t>CP003191.1_175(cirA|TonB-dependent receptor SusC)</t>
  </si>
  <si>
    <t>CP003191.1_176(fecR|Sigma factor regulatory protein, FecR/PupR family)</t>
  </si>
  <si>
    <t>CP003191.1_177(rpoE|RNA polymerase sigma factor CarQ)</t>
  </si>
  <si>
    <t>JAERMS010000038.1_9(Glycoside hydrolase)</t>
  </si>
  <si>
    <t>JAERMS010000038.1_8(SusD/RagB family nutrient-binding outer membrane lipoprotein)</t>
  </si>
  <si>
    <t>JAERMS010000038.1_7(TonB-linked outer membrane protein, SusC/RagA family)</t>
  </si>
  <si>
    <t>JAQCZE010000007.1_71(Glucan endo-1,3-beta-glucosidase A1)</t>
  </si>
  <si>
    <t>JAESPJ010000026.1_59(Beta-glucanase)</t>
  </si>
  <si>
    <t>JAESPJ010000006.1_196(Beta-glucanase)</t>
  </si>
  <si>
    <t>JAESPJ010000027.1_5(Glycosyl hydrolase family 16)</t>
  </si>
  <si>
    <t>JAESPJ010000027.1_3(susD|Carbohydrate-binding protein SusD)</t>
  </si>
  <si>
    <t>JAESPJ010000027.1_2(TonB-dependent receptor)</t>
  </si>
  <si>
    <t>JAESPI010000055.1_11(Beta-glucanase)</t>
  </si>
  <si>
    <t>JAESPI010000045.1_4(Glycosyl hydrolase family 16)</t>
  </si>
  <si>
    <t>JAESPI010000045.1_6(susD|Carbohydrate-binding protein SusD)</t>
  </si>
  <si>
    <t>JAESPI010000045.1_7(TonB-dependent receptor)</t>
  </si>
  <si>
    <t>JAESPH010000003.1_420(glycoside hydrolase family 16 protein)</t>
  </si>
  <si>
    <t>JAESPH010000002.1_214(Beta-glucanase)</t>
  </si>
  <si>
    <t>JAESPH010000002.1_376(Glycosyl hydrolase family 16)</t>
  </si>
  <si>
    <t>JAESPH010000002.1_374(susD|Carbohydrate-binding protein SusD)</t>
  </si>
  <si>
    <t>JAESPH010000002.1_373(TonB-dependent receptor)</t>
  </si>
  <si>
    <t>JAEUAH010000001.1_59(glycoside hydrolase family 16 protein)</t>
  </si>
  <si>
    <t>JAEUAH010000004.1_8(Beta-glucanase)</t>
  </si>
  <si>
    <t>JAEUAH010000007.1_44(Glycosyl hydrolase family 16)</t>
  </si>
  <si>
    <t>JAEUAH010000007.1_46(susD|Carbohydrate-binding protein SusD)</t>
  </si>
  <si>
    <t>JAEUAH010000007.1_47(TonB-dependent receptor)</t>
  </si>
  <si>
    <t>JAQDHM010000012.1_4(glycoside hydrolase family 16 protein)</t>
  </si>
  <si>
    <t>JAQDHM010000008.1_83(LPXTG-motif cell wall anchor domain protein)</t>
  </si>
  <si>
    <t>JAQDHM010000009.1_1(Sigma-70 family RNA polymerase sigma factor)</t>
  </si>
  <si>
    <t>. . . . . GH16_3 Sigma . . . .</t>
  </si>
  <si>
    <t>QSKM01000035.1_1(hypothetical protein)</t>
  </si>
  <si>
    <t>QSKM01000011.1_1(family 16 glycosylhydrolase)</t>
  </si>
  <si>
    <t>GG694032.1_1(hypothetical protein)</t>
  </si>
  <si>
    <t>KL205535.1_22(Licheninase domain protein)</t>
  </si>
  <si>
    <t>KL205535.1_20(susD|SusD family protein)</t>
  </si>
  <si>
    <t>KL205535.1_19(TonB-dependent receptor plug domain protein)</t>
  </si>
  <si>
    <t>CP002122.1_1389(bglS|Glycoside hydrolase, family 16)</t>
  </si>
  <si>
    <t>CP002122.1_1385(porT|RNA polymerase sigma-70 region 2 domain-containing protein)</t>
  </si>
  <si>
    <t>GL586311.1_2531(Glycosyl hydrolase family 16)</t>
  </si>
  <si>
    <t>GL586311.1_558(Beta-glucanase)</t>
  </si>
  <si>
    <t>GL586311.1_560(susD|SusD family protein)</t>
  </si>
  <si>
    <t>GL586311.1_561(TonB-linked outer membrane protein, SusC/RagA family)</t>
  </si>
  <si>
    <t>ACLQ01000010.1_54(Beta-glucanase)</t>
  </si>
  <si>
    <t>JUET01000076.1_79(bglS|Beta-glucanase)</t>
  </si>
  <si>
    <t>VFJI01000001.1_1178(bglS|Beta-glucanase)</t>
  </si>
  <si>
    <t>JUET01000092.1_53(bglS|Beta-glucanase)</t>
  </si>
  <si>
    <t>JUET01000092.1_52(Putative lipoprotein)</t>
  </si>
  <si>
    <t>JUET01000092.1_51(cirA|TonB-dependent receptor SusC)</t>
  </si>
  <si>
    <t>JUET01000092.1_50(fecR|Sigma factor regulatory protein, FecR/PupR family)</t>
  </si>
  <si>
    <t>JUET01000092.1_49(rpoE|RNA polymerase sigma factor CarQ)</t>
  </si>
  <si>
    <t>VFJI01000001.1_264(bglS|Beta-glucanase)</t>
  </si>
  <si>
    <t>VFJI01000001.1_265(Putative lipoprotein)</t>
  </si>
  <si>
    <t>VFJI01000001.1_266(cirA|TonB-dependent receptor SusC)</t>
  </si>
  <si>
    <t>VFJI01000001.1_267(fecR|Sigma factor regulatory protein, FecR/PupR family)</t>
  </si>
  <si>
    <t>VFJI01000001.1_268(rpoE|RNA polymerase sigma factor CarQ)</t>
  </si>
  <si>
    <t>LVZK01000001.1_1526(GH16 domain-containing protein)</t>
  </si>
  <si>
    <t>CP040004.1_641(Glycosyl hydrolase family protein)</t>
  </si>
  <si>
    <t>CABFLV010000015.1_88(Glycoside hydrolase family 16 protein)</t>
  </si>
  <si>
    <t>CABFMA010000009.1_2(bglS|Glycoside hydrolase, family 16)</t>
  </si>
  <si>
    <t>RBJH01000131.1_2(hypothetical protein)</t>
  </si>
  <si>
    <t>RBKD01000048.1_1(Family 16 glycosylhydrolase)</t>
  </si>
  <si>
    <t>WMYY01000005.1_223(Family 16 glycosylhydrolase)</t>
  </si>
  <si>
    <t>WMYY01000021.1_3(hypothetical protein)</t>
  </si>
  <si>
    <t>WMZI01000003.1_173(LPXTG-motif cell wall anchor domain protein)</t>
  </si>
  <si>
    <t>WMZI01000010.1_1(family 16 glycosylhydrolase)</t>
  </si>
  <si>
    <t>WMZG01000003.1_173(LPXTG-motif cell wall anchor domain protein)</t>
  </si>
  <si>
    <t>WMZG01000008.1_1(family 16 glycosylhydrolase)</t>
  </si>
  <si>
    <t>WMZE01000005.1_1(hypothetical protein)</t>
  </si>
  <si>
    <t>WMZE01000005.1_4(LPXTG-motif cell wall anchor domain protein)</t>
  </si>
  <si>
    <t>JH114157.1_41(GH16 domain-containing protein)</t>
  </si>
  <si>
    <t>JH470339.1_212(GH16 domain-containing protein)</t>
  </si>
  <si>
    <t>ABZV01000007.1_151(Beta-glucanase)</t>
  </si>
  <si>
    <t>ABZV01000002.1_115(Glycosyl hydrolase family 16)</t>
  </si>
  <si>
    <t>ABZV01000002.1_113(susD|Carbohydrate-binding protein SusD)</t>
  </si>
  <si>
    <t>ABZV01000002.1_112(TonB-dependent receptor)</t>
  </si>
  <si>
    <t>CP014227.1_2338(Glucan endo-1,3-beta-glucosidase A1)</t>
  </si>
  <si>
    <t>CP014227.1_789(Beta-glucanase)</t>
  </si>
  <si>
    <t>CP014227.1_791(susD|SusD family)</t>
  </si>
  <si>
    <t>. . . . . GH16_3 . SusD . . .</t>
  </si>
  <si>
    <t>MSKJ01000001.1_28(Glycoside hydrolase family 16 protein)</t>
  </si>
  <si>
    <t>HE997182.1_416(Glycoside hydrolase, family 16)</t>
  </si>
  <si>
    <t>HE997182.1_414(Putative lipoprotein)</t>
  </si>
  <si>
    <t>HE997182.1_412(RNA polymerase sigma-70 factor)</t>
  </si>
  <si>
    <t>CP023863.1_1626(GH16 domain-containing protein)</t>
  </si>
  <si>
    <t>CP022022.1_3039(Beta-glucanase)</t>
  </si>
  <si>
    <t>CP022022.1_227(Beta-glucanase)</t>
  </si>
  <si>
    <t>CP022022.1_47(Glycosyl hydrolase family 16)</t>
  </si>
  <si>
    <t>CP022022.1_49(susD|Carbohydrate-binding protein SusD)</t>
  </si>
  <si>
    <t>CP022022.1_50(TonB-dependent receptor)</t>
  </si>
  <si>
    <t>FKLO01000052.1_2(Beta-glucanase)</t>
  </si>
  <si>
    <t>JAQETA010000007.1_54(Glycosyl hydrolase family 16)</t>
  </si>
  <si>
    <t>JAQETA010000002.1_130(Beta-glucanase)</t>
  </si>
  <si>
    <t>JAQETA010000002.1_128(susD|SusD family protein)</t>
  </si>
  <si>
    <t>JAQETA010000002.1_127(TonB-linked outer membrane protein, SusC/RagA family)</t>
  </si>
  <si>
    <t>JAQETB010000007.1_95(Glycosyl hydrolase family 16)</t>
  </si>
  <si>
    <t>JAQETB010000001.1_224(Beta-glucanase)</t>
  </si>
  <si>
    <t>JAQETB010000001.1_222(susD|SusD family protein)</t>
  </si>
  <si>
    <t>JAQETB010000001.1_221(TonB-linked outer membrane protein, SusC/RagA family)</t>
  </si>
  <si>
    <t>JAMZMG010000004.1_123(Glycoside hydrolase family 16 protein)</t>
  </si>
  <si>
    <t>AEXO01000095.1_68(Glucan endo-1,3-beta-glucosidase A1)</t>
  </si>
  <si>
    <t>CP022379.1_1762(Beta-glucanase)</t>
  </si>
  <si>
    <t>CP022379.1_1672(Glycosyl hydrolase family 16)</t>
  </si>
  <si>
    <t>CP022379.1_1670(susD|Carbohydrate-binding protein SusD)</t>
  </si>
  <si>
    <t>CP022379.1_1669(TonB-dependent receptor)</t>
  </si>
  <si>
    <t>GG739939.1_6(Glycosyl hydrolase family 16)</t>
  </si>
  <si>
    <t>GG739929.1_126(Beta-glucanase)</t>
  </si>
  <si>
    <t>GG739929.1_128(susD|SusD family protein)</t>
  </si>
  <si>
    <t>GG739929.1_129(TonB-linked outer membrane protein, SusC/RagA family)</t>
  </si>
  <si>
    <t>GG740010.1_332(bglS|Glycoside hydrolase, family 16)</t>
  </si>
  <si>
    <t>JRNJ01000055.1_34(GH16 domain-containing protein)</t>
  </si>
  <si>
    <t>JRNO01000001.1_147(Glucan endo-1,3-beta-glucosidase A1)</t>
  </si>
  <si>
    <t>CP001685.1_2144(bglS|Glucan endo-1,3-beta-D-glucosidase)</t>
  </si>
  <si>
    <t>FOVX01000011.1_51(Glucan endo-1,3-beta-glucosidase A1)</t>
  </si>
  <si>
    <t>FOVX01000002.1_16(Beta-glucanase)</t>
  </si>
  <si>
    <t>FOVX01000002.1_18(susD|SusD family)</t>
  </si>
  <si>
    <t>GL872283.1_214(Glycosyl hydrolase family 16)</t>
  </si>
  <si>
    <t>AUFQ01000014.1_19(Glycoside hydrolase, family 16)</t>
  </si>
  <si>
    <t>AUFQ01000014.1_23(ECF sigma factor);AUFQ01000014.1_24(Sigma-70 region 2)</t>
  </si>
  <si>
    <t>. . . . . GH16_3 . . . Sigma Sigma</t>
  </si>
  <si>
    <t>AUFQ01000005.1_122(Licheninase)</t>
  </si>
  <si>
    <t>AUFQ01000005.1_120(TonB-linked outer membrane protein, SusC/RagA family)</t>
  </si>
  <si>
    <t>. . . SusC . GH16_3 . . . . .</t>
  </si>
  <si>
    <t>KB898331.1_113(Glycosyl hydrolase family 16)</t>
  </si>
  <si>
    <t>KB899214.1_244(Licheninase domain protein)</t>
  </si>
  <si>
    <t>KB899214.1_246(susD|SusD family protein)</t>
  </si>
  <si>
    <t>KB899214.1_247(TonB-dependent receptor plug domain protein)</t>
  </si>
  <si>
    <t>KI911785.1_2206(bglS|Glycosyl hydrolase family 16)</t>
  </si>
  <si>
    <t>KB890278.1_41(Glycosyl hydrolase family 16)</t>
  </si>
  <si>
    <t>. . . . . GH16_3 .</t>
  </si>
  <si>
    <t>KB891079.1_4(Glycosyl hydrolase family 16)</t>
  </si>
  <si>
    <t>ATWK01000006.1_77(Glucan endo-1,3-beta-glucosidase A1)</t>
  </si>
  <si>
    <t>AUAY01000020.1_4(Glycosyl hydrolase family 16)</t>
  </si>
  <si>
    <t>JACICA010000001.1_232(GH16 domain-containing protein)</t>
  </si>
  <si>
    <t>QBKG01000008.1_19(Glycosyl hydrolase family 16)</t>
  </si>
  <si>
    <t>SLXB01000040.1_3(Licheninase)</t>
  </si>
  <si>
    <t>SLXB01000040.1_5(RagB/SusD domain protein)</t>
  </si>
  <si>
    <t>SLXB01000040.1_6(TonB-dependent receptor plug domain protein)</t>
  </si>
  <si>
    <t>FZNZ01000032.1_4(GH16 domain-containing protein)</t>
  </si>
  <si>
    <t>KE386870.1_246(Glycosyl hydrolase family 16)</t>
  </si>
  <si>
    <t>CP001632.1_561(GH16 domain-containing protein)</t>
  </si>
  <si>
    <t>CP001632.1_587(GH16 domain-containing protein)</t>
  </si>
  <si>
    <t>CP001632.1_1126(Glucan endo-1,3-beta-D-glucosidase)</t>
  </si>
  <si>
    <t>CP001632.1_1124(susD|Carbohydrate-binding protein SusD)</t>
  </si>
  <si>
    <t>CP001632.1_1123(TonB-dependent receptor)</t>
  </si>
  <si>
    <t>CP072384.1_2380(family 16 glycosylhydrolase)</t>
  </si>
  <si>
    <t>CP072384.1_2376(RNA polymerase sigma-70 region 4 domain-containing protein)</t>
  </si>
  <si>
    <t>JAUDBR010000014.1_71(Glycoside hydrolase family 16 protein)</t>
  </si>
  <si>
    <t>KB290702.1_52(Glycosyl hydrolase family 16)</t>
  </si>
  <si>
    <t>CP072361.1_127(Glycosyl hydrolase family 16)</t>
  </si>
  <si>
    <t>CP072361.1_485(family 16 glycosylhydrolase)</t>
  </si>
  <si>
    <t>CP072361.1_486(RagB/SusD family nutrient uptake outer membrane protein)</t>
  </si>
  <si>
    <t>CP072361.1_487(TonB-dependent receptor)</t>
  </si>
  <si>
    <t>. . . . . GH16_3 SusD SusC . . .</t>
  </si>
  <si>
    <t>GG774890.1_10(Licheninase)</t>
  </si>
  <si>
    <t>AWEY01000008.1_368(Glycoside hydrolase, family 16)</t>
  </si>
  <si>
    <t>AWEY01000008.1_372(ECF sigma factor);AWEY01000008.1_373(Sigma-70 region 2)</t>
  </si>
  <si>
    <t>AWEY01000008.1_70(Licheninase)</t>
  </si>
  <si>
    <t>AWEY01000008.1_72(TonB-linked outer membrane protein, SusC/RagA family)</t>
  </si>
  <si>
    <t>. . . . . GH16_3 . SusC . . .</t>
  </si>
  <si>
    <t>KN390011.1_9(Family 16 glycosylhydrolase)</t>
  </si>
  <si>
    <t>KN390011.1_6(RagB/SusD family nutrient uptake outer membrane protein)</t>
  </si>
  <si>
    <t>KN390011.1_5(SusC/RagA family TonB-linked outer membrane protein)</t>
  </si>
  <si>
    <t>. SusC SusD . . GH16_3 . . . . .</t>
  </si>
  <si>
    <t>KI259594.1_3(Glycosyl hydrolase family 16)</t>
  </si>
  <si>
    <t>CP072360.1_265(Glycosyl hydrolase family 16)</t>
  </si>
  <si>
    <t>CP072357.1_1163(Glycosyl hydrolase family 16)</t>
  </si>
  <si>
    <t>CP073339.1_268(Glucan endo-1,3-beta-glucosidase A1)</t>
  </si>
  <si>
    <t>CP072365.1_625(GH16 domain-containing protein)</t>
  </si>
  <si>
    <t>CP027234.1_465(Licheninase)</t>
  </si>
  <si>
    <t>CP027234.1_463(RagB/SusD domain protein)</t>
  </si>
  <si>
    <t>CP027234.1_462(TonB-dependent receptor plug domain protein)</t>
  </si>
  <si>
    <t>CP072374.1_1487(Glucan endo-1,3-beta-glucosidase A1)</t>
  </si>
  <si>
    <t>CP072373.1_5(Glucan endo-1,3-beta-glucosidase A1)</t>
  </si>
  <si>
    <t>GL872413.1_246(Licheninase)</t>
  </si>
  <si>
    <t>GG700633.1_126(Putative licheninase)</t>
  </si>
  <si>
    <t>CP014231.1_1168(family 16 glycosylhydrolase)</t>
  </si>
  <si>
    <t>ADAD01000002.1_7(Glycosyl hydrolase family 16)</t>
  </si>
  <si>
    <t>KI271431.1_2(Glycosyl hydrolase family 16)</t>
  </si>
  <si>
    <t>GL573160.1_1402(GH16 domain-containing protein)</t>
  </si>
  <si>
    <t>GL573160.1_1406(GH16 domain-containing protein)</t>
  </si>
  <si>
    <t>GL573160.1_1911(Glycosyl hydrolase family 16)</t>
  </si>
  <si>
    <t>GL573160.1_1909(susD|Carbohydrate-binding protein SusD);GL573160.1_1916(RagB/SusD domain-containing protein)</t>
  </si>
  <si>
    <t>GL573160.1_1908(TonB-dependent receptor);GL573160.1_1915(TonB-dependent receptor plug domain-containing protein)</t>
  </si>
  <si>
    <t>. . SusC SusD . GH16_3 . . . SusC SusD</t>
  </si>
  <si>
    <t>CP072371.1_1398(Glucan endo-1,3-beta-glucosidase A1)</t>
  </si>
  <si>
    <t>CP002589.1_506(Glucan endo-1,3-beta-glucosidase A1)</t>
  </si>
  <si>
    <t>AUTU01000019.1_17(Glycoside hydrolase, family 16)</t>
  </si>
  <si>
    <t>AUTU01000019.1_15(Putative lipoprotein)</t>
  </si>
  <si>
    <t>AUTU01000019.1_13(RNA polymerase sigma-70 factor)</t>
  </si>
  <si>
    <t>GG704824.1_693(Licheninase domain protein)</t>
  </si>
  <si>
    <t>GG704824.1_691(susD|SusD family protein)</t>
  </si>
  <si>
    <t>GG704824.1_690(TonB-dependent receptor plug domain protein)</t>
  </si>
  <si>
    <t>CP072354.1_45(bglS|Glycoside hydrolase, family 16)</t>
  </si>
  <si>
    <t>CP072354.1_1397(family 16 glycosylhydrolase)</t>
  </si>
  <si>
    <t>CP072354.1_1398(RagB/SusD family nutrient uptake outer membrane protein)</t>
  </si>
  <si>
    <t>CP072354.1_1399(TonB-dependent receptor);CP072354.1_1402(TonB-dependent receptor plug domain-containing protein)</t>
  </si>
  <si>
    <t>. . . . . GH16_3 SusD SusC . . SusC</t>
  </si>
  <si>
    <t>CP072351.1_1564(bglS|Glycoside hydrolase, family 16)</t>
  </si>
  <si>
    <t>CP072351.1_325(family 16 glycosylhydrolase)</t>
  </si>
  <si>
    <t>CP072351.1_324(RagB/SusD family nutrient uptake outer membrane protein)</t>
  </si>
  <si>
    <t>CP072351.1_320(TonB-dependent receptor plug domain-containing protein);CP072351.1_323(TonB-dependent receptor)</t>
  </si>
  <si>
    <t>SusC . . SusC SusD GH16_3 . . . . .</t>
  </si>
  <si>
    <t>CP072349.1_147(bglS|Glycoside hydrolase, family 16)</t>
  </si>
  <si>
    <t>CP072349.1_151(sigma-70 family RNA polymerase sigma factor)</t>
  </si>
  <si>
    <t>. . . . . GH16_3 . . . Sigma .</t>
  </si>
  <si>
    <t>CP072349.1_1255(family 16 glycosylhydrolase)</t>
  </si>
  <si>
    <t>CP072349.1_1256(RagB/SusD family nutrient uptake outer membrane protein)</t>
  </si>
  <si>
    <t>CP072349.1_1257(TonB-dependent receptor);CP072349.1_1260(TonB-dependent receptor plug domain-containing protein)</t>
  </si>
  <si>
    <t>CP072330.1_27(Glycosyl hydrolase family 16)</t>
  </si>
  <si>
    <t>GG698713.1_272(Glycosyl hydrolase family 16)</t>
  </si>
  <si>
    <t>JH376829.1_128(GH16 domain-containing protein)</t>
  </si>
  <si>
    <t>GG703879.1_802(GH16 domain-containing protein)</t>
  </si>
  <si>
    <t>CP040503.1_133(GH16 domain-containing protein)</t>
  </si>
  <si>
    <t>CP040005.1_469(Glycoside hydrolase family 16 protein)</t>
  </si>
  <si>
    <t>KB291553.1_679(Glucan endo-1,3-beta-glucosidase A1)</t>
  </si>
  <si>
    <t>KB291425.1_13(Beta-glucanase)</t>
  </si>
  <si>
    <t>KB291387.1_32(Beta-glucanase)</t>
  </si>
  <si>
    <t>KB291470.1_77(Glycosyl hydrolase family 16)</t>
  </si>
  <si>
    <t>KB291470.1_79(susD|Carbohydrate-binding protein SusD)</t>
  </si>
  <si>
    <t>KB291470.1_80(TonB-dependent receptor)</t>
  </si>
  <si>
    <t>CP012589.1_1260(GH16 domain-containing protein)</t>
  </si>
  <si>
    <t>CP012589.1_1282(GH16 domain-containing protein)</t>
  </si>
  <si>
    <t>CP012589.1_1887(Glycosyl hydrolase family 16)</t>
  </si>
  <si>
    <t>CP012589.1_1885(susD|Carbohydrate-binding protein SusD)</t>
  </si>
  <si>
    <t>CP012589.1_1884(TonB-dependent receptor);CP012589.1_1892(TonB-linked outer membrane protein, SusC/RagA family)</t>
  </si>
  <si>
    <t>. . SusC SusD . GH16_3 . . . . SusC</t>
  </si>
  <si>
    <t>AEKM01000012.1_170(LPXTG-motif cell wall anchor domain protein)</t>
  </si>
  <si>
    <t>AEKM01000012.1_173(LPXTG-motif cell wall anchor domain protein)</t>
  </si>
  <si>
    <t>JH376764.1_47(GH16 domain-containing protein)</t>
  </si>
  <si>
    <t>CP072367.1_63(GH16 domain-containing protein)</t>
  </si>
  <si>
    <t>KB291492.1_10(GH16 domain-containing protein)</t>
  </si>
  <si>
    <t>KB291493.1_5(TonB-dependent receptor-like beta-barrel domain-containing protein)</t>
  </si>
  <si>
    <t>KB291531.1_17(GH16 domain-containing protein)</t>
  </si>
  <si>
    <t>KB291533.1_10(Glycosyl hydrolase family 16)</t>
  </si>
  <si>
    <t>KB291533.1_8(susD|Carbohydrate-binding protein SusD);KB291533.1_15(RagB/SusD domain-containing protein)</t>
  </si>
  <si>
    <t>KB291533.1_7(TonB-dependent receptor);KB291533.1_14(TonB-dependent receptor plug domain-containing protein)</t>
  </si>
  <si>
    <t>AKFR01000037.1_73(GH16 domain-containing protein)</t>
  </si>
  <si>
    <t>AKFR01000012.1_12(GH16 domain-containing protein)</t>
  </si>
  <si>
    <t>AKFR01000015.1_107(Glycosyl hydrolase family 16)</t>
  </si>
  <si>
    <t>AKFR01000015.1_102(susD|SusD family protein);AKFR01000015.1_109(susD|Carbohydrate-binding protein SusD)</t>
  </si>
  <si>
    <t>AKFR01000015.1_110(TonB-dependent receptor)</t>
  </si>
  <si>
    <t>SusD . . . . GH16_3 . SusD SusC . .</t>
  </si>
  <si>
    <t>AJZR01000002.1_35(GH16 domain-containing protein)</t>
  </si>
  <si>
    <t>AJZR01000023.1_2(GH16 domain-containing protein)</t>
  </si>
  <si>
    <t>AJZR01000053.1_34(Glycosyl hydrolase family 16)</t>
  </si>
  <si>
    <t>AJZR01000053.1_32(susD|Carbohydrate-binding protein SusD)</t>
  </si>
  <si>
    <t>AJZR01000053.1_31(TonB-dependent receptor)</t>
  </si>
  <si>
    <t>KB291225.1_1(GH16 domain-containing protein)</t>
  </si>
  <si>
    <t>KB291243.1_16(GH16 domain-containing protein)</t>
  </si>
  <si>
    <t>KB291185.1_76(Glycosyl hydrolase family 16)</t>
  </si>
  <si>
    <t>KB291185.1_74(susD|Carbohydrate-binding protein SusD)</t>
  </si>
  <si>
    <t>KB291185.1_73(TonB-dependent receptor);KB291185.1_80(TonB-dependent receptor plug domain-containing protein)</t>
  </si>
  <si>
    <t>CP058259.1_421(Glycoside hydrolase family 16 protein)</t>
  </si>
  <si>
    <t>KE150488.1_12(GH16 domain-containing protein)</t>
  </si>
  <si>
    <t>KE150494.1_73(GH16 domain-containing protein)</t>
  </si>
  <si>
    <t>KE150488.1_512(Glycosyl hydrolase family 16)</t>
  </si>
  <si>
    <t>KE150488.1_510(susD|Carbohydrate-binding protein SusD);KE150488.1_517(RagB/SusD domain-containing protein)</t>
  </si>
  <si>
    <t>KE150488.1_509(TonB-dependent receptor);KE150488.1_516(TonB-dependent receptor plug domain-containing protein)</t>
  </si>
  <si>
    <t>CP027232.1_1840(GH16 domain-containing protein)</t>
  </si>
  <si>
    <t>CP027232.1_1863(GH16 domain-containing protein)</t>
  </si>
  <si>
    <t>CP027232.1_1319(Glycosyl hydrolase family 16)</t>
  </si>
  <si>
    <t>CP027232.1_1314(RagB/SusD domain-containing protein);CP027232.1_1321(susD|Carbohydrate-binding protein SusD)</t>
  </si>
  <si>
    <t>CP027232.1_1315(TonB-dependent receptor plug domain-containing protein);CP027232.1_1322(TonB-dependent receptor)</t>
  </si>
  <si>
    <t>SusD SusC . . . GH16_3 . SusD SusC . .</t>
  </si>
  <si>
    <t>CP072348.1_1325(bglS|Glycoside hydrolase, family 16)</t>
  </si>
  <si>
    <t>CP072348.1_1330(sigma-70 family RNA polymerase sigma factor)</t>
  </si>
  <si>
    <t>KE951502.1_204(GH16 domain-containing protein)</t>
  </si>
  <si>
    <t>CP130059.1_718(hypothetical protein)</t>
  </si>
  <si>
    <t>CP027229.1_1515(Beta-glucanase)</t>
  </si>
  <si>
    <t>CP027229.1_1516(RagB/SusD family nutrient uptake outer membrane protein)</t>
  </si>
  <si>
    <t>CP027229.1_1517(SusC/RagA family protein)</t>
  </si>
  <si>
    <t>KE951428.1_85(Glycoside hydrolase family 16 protein)</t>
  </si>
  <si>
    <t>KI271337.1_7(Glycosyl hydrolase family 16)</t>
  </si>
  <si>
    <t>KI272920.1_1(Glycosyl hydrolase family 16)</t>
  </si>
  <si>
    <t>CP016753.1_720(Family 16 glycosylhydrolase)</t>
  </si>
  <si>
    <t>PYXE01000001.1_2038(GH16 domain-containing protein)</t>
  </si>
  <si>
    <t>CP072345.1_286(bglS|Glycoside hydrolase, family 16)</t>
  </si>
  <si>
    <t>CP072343.1_1413(bglS|Glycoside hydrolase, family 16)</t>
  </si>
  <si>
    <t>CP072363.1_1066(GH16 domain-containing protein)</t>
  </si>
  <si>
    <t>JABXYV010000001.1_2150(Glycosyl hydrolase family 16)</t>
  </si>
  <si>
    <t>CP072378.1_1731(glycoside hydrolase family 16 protein)</t>
  </si>
  <si>
    <t>CP072377.1_1974(Family 16 glycosylhydrolase)</t>
  </si>
  <si>
    <t>JABXYU010000001.1_1156(Glycoside hydrolase family 16 protein)</t>
  </si>
  <si>
    <t>MSQE01000004.1_19(Glycoside hydrolase family 16 protein)</t>
  </si>
  <si>
    <t>CP082870.1_1763(GH16 domain-containing protein)</t>
  </si>
  <si>
    <t>CP082870.1_1789(GH16 domain-containing protein)</t>
  </si>
  <si>
    <t>CP082870.1_142(Glucan endo-1,3-beta-D-glucosidase)</t>
  </si>
  <si>
    <t>CP082870.1_140(susD|Carbohydrate-binding protein SusD)</t>
  </si>
  <si>
    <t>CP082870.1_139(TonB-dependent receptor)</t>
  </si>
  <si>
    <t>CP085961.1_1061(GH16 domain-containing protein)</t>
  </si>
  <si>
    <t>CP085961.1_1065(GH16 domain-containing protein)</t>
  </si>
  <si>
    <t>CP085961.1_1568(Glycosyl hydrolase family 16)</t>
  </si>
  <si>
    <t>CP085961.1_1566(susD|Carbohydrate-binding protein SusD);CP085961.1_1573(RagB/SusD domain-containing protein)</t>
  </si>
  <si>
    <t>CP085961.1_1565(TonB-dependent receptor);CP085961.1_1572(TonB-dependent receptor plug domain-containing protein)</t>
  </si>
  <si>
    <t>CP085942.1_1106(bglS|Glycoside hydrolase, family 16)</t>
  </si>
  <si>
    <t>CP085942.1_1102(porT|RNA polymerase sigma-70 region 2 domain-containing protein)</t>
  </si>
  <si>
    <t>CP022040.2_4(bglS|Glycoside hydrolase, family 16)</t>
  </si>
  <si>
    <t>. . . . GH16_3 . . . . .</t>
  </si>
  <si>
    <t>CP046316.1_2236(Family 16 glycosylhydrolase)</t>
  </si>
  <si>
    <t>CP046316.1_2239(RagB/SusD family nutrient uptake outer membrane protein)</t>
  </si>
  <si>
    <t>CP046316.1_2240(SusC/RagA family TonB-linked outer membrane protein);CP046316.1_2241(TonB-dependent receptor)</t>
  </si>
  <si>
    <t>. . . . . GH16_3 . . SusD SusC SusC</t>
  </si>
  <si>
    <t>CP054011.1_1341(bglS|Glycoside hydrolase, family 16)</t>
  </si>
  <si>
    <t>AP018049.1_1341(bglS|Glycoside hydrolase, family 16)</t>
  </si>
  <si>
    <t>CP022386.1_1507(Beta-glucanase)</t>
  </si>
  <si>
    <t>CP022386.1_1503(Outer membrane receptor proteins, mostly Fe transport)</t>
  </si>
  <si>
    <t>CP022383.1_1982(Beta-glucanase)</t>
  </si>
  <si>
    <t>CP022383.1_1795(Beta-glucanase)</t>
  </si>
  <si>
    <t>CP022383.1_1885(Glycosyl hydrolase family 16)</t>
  </si>
  <si>
    <t>CP022383.1_1883(susD|Carbohydrate-binding protein SusD)</t>
  </si>
  <si>
    <t>CP022383.1_1882(TonB-dependent receptor)</t>
  </si>
  <si>
    <t>CP022384.1_1071(Family 16 glycosylhydrolase)</t>
  </si>
  <si>
    <t>CP022384.1_1072(RagB/SusD family nutrient uptake outer membrane protein);CP022384.1_1074(RagB/SusD family nutrient uptake outer membrane protein)</t>
  </si>
  <si>
    <t>CP022384.1_1073(SusC/RagA family protein);CP022384.1_1075(SusC/RagA family TonB-linked outer membrane protein)</t>
  </si>
  <si>
    <t>NIBW01000001.1_339(Beta-glucanase)</t>
  </si>
  <si>
    <t>NIBW01000001.1_530(Beta-glucanase)</t>
  </si>
  <si>
    <t>NIBW01000001.1_445(Glycosyl hydrolase family 16)</t>
  </si>
  <si>
    <t>NIBW01000001.1_447(susD|Carbohydrate-binding protein SusD)</t>
  </si>
  <si>
    <t>NIBW01000001.1_448(TonB-dependent receptor)</t>
  </si>
  <si>
    <t>CP068012.1_432(Glycoside hydrolase family 16 protein)</t>
  </si>
  <si>
    <t>CP130323.1_247(Glycosyl hydrolase family 16)</t>
  </si>
  <si>
    <t>AKFV01000025.1_22(GH16 domain-containing protein)</t>
  </si>
  <si>
    <t>AKFV01000025.1_26(GH16 domain-containing protein)</t>
  </si>
  <si>
    <t>AKFV01000021.1_32(Glycosyl hydrolase family 16)</t>
  </si>
  <si>
    <t>AKFV01000021.1_30(susD|Carbohydrate-binding protein SusD);AKFV01000021.1_37(RagB/SusD domain-containing protein)</t>
  </si>
  <si>
    <t>AKFV01000021.1_29(TonB-dependent receptor);AKFV01000021.1_36(TonB-dependent receptor plug domain-containing protein)</t>
  </si>
  <si>
    <t>JACD01000054.1_33(bglS|Glycoside hydrolase, family 16)</t>
  </si>
  <si>
    <t>BAJB01000012.1_49(Licheninase domain protein)</t>
  </si>
  <si>
    <t>BAJB01000012.1_52(susD|SusD family protein)</t>
  </si>
  <si>
    <t>BAJB01000012.1_54(TonB-linked outer membrane protein, SusC/RagA family)</t>
  </si>
  <si>
    <t>. . . . . GH16_3 . . SusD . SusC</t>
  </si>
  <si>
    <t>BAJF01000022.1_22(hypothetical protein)</t>
  </si>
  <si>
    <t>BAJF01000022.1_27(ECF sigma factor)</t>
  </si>
  <si>
    <t>BAJF01000020.1_49(Licheninase)</t>
  </si>
  <si>
    <t>BAJF01000020.1_47(TonB-linked outer membrane protein, SusC/RagA family)</t>
  </si>
  <si>
    <t>BAJG01000001.1_85(Glucan endo-1,3-beta-glucosidase A1)</t>
  </si>
  <si>
    <t>BAJX01000018.1_20(GH16 domain-containing protein)</t>
  </si>
  <si>
    <t>BAKO01000029.1_14(Licheninase)</t>
  </si>
  <si>
    <t>BAIP01000010.1_60(Glycosyl hydrolase family 16)</t>
  </si>
  <si>
    <t>AP019822.1_2182(bglS|Glycosyl hydrolase family 16)</t>
  </si>
  <si>
    <t>AP019823.1_2220(Glycosyl hydrolase family 16)</t>
  </si>
  <si>
    <t>AP019827.1_92(Glycosyl hydrolase family 16)</t>
  </si>
  <si>
    <t>AP019829.2_2003(Glycosyl hydrolase family 16)</t>
  </si>
  <si>
    <t>JABZKA010000003.1_159(Glycosyl hydrolase family protein)</t>
  </si>
  <si>
    <t>JABZKA010000003.1_158(Glycoside hydrolase family 16 protein)</t>
  </si>
  <si>
    <t>JABZSL010000001.1_230(GH16 domain-containing protein)</t>
  </si>
  <si>
    <t>JABZGJ010000083.1_3(Glucan endo-1,3-beta-glucosidase A1)</t>
  </si>
  <si>
    <t>JABZWH010000010.1_30(bglS|Glycoside hydrolase, family 16)</t>
  </si>
  <si>
    <t>JABZWL010000006.1_35(bglS|Glycoside hydrolase, family 16)</t>
  </si>
  <si>
    <t>JABZSO010000009.1_61(GH16 domain-containing protein)</t>
  </si>
  <si>
    <t>JABZWP010000004.1_115(bglS|Glycoside hydrolase, family 16)</t>
  </si>
  <si>
    <t>JABZSR010000010.1_39(GH16 domain-containing protein)</t>
  </si>
  <si>
    <t>JABZSR010000081.1_1(bglS|Glycoside hydrolase, family 16)</t>
  </si>
  <si>
    <t>JABZGB010000026.1_1(GH16 domain-containing protein)</t>
  </si>
  <si>
    <t>JABZJS010000001.1_81(Family 16 glycosylhydrolase)</t>
  </si>
  <si>
    <t>JABZJS010000025.1_5(hypothetical protein)</t>
  </si>
  <si>
    <t>JABZJS010000022.1_2(Glycoside hydrolase family 16 protein)</t>
  </si>
  <si>
    <t>JABZJS010000005.1_22(Family 16 glycosylhydrolase)</t>
  </si>
  <si>
    <t>JABZSK010000002.1_42(Glucan endo-1,3-beta-glucosidase A1)</t>
  </si>
  <si>
    <t>JABZWR010000010.1_44(bglS|Glycoside hydrolase, family 16)</t>
  </si>
  <si>
    <t>JABZWS010000070.1_3(bglS|Glycoside hydrolase, family 16)</t>
  </si>
  <si>
    <t>JABZWT010000004.1_35(bglS|Glycoside hydrolase, family 16)</t>
  </si>
  <si>
    <t>JABZWT010000004.1_30(porT|RNA polymerase sigma-70 region 2 domain-containing protein)</t>
  </si>
  <si>
    <t>JABZWU010000008.1_31(bglS|Glycoside hydrolase, family 16)</t>
  </si>
  <si>
    <t>JABZWV010000007.1_6(bglS|Glycoside hydrolase, family 16)</t>
  </si>
  <si>
    <t>JABZST010000031.1_7(GH16 domain-containing protein)</t>
  </si>
  <si>
    <t>JABZGH010000001.1_48(Glucan endo-1,3-beta-glucosidase A1)</t>
  </si>
  <si>
    <t>JABZSZ010000090.1_4(bglS|Glycoside hydrolase, family 16)</t>
  </si>
  <si>
    <t>JABZSV010000019.1_18(GH16 domain-containing protein)</t>
  </si>
  <si>
    <t>JABZXR010000050.1_16(hypothetical protein)</t>
  </si>
  <si>
    <t>JABZSX010000003.1_82(GH16 domain-containing protein)</t>
  </si>
  <si>
    <t>JABZWZ010000007.1_11(bglS|Glycoside hydrolase, family 16)</t>
  </si>
  <si>
    <t>JABZSY010000004.1_58(GH16 domain-containing protein)</t>
  </si>
  <si>
    <t>AP019834.1_2071(Glycosyl hydrolase family 16)</t>
  </si>
  <si>
    <t>AP019834.1_149(Glucan endo-1,3-beta-D-glucosidase)</t>
  </si>
  <si>
    <t>AP019835.1_2159(Glycosyl hydrolase family 16)</t>
  </si>
  <si>
    <t>AP019841.1_2093(Glycosyl hydrolase family 16)</t>
  </si>
  <si>
    <t>AP019846.1_68(Glycosyl hydrolase family 16)</t>
  </si>
  <si>
    <t>BABV01000514.1_8(Glycoside hydrolase family 16 protein)</t>
  </si>
  <si>
    <t>AP025590.1_479(Glycoside hydrolase family 16 protein)</t>
  </si>
  <si>
    <t>KQ960105.1_1(Glycosyl hydrolase family 16)</t>
  </si>
  <si>
    <t>KQ960074.1_1(Glucan endo-1,3-beta-D-glucosidase)</t>
  </si>
  <si>
    <t>CP089520.1_607(Family 16 glycosylhydrolase)</t>
  </si>
  <si>
    <t>CP089520.1_608(Family 16 glycosylhydrolase)</t>
  </si>
  <si>
    <t>CP022385.1_1838(Beta-glucanase)</t>
  </si>
  <si>
    <t>CP022385.1_1747(Glycosyl hydrolase family 16)</t>
  </si>
  <si>
    <t>CP022385.1_1745(susD|Carbohydrate-binding protein SusD)</t>
  </si>
  <si>
    <t>CP022385.1_1744(TonB-dependent receptor)</t>
  </si>
  <si>
    <t>CP032056.1_965(Glucan endo-1,3-beta-glucosidase A1)</t>
  </si>
  <si>
    <t>CP110228.1_57(GH16 domain-containing protein)</t>
  </si>
  <si>
    <t>CP110228.1_84(GH16 domain-containing protein)</t>
  </si>
  <si>
    <t>CP110228.1_603(Glycosyl hydrolase family 16)</t>
  </si>
  <si>
    <t>CP110228.1_601(susD|Carbohydrate-binding protein SusD);CP110228.1_608(susD|SusD family protein)</t>
  </si>
  <si>
    <t>CP110228.1_600(TonB-dependent receptor)</t>
  </si>
  <si>
    <t>. . SusC SusD . GH16_3 . . . . SusD</t>
  </si>
  <si>
    <t>CP110229.1_653(GH16 domain-containing protein)</t>
  </si>
  <si>
    <t>CP110229.1_676(GH16 domain-containing protein)</t>
  </si>
  <si>
    <t>CP110229.1_152(Glycosyl hydrolase family 16)</t>
  </si>
  <si>
    <t>CP110229.1_150(susD|Carbohydrate-binding protein SusD)</t>
  </si>
  <si>
    <t>CP110229.1_149(TonB-dependent receptor)</t>
  </si>
  <si>
    <t>CP110230.1_1650(glycoside hydrolase family 16 protein)</t>
  </si>
  <si>
    <t>CP110230.1_1676(GH16 domain-containing protein)</t>
  </si>
  <si>
    <t>CP110230.1_1106(Glycosyl hydrolase family 16)</t>
  </si>
  <si>
    <t>CP110230.1_1101(susD|SusD family protein);CP110230.1_1108(susD|Carbohydrate-binding protein SusD)</t>
  </si>
  <si>
    <t>CP110230.1_1109(TonB-dependent receptor)</t>
  </si>
  <si>
    <t>AP013045.1_2419(bglS|Beta-glucanase)</t>
  </si>
  <si>
    <t>AP013045.1_217(bglS|Beta-glucanase)</t>
  </si>
  <si>
    <t>AP013045.1_218(Putative lipoprotein)</t>
  </si>
  <si>
    <t>AP013045.1_219(cirA|TonB-dependent receptor SusC)</t>
  </si>
  <si>
    <t>AP013045.1_221(fecR|Sigma factor regulatory protein, FecR/PupR family)</t>
  </si>
  <si>
    <t>AP013045.1_222(rpoE|RNA polymerase sigma factor CarQ)</t>
  </si>
  <si>
    <t>. . . . . GH16_3 SusD SusC . FecR Sigma</t>
  </si>
  <si>
    <t>LT608321.1_1682(family 16 glycosylhydrolase)</t>
  </si>
  <si>
    <t>LT608321.1_1677(TonB-dependent receptor domain-containing protein)</t>
  </si>
  <si>
    <t>FNVZ01000003.1_101(Glycosyl hydrolase family 16)</t>
  </si>
  <si>
    <t>CABPVU010000002.1_112(Glycosyl hydrolase family 16)</t>
  </si>
  <si>
    <t>CABPVU010000050.1_9(Beta-glucanase)</t>
  </si>
  <si>
    <t>CABPVU010000050.1_7(susD|SusD family protein)</t>
  </si>
  <si>
    <t>CABPVU010000050.1_6(TonB-linked outer membrane protein, SusC/RagA family)</t>
  </si>
  <si>
    <t>CABKRD010000010.1_73(Glucan endo-1,3-beta-glucosidase A1)</t>
  </si>
  <si>
    <t>CABKWU010000006.1_1682(family 16 glycosylhydrolase)</t>
  </si>
  <si>
    <t>CABKWU010000006.1_1677(TonB-dependent receptor domain-containing protein)</t>
  </si>
  <si>
    <t>CABSUF010000012.1_36(GH16 domain-containing protein)</t>
  </si>
  <si>
    <t>CABSXG010000004.1_32(GH16 domain-containing protein)</t>
  </si>
  <si>
    <t>CABTAG010000070.1_8(GH16 domain-containing protein)</t>
  </si>
  <si>
    <t>CABTAG010000071.1_10(GH16 domain-containing protein)</t>
  </si>
  <si>
    <t>CABTAG010000052.1_6(Glycosyl hydrolase family 16)</t>
  </si>
  <si>
    <t>CABTAG010000052.1_4(susD|Carbohydrate-binding protein SusD);CABTAG010000053.1_2(ragB|Susd and RagB outer membrane lipoprotein)</t>
  </si>
  <si>
    <t>CABTAG010000052.1_3(TonB-dependent receptor);CABTAG010000053.1_1(TonB-dependent receptor plug domain-containing protein)</t>
  </si>
  <si>
    <t>CABTBH010000007.1_35(Glucan endo-1,3-beta-glucosidase A1)</t>
  </si>
  <si>
    <t>CABTGN010000079.1_6(bglS|Glycoside hydrolase, family 16)</t>
  </si>
  <si>
    <t>CABVDX010000029.1_4(Glycosyl hydrolase family 16)</t>
  </si>
  <si>
    <t>ALJQ01000015.1_69(Glycosyl hydrolase family 16)</t>
  </si>
  <si>
    <t>ALJQ01000024.1_142(Beta-glucanase)</t>
  </si>
  <si>
    <t>ALJQ01000024.1_144(susD|SusD family protein)</t>
  </si>
  <si>
    <t>ALJQ01000024.1_145(TonB-linked outer membrane protein, SusC/RagA family)</t>
  </si>
  <si>
    <t>JAUUQB010000004.1_74(Beta-glucanase)</t>
  </si>
  <si>
    <t>JAUUQB010000004.1_76(susD|SusD family protein)</t>
  </si>
  <si>
    <t>JAUUQB010000004.1_77(TonB-linked outer membrane protein, SusC/RagA family)</t>
  </si>
  <si>
    <t>CABFLH010000008.1_35(Glycosyl hydrolase family 16)</t>
  </si>
  <si>
    <t>JAESPK010000027.1_13(glycoside hydrolase family 16 protein)</t>
  </si>
  <si>
    <t>JAESPK010000025.1_2(Beta-glucanase)</t>
  </si>
  <si>
    <t>JAESPK010000015.1_29(Glycosyl hydrolase family 16)</t>
  </si>
  <si>
    <t>JAESPK010000015.1_31(susD|Carbohydrate-binding protein SusD)</t>
  </si>
  <si>
    <t>JAESPK010000015.1_32(TonB-dependent receptor)</t>
  </si>
  <si>
    <t>LR134365.1_2381(Glycosyl hydrolase family 16)</t>
  </si>
  <si>
    <t>LR134489.1_1896(Beta-glucanase)</t>
  </si>
  <si>
    <t>LR134489.1_1715(Beta-glucanase)</t>
  </si>
  <si>
    <t>LR134489.1_1804(Glycosyl hydrolase family 16)</t>
  </si>
  <si>
    <t>LR134489.1_1802(susD|Carbohydrate-binding protein SusD)</t>
  </si>
  <si>
    <t>LR134489.1_1801(TonB-dependent receptor)</t>
  </si>
  <si>
    <t>UYIQ01000001.1_823(GH16 domain-containing protein)</t>
  </si>
  <si>
    <t>UYIQ01000001.1_1672(GH16 domain-containing protein)</t>
  </si>
  <si>
    <t>UYIQ01000001.1_1330(Glycosyl hydrolase family 16)</t>
  </si>
  <si>
    <t>UYIQ01000001.1_1328(susD|Carbohydrate-binding protein SusD);UYIQ01000001.1_1335(susD|SusD family protein)</t>
  </si>
  <si>
    <t>UYIQ01000001.1_1327(TonB-dependent receptor)</t>
  </si>
  <si>
    <t>UAVS01000001.1_740(GH16 domain-containing protein)</t>
  </si>
  <si>
    <t>UAVS01000001.1_713(GH16 domain-containing protein)</t>
  </si>
  <si>
    <t>UAVS01000001.1_136(Glycosyl hydrolase family 16)</t>
  </si>
  <si>
    <t>UAVS01000001.1_138(susD|Carbohydrate-binding protein SusD)</t>
  </si>
  <si>
    <t>UAVS01000001.1_131(TonB-linked outer membrane protein, SusC/RagA family);UAVS01000001.1_139(TonB-dependent receptor)</t>
  </si>
  <si>
    <t>SusC . . . . GH16_3 . SusD SusC . .</t>
  </si>
  <si>
    <t>UARG01000017.1_911(GH16 domain-containing protein)</t>
  </si>
  <si>
    <t>UARG01000017.1_934(GH16 domain-containing protein)</t>
  </si>
  <si>
    <t>UARG01000017.1_1456(Glycosyl hydrolase family 16)</t>
  </si>
  <si>
    <t>UARG01000017.1_1453(susD|Carbohydrate-binding protein SusD);UARG01000017.1_1461(RagB/SusD domain-containing protein)</t>
  </si>
  <si>
    <t>UARG01000017.1_1452(TonB-dependent receptor);UARG01000017.1_1460(TonB-dependent receptor plug domain-containing protein)</t>
  </si>
  <si>
    <t>. SusC SusD . . GH16_3 . . . SusC SusD</t>
  </si>
  <si>
    <t>UAVP01000008.1_151(Beta-glucanase)</t>
  </si>
  <si>
    <t>UAVP01000008.1_244(Glycosyl hydrolase family 16)</t>
  </si>
  <si>
    <t>UAVP01000008.1_246(susD|Carbohydrate-binding protein SusD)</t>
  </si>
  <si>
    <t>UAVP01000008.1_247(TonB-dependent receptor)</t>
  </si>
  <si>
    <t>LT906449.1_1815(Glucan endo-1,3-beta-glucosidase A1)</t>
  </si>
  <si>
    <t>LT906449.1_937(Beta-glucanase)</t>
  </si>
  <si>
    <t>LT906449.1_935(susD|SusD family)</t>
  </si>
  <si>
    <t>. . . SusD . GH16_3 . . . . .</t>
  </si>
  <si>
    <t>UGTJ01000001.1_1583(Beta-glucanase)</t>
  </si>
  <si>
    <t>UGTJ01000001.1_1581(susD|SusD family protein)</t>
  </si>
  <si>
    <t>UGTJ01000001.1_1580(TonB-linked outer membrane protein, SusC/RagA family)</t>
  </si>
  <si>
    <t>UGTM01000001.1_1561(Glucan endo-1,3-beta-glucosidase A1)</t>
  </si>
  <si>
    <t>LXSH01000028.1_32(GH16 domain-containing protein)</t>
  </si>
  <si>
    <t>JAEZJU010000009.1_24(Licheninase)</t>
  </si>
  <si>
    <t>JAEZJU010000009.1_26(RagB/SusD domain protein)</t>
  </si>
  <si>
    <t>JAEZJU010000009.1_27(TonB-dependent receptor plug domain protein)</t>
  </si>
  <si>
    <t>JAFADK010000084.1_11(Licheninase)</t>
  </si>
  <si>
    <t>JAFADK010000084.1_9(RagB/SusD domain protein)</t>
  </si>
  <si>
    <t>JAFADK010000084.1_8(TonB-dependent receptor plug domain protein)</t>
  </si>
  <si>
    <t>RQYF01000021.1_6(Licheninase)</t>
  </si>
  <si>
    <t>RQYF01000021.1_4(RagB/SusD domain protein)</t>
  </si>
  <si>
    <t>RQYF01000021.1_3(TonB-dependent receptor plug domain protein)</t>
  </si>
  <si>
    <t>JAGTWK010000002.1_39(Glycosyl hydrolase family protein)</t>
  </si>
  <si>
    <t>JAGTWK010000002.1_38(Glycoside hydrolase family 16 protein)</t>
  </si>
  <si>
    <t>JH594501.1_223(GH16 domain-containing protein)</t>
  </si>
  <si>
    <t>JH594501.1_224(RagB/SusD domain-containing protein);JH594501.1_226(RagB/SusD domain-containing protein)</t>
  </si>
  <si>
    <t>JH594501.1_225(SusC/RagA family TonB-linked outer membrane protein);JH594501.1_227(SusC/RagA family TonB-linked outer membrane protein)</t>
  </si>
  <si>
    <t>JAEFDB010000002.1_148(Beta-glucanase)</t>
  </si>
  <si>
    <t>JAEFDB010000003.1_72(Beta-glucanase)</t>
  </si>
  <si>
    <t>JAEFDB010000002.1_311(Glycosyl hydrolase family 16)</t>
  </si>
  <si>
    <t>JAEFDB010000002.1_309(susD|Carbohydrate-binding protein SusD)</t>
  </si>
  <si>
    <t>JAEFDB010000002.1_308(TonB-dependent receptor)</t>
  </si>
  <si>
    <t>CAGY01000001.1_73(Glucan endo-1,3-beta-glucosidase A1)</t>
  </si>
  <si>
    <t>JAUMZT010000024.1_30(Glycoside hydrolase family 16 protein)</t>
  </si>
  <si>
    <t>JAUMZZ010000014.1_2(glycoside hydrolase family 16 protein)</t>
  </si>
  <si>
    <t>JAUMZZ010000004.1_74(autotransporter domain-containing protein)</t>
  </si>
  <si>
    <t>JAUNAA010000005.1_57(family 16 glycosylhydrolase)</t>
  </si>
  <si>
    <t>JAUNAA010000005.1_53(RNA polymerase sigma-70 region 4 domain-containing protein)</t>
  </si>
  <si>
    <t>JAHXCX010000019.1_43(GH16 domain-containing protein)</t>
  </si>
  <si>
    <t>JAHXCW010000010.1_39(bglS|Glycoside hydrolase, family 16)</t>
  </si>
  <si>
    <t>JAHXCV010000001.1_41(GH16 domain-containing protein)</t>
  </si>
  <si>
    <t>JAHXCS010000033.1_34(GH16 domain-containing protein)</t>
  </si>
  <si>
    <t>JAHXCQ010000002.1_85(Glucan endo-1,3-beta-glucosidase A1)</t>
  </si>
  <si>
    <t>JAHXCM010000003.1_45(bglS|Glycoside hydrolase, family 16)</t>
  </si>
  <si>
    <t>JAHXCL010000001.1_123(Glucan endo-1,3-beta-glucosidase A1)</t>
  </si>
  <si>
    <t>JAHXCK010000003.1_96(bglS|Glycoside hydrolase, family 16)</t>
  </si>
  <si>
    <t>JAHXCJ010000001.1_123(Glucan endo-1,3-beta-glucosidase A1)</t>
  </si>
  <si>
    <t>JAHXCP010000002.1_212(bglS|Glycoside hydrolase, family 16)</t>
  </si>
  <si>
    <t>JAHXCO010000001.1_295(GH16 domain-containing protein)</t>
  </si>
  <si>
    <t>JAHXCN010000003.1_96(bglS|Glycoside hydrolase, family 16)</t>
  </si>
  <si>
    <t>JAHXCI010000015.1_33(GH16 domain-containing protein)</t>
  </si>
  <si>
    <t>JAHXCH010000014.1_33(GH16 domain-containing protein)</t>
  </si>
  <si>
    <t>JAHXRE010000011.1_39(hypothetical protein)</t>
  </si>
  <si>
    <t>JAHXCF010000011.1_37(hypothetical protein)</t>
  </si>
  <si>
    <t>JAHXRH010000017.1_8(hypothetical protein)</t>
  </si>
  <si>
    <t>JAHXRC010000002.1_92(Glucan endo-1,3-beta-glucosidase A1)</t>
  </si>
  <si>
    <t>JAHXRA010000010.1_78(bglS|Glycoside hydrolase, family 16)</t>
  </si>
  <si>
    <t>JAHXCD010000010.1_35(bglS|Glycoside hydrolase, family 16)</t>
  </si>
  <si>
    <t>JAHXCC010000010.1_35(bglS|Glycoside hydrolase, family 16)</t>
  </si>
  <si>
    <t>JAHXQZ010000009.1_60(bglS|Glycoside hydrolase, family 16)</t>
  </si>
  <si>
    <t>JAHXCE010000010.1_7(bglS|Glycoside hydrolase, family 16)</t>
  </si>
  <si>
    <t>JAHXQX010000008.1_67(Glycosyl hydrolase family 16)</t>
  </si>
  <si>
    <t>JAHXQX010000002.1_128(Beta-glucanase)</t>
  </si>
  <si>
    <t>JAHXQX010000002.1_126(susD|SusD family protein)</t>
  </si>
  <si>
    <t>JAHXQX010000002.1_125(TonB-linked outer membrane protein, SusC/RagA family)</t>
  </si>
  <si>
    <t>JAHXQW010000020.1_40(bglS|Glycoside hydrolase, family 16)</t>
  </si>
  <si>
    <t>AP024463.1_2375(family 16 glycosylhydrolase)</t>
  </si>
  <si>
    <t>AP024463.1_2371(RNA polymerase sigma-70 region 4 domain-containing protein)</t>
  </si>
  <si>
    <t>AFUC01000015.1_34(family 16 glycosylhydrolase)</t>
  </si>
  <si>
    <t>AFUC01000015.1_31(LPXTG-motif cell wall anchor domain protein)</t>
  </si>
  <si>
    <t>AFUT01000003.1_98(hypothetical protein)</t>
  </si>
  <si>
    <t>SDRM01000007.1_30(Glycosyl hydrolase family protein)</t>
  </si>
  <si>
    <t>SDRM01000007.1_29(Glycoside hydrolase family 16 protein)</t>
  </si>
  <si>
    <t>CP089290.1_89(Family 16 glycosylhydrolase)</t>
  </si>
  <si>
    <t>CP089290.1_90(family 16 glycosylhydrolase)</t>
  </si>
  <si>
    <t>JAJQJV010000002.1_23(Glycosyl hydrolase family protein)</t>
  </si>
  <si>
    <t>JAJQJV010000002.1_24(Glycoside hydrolase family 16 protein)</t>
  </si>
  <si>
    <t>JAJQJR010000003.1_189(Glycosyl hydrolase family protein)</t>
  </si>
  <si>
    <t>JAJQJR010000003.1_188(Glycoside hydrolase family 16 protein)</t>
  </si>
  <si>
    <t>CP089288.1_205(Glycosyl hydrolase family protein)</t>
  </si>
  <si>
    <t>CP089288.1_204(Glycoside hydrolase family 16 protein)</t>
  </si>
  <si>
    <t>JAJQJX010000001.1_506(Family 16 glycosylhydrolase)</t>
  </si>
  <si>
    <t>JAJQJX010000001.1_505(Family 16 glycosylhydrolase)</t>
  </si>
  <si>
    <t>JAJQJT010000001.1_359(Glycosyl hydrolase family protein)</t>
  </si>
  <si>
    <t>JAJQJT010000001.1_360(Glycoside hydrolase family 16 protein)</t>
  </si>
  <si>
    <t>CP089289.1_22(Family 16 glycosylhydrolase)</t>
  </si>
  <si>
    <t>CP089289.1_21(family 16 glycosylhydrolase)</t>
  </si>
  <si>
    <t>JAJQJW010000002.1_309(Glycosyl hydrolase family protein)</t>
  </si>
  <si>
    <t>JAJQJW010000002.1_310(Glycoside hydrolase family 16 protein)</t>
  </si>
  <si>
    <t>JAJQJS010000002.1_305(Family 16 glycosylhydrolase)</t>
  </si>
  <si>
    <t>JAJQJS010000002.1_304(Family 16 glycosylhydrolase)</t>
  </si>
  <si>
    <t>JAJQJU010000003.1_16(Glycoside hydrolase family 16 protein)</t>
  </si>
  <si>
    <t>JAJQJU010000003.1_17(Family 16 glycosylhydrolase)</t>
  </si>
  <si>
    <t>CP007496.1_681(bglS|1,3-beta-glucanase)</t>
  </si>
  <si>
    <t>CP040011.1_687(bglS|1,3-beta-glucanase)</t>
  </si>
  <si>
    <t>FMMM01000078.1_84(bglS|Beta-glucanase)</t>
  </si>
  <si>
    <t>FMMM01000014.1_28(bglS|Beta-glucanase)</t>
  </si>
  <si>
    <t>FMMM01000014.1_29(Putative lipoprotein)</t>
  </si>
  <si>
    <t>FMMM01000014.1_30(cirA|TonB-dependent receptor SusC)</t>
  </si>
  <si>
    <t>FMMM01000014.1_31(fecR|Sigma factor regulatory protein, FecR/PupR family)</t>
  </si>
  <si>
    <t>FMMM01000014.1_32(rpoE|RNA polymerase sigma factor CarQ)</t>
  </si>
  <si>
    <t>FMML01000082.1_32(bglS|Beta-glucanase)</t>
  </si>
  <si>
    <t>FMML01000005.1_18(bglS|Beta-glucanase)</t>
  </si>
  <si>
    <t>FMML01000005.1_19(Putative lipoprotein)</t>
  </si>
  <si>
    <t>FMML01000005.1_20(cirA|TonB-dependent receptor SusC)</t>
  </si>
  <si>
    <t>FMML01000005.1_21(fecR|Sigma factor regulatory protein, FecR/PupR family)</t>
  </si>
  <si>
    <t>FMML01000005.1_22(rpoE|RNA polymerase sigma factor CarQ)</t>
  </si>
  <si>
    <t>FMMN01000061.1_101(bglS|Beta-glucanase)</t>
  </si>
  <si>
    <t>FMMN01000012.1_17(bglS|Beta-glucanase)</t>
  </si>
  <si>
    <t>FMMN01000012.1_18(Putative lipoprotein)</t>
  </si>
  <si>
    <t>FMMN01000012.1_19(cirA|TonB-dependent receptor SusC)</t>
  </si>
  <si>
    <t>FMMN01000012.1_20(fecR|Sigma factor regulatory protein, FecR/PupR family)</t>
  </si>
  <si>
    <t>FMMN01000012.1_21(rpoE|RNA polymerase sigma factor CarQ)</t>
  </si>
  <si>
    <t>PKKL01000003.1_28(Glycoside hydrolase family 16 protein)</t>
  </si>
  <si>
    <t>PNHV01000005.1_49(GH16 domain-containing protein)</t>
  </si>
  <si>
    <t>CP012410.1_2172(GH16 domain-containing protein)</t>
  </si>
  <si>
    <t>CP012410.1_743(GH16 domain-containing protein)</t>
  </si>
  <si>
    <t>CP058261.1_832(GH16 domain-containing protein)</t>
  </si>
  <si>
    <t>CP058261.1_860(GH16 domain-containing protein)</t>
  </si>
  <si>
    <t>CP058261.1_1509(Glycosyl hydrolase family 16)</t>
  </si>
  <si>
    <t>CP058261.1_1507(susD|Carbohydrate-binding protein SusD)</t>
  </si>
  <si>
    <t>CP058261.1_1506(TonB-dependent receptor);CP058261.1_1513(TonB-linked outer membrane protein, SusC/RagA family)</t>
  </si>
  <si>
    <t>JABXYW010000002.1_538(GH16 domain-containing protein)</t>
  </si>
  <si>
    <t>JABXYW010000002.1_562(glycoside hydrolase family 16 protein)</t>
  </si>
  <si>
    <t>JABXYW010000002.1_1030(Glycosyl hydrolase family 16)</t>
  </si>
  <si>
    <t>JABXYW010000002.1_1028(susD|Carbohydrate-binding protein SusD);JABXYW010000002.1_1035(susD|SusD family protein)</t>
  </si>
  <si>
    <t>JABXYW010000002.1_1027(TonB-dependent receptor)</t>
  </si>
  <si>
    <t>MSKV01000004.1_53(Glycoside hydrolase family 16 protein)</t>
  </si>
  <si>
    <t>CP017039.1_2062(GH16 domain-containing protein)</t>
  </si>
  <si>
    <t>CP017039.1_2063(GH16 domain-containing protein)</t>
  </si>
  <si>
    <t>CP072370.1_190(Licheninase)</t>
  </si>
  <si>
    <t>CP012074.1_1401(Licheninase)</t>
  </si>
  <si>
    <t>PYXD01000001.1_530(Glycoside hydrolase)</t>
  </si>
  <si>
    <t>PYXD01000001.1_529(SusD/RagB family nutrient-binding outer membrane lipoprotein)</t>
  </si>
  <si>
    <t>PYXD01000001.1_528(TonB-linked outer membrane protein, SusC/RagA family)</t>
  </si>
  <si>
    <t>KI272830.1_30(GH16 domain-containing protein)</t>
  </si>
  <si>
    <t>KI272827.1_86(GH16 domain-containing protein)</t>
  </si>
  <si>
    <t>NSLK01000002.1_173(bglS|Beta-glucanase)</t>
  </si>
  <si>
    <t>NSLK01000017.1_49(bglS|Beta-glucanase)</t>
  </si>
  <si>
    <t>NSLK01000017.1_48(Putative lipoprotein)</t>
  </si>
  <si>
    <t>NSLK01000017.1_47(cirA|TonB-dependent receptor SusC)</t>
  </si>
  <si>
    <t>NSLK01000017.1_46(fecR|Sigma factor regulatory protein, FecR/PupR family)</t>
  </si>
  <si>
    <t>NSLK01000017.1_45(rpoE|RNA polymerase sigma factor CarQ)</t>
  </si>
  <si>
    <t>NSLJ01000005.1_4(bglS|Beta-glucanase)</t>
  </si>
  <si>
    <t>NSLJ01000012.1_71(bglS|Beta-glucanase)</t>
  </si>
  <si>
    <t>NSLJ01000012.1_72(Putative lipoprotein)</t>
  </si>
  <si>
    <t>NSLJ01000012.1_73(cirA|TonB-dependent receptor SusC)</t>
  </si>
  <si>
    <t>NSLJ01000012.1_74(fecR|Sigma factor regulatory protein, FecR/PupR family)</t>
  </si>
  <si>
    <t>NSLJ01000012.1_75(rpoE|RNA polymerase sigma factor CarQ)</t>
  </si>
  <si>
    <t>Prediction</t>
  </si>
  <si>
    <t>OTHER</t>
  </si>
  <si>
    <t>SP(Sec/SPI)</t>
  </si>
  <si>
    <t>LIPO(Sec/SPII)</t>
  </si>
  <si>
    <t>TAT(Tat/SPI)</t>
  </si>
  <si>
    <t>TATLIPO(Tat/SPII)</t>
  </si>
  <si>
    <t>PILIN(Sec/SPIII)</t>
  </si>
  <si>
    <t>LIPO</t>
  </si>
  <si>
    <t>SP</t>
  </si>
  <si>
    <t>TAT</t>
  </si>
  <si>
    <t>link</t>
  </si>
  <si>
    <t>Paludibacteraceae__G1_</t>
  </si>
  <si>
    <t>Anaerolineae__G1_</t>
  </si>
  <si>
    <t>Absconditicoccaceae__G1_</t>
  </si>
  <si>
    <t>CS</t>
  </si>
  <si>
    <t>Position</t>
  </si>
  <si>
    <t>pos:</t>
  </si>
  <si>
    <t>19-20.</t>
  </si>
  <si>
    <t>Pr:</t>
  </si>
  <si>
    <t>16-17.</t>
  </si>
  <si>
    <t>17-18.</t>
  </si>
  <si>
    <t>21-22.</t>
  </si>
  <si>
    <t>25-26.</t>
  </si>
  <si>
    <t>15-16.</t>
  </si>
  <si>
    <t>29-30.</t>
  </si>
  <si>
    <t>20-21.</t>
  </si>
  <si>
    <t>39-40.</t>
  </si>
  <si>
    <t>37-38.</t>
  </si>
  <si>
    <t>32-33.</t>
  </si>
  <si>
    <t>46-47.</t>
  </si>
  <si>
    <t>13-14.</t>
  </si>
  <si>
    <t>18-19.</t>
  </si>
  <si>
    <t>22-23.</t>
  </si>
  <si>
    <t>43-44.</t>
  </si>
  <si>
    <t>38-39.</t>
  </si>
  <si>
    <t>28-29.</t>
  </si>
  <si>
    <t>23-24.</t>
  </si>
  <si>
    <t>24-25.</t>
  </si>
  <si>
    <t>5-6.</t>
  </si>
  <si>
    <t>30-31.</t>
  </si>
  <si>
    <t>31-32.</t>
  </si>
  <si>
    <t>49-50.</t>
  </si>
  <si>
    <t>42-43.</t>
  </si>
  <si>
    <t>34-35.</t>
  </si>
  <si>
    <t>#SignalP-6.0 - Organism: Other</t>
  </si>
  <si>
    <t>ID (protein)</t>
  </si>
  <si>
    <t>ID (genus_species)</t>
  </si>
  <si>
    <t>ID (gca)</t>
  </si>
  <si>
    <t>signalp6.0</t>
  </si>
  <si>
    <t>CURATED.GH16_3.p/a</t>
  </si>
  <si>
    <t>CURATED.SusC_&amp;_SusD</t>
  </si>
  <si>
    <t>prokka_gene_id</t>
  </si>
  <si>
    <t>ncbi_protein_id</t>
  </si>
  <si>
    <t>NA</t>
  </si>
  <si>
    <t>EPT33512.1</t>
  </si>
  <si>
    <t>BAR47759.1</t>
  </si>
  <si>
    <t>BAR50526.1</t>
  </si>
  <si>
    <t>AEW21392.1</t>
  </si>
  <si>
    <t>SCQ17801.1</t>
  </si>
  <si>
    <t>SCQ17898.1</t>
  </si>
  <si>
    <t>SCQ17729.1</t>
  </si>
  <si>
    <t>KKY61118.1</t>
  </si>
  <si>
    <t>OLQ21847.1</t>
  </si>
  <si>
    <t>PDP43957.1</t>
  </si>
  <si>
    <t>PDP70438.1</t>
  </si>
  <si>
    <t>TPE17275.1</t>
  </si>
  <si>
    <t>MBB1579235.1</t>
  </si>
  <si>
    <t>MBB1557367.1</t>
  </si>
  <si>
    <t>MBF0933390.1</t>
  </si>
  <si>
    <t>MBS5244605.1</t>
  </si>
  <si>
    <t>MBS6671662.1</t>
  </si>
  <si>
    <t>EHM87322.1</t>
  </si>
  <si>
    <t>ERH17430.1</t>
  </si>
  <si>
    <t>PMC91281.1</t>
  </si>
  <si>
    <t>GCA_023169925.1_00497</t>
  </si>
  <si>
    <t>BDF98199.1</t>
  </si>
  <si>
    <t>GCA_000180155.1_01087</t>
  </si>
  <si>
    <t>GCA_901873715.1_01508</t>
  </si>
  <si>
    <t>VTX84574.1</t>
  </si>
  <si>
    <t>GCA_905373335.1_00636</t>
  </si>
  <si>
    <t>GCA_916439255.1_02525</t>
  </si>
  <si>
    <t>GCA_937981545.1_00492</t>
  </si>
  <si>
    <t>GCA_005696555.1_00486</t>
  </si>
  <si>
    <t>QCT32466.1</t>
  </si>
  <si>
    <t>GCA_013394715.1_00438</t>
  </si>
  <si>
    <t>QLF52675.1</t>
  </si>
  <si>
    <t>GCA_016694895.1_00448</t>
  </si>
  <si>
    <t>QQQ59659.1</t>
  </si>
  <si>
    <t>GCA_031082475.1_01653</t>
  </si>
  <si>
    <t>MDR0179826.1</t>
  </si>
  <si>
    <t>GCA_030371665.1_00823</t>
  </si>
  <si>
    <t>MDM8077334.1</t>
  </si>
  <si>
    <t>GCA_030527985.1_00618</t>
  </si>
  <si>
    <t>MDO4655785.1</t>
  </si>
  <si>
    <t>GCA_001937675.1_00030</t>
  </si>
  <si>
    <t>OLO46292.1</t>
  </si>
  <si>
    <t>GCA_001937545.1_00447</t>
  </si>
  <si>
    <t>OLO78591.1</t>
  </si>
  <si>
    <t>GCA_001929365.1_00331</t>
  </si>
  <si>
    <t>OLL13230.1</t>
  </si>
  <si>
    <t>GCA_002847555.1_01049</t>
  </si>
  <si>
    <t>PKY74694.1</t>
  </si>
  <si>
    <t>MBB3701788.1</t>
  </si>
  <si>
    <t>EHG23158.1</t>
  </si>
  <si>
    <t>EKX93302.1</t>
  </si>
  <si>
    <t>AOH43888.1</t>
  </si>
  <si>
    <t>AOH44511.1</t>
  </si>
  <si>
    <t>BCR81938.1</t>
  </si>
  <si>
    <t>QUC07633.1</t>
  </si>
  <si>
    <t>MBB1571501.1</t>
  </si>
  <si>
    <t>MDO4645328.1</t>
  </si>
  <si>
    <t>EEK15038.1</t>
  </si>
  <si>
    <t>AMD86056.1</t>
  </si>
  <si>
    <t>SFO15952.1</t>
  </si>
  <si>
    <t>SNV14485.1</t>
  </si>
  <si>
    <t>PTX06269.1</t>
  </si>
  <si>
    <t>EIW94394.1</t>
  </si>
  <si>
    <t>EIW93135.1</t>
  </si>
  <si>
    <t>EJF37484.1</t>
  </si>
  <si>
    <t>EJF35059.1</t>
  </si>
  <si>
    <t>EJF43734.1</t>
  </si>
  <si>
    <t>EJF43727.1</t>
  </si>
  <si>
    <t>ACU92118.1</t>
  </si>
  <si>
    <t>ACU92142.1</t>
  </si>
  <si>
    <t>ALC97289.1</t>
  </si>
  <si>
    <t>AVM55858.1</t>
  </si>
  <si>
    <t>AVM55876.1</t>
  </si>
  <si>
    <t>QLF49945.1</t>
  </si>
  <si>
    <t>QLF49969.1</t>
  </si>
  <si>
    <t>UAK50884.1</t>
  </si>
  <si>
    <t>UAK50904.1</t>
  </si>
  <si>
    <t>UEB44424.1</t>
  </si>
  <si>
    <t>UEB44429.1</t>
  </si>
  <si>
    <t>UZD36365.1</t>
  </si>
  <si>
    <t>UZD36390.1</t>
  </si>
  <si>
    <t>UZD39212.1</t>
  </si>
  <si>
    <t>UZD39233.1</t>
  </si>
  <si>
    <t>UZD40249.1</t>
  </si>
  <si>
    <t>EFS97269.1</t>
  </si>
  <si>
    <t>EFS97274.1</t>
  </si>
  <si>
    <t>NWO28841.1</t>
  </si>
  <si>
    <t>EKY10675.1</t>
  </si>
  <si>
    <t>EKY05403.1</t>
  </si>
  <si>
    <t>EKY11795.1</t>
  </si>
  <si>
    <t>EPE01185.1</t>
  </si>
  <si>
    <t>EPD97979.1</t>
  </si>
  <si>
    <t>SQA77844.1</t>
  </si>
  <si>
    <t>SQA77866.1</t>
  </si>
  <si>
    <t>SQA93380.1</t>
  </si>
  <si>
    <t>VDG82399.1</t>
  </si>
  <si>
    <t>VDG81545.1</t>
  </si>
  <si>
    <t>ALC97309.1</t>
  </si>
  <si>
    <t>ASF41802.1</t>
  </si>
  <si>
    <t>ASF44360.1</t>
  </si>
  <si>
    <t>MBI1667935.1</t>
  </si>
  <si>
    <t>MBI1668213.1</t>
  </si>
  <si>
    <t>MBI1645465.1</t>
  </si>
  <si>
    <t>MBI1645739.1</t>
  </si>
  <si>
    <t>MBM0660847.1</t>
  </si>
  <si>
    <t>MBM0661451.1</t>
  </si>
  <si>
    <t>MBM0654653.1</t>
  </si>
  <si>
    <t>MBM0655496.1</t>
  </si>
  <si>
    <t>MBM0657041.1</t>
  </si>
  <si>
    <t>MBM0659775.1</t>
  </si>
  <si>
    <t>MBM0659837.1</t>
  </si>
  <si>
    <t>MBM0649203.1</t>
  </si>
  <si>
    <t>MBM0649926.1</t>
  </si>
  <si>
    <t>EKY17873.1</t>
  </si>
  <si>
    <t>EKY14029.1</t>
  </si>
  <si>
    <t>EGD35274.1</t>
  </si>
  <si>
    <t>EEB65760.1</t>
  </si>
  <si>
    <t>ATA71015.1</t>
  </si>
  <si>
    <t>ATA79816.1</t>
  </si>
  <si>
    <t>ATA79986.1</t>
  </si>
  <si>
    <t>ATA84696.1</t>
  </si>
  <si>
    <t>VEI55025.1</t>
  </si>
  <si>
    <t>VEI55388.1</t>
  </si>
  <si>
    <t>PBN47337.1</t>
  </si>
  <si>
    <t>PBN47507.1</t>
  </si>
  <si>
    <t>SQA75519.1</t>
  </si>
  <si>
    <t>SAM66179.1</t>
  </si>
  <si>
    <t>EEV87307.1</t>
  </si>
  <si>
    <t>VEG78372.1</t>
  </si>
  <si>
    <t>GCA_001648265.1_02082</t>
  </si>
  <si>
    <t>OAM20298.1</t>
  </si>
  <si>
    <t>ACV40001.1</t>
  </si>
  <si>
    <t>BBM39566.1</t>
  </si>
  <si>
    <t>EEX74316.1</t>
  </si>
  <si>
    <t>MDO4638826.1</t>
  </si>
  <si>
    <t>BBM58504.1</t>
  </si>
  <si>
    <t>MDO4639548.1</t>
  </si>
  <si>
    <t>BBM39901.1</t>
  </si>
  <si>
    <t>BBM55860.1</t>
  </si>
  <si>
    <t>VTX48879.1</t>
  </si>
  <si>
    <t>AMD96023.1</t>
  </si>
  <si>
    <t>ASQ49331.1</t>
  </si>
  <si>
    <t>QUB96334.1</t>
  </si>
  <si>
    <t>QUB97139.1</t>
  </si>
  <si>
    <t>WLD74527.1</t>
  </si>
  <si>
    <t>NWO19111.1</t>
  </si>
  <si>
    <t>NWO28226.1</t>
  </si>
  <si>
    <t>MBS6019820.1</t>
  </si>
  <si>
    <t>ERK55885.1</t>
  </si>
  <si>
    <t>ERL25630.1</t>
  </si>
  <si>
    <t>RKW35689.1</t>
  </si>
  <si>
    <t>BBM43794.1</t>
  </si>
  <si>
    <t>BBM46679.1</t>
  </si>
  <si>
    <t>BBM48626.1</t>
  </si>
  <si>
    <t>BBM50918.1</t>
  </si>
  <si>
    <t>ERK51607.1</t>
  </si>
  <si>
    <t>KXB65273.1</t>
  </si>
  <si>
    <t>KXB61320.1</t>
  </si>
  <si>
    <t>QCT42476.1</t>
  </si>
  <si>
    <t>AJA06652.1</t>
  </si>
  <si>
    <t>QCT41825.1</t>
  </si>
  <si>
    <t>UOG68106.1</t>
  </si>
  <si>
    <t>UOG68107.1</t>
  </si>
  <si>
    <t>UOG67191.1</t>
  </si>
  <si>
    <t>UOG67192.1</t>
  </si>
  <si>
    <t>UOG66537.1</t>
  </si>
  <si>
    <t>UOG66538.1</t>
  </si>
  <si>
    <t>UHA57302.1</t>
  </si>
  <si>
    <t>UHA57303.1</t>
  </si>
  <si>
    <t>MBF1039935.1</t>
  </si>
  <si>
    <t>MBF1039936.1</t>
  </si>
  <si>
    <t>MCC9312716.1</t>
  </si>
  <si>
    <t>MCC9312717.1</t>
  </si>
  <si>
    <t>MCJ1963623.1</t>
  </si>
  <si>
    <t>MCJ1963624.1</t>
  </si>
  <si>
    <t>MCJ1967837.1</t>
  </si>
  <si>
    <t>MCJ1967838.1</t>
  </si>
  <si>
    <t>MCJ1964790.1</t>
  </si>
  <si>
    <t>MCJ1964791.1</t>
  </si>
  <si>
    <t>MCJ1966633.1</t>
  </si>
  <si>
    <t>MCJ1966634.1</t>
  </si>
  <si>
    <t>MCJ1963898.1</t>
  </si>
  <si>
    <t>MCJ1963899.1</t>
  </si>
  <si>
    <t>MCJ1967296.1</t>
  </si>
  <si>
    <t>MCJ1967297.1</t>
  </si>
  <si>
    <t>MCJ1965705.1</t>
  </si>
  <si>
    <t>MCJ1965706.1</t>
  </si>
  <si>
    <t>TWP15363.1</t>
  </si>
  <si>
    <t>TWP15364.1</t>
  </si>
  <si>
    <t>EFI15843.1</t>
  </si>
  <si>
    <t>EEZ77854.1</t>
  </si>
  <si>
    <t>OAP86972.1</t>
  </si>
  <si>
    <t>ERH19724.1</t>
  </si>
  <si>
    <t>EGC85638.1</t>
  </si>
  <si>
    <t>AEA20852.1</t>
  </si>
  <si>
    <t>AXV49147.1</t>
  </si>
  <si>
    <t>QUB88216.1</t>
  </si>
  <si>
    <t>QUB92741.1</t>
  </si>
  <si>
    <t>QUI93936.1</t>
  </si>
  <si>
    <t>MBF1387244.1</t>
  </si>
  <si>
    <t>MBW4713249.1</t>
  </si>
  <si>
    <t>MBW4751072.1</t>
  </si>
  <si>
    <t>MBW4897262.1</t>
  </si>
  <si>
    <t>KGF43344.1</t>
  </si>
  <si>
    <t>SUB87924.1</t>
  </si>
  <si>
    <t>AKU69476.1</t>
  </si>
  <si>
    <t>QUB87116.1</t>
  </si>
  <si>
    <t>QUB83835.1</t>
  </si>
  <si>
    <t>MBF1391157.1</t>
  </si>
  <si>
    <t>MBF1417133.1</t>
  </si>
  <si>
    <t>MBF1411362.1</t>
  </si>
  <si>
    <t>MBF1412392.1</t>
  </si>
  <si>
    <t>MBF1394977.1</t>
  </si>
  <si>
    <t>MBF1400589.1</t>
  </si>
  <si>
    <t>MBF1422356.1</t>
  </si>
  <si>
    <t>MBF1424606.1</t>
  </si>
  <si>
    <t>MBS6662035.1</t>
  </si>
  <si>
    <t>MBS5897636.1</t>
  </si>
  <si>
    <t>MBW4739868.1</t>
  </si>
  <si>
    <t>MBW4748150.1</t>
  </si>
  <si>
    <t>MBW4756355.1</t>
  </si>
  <si>
    <t>MBW4775322.1</t>
  </si>
  <si>
    <t>MBW4774962.1</t>
  </si>
  <si>
    <t>EHG15880.1</t>
  </si>
  <si>
    <t>KGF27228.1</t>
  </si>
  <si>
    <t>AUI55248.1</t>
  </si>
  <si>
    <t>QUB81446.1</t>
  </si>
  <si>
    <t>SNS04126.1</t>
  </si>
  <si>
    <t>MBW4772248.1</t>
  </si>
  <si>
    <t>EGW49135.1</t>
  </si>
  <si>
    <t>PTL31411.1</t>
  </si>
  <si>
    <t>MBF1621549.1</t>
  </si>
  <si>
    <t>MBF1619658.1</t>
  </si>
  <si>
    <t>MBF1639481.1</t>
  </si>
  <si>
    <t>MBW4734394.1</t>
  </si>
  <si>
    <t>MBW4736884.1</t>
  </si>
  <si>
    <t>MBW4741822.1</t>
  </si>
  <si>
    <t>MBW4730705.1</t>
  </si>
  <si>
    <t>MBW4748809.1</t>
  </si>
  <si>
    <t>MBW4728168.1</t>
  </si>
  <si>
    <t>MBW4754002.1</t>
  </si>
  <si>
    <t>MBW4762128.1</t>
  </si>
  <si>
    <t>MBW4901213.1</t>
  </si>
  <si>
    <t>MBW4895972.1</t>
  </si>
  <si>
    <t>MBW4879536.1</t>
  </si>
  <si>
    <t>VTY02994.1</t>
  </si>
  <si>
    <t>ASE16608.1</t>
  </si>
  <si>
    <t>QKH89566.1</t>
  </si>
  <si>
    <t>QUB56020.1</t>
  </si>
  <si>
    <t>QUB58617.1</t>
  </si>
  <si>
    <t>QUB65408.1</t>
  </si>
  <si>
    <t>QUB68183.1</t>
  </si>
  <si>
    <t>MBF1431583.1</t>
  </si>
  <si>
    <t>MBF1582608.1</t>
  </si>
  <si>
    <t>MBF1592665.1</t>
  </si>
  <si>
    <t>MBF1613176.1</t>
  </si>
  <si>
    <t>MBF1609185.1</t>
  </si>
  <si>
    <t>MBF1618784.1</t>
  </si>
  <si>
    <t>BBA29449.1</t>
  </si>
  <si>
    <t>ADK95312.1</t>
  </si>
  <si>
    <t>QUB61503.1</t>
  </si>
  <si>
    <t>QUB63276.1</t>
  </si>
  <si>
    <t>UEB07570.1</t>
  </si>
  <si>
    <t>EFC74338.1</t>
  </si>
  <si>
    <t>MBF1623498.1</t>
  </si>
  <si>
    <t>ETS98539.1</t>
  </si>
  <si>
    <t>QUB70523.1</t>
  </si>
  <si>
    <t>EGC21238.1</t>
  </si>
  <si>
    <t>QUB74235.1</t>
  </si>
  <si>
    <t>QUB75565.1</t>
  </si>
  <si>
    <t>ERJ80000.1</t>
  </si>
  <si>
    <t>QUB40720.1</t>
  </si>
  <si>
    <t>EEX18909.1</t>
  </si>
  <si>
    <t>EEY36178.1</t>
  </si>
  <si>
    <t>BBM37291.1</t>
  </si>
  <si>
    <t>ALA96418.1</t>
  </si>
  <si>
    <t>ALA95255.1</t>
  </si>
  <si>
    <t>ERK67498.1</t>
  </si>
  <si>
    <t>ERK68799.1</t>
  </si>
  <si>
    <t>MBB1558506.1</t>
  </si>
  <si>
    <t>GCA_015257665.1_00138</t>
  </si>
  <si>
    <t>MBF1032197.1</t>
  </si>
  <si>
    <t>MBF1032709.1</t>
  </si>
  <si>
    <t>MBF1033095.1</t>
  </si>
  <si>
    <t>MBF1033113.1</t>
  </si>
  <si>
    <t>MBB1567270.1</t>
  </si>
  <si>
    <t>GCA_013333765.2_00626</t>
  </si>
  <si>
    <t>MBB1567599.1</t>
  </si>
  <si>
    <t>MBB1567871.1</t>
  </si>
  <si>
    <t>MBB1557793.1</t>
  </si>
  <si>
    <t>MBB1558397.1</t>
  </si>
  <si>
    <t>WLD80836.1</t>
  </si>
  <si>
    <t>RKV64627.1</t>
  </si>
  <si>
    <t>MBF0972999.1</t>
  </si>
  <si>
    <t>MBF0963541.1</t>
  </si>
  <si>
    <t>MBS4796737.1</t>
  </si>
  <si>
    <t>EKY14558.1</t>
  </si>
  <si>
    <t>ERK39900.1</t>
  </si>
  <si>
    <t>EJP32444.1</t>
  </si>
  <si>
    <t>EFC75261.1</t>
  </si>
  <si>
    <t>EFU29271.1</t>
  </si>
  <si>
    <t>MBS5894490.1</t>
  </si>
  <si>
    <t>MBW4871262.1</t>
  </si>
  <si>
    <t>EGV04130.1</t>
  </si>
  <si>
    <t>EFQ54781.1</t>
  </si>
  <si>
    <t>EFQ54723.1</t>
  </si>
  <si>
    <t>EGU62731.1</t>
  </si>
  <si>
    <t>EGU62752.1</t>
  </si>
  <si>
    <t>RHE62833.1</t>
  </si>
  <si>
    <t>GCA_003469565.1_01501</t>
  </si>
  <si>
    <t>RHE60072.1</t>
  </si>
  <si>
    <t>MTR66919.1</t>
  </si>
  <si>
    <t>MTR67486.1</t>
  </si>
  <si>
    <t>MTS01882.1</t>
  </si>
  <si>
    <t>MTS01883.1</t>
  </si>
  <si>
    <t>MTS11489.1</t>
  </si>
  <si>
    <t>MTS11771.1</t>
  </si>
  <si>
    <t>MTR99835.1</t>
  </si>
  <si>
    <t>MTS00218.1</t>
  </si>
  <si>
    <t>BAR49865.1</t>
  </si>
  <si>
    <t>BAR52687.1</t>
  </si>
  <si>
    <t>AEW22044.1</t>
  </si>
  <si>
    <t>SCQ24982.1</t>
  </si>
  <si>
    <t>SCQ24052.1</t>
  </si>
  <si>
    <t>SCQ22861.1</t>
  </si>
  <si>
    <t>KKY61488.1</t>
  </si>
  <si>
    <t>OLQ21927.1</t>
  </si>
  <si>
    <t>PDP44565.1</t>
  </si>
  <si>
    <t>PDP71971.1</t>
  </si>
  <si>
    <t>TPE18055.1</t>
  </si>
  <si>
    <t>ATA87026.1</t>
  </si>
  <si>
    <t>MBB1568036.1</t>
  </si>
  <si>
    <t>EKY16907.1</t>
  </si>
  <si>
    <t>AVM56737.1</t>
  </si>
  <si>
    <t>RRD91839.1</t>
  </si>
  <si>
    <t>TCO86779.1</t>
  </si>
  <si>
    <t>VFB14994.1</t>
  </si>
  <si>
    <t>AMD84731.1</t>
  </si>
  <si>
    <t>SFN72689.1</t>
  </si>
  <si>
    <t>SNV08011.1</t>
  </si>
  <si>
    <t>KHE69255.1</t>
  </si>
  <si>
    <t>QGS18830.1</t>
  </si>
  <si>
    <t>ATA81829.1</t>
  </si>
  <si>
    <t>EIW91367.1</t>
  </si>
  <si>
    <t>ACU92685.1</t>
  </si>
  <si>
    <t>UAK51408.1</t>
  </si>
  <si>
    <t>UZD38736.1</t>
  </si>
  <si>
    <t>EJF44097.1</t>
  </si>
  <si>
    <t>ALC97858.1</t>
  </si>
  <si>
    <t>QLF50553.1</t>
  </si>
  <si>
    <t>NWO29308.1</t>
  </si>
  <si>
    <t>EKY03671.1</t>
  </si>
  <si>
    <t>EFS96695.1</t>
  </si>
  <si>
    <t>SQA92723.1</t>
  </si>
  <si>
    <t>VDG82051.1</t>
  </si>
  <si>
    <t>EJF37137.1</t>
  </si>
  <si>
    <t>UZD36879.1</t>
  </si>
  <si>
    <t>UZD42046.1</t>
  </si>
  <si>
    <t>AVM55383.1</t>
  </si>
  <si>
    <t>UEB42734.1</t>
  </si>
  <si>
    <t>EKY11561.1</t>
  </si>
  <si>
    <t>EPE01683.1</t>
  </si>
  <si>
    <t>SQA78387.1</t>
  </si>
  <si>
    <t>ASF41636.1</t>
  </si>
  <si>
    <t>MBI1668091.1</t>
  </si>
  <si>
    <t>MBI1645567.1</t>
  </si>
  <si>
    <t>MBM0661006.1</t>
  </si>
  <si>
    <t>MBM0654347.1</t>
  </si>
  <si>
    <t>MBM0657223.1</t>
  </si>
  <si>
    <t>MBM0659017.1</t>
  </si>
  <si>
    <t>MBM0650430.1</t>
  </si>
  <si>
    <t>EKY11628.1</t>
  </si>
  <si>
    <t>AVM50360.1</t>
  </si>
  <si>
    <t>ATA70933.1</t>
  </si>
  <si>
    <t>ATA79902.1</t>
  </si>
  <si>
    <t>ATA84609.1</t>
  </si>
  <si>
    <t>VEI55203.1</t>
  </si>
  <si>
    <t>PBN47425.1</t>
  </si>
  <si>
    <t>SQA75610.1</t>
  </si>
  <si>
    <t>EEX52145.1</t>
  </si>
  <si>
    <t>KDR51762.1</t>
  </si>
  <si>
    <t>MBO1364116.1</t>
  </si>
  <si>
    <t>PTL26050.1</t>
  </si>
  <si>
    <t>QUB62877.1</t>
  </si>
  <si>
    <t>QUB65827.1</t>
  </si>
  <si>
    <t>QUB69035.1</t>
  </si>
  <si>
    <t>QUB75887.1</t>
  </si>
  <si>
    <t>ERK39995.1</t>
  </si>
  <si>
    <t>EFC76250.1</t>
  </si>
  <si>
    <t>EFU31510.1</t>
  </si>
  <si>
    <t>MBS5895474.1</t>
  </si>
  <si>
    <t>MBW4870480.1</t>
  </si>
  <si>
    <t>SUB80334.1</t>
  </si>
  <si>
    <t>EJP31371.1</t>
  </si>
  <si>
    <t>EHO73119.1</t>
  </si>
  <si>
    <t>SQA93353.1</t>
  </si>
  <si>
    <t>prokka_overlap_pct</t>
  </si>
  <si>
    <t>ncbi_overlap_pct</t>
  </si>
  <si>
    <t>4.51 - 4.83 Mbps</t>
  </si>
  <si>
    <t>GCA_000511675.1 | GCA_000834845.1 | GCA_003798405.1 | GCA_009295985.1 | GCA_015336085.1 | GCA_024498415.1 | GCA_024758685.1 | GCA_900460465.1 | GCA_900635715.1 | GCA_900637475.1</t>
  </si>
  <si>
    <t>Bacillus pestis | Bacterium pestis | Pasteurella pestis | Pestisella pestis | Phylum: Proteobacteria | Yersinia pseudotuberculosis</t>
  </si>
  <si>
    <t>L37604</t>
  </si>
  <si>
    <t>Pathogen (Abundance: Scarce) | Unassigned</t>
  </si>
  <si>
    <t>Cultivated</t>
  </si>
  <si>
    <t>Named</t>
  </si>
  <si>
    <t>Yersiniaceae</t>
  </si>
  <si>
    <t>Enterobacterales</t>
  </si>
  <si>
    <t>Gammaproteobacteria</t>
  </si>
  <si>
    <t>Pseudomonadota</t>
  </si>
  <si>
    <t>Bacteria</t>
  </si>
  <si>
    <t>Phylum: Bacteroidetes</t>
  </si>
  <si>
    <t>JQ447552</t>
  </si>
  <si>
    <t>Oral (Abundance: Medium) | Unassigned</t>
  </si>
  <si>
    <t>Uncultivated</t>
  </si>
  <si>
    <t>Phylotype</t>
  </si>
  <si>
    <t>bacterium HMT-931</t>
  </si>
  <si>
    <t>Weeksellaceae [G1]</t>
  </si>
  <si>
    <t>Weeksellaceae</t>
  </si>
  <si>
    <t>Flavobacteriales</t>
  </si>
  <si>
    <t>Flavobacteriia</t>
  </si>
  <si>
    <t>Bacteroidota</t>
  </si>
  <si>
    <t>HMT-931</t>
  </si>
  <si>
    <t>Bergeyella bacterium K1 | Flavobacteriaceae bacterium clone BL190 | Phylum: Bacteroidetes</t>
  </si>
  <si>
    <t>JQ406533</t>
  </si>
  <si>
    <t>Oral (Abundance: Scarce) | Unassigned</t>
  </si>
  <si>
    <t>bacterium HMT-907</t>
  </si>
  <si>
    <t>HMT-907</t>
  </si>
  <si>
    <t>Bergeyella sp. clone HS1_1W_C3 | Phylum: Bacteroidetes</t>
  </si>
  <si>
    <t>KC203058</t>
  </si>
  <si>
    <t>bacterium HMT-900</t>
  </si>
  <si>
    <t>HMT-900</t>
  </si>
  <si>
    <t>5.24 Mbps</t>
  </si>
  <si>
    <t>Phylum: Lentisphaerae</t>
  </si>
  <si>
    <t>Gastrointestinal Tract (Abundance: Scarce) | Unassigned</t>
  </si>
  <si>
    <t>Victivallaceae</t>
  </si>
  <si>
    <t>Victivallales</t>
  </si>
  <si>
    <t>Lentisphaeria</t>
  </si>
  <si>
    <t>Verrucomicrobiota</t>
  </si>
  <si>
    <t>1.83 - 2.16 Mbps</t>
  </si>
  <si>
    <t>GCA_001078375.1 | GCA_002959935.1 | GCA_005403165.1 | GCA_005403265.1 | GCA_900538345.1 | GCA_902479845.1 | GCA_905208875.1 | GCA_937934505.1</t>
  </si>
  <si>
    <t>Veillonellaceae</t>
  </si>
  <si>
    <t>Veillonellales</t>
  </si>
  <si>
    <t>Negativicutes</t>
  </si>
  <si>
    <t>Bacillota</t>
  </si>
  <si>
    <t>Phylum: Firmicutes | Veillonella genomospecies K1 | Veillonella sp. clone EL130</t>
  </si>
  <si>
    <t>JQ406541</t>
  </si>
  <si>
    <t>Oral (Abundance: Low) | Unassigned</t>
  </si>
  <si>
    <t>sp. HMT-917</t>
  </si>
  <si>
    <t>HMT-917</t>
  </si>
  <si>
    <t>1.66 - 1.82 Mbps</t>
  </si>
  <si>
    <t>GCA_000221605.2 | GCA_001553345.1 | GCA_003992175.1 | GCA_003992185.1 | GCA_003992195.1 | GCA_003992235.1 | GCA_003992265.1 | GCA_018378165.1 | GCA_902468745.1 | GCA_937893325.1</t>
  </si>
  <si>
    <t>Phylum: Firmicutes</t>
  </si>
  <si>
    <t>DQ087189</t>
  </si>
  <si>
    <t>Oral (Abundance: High) | Unassigned</t>
  </si>
  <si>
    <t>Unnamed</t>
  </si>
  <si>
    <t>1.86 - 2.17 Mbps</t>
  </si>
  <si>
    <t>GCA_900759775.1 | GCA_902483495.1 | GCA_003991995.1 | GCA_003992005.1 | GCA_003992015.1 | GCA_003992055.1 | GCA_003992085.1 | GCA_003992135.1 | GCA_003992255.1 | GCA_003992315.1 | GCA_003999875.1</t>
  </si>
  <si>
    <t>Oral (Abundance: No Data) | Unassigned</t>
  </si>
  <si>
    <t>sp. HMT-157</t>
  </si>
  <si>
    <t>HMT-157</t>
  </si>
  <si>
    <t>1.85 - 2.28 Mbps</t>
  </si>
  <si>
    <t>GCA_026057735.1 | GCA_028743475.1 | GCA_900538375.1 | GCA_902483375.1 | GCA_937914765.1 | GCA_000183505.2 | GCA_002959775.1 | GCA_002959835.1 | GCA_015264395.1 | GCA_015264435.1 | GCA_018376515.1</t>
  </si>
  <si>
    <t>Oral Clone BI029 | Oral Strain F0412 | Phylum: Firmicutes | Veillonella sp. oral taxon 158</t>
  </si>
  <si>
    <t>EF108443 | GQ422725</t>
  </si>
  <si>
    <t>CCUG 54233 | CF100 | DSM 18960</t>
  </si>
  <si>
    <t>1.88 - 2.27 Mbps</t>
  </si>
  <si>
    <t>GCA_024461815.1 | GCA_027666825.1 | GCA_031190775.1 | GCA_900186885.1 | GCA_901876955.1 | GCA_902374055.1 | GCA_902810435.1 | GCA_905187725.1 | GCA_905371855.1 | GCA_905373225.1 | GCA_934191025.1 | GCA_934201805.1 | GCA_938011615.1 | GCA_946223045.1 | GCA_947097175.1 | GCA_958351335.1 | GCA_958413055.1 | GCA_958443905.1 | GCA_959018115.1 | GCA_000024945.1 | GCA_000163715.1 | GCA_000163735.1 | GCA_000177435.1 | GCA_000448705.1 | GCA_001553335.1 | GCA_002005185.1 | GCA_002847925.1 | GCA_002959795.1 | GCA_003464005.1 | GCA_003465965.1 | GCA_003584215.1 | GCA_003602765.1 | GCA_003603295.1 | GCA_009710745.1 | GCA_009710775.1 | GCA_014306175.1 | GCA_015549975.1 | GCA_015554925.1 | GCA_016127175.1 | GCA_018364005.1 | GCA_018365355.1 | GCA_018365475.1 | GCA_018366045.1 | GCA_018366215.1 | GCA_018366295.1 | GCA_018367995.1 | GCA_018370625.1 | GCA_018370955.1 | GCA_018373775.1 | GCA_018373995.1 | GCA_018374435.1 | GCA_018376955.1 | GCA_018379175.1 | GCA_018380075.1 | GCA_018381475.1 | GCA_018381755.1 | GCA_018783925.1 | GCA_019731115.1 | GCA_020559585.1 | GCA_020559605.1</t>
  </si>
  <si>
    <t>Micrococcus gazogenes | Micrococcus lactilyticus | Phylum: Firmicutes | Staphylococcus parvulus | Veillonella alcalescens | Veillonella gazogenes</t>
  </si>
  <si>
    <t>AF287781 | AF287782 | AF366266 | X84005</t>
  </si>
  <si>
    <t>ATCC 10790</t>
  </si>
  <si>
    <t>2.03 - 2.11 Mbps</t>
  </si>
  <si>
    <t>GCA_001553315.1 | GCA_003474105.1 | GCA_004166985.1 | GCA_009710825.1 | GCA_009710845.1 | GCA_013393365.1 | GCA_015547025.1 | GCA_018406505.1 | GCA_024463955.1 | GCA_024677885.1</t>
  </si>
  <si>
    <t>1.88 - 2.12 Mbps</t>
  </si>
  <si>
    <t>GCA_000160015.1 | GCA_018376035.1 | GCA_900637515.1 | GCA_902373585.1 | GCA_902483385.1 | GCA_902490295.1 | GCA_905201815.1 | GCA_938017805.1</t>
  </si>
  <si>
    <t>Phylum: Firmicutes | Veillonella alcalescens</t>
  </si>
  <si>
    <t>X84006</t>
  </si>
  <si>
    <t>1.66 - 1.98 Mbps</t>
  </si>
  <si>
    <t>GCA_934190595.1 | GCA_938028215.1 | GCA_000517785.1 | GCA_002959855.1 | GCA_019425065.1</t>
  </si>
  <si>
    <t>EF185167</t>
  </si>
  <si>
    <t>CCUG 54362 | DSM 19009 | JCM 15641 | RBV 106</t>
  </si>
  <si>
    <t>1.73 - 2.21 Mbps</t>
  </si>
  <si>
    <t>GCA_027685345.1 | GCA_030219125.1 | GCA_900460235.1 | GCA_901875535.1 | GCA_902375065.1 | GCA_905202725.1 | GCA_938009395.1 | GCA_958404255.1 | GCA_959020975.1 | GCA_959022565.1 | GCA_959023135.1 | GCA_959025785.1 | GCA_000179735.1 | GCA_000179755.1 | GCA_000286635.1 | GCA_000318355.2 | GCA_000411535.1 | GCA_000524355.1 | GCA_001546845.1 | GCA_002082765.1 | GCA_002959815.1 | GCA_002959915.1 | GCA_003474825.1 | GCA_003605975.1 | GCA_015264545.1 | GCA_018370505.1 | GCA_018370905.1 | GCA_018373795.1 | GCA_018373935.1 | GCA_018374795.1 | GCA_018376055.1 | GCA_018378335.1 | GCA_018378995.1 | GCA_018380325.1 | GCA_018381415.1 | GCA_020560985.1 | GCA_022137105.1</t>
  </si>
  <si>
    <t>Oral Clone MB5_P17 | Phylum: Firmicutes | Veillonella parvula</t>
  </si>
  <si>
    <t>DQ003631</t>
  </si>
  <si>
    <t>5.57 - 7.29 Mbps</t>
  </si>
  <si>
    <t>GCA_030812115.1 | GCA_030815625.1 | GCA_000184745.1 | GCA_000463015.1 | GCA_001591365.1 | GCA_009498455.1 | GCA_009755665.1 | GCA_014843395.1</t>
  </si>
  <si>
    <t>Alcaligenes paradoxus | Phylum: Proteobacteria</t>
  </si>
  <si>
    <t>D30793</t>
  </si>
  <si>
    <t>Environmental -Soil/Water (Abundance: Scarce) | Unassigned</t>
  </si>
  <si>
    <t>Comamonadaceae</t>
  </si>
  <si>
    <t>Burkholderiales</t>
  </si>
  <si>
    <t>Betaproteobacteria</t>
  </si>
  <si>
    <t>1.60 - 1.98 Mbps</t>
  </si>
  <si>
    <t>GCA_900232945.1 | GCA_000221565.2 | GCA_018363925.1</t>
  </si>
  <si>
    <t>Oral Strain KCL-E3_32 | Oral Strain KCL-W3886 | Phylum: Firmicutes</t>
  </si>
  <si>
    <t>AF481225</t>
  </si>
  <si>
    <t>Human-Associated, Primary Site Uncertain (Abundance: Scarce) | Unassigned</t>
  </si>
  <si>
    <t>Named**</t>
  </si>
  <si>
    <t>Peptoniphilaceae</t>
  </si>
  <si>
    <t>Tissierellales</t>
  </si>
  <si>
    <t>Clostridia</t>
  </si>
  <si>
    <t>0.722 - 0.752 Mbps</t>
  </si>
  <si>
    <t>GCA_000006625.1 | GCA_000019345.1 | GCA_000828735.1 | GCA_002205515.1 | GCA_002205535.1 | GCA_002205595.1 | GCA_002205735.1 | GCA_003953005.1 | GCA_006716515.1 | GCA_021460135.1</t>
  </si>
  <si>
    <t>Vaginal (Abundance: Medium) | Unassigned</t>
  </si>
  <si>
    <t>Mycoplasmoidaceae</t>
  </si>
  <si>
    <t>Mycoplasmoidales</t>
  </si>
  <si>
    <t>Mollicutes</t>
  </si>
  <si>
    <t>Mycoplasmatota</t>
  </si>
  <si>
    <t>2.80 - 2.98 Mbps</t>
  </si>
  <si>
    <t>GCA_024181165.1 | GCA_024181185.1 | GCA_010365865.1</t>
  </si>
  <si>
    <t>clade-432</t>
  </si>
  <si>
    <t>Treponemataceae</t>
  </si>
  <si>
    <t>Spirochaetales</t>
  </si>
  <si>
    <t>Spirochaetia</t>
  </si>
  <si>
    <t>Spirochaetota</t>
  </si>
  <si>
    <t>2.51 - 2.72 Mbps</t>
  </si>
  <si>
    <t>GCA_000175895.1 | GCA_000412995.1 | GCA_024181105.1 | GCA_024181125.1 | GCA_024181205.1</t>
  </si>
  <si>
    <t>Phylum: Spirochaetes</t>
  </si>
  <si>
    <t>AF033309</t>
  </si>
  <si>
    <t>clade-029</t>
  </si>
  <si>
    <t>AM420103</t>
  </si>
  <si>
    <t>sp. HMT-951</t>
  </si>
  <si>
    <t>HMT-951</t>
  </si>
  <si>
    <t>GQ039278</t>
  </si>
  <si>
    <t>sp. HMT-927</t>
  </si>
  <si>
    <t>HMT-927</t>
  </si>
  <si>
    <t>Oral Clone MB4_G11 | Phylum: Spirochaetes</t>
  </si>
  <si>
    <t>DQ003625</t>
  </si>
  <si>
    <t>sp. HMT-518</t>
  </si>
  <si>
    <t>HMT-518</t>
  </si>
  <si>
    <t>Oral Clone MB3_P23 | Phylum: Spirochaetes</t>
  </si>
  <si>
    <t>DQ003624</t>
  </si>
  <si>
    <t>sp. HMT-517</t>
  </si>
  <si>
    <t>HMT-517</t>
  </si>
  <si>
    <t>Oral Clone MB2_G19 | Phylum: Spirochaetes</t>
  </si>
  <si>
    <t>DQ003618</t>
  </si>
  <si>
    <t>sp. HMT-508</t>
  </si>
  <si>
    <t>HMT-508</t>
  </si>
  <si>
    <t>Oral Clone JU025 | Phylum: Spirochaetes</t>
  </si>
  <si>
    <t>AY349417</t>
  </si>
  <si>
    <t>Cultivated but Lost</t>
  </si>
  <si>
    <t>sp. HMT-490</t>
  </si>
  <si>
    <t>HMT-490</t>
  </si>
  <si>
    <t>Phylum: Spirochaetes | Treponema sp. 10:A:C25</t>
  </si>
  <si>
    <t>AF023043</t>
  </si>
  <si>
    <t>sp. HMT-271</t>
  </si>
  <si>
    <t>HMT-271</t>
  </si>
  <si>
    <t>Phylum: Spirochaetes | Treponema sp. 9:A:D01</t>
  </si>
  <si>
    <t>sp. HMT-270</t>
  </si>
  <si>
    <t>HMT-270</t>
  </si>
  <si>
    <t>Oral Strain Smibert D15A-4 | Phylum: Spirochaetes | Treponema sp. 6:H:D15A-4</t>
  </si>
  <si>
    <t>AY005083</t>
  </si>
  <si>
    <t>sp. HMT-269</t>
  </si>
  <si>
    <t>HMT-269</t>
  </si>
  <si>
    <t>Oral Clone IL034 | Oral Strain Smibert D120CR-1 | Phylum: Spirochaetes | Treponema sp. Smibert-5</t>
  </si>
  <si>
    <t>AF033303 | AY349418</t>
  </si>
  <si>
    <t>sp. HMT-268</t>
  </si>
  <si>
    <t>HMT-268</t>
  </si>
  <si>
    <t>Phylum: Spirochaetes | Treponema sp. V:A:U7A</t>
  </si>
  <si>
    <t>AF023046</t>
  </si>
  <si>
    <t>sp. HMT-265</t>
  </si>
  <si>
    <t>HMT-265</t>
  </si>
  <si>
    <t>Phylum: Spirochaetes | Treponema sp. oral clone BZ013</t>
  </si>
  <si>
    <t>AF385536</t>
  </si>
  <si>
    <t>sp. HMT-264</t>
  </si>
  <si>
    <t>HMT-264</t>
  </si>
  <si>
    <t>Phylum: Spirochaetes | Treponema sp. 5:22:BH022</t>
  </si>
  <si>
    <t>AF182837</t>
  </si>
  <si>
    <t>sp. HMT-263</t>
  </si>
  <si>
    <t>HMT-263</t>
  </si>
  <si>
    <t>Phylum: Spirochaetes | Treponema sp. 5:C:AT040</t>
  </si>
  <si>
    <t>AF182834</t>
  </si>
  <si>
    <t>sp. HMT-262</t>
  </si>
  <si>
    <t>HMT-262</t>
  </si>
  <si>
    <t>Phylum: Spirochaetes | Treponema sp. IV:17D:D31</t>
  </si>
  <si>
    <t>AF023041</t>
  </si>
  <si>
    <t>sp. HMT-260</t>
  </si>
  <si>
    <t>HMT-260</t>
  </si>
  <si>
    <t>Phylum: Spirochaetes | Treponema sp. IV:18:C9</t>
  </si>
  <si>
    <t>AF023042</t>
  </si>
  <si>
    <t>sp. HMT-258</t>
  </si>
  <si>
    <t>HMT-258</t>
  </si>
  <si>
    <t>Oral Strain Smibert D36ER1 | Phylum: Spirochaetes | Treponema sp. V:19:D36</t>
  </si>
  <si>
    <t>AF023044</t>
  </si>
  <si>
    <t>sp. HMT-257</t>
  </si>
  <si>
    <t>HMT-257</t>
  </si>
  <si>
    <t>Phylum: Spirochaetes | Treponema sp. 3:G:BB003</t>
  </si>
  <si>
    <t>AF182835</t>
  </si>
  <si>
    <t>sp. HMT-256</t>
  </si>
  <si>
    <t>HMT-256</t>
  </si>
  <si>
    <t>Phylum: Spirochaetes | Treponema sp. 3:E:AT013</t>
  </si>
  <si>
    <t>AF182836</t>
  </si>
  <si>
    <t>sp. HMT-254</t>
  </si>
  <si>
    <t>HMT-254</t>
  </si>
  <si>
    <t>Phylum: Spirochaetes | Treponema sp. 3:D:BQ032</t>
  </si>
  <si>
    <t>AF182838</t>
  </si>
  <si>
    <t>sp. HMT-253</t>
  </si>
  <si>
    <t>HMT-253</t>
  </si>
  <si>
    <t>Phylum: Spirochaetes | Treponema sp. III:C:BA213</t>
  </si>
  <si>
    <t>AF056341</t>
  </si>
  <si>
    <t>sp. HMT-252</t>
  </si>
  <si>
    <t>HMT-252</t>
  </si>
  <si>
    <t>Phylum: Spirochaetes | Treponema sp. III:B:U8A</t>
  </si>
  <si>
    <t>AF056340</t>
  </si>
  <si>
    <t>sp. HMT-251</t>
  </si>
  <si>
    <t>HMT-251</t>
  </si>
  <si>
    <t>Phylum: Spirochaetes | Treponema sp. III:A:D24</t>
  </si>
  <si>
    <t>AF023028</t>
  </si>
  <si>
    <t>sp. HMT-250</t>
  </si>
  <si>
    <t>HMT-250</t>
  </si>
  <si>
    <t>Phylum: Spirochaetes | Treponema sp. II:I:C53</t>
  </si>
  <si>
    <t>AF023037</t>
  </si>
  <si>
    <t>sp. HMT-249</t>
  </si>
  <si>
    <t>HMT-249</t>
  </si>
  <si>
    <t>Phylum: Spirochaetes | Treponema sp. II:D:G93</t>
  </si>
  <si>
    <t>AF023032</t>
  </si>
  <si>
    <t>sp. HMT-247</t>
  </si>
  <si>
    <t>HMT-247</t>
  </si>
  <si>
    <t>Phylum: Spirochaetes | Treponema sp. II:C:T1</t>
  </si>
  <si>
    <t>AF023031</t>
  </si>
  <si>
    <t>sp. HMT-246</t>
  </si>
  <si>
    <t>HMT-246</t>
  </si>
  <si>
    <t>Phylum: Spirochaetes | Treponema sp. I:V:AU076</t>
  </si>
  <si>
    <t>AF182831</t>
  </si>
  <si>
    <t>sp. HMT-242</t>
  </si>
  <si>
    <t>HMT-242</t>
  </si>
  <si>
    <t>Oral ClonesJU031 | Phylum: Spirochaetes | Treponema sp. I:R:AF026</t>
  </si>
  <si>
    <t>AF061348 | AY349416</t>
  </si>
  <si>
    <t>sp. HMT-239</t>
  </si>
  <si>
    <t>HMT-239</t>
  </si>
  <si>
    <t>Phylum: Spirochaetes | Treponema sp. I:Q:AT20</t>
  </si>
  <si>
    <t>AF061347</t>
  </si>
  <si>
    <t>sp. HMT-238</t>
  </si>
  <si>
    <t>HMT-238</t>
  </si>
  <si>
    <t>Phylum: Spirochaetes | Treponema sp. I:8:G57 | Treponema sp. I:S:AT39 | Treponema sp. I:T:AT24</t>
  </si>
  <si>
    <t>AF056337 | AF061349 | AF061350</t>
  </si>
  <si>
    <t>sp. HMT-237</t>
  </si>
  <si>
    <t>HMT-237</t>
  </si>
  <si>
    <t>Phylum: Spirochaetes | Treponema sp. I:O:AF016</t>
  </si>
  <si>
    <t>AF056338</t>
  </si>
  <si>
    <t>sp. HMT-236</t>
  </si>
  <si>
    <t>HMT-236</t>
  </si>
  <si>
    <t>Phylum: Spirochaetes | Treponema sp. I:N:D47</t>
  </si>
  <si>
    <t>AF023063</t>
  </si>
  <si>
    <t>sp. HMT-235</t>
  </si>
  <si>
    <t>HMT-235</t>
  </si>
  <si>
    <t>Phylum: Spirochaetes | Treponema sp. I:L:Y1</t>
  </si>
  <si>
    <t>AF023056</t>
  </si>
  <si>
    <t>sp. HMT-234</t>
  </si>
  <si>
    <t>HMT-234</t>
  </si>
  <si>
    <t>Phylum: Spirochaetes | Treponema sp. I:J:T19</t>
  </si>
  <si>
    <t>AF023059</t>
  </si>
  <si>
    <t>sp. HMT-232</t>
  </si>
  <si>
    <t>HMT-232</t>
  </si>
  <si>
    <t>Phylum: Spirochaetes | Treponeme sp. 1:G:T21</t>
  </si>
  <si>
    <t>AF023055</t>
  </si>
  <si>
    <t>sp. HMT-231</t>
  </si>
  <si>
    <t>HMT-231</t>
  </si>
  <si>
    <t>Oral Clone AF068 | Phylum: Spirochaetes | Treponema sp. I:F:D13</t>
  </si>
  <si>
    <t>AF023053 | AY005081</t>
  </si>
  <si>
    <t>sp. HMT-230</t>
  </si>
  <si>
    <t>HMT-230</t>
  </si>
  <si>
    <t>Phylum: Spirochaetes | Treponema sp. I:D:T31</t>
  </si>
  <si>
    <t>AF023054</t>
  </si>
  <si>
    <t>sp. HMT-228</t>
  </si>
  <si>
    <t>HMT-228</t>
  </si>
  <si>
    <t>Oral Clone BA223 | Phylum: Spirochaetes</t>
  </si>
  <si>
    <t>AF056339</t>
  </si>
  <si>
    <t>sp. HMT-227</t>
  </si>
  <si>
    <t>HMT-227</t>
  </si>
  <si>
    <t>Oral Clone G054 | Phylum: Spirochaetes</t>
  </si>
  <si>
    <t>AF023062</t>
  </si>
  <si>
    <t>sp. HMT-226</t>
  </si>
  <si>
    <t>HMT-226</t>
  </si>
  <si>
    <t>2.80 - 2.83 Mbps</t>
  </si>
  <si>
    <t>GCA_000464455.1 | GCA_000468115.1</t>
  </si>
  <si>
    <t>Phylum: Spirochaetes | Treponema socranskii subsp. 04 | Treponema socranskii subsp. A | Treponema socranskii subsp. B | Treponema socranskii subsp. buccale | Treponema socranskii subsp. paredis | Treponema socranskii subsp. socranskii</t>
  </si>
  <si>
    <t>AF033308</t>
  </si>
  <si>
    <t>subsp. socranskii</t>
  </si>
  <si>
    <t>socranskii</t>
  </si>
  <si>
    <t>2.74 Mbps</t>
  </si>
  <si>
    <t>subsp. paredis</t>
  </si>
  <si>
    <t>2.87 Mbps</t>
  </si>
  <si>
    <t>subsp. buccale</t>
  </si>
  <si>
    <t>2.76 - 2.95 Mbps</t>
  </si>
  <si>
    <t>GCA_000755145.1 | GCA_007830595.1 | GCA_024400855.1 | GCA_024401005.1 | GCA_024401155.1</t>
  </si>
  <si>
    <t>AY369249</t>
  </si>
  <si>
    <t>2.14 - 2.32 Mbps</t>
  </si>
  <si>
    <t>GCA_900497565.1 | GCA_900497585.1 | GCA_900497595.1 | GCA_900566195.1 | GCA_900573895.1</t>
  </si>
  <si>
    <t>M71237</t>
  </si>
  <si>
    <t>2.61 - 2.66 Mbps</t>
  </si>
  <si>
    <t>GCA_017893945.1 | GCA_017893965.1 | GCA_017893985.1</t>
  </si>
  <si>
    <t>AF033304</t>
  </si>
  <si>
    <t>1.13 - 1.14 Mbps</t>
  </si>
  <si>
    <t>GCA_000008605.1 | GCA_000217655.1 | GCA_005885795.1 | GCA_023016345.1 | GCA_023016425.1 | GCA_023016445.1 | GCA_029866565.1 | GCA_029866705.1 | GCA_029866725.1 | GCA_030436145.1</t>
  </si>
  <si>
    <t>Microspironema pallidum | Phylum: Spirochaetes | Spirillum pallidum | Spirochaeta pallida | Spironema pallidum</t>
  </si>
  <si>
    <t>M88726</t>
  </si>
  <si>
    <t>2.63 - 2.89 Mbps</t>
  </si>
  <si>
    <t>GCA_000413035.1 | GCA_017161225.1 | GCA_017161265.1 | GCA_018336815.1 | GCA_024181325.1</t>
  </si>
  <si>
    <t>AF023051</t>
  </si>
  <si>
    <t>2.53 Mbps</t>
  </si>
  <si>
    <t>AF023039</t>
  </si>
  <si>
    <t>2.34 Mbps</t>
  </si>
  <si>
    <t>Phylum: Spirochaetes | Treponema sp. IV:17C:GF6</t>
  </si>
  <si>
    <t>AF023040</t>
  </si>
  <si>
    <t>ATCC 700332 | OMZ 684</t>
  </si>
  <si>
    <t>2.71 - 2.99 Mbps</t>
  </si>
  <si>
    <t>GCA_000008185.1 | GCA_000191825.1 | GCA_000338455.1 | GCA_000338475.1 | GCA_000338515.1 | GCA_000338595.1 | GCA_000338615.1 | GCA_000338635.1 | GCA_000340605.1 | GCA_000340645.1 | GCA_000340685.1 | GCA_000340705.1 | GCA_000340725.1 | GCA_000340745.1 | GCA_000413075.1 | GCA_000413095.1 | GCA_000413115.1 | GCA_003538675.1 | GCA_024181425.1 | GCA_024181445.1 | GCA_024181485.1 | GCA_024181505.1 | GCA_024181545.1 | GCA_024181625.1 | GCA_024181645.1 | GCA_024181665.1 | GCA_025905525.1 | GCA_900497605.1</t>
  </si>
  <si>
    <t>Phylum: Spirochaetes | Spirillum dentium | Spirochaeta ambigua | Spirochaeta comandonii | Spirochaeta dentium | Spirochaeta microdentium | Spirochaeta orthodonta | Spirochaete denticola | Spirochaete dentium | Spironema dentium | Treponema ambiguum | Treponema comandonii | Treponema dentium | Treponema dentium-stenogyratum | Treponema microdentium | Treponema orthodontum</t>
  </si>
  <si>
    <t>M71236</t>
  </si>
  <si>
    <t>AF023045</t>
  </si>
  <si>
    <t>amylovorum</t>
  </si>
  <si>
    <t>HMT-541</t>
  </si>
  <si>
    <t>Phylum: Bacteroidetes | Tannerella sp. clone CP6_C2</t>
  </si>
  <si>
    <t>KC203065</t>
  </si>
  <si>
    <t>sp. HMT-916</t>
  </si>
  <si>
    <t>Tannerellaceae</t>
  </si>
  <si>
    <t>Bacteroidales</t>
  </si>
  <si>
    <t>Bacteroidia</t>
  </si>
  <si>
    <t>HMT-916</t>
  </si>
  <si>
    <t>Oral Clone BU045 | Phylum: Bacteroidetes</t>
  </si>
  <si>
    <t>AF385565</t>
  </si>
  <si>
    <t>sp. HMT-808</t>
  </si>
  <si>
    <t>HMT-808</t>
  </si>
  <si>
    <t>1.94 - 3.01 Mbps</t>
  </si>
  <si>
    <t>GCA_001717525.2 | GCA_003033925.1 | GCA_905372755.1 | GCA_915063695.1 | GCA_938049055.1</t>
  </si>
  <si>
    <t>Oral Clone BU063 | Phylum: Bacteroidetes | Species: sp._HMT_286</t>
  </si>
  <si>
    <t>AY008308</t>
  </si>
  <si>
    <t>2.97 - 3.41 Mbps</t>
  </si>
  <si>
    <t>GCA_000238215.1 | GCA_001006485.1 | GCA_001547855.1 | GCA_001547875.1 | GCA_001938785.1 | GCA_002529085.1 | GCA_002529295.1 | GCA_006385365.1 | GCA_900096715.1 | GCA_900096725.1 | GCA_900096735.1 | GCA_905373495.1 | GCA_938034995.1</t>
  </si>
  <si>
    <t>Bacteroides forsythus | Phylum: Bacteroidetes | Tannerella forsythensis</t>
  </si>
  <si>
    <t>L16495</t>
  </si>
  <si>
    <t>Family: Syntrophomonadaceae_[VIII] | Oral Clone P4PB_66 | Phylum: Firmicutes</t>
  </si>
  <si>
    <t>AY341821</t>
  </si>
  <si>
    <t>bacterium HMT-435</t>
  </si>
  <si>
    <t>Syntrophomonadaceae [G1]</t>
  </si>
  <si>
    <t>Syntrophomonadaceae</t>
  </si>
  <si>
    <t>Eubacteriales</t>
  </si>
  <si>
    <t>HMT-435</t>
  </si>
  <si>
    <t>4.55 - 5.07 Mbps</t>
  </si>
  <si>
    <t>GCA_000219605.1 | GCA_000327065.1 | GCA_000590475.1 | GCA_009789555.1 | GCA_015291885.1 | GCA_018138085.1</t>
  </si>
  <si>
    <t>Achromobacter sewerinii | Achromobacter stutzeri | Bacillus denitrificans | Bacillus nitrogenes | Bacillus stutzeri | Bacterium stutzeri | Genus: Pseudomonas | Phylum: Proteobacteria | Pseudomonas perfectimarina | Pseudomonas perfectomarina | Pseudomonas perfectomarinus | Pseudomonas stanieri</t>
  </si>
  <si>
    <t>AF063219</t>
  </si>
  <si>
    <t>Pseudomonadaceae</t>
  </si>
  <si>
    <t>Pseudomonadales</t>
  </si>
  <si>
    <t>1.67 - 2.09 Mbps</t>
  </si>
  <si>
    <t>GCA_000180075.1 | GCA_000188295.1 | GCA_001068405.1 | GCA_001069025.1 | GCA_001657905.1 | GCA_001657915.1 | GCA_003438185.1 | GCA_018377135.1 | GCA_020590155.1 | GCA_020593075.1 | GCA_022770005.1 | GCA_023110145.1 | GCA_023110355.1 | GCA_026781275.1 | GCA_028307985.1 | GCA_028308045.1 | GCA_028308115.1 | GCA_028308145.1 | GCA_028308185.1 | GCA_028308465.1 | GCA_030444115.1 | GCA_900636445.1 | GCA_902167825.1 | GCA_902385605.1 | GCA_905209855.1 | GCA_958445235.1 | GCA_959024065.1 | GCA_959608055.1</t>
  </si>
  <si>
    <t>AY188353</t>
  </si>
  <si>
    <t>Streptococcaceae</t>
  </si>
  <si>
    <t>Lactobacillales</t>
  </si>
  <si>
    <t>Bacilli</t>
  </si>
  <si>
    <t>1.79 - 2.10 Mbps</t>
  </si>
  <si>
    <t>GCA_001514435.1 | GCA_002443035.1 | GCA_004354505.1 | GCA_010120595.1 | GCA_013307285.1 | GCA_019972875.1 | GCA_020844005.1 | GCA_025948295.1 | GCA_030846755.1 | GCA_903886345.1</t>
  </si>
  <si>
    <t>Human-Associated, Primary Site Uncertain (Abundance: Low) | Unassigned</t>
  </si>
  <si>
    <t>Oral Clone C2MKM128 | Phylum: Firmicutes</t>
  </si>
  <si>
    <t>AY278630</t>
  </si>
  <si>
    <t>sp. HMT-423</t>
  </si>
  <si>
    <t>HMT-423</t>
  </si>
  <si>
    <t>Phylum: Firmicutes | Strain TFI T4-E3</t>
  </si>
  <si>
    <t>AF385526</t>
  </si>
  <si>
    <t>sp. HMT-074</t>
  </si>
  <si>
    <t>HMT-074</t>
  </si>
  <si>
    <t xml:space="preserve">Hans strain 12A | Hans strain 7A | Phylum: Firmicutes | Species: oralis subsp._tigurinus_clade_070 </t>
  </si>
  <si>
    <t>AY005040</t>
  </si>
  <si>
    <t>sp. HMT-070</t>
  </si>
  <si>
    <t>HMT-070</t>
  </si>
  <si>
    <t>2.23 Mbps</t>
  </si>
  <si>
    <t>Oral Clone FN051 | Oral Clone MCE7_144 | Phylum: Firmicutes</t>
  </si>
  <si>
    <t>AF432135 | AF481230</t>
  </si>
  <si>
    <t>Oral Clone C5MLM037 | Oral Clone EK048 | Phylum: Firmicutes</t>
  </si>
  <si>
    <t>AF385574 | AY278609</t>
  </si>
  <si>
    <t>sp. HMT-064</t>
  </si>
  <si>
    <t>HMT-064</t>
  </si>
  <si>
    <t>1.85 Mbps</t>
  </si>
  <si>
    <t>Oral Clone BM035 | Oral Clone BW009 | Oral Clone C3MLM097 | Oral Clone CH016 | Phylum: Firmicutes | Species: oralis subsp._dentisani_clade_058 | Streptococcus oralis subsp. dentisani</t>
  </si>
  <si>
    <t>AY005042 | AY005043 | AY005044 | AY278632</t>
  </si>
  <si>
    <t>Oral Clone BE024 | Phylum: Firmicutes</t>
  </si>
  <si>
    <t>AF385550</t>
  </si>
  <si>
    <t>sp. HMT-057</t>
  </si>
  <si>
    <t>HMT-057</t>
  </si>
  <si>
    <t>1.89 - 1.94 Mbps</t>
  </si>
  <si>
    <t>GCA_000220065.2 | GCA_001070265.1</t>
  </si>
  <si>
    <t>Oral Clone AY020 | Phylum: Firmicutes</t>
  </si>
  <si>
    <t>AF385545</t>
  </si>
  <si>
    <t>2.05 - 2.20 Mbps</t>
  </si>
  <si>
    <t>GCA_900475365.1 | GCA_900475395.1 | GCA_905199975.1 | GCA_937927005.1 | GCA_000227805.2 | GCA_000227965.2 | GCA_000227985.2 | GCA_000228065.2 | GCA_000228125.2 | GCA_000228245.2 | GCA_000228265.2 | GCA_000228305.2 | GCA_000228445.2 | GCA_000228545.2 | GCA_000228665.2 | GCA_000347935.1 | GCA_000439045.1 | GCA_000467915.2 | GCA_000686605.1 | GCA_002266475.1 | GCA_003172975.1 | GCA_003172995.1 | GCA_003176795.1 | GCA_003176815.1 | GCA_015669055.1</t>
  </si>
  <si>
    <t>Phylum: Firmicutes | Streptococcus mutans</t>
  </si>
  <si>
    <t>AJ243966</t>
  </si>
  <si>
    <t>2.06 - 2.29 Mbps</t>
  </si>
  <si>
    <t>GCA_000767835.1 | GCA_001578725.1 | GCA_019090945.2 | GCA_021460765.1 | GCA_026783805.1 | GCA_030586725.1 | GCA_902460385.1</t>
  </si>
  <si>
    <t>AF432856</t>
  </si>
  <si>
    <t>2.28 - 2.51 Mbps</t>
  </si>
  <si>
    <t>GCA_023109815.1 | GCA_026781295.1 | GCA_026781315.1 | GCA_026781445.1 | GCA_026781465.1 | GCA_026781525.1 | GCA_026781545.1 | GCA_026781585.1 | GCA_026781625.1 | GCA_026781665.1 | GCA_026781685.1 | GCA_026781745.1 | GCA_027686705.1 | GCA_027694265.1 | GCA_031142805.1 | GCA_900475045.1 | GCA_900475275.1 | GCA_900475505.1 | GCA_900635155.1 | GCA_000014205.1 | GCA_000188275.1 | GCA_000191085.1 | GCA_000191105.1 | GCA_000191125.1 | GCA_000192185.1 | GCA_000192205.1 | GCA_000192245.1 | GCA_000192275.1 | GCA_000194945.1 | GCA_000194965.1 | GCA_000195045.1 | GCA_000195125.1 | GCA_000204475.1 | GCA_000212795.1 | GCA_000212815.1 | GCA_000212835.1 | GCA_000212855.1 | GCA_000220275.1 | GCA_000220315.1 | GCA_000286495.1 | GCA_000507745.1 | GCA_001071805.1 | GCA_001073285.1 | GCA_001074035.1 | GCA_001078705.1 | GCA_001588715.1 | GCA_001588875.1 | GCA_001588895.1 | GCA_001593525.1 | GCA_002860765.1 | GCA_003858565.1 | GCA_003942265.1 | GCA_003942275.1 | GCA_003942295.1 | GCA_003942365.1 | GCA_003942375.1 | GCA_003942385.1 | GCA_003942405.1 | GCA_003942415.1 | GCA_003942475.1 | GCA_003942485.1 | GCA_003942595.1 | GCA_003943655.1 | GCA_003943715.1 | GCA_003943735.1 | GCA_003943755.1 | GCA_003943785.1 | GCA_003944125.1 | GCA_003944405.1 | GCA_003944415.1 | GCA_003944465.1 | GCA_003944475.1 | GCA_003944485.1 | GCA_008329445.1 | GCA_009932775.1 | GCA_012911545.1 | GCA_013343115.1 | GCA_013378335.1 | GCA_013378355.1 | GCA_019928725.1 | GCA_019928745.1 | GCA_019928825.1 | GCA_019928845.1 | GCA_019928885.1 | GCA_019928915.1 | GCA_019928935.1 | GCA_019929005.1 | GCA_019929015.1 | GCA_019929085.1 | GCA_019929095.1 | GCA_019929105.1 | GCA_019929145.1 | GCA_019929205.1 | GCA_019929225.1 | GCA_020729665.1 | GCA_020729675.1 | GCA_020729715.1 | GCA_020729725.1</t>
  </si>
  <si>
    <t>Phylum: Firmicutes | Streptococcus sanguinis | Streptococcus sanguis ss. carlssonii</t>
  </si>
  <si>
    <t>AF003928</t>
  </si>
  <si>
    <t>ATCC 10556 | NCTC7863</t>
  </si>
  <si>
    <t>2.00 - 2.44 Mbps</t>
  </si>
  <si>
    <t>GCA_000225385.2 | GCA_000253315.1 | GCA_000253335.1 | GCA_000305335.2 | GCA_000448685.2 | GCA_000785515.1 | GCA_000963265.1 | GCA_000963335.1 | GCA_001073005.1 | GCA_001543085.1 | GCA_001659645.1 | GCA_002073515.2 | GCA_002073815.2 | GCA_002073835.2 | GCA_002093995.1 | GCA_002094005.1 | GCA_002094955.1 | GCA_002094975.1 | GCA_002860785.1 | GCA_002925865.1 | GCA_003231475.1 | GCA_004166915.1 | GCA_008305695.1 | GCA_009716755.1 | GCA_009716765.1 | GCA_009716785.1 | GCA_009716965.1 | GCA_009716995.1 | GCA_009717045.1 | GCA_009717055.1 | GCA_009717065.1 | GCA_009717105.1 | GCA_009717115.1 | GCA_009717155.1 | GCA_009717165.1 | GCA_009717205.1 | GCA_009717225.1 | GCA_009717245.1 | GCA_009717255.1 | GCA_009717265.1 | GCA_009717325.1 | GCA_009717375.1 | GCA_009717425.1 | GCA_009717435.1 | GCA_009717465.1 | GCA_009717495.1 | GCA_009738205.1 | GCA_009738225.1 | GCA_009738245.1 | GCA_013267495.1 | GCA_013822985.1 | GCA_015551585.1 | GCA_015556225.1 | GCA_016127535.1 | GCA_016648635.1 | GCA_016648745.1 | GCA_019972895.1 | GCA_020404185.1 | GCA_020404345.1 | GCA_022936265.1 | GCA_023109335.1 | GCA_023109355.1 | GCA_024295525.1 | GCA_024296065.1 | GCA_026781795.1 | GCA_027661045.1 | GCA_027675265.1 | GCA_027685745.1 | GCA_028325485.1 | GCA_028325505.1 | GCA_028325525.1 | GCA_028325655.1 | GCA_030284685.1 | GCA_030316785.1 | GCA_030440125.1 | GCA_030440175.1 | GCA_031192325.1 | GCA_900143035.1 | GCA_900475225.1 | GCA_900636435.1 | GCA_902363415.1 | GCA_902850275.2 | GCA_902850315.1 | GCA_902850335.2 | GCA_902850355.2 | GCA_902858925.1 | GCA_902858935.1 | GCA_902858945.1 | GCA_902858995.1 | GCA_902859005.1 | GCA_902859025.1 | GCA_902859035.1 | GCA_903172975.1 | GCA_903908965.1 | GCA_903909965.1 | GCA_903910465.1 | GCA_905071825.1 | GCA_905071845.1 | GCA_916619785.1</t>
  </si>
  <si>
    <t>M58839</t>
  </si>
  <si>
    <t>1.04 - 2.16 Mbps</t>
  </si>
  <si>
    <t>GCA_004785935.1 | GCA_015560245.1 | GCA_016642415.1 | GCA_902481245.1 | GCA_916439315.1</t>
  </si>
  <si>
    <t>1.74 - 1.91 Mbps</t>
  </si>
  <si>
    <t>GCA_900474885.1 | GCA_000307535.1 | GCA_000421785.1 | GCA_000993765.1 | GCA_001547835.1 | GCA_001982785.1 | GCA_002055535.1 | GCA_004028355.1 | GCA_005162405.1 | GCA_019342945.1</t>
  </si>
  <si>
    <t>Micrococcus scarlatinae | Phylum: Firmicutes | Streptococcus erysipelatos | Streptococcus hemolyticus | Streptococcus scarlatinae</t>
  </si>
  <si>
    <t>AB023575</t>
  </si>
  <si>
    <t>2.08 - 2.37 Mbps</t>
  </si>
  <si>
    <t>GCA_000221985.1 | GCA_000257825.1 | GCA_000258265.1 | GCA_000506685.1 | GCA_000506705.1 | GCA_000506745.1 | GCA_001115245.1 | GCA_001121785.1 | GCA_001147205.1 | GCA_001193755.1 | GCA_001206055.1 | GCA_001336595.1 | GCA_001337855.1 | GCA_001339755.1 | GCA_002014925.1 | GCA_002014955.1 | GCA_002087075.1 | GCA_002780495.1 | GCA_002780525.1 | GCA_003598195.1 | GCA_003598205.1 | GCA_003598235.1 | GCA_003599935.1 | GCA_003605455.1 | GCA_005890235.1 | GCA_005890245.1 | GCA_005890255.1 | GCA_005890265.1 | GCA_005890285.1 | GCA_005890345.1 | GCA_005890355.1 | GCA_005890375.1 | GCA_005890385.1 | GCA_005890435.1 | GCA_005890445.1 | GCA_005890465.1 | GCA_005890475.1 | GCA_005890485.1 | GCA_005890525.1 | GCA_005890545.1 | GCA_005890555.1 | GCA_005890575.1 | GCA_005890605.1 | GCA_005890625.1 | GCA_011714665.1 | GCA_011714685.1 | GCA_011714705.1 | GCA_011714735.1 | GCA_011714745.1 | GCA_011714755.1 | GCA_011714795.1 | GCA_011714825.1 | GCA_011714835.1 | GCA_011714855.1 | GCA_011714895.1 | GCA_011714915.1 | GCA_011714925.1 | GCA_011714955.1 | GCA_013276315.1 | GCA_013276335.1 | GCA_013276385.1 | GCA_013276405.1 | GCA_013276415.1 | GCA_013276425.1 | GCA_013276435.1 | GCA_013276525.1 | GCA_013276535.1 | GCA_013276595.1 | GCA_013276675.1 | GCA_013276695.1 | GCA_013276705.1 | GCA_013276735.1 | GCA_013276805.1 | GCA_013276815.1 | GCA_013276855.1 | GCA_013277055.1 | GCA_013277095.1 | GCA_013277175.1 | GCA_013277255.1 | GCA_013277265.1 | GCA_013277285.1 | GCA_013277295.1 | GCA_013277315.1 | GCA_013277355.1 | GCA_013277375.1 | GCA_013277425.1 | GCA_013277505.1 | GCA_015700065.1 | GCA_015700075.1 | GCA_015700135.1 | GCA_015700175.1 | GCA_015700525.1 | GCA_019456715.1 | GCA_019456735.1 | GCA_019456755.1 | GCA_019456815.1 | GCA_019456835.1 | GCA_019456855.1 | GCA_019456875.1 | GCA_021294795.1</t>
  </si>
  <si>
    <t>2.00 - 2.29 Mbps</t>
  </si>
  <si>
    <t>GCA_000006885.1 | GCA_000007045.1 | GCA_000014365.2 | GCA_000018965.1 | GCA_000018985.1 | GCA_000019005.1 | GCA_000019025.1 | GCA_000019265.1 | GCA_000019825.1 | GCA_000019985.1 | GCA_000026665.1 | GCA_000146975.1 | GCA_000147095.1 | GCA_000180515.2 | GCA_000196595.1 | GCA_000210935.1 | GCA_000210955.1 | GCA_000210975.1 | GCA_000210995.1 | GCA_000211015.1 | GCA_000211035.2 | GCA_000211055.2 | GCA_000211075.1 | GCA_000211095.1 | GCA_000212515.2 | GCA_000212535.2 | GCA_000212555.2 | GCA_000231985.2 | GCA_000232445.2 | GCA_000232645.2 | GCA_000232985.2 | GCA_000233105.2 | GCA_000233225.2 | GCA_000233265.2 | GCA_000233305.2 | GCA_000251085.2 | GCA_000251385.2 | GCA_000251565.2 | GCA_000251605.2 | GCA_000251805.2 | GCA_000251825.2 | GCA_000251945.2 | GCA_000252065.2 | GCA_000252205.2 | GCA_000252225.2 | GCA_000252245.2 | GCA_000252265.2 | GCA_000256645.1 | GCA_000269665.1 | GCA_000273445.1 | GCA_000279495.1 | GCA_000279715.1 | GCA_000279835.1 | GCA_000279855.1 | GCA_000299015.1 | GCA_000334655.1 | GCA_000348705.1 | GCA_000817005.1 | GCA_001095405.3 | GCA_001457635.1 | GCA_001896045.1 | GCA_001896065.1 | GCA_001896085.1 | GCA_002357995.1 | GCA_002813535.1 | GCA_003351705.1 | GCA_003354825.1 | GCA_003966505.1 | GCA_004331935.1 | GCA_013047165.1 | GCA_015838875.1 | GCA_015839035.1 | GCA_015839235.1 | GCA_015840115.1 | GCA_017569245.1 | GCA_020097335.1 | GCA_021398235.1 | GCA_022068285.1 | GCA_022068525.1 | GCA_022069005.1 | GCA_022069325.1 | GCA_022069485.1 | GCA_022069505.1 | GCA_022069545.1 | GCA_022070465.1 | GCA_022070485.1 | GCA_022070545.1 | GCA_022070565.1 | GCA_022075545.1 | GCA_022075645.1 | GCA_022318405.1 | GCA_022318425.1 | GCA_022318505.1 | GCA_024089355.1 | GCA_900475515.1 | GCA_900475805.1 | GCA_900476475.1 | GCA_900476505.1 | GCA_900618555.1 | GCA_900693025.1</t>
  </si>
  <si>
    <t>Diplococcus pneumoniae | Micrococcus pneumoniae | Phylum: Firmicutes</t>
  </si>
  <si>
    <t>AF003930</t>
  </si>
  <si>
    <t>1.29 - 0.977 Mbps</t>
  </si>
  <si>
    <t>GCA_000187585.1 | GCA_001839505.1 | GCA_902479685.1 | GCA_959023595.1</t>
  </si>
  <si>
    <t>AB008314</t>
  </si>
  <si>
    <t>1.84 - 2.33 Mbps</t>
  </si>
  <si>
    <t>GCA_000180035.1 | GCA_000187505.1 | GCA_000222725.2 | GCA_000448565.1 | GCA_000507765.1 | GCA_000724645.1 | GCA_000963275.1 | GCA_001069785.1 | GCA_001070445.1 | GCA_001070575.1 | GCA_001071035.1 | GCA_001071295.1 | GCA_001072295.1 | GCA_001072435.1 | GCA_001073155.1 | GCA_001073735.1 | GCA_001074805.1 | GCA_001076955.1 | GCA_001588725.1 | GCA_001808725.1 | GCA_001808745.1 | GCA_001812015.1 | GCA_001813105.1 | GCA_001813295.1 | GCA_001813505.1 | GCA_001813675.1 | GCA_001815045.1 | GCA_001837905.1 | GCA_003437975.1 | GCA_003469565.1 | GCA_003942525.1 | GCA_004127205.1 | GCA_008727815.1 | GCA_009717525.1 | GCA_009717535.1 | GCA_009717545.1 | GCA_009717575.1 | GCA_009717595.1 | GCA_009717625.1 | GCA_009717635.1 | GCA_009717665.1 | GCA_009717675.1 | GCA_009717705.1 | GCA_009717715.1 | GCA_009717735.1 | GCA_009717765.1 | GCA_009717775.1 | GCA_009717805.1 | GCA_009717815.1 | GCA_009717845.1 | GCA_015546865.1 | GCA_015552485.1 | GCA_015556095.1 | GCA_015557775.1 | GCA_015559215.1 | GCA_015560745.1 | GCA_016648825.1 | GCA_016648855.1 | GCA_016648925.1 | GCA_018367615.1 | GCA_018367695.1 | GCA_018379295.1 | GCA_018499385.1 | GCA_018499465.1 | GCA_018499505.1 | GCA_019929185.1 | GCA_019929235.1 | GCA_020554365.1 | GCA_020560885.1 | GCA_023109675.1 | GCA_023110175.1 | GCA_024294625.1 | GCA_024294725.1 | GCA_024295365.1 | GCA_024295505.1 | GCA_024295545.1 | GCA_024295565.1 | GCA_024295585.1 | GCA_024295715.1 | GCA_024295745.1 | GCA_024295765.1 | GCA_024295785.1 | GCA_024295855.1 | GCA_024295925.1 | GCA_024296025.1 | GCA_024463135.1 | GCA_024655665.1 | GCA_027663695.1 | GCA_027693065.1 | GCA_028325865.1 | GCA_028325895.1 | GCA_028325965.1 | GCA_028325975.1 | GCA_028326025.1 | GCA_030440045.1 | GCA_030545615.1 | GCA_938045125.1 | GCA_958435325.1 | GCA_959023985.1</t>
  </si>
  <si>
    <t>Oral Clone C2MKM006 | Oral Clone C4MKM110 | Oral Clone C5AKM109 | Phylum: Firmicutes | Streptococcus parasanguinis | Streptococcus parasanguis</t>
  </si>
  <si>
    <t>AY278629 | AY278634 | AY278635 | EF399017</t>
  </si>
  <si>
    <t>1.84 - 2.11 Mbps</t>
  </si>
  <si>
    <t>GCA_000148565.2 | GCA_000164095.1 | GCA_000185265.1 | GCA_000253155.1 | GCA_000688775.2 | GCA_000722675.1 | GCA_000722845.1 | GCA_000959975.1 | GCA_000960035.1 | GCA_001072035.1 | GCA_001639375.1 | GCA_001683375.1 | GCA_001885595.1 | GCA_001983955.1 | GCA_002014885.1 | GCA_002096175.1 | GCA_002096275.1 | GCA_002096375.1 | GCA_002096435.1 | GCA_002096445.1 | GCA_002096455.1 | GCA_002096495.1 | GCA_002096515.1 | GCA_002096525.1 | GCA_002096535.1 | GCA_002096575.1 | GCA_002096595.1 | GCA_002289235.2 | GCA_002386345.1 | GCA_002860885.1 | GCA_003942565.1 | GCA_003942875.1 | GCA_003944395.1 | GCA_006175905.1 | GCA_006228325.1 | GCA_013488045.1 | GCA_013488065.1 | GCA_013592015.1 | GCA_016127555.1 | GCA_016127735.1 | GCA_016127915.1 | GCA_016549395.1 | GCA_016888845.1 | GCA_018791825.1 | GCA_019334565.1 | GCA_019929265.1 | GCA_019929405.1 | GCA_019929425.1 | GCA_019929465.1 | GCA_022749195.1 | GCA_023109195.1 | GCA_023109275.1 | GCA_023110055.1 | GCA_023110325.1 | GCA_023110385.1 | GCA_024295425.1 | GCA_024295485.1 | GCA_024295605.1 | GCA_024295645.1 | GCA_024295685.1 | GCA_024295845.1 | GCA_024295945.1 | GCA_024295965.1 | GCA_024296005.1 | GCA_024399415.1 | GCA_026782085.1 | GCA_026782145.1 | GCA_026782195.1 | GCA_026782325.1 | GCA_026782365.1 | GCA_026782425.1 | GCA_026782505.1 | GCA_029691405.1 | GCA_030546225.1 | GCA_030546245.1 | GCA_030546285.1 | GCA_030546305.1 | GCA_900637025.1 | GCA_910575295.1</t>
  </si>
  <si>
    <t>AF003932</t>
  </si>
  <si>
    <t>subsp. oralis</t>
  </si>
  <si>
    <t>1.82 - 2.02 Mbps</t>
  </si>
  <si>
    <t>GCA_000162495.1 | GCA_000221165.2 | GCA_000222705.2 | GCA_000382805.1 | GCA_000382825.1 | GCA_002096675.1 | GCA_002096695.1 | GCA_003942715.1 | GCA_003942915.1 | GCA_003943905.1 | GCA_007475365.1 | GCA_013276505.1 | GCA_016028175.1 | GCA_016028255.1 | GCA_019929285.1 | GCA_019929305.1 | GCA_019929365.1 | GCA_023110535.1 | GCA_023110555.1 | GCA_026782185.1 | GCA_026782485.1 | GCA_026782585.1 | GCA_901543815.1</t>
  </si>
  <si>
    <t>Oral Clone P2PA_41 | Phylum: Firmicutes | Streptococcus dentisani</t>
  </si>
  <si>
    <t>AY005045 | AY207051</t>
  </si>
  <si>
    <t>DSM 27088</t>
  </si>
  <si>
    <t>subsp. dentisani</t>
  </si>
  <si>
    <t>1.79 - 2.18 Mbps</t>
  </si>
  <si>
    <t>GCA_000146755.1 | GCA_000215365.2 | GCA_000223235.2 | GCA_000257845.1 | GCA_000286475.1 | GCA_000287715.1 | GCA_000314775.2 | GCA_000344255.1 | GCA_000344275.1 | GCA_000442155.1 | GCA_000442175.1 | GCA_000517765.1 | GCA_000524275.1 | GCA_000526095.1 | GCA_000960105.1 | GCA_001411485.1 | GCA_001588695.1 | GCA_002093515.1 | GCA_002093575.1 | GCA_002096215.1 | GCA_002096295.1 | GCA_002096355.1 | GCA_002356415.1 | GCA_015553015.1 | GCA_015561235.1 | GCA_018310275.1 | GCA_019929325.1 | GCA_021497885.1 | GCA_021497945.1 | GCA_023109005.1 | GCA_023109315.1 | GCA_023109405.1 | GCA_023109465.1 | GCA_023109655.1 | GCA_023611505.1 | GCA_026782305.1 | GCA_026782405.1 | GCA_026782445.1 | GCA_026782455.1 | GCA_026782525.1 | GCA_026782545.1 | GCA_026782645.1 | GCA_902488655.1 | GCA_938040075.1</t>
  </si>
  <si>
    <t>Phylum: Firmicutes | Strain TFI H6 | Streptococcus tigurinus</t>
  </si>
  <si>
    <t>AY005041 | AY207062 | AY207064 | AY278631</t>
  </si>
  <si>
    <t>ATCC 15914</t>
  </si>
  <si>
    <t>subsp. tigurinus</t>
  </si>
  <si>
    <t>1.71 - 2.15 Mbps</t>
  </si>
  <si>
    <t>GCA_023109585.1 | GCA_024762155.1 | GCA_024762175.1 | GCA_024762195.1 | GCA_026782685.1 | GCA_026782705.1 | GCA_026782725.1 | GCA_026782745.1 | GCA_026782765.1 | GCA_026782785.1 | GCA_026782805.1 | GCA_026782825.1 | GCA_026782845.1 | GCA_026782885.1 | GCA_027658645.1 | GCA_027683265.1 | GCA_028325405.1 | GCA_028325945.1 | GCA_028326035.1 | GCA_028326065.1 | GCA_028326125.1 | GCA_028326145.1 | GCA_028326165.1 | GCA_029071925.1 | GCA_030294905.1 | GCA_030586545.1 | GCA_030739475.1 | GCA_030739515.1 | GCA_030739525.1 | GCA_030739555.1 | GCA_900459345.1 | GCA_900475095.1 | GCA_900636835.1 | GCA_901875565.1 | GCA_902365065.1 | GCA_905193455.1 | GCA_905371825.1 | GCA_938038795.1 | GCA_946222355.1 | GCA_959599805.1 | GCA_000007465.2 | GCA_000091645.1 | GCA_000228745.2 | GCA_000228765.2 | GCA_000228785.2 | GCA_000228805.2 | GCA_000228825.2 | GCA_000228845.2 | GCA_000228865.2 | GCA_000228885.2 | GCA_000228905.2 | GCA_000228925.2 | GCA_000228945.2 | GCA_000228965.2 | GCA_000228985.2 | GCA_000229005.2 | GCA_000229025.2 | GCA_000229045.2 | GCA_000229065.2 | GCA_000229085.2 | GCA_000229105.2 | GCA_000229125.2 | GCA_000229145.2 | GCA_000229165.2 | GCA_000229185.2 | GCA_000229205.2 | GCA_000229225.2 | GCA_000229245.2 | GCA_000229265.2 | GCA_000229285.2 | GCA_000229305.2 | GCA_000229325.2 | GCA_000229345.2 | GCA_000229365.2 | GCA_000229385.2 | GCA_000229405.2 | GCA_000229425.2 | GCA_000229445.2 | GCA_000229465.2 | GCA_000229485.2 | GCA_000229505.2 | GCA_000229525.2 | GCA_000229545.2 | GCA_000229565.2 | GCA_000229585.2 | GCA_000229605.2 | GCA_000229625.2 | GCA_000229645.2 | GCA_000229665.2 | GCA_000229685.2 | GCA_000229705.2 | GCA_000229725.2 | GCA_000229745.2 | GCA_000229765.2 | GCA_000229785.2 | GCA_000229805.2 | GCA_000229825.2 | GCA_000229845.2 | GCA_000229865.2 | GCA_000229885.2 | GCA_000229905.2 | GCA_000229925.2 | GCA_000229945.2 | GCA_000229965.2 | GCA_000229985.2 | GCA_000230005.2 | GCA_000230025.2 | GCA_000230045.2 | GCA_000230065.2 | GCA_000230085.2 | GCA_000230105.2 | GCA_000230125.2 | GCA_000230145.2 | GCA_000230165.2 | GCA_000230185.2 | GCA_000230205.2 | GCA_000230225.2 | GCA_000271865.1 | GCA_000284575.1 | GCA_000339055.1 | GCA_000339075.1 | GCA_000339095.1 | GCA_000339115.1 | GCA_000339135.1 | GCA_000339155.1 | GCA_000339175.1 | GCA_000339195.1 | GCA_000339215.1 | GCA_000339235.1 | GCA_000339255.1 | GCA_000339275.1 | GCA_000339295.1 | GCA_000339315.1 | GCA_000339335.1 | GCA_000339355.1 | GCA_000339375.1 | GCA_000339395.1 | GCA_000339415.1 | GCA_000339435.1 | GCA_000339455.1 | GCA_000339475.1 | GCA_000339495.1 | GCA_000339515.1 | GCA_000339535.1 | GCA_000339555.1 | GCA_000339575.1 | GCA_000339595.1 | GCA_000339615.1 | GCA_000339635.1 | GCA_000339655.1 | GCA_000339675.1 | GCA_000339695.1 | GCA_000339715.1 | GCA_000339735.1 | GCA_000339755.1 | GCA_000339775.1 | GCA_000339795.1 | GCA_000339815.1 | GCA_000339835.1 | GCA_000339855.1 | GCA_000339875.1 | GCA_000339895.1 | GCA_000339915.1 | GCA_000339935.1 | GCA_000339955.1 | GCA_000339975.1 | GCA_000339995.1 | GCA_000340015.1 | GCA_000340035.1 | GCA_000340055.1 | GCA_000340075.1 | GCA_000340095.1 | GCA_000340115.1 | GCA_000340135.1 | GCA_000340155.1 | GCA_000340175.1 | GCA_000347795.1 | GCA_000347815.1 | GCA_000347835.1 | GCA_000347855.1 | GCA_000347875.1 | GCA_000347895.1 | GCA_000375505.1 | GCA_000496535.1 | GCA_000496555.1 | GCA_000522565.1 | GCA_000522585.1 | GCA_000522625.1 | GCA_000522765.1 | GCA_000522845.1 | GCA_000522885.1 | GCA_000817065.1 | GCA_001068415.1 | GCA_001069835.1 | GCA_001073145.1 | GCA_001558215.1 | GCA_001625005.1 | GCA_001703615.1 | GCA_002083175.2 | GCA_002155285.1 | GCA_002157665.1 | GCA_002179995.1 | GCA_002212845.1 | GCA_002212855.1 | GCA_002212885.1 | GCA_002212905.1 | GCA_002212925.1 | GCA_002212935.1 | GCA_002212965.1 | GCA_002212995.1 | GCA_002213005.1 | GCA_002213035.1 | GCA_002213065.1 | GCA_002995555.1 | GCA_003466855.1 | GCA_003691695.1 | GCA_006386535.1 | GCA_006739205.1 | GCA_008831325.1 | GCA_008831345.1 | GCA_008831365.1 | GCA_009738105.1 | GCA_011765485.1 | GCA_011765505.1 | GCA_011765525.1 | GCA_011765545.1 | GCA_012273155.1 | GCA_012641085.1 | GCA_012641545.1 | GCA_012641565.1 | GCA_012641575.1 | GCA_012641605.1 | GCA_012641615.1 | GCA_012641625.1 | GCA_012641665.1 | GCA_012641765.1 | GCA_012641775.1 | GCA_012641805.1 | GCA_012641825.1 | GCA_012641845.1 | GCA_012641855.1 | GCA_012641885.1 | GCA_012641905.1 | GCA_012641925.1 | GCA_012641935.1 | GCA_012641965.1 | GCA_012641975.1 | GCA_012642005.1 | GCA_012642015.1 | GCA_012642035.1 | GCA_012642055.1 | GCA_012642085.1 | GCA_012642105.1 | GCA_012642125.1 | GCA_012642145.1 | GCA_012642165.1 | GCA_012642185.1 | GCA_012642205.1 | GCA_012642225.1 | GCA_012642235.1 | GCA_012642265.1 | GCA_012642275.1 | GCA_012642305.1 | GCA_012642325.1 | GCA_012642345.1 | GCA_012642355.1 | GCA_012642365.1 | GCA_012642405.1 | GCA_014621675.1 | GCA_014842815.3 | GCA_015556125.1 | GCA_015668935.1 | GCA_015669655.1 | GCA_015670115.1 | GCA_015670285.1 | GCA_018588765.1 | GCA_018588785.1 | GCA_018588825.1 | GCA_018619415.1 | GCA_019048645.1 | GCA_019856215.1 | GCA_021013185.1</t>
  </si>
  <si>
    <t>AJ243965</t>
  </si>
  <si>
    <t>ATCC 25175 | NCTC10449</t>
  </si>
  <si>
    <t>1.71 - 2.21 Mbps</t>
  </si>
  <si>
    <t>GCA_000027165.1 | GCA_000148525.2 | GCA_000148585.3 | GCA_000220085.2 | GCA_000722685.1 | GCA_000722695.1 | GCA_000722705.1 | GCA_000722755.1 | GCA_000722765.2 | GCA_000722775.1 | GCA_000724165.1 | GCA_000960005.1 | GCA_000960025.1 | GCA_000960065.1 | GCA_001281025.1 | GCA_001560895.1 | GCA_002005545.1 | GCA_002014755.1 | GCA_002014795.1 | GCA_002014875.1 | GCA_002096735.1 | GCA_002096755.1 | GCA_002096815.1 | GCA_002096835.1 | GCA_002096855.1 | GCA_002096895.1 | GCA_002096935.1 | GCA_002860825.1 | GCA_002860865.1 | GCA_002871315.1 | GCA_003942765.1 | GCA_003942775.1 | GCA_009495735.1 | GCA_009495895.1 | GCA_009495955.1 | GCA_009496035.1 | GCA_009496045.1 | GCA_009496065.1 | GCA_009496075.1 | GCA_009496165.1 | GCA_009496235.1 | GCA_009496295.1 | GCA_009496335.1 | GCA_009496355.1 | GCA_009496375.1 | GCA_009496385.1 | GCA_009496395.1 | GCA_009496435.1 | GCA_009496505.1 | GCA_009496725.1 | GCA_009496735.1 | GCA_009496755.1 | GCA_009496795.1 | GCA_009496805.1 | GCA_009496815.1 | GCA_009496835.1 | GCA_009496895.1 | GCA_009496905.1 | GCA_009730515.1 | GCA_013305725.1 | GCA_016658865.1 | GCA_019047825.1 | GCA_019929505.1 | GCA_020640935.1 | GCA_021893145.1 | GCA_023109235.1 | GCA_023109515.1 | GCA_023110315.1 | GCA_023110375.1 | GCA_023110415.1 | GCA_023110445.1 | GCA_023110515.1 | GCA_026782865.1 | GCA_026782895.1 | GCA_027497885.1 | GCA_027497935.1 | GCA_030217155.1 | GCA_031191225.1 | GCA_900459425.1 | GCA_901542415.1 | GCA_902159415.1</t>
  </si>
  <si>
    <t>AF003929</t>
  </si>
  <si>
    <t>1.79 - 2.14 Mbps</t>
  </si>
  <si>
    <t>GCA_014435245.1 | GCA_016642265.1 | GCA_018127725.1 | GCA_018367605.1 | GCA_018371015.1 | GCA_900543065.1 | GCA_900755475.1 | GCA_902373575.1 | GCA_934201715.1 | GCA_959023655.1</t>
  </si>
  <si>
    <t>NR_117425</t>
  </si>
  <si>
    <t>1.81 - 2.09 Mbps</t>
  </si>
  <si>
    <t>GCA_022699185.1 | GCA_023109395.1 | GCA_023109435.1 | GCA_023109685.1 | GCA_023109915.1 | GCA_023110255.1 | GCA_030226005.1 | GCA_030439945.1 | GCA_030676575.1 | GCA_900475975.1 | GCA_900490715.1 | GCA_900490725.1 | GCA_900490735.1 | GCA_900490745.1 | GCA_900490765.1 | GCA_900490785.1 | GCA_900490795.1 | GCA_900490805.1 | GCA_900490815.1 | GCA_900490835.1 | GCA_900490855.1 | GCA_900490865.1 | GCA_900626305.1 | GCA_000234035.1 | GCA_000258445.1 | GCA_000306805.1 | GCA_000313655.1 | GCA_000413475.1 | GCA_000463355.1 | GCA_000463385.1 | GCA_001073635.1 | GCA_001296205.1 | GCA_002073355.2 | GCA_002356055.1 | GCA_002879575.1 | GCA_002879585.1 | GCA_002879755.1 | GCA_003284685.1 | GCA_003943035.1 | GCA_003943045.1 | GCA_003943085.1 | GCA_003943095.1 | GCA_003943125.1 | GCA_003943145.1 | GCA_003943155.1 | GCA_003944005.1 | GCA_003944015.1 | GCA_003944025.1 | GCA_008633045.1 | GCA_008633305.1 | GCA_008633485.1 | GCA_008975305.1 | GCA_013267515.1</t>
  </si>
  <si>
    <t>AF104671</t>
  </si>
  <si>
    <t>1.68 - 2.02 Mbps</t>
  </si>
  <si>
    <t>GCA_024294705.1 | GCA_024294745.1 | GCA_024295385.1 | GCA_024295985.1 | GCA_030466425.1 | GCA_030545605.1 | GCA_900459415.1 | GCA_916700545.1 | GCA_000187465.1 | GCA_000223255.2 | GCA_000223335.2 | GCA_000260755.1 | GCA_000279535.1 | GCA_001814215.1 | GCA_015546995.1 | GCA_018499575.1 | GCA_019929625.1 | GCA_019929665.1</t>
  </si>
  <si>
    <t>AB008315</t>
  </si>
  <si>
    <t>clade-638</t>
  </si>
  <si>
    <t>infantis</t>
  </si>
  <si>
    <t>1.68 - 1.79 Mbps</t>
  </si>
  <si>
    <t>GCA_000215385.2 | GCA_000960085.1 | GCA_024295705.1 | GCA_024295885.1 | GCA_937897765.1</t>
  </si>
  <si>
    <t>clade-444</t>
  </si>
  <si>
    <t>1.91 - 2.18 Mbps</t>
  </si>
  <si>
    <t>GCA_000963255.1 | GCA_001553685.1 | GCA_001579645.1 | GCA_001808865.1 | GCA_019929565.1 | GCA_019929575.1 | GCA_019929605.1 | GCA_030440055.1</t>
  </si>
  <si>
    <t>Oral Clone C4AKM023 | Phylum: Firmicutes</t>
  </si>
  <si>
    <t>AY278633</t>
  </si>
  <si>
    <t>clade-431</t>
  </si>
  <si>
    <t>1.69 - 1.77 Mbps</t>
  </si>
  <si>
    <t>GCA_013394695.1 | GCA_024295665.1</t>
  </si>
  <si>
    <t>Oral Clone DN025 | Oral Clone DP009 | Phylum: Firmicutes</t>
  </si>
  <si>
    <t>AF432131 | AF432132</t>
  </si>
  <si>
    <t>clade-061</t>
  </si>
  <si>
    <t>1.95 - 2.06 Mbps</t>
  </si>
  <si>
    <t>GCA_000479315.1 | GCA_000479335.1 | GCA_003438245.1 | GCA_003603405.1 | GCA_003603595.1 | GCA_003627135.1 | GCA_027662825.1 | GCA_027663645.1 | GCA_027663745.1 | GCA_027687595.1 | GCA_027687665.1 | GCA_902385485.1</t>
  </si>
  <si>
    <t>Named NVP</t>
  </si>
  <si>
    <t>1.98 - 2.34 Mbps</t>
  </si>
  <si>
    <t>GCA_023109545.1 | GCA_023109575.1 | GCA_023109865.1 | GCA_023109885.1 | GCA_023109935.1 | GCA_026783025.1 | GCA_026783045.1 | GCA_026783065.1 | GCA_026783085.1 | GCA_026783105.1 | GCA_026783125.1 | GCA_026783145.1 | GCA_026783165.1 | GCA_026810185.1 | GCA_027671105.1 | GCA_027687775.1 | GCA_030439925.1 | GCA_030439935.1 | GCA_900475015.1 | GCA_900475385.1 | GCA_900636555.1 | GCA_901542355.1 | GCA_901543415.1 | GCA_901543645.1 | GCA_901544385.1 | GCA_902374085.1 | GCA_000017005.1 | GCA_000161955.2 | GCA_000959925.1 | GCA_000959965.1 | GCA_000963345.1 | GCA_000970665.2 | GCA_001074345.1 | GCA_001074415.1 | GCA_001281105.1 | GCA_001469295.1 | GCA_001553855.1 | GCA_001556605.1 | GCA_001588615.1 | GCA_001588735.1 | GCA_001588775.1 | GCA_001588795.1 | GCA_001588935.1 | GCA_001588955.1 | GCA_001588975.1 | GCA_001588985.1 | GCA_001589035.1 | GCA_001589055.1 | GCA_001589065.1 | GCA_001589095.1 | GCA_001589145.1 | GCA_001807785.1 | GCA_001811085.1 | GCA_002073435.2 | GCA_002386285.1 | GCA_003469915.1 | GCA_003943175.1 | GCA_003943195.1 | GCA_003943215.1 | GCA_003943245.1 | GCA_003943255.1 | GCA_003943285.1 | GCA_003943295.1 | GCA_003943305.1 | GCA_003943345.1 | GCA_003943355.1 | GCA_003944065.1 | GCA_003944075.1 | GCA_003944105.1 | GCA_003944115.1 | GCA_003944135.1 | GCA_003944155.1 | GCA_009730535.1 | GCA_015552565.1 | GCA_015666945.1 | GCA_019046945.1 | GCA_019047505.1 | GCA_019449375.1 | GCA_019733955.1 | GCA_019929705.1 | GCA_019929725.1 | GCA_019929745.1 | GCA_019929765.1 | GCA_019929785.1 | GCA_019929805.1 | GCA_019929835.1 | GCA_019929865.1 | GCA_019929885.1 | GCA_019929905.1 | GCA_019929925.1 | GCA_019929945.1 | GCA_019929985.1 | GCA_020554325.1 | GCA_020554345.1 | GCA_020561985.1 | GCA_020729705.1 | GCA_022136765.1 | GCA_022136825.1</t>
  </si>
  <si>
    <t>AF003931</t>
  </si>
  <si>
    <t>ATCC 10558 | NCTC7865</t>
  </si>
  <si>
    <t>1.99 - 2.24 Mbps</t>
  </si>
  <si>
    <t>GCA_900459175.1 | GCA_959600255.1 | GCA_000180055.1</t>
  </si>
  <si>
    <t>AY188350</t>
  </si>
  <si>
    <t>1.88 - 2.29 Mbps</t>
  </si>
  <si>
    <t>GCA_023110605.1 | GCA_026783785.1 | GCA_030272855.1 | GCA_900475445.1 | GCA_900478185.1 | GCA_902460335.1 | GCA_902460345.1 | GCA_902460365.1 | GCA_000187855.1 | GCA_000222765.2 | GCA_000385925.1 | GCA_000959885.1 | GCA_000959895.1 | GCA_001069055.1 | GCA_001069775.1 | GCA_001069915.1 | GCA_001578775.1 | GCA_001588855.1 | GCA_001588905.1 | GCA_003943435.1 | GCA_003943455.1 | GCA_003943465.1 | GCA_003943505.1 | GCA_003943515.1 | GCA_003943535.1 | GCA_003943815.1 | GCA_003944225.1 | GCA_003944245.1 | GCA_003944305.1 | GCA_003944315.1 | GCA_007991595.1 | GCA_008369405.1 | GCA_011612585.1 | GCA_014338595.1 | GCA_019929965.1 | GCA_022346625.1</t>
  </si>
  <si>
    <t>Phylum: Firmicutes | Streptococcus crista | Streptococcus oligofermentans</t>
  </si>
  <si>
    <t>AB008313</t>
  </si>
  <si>
    <t xml:space="preserve"> | AS 1.3089 | ATCC 51100 | CCUG 48365 | DSM 19165 | LMG 21535</t>
  </si>
  <si>
    <t>1.76 - 2.07 Mbps</t>
  </si>
  <si>
    <t>GCA_023109175.1 | GCA_023109215.1 | GCA_023109295.1 | GCA_023109615.1 | GCA_023167545.1 | GCA_024399395.1 | GCA_027723325.1 | GCA_030215825.1 | GCA_030676655.1 | GCA_900459125.1 | GCA_900459325.1 | GCA_900636715.1 | GCA_902494025.1 | GCA_905373855.1 | GCA_000223295.2 | GCA_000234015.1 | GCA_000257785.1 | GCA_000463395.1 | GCA_000463425.1 | GCA_000463445.1 | GCA_000474075.1 | GCA_000474135.1 | GCA_000524255.1 | GCA_000814045.1 | GCA_001072275.1 | GCA_001073405.1 | GCA_001074375.1 | GCA_001075725.1 | GCA_001471735.2 | GCA_001579115.1 | GCA_001809055.1 | GCA_001814295.1 | GCA_003570855.1 | GCA_008633005.1 | GCA_008633025.1 | GCA_008633405.1 | GCA_015555235.1 | GCA_015559305.1 | GCA_016127875.1 | GCA_016725005.1 | GCA_016889885.1 | GCA_019336935.1</t>
  </si>
  <si>
    <t>Diplococcus constellatus | Peptococcus constellatus | Phylum: Firmicutes</t>
  </si>
  <si>
    <t>AF104676</t>
  </si>
  <si>
    <t>1.86 - 2.18 Mbps</t>
  </si>
  <si>
    <t>GCA_000186465.1 | GCA_000222745.2 | GCA_001069335.1 | GCA_001072385.1 | GCA_001072745.1 | GCA_001587175.1 | GCA_003943625.1 | GCA_003943675.1 | GCA_003944345.1 | GCA_004125815.1 | GCA_004166885.1 | GCA_006385805.1 | GCA_009716795.1 | GCA_015552665.1 | GCA_015559825.1 | GCA_015560905.1 | GCA_018364115.1 | GCA_019930005.1 | GCA_019930045.1 | GCA_021341835.1 | GCA_021595565.1 | GCA_022240605.1 | GCA_030228465.1 | GCA_030233945.1 | GCA_900476055.1 | GCA_902363295.1</t>
  </si>
  <si>
    <t>AF184974 | AF385525</t>
  </si>
  <si>
    <t>1.79 - 2.29 Mbps</t>
  </si>
  <si>
    <t>GCA_023109095.1 | GCA_023109445.1 | GCA_023109975.1 | GCA_023110155.1 | GCA_023169525.1 | GCA_025908845.1 | GCA_025908915.1 | GCA_025909175.1 | GCA_025909295.1 | GCA_025909465.1 | GCA_026784025.1 | GCA_027658535.1 | GCA_027660775.1 | GCA_027672465.1 | GCA_027672485.1 | GCA_027672805.1 | GCA_027673585.1 | GCA_027685845.1 | GCA_027687505.1 | GCA_027698225.1 | GCA_027722505.1 | GCA_027723265.1 | GCA_028326945.1 | GCA_030027035.1 | GCA_030676835.1 | GCA_900636475.1 | GCA_901542485.1 | GCA_901875545.1 | GCA_902374285.1 | GCA_902827125.1 | GCA_905208655.1 | GCA_938046685.1 | GCA_000186545.1 | GCA_000214555.2 | GCA_000257765.1 | GCA_000373605.1 | GCA_000463465.1 | GCA_000463505.1 | GCA_000474055.1 | GCA_000474095.1 | GCA_000474155.1 | GCA_000478925.1 | GCA_001074525.1 | GCA_001412635.1 | GCA_001813035.1 | GCA_001813805.1 | GCA_001838535.1 | GCA_001838575.1 | GCA_002088025.1 | GCA_002848085.1 | GCA_002999475.1 | GCA_002999555.1 | GCA_002999595.1 | GCA_003436905.1 | GCA_003439105.1 | GCA_003963555.1 | GCA_008726415.1 | GCA_008726875.1 | GCA_015547285.1 | GCA_015594635.1 | GCA_015594645.1 | GCA_016725185.1 | GCA_019733875.1 | GCA_019733995.1 | GCA_019930105.1 | GCA_020735765.1</t>
  </si>
  <si>
    <t>AF104678</t>
  </si>
  <si>
    <t>1.84 - 2.45 Mbps</t>
  </si>
  <si>
    <t>GCA_000186445.1 | GCA_002197205.1 | GCA_002881355.1 | GCA_002881535.1 | GCA_002882375.1 | GCA_006874565.1 | GCA_013414325.1 | GCA_031203395.1 | GCA_900458965.1 | GCA_949788945.1</t>
  </si>
  <si>
    <t>Phylum: Firmicutes | Streptoccocus de la mammite | Streptococcus difficile | Streptococcus difficilis | Streptococcus mastitidis</t>
  </si>
  <si>
    <t>AF015927</t>
  </si>
  <si>
    <t>Moryella genomospecies K1 | Moryella sp. clone CL133 | Phylum: Firmicutes</t>
  </si>
  <si>
    <t>JQ406544</t>
  </si>
  <si>
    <t>sp. HMT-910</t>
  </si>
  <si>
    <t>Lachnospiraceae</t>
  </si>
  <si>
    <t>Lachnospirales</t>
  </si>
  <si>
    <t>HMT-910</t>
  </si>
  <si>
    <t>Oral Clone MCE9_173 | Phylum: Firmicutes</t>
  </si>
  <si>
    <t>AF481221</t>
  </si>
  <si>
    <t>sp. HMT-373</t>
  </si>
  <si>
    <t>HMT-373</t>
  </si>
  <si>
    <t>1.70 - 2.31 Mbps</t>
  </si>
  <si>
    <t>GCA_000242235.1 | GCA_902481595.1 | GCA_905372645.1 | GCA_916720395.1 | GCA_938028245.1</t>
  </si>
  <si>
    <t>Moryella sp. HOT-419 | Oral Clone C4ALM087 | Phylum: Firmicutes</t>
  </si>
  <si>
    <t>AY278618 | HM120209</t>
  </si>
  <si>
    <t>DSM 24645</t>
  </si>
  <si>
    <t>3.98 - 4.54 Mbps</t>
  </si>
  <si>
    <t>GCA_001422025.1 | GCA_001431425.1 | GCA_001562215.1 | GCA_001700965.1 | GCA_017304535.1 | GCA_029959705.1</t>
  </si>
  <si>
    <t>Oral Clone AY088 | Phylum: Proteobacteria</t>
  </si>
  <si>
    <t>AF385546</t>
  </si>
  <si>
    <t>ATCC BAA-12</t>
  </si>
  <si>
    <t>Lysobacteraceae</t>
  </si>
  <si>
    <t>Lysobacterales</t>
  </si>
  <si>
    <t>4.55 - 5.00 Mbps</t>
  </si>
  <si>
    <t>GCA_000020665.1 | GCA_001591205.1 | GCA_001997185.1 | GCA_002138415.1 | GCA_003205835.1 | GCA_004346925.1 | GCA_006974125.1 | GCA_025617355.1 | GCA_900186865.1</t>
  </si>
  <si>
    <t>Phylum: Proteobacteria | Pseudomonas beteli | Pseudomonas betle | Pseudomonas maltiphilia | Pseudomonas maltophilia | Stenotrophomonas africana | Xanthomonas maltiphilia | Xanthomonas maltophilia</t>
  </si>
  <si>
    <t>X95923</t>
  </si>
  <si>
    <t>Opportunistic Pathogen (Abundance: Scarce) | Unassigned</t>
  </si>
  <si>
    <t>2.40 - 2.77 Mbps</t>
  </si>
  <si>
    <t>GCA_022688765.1 | GCA_022688935.1 | GCA_022688945.1 | GCA_022688985.1 | GCA_022689005.1 | GCA_022689035.1 | GCA_022815255.1 | GCA_022815285.1 | GCA_022815345.1 | GCA_022815405.1 | GCA_022815445.1 | GCA_022815485.1 | GCA_023147355.1 | GCA_023148415.1 | GCA_023148425.1 | GCA_023149075.1 | GCA_023712675.1 | GCA_023713505.1 | GCA_024655805.1 | GCA_024668655.2 | GCA_025145625.2 | GCA_025145695.1 | GCA_025150105.1 | GCA_025166855.1 | GCA_028464135.1 | GCA_029023845.1 | GCA_029918605.1 | GCA_029918745.1 | GCA_029918815.1 | GCA_029925185.1 | GCA_029925195.1 | GCA_029926535.1 | GCA_029926565.1 | GCA_029926605.1 | GCA_029929545.1 | GCA_029929625.1 | GCA_030177215.1 | GCA_030177225.1 | GCA_030218885.1 | GCA_030225245.1 | GCA_030225305.1 | GCA_030228345.1 | GCA_030230925.1 | GCA_030360715.1 | GCA_900458715.1 | GCA_900636255.1 | GCA_900636265.1 | GCA_900636385.1 | GCA_902385495.1 | GCA_910574905.1 | GCA_000332735.1 | GCA_000494875.1 | GCA_000736475.1 | GCA_001019115.2 | GCA_001471795.2 | GCA_002026425.1 | GCA_002901765.1 | GCA_002940975.1 | GCA_003344065.1 | GCA_003438095.1 | GCA_003491325.1 | GCA_003571725.1 | GCA_003691405.1 | GCA_003850105.1 | GCA_003857195.1 | GCA_004117035.1 | GCA_004125365.1 | GCA_007814275.1 | GCA_007833855.1 | GCA_009183435.1 | GCA_013137955.1 | GCA_013267715.1 | GCA_014267135.1 | GCA_014495745.1 | GCA_015273425.1 | GCA_015273445.1 | GCA_015273475.1 | GCA_015274065.1 | GCA_015274105.1 | GCA_015274175.1 | GCA_015548525.1 | GCA_017086425.1 | GCA_017167635.1 | GCA_017898045.1 | GCA_019714115.1 | GCA_021117155.1 | GCA_021189295.1 | GCA_021189315.1 | GCA_021366815.1 | GCA_021497985.1 | GCA_021728465.1 | GCA_022291075.1 | GCA_022291085.1 | GCA_022291115.1 | GCA_022291155.1 | GCA_022291175.1 | GCA_022291195.1 | GCA_022291215.1 | GCA_022346515.1</t>
  </si>
  <si>
    <t>Phylum: Firmicutes | Staphylococcus warnerii</t>
  </si>
  <si>
    <t>L37603</t>
  </si>
  <si>
    <t>Skin (Abundance: Scarce) | Unassigned</t>
  </si>
  <si>
    <t>Staphylococcaceae</t>
  </si>
  <si>
    <t>Caryophanales</t>
  </si>
  <si>
    <t>2.47 - 2.56 Mbps</t>
  </si>
  <si>
    <t>GCA_003968865.1 | GCA_011137195.1 | GCA_015326085.1 | GCA_015326545.1 | GCA_025558345.1 | GCA_025558365.1 | GCA_900458895.2</t>
  </si>
  <si>
    <t>2.32 - 2.40 Mbps</t>
  </si>
  <si>
    <t>GCA_003968885.1 | GCA_004291115.2 | GCA_004291125.1 | GCA_004291175.2 | GCA_004291195.1 | GCA_016127715.1 | GCA_016791525.1 | GCA_016791565.1 | GCA_016791585.1 | GCA_900458815.1</t>
  </si>
  <si>
    <t>Skin (Abundance: Medium) | Unassigned</t>
  </si>
  <si>
    <t>2.42 - 2.54 Mbps</t>
  </si>
  <si>
    <t>GCA_002208805.2 | GCA_002884615.1 | GCA_002902685.1 | GCA_016127935.1 | GCA_019731485.1 | GCA_026659915.1 | GCA_026659935.1 | GCA_026660155.1 | GCA_026660275.1 | GCA_030218345.1</t>
  </si>
  <si>
    <t>2.23 - 2.69 Mbps</t>
  </si>
  <si>
    <t>GCA_025558385.1 | GCA_026636275.1 | GCA_002442915.1 | GCA_003970495.1 | GCA_007814825.1 | GCA_016599795.1 | GCA_016725205.1 | GCA_016725285.1 | GCA_016751935.1 | GCA_016888605.1</t>
  </si>
  <si>
    <t>2.46 - 2.81 Mbps</t>
  </si>
  <si>
    <t>GCA_022568915.1 | GCA_022568935.1 | GCA_022568955.1 | GCA_022568975.1 | GCA_022568985.1 | GCA_022569015.1 | GCA_022569035.1 | GCA_022569055.1 | GCA_022569075.1 | GCA_022569085.1 | GCA_022569095.1 | GCA_022569135.1 | GCA_022569155.1 | GCA_022569175.1 | GCA_022569195.1 | GCA_022569205.1 | GCA_022569235.1 | GCA_022569245.1 | GCA_022569275.1 | GCA_022660955.1 | GCA_022689125.1 | GCA_022689145.1 | GCA_022689165.1 | GCA_022689185.1 | GCA_022689205.1 | GCA_022689225.1 | GCA_022689235.1 | GCA_022689255.1 | GCA_022689285.1 | GCA_022689305.1 | GCA_022689325.1 | GCA_022689335.1 | GCA_022689365.1 | GCA_022689385.1 | GCA_022689405.1 | GCA_022689425.1 | GCA_022689445.1 | GCA_022689465.1 | GCA_022689485.1 | GCA_022689495.1 | GCA_022689525.1 | GCA_022689545.1 | GCA_022689605.1 | GCA_023508855.1 | GCA_023508875.1 | GCA_024104375.1 | GCA_024104395.1 | GCA_024104415.1 | GCA_024104435.1 | GCA_024104455.1 | GCA_024104475.1 | GCA_024104495.1 | GCA_024104505.1 | GCA_025152445.1 | GCA_026427435.1 | GCA_026427455.1 | GCA_026427475.1 | GCA_026427495.1 | GCA_026427515.1 | GCA_026427535.1 | GCA_030224835.1 | GCA_030228685.1 | GCA_030230405.1 | GCA_900474705.1 | GCA_900478255.1 | GCA_000025085.1 | GCA_000185485.1 | GCA_000247225.2 | GCA_000270465.1 | GCA_000316075.2 | GCA_000542395.1 | GCA_000649085.1 | GCA_000649125.1 | GCA_001558775.1 | GCA_001558815.2 | GCA_002073395.2 | GCA_002096075.1 | GCA_002096115.1 | GCA_002096135.1 | GCA_002096155.1 | GCA_002096975.1 | GCA_002097035.1 | GCA_002104555.1 | GCA_002250095.2 | GCA_002407165.1 | GCA_002591215.1 | GCA_002901705.1 | GCA_008728715.1 | GCA_008728735.1 | GCA_008728755.1 | GCA_008728775.1 | GCA_008728795.1 | GCA_008728815.1 | GCA_009931395.1 | GCA_011403135.1 | GCA_014962425.1 | GCA_016804245.1 | GCA_016808995.1 | GCA_020682785.1 | GCA_020882195.1</t>
  </si>
  <si>
    <t>1.98 - 2.68 Mbps</t>
  </si>
  <si>
    <t>GCA_001051895.1 | GCA_001051905.1 | GCA_001051915.1 | GCA_002850375.1 | GCA_002860985.1 | GCA_002901845.1 | GCA_002951505.1 | GCA_002954105.1 | GCA_003812505.1 | GCA_004365845.1 | GCA_005502385.1 | GCA_007004175.1 | GCA_007004245.1 | GCA_007004385.1 | GCA_007814725.1 | GCA_009663945.1 | GCA_009730115.1 | GCA_009730135.1 | GCA_009897275.1 | GCA_012273435.1 | GCA_013267575.1 | GCA_013364435.1 | GCA_014264985.1 | GCA_014264995.1 | GCA_014265005.1 | GCA_014265015.1 | GCA_014265025.1 | GCA_014265085.1 | GCA_014265095.1 | GCA_014265125.1 | GCA_014265215.1 | GCA_014266385.1 | GCA_014266505.1 | GCA_014266525.1 | GCA_014266705.1 | GCA_014266895.1 | GCA_014266935.1 | GCA_014267295.1 | GCA_014645875.1 | GCA_015274675.1 | GCA_016623665.1 | GCA_017315645.1 | GCA_018456105.1 | GCA_019149255.1 | GCA_020740045.1 | GCA_020740115.1 | GCA_021366525.1 | GCA_021366695.1 | GCA_021366975.1 | GCA_021497065.1 | GCA_022689575.1 | GCA_022689645.1 | GCA_022689665.1 | GCA_022689725.1 | GCA_022689775.1 | GCA_022689785.1 | GCA_022689855.1 | GCA_022689945.1 | GCA_022690005.1 | GCA_022690025.1 | GCA_022690045.1 | GCA_022690065.1 | GCA_022690145.1 | GCA_022690165.1 | GCA_022690185.1 | GCA_022690225.1 | GCA_022690265.1 | GCA_022690275.1 | GCA_022690295.1 | GCA_022690325.1 | GCA_022690375.1 | GCA_022690425.1 | GCA_022693345.1 | GCA_022695885.1 | GCA_022695935.1 | GCA_023277465.1 | GCA_024586465.1 | GCA_025143445.1 | GCA_025558605.1 | GCA_027689215.1 | GCA_027689245.1 | GCA_027689395.1 | GCA_027689675.1 | GCA_029926865.1 | GCA_029926905.1 | GCA_029926915.1 | GCA_030014025.1 | GCA_030503475.1 | GCA_030503485.1 | GCA_030503545.1 | GCA_030540895.1 | GCA_900006675.1 | GCA_900033555.1 | GCA_900109865.1 | GCA_900240155.1 | GCA_900240185.1 | GCA_900458635.1 | GCA_900458745.1 | GCA_947495435.1</t>
  </si>
  <si>
    <t>Skin (Abundance: High) | Nasal (Abundance: Low)</t>
  </si>
  <si>
    <t>2.26 - 2.84 Mbps</t>
  </si>
  <si>
    <t>GCA_022485005.1 | GCA_022485095.1 | GCA_022485125.1 | GCA_022485285.1 | GCA_022485485.1 | GCA_022485685.1 | GCA_022485725.1 | GCA_022485825.1 | GCA_022486125.1 | GCA_022486245.1 | GCA_022486365.1 | GCA_022486405.1 | GCA_022487705.1 | GCA_022487725.1 | GCA_022487785.1 | GCA_022690445.1 | GCA_022690485.1 | GCA_022690525.1 | GCA_022690545.1 | GCA_022695905.1 | GCA_022695925.1 | GCA_022811505.1 | GCA_024668745.2 | GCA_024668785.2 | GCA_024668805.2 | GCA_024722415.1 | GCA_027594605.1 | GCA_027594625.1 | GCA_029023945.1 | GCA_029917045.1 | GCA_029917065.1 | GCA_030264095.1 | GCA_030435855.1 | GCA_030435935.1 | GCA_030644245.1 | GCA_900240195.1 | GCA_900458595.1 | GCA_000009865.1 | GCA_000759125.1 | GCA_000763705.1 | GCA_000763725.1 | GCA_000972725.1 | GCA_001223985.1 | GCA_001225905.1 | GCA_001228405.1 | GCA_001228845.1 | GCA_001233565.1 | GCA_001237185.1 | GCA_001239225.1 | GCA_001471515.2 | GCA_001611955.1 | GCA_002114275.1 | GCA_002165435.1 | GCA_002901805.1 | GCA_002906595.1 | GCA_002906615.1 | GCA_002952715.2 | GCA_003217445.1 | GCA_003596365.3 | GCA_003956005.1 | GCA_005706435.1 | GCA_006094395.1 | GCA_007004265.1 | GCA_007004275.1 | GCA_007992795.1 | GCA_009189185.2 | GCA_009791315.1 | GCA_009932715.2 | GCA_009932885.2 | GCA_009932935.2 | GCA_012955505.1 | GCA_015070685.1 | GCA_016695195.1 | GCA_016695445.1 | GCA_017355005.1 | GCA_017355025.1 | GCA_017355045.1 | GCA_018986335.1 | GCA_018996905.1 | GCA_019048025.1 | GCA_019222685.1 | GCA_019349055.1 | GCA_019426365.1 | GCA_019426385.1 | GCA_019426405.1 | GCA_021270905.1 | GCA_021366995.1 | GCA_021367115.1 | GCA_021367155.1 | GCA_021367495.1 | GCA_021367505.1 | GCA_021367725.1 | GCA_021442105.1 | GCA_022484865.1 | GCA_022484905.1</t>
  </si>
  <si>
    <t>Nasal (Abundance: Low) | Skin (Abundance: Low)</t>
  </si>
  <si>
    <t>2.23 - 2.85 Mbps</t>
  </si>
  <si>
    <t>GCA_000007645.1 | GCA_000011925.1 | GCA_000759555.1 | GCA_001310935.1 | GCA_001956655.2 | GCA_002087975.1 | GCA_002215535.1 | GCA_002850315.1 | GCA_002901875.1 | GCA_002944995.1 | GCA_002954055.1 | GCA_003812425.1 | GCA_003856395.1 | GCA_003856455.1 | GCA_006094375.1 | GCA_006742205.1 | GCA_011038575.1 | GCA_014334295.1 | GCA_014490515.1 | GCA_016026915.1 | GCA_016406225.1 | GCA_016406625.1 | GCA_016834475.1 | GCA_016889165.1 | GCA_016903555.1 | GCA_016903575.1 | GCA_019329325.1 | GCA_019329365.1 | GCA_019329405.1 | GCA_019329425.1 | GCA_019329505.1 | GCA_019329525.1 | GCA_019329565.1 | GCA_019329625.1 | GCA_019329665.1 | GCA_019329685.1 | GCA_019329725.1 | GCA_019329745.1 | GCA_019329805.1 | GCA_019330125.1 | GCA_019330145.1 | GCA_019330165.1 | GCA_019330185.1 | GCA_019330205.1 | GCA_019330225.1 | GCA_019330245.1 | GCA_021398305.1 | GCA_021398325.1 | GCA_021398345.1 | GCA_021496015.1 | GCA_021496075.1 | GCA_021513055.1 | GCA_021513075.1 | GCA_021513115.1 | GCA_022832915.1 | GCA_022869565.1 | GCA_022919195.1 | GCA_023547085.1 | GCA_024204705.1 | GCA_024204745.1 | GCA_024204765.1 | GCA_024204785.1 | GCA_024204845.1 | GCA_024204865.1 | GCA_024204905.1 | GCA_024204925.1 | GCA_024204965.1 | GCA_025558645.1 | GCA_025558665.1 | GCA_025558685.1 | GCA_025558705.1 | GCA_025558725.1 | GCA_025665415.1 | GCA_026153315.1 | GCA_029457595.1 | GCA_029691705.1 | GCA_029691725.1 | GCA_029691775.1 | GCA_029691795.1 | GCA_029691815.1 | GCA_029691875.1 | GCA_029691895.1 | GCA_029691915.1 | GCA_029691935.1 | GCA_029691955.1 | GCA_030012845.1 | GCA_030013945.1 | GCA_030014045.1 | GCA_030014105.1 | GCA_030435915.1 | GCA_030435975.1 | GCA_900086615.2 | GCA_900458605.1 | GCA_900638695.1 | GCA_902509485.1 | GCA_902509495.1 | GCA_902509505.1 | GCA_902509515.1 | GCA_902509525.1 | GCA_902509535.1</t>
  </si>
  <si>
    <t>Albococcus epidermidis | Micrococcus epidermidis | Phylum: Firmicutes</t>
  </si>
  <si>
    <t>D83363</t>
  </si>
  <si>
    <t>Skin (Abundance: High) | Nasal (Abundance: High)</t>
  </si>
  <si>
    <t>2.56 - 2.80 Mbps</t>
  </si>
  <si>
    <t>GCA_030220105.1 | GCA_900458255.1 | GCA_900458845.1 | GCA_002902365.1 | GCA_003956025.1 | GCA_007992675.1</t>
  </si>
  <si>
    <t>2.23 - 2.76 Mbps</t>
  </si>
  <si>
    <t>GCA_000160215.1 | GCA_000931485.1 | GCA_001071965.1 | GCA_001836225.1 | GCA_001839105.1 | GCA_002276615.1 | GCA_002902725.1 | GCA_003522455.1 | GCA_003578345.1 | GCA_003966585.1 | GCA_003966605.1 | GCA_003966625.1 | GCA_007814385.1 | GCA_012851115.1 | GCA_017167785.1 | GCA_018407965.1 | GCA_018916935.1 | GCA_019685475.1 | GCA_019685795.1 | GCA_019685855.1 | GCA_022690585.1 | GCA_029928745.1 | GCA_030053435.1 | GCA_030212385.1 | GCA_030217915.1 | GCA_900458385.1</t>
  </si>
  <si>
    <t>AB009935</t>
  </si>
  <si>
    <t>Human-Associated, Primary Site Uncertain (Abundance: Scarce) | Opportunistic Pathogen (Abundance: Scarce)</t>
  </si>
  <si>
    <t>2.37 - 2.65 Mbps</t>
  </si>
  <si>
    <t>GCA_000174135.1 | GCA_000221525.2 | GCA_000263775.1 | GCA_000499705.1 | GCA_000692055.1 | GCA_001028645.1 | GCA_001063695.1 | GCA_001066795.1 | GCA_001073365.1 | GCA_001073715.1 | GCA_001179785.1 | GCA_001201015.1 | GCA_001215085.1 | GCA_001220005.1 | GCA_001220605.1 | GCA_001471555.2 | GCA_001650475.1 | GCA_001808345.1 | GCA_002356175.1 | GCA_002591175.1 | GCA_002902325.1 | GCA_003041075.1 | GCA_003578595.1 | GCA_003857115.1 | GCA_003857145.1 | GCA_005502985.1 | GCA_006540355.1 | GCA_009663495.1 | GCA_012926745.1 | GCA_012926855.1 | GCA_013267675.1 | GCA_013415405.1 | GCA_014266065.1 | GCA_014266085.1 | GCA_014266465.1 | GCA_014266475.1 | GCA_014266725.1 | GCA_014267235.1 | GCA_014635765.1 | GCA_015070475.1 | GCA_015234665.1 | GCA_015243435.1 | GCA_015273915.1 | GCA_015273975.1 | GCA_015273985.1 | GCA_015273995.1 | GCA_015274025.1 | GCA_015274055.1 | GCA_015274095.1 | GCA_015274115.1 | GCA_015274185.1 | GCA_015645205.1 | GCA_015645265.1 | GCA_017167155.1 | GCA_017167295.1 | GCA_017315425.1 | GCA_017315685.1 | GCA_018407735.1 | GCA_018407745.1 | GCA_018407905.1 | GCA_018917165.1 | GCA_020682835.1 | GCA_020739965.1 | GCA_020740065.1 | GCA_020740075.1 | GCA_020740145.1 | GCA_020883475.1 | GCA_020907165.1 | GCA_022531845.1 | GCA_022762925.1 | GCA_022762945.1 | GCA_023148985.1 | GCA_025149525.1 | GCA_025272695.1 | GCA_025272815.1 | GCA_025272975.1 | GCA_025370135.1 | GCA_026430575.1 | GCA_027664685.1 | GCA_029917375.1 | GCA_029918385.1 | GCA_029924965.1 | GCA_029924985.1 | GCA_029925065.1 | GCA_029925625.1 | GCA_029926435.1 | GCA_029926445.1 | GCA_029926485.1 | GCA_029926805.1 | GCA_029927345.1 | GCA_029927385.1 | GCA_029927405.1 | GCA_029927425.1 | GCA_029928775.1 | GCA_029928945.1 | GCA_029928965.1 | GCA_029928985.1 | GCA_030230485.1 | GCA_900068995.1 | GCA_901482635.1</t>
  </si>
  <si>
    <t>Skin (Abundance: High) | Nasal (Abundance: Medium)</t>
  </si>
  <si>
    <t>2.20 - 2.30 Mbps</t>
  </si>
  <si>
    <t>GCA_001500315.1 | GCA_002902455.1 | GCA_003040695.1 | GCA_003040715.1 | GCA_016028295.1 | GCA_016808715.1 | GCA_018323945.1 | GCA_018408075.1 | GCA_021367585.1 | GCA_022346665.1 | GCA_028464905.1 | GCA_900478415.1 | GCA_936940875.1 | GCA_943914145.1</t>
  </si>
  <si>
    <t>Skin/Ear (Abundance: Scarce) | Unassigned</t>
  </si>
  <si>
    <t>2.69 - 3.08 Mbps</t>
  </si>
  <si>
    <t>GCA_000009005.1 | GCA_000009585.1 | GCA_000009645.1 | GCA_000009665.1 | GCA_000010445.1 | GCA_000010465.1 | GCA_000011265.1 | GCA_000011505.1 | GCA_000011525.1 | GCA_000012045.1 | GCA_000013425.1 | GCA_000013465.1 | GCA_000016805.1 | GCA_000017085.1 | GCA_000024585.1 | GCA_000025145.2 | GCA_000027045.1 | GCA_000144955.2 | GCA_000145595.1 | GCA_000159535.2 | GCA_000160195.1 | GCA_000160335.2 | GCA_000180095.1 | GCA_000189435.3 | GCA_000189455.3 | GCA_000204665.1 | GCA_000210315.1 | GCA_000237125.3 | GCA_000237265.1 | GCA_000239235.1 | GCA_000245495.1 | GCA_000253135.1 | GCA_000258685.1 | GCA_000284535.1 | GCA_000296595.1 | GCA_000330825.2 | GCA_000360565.1 | GCA_000361145.1 | GCA_000382965.1 | GCA_000382985.1 | GCA_000383005.1 | GCA_000412775.1 | GCA_000418345.1 | GCA_000452385.2 | GCA_000462955.1 | GCA_000463055.1 | GCA_000470845.1 | GCA_000470865.1 | GCA_000485885.1 | GCA_000559965.1 | GCA_000560145.1 | GCA_000560365.1 | GCA_000560505.1 | GCA_000561065.1 | GCA_001018775.2 | GCA_001021895.1 | GCA_001027105.1 | GCA_001298325.2 | GCA_001465675.1 | GCA_001611425.1 | GCA_001956755.1 | GCA_002097595.2 | GCA_002633865.1 | GCA_003031285.1 | GCA_003193745.1 | GCA_003342735.1 | GCA_003354665.1 | GCA_004614315.1 | GCA_004772215.1 | GCA_006094915.1 | GCA_006364675.1 | GCA_008619795.1 | GCA_008620055.1 | GCA_009650155.1 | GCA_009912075.1 | GCA_009912295.1 | GCA_009912415.1 | GCA_009912715.1 | GCA_009912935.1 | GCA_016727585.1 | GCA_019653615.1 | GCA_020386595.1 | GCA_020388155.1 | GCA_020388825.1 | GCA_020388965.1 | GCA_020702545.2 | GCA_020702615.2 | GCA_021172825.1 | GCA_021390135.1 | GCA_022404775.1 | GCA_022405435.1 | GCA_022405595.1 | GCA_022494545.1 | GCA_022691405.1 | GCA_022693225.1 | GCA_022832835.1 | GCA_022869625.1 | GCA_900324215.1 | GCA_900324315.1</t>
  </si>
  <si>
    <t>Micrococcus aureus | Micrococcus pyogenes | Phylum: Firmicutes | Staphlococcus pyogenes | Staphylococcus pyogenes</t>
  </si>
  <si>
    <t>D83357</t>
  </si>
  <si>
    <t>Nasal (Abundance: High) | Unassigned</t>
  </si>
  <si>
    <t>Oral Clone AW030 | Phylum: Proteobacteria</t>
  </si>
  <si>
    <t>AF385533</t>
  </si>
  <si>
    <t>sp. HMT-004</t>
  </si>
  <si>
    <t>Sphingomonadaceae</t>
  </si>
  <si>
    <t>Sphingomonadales</t>
  </si>
  <si>
    <t>Alphaproteobacteria</t>
  </si>
  <si>
    <t>HMT-004</t>
  </si>
  <si>
    <t>4.38 - 5.13 Mbps</t>
  </si>
  <si>
    <t>GCA_004354345.1 | GCA_006439055.1 | GCA_014653575.1</t>
  </si>
  <si>
    <t>Oral Clone AV069 | Phylum: Proteobacteria</t>
  </si>
  <si>
    <t>AF385529</t>
  </si>
  <si>
    <t>ATCC 14820</t>
  </si>
  <si>
    <t>1.84 - 2.34 Mbps</t>
  </si>
  <si>
    <t>GCA_030011735.1 | GCA_902364015.1 | GCA_905373405.1 | GCA_938044115.1 | GCA_947254615.1 | GCA_000186945.2 | GCA_000425005.1 | GCA_003459805.1</t>
  </si>
  <si>
    <t>Phylum: Firmicutes | unclassified Clostridium</t>
  </si>
  <si>
    <t>AB031058</t>
  </si>
  <si>
    <t>CIP 106864 | JCM 10645</t>
  </si>
  <si>
    <t>Erysipelotrichaceae</t>
  </si>
  <si>
    <t>Erysipelotrichales</t>
  </si>
  <si>
    <t>Erysipelotrichia</t>
  </si>
  <si>
    <t>1.23 - 1.42 Mbps</t>
  </si>
  <si>
    <t>GCA_000973085.1 | GCA_014892235.1 | GCA_030238485.1 | GCA_902496035.1 | GCA_946891045.1 | GCA_946891995.1 | GCA_946997945.1 | GCA_947039915.1 | GCA_947252985.1 | GCA_947253345.1</t>
  </si>
  <si>
    <t>Leptotrichia amnionii | Phylum: Fusobacteria</t>
  </si>
  <si>
    <t>AY078425</t>
  </si>
  <si>
    <t>Leptotrichiaceae</t>
  </si>
  <si>
    <t>Fusobacteriales</t>
  </si>
  <si>
    <t>Fusobacteriia</t>
  </si>
  <si>
    <t>Fusobacteriota</t>
  </si>
  <si>
    <t>1.22 - 1.37 Mbps</t>
  </si>
  <si>
    <t>GCA_001517935.1 | GCA_030238465.1 | GCA_900542205.1 | GCA_902485225.1 | GCA_946891865.1 | GCA_946997235.1 | GCA_947038995.1 | GCA_947254125.1 | GCA_947254785.1</t>
  </si>
  <si>
    <t>Leptotrichia sanguinegens | Phylum: Fusobacteria</t>
  </si>
  <si>
    <t>L37789</t>
  </si>
  <si>
    <t>1.89 - 2.17 Mbps</t>
  </si>
  <si>
    <t>GCA_023148135.1 | GCA_024462625.1 | GCA_030223695.1 | GCA_900450505.1 | GCA_902480615.1 | GCA_938037195.1 | GCA_000162875.1 | GCA_000293015.1</t>
  </si>
  <si>
    <t>Eubacterium exiguum | Phylum: Actinobacteria</t>
  </si>
  <si>
    <t>AF101240</t>
  </si>
  <si>
    <t>Eggerthellaceae</t>
  </si>
  <si>
    <t>Eggerthellales</t>
  </si>
  <si>
    <t>Coriobacteriia</t>
  </si>
  <si>
    <t>Actinomycetota</t>
  </si>
  <si>
    <t>2.03 - 2.48 Mbps</t>
  </si>
  <si>
    <t>GCA_000163775.2 | GCA_002951835.1 | GCA_020162275.1 | GCA_927911655.1</t>
  </si>
  <si>
    <t>Caryophanon muelleri | Phylum: Proteobacteria</t>
  </si>
  <si>
    <t>AF328147</t>
  </si>
  <si>
    <t>Neisseriaceae</t>
  </si>
  <si>
    <t>Neisseriales</t>
  </si>
  <si>
    <t>2.10 - 2.26 Mbps</t>
  </si>
  <si>
    <t>GCA_000160115.1 | GCA_000524295.1 | GCA_938039385.1</t>
  </si>
  <si>
    <t>AF385507 | AF385570 | AF399956</t>
  </si>
  <si>
    <t>5.14 - 5.16 Mbps</t>
  </si>
  <si>
    <t>GCA_017298755.1 | GCA_017298855.1 | GCA_017298895.1 | GCA_017298975.1 | GCA_017299035.1 | GCA_017299275.1 | GCA_017299315.1 | GCA_017299535.1 | GCA_017301315.1 | GCA_017654245.1</t>
  </si>
  <si>
    <t>Phylum: Proteobacteria</t>
  </si>
  <si>
    <t>Oral (Abundance: Scarce) | Environmental -Soil/Water (Abundance: Scarce)</t>
  </si>
  <si>
    <t>2.35 - 2.38 Mbps</t>
  </si>
  <si>
    <t>GCA_000318175.2 | GCA_014250475.1</t>
  </si>
  <si>
    <t>Oral Clone DS071 | Phylum: Firmicutes</t>
  </si>
  <si>
    <t>AF366274</t>
  </si>
  <si>
    <t>Selenomonadaceae</t>
  </si>
  <si>
    <t>Selenomonadales</t>
  </si>
  <si>
    <t>2.56 - 2.74 Mbps</t>
  </si>
  <si>
    <t>GCA_026013845.1 | GCA_000160495.1 | GCA_000208405.1</t>
  </si>
  <si>
    <t>Phylum: Firmicutes | Spirillum sputigenum | Vibrio sputigenus</t>
  </si>
  <si>
    <t>AF287793</t>
  </si>
  <si>
    <t>KF105618</t>
  </si>
  <si>
    <t>sp. HMT-937</t>
  </si>
  <si>
    <t>HMT-937</t>
  </si>
  <si>
    <t>HM324994</t>
  </si>
  <si>
    <t>sp. HMT-936</t>
  </si>
  <si>
    <t>HMT-936</t>
  </si>
  <si>
    <t>2.44 Mbps</t>
  </si>
  <si>
    <t>sp. HMT-919</t>
  </si>
  <si>
    <t>HMT-919</t>
  </si>
  <si>
    <t>2.31 Mbps</t>
  </si>
  <si>
    <t>Oral Clone JI021 | Phylum: Firmicutes</t>
  </si>
  <si>
    <t>AY349409</t>
  </si>
  <si>
    <t>sp. HMT-501</t>
  </si>
  <si>
    <t>HMT-501</t>
  </si>
  <si>
    <t>Oral Clone IK004 | Phylum: Firmicutes</t>
  </si>
  <si>
    <t>AY349407</t>
  </si>
  <si>
    <t>sp. HMT-481</t>
  </si>
  <si>
    <t>HMT-481</t>
  </si>
  <si>
    <t>Oral Clone GT010 | Phylum: Firmicutes</t>
  </si>
  <si>
    <t>AY349405</t>
  </si>
  <si>
    <t>sp. HMT-479</t>
  </si>
  <si>
    <t>HMT-479</t>
  </si>
  <si>
    <t>Oral Clone P4PA_145 | Phylum: Firmicutes</t>
  </si>
  <si>
    <t>AY341820</t>
  </si>
  <si>
    <t>sp. HMT-442</t>
  </si>
  <si>
    <t>HMT-442</t>
  </si>
  <si>
    <t>Oral Clone P4PA_36 | Phylum: Firmicutes</t>
  </si>
  <si>
    <t>AF538861</t>
  </si>
  <si>
    <t>sp. HMT-388</t>
  </si>
  <si>
    <t>HMT-388</t>
  </si>
  <si>
    <t>Oral Clone EW084 | Phylum: Firmicutes</t>
  </si>
  <si>
    <t>AF385503</t>
  </si>
  <si>
    <t>sp. HMT-146</t>
  </si>
  <si>
    <t>HMT-146</t>
  </si>
  <si>
    <t>Oral Clone DD020 | Phylum: Firmicutes</t>
  </si>
  <si>
    <t>AF287794</t>
  </si>
  <si>
    <t>sp. HMT-134</t>
  </si>
  <si>
    <t>HMT-134</t>
  </si>
  <si>
    <t>2.07 - 2.14 Mbps</t>
  </si>
  <si>
    <t>GCA_000315545.1 | GCA_905373695.1</t>
  </si>
  <si>
    <t>Oral Clone CS024 | Phylum: Firmicutes</t>
  </si>
  <si>
    <t>AF287796</t>
  </si>
  <si>
    <t>2.89 Mbps</t>
  </si>
  <si>
    <t>Oral Clone AJ036 | Oral Clone EY047 | Phylum: Firmicutes</t>
  </si>
  <si>
    <t>AF287800 | AF385576</t>
  </si>
  <si>
    <t>1.95 - 2.11 Mbps</t>
  </si>
  <si>
    <t>GCA_000160555.1 | GCA_000234135.1 | GCA_905371815.1 | GCA_915068245.1 | GCA_938036865.1</t>
  </si>
  <si>
    <t>AF287798 | AF287799 | AF385495</t>
  </si>
  <si>
    <t>2.41 Mbps</t>
  </si>
  <si>
    <t>AF287802</t>
  </si>
  <si>
    <t>2.17 - 2.23 Mbps</t>
  </si>
  <si>
    <t>GCA_000160695.1 | GCA_959019235.1</t>
  </si>
  <si>
    <t>Oral Clone AH132 | Phylum: Firmicutes</t>
  </si>
  <si>
    <t>AF287803 | AF287804</t>
  </si>
  <si>
    <t>2.28 - 2.63 Mbps</t>
  </si>
  <si>
    <t>GCA_900186465.1 | GCA_905371945.1 | GCA_959021855.1 | GCA_000146365.1 | GCA_001189555.1 | GCA_001554015.1</t>
  </si>
  <si>
    <t>Oral Clone DO042 | Phylum: Firmicutes</t>
  </si>
  <si>
    <t>AF385514</t>
  </si>
  <si>
    <t>Named NVP**</t>
  </si>
  <si>
    <t>2.39 Mbps</t>
  </si>
  <si>
    <t>Oral Clone DY027 | Oral Clone EW076 | Oral Clone Z048 | Phylum: Firmicutes</t>
  </si>
  <si>
    <t>AF287801 | AF385492 | AF385501</t>
  </si>
  <si>
    <t>1.99 - 2.48 Mbps</t>
  </si>
  <si>
    <t>GCA_902474955.1 | GCA_905204565.1 | GCA_905372505.1 | GCA_938036365.1 | GCA_959017935.1 | GCA_000183625.2 | GCA_000187125.1 | GCA_000287655.1 | GCA_000426665.1</t>
  </si>
  <si>
    <t>AF287797</t>
  </si>
  <si>
    <t>Phylum: Firmicutes | Veillonellaceae bacterium clone DL111</t>
  </si>
  <si>
    <t>JQ406537</t>
  </si>
  <si>
    <t>bacterium HMT-918</t>
  </si>
  <si>
    <t>Selenomonadaceae [G1]</t>
  </si>
  <si>
    <t>HMT-918</t>
  </si>
  <si>
    <t>Oral Clone JS031 | Phylum: Firmicutes</t>
  </si>
  <si>
    <t>AY349410</t>
  </si>
  <si>
    <t>bacterium HMT-483</t>
  </si>
  <si>
    <t>HMT-483</t>
  </si>
  <si>
    <t>Oral Strain GAA14 [2] | Phylum: Firmicutes | Selenomonas genomosp. C2 [1]</t>
  </si>
  <si>
    <t>AF287789 | AY278628</t>
  </si>
  <si>
    <t>bacterium HMT-155</t>
  </si>
  <si>
    <t>HMT-155</t>
  </si>
  <si>
    <t>Oral Clone K024 | Oral Clone P2PA_80 | Phylum: Firmicutes</t>
  </si>
  <si>
    <t>AY207052</t>
  </si>
  <si>
    <t>bacterium HMT-150</t>
  </si>
  <si>
    <t>HMT-150</t>
  </si>
  <si>
    <t>Oral Clones EZ011 | Phylum: Firmicutes</t>
  </si>
  <si>
    <t>AF385578</t>
  </si>
  <si>
    <t>None--not yet cultivated</t>
  </si>
  <si>
    <t>bacterium HMT-148</t>
  </si>
  <si>
    <t>HMT-148</t>
  </si>
  <si>
    <t>Oral Clone EW079 | Phylum: Firmicutes</t>
  </si>
  <si>
    <t>AF385502</t>
  </si>
  <si>
    <t>bacterium HMT-145</t>
  </si>
  <si>
    <t>HMT-145</t>
  </si>
  <si>
    <t>Oral Clone DM071 | Phylum: Firmicutes</t>
  </si>
  <si>
    <t>AF287790</t>
  </si>
  <si>
    <t>bacterium HMT-135</t>
  </si>
  <si>
    <t>HMT-135</t>
  </si>
  <si>
    <t>Oral Clone CS015 | Phylum: Firmicutes</t>
  </si>
  <si>
    <t>AF287791</t>
  </si>
  <si>
    <t>bacterium HMT-132</t>
  </si>
  <si>
    <t>HMT-132</t>
  </si>
  <si>
    <t>Oral Clone AU096 | Oral Strain TFI FNA3 | Phylum: Firmicutes</t>
  </si>
  <si>
    <t>To be submitted</t>
  </si>
  <si>
    <t>bacterium HMT-129</t>
  </si>
  <si>
    <t>HMT-129</t>
  </si>
  <si>
    <t>5.89 Mbps</t>
  </si>
  <si>
    <t>Chitinophagaceae</t>
  </si>
  <si>
    <t>Chitinophagales</t>
  </si>
  <si>
    <t>Chitinophagia</t>
  </si>
  <si>
    <t>Oral Clone P4PB_24 | Phylum: Bacteroidetes</t>
  </si>
  <si>
    <t>AY331415</t>
  </si>
  <si>
    <t>sp. HMT-443</t>
  </si>
  <si>
    <t>Prevotellaceae</t>
  </si>
  <si>
    <t>HMT-443</t>
  </si>
  <si>
    <t>Genus: Prevotella | Oral Clone DO045 | Phylum: Bacteroidetes</t>
  </si>
  <si>
    <t>AF385515</t>
  </si>
  <si>
    <t>sp. HMT-309</t>
  </si>
  <si>
    <t>HMT-309</t>
  </si>
  <si>
    <t>Genus: Prevotella | Oral Clone DO014 | Phylum: Bacteroidetes</t>
  </si>
  <si>
    <t>AF385509</t>
  </si>
  <si>
    <t>sp. HMT-305</t>
  </si>
  <si>
    <t>HMT-305</t>
  </si>
  <si>
    <t>Genus: Prevotella | Oral Clone BR014 | Oral Clone C3MLM058 | Phylum: Bacteroidetes</t>
  </si>
  <si>
    <t>AF385554 | AY278625</t>
  </si>
  <si>
    <t>sp. HMT-300</t>
  </si>
  <si>
    <t>HMT-300</t>
  </si>
  <si>
    <t>2.41 - 3.44 Mbps</t>
  </si>
  <si>
    <t>GCA_000185845.1 | GCA_000477535.1 | GCA_015260875.1 | GCA_015260975.1 | GCA_015260985.1 | GCA_015261015.1 | GCA_015261035.1 | GCA_015261095.1 | GCA_015261115.1 | GCA_015261235.1 | GCA_015261245.1 | GCA_015261295.1 | GCA_015261305.1 | GCA_019375795.1 | GCA_019391785.1 | GCA_019391875.1 | GCA_019391915.1 | GCA_902374235.1 | GCA_916720675.1 | GCA_938043975.1</t>
  </si>
  <si>
    <t>Genus: Prevotella | Oral Clone DO033 | Phylum: Bacteroidetes</t>
  </si>
  <si>
    <t>AF385512</t>
  </si>
  <si>
    <t>2.20 - 2.84 Mbps</t>
  </si>
  <si>
    <t>GCA_900167385.1 | GCA_905372455.1 | GCA_938045455.1 | GCA_000224615.1 | GCA_000613785.1 | GCA_003640305.1</t>
  </si>
  <si>
    <t>Bacteroides oulorum | Genus: Prevotella | Oral Strain TFI-C08KA | Phylum: Bacteroidetes | Prevotella oulora</t>
  </si>
  <si>
    <t>L16472</t>
  </si>
  <si>
    <t>2.48 - 3.35 Mbps</t>
  </si>
  <si>
    <t>GCA_900637655.1 | GCA_902490035.1 | GCA_905372665.1 | GCA_937950115.1 | GCA_000142965.1 | GCA_000162915.1 | GCA_000377685.1 | GCA_000613505.1 | GCA_001814685.1 | GCA_001815315.1</t>
  </si>
  <si>
    <t>Bacteroides oris | Genus: Prevotella | Oral Clone F045 | Phylum: Bacteroidetes</t>
  </si>
  <si>
    <t>AY005056 | L16474</t>
  </si>
  <si>
    <t>2.69 - 3.31 Mbps</t>
  </si>
  <si>
    <t>GCA_000243015.1 | GCA_000382385.1 | GCA_000613965.1 | GCA_905372425.1 | GCA_937927175.1</t>
  </si>
  <si>
    <t>Genus: Prevotella | Oral Clone AA016 | Oral Clone AA020 | Oral Strain KCL-W1609 | Phylum: Bacteroidetes | Prevotella genomosp. | Prevotella genomosp. T3 [1]</t>
  </si>
  <si>
    <t>AY005057 | AY005058 | EF534315</t>
  </si>
  <si>
    <t>2.82 - 3.36 Mbps</t>
  </si>
  <si>
    <t>GCA_000162455.1 | GCA_000184945.1 | GCA_000287635.1 | GCA_018372275.1 | GCA_019391755.1 | GCA_027696905.1 | GCA_027696975.1 | GCA_030843185.1 | GCA_900454855.1 | GCA_902461075.1 | GCA_938016215.1 | GCA_958415905.1 | GCA_958433865.1 | GCA_959023205.1</t>
  </si>
  <si>
    <t>Bacteroides buccae | Bacteroides capillus | Bacteroides pentosaceus | Genus: Prevotella | Phylum: Bacteroidetes</t>
  </si>
  <si>
    <t>L16478</t>
  </si>
  <si>
    <t>3.02 - 3.13 Mbps</t>
  </si>
  <si>
    <t>GCA_000426585.1 | GCA_000468635.1 | GCA_000613565.1</t>
  </si>
  <si>
    <t>Genus: Prevotella | Phylum: Bacteroidetes | Prevotella genomosp. | Prevotella genomospecies</t>
  </si>
  <si>
    <t>AJ012605</t>
  </si>
  <si>
    <t>3.83 - 4.03 Mbps</t>
  </si>
  <si>
    <t>GCA_026057535.1 | GCA_026057715.1 | GCA_937957785.1 | GCA_002933415.1 | GCA_003349825.1 | GCA_004342465.1 | GCA_015476235.1</t>
  </si>
  <si>
    <t>dehydroabietic acid-degrading bacterium DhA-71 | Phylum: Proteobacteria</t>
  </si>
  <si>
    <t>AF125876</t>
  </si>
  <si>
    <t>Oral Clone CA004 | Phylum: Proteobacteria</t>
  </si>
  <si>
    <t>AF385538</t>
  </si>
  <si>
    <t>LMG 23380</t>
  </si>
  <si>
    <t>aquatica</t>
  </si>
  <si>
    <t>HMT-026</t>
  </si>
  <si>
    <t>1.81 - 2.30 Mbps</t>
  </si>
  <si>
    <t>GCA_900128465.1 | GCA_916050445.1 | GCA_958423935.1</t>
  </si>
  <si>
    <t>Actinomyces bouchesdurhonensis | Pauljensenia bouchesdurhonensis</t>
  </si>
  <si>
    <t>Actinomycetaceae</t>
  </si>
  <si>
    <t>Actinomycetales</t>
  </si>
  <si>
    <t>Actinomycetes</t>
  </si>
  <si>
    <t>2.13 - 2.46 Mbps</t>
  </si>
  <si>
    <t>GCA_916049915.1 | GCA_916439175.1 | GCA_000278725.1</t>
  </si>
  <si>
    <t>2.29 - 2.45 Mbps</t>
  </si>
  <si>
    <t>GCA_000185285.1 | GCA_001057055.1 | GCA_001061885.1 | GCA_001064185.1 | GCA_023716965.1 | GCA_024584435.1 | GCA_905371915.1 | GCA_915070555.1</t>
  </si>
  <si>
    <t>Actinomyces sp. HMT-180 | Class: Actinomycetia | Oral Strain TFI C29KA | Oral Strain TFI Hal-1083 | Phylum: Actinobacteria</t>
  </si>
  <si>
    <t>AF287751 | AF385522</t>
  </si>
  <si>
    <t>2.33 - 2.53 Mbps</t>
  </si>
  <si>
    <t>GCA_030644365.1 | GCA_916048505.1 | GCA_959028025.1 | GCA_000283035.1 | GCA_000466265.1 | GCA_019425175.1</t>
  </si>
  <si>
    <t>Actinomyces sp. HMT-172 | Class: Actinomycetia | Oral Clone CT047 | Oral Clone CT068 | Phylum: Actinobacteria</t>
  </si>
  <si>
    <t>AF385504 | AF385505</t>
  </si>
  <si>
    <t>2.18 - 2.47 Mbps</t>
  </si>
  <si>
    <t>GCA_000282935.1 | GCA_001462375.1 | GCA_002847525.1 | GCA_005696695.1 | GCA_018364335.1 | GCA_031191545.1 | GCA_031296445.1 | GCA_031296525.1 | GCA_031296555.1 | GCA_900445025.1 | GCA_938041085.1</t>
  </si>
  <si>
    <t>Class: Actinomycetia | Phylum: Actinobacteria</t>
  </si>
  <si>
    <t>X80504</t>
  </si>
  <si>
    <t>2.03 - 2.09 Mbps</t>
  </si>
  <si>
    <t>GCA_001262055.1 | GCA_001813985.1 | GCA_016127995.1 | GCA_900105015.1</t>
  </si>
  <si>
    <t>Actinobacterium meyer | Actinobacterium meyeri | Actinomyces meyeri | Class: Actinomycetia | Phylum: Actinobacteria</t>
  </si>
  <si>
    <t>X82451</t>
  </si>
  <si>
    <t>1.69 - 2.00 Mbps</t>
  </si>
  <si>
    <t>GCA_902374745.1 | GCA_916048355.1 | GCA_937910295.1 | GCA_000308055.1 | GCA_000318335.2 | GCA_001070095.1 | GCA_015259385.1 | GCA_015259405.1 | GCA_018363635.1</t>
  </si>
  <si>
    <t>Class: Actinomycetia | Phylum: Actinobacteria | Previously Actinomyces lingnae</t>
  </si>
  <si>
    <t>AF385522</t>
  </si>
  <si>
    <t>CCUG 32865</t>
  </si>
  <si>
    <t>1.80 - 2.73 Mbps</t>
  </si>
  <si>
    <t>GCA_001746855.1 | GCA_003639045.1 | GCA_030644345.1 | GCA_905373025.1 | GCA_937922695.1</t>
  </si>
  <si>
    <t>Actinomyces sp. HMT-178 | Class: Actinomycetia | Oral Strain TFI B27SC | Phylum: Actinobacteria</t>
  </si>
  <si>
    <t>AF287750</t>
  </si>
  <si>
    <t>2.50 Mbps</t>
  </si>
  <si>
    <t>Actinomyces georgiae | Class: Actinomycetia | Phylum: Actinobacteria</t>
  </si>
  <si>
    <t>X80413</t>
  </si>
  <si>
    <t>2.11 - 2.43 Mbps</t>
  </si>
  <si>
    <t>GCA_030826605.1 | GCA_031296675.1 | GCA_031296695.1 | GCA_905373765.1 | GCA_916049885.1 | GCA_938046745.1 | GCA_000154225.1 | GCA_000163415.1 | GCA_009730335.1</t>
  </si>
  <si>
    <t>2.14 - 2.24 Mbps</t>
  </si>
  <si>
    <t>GCA_000364865.1 | GCA_005886435.1 | GCA_016405145.1 | GCA_905373095.1 | GCA_938045605.1</t>
  </si>
  <si>
    <t>Actinomyces cardiffensis | Class: Actinomycetia | Phylum: Actinobacteria</t>
  </si>
  <si>
    <t>AJ421779 | GU470888</t>
  </si>
  <si>
    <t>CCUG 44997 | DSM 15803</t>
  </si>
  <si>
    <t>1.49 - 1.56 Mbps</t>
  </si>
  <si>
    <t>GCA_000269605.1 | GCA_000275805.1 | GCA_015259795.1 | GCA_902373505.1 | GCA_905373165.1 | GCA_938045375.1</t>
  </si>
  <si>
    <t>Class: Actinomycetia | Oral Clone CX010 | Oral Strain KCL-W5934 | Oral Strain TFI-A32ED | Phylum: Actinobacteria | Scardovia ge</t>
  </si>
  <si>
    <t>AF287758 | AY278626</t>
  </si>
  <si>
    <t>Bifidobacteriaceae</t>
  </si>
  <si>
    <t>Bifidobacteriales</t>
  </si>
  <si>
    <t>1.74 - 1.83 Mbps</t>
  </si>
  <si>
    <t>GCA_900445765.1 | GCA_938042165.1 | GCA_000163755.1 | GCA_001042695.1</t>
  </si>
  <si>
    <t>Bifidobacterium inopinatum | Class: Actinomycetia | Phylum: Actinobacteria</t>
  </si>
  <si>
    <t>AB029087</t>
  </si>
  <si>
    <t>4.25 Mbps</t>
  </si>
  <si>
    <t>Class: Actinomycetia | Phylum: Actinobacteria | Previously provisional taxon D35</t>
  </si>
  <si>
    <t>NR_027595</t>
  </si>
  <si>
    <t>ATCC 51767 | DSM 10542</t>
  </si>
  <si>
    <t>Environmental -Non-Human Animal (Abundance: Scarce) | Unassigned</t>
  </si>
  <si>
    <t>Jonesiaceae</t>
  </si>
  <si>
    <t>Micrococcales</t>
  </si>
  <si>
    <t>Phylum: Saccharibacteria_(TM7)</t>
  </si>
  <si>
    <t>KM018321</t>
  </si>
  <si>
    <t>sp. HMT-869</t>
  </si>
  <si>
    <t>Saccharimonadaceae</t>
  </si>
  <si>
    <t>Saccharimonadales</t>
  </si>
  <si>
    <t>Saccharimonadia</t>
  </si>
  <si>
    <t>Patescibacteria</t>
  </si>
  <si>
    <t>HMT-869</t>
  </si>
  <si>
    <t>0.726 Mbps</t>
  </si>
  <si>
    <t>Cultivated in coculture</t>
  </si>
  <si>
    <t>1.04 - 0.993 Mbps</t>
  </si>
  <si>
    <t>GCA_013333645.2 | GCA_013333765.2 | GCA_015257665.1</t>
  </si>
  <si>
    <t>1.02 - 0.993 Mbps</t>
  </si>
  <si>
    <t>GCA_007845455.1 | GCA_013333675.2 | GCA_018127705.1 | GCA_030253535.1</t>
  </si>
  <si>
    <t>Oral Clone BS003 | Phylum: Saccharibacteria_(TM7)</t>
  </si>
  <si>
    <t>AY005448</t>
  </si>
  <si>
    <t>Oral Clone BE109 | Phylum: Saccharibacteria_(TM7)</t>
  </si>
  <si>
    <t>AY005446</t>
  </si>
  <si>
    <t>sp. HMT-347</t>
  </si>
  <si>
    <t>HMT-347</t>
  </si>
  <si>
    <t>0.696 - 0.978 Mbps</t>
  </si>
  <si>
    <t>GCA_004138385.1 | GCA_007845545.1 | GCA_013333625.2 | GCA_013333795.2 | GCA_013333845.2 | GCA_015257605.1 | GCA_015257615.1</t>
  </si>
  <si>
    <t>Oral Clone AH040 | Phylum: Saccharibacteria_(TM7)</t>
  </si>
  <si>
    <t>AF125204</t>
  </si>
  <si>
    <t>0.784 - 0.886 Mbps</t>
  </si>
  <si>
    <t>GCA_005697055.1 | GCA_010201925.1 | GCA_010202265.1 | GCA_013098655.1 | GCA_013098855.1 | GCA_013333485.2</t>
  </si>
  <si>
    <t>1.01 Mbps</t>
  </si>
  <si>
    <t>Taxonomic Reference (Abundance: Scarce) | Unassigned</t>
  </si>
  <si>
    <t>0.712 Mbps</t>
  </si>
  <si>
    <t>Saccharimonadales [F2]</t>
  </si>
  <si>
    <t>bacterium HMT-954</t>
  </si>
  <si>
    <t>Saccharimonadales [F4 G1]</t>
  </si>
  <si>
    <t>Saccharimonadales [F4]</t>
  </si>
  <si>
    <t>HMT-954</t>
  </si>
  <si>
    <t>Oral Clone F061 | Phylum: Saccharibacteria_(TM7)</t>
  </si>
  <si>
    <t>AF125205</t>
  </si>
  <si>
    <t>bacterium HMT-355</t>
  </si>
  <si>
    <t>Saccharimonadales [F3 G1]</t>
  </si>
  <si>
    <t>Saccharimonadales [F3]</t>
  </si>
  <si>
    <t>HMT-355</t>
  </si>
  <si>
    <t>0.845 Mbps</t>
  </si>
  <si>
    <t>0.753 Mbps</t>
  </si>
  <si>
    <t>0.524 Mbps</t>
  </si>
  <si>
    <t>Oral Clone BU080 | Phylum: Saccharibacteria_(TM7)</t>
  </si>
  <si>
    <t>AF385568</t>
  </si>
  <si>
    <t>Saccharimonadales [F1]</t>
  </si>
  <si>
    <t>Family: Ruminococcaceae | Genus: Ruminococcaceae_[G-3] | Oral Cone P4PB_122 | Phylum: Firmicutes</t>
  </si>
  <si>
    <t>AF538854</t>
  </si>
  <si>
    <t>bacterium HMT-381</t>
  </si>
  <si>
    <t>Ruminococcaceae [G3]</t>
  </si>
  <si>
    <t>Ruminococcaceae</t>
  </si>
  <si>
    <t>HMT-381</t>
  </si>
  <si>
    <t>Family: Ruminococcaceae | Genus: Ruminococcaceae_[G-3] | Oral Clone MCE3_9 | Phylum: Firmicutes</t>
  </si>
  <si>
    <t>AF481208</t>
  </si>
  <si>
    <t>bacterium HMT-366</t>
  </si>
  <si>
    <t>HMT-366</t>
  </si>
  <si>
    <t>Family: Ruminococcaceae | Genus: Ruminococcaceae_[G-2] | Oral Clone BU014 | Phylum: Firmicutes</t>
  </si>
  <si>
    <t>AF385563</t>
  </si>
  <si>
    <t>bacterium HMT-085</t>
  </si>
  <si>
    <t>Ruminococcaceae [G2]</t>
  </si>
  <si>
    <t>HMT-085</t>
  </si>
  <si>
    <t>Family: Ruminococcaceae | Genus: Ruminococcaceae_[G-1] | Oral Clone A035 | Oral Clone F058 | Phylum: Firmicutes</t>
  </si>
  <si>
    <t>AF287779</t>
  </si>
  <si>
    <t>bacterium HMT-075</t>
  </si>
  <si>
    <t>Ruminococcaceae [G1]</t>
  </si>
  <si>
    <t>HMT-075</t>
  </si>
  <si>
    <t>1.94 - 2.42 Mbps</t>
  </si>
  <si>
    <t>GCA_000011025.1 | GCA_000175615.1 | GCA_000231235.1 | GCA_001060545.1 | GCA_001061655.1 | GCA_001062855.1 | GCA_001063545.1 | GCA_001063995.1 | GCA_001064265.1 | GCA_001064575.1 | GCA_001064585.1 | GCA_001065115.1 | GCA_001067345.1 | GCA_001067855.1 | GCA_001548235.1 | GCA_001808945.1 | GCA_001808955.1 | GCA_001810135.1 | GCA_001810515.1 | GCA_001810775.1 | GCA_001811075.1 | GCA_001812085.1 | GCA_001812205.1 | GCA_001812285.1 | GCA_001812895.1 | GCA_001812975.1 | GCA_001813145.1 | GCA_001813565.1 | GCA_001813685.1 | GCA_001813725.1 | GCA_001813895.1 | GCA_001814485.1 | GCA_001814645.1 | GCA_001814995.1 | GCA_001815155.1 | GCA_001815755.1 | GCA_001836735.1 | GCA_001837265.1 | GCA_001837295.1 | GCA_001914075.1 | GCA_002386365.1 | GCA_002861015.1 | GCA_014894835.1 | GCA_014894895.1 | GCA_015240415.1 | GCA_015259765.1 | GCA_015259835.1 | GCA_015259875.1 | GCA_015259885.1 | GCA_015259955.1 | GCA_015259995.1 | GCA_018364315.1 | GCA_018378535.1 | GCA_018381075.1 | GCA_019334805.1 | GCA_019423945.1 | GCA_023303065.1 | GCA_030826425.1 | GCA_900755465.1 | GCA_901875305.1 | GCA_902373285.1 | GCA_902373445.1 | GCA_902461255.1 | GCA_905369905.1 | GCA_916049685.1 | GCA_916049745.1 | GCA_916050265.1 | GCA_916050395.1 | GCA_916438355.1 | GCA_916440305.1 | GCA_916709935.1 | GCA_916715745.1 | GCA_916720955.1 | GCA_927911585.1 | GCA_927911755.1 | GCA_934667405.1 | GCA_934679015.1 | GCA_937890405.1 | GCA_937936265.1 | GCA_937984615.1 | GCA_943914375.1 | GCA_943914625.1 | GCA_958349375.1 | GCA_959028555.1</t>
  </si>
  <si>
    <t>Class: Actinomycetia | Micrococcus mucilaginosus | Phylum: Actinobacteria | Stomatococcus mucilaginosus</t>
  </si>
  <si>
    <t>X95483</t>
  </si>
  <si>
    <t>ATCC 25296 | DSM 20746</t>
  </si>
  <si>
    <t>clade-681</t>
  </si>
  <si>
    <t>mucilaginosa</t>
  </si>
  <si>
    <t>Micrococcaceae</t>
  </si>
  <si>
    <t>2.18 - 2.27 Mbps</t>
  </si>
  <si>
    <t>GCA_001061665.1 | GCA_001065135.1 | GCA_001065485.1 | GCA_001809565.1 | GCA_001812775.1 | GCA_001813965.1 | GCA_001836905.1 | GCA_938043995.1</t>
  </si>
  <si>
    <t>clade-147</t>
  </si>
  <si>
    <t>2.29 - 2.60 Mbps</t>
  </si>
  <si>
    <t>GCA_000143585.1 | GCA_000164695.2 | GCA_001061305.1 | GCA_001062425.1 | GCA_001064485.1 | GCA_001066935.1 | GCA_001808385.1 | GCA_001809115.1 | GCA_001809415.1 | GCA_001809525.1 | GCA_001810635.1 | GCA_001811455.1 | GCA_001814205.1 | GCA_001814655.1 | GCA_001815285.1 | GCA_002276695.1 | GCA_002554715.1 | GCA_002861025.1 | GCA_004563855.1 | GCA_012641675.1 | GCA_013267735.1 | GCA_019297775.1 | GCA_023713025.1 | GCA_029850855.1 | GCA_029850905.1 | GCA_029850925.1 | GCA_029851045.1 | GCA_031191775.1 | GCA_900455895.1 | GCA_900638535.1 | GCA_901875315.1 | GCA_905372075.1 | GCA_915066855.1 | GCA_916720605.1 | GCA_938018175.1</t>
  </si>
  <si>
    <t>Actinomyces dentocariosus | Class: Actinomycetia | Nocardia dentocariosus | Nocardia salivae | Phylum: Actinobacteria | Rothia denticariosa</t>
  </si>
  <si>
    <t>M59055</t>
  </si>
  <si>
    <t>2.43 - 2.71 Mbps</t>
  </si>
  <si>
    <t>GCA_029850825.1 | GCA_029850955.1 | GCA_029851005.1 | GCA_029851025.1 | GCA_030219075.1 | GCA_030223365.1 | GCA_030530555.1 | GCA_900637985.1 | GCA_905372695.1 | GCA_916720985.1 | GCA_937927245.1 | GCA_000258205.1 | GCA_000479025.1 | GCA_000763685.1 | GCA_000763765.1 | GCA_002355935.1 | GCA_003989155.1 | GCA_003989445.1 | GCA_016726365.1 | GCA_019334745.1</t>
  </si>
  <si>
    <t>Class: Actinomycetia | Oral Clone AP005 | Oral Strain TFI-B37KA | Oral Strain TFI-F0184 | Phylum: Actinobacteria</t>
  </si>
  <si>
    <t>Y13025</t>
  </si>
  <si>
    <t>4.72 - 5.53 Mbps</t>
  </si>
  <si>
    <t>GCA_023923185.1 | GCA_026222695.1 | GCA_026222715.1 | GCA_900455935.1 | GCA_000292225.1 | GCA_000622225.1 | GCA_001466485.2 | GCA_002754815.1 | GCA_006771025.1 | GCA_008693785.1</t>
  </si>
  <si>
    <t>Acetobacteraceae</t>
  </si>
  <si>
    <t>Rhodospirillales</t>
  </si>
  <si>
    <t>4.62 Mbps</t>
  </si>
  <si>
    <t>Oral Clone AK152 | Phylum: Bacteroidetes</t>
  </si>
  <si>
    <t>AY008691</t>
  </si>
  <si>
    <t>sp. HMT-322</t>
  </si>
  <si>
    <t>Riemerella</t>
  </si>
  <si>
    <t>HMT-322</t>
  </si>
  <si>
    <t>3.61 - 3.91 Mbps</t>
  </si>
  <si>
    <t>GCA_000021865.1 | GCA_000505785.1 | GCA_000506565.2 | GCA_001402715.1 | GCA_001402725.1 | GCA_003254295.1 | GCA_014622665.1 | GCA_029277405.1 | GCA_900102155.1</t>
  </si>
  <si>
    <t>Family: Rhodobacteraceae | Phylum: Proteobacteria | Previously provisional taxon A00</t>
  </si>
  <si>
    <t>AB017798 | D16428</t>
  </si>
  <si>
    <t>ATCC 11166 | DSM 1710</t>
  </si>
  <si>
    <t>Paracoccaceae</t>
  </si>
  <si>
    <t>Rhodobacterales</t>
  </si>
  <si>
    <t>Oral Clone AK168 | Phylum: Proteobacteria</t>
  </si>
  <si>
    <t>AY005032</t>
  </si>
  <si>
    <t>sp. HMT-406</t>
  </si>
  <si>
    <t>Burkholderiaceae</t>
  </si>
  <si>
    <t>HMT-406</t>
  </si>
  <si>
    <t>4.73 - 5.32 Mbps</t>
  </si>
  <si>
    <t>GCA_000743455.1 | GCA_001544155.1 | GCA_013391365.1 | GCA_016466415.2 | GCA_018726805.1 | GCA_020341455.1 | GCA_900455835.1</t>
  </si>
  <si>
    <t>Phylum: Proteobacteria | Previously provisional taxon C02</t>
  </si>
  <si>
    <t>NR_043152</t>
  </si>
  <si>
    <t>ATCC 27511 | DSM 6297</t>
  </si>
  <si>
    <t>2.38 - 2.69 Mbps</t>
  </si>
  <si>
    <t>GCA_000177335.1 | GCA_022846135.1 | GCA_023455535.1 | GCA_902470875.1 | GCA_905198325.1 | GCA_937925425.1 | GCA_958368465.1 | GCA_958404195.1 | GCA_959608295.1</t>
  </si>
  <si>
    <t>Family: Synergistaceae | Oral Clone BA121 | Oral Clone C2ALM009 | Oral Strain W5455 | Phylum: Synergistetes</t>
  </si>
  <si>
    <t>AY005444 | AY278615 | EU309492</t>
  </si>
  <si>
    <t>Dethiosulfovibrionaceae</t>
  </si>
  <si>
    <t>Synergistales</t>
  </si>
  <si>
    <t>Synergistia</t>
  </si>
  <si>
    <t>Synergistota</t>
  </si>
  <si>
    <t>2.12 - 2.36 Mbps</t>
  </si>
  <si>
    <t>GCA_938046695.1 | GCA_000185505.1 | GCA_016901195.1</t>
  </si>
  <si>
    <t>Eubacterium alactolyticum | Phylum: Firmicutes | Ramibacterium alactolyticum | Ramibacterium dentium | Ramibacterium pleuriticum</t>
  </si>
  <si>
    <t>AB036759</t>
  </si>
  <si>
    <t>Eubacteriaceae</t>
  </si>
  <si>
    <t>Oral Clone AZ002 | Phylum: Proteobacteria</t>
  </si>
  <si>
    <t>AF385547</t>
  </si>
  <si>
    <t>sp. HMT-032</t>
  </si>
  <si>
    <t>HMT-032</t>
  </si>
  <si>
    <t>6.03 - 6.34 Mbps</t>
  </si>
  <si>
    <t>GCA_024170065.1 | GCA_026651425.1 | GCA_029838685.1 | GCA_030166435.1 | GCA_030418255.1 | GCA_900111835.1 | GCA_006715895.1 | GCA_011397855.1 | GCA_014161995.1 | GCA_019879085.1</t>
  </si>
  <si>
    <t>AY953147</t>
  </si>
  <si>
    <t>4.68 - 5.65 Mbps</t>
  </si>
  <si>
    <t>GCA_029814875.1 | GCA_029843895.1 | GCA_900455615.1 | GCA_000297075.2 | GCA_000953455.1 | GCA_002091815.1 | GCA_002197815.1 | GCA_003408635.1 | GCA_014109765.1</t>
  </si>
  <si>
    <t>Z76666</t>
  </si>
  <si>
    <t>4.71 - 6.09 Mbps</t>
  </si>
  <si>
    <t>GCA_030403525.1 | GCA_900110795.1 | GCA_900141925.1 | GCA_900455515.1 | GCA_902375175.1 | GCA_002091675.1 | GCA_003691465.1 | GCA_008693965.1 | GCA_013522795.1 | GCA_022346805.1</t>
  </si>
  <si>
    <t>Environmental -Soil/Water (Abundance: Scarce) | Opportunistic Pathogen (Abundance: Scarce)</t>
  </si>
  <si>
    <t>6.03 - 6.64 Mbps</t>
  </si>
  <si>
    <t>GCA_900215245.1 | GCA_900475215.1 | GCA_900636825.1 | GCA_001269845.1 | GCA_001708445.1 | GCA_002091595.1 | GCA_002943685.1 | GCA_003417575.1 | GCA_007858165.1</t>
  </si>
  <si>
    <t>Bacillus fluorescens | Bacterium fluorescen | Bacterium fluorescens | Liquidomonas fluorescens | Phylum: Proteobacteria</t>
  </si>
  <si>
    <t>Z76662</t>
  </si>
  <si>
    <t>6.29 - 7.09 Mbps</t>
  </si>
  <si>
    <t>GCA_000226155.1 | GCA_000763245.3 | GCA_001042925.1 | GCA_001045685.1 | GCA_001374975.1 | GCA_001457615.1 | GCA_001516345.1 | GCA_003952325.1 | GCA_019915445.1</t>
  </si>
  <si>
    <t>Bacillus aeruginosus | Bacillus pyocyaneus | Bacterium aeruginosum | Bacterium pyocyaneum | Micrococcus pyocyaneus | Phylum: Proteobacteria | probable synonym | Pseudomonas polycolor | Pseudomonas pyocyanea</t>
  </si>
  <si>
    <t>Z76651</t>
  </si>
  <si>
    <t>Genus: Leptotrichia | Oral Clone P2PB_51 | Phylum: Fusobacteria</t>
  </si>
  <si>
    <t>AY207053</t>
  </si>
  <si>
    <t>sp. HMT-392</t>
  </si>
  <si>
    <t>HMT-392</t>
  </si>
  <si>
    <t>Oral Clone EI022 | Phylum: Fusobacteria</t>
  </si>
  <si>
    <t>AF385572</t>
  </si>
  <si>
    <t>sp. HMT-219</t>
  </si>
  <si>
    <t>HMT-219</t>
  </si>
  <si>
    <t>Genus: Leptotrichia | Oral Clone DT031 | Phylum: Fusobacteria</t>
  </si>
  <si>
    <t>AF366276</t>
  </si>
  <si>
    <t>sp. HMT-217</t>
  </si>
  <si>
    <t>HMT-217</t>
  </si>
  <si>
    <t>2.31 - 2.50 Mbps</t>
  </si>
  <si>
    <t>GCA_000469505.1 | GCA_916439075.1</t>
  </si>
  <si>
    <t>Genus: Leptotrichia | Oral Clone DR011 | Phylum: Fusobacteria</t>
  </si>
  <si>
    <t>AF385518</t>
  </si>
  <si>
    <t>1.51 - 2.44 Mbps</t>
  </si>
  <si>
    <t>GCA_905373465.1 | GCA_938011375.1 | GCA_001274535.1</t>
  </si>
  <si>
    <t>Genus: Leptotrichia | Oral Clone Bu064 | Phylum: Fusobacteria</t>
  </si>
  <si>
    <t>AY008309</t>
  </si>
  <si>
    <t>2.28 - 2.29 Mbps</t>
  </si>
  <si>
    <t>GCA_000176335.1 | GCA_000516535.1 | GCA_007990505.1</t>
  </si>
  <si>
    <t>Phylum: Fusobacteria</t>
  </si>
  <si>
    <t>3.85 - 4.30 Mbps</t>
  </si>
  <si>
    <t>GCA_023093855.1 | GCA_000160755.1 | GCA_000444425.1 | GCA_002055685.1 | GCA_002310875.1 | GCA_003855615.1 | GCA_013357445.1 | GCA_016939715.1 | GCA_022354605.1</t>
  </si>
  <si>
    <t>AF008582</t>
  </si>
  <si>
    <t>Environmental -Soil/Water (Abundance: Scarce) | Opportunistic Pathogen (Abundance: No data)</t>
  </si>
  <si>
    <t>Morganellaceae</t>
  </si>
  <si>
    <t>2.82 - 3.07 Mbps</t>
  </si>
  <si>
    <t>GCA_000426605.1 | GCA_003798325.1 | GCA_905373155.1 | GCA_938034675.1</t>
  </si>
  <si>
    <t>Class: Actinomycetia | Genus: Acidipropionibacterium | Oral Strain TFI-FMA5 | Phylum: Actinobacteria</t>
  </si>
  <si>
    <t>AF287756</t>
  </si>
  <si>
    <t>Propionibacteriaceae</t>
  </si>
  <si>
    <t>Propionibacteriales</t>
  </si>
  <si>
    <t>Class: Actinomycetia | Phylum: Actinobacteria | Propionibacteriaceae bacterium clone HS10_B_C3</t>
  </si>
  <si>
    <t>KC203064</t>
  </si>
  <si>
    <t>bacterium HMT-915</t>
  </si>
  <si>
    <t>Propionibacteriaceae [G1]</t>
  </si>
  <si>
    <t>HMT-915</t>
  </si>
  <si>
    <t>2.18 - 2.95 Mbps</t>
  </si>
  <si>
    <t>GCA_916720355.1 | GCA_937989495.1 | GCA_000257925.1 | GCA_009728485.1 | GCA_015260075.1</t>
  </si>
  <si>
    <t>Oral Clone DO027 | Phylum: Bacteroidetes</t>
  </si>
  <si>
    <t>AF385511</t>
  </si>
  <si>
    <t>2.39 - 2.99 Mbps</t>
  </si>
  <si>
    <t>GCA_000162935.1 | GCA_000377625.1 | GCA_000613325.1 | GCA_018127765.1 | GCA_938038995.1</t>
  </si>
  <si>
    <t>Bacteroides veroralis | Phylum: Bacteroidetes</t>
  </si>
  <si>
    <t>L16473</t>
  </si>
  <si>
    <t>2.47 - 3.47 Mbps</t>
  </si>
  <si>
    <t>GCA_023522295.1 | GCA_943913865.1 | GCA_947000095.1 | GCA_947253705.1 | GCA_947254935.1 | GCA_000430565.1 | GCA_000455445.1 | GCA_000614005.1 | GCA_002894165.1 | GCA_015548615.1</t>
  </si>
  <si>
    <t>2.38 - 3.02 Mbps</t>
  </si>
  <si>
    <t>GCA_000599605.1 | GCA_015260745.1</t>
  </si>
  <si>
    <t>Prevotella sp. HJM029 | Prevotella sp000599605</t>
  </si>
  <si>
    <t>Oral Clone P4PB_83 | Phylum: Bacteroidetes</t>
  </si>
  <si>
    <t>AY207050</t>
  </si>
  <si>
    <t>sp. HMT-396</t>
  </si>
  <si>
    <t>HMT-396</t>
  </si>
  <si>
    <t>2.52 - 3.36 Mbps</t>
  </si>
  <si>
    <t>GCA_000467895.1 | GCA_018128045.1 | GCA_018128065.1 | GCA_905373445.1</t>
  </si>
  <si>
    <t>Oral Clone FU048 | Oral Strain TFI-F0054 | Phylum: Bacteroidetes</t>
  </si>
  <si>
    <t>AY349393</t>
  </si>
  <si>
    <t>Oral Clone DA058 | Phylum: Bacteroidetes</t>
  </si>
  <si>
    <t>AY005065</t>
  </si>
  <si>
    <t>sp. HMT-304</t>
  </si>
  <si>
    <t>HMT-304</t>
  </si>
  <si>
    <t>3.18 - 3.30 Mbps</t>
  </si>
  <si>
    <t>GCA_000614285.1 | GCA_001683355.1 | GCA_018127785.1 | GCA_900129535.1</t>
  </si>
  <si>
    <t>Phylum: Bacteroidetes | Prevotetella genomosp. T2 strain W1435</t>
  </si>
  <si>
    <t>AB683253</t>
  </si>
  <si>
    <t>CCUG 57945 | DSM 22613 | JCM 17725 | W2052</t>
  </si>
  <si>
    <t>2.30 - 3.13 Mbps</t>
  </si>
  <si>
    <t>GCA_900454935.1 | GCA_901875295.1 | GCA_905369845.1 | GCA_905371345.1 | GCA_905372815.1 | GCA_916048135.1 | GCA_916720205.1 | GCA_937889145.1 | GCA_947062025.1 | GCA_000220255.1 | GCA_003269195.1 | GCA_015261335.1 | GCA_015261375.1 | GCA_015261395.1 | GCA_015261455.1 | GCA_015261465.1 | GCA_015261495.1 | GCA_015261505.1 | GCA_015261515.1 | GCA_015261555.1 | GCA_015261585.1 | GCA_015261615.1 | GCA_015261625.1 | GCA_015261645.1 | GCA_015261675.1 | GCA_015261695.1 | GCA_015261705.1 | GCA_015261715.1 | GCA_015261725.1 | GCA_015261775.1 | GCA_015261795.1 | GCA_015261835.1 | GCA_015261845.1 | GCA_015261905.1 | GCA_015261915.1 | GCA_015261925.1 | GCA_015261945.1 | GCA_015261995.1 | GCA_015262005.1 | GCA_015262065.1</t>
  </si>
  <si>
    <t>Phylum: Bacteroidetes | Prevotella intermedia</t>
  </si>
  <si>
    <t>Y13106</t>
  </si>
  <si>
    <t>2.45 - 3.15 Mbps</t>
  </si>
  <si>
    <t>GCA_000220235.1 | GCA_000336235.1 | GCA_000507825.1 | GCA_002204475.1 | GCA_015262115.1 | GCA_018127825.1 | GCA_018127845.1 | GCA_018127865.1 | GCA_019375595.1 | GCA_019930605.1 | GCA_031191185.1 | GCA_900454985.1 | GCA_902497265.1 | GCA_905372985.1 | GCA_915063465.1 | GCA_938028575.1</t>
  </si>
  <si>
    <t>X73963</t>
  </si>
  <si>
    <t>2.38 - 3.36 Mbps</t>
  </si>
  <si>
    <t>GCA_000191065.1 | GCA_018127985.1 | GCA_938020355.1 | GCA_947095725.1</t>
  </si>
  <si>
    <t>AB182483</t>
  </si>
  <si>
    <t>2.30 - 2.49 Mbps</t>
  </si>
  <si>
    <t>GCA_937921785.1 | GCA_000243035.1 | GCA_000373705.1 | GCA_000614105.1</t>
  </si>
  <si>
    <t>Phylum: Bacteroidetes | Prevotella sp. E7_56</t>
  </si>
  <si>
    <t>AF481228</t>
  </si>
  <si>
    <t>2.66 - 3.62 Mbps</t>
  </si>
  <si>
    <t>GCA_000144405.1 | GCA_000163035.1 | GCA_000517825.1 | GCA_002208725.2 | GCA_003609775.1 | GCA_013267595.1 | GCA_015260265.1 | GCA_015260355.1 | GCA_015260375.1 | GCA_015260395.1 | GCA_015260405.1 | GCA_015260455.1 | GCA_015260465.1 | GCA_015260495.1 | GCA_015260605.1 | GCA_015260635.1 | GCA_015262365.1 | GCA_018127885.1 | GCA_018127905.1 | GCA_018127925.1 | GCA_018127945.1 | GCA_018127965.1 | GCA_018128005.1 | GCA_019375485.1 | GCA_019375525.1 | GCA_019375575.1 | GCA_019375605.1 | GCA_019375715.1 | GCA_019375745.1 | GCA_019375775.1 | GCA_019375815.1 | GCA_019375935.1 | GCA_019391735.1 | GCA_019391775.1 | GCA_019391815.1 | GCA_020735785.1 | GCA_020735905.1 | GCA_901875335.1 | GCA_902484395.1 | GCA_905369805.1 | GCA_905370375.1 | GCA_905371445.1 | GCA_912422195.1 | GCA_916048225.1 | GCA_916050405.1 | GCA_916050515.1 | GCA_916438435.1 | GCA_916715705.1 | GCA_927911715.1 | GCA_938034465.1 | GCA_938042185.1 | GCA_946223055.1 | GCA_946997865.1 | GCA_951230405.1</t>
  </si>
  <si>
    <t>Bacterium melaninogenicum | Bacteroides melaninogenicus | Fusiformis nigrescens | Hemophilus melaninogenicus | Phylum: Bacteroidetes | Ristella melaninogenica</t>
  </si>
  <si>
    <t>AY349395</t>
  </si>
  <si>
    <t>3.65 - 4.12 Mbps</t>
  </si>
  <si>
    <t>GCA_900187995.1 | GCA_916438675.1 | GCA_938015825.1 | GCA_000224595.1 | GCA_002849795.1 | GCA_003043935.1 | GCA_018128085.1 | GCA_018128105.1 | GCA_019375855.1</t>
  </si>
  <si>
    <t>Oral Clone FM005 | Oral Clone GI059 | Phylum: Bacteroidetes</t>
  </si>
  <si>
    <t>AF432133 | AY349397</t>
  </si>
  <si>
    <t>2.34 - 3.15 Mbps</t>
  </si>
  <si>
    <t>GCA_000261025.1 | GCA_000439065.1 | GCA_000519165.1 | GCA_000955645.1 | GCA_001548195.1 | GCA_001594285.1 | GCA_001953935.1 | GCA_001953955.1 | GCA_002204405.1 | GCA_002355195.1 | GCA_002529225.1 | GCA_002529305.1 | GCA_002529435.1 | GCA_002753835.1 | GCA_002753855.1 | GCA_002762425.1 | GCA_002763535.1 | GCA_002763575.1 | GCA_002763715.1 | GCA_002763745.1 | GCA_002763785.1 | GCA_002763845.1 | GCA_002763955.1 | GCA_002763975.1 | GCA_002794335.1 | GCA_002797135.1 | GCA_002797155.1 | GCA_002797175.1 | GCA_002797185.1 | GCA_003265025.1 | GCA_003838285.1 | GCA_003861325.1 | GCA_023148185.1 | GCA_900455005.1 | GCA_902497285.1 | GCA_905372255.1 | GCA_947097145.1</t>
  </si>
  <si>
    <t>Bacteroides intermedius | Bacteroides melaninogenicus | Phylum: Bacteroidetes | Prevotella intermedius</t>
  </si>
  <si>
    <t>L16468</t>
  </si>
  <si>
    <t>3.09 - 3.20 Mbps</t>
  </si>
  <si>
    <t>GCA_003043925.1 | GCA_017426725.1</t>
  </si>
  <si>
    <t>Genus: Prevotella | Phylum: Bacteroidetes | Prevotella sp. P2A_FAAD4</t>
  </si>
  <si>
    <t>AF537212</t>
  </si>
  <si>
    <t>2.55 - 3.12 Mbps</t>
  </si>
  <si>
    <t>GCA_000234055.1 | GCA_000613925.1 | GCA_000759075.1 | GCA_015262355.1 | GCA_015262395.1 | GCA_015262435.1 | GCA_015262445.1 | GCA_015262505.1 | GCA_015262545.1 | GCA_015262625.1 | GCA_018128125.1 | GCA_018372295.1 | GCA_018378595.1 | GCA_019375585.1 | GCA_019375655.1 | GCA_019375695.1 | GCA_019375835.1 | GCA_019375895.1 | GCA_019375975.1 | GCA_019391885.1 | GCA_019391935.1 | GCA_916720365.1 | GCA_927910845.1 | GCA_938014195.1 | GCA_951230325.1</t>
  </si>
  <si>
    <t>Oral Clone BE073 | Phylum: Bacteroidetes</t>
  </si>
  <si>
    <t>AF385551</t>
  </si>
  <si>
    <t>3.17 - 3.26 Mbps</t>
  </si>
  <si>
    <t>GCA_000614245.1 | GCA_001262015.1 | GCA_018128145.1</t>
  </si>
  <si>
    <t>F0012 | Phylum: Bacteroidetes | Prevotella genomosp. T2 Strain W1435 | Prevotella sp. oral taxon 782</t>
  </si>
  <si>
    <t>AB683252 | FJ545433</t>
  </si>
  <si>
    <t>CCUG 57946 | DSM 22504 | JCM 17724 | W1435</t>
  </si>
  <si>
    <t>2.60 - 3.25 Mbps</t>
  </si>
  <si>
    <t>GCA_027682715.1 | GCA_900454835.1 | GCA_902483045.1 | GCA_905372245.1 | GCA_905373395.1 | GCA_937990705.1 | GCA_000191765.2 | GCA_000193395.1 | GCA_000421205.1 | GCA_000613585.1 | GCA_000759205.1 | GCA_003515045.1 | GCA_015262675.1 | GCA_018128165.1 | GCA_018128185.1 | GCA_018128205.1 | GCA_018141825.1 | GCA_019375675.1 | GCA_019375725.1 | GCA_019375865.1 | GCA_019391855.1</t>
  </si>
  <si>
    <t>Bacteroides denticola | Oral Clone AH005 | Oral Clone AO036 | Phylum: Bacteroidetes</t>
  </si>
  <si>
    <t>AY005053 | AY005054</t>
  </si>
  <si>
    <t>3.60 - 3.92 Mbps</t>
  </si>
  <si>
    <t>GCA_024329925.1 | GCA_024330295.1 | GCA_024330365.1 | GCA_024330435.1 | GCA_024330665.1 | GCA_024330875.1 | GCA_024330905.1 | GCA_002224675.1 | GCA_009494375.1 | GCA_009495335.1</t>
  </si>
  <si>
    <t>Gastrointestinal Tract (Abundance: High) | Unassigned</t>
  </si>
  <si>
    <t>1.98 - 2.58 Mbps</t>
  </si>
  <si>
    <t>GCA_000177315.1 | GCA_000262545.1 | GCA_000759045.1 | GCA_000759165.1 | GCA_000759245.1 | GCA_001546565.2 | GCA_001574405.1 | GCA_030219305.1 | GCA_902485115.1 | GCA_934149205.1 | GCA_946222745.1 | GCA_946891465.1 | GCA_946997545.1 | GCA_947041195.1 | GCA_947089735.1 | GCA_947254575.1</t>
  </si>
  <si>
    <t>Bacteroides bivius | Phylum: Bacteroidetes</t>
  </si>
  <si>
    <t>L16475</t>
  </si>
  <si>
    <t>2.25 - 3.00 Mbps</t>
  </si>
  <si>
    <t>GCA_000614025.1 | GCA_015262605.1 | GCA_015262695.1 | GCA_905371525.1 | GCA_937900105.1</t>
  </si>
  <si>
    <t>NR_112878</t>
  </si>
  <si>
    <t>OMA31</t>
  </si>
  <si>
    <t>1.80 - 2.45 Mbps</t>
  </si>
  <si>
    <t>GCA_000177355.1 | GCA_000378745.1 | GCA_000613765.1 | GCA_000759315.1 | GCA_001553225.1 | GCA_946223195.1 | GCA_946891875.1 | GCA_946999245.1 | GCA_947041955.1 | GCA_947253095.1</t>
  </si>
  <si>
    <t>1.72 - 2.26 Mbps</t>
  </si>
  <si>
    <t>GCA_000174775.1 | GCA_000482365.1 | GCA_000613705.1 | GCA_902470245.1 | GCA_902489165.1 | GCA_937921215.1 | GCA_946997265.1 | GCA_947254985.1 | GCA_959020135.1</t>
  </si>
  <si>
    <t>TBS [AY570514]</t>
  </si>
  <si>
    <t>Porphyromonadaceae</t>
  </si>
  <si>
    <t>JQ468499</t>
  </si>
  <si>
    <t>sp. HMT-930</t>
  </si>
  <si>
    <t>HMT-930</t>
  </si>
  <si>
    <t>Oral Clone EP003 | Oral Strain TFI-F0037 | Phylum: Bacteroidetes</t>
  </si>
  <si>
    <t>AY008313</t>
  </si>
  <si>
    <t>sp. HMT-284</t>
  </si>
  <si>
    <t>HMT-284</t>
  </si>
  <si>
    <t>2.04 - 2.25 Mbps</t>
  </si>
  <si>
    <t>GCA_000467855.2 | GCA_905372685.1 | GCA_916048245.1 | GCA_938018195.1</t>
  </si>
  <si>
    <t>Oral Clone BS045 | Phylum: Bacteroidetes</t>
  </si>
  <si>
    <t>AF385560</t>
  </si>
  <si>
    <t>Oral Clone BR037 | Phylum: Bacteroidetes</t>
  </si>
  <si>
    <t>AF385555</t>
  </si>
  <si>
    <t>sp. HMT-277</t>
  </si>
  <si>
    <t>HMT-277</t>
  </si>
  <si>
    <t>1.85 - 2.18 Mbps</t>
  </si>
  <si>
    <t>GCA_937924665.1 | GCA_018127745.1</t>
  </si>
  <si>
    <t>Oral Clone AW032 | Phylum: Bacteroidetes</t>
  </si>
  <si>
    <t>AF393476</t>
  </si>
  <si>
    <t>1.88 - 2.37 Mbps</t>
  </si>
  <si>
    <t>GCA_905371295.1 | GCA_905372325.1 | GCA_915069595.1 | GCA_916048385.1 | GCA_916439165.1 | GCA_916720075.1 | GCA_927910925.1 | GCA_937888685.1 | GCA_943169685.1 | GCA_946222795.1 | GCA_951230495.1 | GCA_000292995.1 | GCA_000700805.1 | GCA_001553165.1 | GCA_001553215.1 | GCA_014647755.1 | GCA_015262735.1 | GCA_015262745.1 | GCA_015262805.1 | GCA_015262835.1 | GCA_015262895.1 | GCA_015262915.1 | GCA_015262925.1 | GCA_015262975.1 | GCA_015263015.1 | GCA_015263045.1 | GCA_015263095.1 | GCA_015263105.1 | GCA_015263125.1 | GCA_015263215.1</t>
  </si>
  <si>
    <t>Oral Clone CW034 | Oral Clone DP023 | Oral Strain TFI-F003 | Phylum: Bacteroidetes</t>
  </si>
  <si>
    <t>AF385516 | AY008310</t>
  </si>
  <si>
    <t>1.68 - 2.62 Mbps</t>
  </si>
  <si>
    <t>GCA_023822425.1 | GCA_023822445.1 | GCA_023822465.1 | GCA_028335085.1 | GCA_028335105.1 | GCA_028335125.1 | GCA_028993465.1 | GCA_029911295.1 | GCA_030144345.1 | GCA_030252365.1 | GCA_030440475.1 | GCA_030440495.1 | GCA_030675975.1 | GCA_030676125.1 | GCA_900157215.1 | GCA_900157225.1 | GCA_900157235.1 | GCA_900157245.1 | GCA_900157255.1 | GCA_900157265.1 | GCA_900157275.1 | GCA_900157285.1 | GCA_900157295.1 | GCA_900157325.1 | GCA_900157345.1 | GCA_905372065.1 | GCA_915069505.1 | GCA_937950445.1 | GCA_946891835.1 | GCA_947097945.1 | GCA_000007585.1 | GCA_000010505.1 | GCA_000270225.1 | GCA_000271945.1 | GCA_000380305.1 | GCA_000467795.1 | GCA_000467815.1 | GCA_000467835.1 | GCA_000467955.1 | GCA_000467975.1 | GCA_000467995.1 | GCA_000503975.1 | GCA_000739415.1 | GCA_001263815.1 | GCA_001274615.1 | GCA_001297745.1 | GCA_001314265.1 | GCA_001444325.1 | GCA_001553795.1 | GCA_002204455.1 | GCA_002206065.1 | GCA_002206085.1 | GCA_002206105.1 | GCA_002208045.1 | GCA_002529125.1 | GCA_002529145.1 | GCA_002529155.1 | GCA_002529185.1 | GCA_002529205.1 | GCA_002529235.1 | GCA_002529285.1 | GCA_002529345.1 | GCA_002529355.1 | GCA_002529365.1 | GCA_002529375.1 | GCA_002529425.1 | GCA_002753935.1 | GCA_002753955.1 | GCA_002753975.1 | GCA_002754015.1 | GCA_002754035.1 | GCA_002754055.1 | GCA_002754075.1 | GCA_002754095.1 | GCA_002754115.1 | GCA_002754135.1 | GCA_002754155.1 | GCA_002892555.1 | GCA_002892575.1 | GCA_002892595.1 | GCA_003514485.1 | GCA_003862255.1 | GCA_004214925.1 | GCA_004214945.1 | GCA_018141745.1 | GCA_018141765.1 | GCA_018141805.1 | GCA_021406605.1 | GCA_021406625.1 | GCA_021406645.1 | GCA_021406655.1 | GCA_021406685.1 | GCA_021406705.1 | GCA_021406725.1 | GCA_021406735.1 | GCA_021406745.1 | GCA_021406785.1 | GCA_021406795.1 | GCA_021406845.1</t>
  </si>
  <si>
    <t>Bacteroides gingivalis | Phylum: Bacteroidetes</t>
  </si>
  <si>
    <t>X73964</t>
  </si>
  <si>
    <t>1.78 - 2.11 Mbps</t>
  </si>
  <si>
    <t>GCA_900454815.1 | GCA_905372125.1 | GCA_938041855.1 | GCA_947097935.1 | GCA_000174815.1 | GCA_020097375.1</t>
  </si>
  <si>
    <t>Bacteroides endodontalis | Oral Clone AJ002 | Oral Clone BB134 | Phylum: Bacteroidetes</t>
  </si>
  <si>
    <t>AY005067 | AY005068</t>
  </si>
  <si>
    <t>1.91 - 2.10 Mbps</t>
  </si>
  <si>
    <t>GCA_938021195.1 | GCA_000318215.2 | GCA_000565015.1</t>
  </si>
  <si>
    <t>Oral Clone DS033 | Oral Strain THI-F0035 | Oribaculum catoniae | Phylum: Bacteroidetes</t>
  </si>
  <si>
    <t>AF366271 | X82823</t>
  </si>
  <si>
    <t>1.81 - 2.20 Mbps</t>
  </si>
  <si>
    <t>GCA_000183605.2 | GCA_000212375.1 | GCA_902406175.1 | GCA_938034265.1 | GCA_943914235.1</t>
  </si>
  <si>
    <t>Bacteroides asaccharolyticus | Bacteroides melaninogenicus | Phylum: Bacteroidetes</t>
  </si>
  <si>
    <t>L16490</t>
  </si>
  <si>
    <t>4.92 - 5.38 Mbps</t>
  </si>
  <si>
    <t>GCA_000012825.1 | GCA_008728395.1 | GCA_016766915.1 | GCA_016766935.1 | GCA_018289355.1 | GCA_024758205.1 | GCA_024759565.1 | GCA_024790365.1 | GCA_024792005.1 | GCA_024792655.1</t>
  </si>
  <si>
    <t>Bacteroides vulgatus</t>
  </si>
  <si>
    <t>Bacteroidaceae</t>
  </si>
  <si>
    <t>3.53 - 4.42 Mbps</t>
  </si>
  <si>
    <t>GCA_027686135.1 | GCA_027686485.1 | GCA_027693505.1 | GCA_902374375.1 | GCA_000187895.1 | GCA_003438305.1 | GCA_003469295.1 | GCA_003471645.1 | GCA_003474305.1 | GCA_003474535.1</t>
  </si>
  <si>
    <t>Bacteroides plebeius</t>
  </si>
  <si>
    <t>3.92 - 4.74 Mbps</t>
  </si>
  <si>
    <t>GCA_000373085.1 | GCA_000382445.1 | GCA_003435685.1 | GCA_003462285.1 | GCA_015560925.1 | GCA_023668195.1 | GCA_023668475.1 | GCA_027662465.1 | GCA_027683955.1 | GCA_902364735.1</t>
  </si>
  <si>
    <t>Bacteroides massiliensis</t>
  </si>
  <si>
    <t>5.31 - 5.63 Mbps</t>
  </si>
  <si>
    <t>GCA_025146415.1 | GCA_030122685.1 | GCA_001640865.1 | GCA_013009555.1 | GCA_013009675.1 | GCA_013009875.1 | GCA_013010095.1 | GCA_013010255.1 | GCA_013010365.1</t>
  </si>
  <si>
    <t>Bacteroides dorei</t>
  </si>
  <si>
    <t>2.36 - 2.54 Mbps</t>
  </si>
  <si>
    <t>GCA_000312445.1 | GCA_000442105.1 | GCA_905373595.1</t>
  </si>
  <si>
    <t>Oral Clone X083 | Oral Strain TFI-F0093 | Phylum: Bacteroidetes</t>
  </si>
  <si>
    <t>AY005066</t>
  </si>
  <si>
    <t>1.73 - 1.99 Mbps</t>
  </si>
  <si>
    <t>GCA_902496525.1 | GCA_938038625.1 | GCA_000147675.2 | GCA_016775375.1</t>
  </si>
  <si>
    <t>Oral Clone CK035 | Oral Strain TFI A21H2 | Phylum: Firmicutes</t>
  </si>
  <si>
    <t>AF287763 | DQ160208</t>
  </si>
  <si>
    <t>Peptostreptococcaceae</t>
  </si>
  <si>
    <t>Peptostreptococcales</t>
  </si>
  <si>
    <t>1.63 - 2.26 Mbps</t>
  </si>
  <si>
    <t>GCA_000178095.1 | GCA_000318115.1 | GCA_000381525.1 | GCA_000431415.1 | GCA_001553145.1 | GCA_001563595.1 | GCA_015548685.1 | GCA_018369655.1 | GCA_019013055.1 | GCA_020558055.1 | GCA_024462755.1 | GCA_028326405.1 | GCA_028326425.1 | GCA_028326445.1 | GCA_028326465.1 | GCA_028326485.1 | GCA_028326495.1 | GCA_028326525.1 | GCA_028326545.1 | GCA_028326565.1 | GCA_028326585.1 | GCA_028326605.1 | GCA_028326625.1 | GCA_028327965.1 | GCA_028327985.1 | GCA_028328025.1 | GCA_028328045.1 | GCA_028328065.1 | GCA_028328105.1 | GCA_030227555.1 | GCA_900115025.1 | GCA_900454605.1 | GCA_902461015.1 | GCA_905196715.1 | GCA_937974095.1 | GCA_946998135.1 | GCA_947086575.1 | GCA_947253115.1</t>
  </si>
  <si>
    <t>Phylum: Firmicutes | Streptococcus anaerob | Streptococcus anaerobius</t>
  </si>
  <si>
    <t>1.62 - 1.89 Mbps</t>
  </si>
  <si>
    <t>GCA_900106515.1 | GCA_900538825.1 | GCA_902481125.1 | GCA_946221985.1 | GCA_000246925.2 | GCA_018378045.1</t>
  </si>
  <si>
    <t>Nasal (Abundance: High) | Skin (Abundance: Medium)</t>
  </si>
  <si>
    <t>1.50 - 1.88 Mbps</t>
  </si>
  <si>
    <t>GCA_030223725.1 | GCA_030223765.1 | GCA_030228605.1 | GCA_900454715.1 | GCA_946999085.1 | GCA_947090595.1 | GCA_947253825.1 | GCA_000176955.1 | GCA_000179335.1 | GCA_000378725.1</t>
  </si>
  <si>
    <t>Phylum: Firmicutes | Strain F0141</t>
  </si>
  <si>
    <t>2.25 Mbps</t>
  </si>
  <si>
    <t>Micrococcus indolicus | Peptococcus indolicus | Peptostreptococcus indolicus | Phylum: Firmicutes | Schleiferella indolica</t>
  </si>
  <si>
    <t>NR_042753</t>
  </si>
  <si>
    <t>1.74 - 2.17 Mbps</t>
  </si>
  <si>
    <t>GCA_016403225.1 | GCA_016726485.1 | GCA_023614525.1 | GCA_030219285.1 | GCA_030223965.1 | GCA_030223985.1 | GCA_900454685.1 | GCA_900638565.1 | GCA_949769225.1</t>
  </si>
  <si>
    <t>Human-Associated, Primary Site Uncertain (Abundance: Medium) | Unassigned</t>
  </si>
  <si>
    <t>1.39 - 2.10 Mbps</t>
  </si>
  <si>
    <t>GCA_000311825.1 | GCA_001811425.1 | GCA_900539075.1 | GCA_902385805.1 | GCA_937980405.1</t>
  </si>
  <si>
    <t>2.23 - 2.32 Mbps</t>
  </si>
  <si>
    <t>GCA_900176115.1 | GCA_016791605.1</t>
  </si>
  <si>
    <t>Micrococcus asaccharolyticus | Peptococcus aerogenes | Peptococcus asaccharolyticus | Peptostreptococcus asaccharolyticus | Phylum: Firmicutes | Schleiferella asaccharolytica | Staphylococcus asaccharolyticus</t>
  </si>
  <si>
    <t>D14138</t>
  </si>
  <si>
    <t>AY134899</t>
  </si>
  <si>
    <t>bacterium HMT-790</t>
  </si>
  <si>
    <t>Peptoniphilaceae [G2]</t>
  </si>
  <si>
    <t>HMT-790</t>
  </si>
  <si>
    <t>1.19 - 2.09 Mbps</t>
  </si>
  <si>
    <t>GCA_000467935.1 | GCA_905373735.1 | GCA_937925075.1</t>
  </si>
  <si>
    <t>Oral Clone DA014 | Phylum: Firmicutes</t>
  </si>
  <si>
    <t>AF287766</t>
  </si>
  <si>
    <t>Oral Clone I070 | Phylum: Firmicutes</t>
  </si>
  <si>
    <t>AF287780</t>
  </si>
  <si>
    <t>sp. HMT-168</t>
  </si>
  <si>
    <t>Peptococcus</t>
  </si>
  <si>
    <t>Peptococcaceae</t>
  </si>
  <si>
    <t>HMT-168</t>
  </si>
  <si>
    <t>Oral Clone MCE10_265 | Oral StrainsGEA8 | Phylum: Firmicutes</t>
  </si>
  <si>
    <t>AF481224</t>
  </si>
  <si>
    <t>sp. HMT-167</t>
  </si>
  <si>
    <t>HMT-167</t>
  </si>
  <si>
    <t>Eubacterium yurii subsp. margaratiae | Eubacterium yurii subsp. yurii | Phylum: Firmicutes</t>
  </si>
  <si>
    <t>L34629</t>
  </si>
  <si>
    <t>subsps. yurii</t>
  </si>
  <si>
    <t>yurii</t>
  </si>
  <si>
    <t>Filifactoraceae</t>
  </si>
  <si>
    <t>HMT-377</t>
  </si>
  <si>
    <t>Eubacterium yurii | Oral Strain TFI A3MT | Phylum: Firmicutes</t>
  </si>
  <si>
    <t>AF287765</t>
  </si>
  <si>
    <t>subsp. schtitka</t>
  </si>
  <si>
    <t>HMT-106</t>
  </si>
  <si>
    <t>2.33 - 2.60 Mbps</t>
  </si>
  <si>
    <t>GCA_000238095.2 | GCA_000238115.1 | GCA_000238135.1 | GCA_000293035.1 | GCA_013394875.1</t>
  </si>
  <si>
    <t>Clone BB142 | Phylum: Firmicutes</t>
  </si>
  <si>
    <t>AF287764</t>
  </si>
  <si>
    <t>JF212838</t>
  </si>
  <si>
    <t>sp. HMT-922</t>
  </si>
  <si>
    <t>HMT-922</t>
  </si>
  <si>
    <t>2.51 - 2.65 Mbps</t>
  </si>
  <si>
    <t>GCA_900167215.1 | GCA_000146855.1 | GCA_000287695.1</t>
  </si>
  <si>
    <t>2.20 - 2.41 Mbps</t>
  </si>
  <si>
    <t>GCA_000466165.1 | GCA_905372705.1 | GCA_927911685.1 | GCA_937927035.1</t>
  </si>
  <si>
    <t>Class: Actinomycetia | Oral Clone EL030 | Oral Strain P2P_19 | Phylum: Actinobacteria</t>
  </si>
  <si>
    <t>AY008311 | AY207066</t>
  </si>
  <si>
    <t>2.52 - 2.54 Mbps</t>
  </si>
  <si>
    <t>GCA_000162895.1 | GCA_001652275.1 | GCA_005886335.1 | GCA_938045425.1</t>
  </si>
  <si>
    <t>GQ131416</t>
  </si>
  <si>
    <t>GQ023217</t>
  </si>
  <si>
    <t>sp. HMT-933</t>
  </si>
  <si>
    <t>Pedobacter</t>
  </si>
  <si>
    <t>Sphingobacteriaceae</t>
  </si>
  <si>
    <t>Sphingobacteriales</t>
  </si>
  <si>
    <t>Sphingobacteriia</t>
  </si>
  <si>
    <t>HMT-933</t>
  </si>
  <si>
    <t>Oral Clone AZ123 | Phylum: Bacteroidetes</t>
  </si>
  <si>
    <t>AF385549</t>
  </si>
  <si>
    <t>sp. HMT-321</t>
  </si>
  <si>
    <t>HMT-321</t>
  </si>
  <si>
    <t>Oral Clone AV100 | Phylum: Bacteroidetes</t>
  </si>
  <si>
    <t>AF385531</t>
  </si>
  <si>
    <t>sp. HMT-318</t>
  </si>
  <si>
    <t>HMT-318</t>
  </si>
  <si>
    <t>0.893 - 0.964 Mbps</t>
  </si>
  <si>
    <t>GCA_003260345.1 | GCA_013332525.2 | GCA_030530435.1 | GCA_916720625.1 | GCA_937876545.1</t>
  </si>
  <si>
    <t>Phylum: Gracilibacteria_(GN02)</t>
  </si>
  <si>
    <t>Patescibacteria [C1 O1 F1]</t>
  </si>
  <si>
    <t>Patescibacteria [C1 O1]</t>
  </si>
  <si>
    <t>Patescibacteria [C1]</t>
  </si>
  <si>
    <t>1.04 Mbps</t>
  </si>
  <si>
    <t>1.01 - 1.18 Mbps</t>
  </si>
  <si>
    <t>GCA_002761215.1 | GCA_013333755.2</t>
  </si>
  <si>
    <t>0.811 Mbps</t>
  </si>
  <si>
    <t>Parvisynbacteraceae</t>
  </si>
  <si>
    <t>0.721 - 0.927 Mbps</t>
  </si>
  <si>
    <t>GCA_013333055.2 | GCA_013333575.2 | GCA_013333815.2 | GCA_015257545.1 | GCA_015257555.2 | GCA_015257575.1</t>
  </si>
  <si>
    <t>Oral Clone BN036 | Phylum: Saccharibacteria_(TM7)</t>
  </si>
  <si>
    <t>GQ422738</t>
  </si>
  <si>
    <t>1.48 Mbps</t>
  </si>
  <si>
    <t>Oral Strain KCL-P4P_31 | Oral Strain KCL-W5159 | Phylum: Firmicutes</t>
  </si>
  <si>
    <t>AY207059</t>
  </si>
  <si>
    <t>1.19 - 1.56 Mbps</t>
  </si>
  <si>
    <t>GCA_000214475.2 | GCA_015263205.1 | GCA_015263255.1</t>
  </si>
  <si>
    <t>Oral Clone AJ062 | Oral Clone FJ023 | Oral Clone HE064 | Phylum: Firmicutes</t>
  </si>
  <si>
    <t>AF287767 | AY349390</t>
  </si>
  <si>
    <t>1.53 - 1.77 Mbps</t>
  </si>
  <si>
    <t>GCA_000154405.1 | GCA_000493795.1 | GCA_000800295.1 | GCA_003454775.1 | GCA_003938725.1 | GCA_008633155.1 | GCA_015263295.1 | GCA_023147965.1 | GCA_023148065.1 | GCA_023148105.1 | GCA_023148225.1 | GCA_027460305.1 | GCA_027460315.1 | GCA_027460345.1 | GCA_027460365.1 | GCA_027474905.1 | GCA_027474925.1 | GCA_027474945.1 | GCA_027474965.1 | GCA_027474985.1 | GCA_027475005.1 | GCA_027475025.1 | GCA_900637905.1 | GCA_902373675.1 | GCA_905198105.1 | GCA_905373815.1 | GCA_938030085.1</t>
  </si>
  <si>
    <t>Diplococcus glycinophilus | Micromonas micros | Peptococcus glycinophilus | Peptostreptococcus micros | Phylum: Firmicutes | Streptococcus anaerobius | Streptococcus micros</t>
  </si>
  <si>
    <t>AF385543 | AF385559</t>
  </si>
  <si>
    <t>1.83 - 2.00 Mbps</t>
  </si>
  <si>
    <t>GCA_905371955.1 | GCA_938044075.1 | GCA_000163835.1 | GCA_000191785.1 | GCA_000269845.1 | GCA_001042675.1</t>
  </si>
  <si>
    <t>Bifidobacterium denticolens | Class: Actinomycetia | Phylum: Actinobacteria</t>
  </si>
  <si>
    <t>D89331</t>
  </si>
  <si>
    <t>3.59 - 4.83 Mbps</t>
  </si>
  <si>
    <t>GCA_000622145.1 | GCA_002073635.2 | GCA_002196965.1 | GCA_002749495.1 | GCA_003285265.1 | GCA_003612915.1 | GCA_008693865.1 | GCA_019748455.1 | GCA_904423865.1 | GCA_943912945.1</t>
  </si>
  <si>
    <t>Family: Rhodobacteraceae | Phylum: Proteobacteria</t>
  </si>
  <si>
    <t>4.37 - 5.20 Mbps</t>
  </si>
  <si>
    <t>GCA_003470675.1 | GCA_018289315.1 | GCA_020091365.1 | GCA_020735605.1 | GCA_022835275.1 | GCA_024125345.1 | GCA_024592595.1 | GCA_024791515.1 | GCA_025151215.1 | GCA_900445495.1</t>
  </si>
  <si>
    <t>4.81 - 5.39 Mbps</t>
  </si>
  <si>
    <t>GCA_024758245.1 | GCA_030875795.1 | GCA_900683725.1 | GCA_000012845.1 | GCA_006149185.1 | GCA_012851305.1 | GCA_013267615.1 | GCA_016888905.1 | GCA_018292145.1 | GCA_020735945.1</t>
  </si>
  <si>
    <t>2.11 - 2.14 Mbps</t>
  </si>
  <si>
    <t>GCA_000163695.1 | GCA_905372485.1 | GCA_937922685.1</t>
  </si>
  <si>
    <t>Oral Clone AU126 [1-3] | Oral Strain KCL-W5603 | Oral Strain TFI-F0058 | Phylum: Bacteroidetes</t>
  </si>
  <si>
    <t>AY005072</t>
  </si>
  <si>
    <t>Paludibacteraceae</t>
  </si>
  <si>
    <t>6.74 - 6.93 Mbps</t>
  </si>
  <si>
    <t>GCA_019748915.1 | GCA_900099765.1</t>
  </si>
  <si>
    <t>Oral Clone CA007 | Phylum: Firmicutes</t>
  </si>
  <si>
    <t>AF385540</t>
  </si>
  <si>
    <t>Paenibacillaceae</t>
  </si>
  <si>
    <t>4.56 - 5.10 Mbps</t>
  </si>
  <si>
    <t>GCA_025151705.1 | GCA_027665525.1 | GCA_000159955.1</t>
  </si>
  <si>
    <t>TBS [AM283040]</t>
  </si>
  <si>
    <t>NBRC 106274</t>
  </si>
  <si>
    <t>5.90 - 7.13 Mbps</t>
  </si>
  <si>
    <t>GCA_000193415.2 | GCA_000517885.1 | GCA_001632305.1 | GCA_001633025.1 | GCA_001955865.1 | GCA_003033945.1 | GCA_003184205.1 | GCA_004000885.1 | GCA_009377295.1 | GCA_029893715.1</t>
  </si>
  <si>
    <t>4.15 - 4.19 Mbps</t>
  </si>
  <si>
    <t>GCA_001298675.1 | GCA_900116825.1</t>
  </si>
  <si>
    <t>2.58 - 2.93 Mbps</t>
  </si>
  <si>
    <t>GCA_029813755.1 | GCA_900240305.1 | GCA_947096235.1 | GCA_001262075.1</t>
  </si>
  <si>
    <t>Comamonadaceae bacterium clone BL117 | Comamonadaceae bacterium K1 | Phylum: Proteobacteria</t>
  </si>
  <si>
    <t>JQ406530</t>
  </si>
  <si>
    <t>3.53 - 3.55 Mbps</t>
  </si>
  <si>
    <t>GCA_001307855.1 | GCA_008274805.1</t>
  </si>
  <si>
    <t>Phylum: Proteobacteria | Strain TFI A08KA</t>
  </si>
  <si>
    <t>AY005031</t>
  </si>
  <si>
    <t>Rhodocyclaceae</t>
  </si>
  <si>
    <t>Rhodocyclales</t>
  </si>
  <si>
    <t>Oral Clone FB046 | Oral Clone MCE7_60 | Phylum: Firmicutes</t>
  </si>
  <si>
    <t>AF481218</t>
  </si>
  <si>
    <t>2.65 - 2.69 Mbps</t>
  </si>
  <si>
    <t>GCA_938031325.1 | GCA_000160135.1 | GCA_000469565.1</t>
  </si>
  <si>
    <t>Oral Clone AO068 | Phylum: Firmicutes | Strain F0190</t>
  </si>
  <si>
    <t>AF287771</t>
  </si>
  <si>
    <t>2.22 - 2.73 Mbps</t>
  </si>
  <si>
    <t>GCA_902481605.1 | GCA_937906745.1 | GCA_938044185.1 | GCA_000160635.1 | GCA_014202695.1 | GCA_015263305.1</t>
  </si>
  <si>
    <t>Oral Clone JN088 | Phylum: Firmicutes</t>
  </si>
  <si>
    <t>AF481222 | AY349377</t>
  </si>
  <si>
    <t>1.54 - 2.48 Mbps</t>
  </si>
  <si>
    <t>GCA_000238055.2 | GCA_000277505.1 | GCA_916438325.1</t>
  </si>
  <si>
    <t>NR_125570</t>
  </si>
  <si>
    <t>2.52 - 2.52 Mbps</t>
  </si>
  <si>
    <t>GCA_000214455.2 | GCA_000238075.1</t>
  </si>
  <si>
    <t>Oral Strain TFI FTB41 | Phylum: Firmicutes</t>
  </si>
  <si>
    <t>AF287770</t>
  </si>
  <si>
    <t>2.05 - 2.28 Mbps</t>
  </si>
  <si>
    <t>GCA_938017755.1 | GCA_000143845.1 | GCA_000524335.1 | GCA_001437585.1 | GCA_018376335.1</t>
  </si>
  <si>
    <t>Atopobium uli | Lactobacillus uli | Phylum: Actinobacteria</t>
  </si>
  <si>
    <t>AF292373</t>
  </si>
  <si>
    <t>Atopobiaceae</t>
  </si>
  <si>
    <t>Coriobacteriales</t>
  </si>
  <si>
    <t>Phylum: Actinobacteria</t>
  </si>
  <si>
    <t>HM312362</t>
  </si>
  <si>
    <t>sp. HMT-939</t>
  </si>
  <si>
    <t>HMT-939</t>
  </si>
  <si>
    <t>2.80 - 3.21 Mbps</t>
  </si>
  <si>
    <t>GCA_001189515.2 | GCA_905371905.1 | GCA_938046675.1</t>
  </si>
  <si>
    <t>F0004 | Phylum: Actinobacteria</t>
  </si>
  <si>
    <t>EU592964</t>
  </si>
  <si>
    <t>2.62 - 2.72 Mbps</t>
  </si>
  <si>
    <t>GCA_030811115.1 | GCA_937957905.1 | GCA_000468755.1</t>
  </si>
  <si>
    <t>AF292374</t>
  </si>
  <si>
    <t>2.13 - 2.28 Mbps</t>
  </si>
  <si>
    <t>GCA_900120385.1 | GCA_959602185.1 | GCA_000233535.1 | GCA_001553055.1</t>
  </si>
  <si>
    <t>F0206 | Phylum: Actinobacteria</t>
  </si>
  <si>
    <t>EU592965</t>
  </si>
  <si>
    <t>1.95 Mbps</t>
  </si>
  <si>
    <t>EU592966</t>
  </si>
  <si>
    <t>Vaginal (Abundance: Scarce) | Unassigned</t>
  </si>
  <si>
    <t>Coriobacteriaceae</t>
  </si>
  <si>
    <t>Phylum: Bacteroidetes | Porphyromonadaceae bacterium clone DL325 | Porphyromonodaceae bacterium K1</t>
  </si>
  <si>
    <t>JQ406540</t>
  </si>
  <si>
    <t>bacterium HMT-911</t>
  </si>
  <si>
    <t>Odoribacteraceae [G7]</t>
  </si>
  <si>
    <t>Odoribacteraceae</t>
  </si>
  <si>
    <t>HMT-911</t>
  </si>
  <si>
    <t>Oral Clone MB3_C19 | Phylum: Bacteroidetes</t>
  </si>
  <si>
    <t>DQ003634</t>
  </si>
  <si>
    <t>bacterium HMT-511</t>
  </si>
  <si>
    <t>Odoribacteraceae [G5]</t>
  </si>
  <si>
    <t>HMT-511</t>
  </si>
  <si>
    <t>Oral Clone MB2_G17 | Phylum: Bacteroidetes</t>
  </si>
  <si>
    <t>DQ003617</t>
  </si>
  <si>
    <t>bacterium HMT-507</t>
  </si>
  <si>
    <t>HMT-507</t>
  </si>
  <si>
    <t>Bacteroidales genomosp. P3 | Oral Clone MB1_G34 | Phylum: Bacteroidetes</t>
  </si>
  <si>
    <t>DQ003615</t>
  </si>
  <si>
    <t>bacterium HMT-505</t>
  </si>
  <si>
    <t>HMT-505</t>
  </si>
  <si>
    <t>Oral Clone MB2_P04 | Phylum: Bacteroidetes</t>
  </si>
  <si>
    <t>DQ003619</t>
  </si>
  <si>
    <t>bacterium HMT-509</t>
  </si>
  <si>
    <t>Odoribacteraceae [G4]</t>
  </si>
  <si>
    <t>HMT-509</t>
  </si>
  <si>
    <t>Bacteroidales bacterium clone BL234 | Bacteroidales bacterium K1 | Phylum: Bacteroidetes</t>
  </si>
  <si>
    <t>JQ406536</t>
  </si>
  <si>
    <t>bacterium HMT-899</t>
  </si>
  <si>
    <t>Odoribacteraceae [G3]</t>
  </si>
  <si>
    <t>HMT-899</t>
  </si>
  <si>
    <t>Oral Clone MB1_G13 | Phylum: Bacteroidetes</t>
  </si>
  <si>
    <t>DQ003613</t>
  </si>
  <si>
    <t>bacterium HMT-503</t>
  </si>
  <si>
    <t>HMT-503</t>
  </si>
  <si>
    <t>Oral Clone P4PB_06 | Phylum: Bacteroidetes</t>
  </si>
  <si>
    <t>AY341819</t>
  </si>
  <si>
    <t>bacterium HMT-436</t>
  </si>
  <si>
    <t>HMT-436</t>
  </si>
  <si>
    <t>Bacteroidales genomosp. P8 | Oral Clone MB4_G15 | Oral Clone MCE7_164 | Phylum: Bacteroidetes</t>
  </si>
  <si>
    <t>AF481206 | DQ003626</t>
  </si>
  <si>
    <t>bacterium HMT-365</t>
  </si>
  <si>
    <t>HMT-365</t>
  </si>
  <si>
    <t>Oral Clone DA065 | Phylum: Bacteroidetes</t>
  </si>
  <si>
    <t>AY005070</t>
  </si>
  <si>
    <t>bacterium HMT-281</t>
  </si>
  <si>
    <t>HMT-281</t>
  </si>
  <si>
    <t>Oral Clone DA064 | Phylum: Bacteroidetes</t>
  </si>
  <si>
    <t>AY005071</t>
  </si>
  <si>
    <t>bacterium HMT-280</t>
  </si>
  <si>
    <t>HMT-280</t>
  </si>
  <si>
    <t>Oral clone MB3_P19 | Phylum: Bacteroidetes</t>
  </si>
  <si>
    <t>DQ003623</t>
  </si>
  <si>
    <t>sp. HMT-516</t>
  </si>
  <si>
    <t>Odoribacter</t>
  </si>
  <si>
    <t>HMT-516</t>
  </si>
  <si>
    <t>5.29 - 6.17 Mbps</t>
  </si>
  <si>
    <t>GCA_002149965.1 | GCA_003241455.1 | GCA_009811895.1</t>
  </si>
  <si>
    <t>Erythrobacteraceae</t>
  </si>
  <si>
    <t>Oral Clone FI012 | Phylum: Proteobacteria</t>
  </si>
  <si>
    <t>AY349411</t>
  </si>
  <si>
    <t>humi</t>
  </si>
  <si>
    <t>HMT-006</t>
  </si>
  <si>
    <t>Nasal (Abundance: Medium) | Skin (Abundance: Medium)</t>
  </si>
  <si>
    <t>bacterium HMT-327</t>
  </si>
  <si>
    <t>Neisseriaceae [G1]</t>
  </si>
  <si>
    <t>HMT-327</t>
  </si>
  <si>
    <t>bacterium HMT-174</t>
  </si>
  <si>
    <t>HMT-174</t>
  </si>
  <si>
    <t>2.13 - 2.24 Mbps</t>
  </si>
  <si>
    <t>GCA_900086555.1 | GCA_900638685.1 | GCA_963396185.1 | GCA_000224255.2 | GCA_000224275.2 | GCA_003044545.1 | GCA_003044885.1 | GCA_003044905.1 | GCA_003044995.1</t>
  </si>
  <si>
    <t>CDC group M-5 | Phylum: Proteobacteria</t>
  </si>
  <si>
    <t>L10738</t>
  </si>
  <si>
    <t>Environmental -Non-Human Animal (Abundance: Scarce) | Zoonotic Pathogen (Abundance: Scarce)</t>
  </si>
  <si>
    <t>1.84 - 2.46 Mbps</t>
  </si>
  <si>
    <t>GCA_000175275.1 | GCA_000186165.1 | GCA_000763635.1 | GCA_001061215.1 | GCA_001064605.1 | GCA_001064635.1 | GCA_001065565.1 | GCA_001065605.1 | GCA_001066195.1 | GCA_001067255.1 | GCA_001067315.1 | GCA_001067535.1 | GCA_001808255.1 | GCA_001809585.1 | GCA_001810165.1 | GCA_001812605.1 | GCA_001812735.1 | GCA_001815615.1 | GCA_001815685.1 | GCA_001836705.1 | GCA_001836795.1 | GCA_001837245.1 | GCA_001837375.1 | GCA_001837635.1 | GCA_001838065.1 | GCA_003044385.1 | GCA_003044505.1 | GCA_003044645.1 | GCA_003044665.1 | GCA_003044845.1 | GCA_003044935.1 | GCA_003044965.1 | GCA_003045025.1 | GCA_005221305.1 | GCA_013267835.1 | GCA_014596395.2 | GCA_014596425.2 | GCA_015263395.1 | GCA_015263565.1 | GCA_015263585.1 | GCA_015263665.1 | GCA_018373375.1 | GCA_019334725.1 | GCA_019334765.1 | GCA_019815145.1 | GCA_023635035.1 | GCA_023635065.1 | GCA_023635105.1 | GCA_024205685.1 | GCA_030218065.1 | GCA_031190635.1 | GCA_900654195.1 | GCA_901875325.1 | GCA_905194225.1 | GCA_905370215.1 | GCA_905370285.1 | GCA_905371675.1 | GCA_916049695.1 | GCA_916049965.1 | GCA_916050365.1 | GCA_916438255.1 | GCA_916709955.1 | GCA_934216645.1 | GCA_943912805.1 | GCA_947098785.1 | GCA_963395005.1 | GCA_963395055.1 | GCA_963396205.1 | GCA_963396215.1 | GCA_963396225.1 | GCA_963396245.1 | GCA_963396255.1 | GCA_963396265.1</t>
  </si>
  <si>
    <t>Micrococcus subflavus | Phylum: Proteobacteria</t>
  </si>
  <si>
    <t>AJ239291</t>
  </si>
  <si>
    <t>Oral Clone MB5_P15 | Phylum: Proteobacteria</t>
  </si>
  <si>
    <t>DQ003630</t>
  </si>
  <si>
    <t>sp. HMT-523</t>
  </si>
  <si>
    <t>HMT-523</t>
  </si>
  <si>
    <t>Oral Clone JC012 | Phylum: Proteobacteria</t>
  </si>
  <si>
    <t>AY349388</t>
  </si>
  <si>
    <t>sp. HMT-499</t>
  </si>
  <si>
    <t>HMT-499</t>
  </si>
  <si>
    <t>2.36 - 2.37 Mbps</t>
  </si>
  <si>
    <t>GCA_000318235.2 | GCA_002237445.1</t>
  </si>
  <si>
    <t>Phylum: Proteobacteria | Strain TFI B33KA</t>
  </si>
  <si>
    <t>AY005028</t>
  </si>
  <si>
    <t>Oral Clone AP132 | Phylum: Proteobacteria</t>
  </si>
  <si>
    <t>AY005027</t>
  </si>
  <si>
    <t>sp. HMT-018</t>
  </si>
  <si>
    <t>HMT-018</t>
  </si>
  <si>
    <t>2.42 - 2.86 Mbps</t>
  </si>
  <si>
    <t>GCA_901873385.1 | GCA_000174655.1 | GCA_000193735.2 | GCA_000260655.1 | GCA_001808875.1 | GCA_001813335.1 | GCA_003044425.1 | GCA_003044565.1 | GCA_014054945.1</t>
  </si>
  <si>
    <t>Diplococcos pharyngis | Diplococcus siccus | Phylum: Proteobacteria</t>
  </si>
  <si>
    <t>AJ239292</t>
  </si>
  <si>
    <t>1.99 - 2.20 Mbps</t>
  </si>
  <si>
    <t>GCA_000176735.1 | GCA_000193775.2 | GCA_003045035.1 | GCA_003355195.1 | GCA_003495225.1 | GCA_015711285.1 | GCA_018224585.1 | GCA_962707545.1 | GCA_962713235.1 | GCA_962715115.1 | GCA_962715145.1 | GCA_962719605.1 | GCA_962720465.1 | GCA_962724685.1 | GCA_962724695.1 | GCA_962728725.1 | GCA_962728865.1 | GCA_962728915.1 | GCA_962729065.1 | GCA_962746765.1 | GCA_962747745.1 | GCA_962747755.1 | GCA_962747925.1 | GCA_963392915.1 | GCA_963392925.1 | GCA_963392945.1 | GCA_963392955.1 | GCA_963392985.1 | GCA_963393065.1 | GCA_963393115.1 | GCA_963393145.1 | GCA_963393175.1 | GCA_963393195.1 | GCA_963394855.1 | GCA_963394865.1 | GCA_963394875.1 | GCA_963394905.1</t>
  </si>
  <si>
    <t>Neisseria polysacchareae | Phylum: Proteobacteria</t>
  </si>
  <si>
    <t>L06167</t>
  </si>
  <si>
    <t>2.14 - 2.42 Mbps</t>
  </si>
  <si>
    <t>GCA_023472875.1 | GCA_900654165.1 | GCA_902485275.1 | GCA_905371485.1 | GCA_916048815.1 | GCA_916050295.1 | GCA_927911295.1 | GCA_937936115.1 | GCA_963394995.1 | GCA_000173955.1 | GCA_001060175.1 | GCA_001061795.1 | GCA_001063405.1 | GCA_001809345.1 | GCA_001810035.1 | GCA_001811065.1 | GCA_001811365.1 | GCA_001811855.1 | GCA_001811945.1 | GCA_001812055.1 | GCA_001812725.1 | GCA_001812885.1 | GCA_001814095.1 | GCA_001814445.1 | GCA_001815375.1 | GCA_001836315.1 | GCA_001837365.1 | GCA_001838135.1 | GCA_002847985.1 | GCA_002863305.2 | GCA_003044355.1 | GCA_003044525.1 | GCA_003044585.1 | GCA_003044925.1 | GCA_003351665.1 | GCA_015263375.1 | GCA_015263545.1</t>
  </si>
  <si>
    <t>2.41 - 2.52 Mbps</t>
  </si>
  <si>
    <t>GCA_000090875.1 | GCA_005886145.1 | GCA_905372545.1 | GCA_938029425.1</t>
  </si>
  <si>
    <t>Neisseria sp. F0314 | Neisseria sp. oral taxon 014 | Oral Clone AP015 | Oral Clone AP085 | Phylum: Proteobacteria</t>
  </si>
  <si>
    <t>AY005023 | AY005025 | GQ131417 | JN104029</t>
  </si>
  <si>
    <t>6332 | DSM 25276 | LMG 26725</t>
  </si>
  <si>
    <t>2.32 - 2.78 Mbps</t>
  </si>
  <si>
    <t>GCA_030216405.1 | GCA_030226275.1 | GCA_900454435.1 | GCA_900654175.1 | GCA_905372215.1 | GCA_963394835.1 | GCA_963394975.1 | GCA_000173875.1 | GCA_001063455.1 | GCA_001807625.1 | GCA_001809245.1 | GCA_001809595.1 | GCA_001838365.1 | GCA_001838375.1 | GCA_002073715.2 | GCA_003028315.1 | GCA_003044395.1 | GCA_003044445.1 | GCA_003044765.1 | GCA_007667085.1 | GCA_007667125.1 | GCA_018373235.1</t>
  </si>
  <si>
    <t>Diplococcus mucosus | Phylum: Proteobacteria</t>
  </si>
  <si>
    <t>AJ239282</t>
  </si>
  <si>
    <t>2.15 - 2.40 Mbps</t>
  </si>
  <si>
    <t>GCA_022869645.1 | GCA_900638555.1 | GCA_000008805.1 | GCA_000009105.1 | GCA_000014105.1 | GCA_000026965.1 | GCA_000083565.1 | GCA_000191425.1 | GCA_000191465.1 | GCA_000191485.1 | GCA_000191505.1 | GCA_000191525.1 | GCA_000253215.1 | GCA_000626595.1 | GCA_000787195.2 | GCA_000800235.1 | GCA_000800275.1 | GCA_000800315.1 | GCA_000800355.1 | GCA_000800415.1 | GCA_001029815.1 | GCA_001697105.1 | GCA_001697125.1 | GCA_001697165.1 | GCA_001697205.1 | GCA_001697305.1 | GCA_001697325.1 | GCA_001697345.1 | GCA_001697365.1 | GCA_001697385.1 | GCA_001697405.1 | GCA_001697425.1 | GCA_001697465.1 | GCA_001697485.1 | GCA_001697545.1 | GCA_001697565.1 | GCA_001697585.1 | GCA_001697605.1 | GCA_001697625.1 | GCA_001697645.1 | GCA_001697665.1 | GCA_001697685.1 | GCA_001697705.1 | GCA_001697725.1 | GCA_001697745.1 | GCA_001697765.1 | GCA_001697805.1 | GCA_001697825.1 | GCA_001697845.1 | GCA_001697865.1 | GCA_001697885.1 | GCA_001697925.1 | GCA_001697945.1 | GCA_001697965.1 | GCA_001697985.1 | GCA_001698025.1 | GCA_001698045.1 | GCA_001698065.1 | GCA_001698085.1 | GCA_001750825.1 | GCA_001974965.1 | GCA_002073235.2 | GCA_002073275.2 | GCA_002073555.2 | GCA_002073575.2 | GCA_002073595.2 | GCA_002073675.2 | GCA_002075815.1 | GCA_002556585.1 | GCA_002951575.1 | GCA_003355255.1 | GCA_003355275.1 | GCA_003355295.1 | GCA_003355315.1 | GCA_003355335.1 | GCA_003355395.1 | GCA_003355435.1 | GCA_008329765.1 | GCA_008330745.1 | GCA_008330765.1 | GCA_008330785.1 | GCA_008330805.1 | GCA_008330865.1 | GCA_008330885.1 | GCA_008330905.1 | GCA_009664675.1 | GCA_009664695.1 | GCA_015679665.1 | GCA_015679705.1 | GCA_015679735.1 | GCA_015679815.1 | GCA_015679845.1 | GCA_015679865.1 | GCA_015679885.1 | GCA_015679905.1 | GCA_015679925.1 | GCA_015732665.1 | GCA_015732685.1 | GCA_017347365.1</t>
  </si>
  <si>
    <t>Diplokokkus intracellularis | Micrococcus intracellularis | Micrococcus meningitidis | Neisseria weichselbaumii | Phylum: Proteobacteria</t>
  </si>
  <si>
    <t>AF382273</t>
  </si>
  <si>
    <t>2.73 - 2.80 Mbps</t>
  </si>
  <si>
    <t>GCA_000220865.1 | GCA_022749495.1 | GCA_902374455.1 | GCA_963394935.1</t>
  </si>
  <si>
    <t>2.02 - 2.30 Mbps</t>
  </si>
  <si>
    <t>GCA_000173995.1 | GCA_000180595.1 | GCA_000193795.2 | GCA_000196295.1 | GCA_000741965.1 | GCA_002022745.1 | GCA_002318615.1 | GCA_003351565.1 | GCA_003492145.1 | GCA_003492155.1 | GCA_003492195.1 | GCA_003492345.1 | GCA_003492385.1 | GCA_003492425.1 | GCA_003492465.1 | GCA_003492555.1 | GCA_003492625.1 | GCA_003492765.1 | GCA_003492775.1 | GCA_003492845.1 | GCA_003492865.1 | GCA_003492955.1 | GCA_003493045.1 | GCA_003493185.1 | GCA_003493215.1 | GCA_003493855.1 | GCA_003495405.1 | GCA_003495565.1 | GCA_003495575.1 | GCA_003495835.1 | GCA_003496195.1 | GCA_003496425.1 | GCA_003496485.1 | GCA_003496665.1 | GCA_900454095.1 | GCA_900454145.1 | GCA_901482445.1 | GCA_963394815.1 | GCA_963394845.1 | GCA_963394895.1 | GCA_963395025.1</t>
  </si>
  <si>
    <t>Neisseria lactamicus | Phylum: Proteobacteria</t>
  </si>
  <si>
    <t>AJ239286</t>
  </si>
  <si>
    <t>2.14 - 2.26 Mbps</t>
  </si>
  <si>
    <t>GCA_001047275.1 | GCA_003315235.1 | GCA_004332555.2 | GCA_016802425.1 | GCA_021193625.2 | GCA_025170155.2 | GCA_025170665.2 | GCA_030644965.1 | GCA_900087685.2 | GCA_900186935.1</t>
  </si>
  <si>
    <t>Diplococcus gonorrhoeae | Gonococcus neisseri | Merismopedia gonorrhoeae | Micrococcus der gonorrhoe | Micrococcus gonococcus | Micrococcus gonorrhoeae | Phylum: Proteobacteria</t>
  </si>
  <si>
    <t>X07714</t>
  </si>
  <si>
    <t>2.15 - 2.42 Mbps</t>
  </si>
  <si>
    <t>GCA_000173935.1 | GCA_001618015.1 | GCA_001618065.1 | GCA_001618075.1 | GCA_001618085.1 | GCA_001810105.1 | GCA_001837185.1 | GCA_005221285.1 | GCA_014596365.2 | GCA_023635085.1 | GCA_024205725.1 | GCA_024205745.1 | GCA_024205785.1 | GCA_900453805.1 | GCA_900453905.1 | GCA_900454015.1 | GCA_901873995.1 | GCA_905205105.1 | GCA_905369895.1 | GCA_916709915.1 | GCA_934216815.1 | GCA_963394955.1 | GCA_963394965.1</t>
  </si>
  <si>
    <t>AJ239280</t>
  </si>
  <si>
    <t>2.19 - 2.60 Mbps</t>
  </si>
  <si>
    <t>GCA_916438715.1 | GCA_937975755.1 | GCA_001812225.1 | GCA_002863285.1 | GCA_003044345.1 | GCA_015263535.1 | GCA_017753665.1 | GCA_019815155.1</t>
  </si>
  <si>
    <t>AJ239301</t>
  </si>
  <si>
    <t>2.04 - 2.59 Mbps</t>
  </si>
  <si>
    <t>GCA_900113545.1 | GCA_900453895.1 | GCA_900475815.1 | GCA_905371655.1 | GCA_915066195.1 | GCA_938046305.1 | GCA_000176755.2 | GCA_000818035.1 | GCA_001061435.1 | GCA_001064875.1 | GCA_001064935.1 | GCA_001807735.1 | GCA_003044605.1 | GCA_003044625.1 | GCA_003044725.1 | GCA_003044785.1 | GCA_003044985.1 | GCA_003351545.1 | GCA_003351685.1 | GCA_016900855.1</t>
  </si>
  <si>
    <t>L06171</t>
  </si>
  <si>
    <t>1.79 - 2.00 Mbps</t>
  </si>
  <si>
    <t>GCA_000173895.1 | GCA_003044675.1 | GCA_003044745.1 | GCA_003044825.1 | GCA_003044855.1 | GCA_014596375.1 | GCA_016028715.1 | GCA_021025975.1 | GCA_900475315.1 | GCA_963394825.1 | GCA_963394925.1 | GCA_963394945.1 | GCA_963395045.1</t>
  </si>
  <si>
    <t>2.20 - 2.49 Mbps</t>
  </si>
  <si>
    <t>GCA_937890425.1 | GCA_000194925.1 | GCA_001063965.1 | GCA_001067635.1 | GCA_014055025.1</t>
  </si>
  <si>
    <t>Oral Clone AK105 | Phylum: Proteobacteria</t>
  </si>
  <si>
    <t>AY005029</t>
  </si>
  <si>
    <t>0.622 - 0.826 Mbps</t>
  </si>
  <si>
    <t>GCA_007845135.1 | GCA_013332965.2 | GCA_013333155.2 | GCA_013333205.2 | GCA_013333375.2 | GCA_013333415.2 | GCA_015257505.1</t>
  </si>
  <si>
    <t>Nanosyncoccaceae</t>
  </si>
  <si>
    <t>0.620 - 0.738 Mbps</t>
  </si>
  <si>
    <t>GCA_007845165.1 | GCA_013332955.2 | GCA_013333135.2 | GCA_015257445.1 | GCA_015257455.1 | GCA_015257485.1</t>
  </si>
  <si>
    <t>Oral Clone CW040 | Phylum: Saccharibacteria_(TM7)</t>
  </si>
  <si>
    <t>AF385506</t>
  </si>
  <si>
    <t>0.564 - 0.849 Mbps</t>
  </si>
  <si>
    <t>GCA_004138405.1 | GCA_015257395.1</t>
  </si>
  <si>
    <t>0.727 Mbps</t>
  </si>
  <si>
    <t>0.629 Mbps</t>
  </si>
  <si>
    <t>Nanosynbacteraceae</t>
  </si>
  <si>
    <t>0.678 - 0.772 Mbps</t>
  </si>
  <si>
    <t>GCA_007845265.1 | GCA_015257495.1 | GCA_020912025.1 | GCA_021222645.1 | GCA_022819345.1 | GCA_022819365.1 | GCA_022819385.1 | GCA_022828245.1 | GCA_022828255.1 | GCA_022828285.1 | GCA_022828295.1 | GCA_022828325.1 | GCA_022828365.1 | GCA_022828375.1</t>
  </si>
  <si>
    <t>Oral Clone DR034 | Phylum: Saccharibacteria_(TM7)</t>
  </si>
  <si>
    <t>AF385520</t>
  </si>
  <si>
    <t>0.705 - 0.705 Mbps</t>
  </si>
  <si>
    <t>GCA_000803625.1 | GCA_005697395.1</t>
  </si>
  <si>
    <t>0.759 - 0.931 Mbps</t>
  </si>
  <si>
    <t>GCA_030253515.1 | GCA_005697215.1 | GCA_010202115.1 | GCA_010202465.1 | GCA_010202645.1 | GCA_010202845.1 | GCA_013098515.1 | GCA_013099015.1 | GCA_013099195.1 | GCA_013100805.1 | GCA_013100825.1 | GCA_013100845.1 | GCA_013333695.2 | GCA_013394755.1</t>
  </si>
  <si>
    <t>Oral Clone HD027 | Phylum: Saccharibacteria_(TM7)</t>
  </si>
  <si>
    <t>AY349415</t>
  </si>
  <si>
    <t>0.782 Mbps</t>
  </si>
  <si>
    <t>TM7 strain BB001</t>
  </si>
  <si>
    <t>0.730 - 0.809 Mbps</t>
  </si>
  <si>
    <t>GCA_004138445.1 | GCA_004138455.1 | GCA_013333515.2</t>
  </si>
  <si>
    <t>Oral Clone I025 | Phylum: Saccharibacteria_(TM7)</t>
  </si>
  <si>
    <t>AF125206</t>
  </si>
  <si>
    <t>Nanoperiomorbaceae</t>
  </si>
  <si>
    <t>0.608 Mbps</t>
  </si>
  <si>
    <t>Nanogingivalaceae</t>
  </si>
  <si>
    <t>0.638 Mbps</t>
  </si>
  <si>
    <t>0.640 - 0.692 Mbps</t>
  </si>
  <si>
    <t>GCA_015257785.3 | GCA_015257795.3 | GCA_015257815.1</t>
  </si>
  <si>
    <t>0.626 Mbps</t>
  </si>
  <si>
    <t>KM018322</t>
  </si>
  <si>
    <t>Mycoplasma lipophiliae | Phylum: Tenericutes</t>
  </si>
  <si>
    <t>M24581</t>
  </si>
  <si>
    <t>lipophila</t>
  </si>
  <si>
    <t>Metamycoplasmataceae</t>
  </si>
  <si>
    <t>HMT-656</t>
  </si>
  <si>
    <t>1.00 - 0.978 Mbps</t>
  </si>
  <si>
    <t>GCA_000148625.1 | GCA_000186005.1 | GCA_000209735.1 | GCA_003704055.1 | GCA_003704075.1</t>
  </si>
  <si>
    <t>Asterococcus fermentans | Micromyces hominis | Phylum: Tenericutes | Schizoplasma fermentans</t>
  </si>
  <si>
    <t>M24289</t>
  </si>
  <si>
    <t>0.811 - 0.823 Mbps</t>
  </si>
  <si>
    <t>GCA_000143945.1 | GCA_001272795.1 | GCA_001272835.1 | GCA_002090215.1 | GCA_002127985.1 | GCA_002128185.1 | GCA_009939745.1 | GCA_009945165.1 | GCA_009946845.1 | GCA_900660465.1</t>
  </si>
  <si>
    <t>Family: Mycoplasmataceae | Filterable agent | Genus: Mycoplasma | Order: Mycoplasmatales | Phylum: Tenericutes | Schizoplasma pneumoniae</t>
  </si>
  <si>
    <t>M29061</t>
  </si>
  <si>
    <t>0.580 - 0.580 Mbps</t>
  </si>
  <si>
    <t>GCA_000027325.1 | GCA_000292405.1 | GCA_000292445.1 | GCA_000292485.1 | GCA_000292505.1</t>
  </si>
  <si>
    <t>Family: Mycoplasmataceae | Genus: Mycoplasma | Order: Mycoplasmatales | Phylum: Tenericutes</t>
  </si>
  <si>
    <t>X77334</t>
  </si>
  <si>
    <t>5.37 - 5.76 Mbps</t>
  </si>
  <si>
    <t>GCA_027627515.1 | GCA_027857015.1 | GCA_000317305.3 | GCA_000691525.1 | GCA_000724065.1 | GCA_001580405.1 | GCA_003367335.1 | GCA_005670605.1 | GCA_006715585.1 | GCA_018363015.1</t>
  </si>
  <si>
    <t>Class: Actinomycetia | Order: Corynebacteriales | Phylum: Actinobacteria</t>
  </si>
  <si>
    <t>M29564</t>
  </si>
  <si>
    <t>Mycobacteriaceae</t>
  </si>
  <si>
    <t>Mycobacteriales</t>
  </si>
  <si>
    <t>4.37 - 4.43 Mbps</t>
  </si>
  <si>
    <t>GCA_000153685.2 | GCA_000195955.2 | GCA_000277735.2 | GCA_000364825.1 | GCA_000667805.1 | GCA_000786505.1 | GCA_001275565.2 | GCA_001895805.1 | GCA_002886865.1 | GCA_014899365.1</t>
  </si>
  <si>
    <t>Bacillus tuberculosis | Bacterium tuberculosis | Class: Actinomycetia | Order: Corynebacteriales | Phylum: Actinobacteria</t>
  </si>
  <si>
    <t>X52917</t>
  </si>
  <si>
    <t>3.19 - 3.27 Mbps</t>
  </si>
  <si>
    <t>GCA_000026685.1 | GCA_000195855.1 | GCA_001648835.1 | GCA_001653495.1 | GCA_003253775.1 | GCA_003584725.1</t>
  </si>
  <si>
    <t>Bacillus leprae | Class: Actinomycetia | Order: Corynebacteriales | Phylum: Actinobacteria</t>
  </si>
  <si>
    <t>X53999</t>
  </si>
  <si>
    <t>2.15 Mbps</t>
  </si>
  <si>
    <t>Oral Clone DO016 | Phylum: Firmicutes</t>
  </si>
  <si>
    <t>AF385510</t>
  </si>
  <si>
    <t>Order: Pseudomonadales | Phylum: Proteobacteria</t>
  </si>
  <si>
    <t>sp. HMT-276</t>
  </si>
  <si>
    <t>Moraxellaceae</t>
  </si>
  <si>
    <t>HMT-276</t>
  </si>
  <si>
    <t>2.44 - 2.69 Mbps</t>
  </si>
  <si>
    <t>GCA_001553955.1 | GCA_001679175.1 | GCA_016028755.1 | GCA_900453115.1</t>
  </si>
  <si>
    <t>Moraxella Bovre | Order: Pseudomonadales | Phylum: Proteobacteria</t>
  </si>
  <si>
    <t>X95304</t>
  </si>
  <si>
    <t>2.11 - 2.34 Mbps</t>
  </si>
  <si>
    <t>GCA_029991895.1 | GCA_030015085.1 | GCA_001679005.1 | GCA_001679125.1 | GCA_001679155.1 | GCA_016028775.1 | GCA_016127895.1 | GCA_022346965.1</t>
  </si>
  <si>
    <t>2.08 Mbps</t>
  </si>
  <si>
    <t>Nasal (Abundance: Medium) | Unassigned</t>
  </si>
  <si>
    <t>1.82 - 2.11 Mbps</t>
  </si>
  <si>
    <t>GCA_000092265.1 | GCA_000192905.2 | GCA_000193025.2 | GCA_000193045.2 | GCA_000193065.2 | GCA_000302495.1 | GCA_000740455.1 | GCA_000766665.1 | GCA_001632285.1 | GCA_001656095.1 | GCA_001656115.1 | GCA_001656255.1 | GCA_001656455.1 | GCA_001656475.1 | GCA_001679075.1 | GCA_001679105.1 | GCA_001679345.1 | GCA_001997265.1 | GCA_002073215.2 | GCA_002080125.1 | GCA_002984125.1 | GCA_003443915.1 | GCA_003443935.1 | GCA_003443955.1 | GCA_003443975.1 | GCA_003625535.1 | GCA_003625545.1 | GCA_003625605.1 | GCA_003625615.1 | GCA_003625665.1 | GCA_003625775.1 | GCA_003625785.1 | GCA_003625805.1 | GCA_003625895.1 | GCA_003625935.1 | GCA_003626005.1 | GCA_003626055.1 | GCA_003626105.1 | GCA_003626115.1 | GCA_003626155.1 | GCA_003626185.1 | GCA_003626215.1 | GCA_003626235.1 | GCA_003626305.1 | GCA_003626335.1 | GCA_003626355.1 | GCA_003626375.1 | GCA_003626415.1 | GCA_003971285.1 | GCA_003971305.1 | GCA_003971325.1 | GCA_003971345.1 | GCA_003971365.1 | GCA_003985305.1 | GCA_003985315.1 | GCA_003985335.1 | GCA_009378035.1 | GCA_009378055.1 | GCA_009378085.1 | GCA_009378105.1 | GCA_009378215.1 | GCA_009378225.1 | GCA_009378245.1 | GCA_009378275.1 | GCA_009378425.1 | GCA_009378535.1 | GCA_009378585.1 | GCA_009378595.1 | GCA_009378645.1 | GCA_009378685.1 | GCA_009378725.1 | GCA_009378755.1 | GCA_009378825.1 | GCA_009378835.1 | GCA_009378895.1 | GCA_009378915.1 | GCA_009378925.1 | GCA_009379015.1 | GCA_009379145.1 | GCA_009379155.1 | GCA_009379215.1 | GCA_009379265.1 | GCA_009379305.1 | GCA_009379395.1 | GCA_009379425.1 | GCA_009379475.1 | GCA_009379515.1 | GCA_009379565.1 | GCA_009379585.1 | GCA_009379625.1 | GCA_009379655.1 | GCA_009379685.1 | GCA_009379715.1 | GCA_022341345.1 | GCA_022341385.1 | GCA_028583345.1 | GCA_028583365.1 | GCA_028583385.1 | GCA_900453095.1 | GCA_900476075.1</t>
  </si>
  <si>
    <t>Branhamella catarrhalis | Mikrokkokus catarrhalis | Moraxella Bovre | Order: Pseudomonadales | Phylum: Proteobacteria</t>
  </si>
  <si>
    <t>U10876</t>
  </si>
  <si>
    <t>Nasal (Abundance: Medium) | Oral (Abundance: Medium)</t>
  </si>
  <si>
    <t>Erysipelotrichaceae CP6_C1 | Firmicutes bacterium clone CP6_C1 | Phylum: Tenericutes</t>
  </si>
  <si>
    <t>KC203059</t>
  </si>
  <si>
    <t>bacterium HMT-906</t>
  </si>
  <si>
    <t>Mollicutes [O2 F2 G2]</t>
  </si>
  <si>
    <t>Mollicutes [O2 F2]</t>
  </si>
  <si>
    <t>Mollicutes [O2]</t>
  </si>
  <si>
    <t>HMT-906</t>
  </si>
  <si>
    <t>Mycoplasmataceae genomosp. P1 | Oral clone MB1_G23 | Phylum: Tenericutes</t>
  </si>
  <si>
    <t>DQ003614</t>
  </si>
  <si>
    <t>bacterium HMT-504</t>
  </si>
  <si>
    <t>Mollicutes [O1 F1 G1]</t>
  </si>
  <si>
    <t>Mollicutes [O1 F1]</t>
  </si>
  <si>
    <t>Mollicutes [O1]</t>
  </si>
  <si>
    <t>HMT-504</t>
  </si>
  <si>
    <t>AB021702</t>
  </si>
  <si>
    <t>vescum</t>
  </si>
  <si>
    <t>Anaerovoracaceae</t>
  </si>
  <si>
    <t>HMT-008</t>
  </si>
  <si>
    <t>1.50 - 1.89 Mbps</t>
  </si>
  <si>
    <t>GCA_905373865.1 | GCA_938045515.1 | GCA_000293155.1 | GCA_000525775.1 | GCA_013394805.1 | GCA_019416225.1</t>
  </si>
  <si>
    <t>Eubacterium timidum | Phylum: Firmicutes</t>
  </si>
  <si>
    <t>U13042</t>
  </si>
  <si>
    <t>1.86 Mbps</t>
  </si>
  <si>
    <t>AB021701</t>
  </si>
  <si>
    <t>1.75 Mbps</t>
  </si>
  <si>
    <t>AB037875</t>
  </si>
  <si>
    <t>1.49 - 1.82 Mbps</t>
  </si>
  <si>
    <t>GCA_002998925.1 | GCA_013333095.2 | GCA_015263615.1 | GCA_015263645.1 | GCA_015263765.1 | GCA_015263815.1 | GCA_019417565.1 | GCA_023303005.1 | GCA_030825185.1</t>
  </si>
  <si>
    <t>AB037874</t>
  </si>
  <si>
    <t>2.38 - 2.66 Mbps</t>
  </si>
  <si>
    <t>GCA_025698165.1 | GCA_900450465.1 | GCA_900453215.1 | GCA_900453275.1 | GCA_000148485.2 | GCA_000160615.1 | GCA_000176775.1 | GCA_002206485.2 | GCA_012976625.1 | GCA_014204735.1</t>
  </si>
  <si>
    <t>Class: Actinomycetia | Falcivibrio grandis | Phylum: Actinobacteria</t>
  </si>
  <si>
    <t>AJ427625</t>
  </si>
  <si>
    <t>MB5_P06 | Phylum: Firmicutes</t>
  </si>
  <si>
    <t>DQ003628</t>
  </si>
  <si>
    <t>sp. HMT-521</t>
  </si>
  <si>
    <t>HMT-521</t>
  </si>
  <si>
    <t>2.13 - 2.44 Mbps</t>
  </si>
  <si>
    <t>GCA_905373255.1 | GCA_937922535.1 | GCA_000469545.1</t>
  </si>
  <si>
    <t>Oral Clone C5AKM062 | Oral Clone CS002 | Phylum: Firmicutes</t>
  </si>
  <si>
    <t>AF287795 | AY278627</t>
  </si>
  <si>
    <t>2.32 - 2.58 Mbps</t>
  </si>
  <si>
    <t>GCA_027665925.1 | GCA_027670005.1 | GCA_027670365.1 | GCA_027670565.1 | GCA_027671285.1 | GCA_902373875.1 | GCA_934233785.1 | GCA_000155955.1 | GCA_003470225.1 | GCA_021531445.1</t>
  </si>
  <si>
    <t>Bacteroides multiacidus | Mitsuokella multiacidus | Phylum: Firmicutes</t>
  </si>
  <si>
    <t>X81878</t>
  </si>
  <si>
    <t>2.32 - 2.75 Mbps</t>
  </si>
  <si>
    <t>GCA_000023205.1 | GCA_000180435.1 | GCA_006094415.1 | GCA_007667915.1 | GCA_007677545.1 | GCA_008868275.1 | GCA_014138885.1 | GCA_014874165.1 | GCA_022664405.1 | GCA_900475555.1</t>
  </si>
  <si>
    <t>3.14 - 3.17 Mbps</t>
  </si>
  <si>
    <t>GCA_000411455.1 | GCA_003634765.1</t>
  </si>
  <si>
    <t>Class: Actinomycetia | Oral Strain TFI C24KA | Phylum: Actinobacteria</t>
  </si>
  <si>
    <t>AF287752</t>
  </si>
  <si>
    <t>ATCC 13348</t>
  </si>
  <si>
    <t>Microbacteriaceae</t>
  </si>
  <si>
    <t>2.64 - 3.01 Mbps</t>
  </si>
  <si>
    <t>GCA_001423805.1 | GCA_001725695.1 | GCA_001897265.1 | GCA_002694325.1 | GCA_005503465.1 | GCA_017306455.1 | GCA_017306515.1 | GCA_937997015.1</t>
  </si>
  <si>
    <t>Class: Actinomycetia | Oral Clone AV005b | Phylum: Actinobacteria</t>
  </si>
  <si>
    <t>AF385527</t>
  </si>
  <si>
    <t>DSM 18659</t>
  </si>
  <si>
    <t>2.46 - 2.48 Mbps</t>
  </si>
  <si>
    <t>GCA_000226315.1 | GCA_000348745.1</t>
  </si>
  <si>
    <t>Class: Alphaproteobacteria | Family: Alphaproteobacteria_[F-1] | Order: Alphaproteobacteria_[O-1] | Phylum: Proteobacteria</t>
  </si>
  <si>
    <t>Pseudobdellovibrionaceae</t>
  </si>
  <si>
    <t>Bdellovibrionales</t>
  </si>
  <si>
    <t>Oligoflexia</t>
  </si>
  <si>
    <t>1.95 - 2.14 Mbps</t>
  </si>
  <si>
    <t>GCA_000529525.1 | GCA_001639275.1 | GCA_900289035.1 | GCA_902384065.1 | GCA_912073625.1</t>
  </si>
  <si>
    <t>Methanobacteriaceae</t>
  </si>
  <si>
    <t>Methanobacteriales</t>
  </si>
  <si>
    <t>Methanobacteria</t>
  </si>
  <si>
    <t>Methanobacteriota</t>
  </si>
  <si>
    <t>Archaea</t>
  </si>
  <si>
    <t>0.714 - 0.737 Mbps</t>
  </si>
  <si>
    <t>GCA_900660445.2 | GCA_000485555.1 | GCA_021600285.1 | GCA_021600305.1 | GCA_021600325.1</t>
  </si>
  <si>
    <t>Asterococcus salivarius | Family: Mycoplasmataceae | Genus: Mycoplasma | Order: Mycoplasmatales | Phylum: Tenericutes | Schizoplasma salivarium</t>
  </si>
  <si>
    <t>AF125583</t>
  </si>
  <si>
    <t>0.711 Mbps</t>
  </si>
  <si>
    <t>Family: Mycoplasmataceae | Genus: Mycoplasma | Mycoplasma pharyngis | Order: Mycoplasmatales | Phylum: Tenericutes | Schizoplasma orale</t>
  </si>
  <si>
    <t>AY796060</t>
  </si>
  <si>
    <t>0.673 - 0.780 Mbps</t>
  </si>
  <si>
    <t>GCA_013367855.1 | GCA_013367975.1 | GCA_013368015.1 | GCA_013368035.1 | GCA_021460215.1</t>
  </si>
  <si>
    <t>Asterococcus hominis | Family: Mycoplasmataceae | Genus: Mycoplasma | Micromyces hominis | Order: Mycoplasmatales | Phylum: Tenericutes | Schizoplasma hominis</t>
  </si>
  <si>
    <t>AJ002265</t>
  </si>
  <si>
    <t>Family: Mycoplasmataceae | Genus: Mycoplasma | Mycoplasma orale type 3 | Order: Mycoplasmatales | Phylum: Tenericutes</t>
  </si>
  <si>
    <t>AF125590</t>
  </si>
  <si>
    <t>faucium</t>
  </si>
  <si>
    <t>HMT-606</t>
  </si>
  <si>
    <t>Family: Mycoplasmataceae | Genus: Mycoplasma | Mycoplasma orale type 2 | Order: Mycoplasmatales | Phylum: Tenericutes</t>
  </si>
  <si>
    <t>AF125586</t>
  </si>
  <si>
    <t>buccale</t>
  </si>
  <si>
    <t>HMT-561</t>
  </si>
  <si>
    <t>6.03 - 7.60 Mbps</t>
  </si>
  <si>
    <t>GCA_000009625.1 | GCA_000504265.1 | GCA_001671545.1 | GCA_009761735.1 | GCA_012913625.1 | GCA_012913645.1 | GCA_012972105.1 | GCA_012972145.1</t>
  </si>
  <si>
    <t>Mesorhizobium loti | Phylum: Proteobacteria</t>
  </si>
  <si>
    <t>U50166</t>
  </si>
  <si>
    <t>Phyllobacteriaceae</t>
  </si>
  <si>
    <t>Hyphomicrobiales</t>
  </si>
  <si>
    <t>3.30 Mbps</t>
  </si>
  <si>
    <t>Phylum: Ignavibacteriae</t>
  </si>
  <si>
    <t>Melioribacteraceae</t>
  </si>
  <si>
    <t>Ignavibacteriales</t>
  </si>
  <si>
    <t>Ignavibacteria</t>
  </si>
  <si>
    <t>Chlorobiota</t>
  </si>
  <si>
    <t>1.52 - 1.91 Mbps</t>
  </si>
  <si>
    <t>GCA_902406345.1 | GCA_905194015.1 | GCA_915063675.1 | GCA_916715755.1 | GCA_934190915.1 | GCA_938028225.1 | GCA_959019185.1 | GCA_959021785.1 | GCA_000165735.1 | GCA_015263935.1 | GCA_015263965.1 | GCA_015263995.1 | GCA_015264035.1 | GCA_015264065.1 | GCA_018367555.1 | GCA_018381695.1</t>
  </si>
  <si>
    <t>Oral Clone BU057 | Oral Strain P4A_FAAD16 | Phylum: Firmicutes</t>
  </si>
  <si>
    <t>AF385566 | AY278622</t>
  </si>
  <si>
    <t>1.59 - 1.77 Mbps</t>
  </si>
  <si>
    <t>GCA_946891365.1 | GCA_946892435.1 | GCA_946997615.1 | GCA_947039735.1 | GCA_947087535.1 | GCA_947254525.1 | GCA_000177555.1 | GCA_000214495.2 | GCA_001553395.1 | GCA_009735755.1</t>
  </si>
  <si>
    <t>DQ666094</t>
  </si>
  <si>
    <t>4.76 - 4.89 Mbps</t>
  </si>
  <si>
    <t>GCA_025398895.1 | GCA_028994155.1 | GCA_030435155.1 | GCA_000724775.3 | GCA_001726065.1 | GCA_003049525.1 | GCA_003367495.1 | GCA_004101885.1 | GCA_006540205.1</t>
  </si>
  <si>
    <t>Aerobacillus fusiformis | Bacillus sphaericus | Phylum: Firmicutes</t>
  </si>
  <si>
    <t>M77486</t>
  </si>
  <si>
    <t>Caryophanaceae</t>
  </si>
  <si>
    <t>2.85 - 3.24 Mbps</t>
  </si>
  <si>
    <t>GCA_900187225.1 | GCA_000307025.1 | GCA_000438685.2 | GCA_000525815.1 | GCA_000743465.1 | GCA_000800335.1 | GCA_001188045.2 | GCA_001454905.1 | GCA_001483405.1 | GCA_009730635.1</t>
  </si>
  <si>
    <t>Bacterium monocytogenes | Corynebacterium infantisepticum | Corynebacterium parvulum | Erysipelothrix monocytogenes | Listerella hepatolytica | Phylum: Firmicutes</t>
  </si>
  <si>
    <t>EU090894</t>
  </si>
  <si>
    <t>Listeriaceae</t>
  </si>
  <si>
    <t>1.78 - 1.89 Mbps</t>
  </si>
  <si>
    <t>GCA_000159435.1 | GCA_001435915.1 | GCA_009362935.1 | GCA_025311515.1 | GCA_025677785.1 | GCA_026935945.1 | GCA_028607005.1</t>
  </si>
  <si>
    <t>AY005048</t>
  </si>
  <si>
    <t>Vaginal (Abundance: Low) | Unassigned</t>
  </si>
  <si>
    <t>Lactobacillaceae</t>
  </si>
  <si>
    <t>Phylum: Firmicutes | Strain TFI DoxG2</t>
  </si>
  <si>
    <t>sp. HMT-052</t>
  </si>
  <si>
    <t>HMT-052</t>
  </si>
  <si>
    <t>1.94 - 2.31 Mbps</t>
  </si>
  <si>
    <t>GCA_030585585.1 | GCA_030721705.1 | GCA_000010005.1 | GCA_000016825.1 | GCA_001434615.1 | GCA_001618905.1 | GCA_003072625.1 | GCA_013694365.1 | GCA_020023775.1 | GCA_021228055.1</t>
  </si>
  <si>
    <t>Lactobacillus fermentum | Phylum: Firmicutes</t>
  </si>
  <si>
    <t>L23507</t>
  </si>
  <si>
    <t>Human-Associated, Primary Site Uncertain (Abundance: Scarce) | Environmental -Food (Abundance: Scarce)</t>
  </si>
  <si>
    <t>2.01 - 2.13 Mbps</t>
  </si>
  <si>
    <t>GCA_001027985.1 | GCA_001435935.1 | GCA_019797825.1</t>
  </si>
  <si>
    <t>X94230</t>
  </si>
  <si>
    <t>CCUG 37482</t>
  </si>
  <si>
    <t>Environmental -Food (Abundance: Scarce) | Unassigned</t>
  </si>
  <si>
    <t>1.83 - 2.17 Mbps</t>
  </si>
  <si>
    <t>GCA_000180015.1 | GCA_000221505.2 | GCA_001434465.1 | GCA_026094485.1 | GCA_027692585.1 | GCA_030053195.1 | GCA_901873565.1 | GCA_934190745.1 | GCA_947381755.1</t>
  </si>
  <si>
    <t>X94229</t>
  </si>
  <si>
    <t>1.82 - 2.33 Mbps</t>
  </si>
  <si>
    <t>GCA_000159215.1 | GCA_000466785.3 | GCA_002192435.1 | GCA_003255875.1 | GCA_011032745.1 | GCA_013394085.1 | GCA_016617695.1 | GCA_018884205.1 | GCA_029223925.1 | GCA_029823225.1</t>
  </si>
  <si>
    <t>Bacillus casei d | Bacillus d | Lactobacillus cellobiosus | Lactobacterium fermentum | Phylum: Firmicutes</t>
  </si>
  <si>
    <t>M58819</t>
  </si>
  <si>
    <t>1.71 - 1.73 Mbps</t>
  </si>
  <si>
    <t>GCA_947253215.1 | GCA_000161935.1</t>
  </si>
  <si>
    <t>Lactobacillus coleohominis | Phylum: Firmicutes</t>
  </si>
  <si>
    <t>AM113776</t>
  </si>
  <si>
    <t>1.97 - 2.58 Mbps</t>
  </si>
  <si>
    <t>GCA_025398675.1 | GCA_029823545.1 | GCA_030062785.1 | GCA_000008925.1 | GCA_000159395.1 | GCA_001011095.1 | GCA_001435955.1 | GCA_002079585.1 | GCA_021266585.1</t>
  </si>
  <si>
    <t>AF089108</t>
  </si>
  <si>
    <t>2.42 - 2.73 Mbps</t>
  </si>
  <si>
    <t>GCA_000469365.1 | GCA_001433855.1 | GCA_003813165.1 | GCA_006228205.1 | GCA_006228265.1 | GCA_006228305.1 | GCA_014905055.1 | GCA_022350025.1 | GCA_025447255.1 | GCA_900475625.1</t>
  </si>
  <si>
    <t>Bacillus casei g | Bacillus g | Betabacterium breve | Lactobacterium breve | Phylum: Firmicutes</t>
  </si>
  <si>
    <t>AF090328</t>
  </si>
  <si>
    <t>2.32 - 2.49 Mbps</t>
  </si>
  <si>
    <t>GCA_000373345.1 | GCA_000469405.1 | GCA_001553045.1 | GCA_007990385.1 | GCA_007990405.1 | GCA_007990545.2</t>
  </si>
  <si>
    <t>Leptotrichia wadeii | Oral Strain TFI-A39FD | Phylum: Fusobacteria</t>
  </si>
  <si>
    <t>AF287816</t>
  </si>
  <si>
    <t>Leptotrichia sp. clone CP4_C6 | Phylum: Fusobacteria</t>
  </si>
  <si>
    <t>KC203062</t>
  </si>
  <si>
    <t>sp. HMT-909</t>
  </si>
  <si>
    <t>HMT-909</t>
  </si>
  <si>
    <t>2.42 Mbps</t>
  </si>
  <si>
    <t>2.19 Mbps</t>
  </si>
  <si>
    <t>FJ577250</t>
  </si>
  <si>
    <t>1.13 - 2.15 Mbps</t>
  </si>
  <si>
    <t>GCA_002240055.1 | GCA_003638725.1</t>
  </si>
  <si>
    <t>IK040 | Phylum: Fusobacteria</t>
  </si>
  <si>
    <t>AY349387</t>
  </si>
  <si>
    <t>Oral Clone GT020 | Phylum: Fusobacteria</t>
  </si>
  <si>
    <t>AY349385</t>
  </si>
  <si>
    <t>sp. HMT-463</t>
  </si>
  <si>
    <t>HMT-463</t>
  </si>
  <si>
    <t>2.31 - 2.53 Mbps</t>
  </si>
  <si>
    <t>GCA_007990445.1 | GCA_013394865.1 | GCA_018373565.1 | GCA_901873485.1 | GCA_916720135.1 | GCA_938041155.1</t>
  </si>
  <si>
    <t>Oral Clone C3MKM102 | Phylum: Fusobacteria</t>
  </si>
  <si>
    <t>AY278621</t>
  </si>
  <si>
    <t>2.01 - 2.54 Mbps</t>
  </si>
  <si>
    <t>GCA_000469525.1 | GCA_030644325.1 | GCA_900104625.1 | GCA_905371625.1</t>
  </si>
  <si>
    <t>Oral Clone HE052 | Oral Strain TFI-FEA2 | Phylum: Fusobacteria</t>
  </si>
  <si>
    <t>2.58 Mbps</t>
  </si>
  <si>
    <t>Oral Clone F138 | Phylum: Fusobacteria</t>
  </si>
  <si>
    <t>AF287814</t>
  </si>
  <si>
    <t>1.22 - 2.08 Mbps</t>
  </si>
  <si>
    <t>GCA_916719885.1 | GCA_937926905.1 | GCA_013333235.2 | GCA_018128245.1</t>
  </si>
  <si>
    <t>Genus: Pseudoleptotrichia | Oral Clone FP036 | Phylum: Fusobacteria</t>
  </si>
  <si>
    <t>AF432138</t>
  </si>
  <si>
    <t>1.19 - 2.17 Mbps</t>
  </si>
  <si>
    <t>GCA_018128225.1 | GCA_916438585.1 | GCA_916720105.1 | GCA_937900375.1</t>
  </si>
  <si>
    <t>Oral Clone EI013 | Phylum: Fusobacteria</t>
  </si>
  <si>
    <t>AF385571</t>
  </si>
  <si>
    <t>2.14 - 2.16 Mbps</t>
  </si>
  <si>
    <t>GCA_000373045.1 | GCA_008327825.1</t>
  </si>
  <si>
    <t>Oral Clone DE081 | Phylum: Fusobacteria</t>
  </si>
  <si>
    <t>AF366268</t>
  </si>
  <si>
    <t>2.00 - 2.28 Mbps</t>
  </si>
  <si>
    <t>GCA_007990635.1 | GCA_030527835.1</t>
  </si>
  <si>
    <t>Oral Clone DA065 | Phylum: Fusobacteria</t>
  </si>
  <si>
    <t>AF287811 | EU919515</t>
  </si>
  <si>
    <t>HKU24</t>
  </si>
  <si>
    <t>2.46 - 2.60 Mbps</t>
  </si>
  <si>
    <t>GCA_000162955.1 | GCA_000428965.1 | GCA_007990525.1</t>
  </si>
  <si>
    <t>Oral Strain TFI-FAC5 | Phylum: Fusobacteria</t>
  </si>
  <si>
    <t>AF287813</t>
  </si>
  <si>
    <t>1.99 - 2.47 Mbps</t>
  </si>
  <si>
    <t>GCA_000023905.1 | GCA_938021125.1</t>
  </si>
  <si>
    <t>Leptothrix buccalis | Phylum: Fusobacteria</t>
  </si>
  <si>
    <t>L37788</t>
  </si>
  <si>
    <t>ATCC 14201</t>
  </si>
  <si>
    <t>sp. HMT-266</t>
  </si>
  <si>
    <t>Leptothrix</t>
  </si>
  <si>
    <t>HMT-266</t>
  </si>
  <si>
    <t>Oral Clone AV011a | Phylum: Proteobacteria</t>
  </si>
  <si>
    <t>AF385528</t>
  </si>
  <si>
    <t>sp. HMT-025</t>
  </si>
  <si>
    <t>HMT-025</t>
  </si>
  <si>
    <t>2.83 - 2.85 Mbps</t>
  </si>
  <si>
    <t>GCA_001311445.1 | GCA_001436255.1 | GCA_007992555.1</t>
  </si>
  <si>
    <t>NR_041659</t>
  </si>
  <si>
    <t>DSM 19907 | YIT 11204</t>
  </si>
  <si>
    <t>2.85 - 3.10 Mbps</t>
  </si>
  <si>
    <t>GCA_902388245.1 | GCA_000238835.1 | GCA_001311355.1 | GCA_001435895.1 | GCA_005864225.1</t>
  </si>
  <si>
    <t>Oral Strain KCL-C4M_55 | Oral Strain KCL-W6353 | Phylum: Firmicutes</t>
  </si>
  <si>
    <t>AY278619</t>
  </si>
  <si>
    <t>2.99 - 3.01 Mbps</t>
  </si>
  <si>
    <t>GCA_000242275.1 | GCA_001311425.1 | GCA_001434135.1</t>
  </si>
  <si>
    <t>Oral Strain KCL-C4M_47 | Oral Strain KCL-W6466 | Phylum: Firmicutes</t>
  </si>
  <si>
    <t>AY278620</t>
  </si>
  <si>
    <t>2.37 - 2.76 Mbps</t>
  </si>
  <si>
    <t>GCA_023507525.1 | GCA_028411915.1 | GCA_000211375.1 | GCA_000298115.2 | GCA_001434735.1 | GCA_004354745.1 | GCA_008369805.1 | GCA_009495465.1 | GCA_009495475.1 | GCA_018314255.1</t>
  </si>
  <si>
    <t>AB205055</t>
  </si>
  <si>
    <t>1.79 - 1.92 Mbps</t>
  </si>
  <si>
    <t>GCA_001281505.1 | GCA_001293125.1 | GCA_900610365.2 | GCA_905373635.1 | GCA_946223255.1</t>
  </si>
  <si>
    <t>Lawsonellaceae</t>
  </si>
  <si>
    <t>2.92 - 3.19 Mbps</t>
  </si>
  <si>
    <t>GCA_028462385.1 | GCA_030824905.1 | GCA_900637555.1 | GCA_905373045.1 | GCA_916049875.1 | GCA_938046545.1 | GCA_947097835.1 | GCA_000186425.1 | GCA_015254855.1 | GCA_015254865.1</t>
  </si>
  <si>
    <t>AY005030 | X73223</t>
  </si>
  <si>
    <t>3.48 - 3.83 Mbps</t>
  </si>
  <si>
    <t>GCA_003892345.1 | GCA_915068305.1 | GCA_938003205.1</t>
  </si>
  <si>
    <t>1.60 - 1.67 Mbps</t>
  </si>
  <si>
    <t>GCA_905373115.1 | GCA_949152215.1 | GCA_959025365.1 | GCA_000411555.1</t>
  </si>
  <si>
    <t>Oral Clone C019 | Phylum: Actinobacteria</t>
  </si>
  <si>
    <t>AF287760</t>
  </si>
  <si>
    <t>1.58 - 1.63 Mbps</t>
  </si>
  <si>
    <t>GCA_000174015.1 | GCA_001438885.1 | GCA_001813205.1 | GCA_015354135.1</t>
  </si>
  <si>
    <t>Lactobacillus rimae | Phylum: Actinobacteria</t>
  </si>
  <si>
    <t>AF292371</t>
  </si>
  <si>
    <t>1.05 - 1.54 Mbps</t>
  </si>
  <si>
    <t>GCA_902480595.1 | GCA_905371835.1 | GCA_937923135.1 | GCA_000024225.1</t>
  </si>
  <si>
    <t>Peptostreptococcus parvulus | Phylum: Actinobacteria | Streptococcus parvulus</t>
  </si>
  <si>
    <t>AF292372</t>
  </si>
  <si>
    <t>2.45 - 2.64 Mbps</t>
  </si>
  <si>
    <t>GCA_029023865.1 | GCA_900099625.1 | GCA_000615405.1 | GCA_000835975.1 | GCA_001456385.1 | GCA_001514475.1 | GCA_002441815.1 | GCA_004354485.1 | GCA_009663915.1 | GCA_017821195.2</t>
  </si>
  <si>
    <t>Bacterium lacti | Bacterium lactis | Phylum: Firmicutes | Streptococcus lactis</t>
  </si>
  <si>
    <t>M58837</t>
  </si>
  <si>
    <t>2.16 - 2.25 Mbps</t>
  </si>
  <si>
    <t>GCA_000159415.1 | GCA_001436305.1 | GCA_016647595.1 | GCA_902374155.1</t>
  </si>
  <si>
    <t>Oral Clone HT070 | Phylum: Firmicutes</t>
  </si>
  <si>
    <t>AY349383</t>
  </si>
  <si>
    <t>CCUG 48460</t>
  </si>
  <si>
    <t>1.77 - 2.18 Mbps</t>
  </si>
  <si>
    <t>GCA_000008065.1 | GCA_000159355.1 | GCA_000219475.3 | GCA_001433975.1 | GCA_001714745.1 | GCA_002176835.1 | GCA_003428395.1 | GCA_010586925.1 | GCA_013487865.1 | GCA_014841035.1</t>
  </si>
  <si>
    <t>AJ002515</t>
  </si>
  <si>
    <t>1.53 - 1.75 Mbps</t>
  </si>
  <si>
    <t>GCA_000155915.2 | GCA_001436455.1 | GCA_001936235.1 | GCA_018094625.1 | GCA_022454195.1 | GCA_022454245.1</t>
  </si>
  <si>
    <t>AF243159</t>
  </si>
  <si>
    <t>Vaginal (Abundance: High) | Unassigned</t>
  </si>
  <si>
    <t>1.27 - 1.51 Mbps</t>
  </si>
  <si>
    <t>GCA_000160875.1 | GCA_001435015.1 | GCA_009857205.1 | GCA_010748955.1 | GCA_011058695.1 | GCA_011058715.1 | GCA_011058735.1 | GCA_011058755.1 | GCA_011058775.1 | GCA_011058795.1</t>
  </si>
  <si>
    <t>Lactobacillus sp. EF group 47 | Phylum: Firmicutes</t>
  </si>
  <si>
    <t>Y16329</t>
  </si>
  <si>
    <t>1.82 - 1.99 Mbps</t>
  </si>
  <si>
    <t>GCA_000014425.1 | GCA_000615125.1 | GCA_008868295.1 | GCA_017638885.1 | GCA_029011785.1 | GCA_029823575.1 | GCA_900452355.1</t>
  </si>
  <si>
    <t>M58820</t>
  </si>
  <si>
    <t>2.06 - 2.53 Mbps</t>
  </si>
  <si>
    <t>GCA_001434005.1 | GCA_002088015.1 | GCA_003971565.1 | GCA_013487905.1 | GCA_018987235.1 | GCA_020042125.1 | GCA_027271175.1 | GCA_029011155.1 | GCA_029011475.1</t>
  </si>
  <si>
    <t>Eubacterium crispatum | Phylum: Firmicutes</t>
  </si>
  <si>
    <t>Y17362</t>
  </si>
  <si>
    <t>1.95 - 2.03 Mbps</t>
  </si>
  <si>
    <t>GCA_024665075.1 | GCA_025665255.1 | GCA_000469705.1 | GCA_000615165.1 | GCA_000786395.1 | GCA_001433895.1 | GCA_001591845.1 | GCA_002286215.1 | GCA_003047065.1</t>
  </si>
  <si>
    <t>Bacillus acidophilus | Phylum: Firmicutes | Thermobacterium intestinale</t>
  </si>
  <si>
    <t>AB008203</t>
  </si>
  <si>
    <t>3.13 - 3.35 Mbps</t>
  </si>
  <si>
    <t>GCA_000143745.1 | GCA_000615325.1 | GCA_001434175.1 | GCA_001435215.1 | GCA_003627355.1 | GCA_003641165.1 | GCA_007989145.1 | GCA_007991855.1 | GCA_014131735.1 | GCA_900452585.1</t>
  </si>
  <si>
    <t>Phylum: Firmicutes | Previously provisional taxon D15</t>
  </si>
  <si>
    <t>EU559598</t>
  </si>
  <si>
    <t>ATCC 14917 | DSM 20174</t>
  </si>
  <si>
    <t>3.54 - 3.86 Mbps</t>
  </si>
  <si>
    <t>GCA_001433755.1 | GCA_003627295.1 | GCA_003641185.1 | GCA_004354685.1 | GCA_007991835.1 | GCA_023823145.1 | GCA_023972895.1 | GCA_025398935.1 | GCA_026222675.1 | GCA_030480485.1</t>
  </si>
  <si>
    <t>D79211</t>
  </si>
  <si>
    <t>2.88 - 3.03 Mbps</t>
  </si>
  <si>
    <t>GCA_900636965.1 | GCA_000026525.1 | GCA_000418475.1 | GCA_000615245.1 | GCA_001435405.1 | GCA_001721925.1 | GCA_002849515.1 | GCA_003353455.1 | GCA_007990855.1</t>
  </si>
  <si>
    <t>Lactobacillus casei | Phylum: Firmicutes</t>
  </si>
  <si>
    <t>AF243146</t>
  </si>
  <si>
    <t>2.82 - 3.43 Mbps</t>
  </si>
  <si>
    <t>GCA_000159495.1 | GCA_000194765.1 | GCA_000829035.1 | GCA_001433735.1 | GCA_001436385.1 | GCA_004354655.1 | GCA_007989125.1 | GCA_012955485.1 | GCA_024717335.1 | GCA_025137495.1</t>
  </si>
  <si>
    <t>D79212</t>
  </si>
  <si>
    <t>2.78 - 3.14 Mbps</t>
  </si>
  <si>
    <t>GCA_029726355.1 | GCA_029748795.1 | GCA_030770265.1 | GCA_030770295.1 | GCA_000615205.1 | GCA_000829055.1 | GCA_002192215.1 | GCA_008868595.1 | GCA_015476095.1 | GCA_018363095.1</t>
  </si>
  <si>
    <t>Bacillus a | Bacillus casei a | Bacterium casei a | Caseobacterium vulgare | Lactobacterium casei | Phylum: Firmicutes | Streptobacterium casei</t>
  </si>
  <si>
    <t>D16552</t>
  </si>
  <si>
    <t>3.20 Mbps</t>
  </si>
  <si>
    <t>Oral Clone JM048 | Phylum: Firmicutes</t>
  </si>
  <si>
    <t>AY349389</t>
  </si>
  <si>
    <t>Oral Clone AH153 | Phylum: Firmicutes</t>
  </si>
  <si>
    <t>AF287769</t>
  </si>
  <si>
    <t>bacterium HMT-163</t>
  </si>
  <si>
    <t>Lachnospiraceae [G7]</t>
  </si>
  <si>
    <t>HMT-163</t>
  </si>
  <si>
    <t>Oral Clone BU061 | Phylum: Firmicutes</t>
  </si>
  <si>
    <t>AF385567</t>
  </si>
  <si>
    <t>bacterium HMT-086</t>
  </si>
  <si>
    <t>HMT-086</t>
  </si>
  <si>
    <t>Oral Clone EI074 | Phylum: Firmicutes</t>
  </si>
  <si>
    <t>AF385573</t>
  </si>
  <si>
    <t>bacterium HMT-100</t>
  </si>
  <si>
    <t>Lachnospiraceae [G3]</t>
  </si>
  <si>
    <t>HMT-100</t>
  </si>
  <si>
    <t>1.79 - 2.39 Mbps</t>
  </si>
  <si>
    <t>GCA_916439015.1 | GCA_916720085.1 | GCA_937990535.1 | GCA_003043955.1 | GCA_015259645.1 | GCA_018141845.1 | GCA_018364355.1</t>
  </si>
  <si>
    <t>DO008 | Phylum: Firmicutes</t>
  </si>
  <si>
    <t>AF385508</t>
  </si>
  <si>
    <t>AF287775</t>
  </si>
  <si>
    <t>bacterium HMT-088</t>
  </si>
  <si>
    <t>HMT-088</t>
  </si>
  <si>
    <t>Oral Clone DA074 | Phylum: Firmicutes</t>
  </si>
  <si>
    <t>AF287768</t>
  </si>
  <si>
    <t>bacterium HMT-094</t>
  </si>
  <si>
    <t>Lachnospiraceae [G10]</t>
  </si>
  <si>
    <t>HMT-094</t>
  </si>
  <si>
    <t>1.48 - 1.73 Mbps</t>
  </si>
  <si>
    <t>GCA_946891925.1 | GCA_946997855.1 | GCA_947036975.1 | GCA_947039925.1 | GCA_947252375.1 | GCA_009771075.1 | GCA_009771085.1 | GCA_009771115.1 | GCA_009771145.1 | GCA_011082265.1</t>
  </si>
  <si>
    <t>AY959209</t>
  </si>
  <si>
    <t>2.71 - 3.02 Mbps</t>
  </si>
  <si>
    <t>GCA_003254255.1 | GCA_003589745.1 | GCA_902387945.1 | GCA_916444975.1</t>
  </si>
  <si>
    <t>Lachnospiraceae bacterium oral taxon 107 | Lachnospiraceae [G-1] sp. oral taxon 107 | Oral Strain C27KA | Oral Strain F0167 | Phylum: Firmicutes</t>
  </si>
  <si>
    <t>AF287777 | FJ577253 | FJ796700</t>
  </si>
  <si>
    <t>Oral Clone JI012 | Phylum: Firmicutes</t>
  </si>
  <si>
    <t>AY349379</t>
  </si>
  <si>
    <t>sp. HMT-496</t>
  </si>
  <si>
    <t>HMT-496</t>
  </si>
  <si>
    <t>3.29 - 3.42 Mbps</t>
  </si>
  <si>
    <t>GCA_000209465.1 | GCA_017565785.1</t>
  </si>
  <si>
    <t>2.68 - 3.00 Mbps</t>
  </si>
  <si>
    <t>GCA_937989635.1 | GCA_000287675.1 | GCA_018372015.1</t>
  </si>
  <si>
    <t>Oral Clone CK004 | Phylum: Firmicutes</t>
  </si>
  <si>
    <t>AF287776</t>
  </si>
  <si>
    <t>sp. HMT-089</t>
  </si>
  <si>
    <t>HMT-089</t>
  </si>
  <si>
    <t>2.66 - 2.93 Mbps</t>
  </si>
  <si>
    <t>GCA_902485365.1 | GCA_000296385.1 | GCA_000512995.1</t>
  </si>
  <si>
    <t>Clone BR088 | Clone BS091 | Phylum: Firmicutes</t>
  </si>
  <si>
    <t>AF385557 | AF385562</t>
  </si>
  <si>
    <t>2.39 - 3.08 Mbps</t>
  </si>
  <si>
    <t>GCA_000185385.1 | GCA_000257705.1 | GCA_905371645.1</t>
  </si>
  <si>
    <t>Eubacterium saburreum | Oral Clone IR009 | Phylum: Firmicutes</t>
  </si>
  <si>
    <t>AB525414 | AY349376</t>
  </si>
  <si>
    <t>JCM11021</t>
  </si>
  <si>
    <t>2.57 - 2.95 Mbps</t>
  </si>
  <si>
    <t>GCA_000242315.1 | GCA_001552975.1 | GCA_003862485.1 | GCA_018379055.1 | GCA_902477885.1 | GCA_937890375.1</t>
  </si>
  <si>
    <t>Clone BE088 | Lachnospiraceae bacterium oral taxon 082 str. F0431 | Lachnospiraceae sp. strain F0431 | Lachnospiraceae [G-1] sp. oral taxon 082 | Phylum: Firmicutes</t>
  </si>
  <si>
    <t>AF385552 | HQ877677</t>
  </si>
  <si>
    <t>CCUG 60305 | DSM 24533 | N1</t>
  </si>
  <si>
    <t>3.08 - 3.10 Mbps</t>
  </si>
  <si>
    <t>GCA_030008055.1 | GCA_003862475.1</t>
  </si>
  <si>
    <t>2.45 - 2.80 Mbps</t>
  </si>
  <si>
    <t>GCA_900452405.1 | GCA_000023925.1 | GCA_016127495.1 | GCA_016889285.1</t>
  </si>
  <si>
    <t>Class: Actinomycetia | Micrococcus sedentarius | Phylum: Actinobacteria | Previously provisional taxon A81</t>
  </si>
  <si>
    <t>AJ717359</t>
  </si>
  <si>
    <t>ATCC 14392 | DSM 20547</t>
  </si>
  <si>
    <t>Kytococcaceae</t>
  </si>
  <si>
    <t>2.41 - 2.83 Mbps</t>
  </si>
  <si>
    <t>GCA_023373505.1 | GCA_030403625.1 | GCA_900637835.1 | GCA_001812045.1 | GCA_002208685.2 | GCA_002861865.1 | GCA_003667225.1 | GCA_004563945.1 | GCA_017598955.1 | GCA_017723815.1</t>
  </si>
  <si>
    <t>2.83 - 2.90 Mbps</t>
  </si>
  <si>
    <t>GCA_001275345.1 | GCA_001483775.1 | GCA_016907795.1 | GCA_017167265.1 | GCA_017167485.1 | GCA_017167505.1 | GCA_017167685.1 | GCA_017167735.1 | GCA_017167825.1</t>
  </si>
  <si>
    <t>Class: Actinomycetia | Oral Clone AW006 | Phylum: Actinobacteria</t>
  </si>
  <si>
    <t>AF385532</t>
  </si>
  <si>
    <t>4.83 - 5.63 Mbps</t>
  </si>
  <si>
    <t>GCA_000735365.1 | GCA_003789135.1 | GCA_015099135.1 | GCA_015135575.1 | GCA_023195735.1 | GCA_027681865.1 | GCA_900452265.1 | GCA_902485085.1 | GCA_946481935.1</t>
  </si>
  <si>
    <t>Phylum: Proteobacteria | Previously provisional taxon B86</t>
  </si>
  <si>
    <t>AF176566 | NR_028677</t>
  </si>
  <si>
    <t>ATCC 33433 | DSM 4611</t>
  </si>
  <si>
    <t>Enterobacteriaceae</t>
  </si>
  <si>
    <t>5.38 - 5.90 Mbps</t>
  </si>
  <si>
    <t>GCA_000281755.1 | GCA_000614665.1 | GCA_000742135.1 | GCA_000788015.1 | GCA_001590945.1 | GCA_001646625.1 | GCA_001908715.1 | GCA_001908895.1 | GCA_002156725.1 | GCA_002248115.3</t>
  </si>
  <si>
    <t>Bacillus pneumoniae | Bacterium pneumoniae | Hyalococcus pneumoniae | Phylum: Proteobacteria</t>
  </si>
  <si>
    <t>Y17657</t>
  </si>
  <si>
    <t>Human-Associated, Primary Site Uncertain (Abundance: Medium) | Opportunistic Pathogen (Abundance: Scarce)</t>
  </si>
  <si>
    <t>5.24 - 5.59 Mbps</t>
  </si>
  <si>
    <t>GCA_027595705.1 | GCA_900635435.1 | GCA_000215745.1 | GCA_000334515.1 | GCA_003417445.1 | GCA_003546885.1 | GCA_009732795.1 | GCA_009909445.1 | GCA_011604725.1 | GCA_014169215.1</t>
  </si>
  <si>
    <t>HQ804648</t>
  </si>
  <si>
    <t>sp. HMT-932</t>
  </si>
  <si>
    <t>HMT-932</t>
  </si>
  <si>
    <t>Oral Clone ID059 | Phylum: Proteobacteria</t>
  </si>
  <si>
    <t>AY349381</t>
  </si>
  <si>
    <t>sp. HMT-459</t>
  </si>
  <si>
    <t>HMT-459</t>
  </si>
  <si>
    <t>Oral Clone DE012 | Phylum: Proteobacteria</t>
  </si>
  <si>
    <t>AF366267</t>
  </si>
  <si>
    <t>sp. HMT-012</t>
  </si>
  <si>
    <t>HMT-012</t>
  </si>
  <si>
    <t>2.41 - 2.50 Mbps</t>
  </si>
  <si>
    <t>GCA_000160435.1 | GCA_014054985.1 | GCA_016623605.1</t>
  </si>
  <si>
    <t>Kingella orale | Phylum: Proteobacteria</t>
  </si>
  <si>
    <t>L06164</t>
  </si>
  <si>
    <t>2.09 - 2.21 Mbps</t>
  </si>
  <si>
    <t>GCA_030177875.1 | GCA_030177895.1 | GCA_030180945.1 | GCA_030180955.1 | GCA_030180965.1 | GCA_030180985.1 | GCA_030180995.1 | GCA_030181045.1 | GCA_030181055.1 | GCA_030181065.1 | GCA_030181105.1 | GCA_030181115.1 | GCA_900177895.1 | GCA_900182485.2 | GCA_000751855.1</t>
  </si>
  <si>
    <t>1.92 - 2.14 Mbps</t>
  </si>
  <si>
    <t>GCA_022871005.1 | GCA_030180205.1 | GCA_030180215.1 | GCA_030180225.1 | GCA_030180265.1 | GCA_030180275.1 | GCA_030180315.1 | GCA_030180375.1 | GCA_030181145.1 | GCA_030181155.1 | GCA_030181185.1 | GCA_030181195.1 | GCA_030181205.1 | GCA_030181245.1 | GCA_030181255.1 | GCA_030181285.1 | GCA_030181305.1 | GCA_030181325.1 | GCA_030181345.1 | GCA_030181355.1 | GCA_030181365.1 | GCA_030181405.1 | GCA_030181425.1 | GCA_030181445.1 | GCA_030181465.1 | GCA_030181475.1 | GCA_030181505.1 | GCA_030181525.1 | GCA_030181545.1 | GCA_030181565.1 | GCA_030181575.1 | GCA_030181595.1 | GCA_030181625.1 | GCA_030181645.1 | GCA_030181665.1 | GCA_030181675.1 | GCA_030181705.1 | GCA_030181715.1 | GCA_030181745.1 | GCA_030181765.1 | GCA_030181785.1 | GCA_030181805.1 | GCA_030181815.1 | GCA_030181845.1 | GCA_030181865.1 | GCA_030181885.1 | GCA_030181915.1 | GCA_030181925.1 | GCA_030181985.1 | GCA_030182005.1 | GCA_030182015.1 | GCA_030182065.1 | GCA_030182085.1 | GCA_030182105.1 | GCA_030182125.1 | GCA_030182145.1 | GCA_030182155.1 | GCA_030182185.1 | GCA_030182205.1 | GCA_030182225.1 | GCA_030182245.1 | GCA_030182285.1 | GCA_030182305.1 | GCA_030182315.1 | GCA_030182365.1 | GCA_030182385.1 | GCA_030182405.1 | GCA_900111845.1 | GCA_900451155.1 | GCA_900475905.1 | GCA_000213535.1 | GCA_000255635.1 | GCA_000283375.1 | GCA_000469905.1 | GCA_000470115.1 | GCA_000470155.1 | GCA_000470255.1 | GCA_000470275.1 | GCA_000470415.1 | GCA_000470475.1 | GCA_000470675.1 | GCA_000751135.1 | GCA_001458475.1 | GCA_011045755.1 | GCA_011612385.1 | GCA_011612705.1 | GCA_014762905.1 | GCA_014762915.1 | GCA_014762925.1</t>
  </si>
  <si>
    <t>Moraxella kingae | Moraxella kingii | Phylum: Proteobacteria</t>
  </si>
  <si>
    <t>AY551999</t>
  </si>
  <si>
    <t>Oral (Abundance: Scarce) | Opportunistic Pathogen (Abundance: No data)</t>
  </si>
  <si>
    <t>1.72 - 2.24 Mbps</t>
  </si>
  <si>
    <t>GCA_000190695.1 | GCA_016127355.1 | GCA_900169325.1 | GCA_900451365.1 | GCA_916719905.1 | GCA_938030635.1</t>
  </si>
  <si>
    <t>L06166</t>
  </si>
  <si>
    <t>1.60 - 1.79 Mbps</t>
  </si>
  <si>
    <t>GCA_000161995.1 | GCA_000237805.1 | GCA_000468895.1 | GCA_902488485.1 | GCA_905373535.1 | GCA_947253985.1</t>
  </si>
  <si>
    <t>Family: Synergistaceae | Phylum: Synergistetes</t>
  </si>
  <si>
    <t>AF481216</t>
  </si>
  <si>
    <t>CCUG 53819 | CIP 109408</t>
  </si>
  <si>
    <t>Oral Clone CK051 | Phylum: Firmicutes</t>
  </si>
  <si>
    <t>AF287774</t>
  </si>
  <si>
    <t>sp. HMT-166</t>
  </si>
  <si>
    <t>HMT-166</t>
  </si>
  <si>
    <t>2.07 - 2.69 Mbps</t>
  </si>
  <si>
    <t>GCA_000235445.1 | GCA_938040855.1</t>
  </si>
  <si>
    <t>X87152</t>
  </si>
  <si>
    <t>1.98 - 2.18 Mbps</t>
  </si>
  <si>
    <t>GCA_946222715.1 | GCA_000425825.1 | GCA_011634875.1 | GCA_016313225.1</t>
  </si>
  <si>
    <t>3.37 - 3.66 Mbps</t>
  </si>
  <si>
    <t>GCA_900176385.1 | GCA_001889125.1 | GCA_014217915.1 | GCA_014883915.1</t>
  </si>
  <si>
    <t>Intrasporangiaceae</t>
  </si>
  <si>
    <t>3.66 Mbps</t>
  </si>
  <si>
    <t>Ignavibacteriaceae</t>
  </si>
  <si>
    <t>Genus: Prevotella | Phylum: Bacteroidetes</t>
  </si>
  <si>
    <t>FJ976378</t>
  </si>
  <si>
    <t>sp. HMT-942</t>
  </si>
  <si>
    <t>HMT-942</t>
  </si>
  <si>
    <t>2.56 Mbps</t>
  </si>
  <si>
    <t>Genus: Prevotella | Oral Clone IK053 | Phylum: Bacteroidetes</t>
  </si>
  <si>
    <t>AY349401</t>
  </si>
  <si>
    <t>3.13 - 4.10 Mbps</t>
  </si>
  <si>
    <t>GCA_000162415.1 | GCA_905372375.1 | GCA_938011465.1</t>
  </si>
  <si>
    <t>Genus: Prevotella | Oral Strain TFI-B31FD | Oral Strain TFI-F0055 | Phylum: Bacteroidetes | Species: sp._HMT_317</t>
  </si>
  <si>
    <t>AY005061</t>
  </si>
  <si>
    <t>Genus: Prevotella | Oral Clone BS041 | Phylum: Bacteroidetes</t>
  </si>
  <si>
    <t>AF385558</t>
  </si>
  <si>
    <t>sp. HMT-301</t>
  </si>
  <si>
    <t>HMT-301</t>
  </si>
  <si>
    <t>3.17 - 3.51 Mbps</t>
  </si>
  <si>
    <t>GCA_000613445.1 | GCA_003201715.1 | GCA_015260835.1 | GCA_015260845.1 | GCA_937990675.1</t>
  </si>
  <si>
    <t>AB108825</t>
  </si>
  <si>
    <t>2.41 - 2.98 Mbps</t>
  </si>
  <si>
    <t>GCA_905372675.1 | GCA_000318195.2 | GCA_000614205.1</t>
  </si>
  <si>
    <t>TBS</t>
  </si>
  <si>
    <t>2.39 - 2.71 Mbps</t>
  </si>
  <si>
    <t>GCA_000468135.1 | GCA_000613725.1 | GCA_905372045.1</t>
  </si>
  <si>
    <t>Genus: Prevotella | Oral Clone CY006 | Oral Clone FL019 | Phylum: Bacteroidetes</t>
  </si>
  <si>
    <t>AY005063 | AY349392</t>
  </si>
  <si>
    <t>2.81 - 2.99 Mbps</t>
  </si>
  <si>
    <t>GCA_000185145.2 | GCA_000413355.1 | GCA_000507905.1 | GCA_900065875.1 | GCA_900129435.1 | GCA_902375085.1</t>
  </si>
  <si>
    <t>Bacteroides oralis | Genus: Prevotella | Phylum: Bacteroidetes | Ristella oralis</t>
  </si>
  <si>
    <t>AY323522</t>
  </si>
  <si>
    <t>2.26 - 2.72 Mbps</t>
  </si>
  <si>
    <t>GCA_030826125.1 | GCA_916048365.1 | GCA_916719955.1 | GCA_937926735.1 | GCA_000163055.2 | GCA_000379965.1 | GCA_000613985.1 | GCA_015262135.1 | GCA_015262145.1 | GCA_015262195.1 | GCA_015262225.1 | GCA_015262265.1 | GCA_015262295.1 | GCA_019375915.1 | GCA_019375945.1 | GCA_019391835.1</t>
  </si>
  <si>
    <t>Genus: Prevotella | Oral Clone BI027 | Oral Strain KCL-W1169 | Oral Strain TFI-F0039 | Phylum: Bacteroidetes</t>
  </si>
  <si>
    <t>AY005064</t>
  </si>
  <si>
    <t>CCUG 54409</t>
  </si>
  <si>
    <t>1.98 - 2.56 Mbps</t>
  </si>
  <si>
    <t>GCA_000146675.1 | GCA_000613625.1 | GCA_938010375.1</t>
  </si>
  <si>
    <t>AF481227</t>
  </si>
  <si>
    <t>3.30 - 3.64 Mbps</t>
  </si>
  <si>
    <t>GCA_905373515.1 | GCA_937919505.1 | GCA_000163495.1 | GCA_000378085.1 | GCA_000613485.1 | GCA_000698925.1</t>
  </si>
  <si>
    <t>Bacteroides loescheii | Genus: Prevotella | Phylum: Bacteroidetes</t>
  </si>
  <si>
    <t>L16481</t>
  </si>
  <si>
    <t>1.97 - 2.69 Mbps</t>
  </si>
  <si>
    <t>GCA_003977605.1 | GCA_937974105.1</t>
  </si>
  <si>
    <t>Oral Clone MB7_G16 | Oral Clone P4P_53 | Phylum: Bacteroidetes | Species: koreensis</t>
  </si>
  <si>
    <t>AY944134 | DQ003633</t>
  </si>
  <si>
    <t>2.78 - 2.86 Mbps</t>
  </si>
  <si>
    <t>GCA_000613405.1 | GCA_001444445.1</t>
  </si>
  <si>
    <t>AJ005635</t>
  </si>
  <si>
    <t>2.54 - 3.31 Mbps</t>
  </si>
  <si>
    <t>GCA_025151385.1 | GCA_902465605.1 | GCA_902488665.1 | GCA_000177075.1 | GCA_000759185.1 | GCA_000759265.1 | GCA_002884635.1 | GCA_020555745.1 | GCA_020735565.1</t>
  </si>
  <si>
    <t>Bacteroides buccalis | Genus: Prevotella | Phylum: Bacteroidetes</t>
  </si>
  <si>
    <t>L16476</t>
  </si>
  <si>
    <t>1.83 - 1.95 Mbps</t>
  </si>
  <si>
    <t>GCA_905372015.1 | GCA_938041115.1 | GCA_000510425.1</t>
  </si>
  <si>
    <t>Z36274</t>
  </si>
  <si>
    <t>1.80 - 1.91 Mbps</t>
  </si>
  <si>
    <t>GCA_938036205.1 | GCA_003433295.1</t>
  </si>
  <si>
    <t>Eubacterium tardum | Phylum: Firmicutes</t>
  </si>
  <si>
    <t>U13037</t>
  </si>
  <si>
    <t>2.60 - 3.15 Mbps</t>
  </si>
  <si>
    <t>GCA_000723465.1 | GCA_003460925.1 | GCA_005862145.1 | GCA_015557865.1 | GCA_015558365.1 | GCA_025567495.1 | GCA_028327565.1 | GCA_028327595.1 | GCA_902385825.1</t>
  </si>
  <si>
    <t>Ruminococcus bicirculans</t>
  </si>
  <si>
    <t>Oscillospiraceae</t>
  </si>
  <si>
    <t>1.56 - 1.68 Mbps</t>
  </si>
  <si>
    <t>GCA_022922955.1 | GCA_030323545.1 | GCA_900120335.1 | GCA_900478295.1 | GCA_000258845.1 | GCA_000277405.1 | GCA_004295525.1 | GCA_014654435.1 | GCA_016747995.1 | GCA_016755635.1</t>
  </si>
  <si>
    <t>Campylobacter pylori | Campylobacter pyloridis | Helicobacter nemestrinae | Phylum: Proteobacteria</t>
  </si>
  <si>
    <t>M88157</t>
  </si>
  <si>
    <t>Gastrointestinal Tract (Abundance: Low) | Unassigned</t>
  </si>
  <si>
    <t>Helicobacteraceae</t>
  </si>
  <si>
    <t>Campylobacterales</t>
  </si>
  <si>
    <t>Epsilonproteobacteria</t>
  </si>
  <si>
    <t>Genus: Prevotella | MB3_P13 | Phylum: Bacteroidetes</t>
  </si>
  <si>
    <t>DQ003622</t>
  </si>
  <si>
    <t>sp. HMT-515</t>
  </si>
  <si>
    <t>HMT-515</t>
  </si>
  <si>
    <t>2.53 - 3.02 Mbps</t>
  </si>
  <si>
    <t>GCA_003043945.1 | GCA_905373545.1</t>
  </si>
  <si>
    <t>Genus: Prevotella | Oral Strain KCL-E7_34 | Oral Strain KCL-W4029 | Phylum: Bacteroidetes</t>
  </si>
  <si>
    <t>AF481226</t>
  </si>
  <si>
    <t>Genus: Prevotella | Oral Clone FW035 | Phylum: Bacteroidetes</t>
  </si>
  <si>
    <t>AY349394</t>
  </si>
  <si>
    <t>sp. HMT-315</t>
  </si>
  <si>
    <t>HMT-315</t>
  </si>
  <si>
    <t>2.70 - 3.41 Mbps</t>
  </si>
  <si>
    <t>GCA_900549615.1 | GCA_902490215.1 | GCA_905199265.1 | GCA_938023715.1 | GCA_000218235.1 | GCA_019973315.1</t>
  </si>
  <si>
    <t>AB200414</t>
  </si>
  <si>
    <t>2.85 - 3.35 Mbps</t>
  </si>
  <si>
    <t>GCA_937958335.1 | GCA_000220215.1 | GCA_000242335.3 | GCA_000518545.1</t>
  </si>
  <si>
    <t>Genus: Prevotella | Hallella seregens | Mitsuokella dentalis | Phylum: Bacteroidetes</t>
  </si>
  <si>
    <t>X81876</t>
  </si>
  <si>
    <t>2.00 - 2.16 Mbps</t>
  </si>
  <si>
    <t>GCA_024384655.1 | GCA_000238795.2 | GCA_000287615.1 | GCA_003252715.1 | GCA_003252855.1 | GCA_003252875.1</t>
  </si>
  <si>
    <t>JF506642</t>
  </si>
  <si>
    <t>Pasteurellaceae</t>
  </si>
  <si>
    <t>Pasteurellales</t>
  </si>
  <si>
    <t>1.66 - 2.06 Mbps</t>
  </si>
  <si>
    <t>GCA_902477965.1 | GCA_916862695.1 | GCA_001059185.1 | GCA_001679495.1 | GCA_002998595.1 | GCA_003252655.1 | GCA_006439125.1 | GCA_006439155.1 | GCA_006439165.1 | GCA_006439215.1 | GCA_006439235.1 | GCA_018372995.1 | GCA_018373485.1 | GCA_018829685.1 | GCA_018829705.1 | GCA_018829755.1 | GCA_021764795.1</t>
  </si>
  <si>
    <t>Clone BJ095 | Phylum: Proteobacteria | Strain P7A_FAAD5 | Strain W6487</t>
  </si>
  <si>
    <t>AY005033</t>
  </si>
  <si>
    <t>1.96 - 2.24 Mbps</t>
  </si>
  <si>
    <t>GCA_900186995.1 | GCA_900450865.1 | GCA_902480515.1 | GCA_905204285.1 | GCA_937925875.1 | GCA_000223275.2 | GCA_018373395.1</t>
  </si>
  <si>
    <t>CCUG 48703</t>
  </si>
  <si>
    <t>1.66 - 2.14 Mbps</t>
  </si>
  <si>
    <t>GCA_000260675.1 | GCA_002015045.1 | GCA_003253115.1 | GCA_018378345.1 | GCA_900451065.1 | GCA_902388305.1 | GCA_905211915.1 | GCA_916856725.1 | GCA_938040935.1</t>
  </si>
  <si>
    <t>Oral Clone BJ021 | Phylum: Proteobacteria</t>
  </si>
  <si>
    <t>AY005034</t>
  </si>
  <si>
    <t>NCTC 10670</t>
  </si>
  <si>
    <t>1.85 - 2.24 Mbps</t>
  </si>
  <si>
    <t>GCA_000191405.1 | GCA_000210895.1 | GCA_000259485.1 | GCA_000261285.1 | GCA_000746485.1 | GCA_001053035.1 | GCA_001053535.1 | GCA_001053575.1 | GCA_001053915.1 | GCA_001054455.1 | GCA_001054475.1 | GCA_001055095.1 | GCA_001055565.1 | GCA_001055595.1 | GCA_001055885.1 | GCA_001057005.1 | GCA_001058435.1 | GCA_001059125.1 | GCA_001059815.1 | GCA_001071575.1 | GCA_001279145.1 | GCA_001679325.1 | GCA_001679405.1 | GCA_001679455.1 | GCA_001679485.1 | GCA_001680775.1 | GCA_001810345.1 | GCA_001810545.1 | GCA_001811025.1 | GCA_001814055.1 | GCA_001815355.1 | GCA_001838615.1 | GCA_001838635.1 | GCA_001949885.1 | GCA_001949895.1 | GCA_002884755.1 | GCA_003252725.1 | GCA_003252775.1 | GCA_003252795.1 | GCA_003252885.1 | GCA_003252915.1 | GCA_003253005.1 | GCA_003253055.1 | GCA_003253085.1 | GCA_003390455.1 | GCA_003458095.1 | GCA_004104465.2 | GCA_009914785.1 | GCA_014931275.1 | GCA_014931295.1 | GCA_014931315.1 | GCA_014931335.1 | GCA_014931355.1 | GCA_014931375.1 | GCA_014931395.1 | GCA_014931415.1 | GCA_014931435.1 | GCA_014931455.1 | GCA_014931475.1 | GCA_014982375.1 | GCA_014982385.1 | GCA_015255005.1 | GCA_016127215.1 | GCA_018365435.1 | GCA_018366855.1 | GCA_018369275.1 | GCA_018373115.1 | GCA_018374465.1 | GCA_018378435.1 | GCA_018382395.1 | GCA_026155825.1 | GCA_030144815.1 | GCA_030218125.1 | GCA_030405845.1 | GCA_031191205.1 | GCA_900450845.1 | GCA_900450995.1 | GCA_900638025.1 | GCA_901873375.1 | GCA_902461185.1 | GCA_902468925.1 | GCA_902477875.1 | GCA_902482565.1 | GCA_902482785.1 | GCA_905197735.1 | GCA_905198045.1 | GCA_905373805.1 | GCA_934271155.1 | GCA_934274085.1 | GCA_934277535.1 | GCA_937875925.1 | GCA_937890275.1 | GCA_937945075.1 | GCA_937966185.1 | GCA_937989655.1 | GCA_946998075.1 | GCA_947253865.1 | GCA_958434595.1 | GCA_959597085.1</t>
  </si>
  <si>
    <t>EU083530</t>
  </si>
  <si>
    <t>1.85 - 2.22 Mbps</t>
  </si>
  <si>
    <t>GCA_000262265.1 | GCA_000826045.1 | GCA_002015035.1 | GCA_003252925.1 | GCA_003253075.1 | GCA_008330025.1 | GCA_016889385.1 | GCA_030938875.1 | GCA_900450675.1 | GCA_900450875.1 | GCA_905203035.1 | GCA_938021905.1</t>
  </si>
  <si>
    <t>AJ295746</t>
  </si>
  <si>
    <t>ATCC 10014</t>
  </si>
  <si>
    <t>1.79 - 2.05 Mbps</t>
  </si>
  <si>
    <t>GCA_000012185.1 | GCA_000016465.1 | GCA_000016485.1 | GCA_000027305.1 | GCA_000165525.1 | GCA_000165575.1 | GCA_000210875.1 | GCA_000465255.1 | GCA_000698365.1 | GCA_000767075.1 | GCA_000931575.1 | GCA_000931605.1 | GCA_000931625.1 | GCA_000968335.1 | GCA_001457655.1 | GCA_001856725.1 | GCA_002073475.2 | GCA_002966575.1 | GCA_002966595.1 | GCA_002966615.1 | GCA_002966635.1 | GCA_002966655.1 | GCA_002966675.1 | GCA_002966695.1 | GCA_002966715.1 | GCA_002966735.1 | GCA_002988215.2 | GCA_002988885.2 | GCA_003184385.1 | GCA_003184405.1 | GCA_003351425.1 | GCA_003351445.1 | GCA_003351465.1 | GCA_003351585.1 | GCA_003351605.1 | GCA_003352345.1 | GCA_003352365.1 | GCA_003352405.1 | GCA_003425445.1 | GCA_003425465.1 | GCA_003425485.1 | GCA_003425505.1 | GCA_003425525.1 | GCA_003425565.1 | GCA_003425585.1 | GCA_003425605.1 | GCA_003425625.1 | GCA_003425645.1 | GCA_003425715.1 | GCA_003425765.1 | GCA_003425815.1 | GCA_003425935.1 | GCA_003425955.1 | GCA_003691635.1 | GCA_003691655.1 | GCA_008831525.1 | GCA_013394405.1 | GCA_014701215.1 | GCA_014931495.1 | GCA_016535385.1 | GCA_016861285.1 | GCA_019703365.1 | GCA_019703385.1 | GCA_019703405.1 | GCA_019703425.1 | GCA_019703455.1 | GCA_019703495.1 | GCA_019703525.1 | GCA_019703545.1 | GCA_019703575.1 | GCA_019703595.1 | GCA_019703615.1 | GCA_019703635.1 | GCA_019703655.1 | GCA_019703675.1 | GCA_019703695.1 | GCA_019703715.1 | GCA_019703735.1 | GCA_019703755.1 | GCA_019703775.1 | GCA_019703795.1 | GCA_019930705.1 | GCA_020735825.1 | GCA_020736025.1 | GCA_020736045.1 | GCA_029623695.1 | GCA_029623715.1 | GCA_029623735.1 | GCA_900475535.1 | GCA_900475755.1 | GCA_900475995.1 | GCA_900478275.1 | GCA_900478325.1 | GCA_900478735.1 | GCA_900635795.1 | GCA_900635805.1 | GCA_900638105.1 | GCA_901472485.1 | GCA_919946725.1 | GCA_919949215.1</t>
  </si>
  <si>
    <t>Bacterium influenzae | Coccobacillus pfeifferi | Haemophilus meningitidis | Influenza-bacillus | Mycobacterium influenzae | Phylum: Proteobacteria</t>
  </si>
  <si>
    <t>M35019</t>
  </si>
  <si>
    <t>1.76 - 2.08 Mbps</t>
  </si>
  <si>
    <t>GCA_900477945.1 | GCA_000222045.2 | GCA_000242295.1 | GCA_000262285.1 | GCA_001008205.1 | GCA_001008215.1 | GCA_001008225.1 | GCA_001008275.1 | GCA_001679045.1 | GCA_001679135.1 | GCA_001679445.1 | GCA_003351405.1 | GCA_003351625.1 | GCA_003352385.1 | GCA_003490235.1 | GCA_003490305.1 | GCA_003490485.1 | GCA_003490595.1 | GCA_003490655.1 | GCA_003490935.1 | GCA_003491025.1 | GCA_003492365.1 | GCA_003492745.1 | GCA_003493245.1 | GCA_003493365.1 | GCA_003493465.1 | GCA_003493545.1 | GCA_003493605.1 | GCA_003493685.1 | GCA_003493965.1 | GCA_003494075.1 | GCA_003494105.1 | GCA_003494195.1 | GCA_003494265.1 | GCA_003494285.1 | GCA_003494485.1 | GCA_003494525.1 | GCA_003494545.1 | GCA_003494635.1 | GCA_003494655.1 | GCA_003494695.1 | GCA_004362455.1 | GCA_004368395.1 | GCA_004368535.1 | GCA_018373215.1 | GCA_019973675.1</t>
  </si>
  <si>
    <t>HM596277 | JN227763</t>
  </si>
  <si>
    <t>1.53 - 1.78 Mbps</t>
  </si>
  <si>
    <t>GCA_001043455.1 | GCA_001647695.1 | GCA_001647765.1 | GCA_001647795.1 | GCA_001647855.1 | GCA_001647875.1 | GCA_001647915.1 | GCA_002015155.1 | GCA_900109315.1 | GCA_900637315.1</t>
  </si>
  <si>
    <t>Bacillus ulceris | Coccobacillus ducreyi | Phylum: Proteobacteria</t>
  </si>
  <si>
    <t>AY513483</t>
  </si>
  <si>
    <t>1.81 - 2.01 Mbps</t>
  </si>
  <si>
    <t>GCA_900407385.1 | GCA_900450755.1 | GCA_900475885.1 | GCA_900637765.1 | GCA_000195005.1 | GCA_000197875.1 | GCA_000200475.1 | GCA_001679305.1 | GCA_001679335.1 | GCA_003351505.1 | GCA_003490865.1 | GCA_003493485.1 | GCA_005888175.1 | GCA_005888185.1 | GCA_005888195.1 | GCA_005888205.1 | GCA_005888215.1 | GCA_005888265.1 | GCA_008586745.1 | GCA_008586765.1 | GCA_008586785.1 | GCA_008586805.1 | GCA_008586825.1 | GCA_019930905.1</t>
  </si>
  <si>
    <t>Bacillus aegyptius | Bacillus conjunctivitidis | Bacterium aegyptiacum | Bacterium conjunctivitis | Bacterium pseudo | Hemophilus conjunctivitidis | Phylum: Proteobacteria</t>
  </si>
  <si>
    <t>M75044</t>
  </si>
  <si>
    <t>Pathogen (Abundance: No Data) | Unassigned</t>
  </si>
  <si>
    <t>3.96 - 4.34 Mbps</t>
  </si>
  <si>
    <t>GCA_943915015.1 | GCA_000740775.1 | GCA_002196895.1 | GCA_002196905.1</t>
  </si>
  <si>
    <t>1.74 - 1.89 Mbps</t>
  </si>
  <si>
    <t>GCA_000162475.2 | GCA_020735385.1</t>
  </si>
  <si>
    <t>Abiotrophia elegans | Phylum: Firmicutes</t>
  </si>
  <si>
    <t>Y15408</t>
  </si>
  <si>
    <t>Carnobacteriaceae</t>
  </si>
  <si>
    <t>1.80 - 2.03 Mbps</t>
  </si>
  <si>
    <t>GCA_000160675.1 | GCA_001071365.1 | GCA_001073445.1 | GCA_001806915.1 | GCA_001807725.1 | GCA_019931005.1 | GCA_025150565.1 | GCA_025150805.1 | GCA_025642215.1 | GCA_901873425.1 | GCA_902494015.1 | GCA_905197865.1 | GCA_905372625.1 | GCA_910575195.1 | GCA_910576065.1 | GCA_938028205.1</t>
  </si>
  <si>
    <t>Abiotrophia adiacens | Abiotrophia adjacens | Phylum: Firmicutes | Streptococcus adjacens</t>
  </si>
  <si>
    <t>D50540</t>
  </si>
  <si>
    <t>1.56 - 1.91 Mbps</t>
  </si>
  <si>
    <t>GCA_000204335.2 | GCA_000701685.1 | GCA_001052115.1 | GCA_002871615.1 | GCA_009730295.1 | GCA_012396635.1 | GCA_916720615.1 | GCA_937990745.1</t>
  </si>
  <si>
    <t>AY005051</t>
  </si>
  <si>
    <t>Gemellaceae</t>
  </si>
  <si>
    <t>1.53 - 1.79 Mbps</t>
  </si>
  <si>
    <t>GCA_000185645.1 | GCA_009730315.1 | GCA_015255285.1 | GCA_015255305.1 | GCA_020097435.1 | GCA_030225585.1 | GCA_030225625.1 | GCA_900476045.1 | GCA_902496485.1 | GCA_905371775.1 | GCA_937925415.1</t>
  </si>
  <si>
    <t>Diplococcus morbillorum | Peptostreptococcus morbillorum | Phylum: Firmicutes | Streptococcus morbillorum</t>
  </si>
  <si>
    <t>L14327 | Y13366</t>
  </si>
  <si>
    <t>ATCC 27824</t>
  </si>
  <si>
    <t>1.77 - 1.80 Mbps</t>
  </si>
  <si>
    <t>GCA_001553915.1 | GCA_003351945.1 | GCA_900120125.1</t>
  </si>
  <si>
    <t>1.78 - 1.93 Mbps</t>
  </si>
  <si>
    <t>GCA_028767065.1 | GCA_900638055.1 | GCA_937930665.1 | GCA_000173915.1 | GCA_001553035.1 | GCA_008692995.1 | GCA_018367315.1 | GCA_020097455.1</t>
  </si>
  <si>
    <t>Neisseria haemolysans | Phylum: Firmicutes</t>
  </si>
  <si>
    <t>L14326</t>
  </si>
  <si>
    <t>clade-626</t>
  </si>
  <si>
    <t>haemolysans</t>
  </si>
  <si>
    <t>1.92 - 2.08 Mbps</t>
  </si>
  <si>
    <t>GCA_901873445.1 | GCA_000204355.1 | GCA_012273215.1</t>
  </si>
  <si>
    <t>clade-434</t>
  </si>
  <si>
    <t>1.60 Mbps</t>
  </si>
  <si>
    <t>Gemella bergeri | Gemella bergeriae | Phylum: Firmicutes</t>
  </si>
  <si>
    <t>AY005050</t>
  </si>
  <si>
    <t>1.54 - 1.73 Mbps</t>
  </si>
  <si>
    <t>GCA_000178355.1 | GCA_000213955.1 | GCA_001042655.1 | GCA_003397685.1 | GCA_004336685.1 | GCA_023277545.1 | GCA_023277625.1 | GCA_023277665.1 | GCA_900105405.1 | GCA_900637625.1</t>
  </si>
  <si>
    <t>Class: Actinomycetia | Corynebacterium vaginale | Haemophilus hemolyticus | Haemophilus vaginalis | Phylum: Actinobacteria</t>
  </si>
  <si>
    <t>EF194095</t>
  </si>
  <si>
    <t>1.55 - 1.75 Mbps</t>
  </si>
  <si>
    <t>GCA_000025205.1 | GCA_001953155.1 | GCA_002884795.1 | GCA_003397705.1 | GCA_003397745.1 | GCA_013315145.1 | GCA_013315215.1 | GCA_023277705.1</t>
  </si>
  <si>
    <t>1.51 - 1.60 Mbps</t>
  </si>
  <si>
    <t>GCA_002884815.1 | GCA_003369875.1 | GCA_003369895.1 | GCA_003369935.1 | GCA_003369965.1 | GCA_003397585.1 | GCA_003397615.1 | GCA_023277565.1 | GCA_023277585.1 | GCA_029226345.1</t>
  </si>
  <si>
    <t>1.47 - 1.60 Mbps</t>
  </si>
  <si>
    <t>GCA_000263575.1 | GCA_002861125.1 | GCA_002861145.1 | GCA_002862065.1 | GCA_003293675.1 | GCA_003397635.1 | GCA_013315125.1 | GCA_013315135.1 | GCA_013315195.1 | GCA_013315255.1</t>
  </si>
  <si>
    <t>1.43 - 1.54 Mbps</t>
  </si>
  <si>
    <t>GCA_905373725.1 | GCA_916438985.1 | GCA_938046275.1 | GCA_000488855.1 | GCA_015256235.1</t>
  </si>
  <si>
    <t>U13038</t>
  </si>
  <si>
    <t>1.91 - 2.21 Mbps</t>
  </si>
  <si>
    <t>GCA_028621995.1 | GCA_037577715.1 | GCA_037889065.1 | GCA_037889095.1 | GCA_037889105.1 | GCA_037889115.1 | GCA_037889135.1 | GCA_037889145.1 | GCA_037889155.1 | GCA_037889165.1 | GCA_037889185.1 | GCA_037889195.1 | GCA_037889205.1 | GCA_037889215.1 | GCA_037889225.1 | GCA_037889245.1 | GCA_037889265.1 | GCA_037889335.1 | GCA_037889345.1 | GCA_037889365.1 | GCA_037953935.1 | GCA_037954595.1 | GCA_037954885.1 | GCA_037955165.1 | GCA_037975335.1 | GCA_008633215.1</t>
  </si>
  <si>
    <t>Fna C1; F.nucleatum_J; FNU</t>
  </si>
  <si>
    <t>Fusobacteriaceae</t>
  </si>
  <si>
    <t>1.84 - 2.27 Mbps</t>
  </si>
  <si>
    <t>GCA_000158255.2 | GCA_000162235.2 | GCA_000163915.2 | GCA_000279975.1 | GCA_000455965.1 | GCA_000479205.1 | GCA_001296125.1 | GCA_001810995.1 | GCA_001854465.1 | GCA_002749995.1 | GCA_002764055.1 | GCA_019552005.1 | GCA_022340165.1 | GCA_024140205.1 | GCA_028621975.1 | GCA_029846465.1 | GCA_037893545.1 | GCA_037895375.1 | GCA_037899945.1 | GCA_037904585.1 | GCA_037904615.1 | GCA_037911825.1 | GCA_037911835.1 | GCA_037911865.1 | GCA_045159925.1 | GCA_045159965.1 | GCA_900450795.1 | GCA_901873415.1 | GCA_902381645.1 | GCA_938030775.1</t>
  </si>
  <si>
    <t>Oral Clone AJ050 | Oral Clone CZ006 | Oral Clone R002 | Phylum: Fusobacteria | Species: nucleatum subsp. vincentii</t>
  </si>
  <si>
    <t>AF287805 | AF287806 | AF287810 | NZ_AABF02000026</t>
  </si>
  <si>
    <t>2.05 - 2.09 Mbps</t>
  </si>
  <si>
    <t>GCA_902469835.1 | GCA_937991325.1 | GCA_000235465.1</t>
  </si>
  <si>
    <t>Oral Strain KCL-W5205 | Phylum: Fusobacteria</t>
  </si>
  <si>
    <t>AF481217</t>
  </si>
  <si>
    <t>1.81 - 1.81 Mbps</t>
  </si>
  <si>
    <t>GCA_900095705.1 | GCA_902376175.1</t>
  </si>
  <si>
    <t>Oral Clone FL002 | Phylum: Fusobacteria</t>
  </si>
  <si>
    <t>sp. HMT-205</t>
  </si>
  <si>
    <t>HMT-205</t>
  </si>
  <si>
    <t>sp. HMT-204</t>
  </si>
  <si>
    <t>HMT-204</t>
  </si>
  <si>
    <t>Oral Clone CY024 | Oral Clone FV003 | Oral Clone I035 | Phylum: Fusobacteria</t>
  </si>
  <si>
    <t>AF287809 | AF287815</t>
  </si>
  <si>
    <t>sp. HMT-203</t>
  </si>
  <si>
    <t>HMT-203</t>
  </si>
  <si>
    <t>2.45 - 2.48 Mbps</t>
  </si>
  <si>
    <t>GCA_015552935.1 | GCA_026089295.1</t>
  </si>
  <si>
    <t>2.13 - 2.41 Mbps</t>
  </si>
  <si>
    <t>GCA_002761935.1 | GCA_002761955.1 | GCA_002763595.1 | GCA_002763625.1 | GCA_002763735.1 | GCA_002763775.1 | GCA_002763815.1 | GCA_002763925.1 | GCA_015255405.1 | GCA_916720735.1</t>
  </si>
  <si>
    <t>2.29 - 2.82 Mbps</t>
  </si>
  <si>
    <t>GCA_000153625.1 | GCA_000479185.1 | GCA_000523555.1 | GCA_000524235.1 | GCA_000524395.1 | GCA_001433955.1 | GCA_001455125.1 | GCA_001457555.1 | GCA_001815715.1 | GCA_002202115.1 | GCA_002204435.1 | GCA_002211625.1 | GCA_002417615.1 | GCA_002591465.1 | GCA_002591475.1 | GCA_002591505.1 | GCA_002591515.1 | GCA_002591545.1 | GCA_002591555.1 | GCA_002591585.1 | GCA_002591645.1 | GCA_002761915.1 | GCA_003226385.1 | GCA_003516445.1 | GCA_003932835.1 | GCA_013137915.1 | GCA_019552045.1 | GCA_019552065.1 | GCA_019583395.1 | GCA_022340045.1 | GCA_022340115.1 | GCA_024220095.1 | GCA_027682085.1 | GCA_027947475.1 | GCA_028735995.1 | GCA_037577875.1 | GCA_037577915.1 | GCA_037888965.1 | GCA_037888985.1 | GCA_037889025.1 | GCA_037893695.1 | GCA_037893865.1 | GCA_037897495.1 | GCA_037897555.1 | GCA_037897565.1 | GCA_037897635.1 | GCA_037897925.1 | GCA_037898185.1 | GCA_037899555.1 | GCA_037900625.1 | GCA_037904495.1 | GCA_037904605.1 | GCA_037904935.1 | GCA_037905975.1 | GCA_037906325.1 | GCA_037906365.1 | GCA_037911895.1 | GCA_037911965.1 | GCA_037911985.1 | GCA_037912005.1 | GCA_037912015.1 | GCA_045159995.1 | GCA_902375245.1</t>
  </si>
  <si>
    <t>Oral Clone BS019 | Phylum: Fusobacteria | Species: nucleatum subsp. polymorphum</t>
  </si>
  <si>
    <t>AF287812 | AF366265</t>
  </si>
  <si>
    <t>2.27 - 2.65 Mbps</t>
  </si>
  <si>
    <t>GCA_901873395.1 | GCA_902373915.1 | GCA_902374215.1 | GCA_000158215.3 | GCA_000160475.1 | GCA_000163935.1 | GCA_002763695.1 | GCA_002763875.1 | GCA_002763915.1 | GCA_003019755.1 | GCA_018371955.1</t>
  </si>
  <si>
    <t>Oral Clone BS011 | Phylum: Fusobacteria</t>
  </si>
  <si>
    <t>AF432130 | X55405</t>
  </si>
  <si>
    <t>1.67 - 2.47 Mbps</t>
  </si>
  <si>
    <t>GCA_000007325.1 | GCA_000178895.1 | GCA_000455945.1 | GCA_000479265.1 | GCA_001296165.1 | GCA_001296185.1 | GCA_001510735.1 | GCA_002211605.1 | GCA_002243405.1 | GCA_003019295.1 | GCA_003019785.1 | GCA_022340145.1 | GCA_031191795.1 | GCA_037889005.1 | GCA_037889055.1 | GCA_037889125.1 | GCA_037889175.1 | GCA_037889235.1 | GCA_037889255.1 | GCA_037889285.1 | GCA_037889315.1 | GCA_037889325.1 | GCA_037889375.1 | GCA_037889385.1 | GCA_037890135.1 | GCA_037900345.1 | GCA_037951365.1 | GCA_037952305.1 | GCA_037953125.1 | GCA_037955445.1 | GCA_902375195.1 | GCA_905372955.1 | GCA_937924985.1</t>
  </si>
  <si>
    <t>Phylum: Fusobacteria | Species: nucleatum subsp. nucleatum</t>
  </si>
  <si>
    <t>AJ133496</t>
  </si>
  <si>
    <t>1.68 - 2.95 Mbps</t>
  </si>
  <si>
    <t>GCA_022784125.1 | GCA_022787675.1 | GCA_030180395.1 | GCA_030180405.1 | GCA_030180445.1 | GCA_030180465.1 | GCA_030180475.1 | GCA_030180485.1 | GCA_030180505.1 | GCA_030180545.1 | GCA_030180565.1 | GCA_030180575.1 | GCA_030180585.1 | GCA_030180625.1 | GCA_030180645.1 | GCA_030180665.1 | GCA_030180685.1 | GCA_030180695.1 | GCA_030180725.1 | GCA_030180765.1 | GCA_030180785.1 | GCA_030180805.1 | GCA_030180825.1 | GCA_030180835.1 | GCA_030180865.1 | GCA_030180885.1 | GCA_030180905.1 | GCA_030180925.1 | GCA_900104395.1 | GCA_902386295.1 | GCA_905188175.1 | GCA_934101525.1 | GCA_938023115.1 | GCA_945828425.1 | GCA_945873285.1 | GCA_000158295.2 | GCA_000262225.1 | GCA_000292975.1 | GCA_000600355.1 | GCA_000622045.1 | GCA_000691645.1 | GCA_000691705.1 | GCA_000691745.1 | GCA_000814775.1 | GCA_001596475.1 | GCA_001596485.1 | GCA_001596495.1 | GCA_001597305.1 | GCA_001597315.1 | GCA_001597325.1 | GCA_001597335.1 | GCA_001597385.1 | GCA_001597395.1 | GCA_001597405.1 | GCA_001597445.1 | GCA_001597465.1 | GCA_001597475.1 | GCA_001597485.1 | GCA_001597525.1 | GCA_001597545.1 | GCA_001597565.1 | GCA_001597575.1 | GCA_002761995.1 | GCA_002762025.1 | GCA_003019715.1 | GCA_003732505.1 | GCA_003732525.1 | GCA_003812825.1 | GCA_004006635.1 | GCA_004134945.1 | GCA_004134955.1 | GCA_008801775.1 | GCA_018205295.1 | GCA_018205675.1 | GCA_018206505.1 | GCA_018206635.1 | GCA_021443685.1</t>
  </si>
  <si>
    <t>Acinomyces pseudonecrophorus | Actinomyces necrophorus | Bacillus necrophorus | Bacillus necroseos | Bacillus necrosus | Bacterium necrophorum | Bacteroides necrophorus | Corynebacterium necrophorum | Fusiformis hemolyticus | Fusiformis necrophorus | Necrobacterium necrophorus | Phylum: Fusobacteria | Proactinomyces necrophorus | Sphaerophorus necrophorus | Sphaerophorus pseudonecrophorus | Streptothrix necrophorus | Streptothrix necuphtora</t>
  </si>
  <si>
    <t>AF044948</t>
  </si>
  <si>
    <t>naviforme</t>
  </si>
  <si>
    <t>HMT-689</t>
  </si>
  <si>
    <t>2.28 - 2.53 Mbps</t>
  </si>
  <si>
    <t>GCA_000292935.1 | GCA_000455865.1 | GCA_000455885.1 | GCA_000455905.1 | GCA_000455925.1 | GCA_001455085.1 | GCA_001455105.1 | GCA_001455145.1 | GCA_014217355.1 | GCA_014217375.1 | GCA_019551945.1</t>
  </si>
  <si>
    <t>ChDC F128(T)</t>
  </si>
  <si>
    <t>1.62 - 1.93 Mbps</t>
  </si>
  <si>
    <t>GCA_902373895.1 | GCA_905204445.1 | GCA_938014255.1 | GCA_946997625.1 | GCA_000158235.1 | GCA_000158835.2 | GCA_001546395.1 | GCA_003019695.1</t>
  </si>
  <si>
    <t>Phylum: Fusobacteria | Previously provisional taxon B92</t>
  </si>
  <si>
    <t>GQ179686 | M58679</t>
  </si>
  <si>
    <t>ATCC 25563 | DSM 19810</t>
  </si>
  <si>
    <t>2.12 - 3.00 Mbps</t>
  </si>
  <si>
    <t>GCA_023383525.1 | GCA_023383545.1 | GCA_023383575.1 | GCA_023383605.1 | GCA_023383645.1 | GCA_028657925.1 | GCA_028743415.1 | GCA_037578015.1 | GCA_037578025.1 | GCA_037888955.1 | GCA_037888975.1 | GCA_037888995.1 | GCA_037889015.1 | GCA_037889035.1 | GCA_037889045.1 | GCA_037889275.1 | GCA_037893335.1 | GCA_037896705.1 | GCA_037897415.1 | GCA_037897425.1 | GCA_037897485.1 | GCA_037897505.1 | GCA_037897515.1 | GCA_037897535.1 | GCA_037897545.1 | GCA_037904225.1 | GCA_037904575.1 | GCA_037904595.1 | GCA_037904725.1 | GCA_037905245.1 | GCA_037906355.1 | GCA_037906395.1 | GCA_037906465.1 | GCA_037907055.1 | GCA_037908355.1 | GCA_037909675.1 | GCA_037911025.1 | GCA_037911815.1 | GCA_037911845.1 | GCA_037911855.1 | GCA_037911875.1 | GCA_037911885.1 | GCA_037911905.1 | GCA_037911915.1 | GCA_037911925.1 | GCA_037911935.1 | GCA_037911945.1 | GCA_037911955.1 | GCA_037911975.1 | GCA_037912025.1 | GCA_037912275.1 | GCA_045159905.1 | GCA_045159915.1 | GCA_045159935.1 | GCA_045159945.1 | GCA_045159955.1 | GCA_045159985.1 | GCA_902373855.1 | GCA_905203515.1 | GCA_938035375.1 | GCA_959021795.1 | GCA_000158275.2 | GCA_000158535.2 | GCA_000162355.2 | GCA_000218645.2 | GCA_000218655.1 | GCA_000234075.2 | GCA_000242975.1 | GCA_000273605.1 | GCA_000273625.1 | GCA_000400875.1 | GCA_000433695.1 | GCA_000455985.1 | GCA_000479225.1 | GCA_000479245.1 | GCA_000479285.1 | GCA_000524215.1 | GCA_001296085.1 | GCA_001296145.1 | GCA_001546435.1 | GCA_001813745.1 | GCA_002211645.1 | GCA_002573475.1 | GCA_002762005.1 | GCA_002762015.1 | GCA_002884895.1 | GCA_019552085.1 | GCA_019552105.1 | GCA_019552125.1 | GCA_022340105.1</t>
  </si>
  <si>
    <t>Oral Clone C4AKM033 | Oral Clone C4AKM080 | Phylum: Fusobacteria | Species: nucleatum subsp. animalis</t>
  </si>
  <si>
    <t>AY278616 | AY278617 | X55404</t>
  </si>
  <si>
    <t>Oral Clone D084 | Phylum: Synergistetes</t>
  </si>
  <si>
    <t>AF125200</t>
  </si>
  <si>
    <t>sp. HMT-362</t>
  </si>
  <si>
    <t>Synergistaceae</t>
  </si>
  <si>
    <t>HMT-362</t>
  </si>
  <si>
    <t>Family: Synergistaceae | Oral Clone D006 | Oral Clone JV023 | Oral Clone MCE7_5 | Phylum: Synergistetes</t>
  </si>
  <si>
    <t>AF125201 | AF481214 | AY349372</t>
  </si>
  <si>
    <t>sp. HMT-361</t>
  </si>
  <si>
    <t>HMT-361</t>
  </si>
  <si>
    <t>Family: Synergistaceae | Oral Clone BH017 | Phylum: Synergistetes</t>
  </si>
  <si>
    <t>AF125199</t>
  </si>
  <si>
    <t>sp. HMT-360</t>
  </si>
  <si>
    <t>HMT-360</t>
  </si>
  <si>
    <t>Family: Synergistaceae | Oral Clone BH007 | Phylum: Synergistetes</t>
  </si>
  <si>
    <t>AY005447</t>
  </si>
  <si>
    <t>sp. HMT-359</t>
  </si>
  <si>
    <t>HMT-359</t>
  </si>
  <si>
    <t>Family: Synergistaceae | Oral Clone BB062 | Phylum: Synergistetes</t>
  </si>
  <si>
    <t>AY005445</t>
  </si>
  <si>
    <t>sp. HMT-358</t>
  </si>
  <si>
    <t>HMT-358</t>
  </si>
  <si>
    <t>1.87 - 2.73 Mbps</t>
  </si>
  <si>
    <t>GCA_905372005.1 | GCA_000210715.1</t>
  </si>
  <si>
    <t>Family: Synergistaceae | Oral Clone MCE2_120 | Oral Clone W028 | Oral Clone W090 | Phylum: Synergistetes | Strain SGP1</t>
  </si>
  <si>
    <t>AF125202 | AF125203 | AF481215</t>
  </si>
  <si>
    <t>DSM 25557 | JCM 16858 | SGP1</t>
  </si>
  <si>
    <t>Oral Clone AZ105 | Phylum: Bacteroidetes</t>
  </si>
  <si>
    <t>AF385548</t>
  </si>
  <si>
    <t>sp. HMT-320</t>
  </si>
  <si>
    <t>Flavitalea</t>
  </si>
  <si>
    <t>HMT-320</t>
  </si>
  <si>
    <t>1.74 - 2.09 Mbps</t>
  </si>
  <si>
    <t>GCA_902373555.1 | GCA_000010185.1 | GCA_000159695.1 | GCA_002243215.1 | GCA_003182075.1 | GCA_013267535.1 | GCA_020297555.1 | GCA_020731325.1 | GCA_020735625.1 | GCA_020736065.1</t>
  </si>
  <si>
    <t>Diplococcus magnus | Peptococcus magnus | Peptostreptococcus magnus | Phylum: Firmicutes</t>
  </si>
  <si>
    <t>D14149</t>
  </si>
  <si>
    <t>ATCC 15794</t>
  </si>
  <si>
    <t>1.47 - 1.93 Mbps</t>
  </si>
  <si>
    <t>GCA_000163895.2 | GCA_905372415.1 | GCA_937959765.1</t>
  </si>
  <si>
    <t>Fusobacterium alocis | Phylum: Firmicutes</t>
  </si>
  <si>
    <t>AJ006962</t>
  </si>
  <si>
    <t>1.42 - 1.87 Mbps</t>
  </si>
  <si>
    <t>GCA_023347705.1 | GCA_900176625.1 | GCA_902488615.1 | GCA_937940695.1 | GCA_947090005.1 | GCA_947254675.1 | GCA_000312505.3 | GCA_001811395.1 | GCA_002998695.1</t>
  </si>
  <si>
    <t>1.17 - 1.79 Mbps</t>
  </si>
  <si>
    <t>GCA_943913635.1 | GCA_947254855.1 | GCA_002998295.1</t>
  </si>
  <si>
    <t>KF098649</t>
  </si>
  <si>
    <t>1.42 - 1.52 Mbps</t>
  </si>
  <si>
    <t>GCA_900445305.1 | GCA_947087685.1 | GCA_947252725.1 | GCA_000159235.2 | GCA_000178335.1 | GCA_001049775.1 | GCA_001562845.1 | GCA_016026575.1 | GCA_019400095.1</t>
  </si>
  <si>
    <t>AF325325</t>
  </si>
  <si>
    <t>2.31 - 3.00 Mbps</t>
  </si>
  <si>
    <t>GCA_938039355.1 | GCA_018128285.1</t>
  </si>
  <si>
    <t>Oral Clone C3MLM018 | Phylum: Actinobacteria</t>
  </si>
  <si>
    <t>AY278623</t>
  </si>
  <si>
    <t>2.97 - 3.27 Mbps</t>
  </si>
  <si>
    <t>GCA_022750565.1 | GCA_023347355.1 | GCA_027683585.1 | GCA_902373685.1 | GCA_000154385.1 | GCA_003312465.1 | GCA_003324185.1 | GCA_019969405.1 | GCA_019969415.1 | GCA_019969455.1</t>
  </si>
  <si>
    <t>3.90 - 4.74 Mbps</t>
  </si>
  <si>
    <t>GCA_000807675.2 | GCA_003182515.1 | GCA_020559625.1 | GCA_023520755.1 | GCA_027680525.1 | GCA_028861895.1 | GCA_900683775.1 | GCA_902373365.1</t>
  </si>
  <si>
    <t>Bacteroides limosus | Butyribacterium limosum | Butyribacterium rettgeri | Mycobacterium limosum | Phylum: Firmicutes</t>
  </si>
  <si>
    <t>M59120</t>
  </si>
  <si>
    <t>4.69 - 5.56 Mbps</t>
  </si>
  <si>
    <t>GCA_902825205.1 | GCA_000010485.1 | GCA_000019425.1 | GCA_000184185.1 | GCA_000210475.1 | GCA_000257275.1 | GCA_000520055.1 | GCA_003697165.2 | GCA_011045235.1 | GCA_014169775.1</t>
  </si>
  <si>
    <t>Bacillus coli | Bacterium coli | Phylum: Proteobacteria</t>
  </si>
  <si>
    <t>Gastrointestinal Tract (Abundance: Medium) | Unassigned</t>
  </si>
  <si>
    <t>3.22 Mbps</t>
  </si>
  <si>
    <t>Oral Clone BF019 | Phylum: Proteobacteria</t>
  </si>
  <si>
    <t>AJ223452</t>
  </si>
  <si>
    <t>3.24 - 3.34 Mbps</t>
  </si>
  <si>
    <t>GCA_009828055.1 | GCA_014195675.1</t>
  </si>
  <si>
    <t>AF465837</t>
  </si>
  <si>
    <t>Erysipelotrichaceae bacterium clone DL151 | Erysipelotrichaceae bacterium K2 | Phylum: Firmicutes</t>
  </si>
  <si>
    <t>JQ406538</t>
  </si>
  <si>
    <t>bacterium HMT-905</t>
  </si>
  <si>
    <t>Erysipelotrichaceae [G1]</t>
  </si>
  <si>
    <t>HMT-905</t>
  </si>
  <si>
    <t>Erysipelotrichaceae bacterium clone BL163 | Erysipelotrichaceae bacterium K1 | Phylum: Firmicutes</t>
  </si>
  <si>
    <t>JQ406531</t>
  </si>
  <si>
    <t>bacterium HMT-904</t>
  </si>
  <si>
    <t>HMT-904</t>
  </si>
  <si>
    <t>1.93 Mbps</t>
  </si>
  <si>
    <t>Erysipelothrix rhusiopathiae | Phylum: Firmicutes</t>
  </si>
  <si>
    <t>AB034201</t>
  </si>
  <si>
    <t>Phylum: WPS-2</t>
  </si>
  <si>
    <t>bacterium HMT-999</t>
  </si>
  <si>
    <t>Eremiobacterota [C1 O1 F1 G1]</t>
  </si>
  <si>
    <t>Eremiobacterota [C1 O1 F1]</t>
  </si>
  <si>
    <t>Eremiobacterota [C1 O1]</t>
  </si>
  <si>
    <t>Eremiobacterota [C1]</t>
  </si>
  <si>
    <t>Eremiobacterota</t>
  </si>
  <si>
    <t>HMT-999</t>
  </si>
  <si>
    <t>2.56 - 2.64 Mbps</t>
  </si>
  <si>
    <t>GCA_029023825.1 | GCA_000407005.1 | GCA_000407285.1 | GCA_001886235.1</t>
  </si>
  <si>
    <t>Phylum: Firmicutes | Streptococcus saccharolyticus</t>
  </si>
  <si>
    <t>AF061004</t>
  </si>
  <si>
    <t>Enterococcaceae</t>
  </si>
  <si>
    <t>GCA_000185365.1 | GCA_001885995.1 | GCA_002438315.1 | GCA_023743875.1 | GCA_023744155.1 | GCA_925282535.1 | GCA_925293305.1 | GCA_934232835.1</t>
  </si>
  <si>
    <t>Enterococcus saccharomininmus | Phylum: Firmicutes</t>
  </si>
  <si>
    <t>AJ626902</t>
  </si>
  <si>
    <t>CCUG 50447 | DSM 15952</t>
  </si>
  <si>
    <t>2.83 - 3.29 Mbps</t>
  </si>
  <si>
    <t>GCA_022648595.1 | GCA_023299425.1 | GCA_024579795.1 | GCA_000392875.1 | GCA_001544235.1 | GCA_005158025.1 | GCA_013344645.1 | GCA_017280035.1 | GCA_022212925.1</t>
  </si>
  <si>
    <t>Enterococcus proteiformis | Enterocoque | Enterocoque Thiercelin | Micrococcus ovalis | Micrococcus zymogenes | Phylum: Firmicutes | Streptococcus faecalis | Streptococcus glycerinaceus | Streptococcus liquefaciens</t>
  </si>
  <si>
    <t>Y18293</t>
  </si>
  <si>
    <t>2.93 - 3.14 Mbps</t>
  </si>
  <si>
    <t>GCA_001267395.1 | GCA_001267865.1 | GCA_001544215.1 | GCA_002277935.1 | GCA_005157865.1 | GCA_015999505.1 | GCA_019048325.1 | GCA_023375285.1 | GCA_028335325.1 | GCA_028335645.1</t>
  </si>
  <si>
    <t>Phylum: Firmicutes | Streptococcus durans</t>
  </si>
  <si>
    <t>AJ420801</t>
  </si>
  <si>
    <t>ATCC 19432</t>
  </si>
  <si>
    <t>3.34 - 3.82 Mbps</t>
  </si>
  <si>
    <t>GCA_000157355.2 | GCA_001544095.1 | GCA_001558875.2 | GCA_001885845.1 | GCA_003641225.1 | GCA_016127635.1 | GCA_022870765.1 | GCA_023523715.1 | GCA_900447665.1</t>
  </si>
  <si>
    <t>Enterococcus flavescens | Phylum: Firmicutes | Streptococcus casseliflavus | Streptococcus faecium</t>
  </si>
  <si>
    <t>AF039899</t>
  </si>
  <si>
    <t>Gastrointestinal Tract (Abundance: Scarce) | Opportunistic Pathogen (Abundance: No data)</t>
  </si>
  <si>
    <t>4.68 - 5.06 Mbps</t>
  </si>
  <si>
    <t>GCA_025311535.1 | GCA_905232535.2 | GCA_000213995.1 | GCA_000814205.1 | GCA_001875655.1 | GCA_002003685.1 | GCA_013726395.1 | GCA_013747035.1</t>
  </si>
  <si>
    <t>CDC Enteric Group 75 | Phylum: Proteobacteria</t>
  </si>
  <si>
    <t>AJ853890</t>
  </si>
  <si>
    <t>4.59 - 5.19 Mbps</t>
  </si>
  <si>
    <t>GCA_029967835.1 | GCA_904425455.1 | GCA_002850575.1 | GCA_002891235.1 | GCA_005233655.1 | GCA_005503595.1 | GCA_009648915.1 | GCA_019047785.1 | GCA_019665745.1 | GCA_019880465.1</t>
  </si>
  <si>
    <t>CDC Enteric Group 19 | Enterobacter taylorae | Erwinia cancerogena | Phylum: Proteobacteria</t>
  </si>
  <si>
    <t>Z96078</t>
  </si>
  <si>
    <t>Family: Rhodospirillales_[F-1] | Order: Rhodospirillales | Phylum: Proteobacteria</t>
  </si>
  <si>
    <t>aerosaccus</t>
  </si>
  <si>
    <t>Enhydrobacter</t>
  </si>
  <si>
    <t>HMT-196</t>
  </si>
  <si>
    <t>Oral Strain UB-204 | Phylum: Proteobacteria</t>
  </si>
  <si>
    <t>L06165</t>
  </si>
  <si>
    <t>sp. HMT-011</t>
  </si>
  <si>
    <t>HMT-011</t>
  </si>
  <si>
    <t>2.07 - 2.46 Mbps</t>
  </si>
  <si>
    <t>GCA_000158615.1 | GCA_000504685.1 | GCA_001076785.1 | GCA_001648235.1 | GCA_001648245.1 | GCA_001648255.1 | GCA_001648265.1 | GCA_001648315.1 | GCA_001648335.1 | GCA_001809035.1 | GCA_001811325.1 | GCA_001815545.1 | GCA_002204395.1 | GCA_003990355.1 | GCA_009650805.1 | GCA_009650815.1 | GCA_009650825.1 | GCA_009650835.1 | GCA_009650845.1 | GCA_009650905.1 | GCA_009650925.1 | GCA_009650945.1 | GCA_019930845.1 | GCA_900187105.1 | GCA_905373135.1 | GCA_938022445.1</t>
  </si>
  <si>
    <t>Bacteroides corrodens | Phylum: Proteobacteria | Ristella corrodens</t>
  </si>
  <si>
    <t>M22512</t>
  </si>
  <si>
    <t>1.70 - 1.95 Mbps</t>
  </si>
  <si>
    <t>GCA_000340375.1 | GCA_000422605.1 | GCA_937921715.1</t>
  </si>
  <si>
    <t>Bacteroides catenaformis | Catenabacterium catenaforme | Lactobacillus catenaforme | Phylum: Firmicutes</t>
  </si>
  <si>
    <t>M23729</t>
  </si>
  <si>
    <t>ATCC 25536</t>
  </si>
  <si>
    <t>Coprobacillaceae</t>
  </si>
  <si>
    <t>3.26 - 3.63 Mbps</t>
  </si>
  <si>
    <t>GCA_000024265.1 | GCA_002148255.1 | GCA_003339975.1 | GCA_003340105.1 | GCA_021378605.1 | GCA_021378625.1 | GCA_021378645.1 | GCA_021378665.1 | GCA_021378685.1 | GCA_021378725.1</t>
  </si>
  <si>
    <t>Bacteroides lentus | Eubacterium lentum | Phylum: Actinobacteria | Pseudobacterium lentum</t>
  </si>
  <si>
    <t>AF292375</t>
  </si>
  <si>
    <t>1.76 - 2.12 Mbps</t>
  </si>
  <si>
    <t>GCA_000245815.1 | GCA_002005795.1 | GCA_003263915.2 | GCA_003263965.1 | GCA_003263975.1 | GCA_003264005.1 | GCA_003264045.1 | GCA_003264065.1 | GCA_003264085.1 | GCA_003264135.1 | GCA_003264145.1 | GCA_007197715.1 | GCA_017655645.1 | GCA_017655665.1 | GCA_017655685.1 | GCA_017655705.1 | GCA_017655725.1 | GCA_017655745.1 | GCA_017655765.1 | GCA_017655785.1 | GCA_017655805.1 | GCA_017655825.1 | GCA_017655845.1 | GCA_017655865.1 | GCA_017655885.1 | GCA_017655905.1 | GCA_017655925.1 | GCA_017655945.1 | GCA_017655965.1 | GCA_905071805.1 | GCA_937876575.1 | GCA_943914075.1</t>
  </si>
  <si>
    <t>X70907</t>
  </si>
  <si>
    <t>3.38 - 3.88 Mbps</t>
  </si>
  <si>
    <t>GCA_001570845.1 | GCA_001571065.1 | GCA_001630765.1 | GCA_002999155.1 | GCA_003122005.1 | GCA_004346635.1 | GCA_016905945.1 | GCA_025145775.1 | GCA_025145915.1 | GCA_025147785.1 | GCA_025148845.1 | GCA_025148875.1 | GCA_025149095.1 | GCA_025149385.1 | GCA_025149585.1 | GCA_025150455.1 | GCA_025150485.1 | GCA_025150495.1 | GCA_025150625.1 | GCA_025150635.1 | GCA_025150665.1 | GCA_025150765.1 | GCA_025150845.1 | GCA_025151505.1 | GCA_025151765.1 | GCA_025151785.1 | GCA_025151825.1 | GCA_025151925.1 | GCA_025152065.1 | GCA_025152095.1</t>
  </si>
  <si>
    <t>Class: Actinomycetia | Oral Strain KCL-W5195 | Order: Corynebacteriales | Phylum: Actinobacteria</t>
  </si>
  <si>
    <t>AF481211</t>
  </si>
  <si>
    <t>CCUG 50875</t>
  </si>
  <si>
    <t>Dietziaceae</t>
  </si>
  <si>
    <t>Oral Clone BS016 | Oral Clone MCE7_134 | Phylum: Firmicutes</t>
  </si>
  <si>
    <t>AF287786 | AF481210</t>
  </si>
  <si>
    <t>sp. HMT-119</t>
  </si>
  <si>
    <t>HMT-119</t>
  </si>
  <si>
    <t>1.24 - 1.31 Mbps</t>
  </si>
  <si>
    <t>GCA_902471235.1 | GCA_938021145.1 | GCA_959023905.1 | GCA_000438335.1 | GCA_001717505.1 | GCA_003570845.1 | GCA_018377045.1</t>
  </si>
  <si>
    <t>Bacillus pneumosintes | Bacterium pneumosintes | Bacteroides pneumosintes | Phylum: Firmicutes</t>
  </si>
  <si>
    <t>X82500</t>
  </si>
  <si>
    <t>1.16 - 1.41 Mbps</t>
  </si>
  <si>
    <t>GCA_030227545.1 | GCA_030228535.1 | GCA_946892155.1 | GCA_946999455.1 | GCA_947039085.1 | GCA_947090205.1 | GCA_947252495.1 | GCA_000183445.2 | GCA_000194985.1</t>
  </si>
  <si>
    <t>Dialister micraerophilus | Phylum: Firmicutes</t>
  </si>
  <si>
    <t>AF473837</t>
  </si>
  <si>
    <t>Vaginal (Abundance: Medium) | Oral (Abundance: Low)</t>
  </si>
  <si>
    <t>1.57 - 2.53 Mbps</t>
  </si>
  <si>
    <t>GCA_000160055.1 | GCA_000433275.1 | GCA_009739355.1 | GCA_014872435.1 | GCA_015256265.1 | GCA_018364995.1 | GCA_018374535.1 | GCA_018375345.1 | GCA_018378815.1 | GCA_020564385.1 | GCA_022716635.1 | GCA_030839305.1 | GCA_030842425.1 | GCA_030843135.1 | GCA_902492845.1 | GCA_905210985.1 | GCA_905373435.1 | GCA_934831285.1 | GCA_934838025.1 | GCA_934875275.1 | GCA_938036385.1 | GCA_943914495.1 | GCA_947002055.1 | GCA_958346815.1 | GCA_958347515.1 | GCA_958402775.1 | GCA_958403305.1 | GCA_958406395.1 | GCA_958424575.1 | GCA_958434275.1 | GCA_958440135.1 | GCA_958443835.1 | GCA_958449315.1 | GCA_958454085.1 | GCA_958455085.1 | GCA_959023485.1 | GCA_959023855.1 | GCA_959027405.1 | GCA_959596705.1 | GCA_959605405.1</t>
  </si>
  <si>
    <t>Oral Clone BS095 | Oral Strain GBA27 | Phylum: Firmicutes</t>
  </si>
  <si>
    <t>AF287787 | AF287788</t>
  </si>
  <si>
    <t>Oral (Abundance: Medium) | Gastrointestinal Tract (Abundance: Medium)</t>
  </si>
  <si>
    <t>Class: Deltaproteobacteria | Oral Clone BB161 | Phylum: Proteobacteria</t>
  </si>
  <si>
    <t>AY005035</t>
  </si>
  <si>
    <t>sp. HMT-040</t>
  </si>
  <si>
    <t>Desulfovibrionaceae</t>
  </si>
  <si>
    <t>Desulfovibrionales</t>
  </si>
  <si>
    <t>Deltaproteobacteria</t>
  </si>
  <si>
    <t>HMT-040</t>
  </si>
  <si>
    <t>3.02 - 3.85 Mbps</t>
  </si>
  <si>
    <t>GCA_000145315.2 | GCA_000224635.1 | GCA_001553605.1 | GCA_022834915.1 | GCA_022835475.1 | GCA_023404035.1 | GCA_023448035.1 | GCA_023452175.1 | GCA_902373605.1 | GCA_959023915.1</t>
  </si>
  <si>
    <t>Class: Deltaproteobacteria | Phylum: Proteobacteria</t>
  </si>
  <si>
    <t>AJ251630</t>
  </si>
  <si>
    <t>2.78 Mbps</t>
  </si>
  <si>
    <t>Class: Deltaproteobacteria | Desulfomicrobium oralis | Phylum: Proteobacteria</t>
  </si>
  <si>
    <t>AJ251623</t>
  </si>
  <si>
    <t>Desulfomicrobiaceae</t>
  </si>
  <si>
    <t>2.43 - 2.77 Mbps</t>
  </si>
  <si>
    <t>GCA_002952055.1 | GCA_905373745.1 | GCA_938038765.1</t>
  </si>
  <si>
    <t>Class: Deltaproteobacteria | Oral Clone R004 | Order: Desulfobacterales | Phylum: Proteobacteria</t>
  </si>
  <si>
    <t>AY005037</t>
  </si>
  <si>
    <t>Desulfobulbaceae</t>
  </si>
  <si>
    <t>Desulfobacterales</t>
  </si>
  <si>
    <t>2.07 - 2.51 Mbps</t>
  </si>
  <si>
    <t>GCA_000413375.1 | GCA_000775415.1 | GCA_001570785.1 | GCA_001807345.1 | GCA_001807585.1 | GCA_002443115.1 | GCA_002847685.2 | GCA_020736445.1 | GCA_025144805.1 | GCA_025145325.1 | GCA_025146485.1 | GCA_025147145.1 | GCA_025149065.1 | GCA_025149405.1 | GCA_025149545.1 | GCA_025150875.1 | GCA_025150985.1 | GCA_025151025.1 | GCA_025151115.1 | GCA_030234045.1 | GCA_902381725.1 | GCA_946221715.1 | GCA_947252715.1</t>
  </si>
  <si>
    <t>Dermabacteraceae</t>
  </si>
  <si>
    <t>6.35 - 7.15 Mbps</t>
  </si>
  <si>
    <t>GCA_000018665.1 | GCA_000214395.1 | GCA_000741825.1 | GCA_001598795.1 | GCA_001886655.1 | GCA_013423845.1 | GCA_016026535.1 | GCA_016027075.1 | GCA_016027775.1 | GCA_026970895.1</t>
  </si>
  <si>
    <t>Comamonas acidivorans | Comamonas acidovorans | Phylum: Proteobacteria | Pseudomonas acidovorans | Pseudomonas desmolytica | Pseudomonas indoloxidans</t>
  </si>
  <si>
    <t>AB020186</t>
  </si>
  <si>
    <t>2.36 - 2.43 Mbps</t>
  </si>
  <si>
    <t>GCA_030236405.1 | GCA_030239395.1 | GCA_030239425.1 | GCA_900343115.1 | GCA_946221685.1 | GCA_000221145.2 | GCA_001642025.1 | GCA_003384605.1</t>
  </si>
  <si>
    <t>Skin (Abundance: Medium) | Nasal (Abundance: Low)</t>
  </si>
  <si>
    <t>2.53 - 2.88 Mbps</t>
  </si>
  <si>
    <t>GCA_000144085.1 | GCA_000145075.1 | GCA_000145415.1 | GCA_000204235.2 | GCA_001717565.1 | GCA_003384615.1 | GCA_004793845.1 | GCA_008326345.1 | GCA_019704575.1 | GCA_024172845.1 | GCA_024172855.1 | GCA_024172895.1 | GCA_900604505.1 | GCA_936919775.1 | GCA_943912935.1</t>
  </si>
  <si>
    <t>Class: Actinomycetia | Oral Strain TFI-MetC3 | Phylum: Actinobacteria | Species: sp._HMT_193</t>
  </si>
  <si>
    <t>Skin (Abundance: Low) | Unassigned</t>
  </si>
  <si>
    <t>2.07 - 2.24 Mbps</t>
  </si>
  <si>
    <t>GCA_030295285.1 | GCA_030826365.1 | GCA_900186975.1 | GCA_902482805.1 | GCA_936919845.1 | GCA_943912955.1 | GCA_000464495.1 | GCA_000477715.1 | GCA_001700755.2</t>
  </si>
  <si>
    <t>Class: Actinomycetia | Corynebacterium granulosum | Phylum: Actinobacteria | Propionibacterium granulosum</t>
  </si>
  <si>
    <t>2.44 - 2.81 Mbps</t>
  </si>
  <si>
    <t>GCA_024104815.1 | GCA_024104825.1 | GCA_024104855.1 | GCA_024104875.1 | GCA_024104895.1 | GCA_024104915.1 | GCA_024104925.1 | GCA_024104955.1 | GCA_024104975.1 | GCA_024104995.1 | GCA_024105015.1 | GCA_024105025.1 | GCA_024105055.1 | GCA_024105075.1 | GCA_024105095.1 | GCA_024105125.1 | GCA_025143865.1 | GCA_026461725.1 | GCA_026461745.1 | GCA_027662445.1 | GCA_027690995.1 | GCA_027697045.1 | GCA_030219045.1 | GCA_030219165.1 | GCA_030219185.1 | GCA_030223345.1 | GCA_030296035.1 | GCA_031158355.1 | GCA_031158565.1 | GCA_031158635.1 | GCA_031158775.1 | GCA_902375045.1 | GCA_937920795.1 | GCA_947254495.1 | GCA_959023615.1 | GCA_000227295.1 | GCA_000367205.1 | GCA_000413335.1 | GCA_000477675.1 | GCA_000477695.1 | GCA_000477735.1 | GCA_000477795.1 | GCA_001546875.1 | GCA_001692965.1 | GCA_001714705.1 | GCA_001866575.1 | GCA_001866585.1 | GCA_001866625.1 | GCA_002578695.1 | GCA_002578705.1 | GCA_002578765.1 | GCA_002578825.1 | GCA_002578835.1 | GCA_003426585.1 | GCA_005796055.1 | GCA_005937655.1 | GCA_016766735.1 | GCA_016766755.1 | GCA_016834535.1 | GCA_018370865.1 | GCA_018375015.1 | GCA_018375595.1 | GCA_019704095.1 | GCA_019704115.1 | GCA_022346865.1</t>
  </si>
  <si>
    <t>Bacteroides avidus | Class: Actinomycetia | Corynebacterium avidum | Mycobacterium avidum | Phylum: Actinobacteria | Propionibacterium avidum</t>
  </si>
  <si>
    <t>AJ003055</t>
  </si>
  <si>
    <t>2.45 - 2.60 Mbps</t>
  </si>
  <si>
    <t>GCA_000008345.1 | GCA_000025765.1 | GCA_000213155.1 | GCA_000217615.1 | GCA_000221085.2 | GCA_000231215.1 | GCA_000240015.1 | GCA_000240035.1 | GCA_000240055.1 | GCA_000302515.1 | GCA_000376705.1 | GCA_000472405.1 | GCA_000477655.1 | GCA_000477755.1 | GCA_000477775.1 | GCA_000477835.1 | GCA_000477855.1 | GCA_000709495.1 | GCA_000730485.1 | GCA_001281065.1 | GCA_001469555.1 | GCA_001469565.1 | GCA_001469595.1 | GCA_001469615.1 | GCA_001469635.1 | GCA_001469655.1 | GCA_003030305.1 | GCA_003226435.1 | GCA_003384195.1 | GCA_003384225.1 | GCA_003384255.1 | GCA_003384285.1 | GCA_003384415.1 | GCA_003384445.1 | GCA_003384465.1 | GCA_003384485.1 | GCA_003384495.1 | GCA_003384525.1 | GCA_003384535.1 | GCA_003384555.1 | GCA_003390995.1 | GCA_003425775.1 | GCA_003425855.1 | GCA_003426225.1 | GCA_003426255.1 | GCA_003426685.1 | GCA_003798465.1 | GCA_003812785.1 | GCA_004136195.1 | GCA_004136215.1 | GCA_005773845.1 | GCA_005773885.1 | GCA_005773905.1 | GCA_005773925.1 | GCA_005773965.1 | GCA_005774105.1 | GCA_005774145.1 | GCA_005774205.1 | GCA_005774245.1 | GCA_005774405.1 | GCA_005774425.1 | GCA_005774435.1 | GCA_005937155.1 | GCA_005937245.1 | GCA_005937265.1 | GCA_005937345.1 | GCA_005937375.1 | GCA_005937385.1 | GCA_005937555.1 | GCA_005937615.1 | GCA_005937695.1 | GCA_006240615.1 | GCA_006240625.1 | GCA_006240665.1 | GCA_006240685.1 | GCA_006240705.1 | GCA_006240735.1 | GCA_006739385.1 | GCA_008728435.1 | GCA_009177305.1 | GCA_011399315.1 | GCA_011399455.1 | GCA_020181495.1 | GCA_021010665.2 | GCA_021010715.2 | GCA_021496585.1 | GCA_021496605.1 | GCA_021496625.1 | GCA_022846495.1 | GCA_026967675.1 | GCA_029338475.1 | GCA_029851525.1 | GCA_029851545.1 | GCA_029851565.1 | GCA_029851585.1 | GCA_029851605.1 | GCA_029851625.1 | GCA_030166615.1 | GCA_030166635.1 | GCA_030295305.1</t>
  </si>
  <si>
    <t>Bacillus acnes | Class: Actinomycetia | Corynebacterium acnes | Phylum: Actinobacteria | Propionibacterium acnes</t>
  </si>
  <si>
    <t>AF145256</t>
  </si>
  <si>
    <t>Nasal (Abundance: High) | Skin (Abundance: High)</t>
  </si>
  <si>
    <t>5.44 - 5.84 Mbps</t>
  </si>
  <si>
    <t>GCA_001281465.1 | GCA_008801915.1 | GCA_013004615.1 | GCA_013347325.1 | GCA_023824295.1 | GCA_025309775.1 | GCA_025399565.1 | GCA_025399595.1</t>
  </si>
  <si>
    <t>Phylum: Proteobacteria | Strain TFI C37KA</t>
  </si>
  <si>
    <t>AY005039</t>
  </si>
  <si>
    <t>1.46 - 1.62 Mbps</t>
  </si>
  <si>
    <t>GCA_000023845.1 | GCA_905372935.1 | GCA_937922855.1</t>
  </si>
  <si>
    <t>AB019260</t>
  </si>
  <si>
    <t>4.27 - 4.69 Mbps</t>
  </si>
  <si>
    <t>GCA_000263215.1 | GCA_000684935.1 | GCA_000982825.1 | GCA_003516125.3 | GCA_009648895.1 | GCA_013425995.1 | GCA_018884085.1 | GCA_018884105.1 | GCA_900447395.1</t>
  </si>
  <si>
    <t>Cronobacter sakazakii | Phylum: Proteobacteria | yellow -pigmented Enterobacter cloacae</t>
  </si>
  <si>
    <t>AB004746</t>
  </si>
  <si>
    <t>2.30 - 2.40 Mbps</t>
  </si>
  <si>
    <t>GCA_900187235.1 | GCA_000069945.1 | GCA_000338095.1 | GCA_008180045.1 | GCA_008180065.1 | GCA_008244525.1 | GCA_016127095.1 | GCA_016127975.1 | GCA_016403265.1</t>
  </si>
  <si>
    <t>CDC coryneform group D-2 | Class: Actinomycetia | Order: Corynebacteriales | Phylum: Actinobacteria | Previously provisional taxon C28</t>
  </si>
  <si>
    <t>NR_027597</t>
  </si>
  <si>
    <t>ATCC 43042 | DSM 7109</t>
  </si>
  <si>
    <t>Corynebacteriaceae</t>
  </si>
  <si>
    <t>1.91 - 2.26 Mbps</t>
  </si>
  <si>
    <t>GCA_946222205.1 | GCA_947252405.1 | GCA_000759055.1 | GCA_002884935.1 | GCA_008693065.1</t>
  </si>
  <si>
    <t>Class: Actinomycetia | Oral Strain TFI A43SC | Order: Corynebacteriales | Phylum: Actinobacteria</t>
  </si>
  <si>
    <t>AF287754</t>
  </si>
  <si>
    <t>ATCC BBA-1141</t>
  </si>
  <si>
    <t>Human-Associated, Primary Site Uncertain (Abundance: Scarce) | Opportunistic Pathogen (Abundance: No data)</t>
  </si>
  <si>
    <t>2.30 - 2.60 Mbps</t>
  </si>
  <si>
    <t>GCA_000156615.2 | GCA_000175635.1 | GCA_013408445.1 | GCA_016613425.1 | GCA_016728365.1 | GCA_016894265.1 | GCA_022347225.1 | GCA_022347235.1 | GCA_022347335.1 | GCA_022347345.1 | GCA_022347385.1 | GCA_022347395.1 | GCA_022347435.1 | GCA_030176495.1 | GCA_030450175.1 | GCA_030486705.1 | GCA_030503715.1</t>
  </si>
  <si>
    <t>2.60 - 3.05 Mbps</t>
  </si>
  <si>
    <t>GCA_022835015.1 | GCA_028527755.1 | GCA_030224605.1 | GCA_030231045.1 | GCA_030232105.1 | GCA_030232165.1 | GCA_030232205.1 | GCA_030232215.1 | GCA_030232245.1 | GCA_030232485.1 | GCA_030232805.1 | GCA_030844905.1 | GCA_030844935.1 | GCA_030844955.1 | GCA_030844975.1 | GCA_030844995.1 | GCA_030845015.1 | GCA_030845035.1 | GCA_030845055.1 | GCA_900447625.1 | GCA_900447675.1 | GCA_900683645.1 | GCA_902485235.1 | GCA_947254015.1 | GCA_000159135.1 | GCA_001053405.1 | GCA_001053435.1 | GCA_001055405.1 | GCA_001058455.1 | GCA_001059665.1 | GCA_001059955.1 | GCA_001076975.1 | GCA_001807215.1 | GCA_001807295.1 | GCA_002156805.1 | GCA_002775055.1 | GCA_002775105.1 | GCA_002803965.1 | GCA_002804085.1 | GCA_002865925.1 | GCA_003202245.1 | GCA_003202295.1 | GCA_003202355.1 | GCA_004138065.1 | GCA_008042215.1 | GCA_008373895.1 | GCA_011682935.1 | GCA_011682945.1 | GCA_011682965.1 | GCA_011682985.1 | GCA_014610855.1 | GCA_014610885.1 | GCA_016403285.1 | GCA_016728105.1 | GCA_016728205.1 | GCA_016889445.1 | GCA_022345785.1</t>
  </si>
  <si>
    <t>2.78 - 2.89 Mbps</t>
  </si>
  <si>
    <t>GCA_000833575.1 | GCA_001807225.1 | GCA_007666555.1 | GCA_022346285.1 | GCA_024586525.1</t>
  </si>
  <si>
    <t>GCA_023148335.1 | GCA_030217125.1 | GCA_001579275.1 | GCA_001586215.1 | GCA_001586235.1 | GCA_001807315.1 | GCA_001807365.1 | GCA_001807495.1 | GCA_002351405.1 | GCA_022345825.1</t>
  </si>
  <si>
    <t>2.24 - 2.45 Mbps</t>
  </si>
  <si>
    <t>GCA_023509255.1 | GCA_023509275.1 | GCA_023509295.1 | GCA_025146235.1 | GCA_025146355.1 | GCA_028527665.1 | GCA_028527685.1 | GCA_028527725.1 | GCA_028527745.1 | GCA_028527805.1 | GCA_028527825.1 | GCA_028527845.1 | GCA_030175855.1 | GCA_030176095.1 | GCA_030176115.1 | GCA_030176135.1 | GCA_030176155.1 | GCA_030176215.1 | GCA_030176235.1 | GCA_030176275.1 | GCA_030176295.1 | GCA_030176355.1 | GCA_030176395.1 | GCA_030176535.1 | GCA_030176595.1 | GCA_030176615.1 | GCA_030176635.1 | GCA_030176655.1 | GCA_030176675.1 | GCA_030176715.1 | GCA_030176735.1 | GCA_030176795.1 | GCA_030227205.1 | GCA_030227325.1 | GCA_030228805.1 | GCA_030229035.1 | GCA_030229145.1 | GCA_030229165.1 | GCA_030229185.1 | GCA_030229195.1 | GCA_030229305.1 | GCA_030229415.1 | GCA_030229425.1 | GCA_030229485.1 | GCA_030229515.1 | GCA_030229665.1 | GCA_030229785.1 | GCA_030229835.1 | GCA_030232045.1 | GCA_030232565.1 | GCA_030232605.1 | GCA_030232685.1 | GCA_030232785.1 | GCA_030232845.1 | GCA_030515655.1 | GCA_030515855.1 | GCA_937875745.1 | GCA_000466825.2 | GCA_000477935.1 | GCA_000477955.1 | GCA_000688415.1 | GCA_001665955.1 | GCA_003989225.1 | GCA_003989245.1 | GCA_003989305.1 | GCA_003989375.1 | GCA_003989495.1 | GCA_022345865.1</t>
  </si>
  <si>
    <t>2.43 - 2.70 Mbps</t>
  </si>
  <si>
    <t>GCA_000375525.1 | GCA_001052555.1 | GCA_001053555.1 | GCA_001054395.1 | GCA_003989165.1 | GCA_003989475.1 | GCA_007671985.1 | GCA_007672025.1 | GCA_016728625.1 | GCA_016728665.1 | GCA_022345925.1 | GCA_023509315.1 | GCA_025147045.1 | GCA_030175865.1 | GCA_030175975.1 | GCA_030176025.1 | GCA_030176055.1 | GCA_030176075.1 | GCA_030176195.1 | GCA_030176315.1 | GCA_030176415.1 | GCA_030176435.1 | GCA_030176765.1 | GCA_030176835.1 | GCA_030176855.1 | GCA_030228935.1 | GCA_030229105.1 | GCA_030229925.1 | GCA_030515635.1 | GCA_030515675.1 | GCA_030515695.1 | GCA_030515715.1 | GCA_030515735.1 | GCA_030515755.1 | GCA_030515775.1 | GCA_030515795.1 | GCA_030515815.1 | GCA_030515835.1 | GCA_902362995.1</t>
  </si>
  <si>
    <t>2.36 - 2.44 Mbps</t>
  </si>
  <si>
    <t>GCA_022346345.1 | GCA_026930265.1</t>
  </si>
  <si>
    <t>2.12 - 2.15 Mbps</t>
  </si>
  <si>
    <t>GCA_936919755.1 | GCA_943912515.1 | GCA_000296405.1 | GCA_000297795.2 | GCA_000988215.1</t>
  </si>
  <si>
    <t>CDC coryneform group ANF-1 like | Class: Actinomycetia | Corynebacterium otitidis | Order: Corynebacteriales | Phylum: Actinobacteria</t>
  </si>
  <si>
    <t>X73976</t>
  </si>
  <si>
    <t>Skin/Ear (Abundance: Medium) | Nasal (Abundance: Low)</t>
  </si>
  <si>
    <t>2.04 - 2.33 Mbps</t>
  </si>
  <si>
    <t>GCA_000747315.1 | GCA_012396315.1 | GCA_025144085.1 | GCA_030486605.1 | GCA_030486815.1 | GCA_936914865.1 | GCA_946221375.1</t>
  </si>
  <si>
    <t>Y11200</t>
  </si>
  <si>
    <t>2.59 - 2.77 Mbps</t>
  </si>
  <si>
    <t>GCA_900447475.1 | GCA_900478045.1 | GCA_900637065.1 | GCA_000805675.1 | GCA_001552395.1 | GCA_016027615.1 | GCA_016126915.1 | GCA_016889765.1 | GCA_016889985.1 | GCA_022345885.1</t>
  </si>
  <si>
    <t>2.54 - 2.99 Mbps</t>
  </si>
  <si>
    <t>GCA_900447555.1 | GCA_900638255.1 | GCA_905372825.1 | GCA_915066165.1 | GCA_927911805.1 | GCA_938010395.1 | GCA_946222405.1 | GCA_000158635.1 | GCA_000175375.1 | GCA_008868665.1 | GCA_011612265.2</t>
  </si>
  <si>
    <t>Actinomyces matruchoti | Bacterionema matruchotii | Cladothrix matruchoti | Class: Actinomycetia | Oospora matruchoti | Order: Corynebacteriales | Phylum: Actinobacteria</t>
  </si>
  <si>
    <t>X82065</t>
  </si>
  <si>
    <t>1.87 - 2.37 Mbps</t>
  </si>
  <si>
    <t>GCA_022538035.1 | GCA_030227215.1 | GCA_947055995.1 | GCA_000375365.1 | GCA_002835695.1</t>
  </si>
  <si>
    <t>Skin (Abundance: Scarce) | Ocular (Abundance: Scarce)</t>
  </si>
  <si>
    <t>2.18 - 2.24 Mbps</t>
  </si>
  <si>
    <t>GCA_000420605.1 | GCA_028609805.1 | GCA_943912895.1</t>
  </si>
  <si>
    <t>2.35 - 2.50 Mbps</t>
  </si>
  <si>
    <t>GCA_003688935.1 | GCA_003688955.1 | GCA_016628325.1 | GCA_016628425.2 | GCA_016628525.2 | GCA_016628585.1 | GCA_016628615.2 | GCA_016628735.2 | GCA_016628845.1 | GCA_016889465.1</t>
  </si>
  <si>
    <t>Nasal (Abundance: Low) | Unassigned</t>
  </si>
  <si>
    <t>2.22 - 2.41 Mbps</t>
  </si>
  <si>
    <t>GCA_000738165.1 | GCA_000738185.1 | GCA_000738195.1 | GCA_000738245.1 | GCA_000738255.1 | GCA_000738265.1 | GCA_000738305.1 | GCA_000738325.1 | GCA_000738335.1 | GCA_001809885.1</t>
  </si>
  <si>
    <t>2.45 - 2.57 Mbps</t>
  </si>
  <si>
    <t>GCA_000023145.1 | GCA_000971845.1 | GCA_000971855.1 | GCA_001552955.1 | GCA_002871755.1 | GCA_016889365.1 | GCA_016889405.1</t>
  </si>
  <si>
    <t>2.29 - 2.56 Mbps</t>
  </si>
  <si>
    <t>GCA_000477995.1 | GCA_000478035.1 | GCA_000478055.1 | GCA_000478115.1 | GCA_000478155.1 | GCA_001054195.1 | GCA_011525585.1 | GCA_016599755.1 | GCA_022345765.1 | GCA_022345795.1 | GCA_022347295.1 | GCA_022347325.1 | GCA_023147335.1 | GCA_023147545.1 | GCA_025151445.1 | GCA_030228925.1 | GCA_030229315.1 | GCA_030229765.1 | GCA_030232125.1 | GCA_030486785.1 | GCA_030486845.1 | GCA_030486885.1 | GCA_030515875.1 | GCA_902482735.1 | GCA_936925515.1 | GCA_946221565.1</t>
  </si>
  <si>
    <t>2.31 - 2.59 Mbps</t>
  </si>
  <si>
    <t>GCA_028609885.1 | GCA_900100745.1 | GCA_900461185.1 | GCA_900461255.1 | GCA_900477975.1 | GCA_000006605.1 | GCA_000163435.1 | GCA_000411235.1 | GCA_000738175.1 | GCA_000738385.1 | GCA_000738405.1 | GCA_001722255.1 | GCA_001807075.1 | GCA_001807105.1 | GCA_001809065.1 | GCA_001809225.1 | GCA_001809925.1 | GCA_001810195.1 | GCA_001810555.1 | GCA_001810585.1 | GCA_001811205.1 | GCA_001811805.1 | GCA_001812845.1 | GCA_001814235.1 | GCA_001815745.1 | GCA_001837705.1 | GCA_001838205.1 | GCA_001838215.1 | GCA_001975925.1 | GCA_001999385.1 | GCA_002847785.1 | GCA_002861405.1 | GCA_008368695.1 | GCA_008726175.1 | GCA_008726215.1 | GCA_008726455.1 | GCA_020161895.1 | GCA_022346265.1</t>
  </si>
  <si>
    <t>2.61 - 2.82 Mbps</t>
  </si>
  <si>
    <t>GCA_001809405.1 | GCA_001810085.1 | GCA_001810695.1 | GCA_001811565.1 | GCA_001813425.1 | GCA_001814525.1 | GCA_002861385.2 | GCA_007097445.1 | GCA_007097455.1 | GCA_007097675.1 | GCA_007109275.1 | GCA_007672555.1 | GCA_007672735.1 | GCA_007678885.1 | GCA_009707975.1 | GCA_009707995.1 | GCA_015070505.1 | GCA_015070775.1 | GCA_022346165.1</t>
  </si>
  <si>
    <t>2.48 - 2.74 Mbps</t>
  </si>
  <si>
    <t>GCA_030408875.1 | GCA_030408895.1 | GCA_030440305.1 | GCA_946902955.1 | GCA_002273005.1 | GCA_002285075.1 | GCA_002285085.1 | GCA_002285115.1 | GCA_002285125.1 | GCA_002285155.1 | GCA_002285175.1 | GCA_003693265.1 | GCA_007559235.1 | GCA_007786415.1 | GCA_016785885.1 | GCA_022346085.1 | GCA_022346125.1 | GCA_022346135.1</t>
  </si>
  <si>
    <t>2.18 - 2.82 Mbps</t>
  </si>
  <si>
    <t>GCA_000318135.1 | GCA_013410305.1 | GCA_030408675.1 | GCA_030528005.1 | GCA_905370355.1 | GCA_905372145.1 | GCA_916719845.1 | GCA_938030135.1</t>
  </si>
  <si>
    <t>Z97069</t>
  </si>
  <si>
    <t>2.37 - 2.56 Mbps</t>
  </si>
  <si>
    <t>GCA_024968205.1 | GCA_024968285.1 | GCA_024968525.1 | GCA_024969465.1 | GCA_030408695.1 | GCA_902809765.1 | GCA_000241915.1 | GCA_001457455.1 | GCA_001913265.1 | GCA_003194045.1</t>
  </si>
  <si>
    <t>Bacillus diphtheriae | Bacterium diphtheriae | Class: Actinomycetia | Microsporon diphthericum | Microsporon diphtheriticum | Mycobacterium diphtheriae | Order: Corynebacteriales | Pacinia loeffleri | Phylum: Actinobacteria</t>
  </si>
  <si>
    <t>X82059</t>
  </si>
  <si>
    <t>2.40 - 2.58 Mbps</t>
  </si>
  <si>
    <t>GCA_030229005.1 | GCA_030232305.1 | GCA_030232395.1 | GCA_030408635.1 | GCA_900105505.1 | GCA_002861345.1 | GCA_002861365.1 | GCA_012030345.1 | GCA_019048165.1 | GCA_020097655.1</t>
  </si>
  <si>
    <t>2.59 - 2.69 Mbps</t>
  </si>
  <si>
    <t>GCA_003932215.1 | GCA_003932255.1 | GCA_003932295.1 | GCA_003932435.1 | GCA_003932475.1 | GCA_014191555.1 | GCA_016128075.1 | GCA_029846575.1 | GCA_030408615.1</t>
  </si>
  <si>
    <t>Nasal (Abundance: Scarce) | Environmental -Non-Human Animal (Abundance: Scarce)</t>
  </si>
  <si>
    <t>2.73 - 2.88 Mbps</t>
  </si>
  <si>
    <t>GCA_001059615.1 | GCA_001808895.1 | GCA_001809235.1 | GCA_001813755.1 | GCA_001814885.1 | GCA_001815785.1 | GCA_001836065.1 | GCA_002871735.1 | GCA_007097425.1 | GCA_007786365.1 | GCA_009708045.1</t>
  </si>
  <si>
    <t>clade-450</t>
  </si>
  <si>
    <t>aurimucosum</t>
  </si>
  <si>
    <t>2.57 - 2.83 Mbps</t>
  </si>
  <si>
    <t>GCA_024138775.1 | GCA_030408555.1 | GCA_000022905.1 | GCA_000174695.1 | GCA_001807205.1 | GCA_001811145.1 | GCA_001813175.1 | GCA_001813925.1 | GCA_001814945.1 | GCA_007786375.1 | GCA_016728685.1 | GCA_016728705.1 | GCA_018919245.1</t>
  </si>
  <si>
    <t>clade-034</t>
  </si>
  <si>
    <t>2.16 - 2.28 Mbps</t>
  </si>
  <si>
    <t>GCA_025144565.1 | GCA_030229545.1 | GCA_030408415.1 | GCA_900156665.1 | GCA_943914275.1</t>
  </si>
  <si>
    <t>2.14 - 2.83 Mbps</t>
  </si>
  <si>
    <t>GCA_000173655.1 | GCA_000755185.1 | GCA_001058525.1 | GCA_001807045.1 | GCA_001809455.1 | GCA_001809695.1 | GCA_001812505.1 | GCA_001837775.1 | GCA_001838285.1 | GCA_001838295.1 | GCA_001838325.1 | GCA_008726645.1 | GCA_008726785.1 | GCA_014335065.1 | GCA_014335175.1 | GCA_014335185.1 | GCA_016026415.1 | GCA_016127615.1 | GCA_016728725.1 | GCA_016728745.1 | GCA_016889425.1 | GCA_018919345.1 | GCA_022346225.1 | GCA_024539755.1 | GCA_024539775.1 | GCA_024539835.1 | GCA_024539855.1 | GCA_024539915.1 | GCA_024539935.1 | GCA_025145255.1 | GCA_029338415.1 | GCA_029984765.1 | GCA_030216785.1 | GCA_030217265.1 | GCA_030218005.1 | GCA_030232325.1 | GCA_900461385.1 | GCA_902489385.1 | GCA_946220795.1 | GCA_947255095.1 | GCA_958437735.1</t>
  </si>
  <si>
    <t>Nasal (Abundance: Scarce) | Skin (Abundance: Scarce)</t>
  </si>
  <si>
    <t>2.24 - 2.41 Mbps</t>
  </si>
  <si>
    <t>GCA_028527885.1 | GCA_028609825.1 | GCA_030408355.1 | GCA_900156035.1 | GCA_902377555.1 | GCA_943912545.1 | GCA_000403725.2 | GCA_001639025.1 | GCA_003989555.1 | GCA_022346305.1 | GCA_022346315.1</t>
  </si>
  <si>
    <t>2.19 - 2.64 Mbps</t>
  </si>
  <si>
    <t>GCA_000146485.1 | GCA_000159115.1 | GCA_000477875.1 | GCA_000477895.1 | GCA_000477915.1 | GCA_000477975.1 | GCA_000478095.1 | GCA_000478135.1 | GCA_017850055.1 | GCA_022014535.1 | GCA_022014555.1 | GCA_022014575.1 | GCA_023520795.1 | GCA_025144305.1 | GCA_030175915.1 | GCA_030175955.1 | GCA_030175965.1 | GCA_030176015.1 | GCA_030176175.1 | GCA_030176255.1 | GCA_030176335.1 | GCA_030176375.1 | GCA_030176455.1 | GCA_030176475.1 | GCA_030176515.1 | GCA_030176555.1 | GCA_030176575.1 | GCA_030176695.1 | GCA_030176755.1 | GCA_030176785.1 | GCA_030176875.1 | GCA_030176885.1 | GCA_030176905.1 | GCA_030227185.1 | GCA_030227275.1 | GCA_030228865.1 | GCA_030228895.1 | GCA_030228965.1 | GCA_030229025.1 | GCA_030229065.1 | GCA_030229285.1 | GCA_030229605.1 | GCA_030229625.1 | GCA_030229685.1 | GCA_030229805.1 | GCA_030232145.1 | GCA_030232755.1 | GCA_030515895.1 | GCA_030515925.1 | GCA_030516055.1 | GCA_030516125.1 | GCA_030516155.1 | GCA_030516175.1 | GCA_030516195.1 | GCA_030516215.1 | GCA_900637825.1 | GCA_937919105.1 | GCA_943912715.1</t>
  </si>
  <si>
    <t>5.41 - 6.16 Mbps</t>
  </si>
  <si>
    <t>GCA_024496285.1 | GCA_029026905.1 | GCA_900461225.1 | GCA_903797675.1 | GCA_000241525.2 | GCA_000739375.1 | GCA_000740035.1 | GCA_014076415.1 | GCA_014076475.1</t>
  </si>
  <si>
    <t>Phylum: Proteobacteria | Previously provisional taxon A85</t>
  </si>
  <si>
    <t>NR_029161</t>
  </si>
  <si>
    <t>ATCC 11996 | DSM 50244</t>
  </si>
  <si>
    <t>4.77 Mbps</t>
  </si>
  <si>
    <t>F0540 | Phylum: Firmicutes</t>
  </si>
  <si>
    <t>Clostridiales [F3]</t>
  </si>
  <si>
    <t>Oral Clone P4PA_66 | Phylum: Firmicutes</t>
  </si>
  <si>
    <t>AY207065</t>
  </si>
  <si>
    <t>bacterium HMT-402</t>
  </si>
  <si>
    <t>Clostridiales [F1 G2]</t>
  </si>
  <si>
    <t>Clostridiales [F1]</t>
  </si>
  <si>
    <t>HMT-402</t>
  </si>
  <si>
    <t>Oral Clone CK059 | Oral Clone MCE7_107 | Phylum: Firmicutes</t>
  </si>
  <si>
    <t>AF481213</t>
  </si>
  <si>
    <t>bacterium HMT-093</t>
  </si>
  <si>
    <t>Clostridiales [F1 G1]</t>
  </si>
  <si>
    <t>HMT-093</t>
  </si>
  <si>
    <t>sp. HMT-206</t>
  </si>
  <si>
    <t>HMT-206</t>
  </si>
  <si>
    <t>2.73 - 2.76 Mbps</t>
  </si>
  <si>
    <t>GCA_900104195.1 | GCA_001747495.1 | GCA_003860565.1</t>
  </si>
  <si>
    <t>Oral Clone C4MKM119 | Phylum: Bacteroidetes</t>
  </si>
  <si>
    <t>AY278614</t>
  </si>
  <si>
    <t>Oral Clone AY017 | Phylum: Bacteroidetes</t>
  </si>
  <si>
    <t>AF385544</t>
  </si>
  <si>
    <t>sp. HMT-319</t>
  </si>
  <si>
    <t>Chryseobacterium</t>
  </si>
  <si>
    <t>HMT-319</t>
  </si>
  <si>
    <t>2.76 Mbps</t>
  </si>
  <si>
    <t>Class: Chlorobia | Phylum: Chlorobi</t>
  </si>
  <si>
    <t>Chlorobiaceae</t>
  </si>
  <si>
    <t>Chlorobiales</t>
  </si>
  <si>
    <t>Chlorobiia</t>
  </si>
  <si>
    <t>1.23 - 1.25 Mbps</t>
  </si>
  <si>
    <t>GCA_000007205.1 | GCA_000008745.1 | GCA_000011165.1 | GCA_000024145.1 | GCA_000091085.2 | GCA_001007025.1 | GCA_001007045.1 | GCA_001007065.1 | GCA_001007085.1 | GCA_001007145.1</t>
  </si>
  <si>
    <t>Chlamydia pneumoniae | Phylum: Chlamydiae</t>
  </si>
  <si>
    <t>L06108</t>
  </si>
  <si>
    <t>Chlamydiaceae</t>
  </si>
  <si>
    <t>Chlamydiales</t>
  </si>
  <si>
    <t>Chlamydiia</t>
  </si>
  <si>
    <t>Chlamydiota</t>
  </si>
  <si>
    <t>2.40 - 2.76 Mbps</t>
  </si>
  <si>
    <t>GCA_905372315.1 | GCA_000213975.1</t>
  </si>
  <si>
    <t>AJ010963</t>
  </si>
  <si>
    <t>4.22 - 4.41 Mbps</t>
  </si>
  <si>
    <t>GCA_001570825.1 | GCA_004114655.2 | GCA_004519295.1 | GCA_013127315.1 | GCA_015327065.1 | GCA_018128265.1 | GCA_900155925.1</t>
  </si>
  <si>
    <t>Promicromonosporaceae</t>
  </si>
  <si>
    <t>Oral Clone AW149 | Phylum: Proteobacteria</t>
  </si>
  <si>
    <t>DQ493433</t>
  </si>
  <si>
    <t>sp. HMT-002</t>
  </si>
  <si>
    <t>Caulobacter</t>
  </si>
  <si>
    <t>Caulobacteraceae</t>
  </si>
  <si>
    <t>Caulobacterales</t>
  </si>
  <si>
    <t>HMT-002</t>
  </si>
  <si>
    <t>Oral Clone FL037 | Phylum: Firmicutes</t>
  </si>
  <si>
    <t>AY349369</t>
  </si>
  <si>
    <t>sp. HMT-451</t>
  </si>
  <si>
    <t>HMT-451</t>
  </si>
  <si>
    <t>Oral Clone BR063 | Phylum: Firmicutes</t>
  </si>
  <si>
    <t>AF385556</t>
  </si>
  <si>
    <t>sp. HMT-164</t>
  </si>
  <si>
    <t>HMT-164</t>
  </si>
  <si>
    <t>3.48 Mbps</t>
  </si>
  <si>
    <t>Oral Clone EZ006 | Oral Clone MB5_P12 | Phylum: Firmicutes</t>
  </si>
  <si>
    <t>AF385577 | DQ003629 | X87151</t>
  </si>
  <si>
    <t>3.12 Mbps</t>
  </si>
  <si>
    <t>2.55 - 2.76 Mbps</t>
  </si>
  <si>
    <t>GCA_900460955.1 | GCA_902388165.1 | GCA_000239355.1</t>
  </si>
  <si>
    <t>AF144696</t>
  </si>
  <si>
    <t>Cardiobacteriaceae</t>
  </si>
  <si>
    <t>Cardiobacteriales</t>
  </si>
  <si>
    <t>2.34 - 2.67 Mbps</t>
  </si>
  <si>
    <t>GCA_000160655.1 | GCA_001057485.1 | GCA_001057555.1 | GCA_001063785.1 | GCA_900079085.1 | GCA_900637305.1 | GCA_905372965.1 | GCA_937919565.1</t>
  </si>
  <si>
    <t>M35014</t>
  </si>
  <si>
    <t>2.76 - 3.10 Mbps</t>
  </si>
  <si>
    <t>GCA_000173675.1 | GCA_002302395.1 | GCA_002302495.1 | GCA_002302595.1 | GCA_002312885.1 | GCA_900446695.1 | GCA_900638125.1 | GCA_905373265.1 | GCA_937881025.1</t>
  </si>
  <si>
    <t>X67609</t>
  </si>
  <si>
    <t>Flavobacteriaceae</t>
  </si>
  <si>
    <t>Capnocytophaga genomospecies K1 | Capnocytophaga sp. clone BL218 | Phylum: Bacteroidetes</t>
  </si>
  <si>
    <t>JQ406535</t>
  </si>
  <si>
    <t>sp. HMT-901</t>
  </si>
  <si>
    <t>HMT-901</t>
  </si>
  <si>
    <t>2.99 Mbps</t>
  </si>
  <si>
    <t>2.72 Mbps</t>
  </si>
  <si>
    <t>Phylum: Bacteroidetes | Previously provisional taxon B29</t>
  </si>
  <si>
    <t>AM420168</t>
  </si>
  <si>
    <t>2.95 - 3.00 Mbps</t>
  </si>
  <si>
    <t>GCA_035282585.1 | GCA_938029845.1</t>
  </si>
  <si>
    <t>Oral (Abundance: Medium)</t>
  </si>
  <si>
    <t>2.30 Mbps</t>
  </si>
  <si>
    <t>1.63 - 2.55 Mbps</t>
  </si>
  <si>
    <t>GCA_000192225.1 | GCA_905371935.1</t>
  </si>
  <si>
    <t>Oral Strain FDC-8 | Phylum: Bacteroidetes</t>
  </si>
  <si>
    <t>U41352</t>
  </si>
  <si>
    <t>3.07 - 3.41 Mbps</t>
  </si>
  <si>
    <t>GCA_000318295.1 | GCA_002209445.1 | GCA_016126015.1 | GCA_016126035.1 | GCA_016806945.1 | GCA_016806965.1 | GCA_016806985.1 | GCA_016806995.1 | GCA_016807025.1 | GCA_938045645.1</t>
  </si>
  <si>
    <t>Oral Clone BB167 | Oral Strain KCL-W5130 | Phylum: Bacteroidetes</t>
  </si>
  <si>
    <t>AY005076</t>
  </si>
  <si>
    <t>2.43 - 2.95 Mbps</t>
  </si>
  <si>
    <t>GCA_026013785.1 | GCA_026013805.1 | GCA_026013825.1 | GCA_900446705.1 | GCA_900460915.1 | GCA_900618145.1 | GCA_902482725.1 | GCA_905371985.1 | GCA_937926985.1 | GCA_000023285.1 | GCA_000183985.1 | GCA_000271925.1 | GCA_000277585.1 | GCA_000277665.1 | GCA_000318255.2 | GCA_000318315.2 | GCA_000411575.1 | GCA_001057035.1 | GCA_001278825.1 | GCA_002998835.1 | GCA_013394735.1 | GCA_013394785.1 | GCA_019930725.1 | GCA_020736165.1</t>
  </si>
  <si>
    <t>Bacteroides ochraceus | Fusiformis nucleatus | Phylum: Bacteroidetes | Ristella ochraceus</t>
  </si>
  <si>
    <t>L14635</t>
  </si>
  <si>
    <t>2.25 - 2.65 Mbps</t>
  </si>
  <si>
    <t>GCA_000213295.2 | GCA_002302615.1 | GCA_003054025.1 | GCA_009730375.1 | GCA_013333705.2 | GCA_905372535.1 | GCA_915066995.1 | GCA_938018165.1 | GCA_947097315.1</t>
  </si>
  <si>
    <t>Oral Clone BM058 | Oral Clone BR085 | Oral Clone BU084 | Oral Strain TFI-F0087 | Phylum: Bacteroidetes</t>
  </si>
  <si>
    <t>AF385569 | AY005075</t>
  </si>
  <si>
    <t>2.66 - 2.69 Mbps</t>
  </si>
  <si>
    <t>GCA_001553545.1 | GCA_900115315.1 | GCA_900187255.1</t>
  </si>
  <si>
    <t>U41349</t>
  </si>
  <si>
    <t>2.59 - 2.84 Mbps</t>
  </si>
  <si>
    <t>GCA_900106575.1 | GCA_900446675.1 | GCA_905372915.1 | GCA_937936225.1 | GCA_000293175.1 | GCA_000411115.1</t>
  </si>
  <si>
    <t>Oral Clone AH015 | Phylum: Bacteroidetes</t>
  </si>
  <si>
    <t>AY005074 | U41347</t>
  </si>
  <si>
    <t>2.04 - 2.84 Mbps</t>
  </si>
  <si>
    <t>GCA_905372655.1 | GCA_937891745.1 | GCA_947096245.1 | GCA_000174755.1 | GCA_002302415.1</t>
  </si>
  <si>
    <t>AY005073</t>
  </si>
  <si>
    <t>2.41 - 2.73 Mbps</t>
  </si>
  <si>
    <t>GCA_938036855.1 | GCA_000318275.2 | GCA_017565765.1</t>
  </si>
  <si>
    <t>Oral Clone DS022 | Oral Strain KCL-W4070 | Phylum: Bacteroidetes</t>
  </si>
  <si>
    <t>AF366270</t>
  </si>
  <si>
    <t>1.56 - 1.86 Mbps</t>
  </si>
  <si>
    <t>GCA_000374605.1 | GCA_001190755.1 | GCA_012273175.1 | GCA_013372225.1 | GCA_016766895.1 | GCA_022835215.1 | GCA_027277265.1 | GCA_027277305.1 | GCA_900446685.1 | GCA_900460885.1</t>
  </si>
  <si>
    <t>Bacteroides corrodens | Bacteroides ureolyticus | Phylum: Proteobacteria</t>
  </si>
  <si>
    <t>L04321</t>
  </si>
  <si>
    <t>Campylobacteraceae</t>
  </si>
  <si>
    <t>1.68 - 1.77 Mbps</t>
  </si>
  <si>
    <t>GCA_900446595.1 | GCA_900460785.1 | GCA_002220735.1 | GCA_002220755.1 | GCA_002220775.1 | GCA_002220795.1 | GCA_008245005.1 | GCA_008802035.1 | GCA_020828775.1 | GCA_020828825.1</t>
  </si>
  <si>
    <t>Phylum: Proteobacteria | Vibrio sputorum</t>
  </si>
  <si>
    <t>AF022768</t>
  </si>
  <si>
    <t>Oral Clone BB120 | Phylum: Proteobacteria</t>
  </si>
  <si>
    <t>AY005038</t>
  </si>
  <si>
    <t>sp. HMT-044</t>
  </si>
  <si>
    <t>HMT-044</t>
  </si>
  <si>
    <t>2.07 - 2.50 Mbps</t>
  </si>
  <si>
    <t>GCA_000175655.1 | GCA_000313615.1 | GCA_000344295.2 | GCA_004803815.1 | GCA_900573925.1 | GCA_900573945.1 | GCA_900573955.1 | GCA_900573975.1 | GCA_900573985.1 | GCA_900573995.1 | GCA_900699785.1 | GCA_937924935.1</t>
  </si>
  <si>
    <t>Phylum: Proteobacteria | Wolinella curva ss intermedium[5] | Wolinella X[3]</t>
  </si>
  <si>
    <t>L06974</t>
  </si>
  <si>
    <t>2.02 - 2.57 Mbps</t>
  </si>
  <si>
    <t>GCA_000174175.1 | GCA_003859865.1 | GCA_004803795.1 | GCA_020736205.1 | GCA_029984535.1 | GCA_905373485.1</t>
  </si>
  <si>
    <t>Phylum: Proteobacteria | Wolinella recta</t>
  </si>
  <si>
    <t>L06973</t>
  </si>
  <si>
    <t>2.26 - 2.28 Mbps</t>
  </si>
  <si>
    <t>GCA_000175875.1 | GCA_001190745.1 | GCA_020736185.1 | GCA_900446335.1</t>
  </si>
  <si>
    <t>Bacteroides gracilis | Phylum: Proteobacteria</t>
  </si>
  <si>
    <t>L04320</t>
  </si>
  <si>
    <t>1.90 - 2.14 Mbps</t>
  </si>
  <si>
    <t>GCA_902381815.1 | GCA_000017465.2 | GCA_000287855.1 | GCA_000376325.1 | GCA_012978875.1 | GCA_012978895.1 | GCA_012978915.1 | GCA_012978935.1 | GCA_012978955.1 | GCA_012978975.1 | GCA_012978995.1 | GCA_012979015.1 | GCA_012979035.1 | GCA_012979055.1 | GCA_013372125.1 | GCA_017170235.1 | GCA_020736225.1</t>
  </si>
  <si>
    <t>Phylum: Proteobacteria | Wolinella curva</t>
  </si>
  <si>
    <t>L04313</t>
  </si>
  <si>
    <t>1.74 - 2.03 Mbps</t>
  </si>
  <si>
    <t>GCA_000466745.1 | GCA_001298465.1 | GCA_002165785.1 | GCA_002165895.1 | GCA_002912895.1 | GCA_002912995.1 | GCA_002913065.1 | GCA_002913085.1 | GCA_002913095.1 | GCA_002913145.1 | GCA_002913155.1 | GCA_002913715.1 | GCA_002914065.1 | GCA_002914105.1 | GCA_002914115.1 | GCA_002914145.1 | GCA_002914355.1 | GCA_003048575.1 | GCA_003048595.2 | GCA_003048695.2 | GCA_003048755.1 | GCA_003048775.2 | GCA_003048965.1 | GCA_003048995.1 | GCA_015229985.1 | GCA_015679965.1 | GCA_015679985.1 | GCA_015680005.1 | GCA_902387015.1 | GCA_902387035.1 | GCA_902387055.1 | GCA_902460415.1 | GCA_902460445.1 | GCA_902460475.1 | GCA_902460845.1</t>
  </si>
  <si>
    <t>L06977</t>
  </si>
  <si>
    <t>clade-575</t>
  </si>
  <si>
    <t>concisus</t>
  </si>
  <si>
    <t>1.77 - 2.29 Mbps</t>
  </si>
  <si>
    <t>GCA_000017725.2 | GCA_000238755.1 | GCA_000259315.1 | GCA_000466645.1 | GCA_000466665.1 | GCA_000466685.1 | GCA_000466705.1 | GCA_002165815.1 | GCA_002165825.1 | GCA_002912505.1 | GCA_002912595.1 | GCA_002912605.1 | GCA_002912675.1 | GCA_002912705.1 | GCA_002912735.1 | GCA_002912805.1 | GCA_002913195.1 | GCA_002913245.1 | GCA_002913265.1 | GCA_002913305.1 | GCA_002913325.1 | GCA_002913385.1 | GCA_002913465.1 | GCA_002913525.1 | GCA_002913545.1 | GCA_002913635.1 | GCA_002913665.1 | GCA_002913765.1 | GCA_002913785.1 | GCA_002913895.1 | GCA_002914045.1 | GCA_002914085.1 | GCA_002914325.1 | GCA_002914345.1 | GCA_003048375.1 | GCA_003048445.1 | GCA_003048605.1 | GCA_003048615.2 | GCA_003048645.1 | GCA_003048675.2 | GCA_003048685.2 | GCA_003048705.1 | GCA_003048765.1 | GCA_003048815.1 | GCA_003048835.2 | GCA_003048845.1 | GCA_003048875.2 | GCA_003048895.1 | GCA_003048985.1 | GCA_003049025.1 | GCA_003049045.1 | GCA_003049065.1 | GCA_003116505.1 | GCA_015163675.1 | GCA_015229935.1 | GCA_015229965.1 | GCA_015230015.1 | GCA_015230035.1 | GCA_015230075.1 | GCA_015679945.1 | GCA_015680025.1 | GCA_901874975.1 | GCA_902374575.1 | GCA_902460455.1 | GCA_902460465.1 | GCA_902460505.1 | GCA_902460535.1 | GCA_902460615.1 | GCA_902460635.1 | GCA_902460675.1 | GCA_902460695.1 | GCA_902460715.1 | GCA_902460725.1 | GCA_902460745.1 | GCA_902460755.1 | GCA_902460815.1 | GCA_902460825.1 | GCA_902460915.1</t>
  </si>
  <si>
    <t>clade-433</t>
  </si>
  <si>
    <t>5.14 Mbps</t>
  </si>
  <si>
    <t>Phylum: Chloroflexi</t>
  </si>
  <si>
    <t>Caldilineaceae</t>
  </si>
  <si>
    <t>Caldilineales</t>
  </si>
  <si>
    <t>Caldilineae</t>
  </si>
  <si>
    <t>Chloroflexota</t>
  </si>
  <si>
    <t>Oral Clone GI038 | Phylum: Firmicutes</t>
  </si>
  <si>
    <t>AY349374</t>
  </si>
  <si>
    <t>sp. HMT-455</t>
  </si>
  <si>
    <t>Butyrivibrio</t>
  </si>
  <si>
    <t>HMT-455</t>
  </si>
  <si>
    <t>Oral Clone CK030 | Phylum: Firmicutes</t>
  </si>
  <si>
    <t>AF287773</t>
  </si>
  <si>
    <t>sp. HMT-090</t>
  </si>
  <si>
    <t>HMT-090</t>
  </si>
  <si>
    <t>Clone BB124 | Phylum: Firmicutes</t>
  </si>
  <si>
    <t>AF287772</t>
  </si>
  <si>
    <t>sp. HMT-080</t>
  </si>
  <si>
    <t>HMT-080</t>
  </si>
  <si>
    <t>6.47 - 8.93 Mbps</t>
  </si>
  <si>
    <t>GCA_024600575.1 | GCA_900446175.1 | GCA_000292915.1 | GCA_000473485.1 | GCA_001411495.1 | GCA_001528845.1 | GCA_001718835.1 | GCA_003294055.1 | GCA_003546465.1 | GCA_006094315.1</t>
  </si>
  <si>
    <t>Phylum: Proteobacteria | Pseudomonas cepacia | Pseudomonas kingii | Pseudomonas multivorans</t>
  </si>
  <si>
    <t>AF097530</t>
  </si>
  <si>
    <t>1.16 - 1.42 Mbps</t>
  </si>
  <si>
    <t>GCA_000177375.1 | GCA_905373065.1 | GCA_938029445.1</t>
  </si>
  <si>
    <t>AF220064</t>
  </si>
  <si>
    <t>DSM 13220</t>
  </si>
  <si>
    <t>4.71 - 5.58 Mbps</t>
  </si>
  <si>
    <t>GCA_000017405.1 | GCA_002252535.1 | GCA_009017375.1 | GCA_015326295.1 | GCA_017792125.1 | GCA_024799785.1 | GCA_025908475.1 | GCA_030518775.1 | GCA_900454235.1</t>
  </si>
  <si>
    <t>AM114398</t>
  </si>
  <si>
    <t>Brucellaceae</t>
  </si>
  <si>
    <t>2.61 - 2.71 Mbps</t>
  </si>
  <si>
    <t>GCA_938041425.1 | GCA_000413315.1</t>
  </si>
  <si>
    <t>Class: Actinomycetia | Oral Strain TFI-C03KA | Phylum: Actinobacteria</t>
  </si>
  <si>
    <t>2.47 - 2.65 Mbps</t>
  </si>
  <si>
    <t>GCA_000525935.1 | GCA_000620985.1 | GCA_001703515.1 | GCA_001703535.1 | GCA_001715655.1 | GCA_001715725.1 | GCA_002381265.1 | GCA_002442515.1 | GCA_030503795.1 | GCA_900332045.1</t>
  </si>
  <si>
    <t>3.28 - 3.55 Mbps</t>
  </si>
  <si>
    <t>GCA_002205555.1 | GCA_004102925.1 | GCA_016127655.1 | GCA_024129415.1 | GCA_024129445.1 | GCA_027158175.1 | GCA_900445915.1 | GCA_900445995.1 | GCA_901421975.1</t>
  </si>
  <si>
    <t>Bacterium parvulum | Phylum: Proteobacteria | Pseudomonas diminuta</t>
  </si>
  <si>
    <t>D49422</t>
  </si>
  <si>
    <t>ATCC 14736</t>
  </si>
  <si>
    <t>2.35 - 2.47 Mbps</t>
  </si>
  <si>
    <t>GCA_016907735.1 | GCA_022346365.1 | GCA_946220875.1 | GCA_946221605.1</t>
  </si>
  <si>
    <t>Brevibacteriaceae</t>
  </si>
  <si>
    <t>9.25 - 9.98 Mbps</t>
  </si>
  <si>
    <t>GCA_000379145.1 | GCA_006539665.1 | GCA_012871055.1 | GCA_015291305.1 | GCA_023278185.1 | GCA_030583585.1 | GCA_030584725.1 | GCA_030584765.1 | GCA_030585185.1 | GCA_030585205.1</t>
  </si>
  <si>
    <t>Family: Bradyrhizobiaceae | Phylum: Proteobacteria</t>
  </si>
  <si>
    <t>U35000</t>
  </si>
  <si>
    <t>Nitrobacteraceae</t>
  </si>
  <si>
    <t>4.04 - 5.17 Mbps</t>
  </si>
  <si>
    <t>GCA_900445725.1 | GCA_900445785.1 | GCA_000306945.1 | GCA_001509915.1 | GCA_001598655.1 | GCA_001985445.1 | GCA_001988495.1 | GCA_004635725.1 | GCA_004635905.1</t>
  </si>
  <si>
    <t>Bacterium tussis-convulsivae | Haemophilus pertussis | Hemophilus pertussis | Microbe de | Microbe de la coqueluche | Phylum: Proteobacteria</t>
  </si>
  <si>
    <t>U04950</t>
  </si>
  <si>
    <t>Alcaligenaceae</t>
  </si>
  <si>
    <t>2.19 - 2.82 Mbps</t>
  </si>
  <si>
    <t>GCA_000426405.1 | GCA_000741775.1 | GCA_000771185.1 | GCA_014898195.1 | GCA_022641135.1</t>
  </si>
  <si>
    <t>D89329 | D89378</t>
  </si>
  <si>
    <t>ATCC 27537 | CCUG 34980 | DSM 20096 | JCM 5822</t>
  </si>
  <si>
    <t>3.00 - 3.16 Mbps</t>
  </si>
  <si>
    <t>GCA_905371925.1 | GCA_000741405.1 | GCA_000770985.1 | GCA_001005065.1 | GCA_001042635.1 | GCA_001059475.1 | GCA_018380915.1</t>
  </si>
  <si>
    <t>AB437363</t>
  </si>
  <si>
    <t>ATCC BAA-773 | CCUG 13008 | DSM 13734 | JCM 12489</t>
  </si>
  <si>
    <t>2.34 - 2.53 Mbps</t>
  </si>
  <si>
    <t>GCA_023242235.1 | GCA_030450025.1 | GCA_900104835.1 | GCA_900637335.1 | GCA_000196555.1 | GCA_000741245.1 | GCA_017132775.1 | GCA_020353915.1</t>
  </si>
  <si>
    <t>Class: Actinomycetia | Phylum: Actinobacteria | Previously provisional taxon B54</t>
  </si>
  <si>
    <t>NR_043437</t>
  </si>
  <si>
    <t>ATCC 15707 | DSM 20219</t>
  </si>
  <si>
    <t>2.52 - 2.67 Mbps</t>
  </si>
  <si>
    <t>GCA_900105745.1 | GCA_900637175.1 | GCA_902374185.1 | GCA_000024445.1 | GCA_000172135.1 | GCA_000771725.1 | GCA_001042595.1 | GCA_015703885.1 | GCA_017743195.1 | GCA_017743215.1</t>
  </si>
  <si>
    <t>Actinomyces eriksonii | Class: Actinomycetia | Phylum: Actinobacteria</t>
  </si>
  <si>
    <t>D86183</t>
  </si>
  <si>
    <t>2.26 - 2.44 Mbps</t>
  </si>
  <si>
    <t>GCA_024665435.1 | GCA_900637145.1 | GCA_000158015.1 | GCA_000771305.1 | GCA_001025175.1 | GCA_002838445.1 | GCA_002838665.1 | GCA_002838685.1 | GCA_013267755.1</t>
  </si>
  <si>
    <t>AB006658</t>
  </si>
  <si>
    <t>ATCC 15700 | CCUG 30511 | DSM 20213</t>
  </si>
  <si>
    <t>1.92 - 2.03 Mbps</t>
  </si>
  <si>
    <t>GCA_000260715.1 | GCA_000471945.1 | GCA_000741485.1 | GCA_000816205.1 | GCA_000818055.1 | GCA_001688645.2 | GCA_015377505.1 | GCA_023375105.1 | GCA_023704215.1 | GCA_902387355.1</t>
  </si>
  <si>
    <t>Bifidobacterium lactis | Class: Actinomycetia | Phylum: Actinobacteria</t>
  </si>
  <si>
    <t>AB050136 | D86185</t>
  </si>
  <si>
    <t>Gastrointestinal Tract (Abundance: Scarce) | Environmental -Food (Abundance: Scarce)</t>
  </si>
  <si>
    <t>Class: Deltaproteobacteria | Family: Bdellovibrionaceae | Oral Clone CA006 | Phylum: Proteobacteria</t>
  </si>
  <si>
    <t>AF385539</t>
  </si>
  <si>
    <t>sp. HMT-039</t>
  </si>
  <si>
    <t>Bdellovibrio</t>
  </si>
  <si>
    <t>HMT-039</t>
  </si>
  <si>
    <t>1.57 - 1.73 Mbps</t>
  </si>
  <si>
    <t>GCA_902810545.1 | GCA_000385435.1 | GCA_002022685.1 | GCA_014138465.1</t>
  </si>
  <si>
    <t>Phylum: Proteobacteria | Strain TFI A28SC</t>
  </si>
  <si>
    <t>NR_025410</t>
  </si>
  <si>
    <t>Zoonotic Pathogen (Abundance: Scarce) | Unassigned</t>
  </si>
  <si>
    <t>Bartonellaceae</t>
  </si>
  <si>
    <t>3.18 - 3.36 Mbps</t>
  </si>
  <si>
    <t>GCA_002998435.1 | GCA_007830715.1 | GCA_938041125.1</t>
  </si>
  <si>
    <t>Bacterium zoogleiformans | Capsularis zoogleiformans | Phylum: Bacteroidetes</t>
  </si>
  <si>
    <t>L16488</t>
  </si>
  <si>
    <t>5.90 - 6.83 Mbps</t>
  </si>
  <si>
    <t>GCA_006546965.1 | GCA_018279805.1 | GCA_018289035.1 | GCA_018289135.1 | GCA_018492835.1 | GCA_024758345.1 | GCA_024759125.1 | GCA_024759865.1 | GCA_024793755.1 | GCA_029369765.1</t>
  </si>
  <si>
    <t>4.13 - 4.92 Mbps</t>
  </si>
  <si>
    <t>GCA_022834995.1 | GCA_024788785.1 | GCA_025147485.1 | GCA_004328515.1 | GCA_014287575.1 | GCA_015679285.1 | GCA_016117815.1 | GCA_017309675.2 | GCA_018292165.1 | GCA_020550085.1</t>
  </si>
  <si>
    <t>5.83 - 6.71 Mbps</t>
  </si>
  <si>
    <t>GCA_001314975.1 | GCA_014131755.1 | GCA_018291825.1 | GCA_020091305.1 | GCA_024758405.1 | GCA_024758865.1 | GCA_024758905.1 | GCA_024759265.1 | GCA_024787025.1 | GCA_024789025.1</t>
  </si>
  <si>
    <t>3.88 - 4.16 Mbps</t>
  </si>
  <si>
    <t>GCA_024792395.1 | GCA_024793125.1 | GCA_025147325.1 | GCA_027686445.1 | GCA_028399565.1 | GCA_000154525.1 | GCA_000413395.1 | GCA_003464965.1 | GCA_019734215.1 | GCA_020091485.1</t>
  </si>
  <si>
    <t>3.31 - 3.50 Mbps</t>
  </si>
  <si>
    <t>GCA_000428105.1 | GCA_000511735.1 | GCA_000511755.1 | GCA_000511775.1 | GCA_008121405.1 | GCA_014196225.1 | GCA_018206015.1 | GCA_018206295.1 | GCA_021532155.1 | GCA_900445575.1</t>
  </si>
  <si>
    <t>Bacteroides tectum | Phylum: Bacteroidetes</t>
  </si>
  <si>
    <t>AB200228</t>
  </si>
  <si>
    <t>F0041</t>
  </si>
  <si>
    <t>6.26 - 7.08 Mbps</t>
  </si>
  <si>
    <t>GCA_001314995.1 | GCA_009734165.1 | GCA_016894185.1 | GCA_020149745.1 | GCA_024758285.1 | GCA_024758985.1 | GCA_025146775.1 | GCA_900095495.1 | GCA_918258265.1 | GCA_918292745.1</t>
  </si>
  <si>
    <t>3.00 - 3.69 Mbps</t>
  </si>
  <si>
    <t>GCA_022772185.1 | GCA_023425005.1 | GCA_023436275.1 | GCA_900683665.1 | GCA_945829905.1 | GCA_945869495.1 | GCA_945917645.1 | GCA_002998535.1 | GCA_003932775.1 | GCA_004342845.1</t>
  </si>
  <si>
    <t>Phylum: Bacteroidetes | Prevotella heparinolyticus</t>
  </si>
  <si>
    <t>L16487</t>
  </si>
  <si>
    <t>4.57 - 5.34 Mbps</t>
  </si>
  <si>
    <t>GCA_024758425.1 | GCA_024759085.1 | GCA_024759505.1 | GCA_024787725.1 | GCA_025146315.1 | GCA_002222615.2 | GCA_002959715.1 | GCA_016726305.1 | GCA_016889745.1 | GCA_020091545.1</t>
  </si>
  <si>
    <t>4.21 - 4.32 Mbps</t>
  </si>
  <si>
    <t>GCA_024917115.1 | GCA_029027845.1 | GCA_000009045.1 | GCA_000789275.1 | GCA_001697265.1 | GCA_002055965.1 | GCA_006741845.1 | GCA_012931705.2 | GCA_013009385.1</t>
  </si>
  <si>
    <t>Bacillus globigii | Bacillus natto | Bacillus uniflagellatus | Phylum: Firmicutes | Vibrio subtilis</t>
  </si>
  <si>
    <t>AB018486</t>
  </si>
  <si>
    <t>Bacillaceae</t>
  </si>
  <si>
    <t>5.23 - 5.53 Mbps</t>
  </si>
  <si>
    <t>GCA_000167275.1 | GCA_000181835.1 | GCA_000742895.1 | GCA_000832565.1 | GCA_000832825.1 | GCA_001683095.1 | GCA_001683135.1 | GCA_022221305.1 | GCA_022221345.1 | GCA_026684175.1</t>
  </si>
  <si>
    <t>Bacillus cereus | Bacteridium anthracis | Phylum: Firmicutes</t>
  </si>
  <si>
    <t>AF155951</t>
  </si>
  <si>
    <t>1.50 - 1.78 Mbps</t>
  </si>
  <si>
    <t>GCA_000364325.1 | GCA_000468815.1 | GCA_001437015.1 | GCA_018363815.1 | GCA_900105895.1 | GCA_902405965.1 | GCA_937975845.1 | GCA_947086705.1</t>
  </si>
  <si>
    <t>Bacteroides minutum | Eubacterium minutum | Lactobacillus minutum | Lactobacillus minutus | Phylum: Actinobacteria</t>
  </si>
  <si>
    <t>X67148</t>
  </si>
  <si>
    <t>6.09 - 6.86 Mbps</t>
  </si>
  <si>
    <t>GCA_026000695.2 | GCA_029223075.1 | GCA_000175415.3 | GCA_000210375.1 | GCA_000307915.1 | GCA_001611905.1 | GCA_016745315.2</t>
  </si>
  <si>
    <t>Class: Oscillatoriophycideae | Phylum: Cyanobacteria</t>
  </si>
  <si>
    <t>Microcoleaceae</t>
  </si>
  <si>
    <t>Oscillatoriales</t>
  </si>
  <si>
    <t>Cyanophyceae</t>
  </si>
  <si>
    <t>Cyanobacteriota</t>
  </si>
  <si>
    <t>3.53 Mbps</t>
  </si>
  <si>
    <t>Class: Actinomycetia | Oral Strain TFI-B46KS | Phylum: Actinobacteria</t>
  </si>
  <si>
    <t>AF287753</t>
  </si>
  <si>
    <t>CCUG 47306</t>
  </si>
  <si>
    <t>Dermatophilaceae</t>
  </si>
  <si>
    <t>1.89 - 1.99 Mbps</t>
  </si>
  <si>
    <t>GCA_000092365.1 | GCA_006088775.1 | GCA_900445275.1 | GCA_900475915.1</t>
  </si>
  <si>
    <t>Class: Actinomycetia | Corynebacterium haemolyticum | Phylum: Actinobacteria</t>
  </si>
  <si>
    <t>AJ234059</t>
  </si>
  <si>
    <t>2.89 - 3.32 Mbps</t>
  </si>
  <si>
    <t>GCA_030527845.1 | GCA_905372475.1 | GCA_927911275.1 | GCA_937974815.1 | GCA_013333735.2 | GCA_013333895.2 | GCA_018128325.1 | GCA_019973735.1</t>
  </si>
  <si>
    <t>Class: Actinomycetia | Oral Clone BN085 | Phylum: Actinobacteria</t>
  </si>
  <si>
    <t>AF287757</t>
  </si>
  <si>
    <t>3.22 - 3.47 Mbps</t>
  </si>
  <si>
    <t>GCA_000277715.1 | GCA_001592325.1 | GCA_003797385.1 | GCA_005696855.1 | GCA_018128345.1 | GCA_018128365.1 | GCA_900637725.1 | GCA_900638645.1 | GCA_915063725.1 | GCA_937974765.1</t>
  </si>
  <si>
    <t>Actinomyces propionicus | Arachnia propionica | Class: Actinomycetia | Phylum: Actinobacteria | Propionibacterium propionicus</t>
  </si>
  <si>
    <t>AJ315953</t>
  </si>
  <si>
    <t>4.39 - 5.20 Mbps</t>
  </si>
  <si>
    <t>GCA_014201615.1 | GCA_022359935.1 | GCA_029872115.1</t>
  </si>
  <si>
    <t>Defluvibacter lusatiensis | Phylum: Proteobacteria</t>
  </si>
  <si>
    <t>AJ132378 | NR_025312</t>
  </si>
  <si>
    <t>2.63 - 2.85 Mbps</t>
  </si>
  <si>
    <t>GCA_000019045.1 | GCA_000327465.1 | GCA_000367505.1 | GCA_002197485.1 | GCA_002243705.1 | GCA_002742685.1 | GCA_014890145.1 | GCA_014890515.1</t>
  </si>
  <si>
    <t>Oral Clone P2PC_29 | Phylum: Firmicutes</t>
  </si>
  <si>
    <t>AF538855</t>
  </si>
  <si>
    <t>bacterium HMT-382</t>
  </si>
  <si>
    <t>Anaerovoracaceae [G8]</t>
  </si>
  <si>
    <t>HMT-382</t>
  </si>
  <si>
    <t>1.07 - 0.578 Mbps</t>
  </si>
  <si>
    <t>GCA_000161975.1 | GCA_905372295.1 | GCA_938044195.1</t>
  </si>
  <si>
    <t>Eubacterium saphenus | Phylum: Firmicutes</t>
  </si>
  <si>
    <t>U65987</t>
  </si>
  <si>
    <t>Oral Clone JH012 | Phylum: Firmicutes</t>
  </si>
  <si>
    <t>AY349373</t>
  </si>
  <si>
    <t>bacterium HMT-493</t>
  </si>
  <si>
    <t>HMT-493</t>
  </si>
  <si>
    <t>Oral Clone PUS9.170 | Phylum: Firmicutes</t>
  </si>
  <si>
    <t>AJ012604</t>
  </si>
  <si>
    <t>bacterium HMT-103</t>
  </si>
  <si>
    <t>Anaerovoracaceae [G4]</t>
  </si>
  <si>
    <t>HMT-103</t>
  </si>
  <si>
    <t>AM419965</t>
  </si>
  <si>
    <t>bacterium HMT-950</t>
  </si>
  <si>
    <t>Anaerovoracaceae [G3]</t>
  </si>
  <si>
    <t>HMT-950</t>
  </si>
  <si>
    <t>Oral Clone JS001 | Phylum: Firmicutes</t>
  </si>
  <si>
    <t>AY349378</t>
  </si>
  <si>
    <t>bacterium HMT-495</t>
  </si>
  <si>
    <t>HMT-495</t>
  </si>
  <si>
    <t>Oral Clone CK047 | Phylum: Firmicutes</t>
  </si>
  <si>
    <t>AF287762</t>
  </si>
  <si>
    <t>bacterium HMT-091</t>
  </si>
  <si>
    <t>Anaerovoracaceae [G2]</t>
  </si>
  <si>
    <t>HMT-091</t>
  </si>
  <si>
    <t>1.42 - 2.36 Mbps</t>
  </si>
  <si>
    <t>GCA_000526055.1 | GCA_001189495.1 | GCA_015255615.1 | GCA_015255645.1 | GCA_015255705.1 | GCA_015255725.1 | GCA_015255735.1 | GCA_015255745.1 | GCA_015255785.1 | GCA_015255805.1 | GCA_015255825.1 | GCA_015255865.1 | GCA_015255915.1 | GCA_015255975.1 | GCA_015256015.1 | GCA_015256025.1 | GCA_015256085.1 | GCA_015256115.1 | GCA_015256125.1 | GCA_015256135.1 | GCA_015256185.1 | GCA_916720415.1 | GCA_938014155.1</t>
  </si>
  <si>
    <t>Fusobacterium sulci | Phylum: Firmicutes</t>
  </si>
  <si>
    <t>AJ006963</t>
  </si>
  <si>
    <t>1.26 - 1.95 Mbps</t>
  </si>
  <si>
    <t>GCA_900450455.1 | GCA_938046765.1 | GCA_947096185.1 | GCA_000242675.1 | GCA_019416205.1</t>
  </si>
  <si>
    <t>Oral strain W 1417 | Phylum: Firmicutes</t>
  </si>
  <si>
    <t>AF287761 | U13039</t>
  </si>
  <si>
    <t>NCTC 12940</t>
  </si>
  <si>
    <t>Oral Clone P2PB_46 | Phylum: Firmicutes</t>
  </si>
  <si>
    <t>AF538856</t>
  </si>
  <si>
    <t>bacterium HMT-383</t>
  </si>
  <si>
    <t>HMT-383</t>
  </si>
  <si>
    <t>1.50 - 1.57 Mbps</t>
  </si>
  <si>
    <t>GCA_000090945.1 | GCA_000468535.1</t>
  </si>
  <si>
    <t>Oral Clone P4PA_156 | Oral Strain THI-F0131 | Phylum: Firmicutes</t>
  </si>
  <si>
    <t>AF538859</t>
  </si>
  <si>
    <t>1.16 - 2.95 Mbps</t>
  </si>
  <si>
    <t>GCA_905372085.1 | GCA_000406805.1 | GCA_001717545.1</t>
  </si>
  <si>
    <t>Oral Clone P2PB_23 | Phylum: Chloroflexi</t>
  </si>
  <si>
    <t>AY331414</t>
  </si>
  <si>
    <t>Anaerolineaceae</t>
  </si>
  <si>
    <t>Anaerolineales</t>
  </si>
  <si>
    <t>Anaerolineae</t>
  </si>
  <si>
    <t>1.66 - 1.79 Mbps</t>
  </si>
  <si>
    <t>GCA_900095855.1 | GCA_902376155.1 | GCA_905213095.1 | GCA_938020375.1 | GCA_959029415.1</t>
  </si>
  <si>
    <t>Oral Clone CS025 | Phylum: Firmicutes</t>
  </si>
  <si>
    <t>AF287784</t>
  </si>
  <si>
    <t>1.67 - 1.80 Mbps</t>
  </si>
  <si>
    <t>GCA_000239275.1 | GCA_902472395.1 | GCA_905197845.1 | GCA_905372395.1 | GCA_938037165.1 | GCA_958434125.1 | GCA_959024075.1</t>
  </si>
  <si>
    <t>Oral Clone BB166 | Phylum: Firmicutes</t>
  </si>
  <si>
    <t>AF287783</t>
  </si>
  <si>
    <t>1.70 - 1.84 Mbps</t>
  </si>
  <si>
    <t>GCA_000191725.2 | GCA_900626155.1 | GCA_902479665.1</t>
  </si>
  <si>
    <t>1.73 - 2.15 Mbps</t>
  </si>
  <si>
    <t>GCA_946891905.1 | GCA_946997125.1 | GCA_947087635.1 | GCA_947253505.1 | GCA_000159095.1 | GCA_001546165.1</t>
  </si>
  <si>
    <t>Gaffkya anaerobius | Peptostreptococcus tetradius | Phylum: Firmicutes | Tetracoccus anaerobius</t>
  </si>
  <si>
    <t>AF542234</t>
  </si>
  <si>
    <t>sp. HMT-295</t>
  </si>
  <si>
    <t>HMT-295</t>
  </si>
  <si>
    <t>sp. HMT-290</t>
  </si>
  <si>
    <t>HMT-290</t>
  </si>
  <si>
    <t>1.23 - 2.00 Mbps</t>
  </si>
  <si>
    <t>GCA_900445285.1 | GCA_902480415.1 | GCA_947253375.1 | GCA_000024105.1</t>
  </si>
  <si>
    <t>Micrococcus prevotii | Peptococcus prevotii | Peptostreptococcus prevotii | Phylum: Firmicutes</t>
  </si>
  <si>
    <t>D14139</t>
  </si>
  <si>
    <t>1.71 - 1.98 Mbps</t>
  </si>
  <si>
    <t>GCA_030825475.1 | GCA_900445265.1 | GCA_902482765.1 | GCA_943913685.1 | GCA_002847745.1 | GCA_018373895.1</t>
  </si>
  <si>
    <t>1.67 - 1.83 Mbps</t>
  </si>
  <si>
    <t>GCA_002359915.1 | GCA_003433955.1 | GCA_017874535.1 | GCA_900543655.1 | GCA_902385235.1</t>
  </si>
  <si>
    <t>1.43 - 2.21 Mbps</t>
  </si>
  <si>
    <t>GCA_000156575.1 | GCA_000758765.1 | GCA_902489065.1 | GCA_947252355.1</t>
  </si>
  <si>
    <t>Phylum: Firmicutes | Previously provisional taxon A64</t>
  </si>
  <si>
    <t>AB673373</t>
  </si>
  <si>
    <t>ATCC 51172 | DSM 7456 | JCM 8140</t>
  </si>
  <si>
    <t>1.76 - 1.88 Mbps</t>
  </si>
  <si>
    <t>GCA_000420505.1 | GCA_001053985.1 | GCA_001056455.1 | GCA_001056905.1 | GCA_002847765.1 | GCA_002861485.1 | GCA_030224105.1 | GCA_030226025.1 | GCA_030230475.1</t>
  </si>
  <si>
    <t>Class: Actinomycetia | Oral Strain TFI-Hal-H6-M4 | Phylum: Actinobacteria</t>
  </si>
  <si>
    <t>NR_042583</t>
  </si>
  <si>
    <t>CCUG 31649</t>
  </si>
  <si>
    <t>1.93 - 2.68 Mbps</t>
  </si>
  <si>
    <t>GCA_905372435.1 | GCA_937906735.1 | GCA_947097095.1 | GCA_000159995.1 | GCA_022014035.1 | GCA_022014045.1 | GCA_022014095.1 | GCA_022014115.1</t>
  </si>
  <si>
    <t>Oral Strain TFI-F0032 | Phylum: Bacteroidetes | Prevotella tanneriae</t>
  </si>
  <si>
    <t>AJ005634</t>
  </si>
  <si>
    <t>Phylum: Bacteroidetes | Prevotella genomospecies K3 | Prevotella sp. clone DL303</t>
  </si>
  <si>
    <t>JQ406539</t>
  </si>
  <si>
    <t>sp. HMT-914</t>
  </si>
  <si>
    <t>HMT-914</t>
  </si>
  <si>
    <t>Phylum: Bacteroidetes | Prevotella genomospecies K2 | Prevotella sp. clone BL216</t>
  </si>
  <si>
    <t>JQ406534</t>
  </si>
  <si>
    <t>sp. HMT-913</t>
  </si>
  <si>
    <t>HMT-913</t>
  </si>
  <si>
    <t>Alloprevotella sp. clone clone HS3_1W_C6 | Phylum: Bacteroidetes | Prevotella genomospecies K1 | Prevotella sp. clone BL176</t>
  </si>
  <si>
    <t>JQ406532 | KC203063</t>
  </si>
  <si>
    <t>sp. HMT-912</t>
  </si>
  <si>
    <t>HMT-912</t>
  </si>
  <si>
    <t>1.86 - 2.64 Mbps</t>
  </si>
  <si>
    <t>GCA_902497175.1 | GCA_938021135.1 | GCA_947097345.1 | GCA_000318095.2</t>
  </si>
  <si>
    <t>Oral Clone HF050 | Oral Clone IK062 | Oral Strain TFI-F0040 | Phylum: Bacteroidetes</t>
  </si>
  <si>
    <t>AY349399 | AY349402</t>
  </si>
  <si>
    <t>2.56 - 2.77 Mbps</t>
  </si>
  <si>
    <t>GCA_900095835.1 | GCA_902376145.1 | GCA_916720475.1 | GCA_937891685.1</t>
  </si>
  <si>
    <t>Alloprevotella sp900095835 | Prevotellaceae bacterium Marseille-P2826</t>
  </si>
  <si>
    <t>Oral Clone DO039 | Phylum: Bacteroidetes</t>
  </si>
  <si>
    <t>AF385513</t>
  </si>
  <si>
    <t>sp. HMT-308</t>
  </si>
  <si>
    <t>HMT-308</t>
  </si>
  <si>
    <t>2.56 - 2.59 Mbps</t>
  </si>
  <si>
    <t>GCA_000234115.1 | GCA_014195585.1</t>
  </si>
  <si>
    <t>Oral Clone BU035 | Oral STain KCL-W6968 | Oral Strain F0020 | Phylum: Bacteroidetes | Prevotella sp. oral taxon 302</t>
  </si>
  <si>
    <t>AF385564</t>
  </si>
  <si>
    <t>81/4-12 | CCUG 58091 | DSM 22548</t>
  </si>
  <si>
    <t>1.59 - 1.88 Mbps</t>
  </si>
  <si>
    <t>GCA_000315445.1 | GCA_900445205.1 | GCA_936941285.1 | GCA_943912975.1</t>
  </si>
  <si>
    <t>Alloiococcus otitidis | Phylum: Firmicutes</t>
  </si>
  <si>
    <t>AY957475</t>
  </si>
  <si>
    <t>4.52 - 4.60 Mbps</t>
  </si>
  <si>
    <t>GCA_002250115.1 | GCA_014338545.1</t>
  </si>
  <si>
    <t>AB043853 | AJ297498</t>
  </si>
  <si>
    <t>3.23 - 3.81 Mbps</t>
  </si>
  <si>
    <t>GCA_003461645.1 | GCA_005844225.1 | GCA_012844205.1 | GCA_015547645.1 | GCA_015556735.1 | GCA_015556995.1 | GCA_015558405.1 | GCA_015559775.1 | GCA_025145845.1 | GCA_902362205.1</t>
  </si>
  <si>
    <t>Rikenellaceae</t>
  </si>
  <si>
    <t>2.46 - 3.12 Mbps</t>
  </si>
  <si>
    <t>GCA_024462405.1 | GCA_024462435.1 | GCA_902373695.1 | GCA_000154465.1 | GCA_015549455.1 | GCA_018786185.1 | GCA_019132025.1 | GCA_020555445.1</t>
  </si>
  <si>
    <t>3.22 - 3.87 Mbps</t>
  </si>
  <si>
    <t>GCA_001405855.1 | GCA_002159215.1 | GCA_006542645.1 | GCA_006542705.1 | GCA_006542725.1 | GCA_015668835.1 | GCA_022834935.1 | GCA_022845675.1 | GCA_025145285.1 | GCA_902362895.1</t>
  </si>
  <si>
    <t>2.66 - 2.84 Mbps</t>
  </si>
  <si>
    <t>GCA_030848285.1 | GCA_000020225.1 | GCA_001688765.2 | GCA_004015025.1 | GCA_008000975.1 | GCA_010223175.1 | GCA_010223255.1 | GCA_017504145.1 | GCA_017570505.1 | GCA_018847595.1</t>
  </si>
  <si>
    <t>Akkermansiaceae</t>
  </si>
  <si>
    <t>Verrucomicrobiales</t>
  </si>
  <si>
    <t>Verrucomicrobiia</t>
  </si>
  <si>
    <t>5.08 - 6.14 Mbps</t>
  </si>
  <si>
    <t>GCA_005221325.1 | GCA_005221345.1 | GCA_017726655.1 | GCA_025559885.1 | GCA_025560305.1</t>
  </si>
  <si>
    <t>Achromobacter radiobacter | Agrobacterium radiobacter | Alcaligenes radiobacter | Bacillus radiobacter | Bacterium radiobacter | Bacterium tumefaciens | Phylum: Proteobacteria | Phytomonas tumefaciens | Polymonas tumefaciens | Pseudomonas radiobacter | Pseudomonas tumefaciens</t>
  </si>
  <si>
    <t>M11223</t>
  </si>
  <si>
    <t>Rhizobiaceae</t>
  </si>
  <si>
    <t>JF506655</t>
  </si>
  <si>
    <t>sp. HMT-949</t>
  </si>
  <si>
    <t>HMT-949</t>
  </si>
  <si>
    <t>Aggregatibacter sp. HS19_2W_I12 | Phylum: Proteobacteria</t>
  </si>
  <si>
    <t>KC203060</t>
  </si>
  <si>
    <t>sp. HMT-898</t>
  </si>
  <si>
    <t>HMT-898</t>
  </si>
  <si>
    <t>1.75 - 1.97 Mbps</t>
  </si>
  <si>
    <t>GCA_001059425.1 | GCA_003130325.1 | GCA_003130345.1 | GCA_018128305.1 | GCA_934234175.1</t>
  </si>
  <si>
    <t>DQ003635</t>
  </si>
  <si>
    <t>1.70 - 2.02 Mbps</t>
  </si>
  <si>
    <t>GCA_000466335.1 | GCA_017798005.1 | GCA_905372845.1 | GCA_915063715.1 | GCA_927911785.1</t>
  </si>
  <si>
    <t>Oral Clone JM053 | Phylum: Proteobacteria</t>
  </si>
  <si>
    <t>AY349380</t>
  </si>
  <si>
    <t>1.75 - 2.09 Mbps</t>
  </si>
  <si>
    <t>GCA_900476035.1 | GCA_902494125.1 | GCA_905212025.1 | GCA_920939465.1 | GCA_934255625.1 | GCA_938021175.1 | GCA_947097335.1 | GCA_000185305.1 | GCA_003130075.1 | GCA_003130095.1 | GCA_003252645.1 | GCA_003252685.1 | GCA_016127115.1</t>
  </si>
  <si>
    <t>Haemophilus segnis | Phylum: Proteobacteria</t>
  </si>
  <si>
    <t>M75043</t>
  </si>
  <si>
    <t>2.30 - 2.46 Mbps</t>
  </si>
  <si>
    <t>GCA_003129975.1 | GCA_003130015.1 | GCA_003130035.1 | GCA_003130055.1 | GCA_003130255.1 | GCA_003130285.1 | GCA_003130305.1 | GCA_003130645.1 | GCA_003130665.1 | GCA_003130675.1 | GCA_003252805.1 | GCA_003252835.1 | GCA_003252995.1 | GCA_003253035.1 | GCA_937919835.1</t>
  </si>
  <si>
    <t>2.13 - 2.42 Mbps</t>
  </si>
  <si>
    <t>GCA_900445195.1 | GCA_900478265.1 | GCA_900636915.1 | GCA_916048645.1 | GCA_000022985.1 | GCA_000226495.3 | GCA_000231255.1 | GCA_001188835.1 | GCA_001262035.1 | GCA_001680765.1 | GCA_001680805.1 | GCA_002083125.2 | GCA_003130125.1 | GCA_003130145.1 | GCA_003130195.1 | GCA_003130365.1 | GCA_003130375.1 | GCA_003252955.1 | GCA_003252965.1 | GCA_003703745.1</t>
  </si>
  <si>
    <t>Haemophilus aphrophilus | Haemophilus paraphrophilus | Phylum: Proteobacteria</t>
  </si>
  <si>
    <t>M75041</t>
  </si>
  <si>
    <t>2.03 - 2.38 Mbps</t>
  </si>
  <si>
    <t>GCA_023517815.1 | GCA_023517835.1 | GCA_023517855.1 | GCA_023517875.1 | GCA_023517895.1 | GCA_023517915.1 | GCA_023517935.1 | GCA_023518055.1 | GCA_023559645.1 | GCA_023559725.1 | GCA_023559755.1 | GCA_024677965.1 | GCA_024677985.1 | GCA_024678005.1 | GCA_024678025.1 | GCA_024678085.1 | GCA_024678105.1 | GCA_024730685.1 | GCA_024730705.1 | GCA_024730725.1 | GCA_024730745.1 | GCA_025449295.1 | GCA_900445165.1 | GCA_000146265.4 | GCA_000163615.3 | GCA_000241025.2 | GCA_000259915.1 | GCA_000372365.1 | GCA_000604045.1 | GCA_001190115.1 | GCA_001547775.1 | GCA_001594245.1 | GCA_001594265.1 | GCA_001690155.1 | GCA_002266485.1 | GCA_003130165.1 | GCA_006547285.1 | GCA_008084095.1 | GCA_008084115.1 | GCA_008084195.1 | GCA_008084225.1 | GCA_008085015.1 | GCA_008085085.1 | GCA_008085135.1 | GCA_008085215.1 | GCA_008085265.1 | GCA_008085295.1 | GCA_008085305.1 | GCA_008085315.1 | GCA_008085365.1 | GCA_008085405.1 | GCA_008085415.1 | GCA_008086365.1 | GCA_008086385.1 | GCA_008086405.1 | GCA_016026035.1 | GCA_020809485.1 | GCA_021308695.1 | GCA_021308715.1 | GCA_021308795.1 | GCA_021308835.1 | GCA_021308855.1 | GCA_021308875.1 | GCA_021308915.1 | GCA_021309015.1 | GCA_021309025.1 | GCA_021309195.1 | GCA_021309205.1 | GCA_021309215.1 | GCA_021309225.1 | GCA_021309275.1 | GCA_021309295.1 | GCA_021309315.1 | GCA_021309335.1 | GCA_021309475.1 | GCA_021309535.1 | GCA_021309595.1 | GCA_021309635.1 | GCA_021309645.1 | GCA_021309675.1 | GCA_021309695.1 | GCA_021309715.1 | GCA_021309735.1 | GCA_021309755.1 | GCA_021309765.1 | GCA_021309815.1 | GCA_021309825.1 | GCA_021309915.1 | GCA_021309955.1 | GCA_021309965.1 | GCA_021309995.1 | GCA_021310015.1 | GCA_021310035.1 | GCA_021310095.1 | GCA_021310125.1 | GCA_021310155.1 | GCA_021310165.1 | GCA_021310195.1 | GCA_021310215.1 | GCA_021310295.1</t>
  </si>
  <si>
    <t>Actinobacillus actinomycetemcomitans | Bacterium acetinomycetum | Bacterium actinomycetem | Bacterium comitans | Haemophilus actinomycetemcomitans | Haemophilus actinomyceticomitans | Phylum: Proteobacteria</t>
  </si>
  <si>
    <t>M75036</t>
  </si>
  <si>
    <t>ATCC 33384 | NCTC 9710</t>
  </si>
  <si>
    <t>2.79 - 3.45 Mbps</t>
  </si>
  <si>
    <t>GCA_000020605.1 | GCA_000209935.1 | GCA_003468065.1 | GCA_003474615.1 | GCA_015557515.1 | GCA_022453685.1 | GCA_024167965.1 | GCA_028322385.1 | GCA_028322445.1 | GCA_902387715.1</t>
  </si>
  <si>
    <t>Eubacterium rectale</t>
  </si>
  <si>
    <t>5.00 - 5.26 Mbps</t>
  </si>
  <si>
    <t>GCA_902488705.1 | GCA_000314675.2 | GCA_000568515.1 | GCA_000568595.1 | GCA_000568615.1 | GCA_002172955.1 | GCA_002689225.1 | GCA_003963205.1</t>
  </si>
  <si>
    <t>U87759</t>
  </si>
  <si>
    <t>1.89 - 2.32 Mbps</t>
  </si>
  <si>
    <t>GCA_000178435.1 | GCA_001543285.1 | GCA_001806975.1 | GCA_002083135.2 | GCA_002871935.1 | GCA_025144985.1 | GCA_029023765.1 | GCA_900445095.1 | GCA_900445105.1</t>
  </si>
  <si>
    <t>Aerococcaceae</t>
  </si>
  <si>
    <t>Class: Actinomycetia | Oral Clone C5AKM003 | Phylum: Actinobacteria</t>
  </si>
  <si>
    <t>AY278612</t>
  </si>
  <si>
    <t>sp. HMT-407</t>
  </si>
  <si>
    <t>Aeriscardovia</t>
  </si>
  <si>
    <t>HMT-407</t>
  </si>
  <si>
    <t>3.30 - 3.49 Mbps</t>
  </si>
  <si>
    <t>GCA_004525795.1 | GCA_031296485.1 | GCA_900637975.1</t>
  </si>
  <si>
    <t>X82453</t>
  </si>
  <si>
    <t>2.93 Mbps</t>
  </si>
  <si>
    <t>Class: Actinomycetia | OralsStrain TFI B19SC | Phylum: Actinobacteria</t>
  </si>
  <si>
    <t>AF287748</t>
  </si>
  <si>
    <t>3.16 - 3.28 Mbps</t>
  </si>
  <si>
    <t>GCA_938030695.1 | GCA_002999235.1 | GCA_016626125.1</t>
  </si>
  <si>
    <t>Actinomyces sp. clone HS14_2W_C6 | Class: Actinomycetia | Phylum: Actinobacteria</t>
  </si>
  <si>
    <t>KC203057</t>
  </si>
  <si>
    <t>Actinomyces genomospecies K1 | Actinomyces sp. clone FL377 | Class: Actinomycetia | Phylum: Actinobacteria</t>
  </si>
  <si>
    <t>JQ406543</t>
  </si>
  <si>
    <t>sp. HMT-896</t>
  </si>
  <si>
    <t>HMT-896</t>
  </si>
  <si>
    <t>Class: Actinomycetia | Oral Clone MB6_C03 | Phylum: Actinobacteria</t>
  </si>
  <si>
    <t>DQ003632</t>
  </si>
  <si>
    <t>sp. HMT-525</t>
  </si>
  <si>
    <t>HMT-525</t>
  </si>
  <si>
    <t>2.46 - 2.83 Mbps</t>
  </si>
  <si>
    <t>GCA_905214355.1 | GCA_905373145.1 | GCA_916720385.1 | GCA_946222855.1 | GCA_000220835.1</t>
  </si>
  <si>
    <t>Class: Actinomycetia | Oral Clone IP073 | Phylum: Actinobacteria</t>
  </si>
  <si>
    <t>AY349365</t>
  </si>
  <si>
    <t>3.84 Mbps</t>
  </si>
  <si>
    <t>Class: Actinomycetia | Oral Clone C3ALM064 | Phylum: Actinobacteria</t>
  </si>
  <si>
    <t>AY278610</t>
  </si>
  <si>
    <t>3.11 - 3.15 Mbps</t>
  </si>
  <si>
    <t>GCA_900323545.1 | GCA_902363285.1</t>
  </si>
  <si>
    <t>Actinomyces sp. Marseille-P3109 | Actinomyces sp900323545</t>
  </si>
  <si>
    <t>2.63 - 3.14 Mbps</t>
  </si>
  <si>
    <t>GCA_916720155.1 | GCA_000195595.1</t>
  </si>
  <si>
    <t>Class: Actinomycetia | Oral Clone AP064 | Phylum: Actinobacteria</t>
  </si>
  <si>
    <t>AF287749</t>
  </si>
  <si>
    <t>2.80 - 3.05 Mbps</t>
  </si>
  <si>
    <t>GCA_001553565.1 | GCA_959607315.1</t>
  </si>
  <si>
    <t>AJ251986</t>
  </si>
  <si>
    <t>3.02 - 3.19 Mbps</t>
  </si>
  <si>
    <t>GCA_000175315.3 | GCA_000223355.2 | GCA_001807465.1 | GCA_001937535.1 | GCA_001937555.1 | GCA_001937715.1 | GCA_002847555.1 | GCA_006546825.1 | GCA_016127955.1 | GCA_016694895.1 | GCA_027945475.1 | GCA_031082435.1 | GCA_031292905.1 | GCA_031296455.1 | GCA_031296505.1 | GCA_031296575.1 | GCA_031297525.1 | GCA_916050205.1 | GCA_946221355.1</t>
  </si>
  <si>
    <t>Actinomyces naeslundii genospecies 2 | Class: Actinomycetia | Phylum: Actinobacteria</t>
  </si>
  <si>
    <t>AB545935 | GQ421308</t>
  </si>
  <si>
    <t>ATCC 27044 | JCM 16131</t>
  </si>
  <si>
    <t>clade-893</t>
  </si>
  <si>
    <t>2.80 - 3.10 Mbps</t>
  </si>
  <si>
    <t>GCA_001937675.1 | GCA_005696555.1 | GCA_916439255.1</t>
  </si>
  <si>
    <t>Class: Actinomycetia | Oral Clone BL008 | Oral Clone JA063 | Oral Strain W5536 | Phylum: Actinobacteria</t>
  </si>
  <si>
    <t>AF385553 | AY349367</t>
  </si>
  <si>
    <t>clade-171</t>
  </si>
  <si>
    <t>GCA_001929365.1 | GCA_001937545.1 | GCA_013394715.1 | GCA_030371665.1 | GCA_030527985.1 | GCA_031082475.1 | GCA_901873715.1 | GCA_905373335.1 | GCA_937981545.1</t>
  </si>
  <si>
    <t>Class: Actinomycetia | Oral Clone AG004 | Phylum: Actinobacteria</t>
  </si>
  <si>
    <t>AF287747</t>
  </si>
  <si>
    <t>clade-169</t>
  </si>
  <si>
    <t>3.11 - 3.45 Mbps</t>
  </si>
  <si>
    <t>GCA_031296635.1 | GCA_034648895.1 | GCA_905373015.1 | GCA_001812965.1 | GCA_001937385.1 | GCA_001937415.1 | GCA_001937425.1 | GCA_001937445.1 | GCA_001937485.1 | GCA_001937505.1 | GCA_001937725.1</t>
  </si>
  <si>
    <t>clade-144</t>
  </si>
  <si>
    <t>3.05 - 3.11 Mbps</t>
  </si>
  <si>
    <t>GCA_001929375.1 | GCA_001937365.1 | GCA_001937655.1</t>
  </si>
  <si>
    <t>clade-079</t>
  </si>
  <si>
    <t>2.87 - 3.12 Mbps</t>
  </si>
  <si>
    <t>GCA_000180155.1 | GCA_001553935.1 | GCA_023169925.1</t>
  </si>
  <si>
    <t>clade-043</t>
  </si>
  <si>
    <t>2.57 - 2.93 Mbps</t>
  </si>
  <si>
    <t>GCA_938040835.1 | GCA_004104015.1</t>
  </si>
  <si>
    <t>AJ507295</t>
  </si>
  <si>
    <t>3.04 - 3.23 Mbps</t>
  </si>
  <si>
    <t>GCA_023170065.1 | GCA_026802095.1 | GCA_031296595.1 | GCA_031296655.1 | GCA_031296715.1 | GCA_905372775.1 | GCA_000285995.1 | GCA_001937475.1 | GCA_001937595.1 | GCA_001937605.1 | GCA_001937615.1 | GCA_001937735.1 | GCA_001956355.1 | GCA_001956365.1 | GCA_001956415.1 | GCA_001956435.1 | GCA_001956445.1 | GCA_001956475.1 | GCA_001956485.1 | GCA_001956505.1 | GCA_001956515.1 | GCA_001956555.1 | GCA_001956565.1 | GCA_001956575.1 | GCA_001956585.1 | GCA_001956635.1 | GCA_002847585.1 | GCA_016127855.1</t>
  </si>
  <si>
    <t>Class: Actinomycetia | Oral Clone EP011 | Phylum: Actinobacteria</t>
  </si>
  <si>
    <t>AB618790</t>
  </si>
  <si>
    <t>ATCC 12104 | JCM 8349 | NCTC 10301</t>
  </si>
  <si>
    <t>2.78 - 3.48 Mbps</t>
  </si>
  <si>
    <t>GCA_000269805.1 | GCA_000296275.1 | GCA_030644185.1 | GCA_905373845.1 | GCA_938045635.1</t>
  </si>
  <si>
    <t>Class: Actinomycetia | Phylum: Actinobacteria | Previously provisional taxon C93</t>
  </si>
  <si>
    <t>AB545934</t>
  </si>
  <si>
    <t>JCM 16130</t>
  </si>
  <si>
    <t>3.34 - 3.46 Mbps</t>
  </si>
  <si>
    <t>GCA_031296615.1 | GCA_000239715.1 | GCA_006546835.1 | GCA_008693165.1</t>
  </si>
  <si>
    <t>Class: Actinomycetia | Phylum: Actinobacteria | Previously provisional taxon C25</t>
  </si>
  <si>
    <t>AB545933 | GU470900</t>
  </si>
  <si>
    <t>ATCC 49338 | JCM 16129</t>
  </si>
  <si>
    <t>3.87 - 4.03 Mbps</t>
  </si>
  <si>
    <t>GCA_000711965.1 | GCA_026891875.1 | GCA_030253495.1</t>
  </si>
  <si>
    <t>Actinobacterium israeli | Brevistreptothrix israeli | Class: Actinomycetia | Cohnistreptothrix israeli | Corynebacterium israeli | Discomyces israeli | Nocardia israeli | Oospora israeli | Phylum: Actinobacteria | Proactinomyces israeli | Streptothrix israeli</t>
  </si>
  <si>
    <t>X82450</t>
  </si>
  <si>
    <t>1.77 - 2.21 Mbps</t>
  </si>
  <si>
    <t>GCA_902480825.1 | GCA_902481625.1 | GCA_905369945.1 | GCA_916050455.1 | GCA_916720025.1 | GCA_927911435.1 | GCA_938014305.1 | GCA_938043945.1 | GCA_000239695.1 | GCA_000466185.1 | GCA_002871975.1 | GCA_015259495.1 | GCA_018366775.1 | GCA_018378275.1</t>
  </si>
  <si>
    <t>Class: Actinomycetia | Phylum: Actinobacteria | Previously provisional taxon A50</t>
  </si>
  <si>
    <t>NR_042167</t>
  </si>
  <si>
    <t>CCUG 27294 | DSM 15540</t>
  </si>
  <si>
    <t>3.13 - 3.42 Mbps</t>
  </si>
  <si>
    <t>GCA_000429265.1 | GCA_905373455.1</t>
  </si>
  <si>
    <t>Actinomyces israelii | Class: Actinomycetia | Phylum: Actinobacteria</t>
  </si>
  <si>
    <t>X80414</t>
  </si>
  <si>
    <t>3.33 - 3.53 Mbps</t>
  </si>
  <si>
    <t>GCA_000429225.1 | GCA_905371755.1</t>
  </si>
  <si>
    <t>AJ697609</t>
  </si>
  <si>
    <t>CCUG 48064 | DSM 19115 | R-18165</t>
  </si>
  <si>
    <t>Oral Clone C4AKM094 | Order: Pseudomonadales | Phylum: Proteobacteria</t>
  </si>
  <si>
    <t>AY278636</t>
  </si>
  <si>
    <t>sp. HMT-408</t>
  </si>
  <si>
    <t>HMT-408</t>
  </si>
  <si>
    <t>3.09 - 3.43 Mbps</t>
  </si>
  <si>
    <t>GCA_000286595.1 | GCA_000368885.1 | GCA_000368905.1 | GCA_002993105.1 | GCA_003258335.1 | GCA_005519305.1 | GCA_006757745.1 | GCA_014069095.1 | GCA_029961705.1</t>
  </si>
  <si>
    <t>2.99 - 3.55 Mbps</t>
  </si>
  <si>
    <t>GCA_000248355.2 | GCA_000487975.1 | GCA_000836095.1 | GCA_002119785.3 | GCA_015602705.1 | GCA_019048305.1 | GCA_019048525.1 | GCA_019343495.1 | GCA_029024105.1 | GCA_900699155.1</t>
  </si>
  <si>
    <t>3.19 - 3.77 Mbps</t>
  </si>
  <si>
    <t>GCA_000368765.1 | GCA_003939335.2 | GCA_003939355.2 | GCA_018281725.1 | GCA_018336855.1 | GCA_021491935.1 | GCA_023973105.1 | GCA_030913345.1 | GCA_900444865.1 | GCA_900444875.1</t>
  </si>
  <si>
    <t>3.34 - 3.84 Mbps</t>
  </si>
  <si>
    <t>GCA_900444855.1 | GCA_000368045.1 | GCA_003952785.1 | GCA_008180305.1 | GCA_016027055.1 | GCA_016726625.1 | GCA_020162195.1 | GCA_021496295.1 | GCA_021496365.1</t>
  </si>
  <si>
    <t>3.93 - 4.03 Mbps</t>
  </si>
  <si>
    <t>GCA_000162295.1 | GCA_000369385.1 | GCA_000614705.1 | GCA_000737145.1 | GCA_000931755.1 | GCA_001077555.2 | GCA_009035845.1 | GCA_009759685.1 | GCA_014672755.1 | GCA_020911985.1</t>
  </si>
  <si>
    <t>Acinetobacter baumanni | Bacterium anitratum | Order: Pseudomonadales | Phylum: Proteobacteria</t>
  </si>
  <si>
    <t>X81660</t>
  </si>
  <si>
    <t>3.70 - 4.73 Mbps</t>
  </si>
  <si>
    <t>GCA_027321625.1 | GCA_028596105.1 | GCA_913778555.1 | GCA_000935585.1 | GCA_006716905.1 | GCA_016406015.1 | GCA_021849105.1</t>
  </si>
  <si>
    <t>3.42 - 4.61 Mbps</t>
  </si>
  <si>
    <t>GCA_022729025.1 | GCA_022729045.1 | GCA_022807955.1 | GCA_024709665.1 | GCA_024711385.1 | GCA_027625375.1 | GCA_030148125.1 | GCA_030503915.1 | GCA_000015545.1 | GCA_000022305.1 | GCA_001023515.1 | GCA_002214645.1 | GCA_002916785.1 | GCA_003755025.1 | GCA_013154915.1 | GCA_015832135.1 | GCA_019602835.1</t>
  </si>
  <si>
    <t>Genus: Acidovorax | Phylum: Proteobacteria</t>
  </si>
  <si>
    <t>6.50 - 7.36 Mbps</t>
  </si>
  <si>
    <t>GCA_000165835.1 | GCA_000508285.1 | GCA_001457475.1 | GCA_001598595.1 | GCA_013343135.1 | GCA_022870085.1 | GCA_900009115.1</t>
  </si>
  <si>
    <t>Alcaligenes xylosoxidans | Phylum: Proteobacteria</t>
  </si>
  <si>
    <t>Y14907</t>
  </si>
  <si>
    <t>1.18 Mbps</t>
  </si>
  <si>
    <t>Phylum: Absconditabacteria_(SR1)</t>
  </si>
  <si>
    <t>Absconditicoccaceae</t>
  </si>
  <si>
    <t>Absconditabacterales</t>
  </si>
  <si>
    <t>0.800 - 0.985 Mbps</t>
  </si>
  <si>
    <t>GCA_013333295.2 | GCA_015258205.1 | GCA_916048315.1 | GCA_916720055.1 | GCA_937989475.1</t>
  </si>
  <si>
    <t>1.01 - 1.00 Mbps</t>
  </si>
  <si>
    <t>GCA_013333605.2 | GCA_013333915.2</t>
  </si>
  <si>
    <t>1.14 - 1.16 Mbps</t>
  </si>
  <si>
    <t>GCA_003260355.1 | GCA_938045525.1</t>
  </si>
  <si>
    <t>Oral Clones X112 | Phylum: Absconditabacteria_(SR1)</t>
  </si>
  <si>
    <t>AF125207</t>
  </si>
  <si>
    <t>1.83 - 2.02 Mbps</t>
  </si>
  <si>
    <t>GCA_030825925.1 | GCA_905372995.1 | GCA_001815865.1 | GCA_015259565.1 | GCA_015259595.1</t>
  </si>
  <si>
    <t>1.97 - 2.05 Mbps</t>
  </si>
  <si>
    <t>GCA_000160075.2 | GCA_013267415.1 | GCA_026783725.1 | GCA_937930255.1 | GCA_946222135.1</t>
  </si>
  <si>
    <t>Phylum: Firmicutes | Streptococcus defectivus</t>
  </si>
  <si>
    <t>AY207063</t>
  </si>
  <si>
    <t>Genome Size Range</t>
  </si>
  <si>
    <t>Genome IDs</t>
  </si>
  <si>
    <t>NCBI Taxon ID</t>
  </si>
  <si>
    <t>Synonyms</t>
  </si>
  <si>
    <t>16S_rRNA</t>
  </si>
  <si>
    <t>Type Strain</t>
  </si>
  <si>
    <t>Body Site(s)</t>
  </si>
  <si>
    <t>Cultivation Status</t>
  </si>
  <si>
    <t>Naming Status</t>
  </si>
  <si>
    <t>Subspecies</t>
  </si>
  <si>
    <t>Family</t>
  </si>
  <si>
    <t>Order</t>
  </si>
  <si>
    <t>Class</t>
  </si>
  <si>
    <t>Phylum</t>
  </si>
  <si>
    <t>Domain</t>
  </si>
  <si>
    <t>HOMD.org Taxon Data::Site/Status Filter Applied Date: 2026-04-26</t>
  </si>
  <si>
    <t>Pathogen</t>
  </si>
  <si>
    <t>Skin/Ear</t>
  </si>
  <si>
    <t>Skin</t>
  </si>
  <si>
    <t>Nasal</t>
  </si>
  <si>
    <t>Zoonotic</t>
  </si>
  <si>
    <t>site</t>
  </si>
  <si>
    <t>Saccharimonas_sp. HMT-394</t>
  </si>
  <si>
    <t>Pseudoleptotrichia_sp. HMT-212</t>
  </si>
  <si>
    <t>Pseudoleptotrichia_sp. HMT-215</t>
  </si>
  <si>
    <t>Anaerolineae [G1]_bacterium HMT-439</t>
  </si>
  <si>
    <t>Nanosynbacter_sp. HMT-352</t>
  </si>
  <si>
    <t>Leptotrichia_sp. HMT-221</t>
  </si>
  <si>
    <t>Prevotella_sp. HMT-314</t>
  </si>
  <si>
    <t>Leptotrichia_sp. HMT-417</t>
  </si>
  <si>
    <t>Actinomyces_oris clade-169</t>
  </si>
  <si>
    <t>Actinomyces_oris clade-893</t>
  </si>
  <si>
    <t>Streptococcus_infantis clade-638</t>
  </si>
  <si>
    <t>Alloprevotella_sp. HMT-473</t>
  </si>
  <si>
    <t>Alloprevotella_sp. HMT-413</t>
  </si>
  <si>
    <t>Leptotrichia_sp. HMT-225</t>
  </si>
  <si>
    <t>Absconditicoccaceae [G1]_bacterium HMT-874</t>
  </si>
  <si>
    <t>Actinomyces_oris clade-171</t>
  </si>
  <si>
    <t>Capnocytophaga_sp. HMT-338</t>
  </si>
  <si>
    <t>Leptotrichia_sp. HMT-218</t>
  </si>
  <si>
    <t>Paludibacteraceae [G1]_bacterium HMT-274</t>
  </si>
  <si>
    <t>Peptidiphaga_sp. HMT-183</t>
  </si>
  <si>
    <t>Rothia_mucilaginosa clade-681</t>
  </si>
  <si>
    <t>Actinomyces_oris clade-043</t>
  </si>
  <si>
    <t>Leptotrichia_sp. HMT-223</t>
  </si>
  <si>
    <t>Leptotrichia_sp. HMT-498</t>
  </si>
  <si>
    <t>Leptotrichia_sp. HMT-879</t>
  </si>
  <si>
    <t>Capnocytophaga_sp. HMT-878</t>
  </si>
  <si>
    <t>Leptotrichia_sp. HMT-847</t>
  </si>
  <si>
    <t>Abiotrophia_defectiva</t>
  </si>
  <si>
    <t>Abiotrophia_sp. HMT-427</t>
  </si>
  <si>
    <t>Absconditicoccaceae [G1]_bacterium HMT-875</t>
  </si>
  <si>
    <t>Absconditicoccaceae [G1]_bacterium HMT-345</t>
  </si>
  <si>
    <t>Absconditicoccaceae [G2]_bacterium HMT-991</t>
  </si>
  <si>
    <t>Achromobacter_xylosoxidans</t>
  </si>
  <si>
    <t>Acidovorax_ebreus</t>
  </si>
  <si>
    <t>Acidovorax_temperans</t>
  </si>
  <si>
    <t>Acinetobacter_lwoffii</t>
  </si>
  <si>
    <t>Acinetobacter_junii</t>
  </si>
  <si>
    <t>Acinetobacter_johnsonii</t>
  </si>
  <si>
    <t>Acinetobacter_baumannii</t>
  </si>
  <si>
    <t>Acinetobacter_radioresistens</t>
  </si>
  <si>
    <t>Actinomyces_massiliensis</t>
  </si>
  <si>
    <t>Actinomyces_timonensis</t>
  </si>
  <si>
    <t>Actinomyces_oris clade-144</t>
  </si>
  <si>
    <t>Actinomyces_israelii</t>
  </si>
  <si>
    <t>Actinomyces_naeslundii</t>
  </si>
  <si>
    <t>Actinomyces_viscosus</t>
  </si>
  <si>
    <t>Actinomyces_johnsonii</t>
  </si>
  <si>
    <t>Actinomyces_radicidentis</t>
  </si>
  <si>
    <t>Actinomyces_dentalis</t>
  </si>
  <si>
    <t>Actinomyces_gerencseriae</t>
  </si>
  <si>
    <t>Actinomyces_sp. HMT-448</t>
  </si>
  <si>
    <t>Actinomyces_sp. HMT-897</t>
  </si>
  <si>
    <t>Actinomyces_oricola</t>
  </si>
  <si>
    <t>Actinomyces_sp. HMT-170</t>
  </si>
  <si>
    <t>Actinomyces_sp. HMT-414</t>
  </si>
  <si>
    <t>Actinomyces_sp. HMT-403</t>
  </si>
  <si>
    <t>Actinomyces_oris clade-079</t>
  </si>
  <si>
    <t>Aerococcus_viridans</t>
  </si>
  <si>
    <t>Afipia_broomeae</t>
  </si>
  <si>
    <t>Aggregatibacter_actinomycetemcomitans</t>
  </si>
  <si>
    <t>Aggregatibacter_sp. HMT-458</t>
  </si>
  <si>
    <t>Aggregatibacter_sp. HMT-513</t>
  </si>
  <si>
    <t>Aggregatibacter_aphrophilus</t>
  </si>
  <si>
    <t>Aggregatibacter_segnis</t>
  </si>
  <si>
    <t>Aggregatibacter_kilianii</t>
  </si>
  <si>
    <t>Agrobacterium_tumefaciens</t>
  </si>
  <si>
    <t>Alistipes_onderdonkii</t>
  </si>
  <si>
    <t>Alistipes_putredinis</t>
  </si>
  <si>
    <t>Alloiococcus_otitis</t>
  </si>
  <si>
    <t>Alloprevotella_tannerae</t>
  </si>
  <si>
    <t>Alloscardovia_omnicolens</t>
  </si>
  <si>
    <t>Anaerococcus_vaginimassiliensis</t>
  </si>
  <si>
    <t>Anaerococcus_tetradius</t>
  </si>
  <si>
    <t>Anaerococcus_lactolyticus</t>
  </si>
  <si>
    <t>Anaerococcus_octavius</t>
  </si>
  <si>
    <t>Anaerococcus_nagyae</t>
  </si>
  <si>
    <t>Anaerococcus_prevotii</t>
  </si>
  <si>
    <t>Anaeroglobus_geminatus</t>
  </si>
  <si>
    <t>Anaeroglobus_massiliensis</t>
  </si>
  <si>
    <t>Anaerolinea_thermophila</t>
  </si>
  <si>
    <t>Anaerosphaera_mikwangii</t>
  </si>
  <si>
    <t>Anaerovoracaceae [G1]_sulci</t>
  </si>
  <si>
    <t>Anaerovoracaceae [G1]_infirmum</t>
  </si>
  <si>
    <t>Anaerovoracaceae [G5]_saphenum</t>
  </si>
  <si>
    <t>Anoxybacillus_flavithermus</t>
  </si>
  <si>
    <t>Aquamicrobium_lusatiense</t>
  </si>
  <si>
    <t>Arachnia_propionica</t>
  </si>
  <si>
    <t>Arcanobacterium_haemolyticum</t>
  </si>
  <si>
    <t>Arsenicicoccus_sp. HMT-190</t>
  </si>
  <si>
    <t>Arthrospira_platensis</t>
  </si>
  <si>
    <t>Atopobium_minutum</t>
  </si>
  <si>
    <t>Bacillus_subtilis</t>
  </si>
  <si>
    <t>Bacillus_anthracis</t>
  </si>
  <si>
    <t>Bartonella_schoenbuchensis</t>
  </si>
  <si>
    <t>Bifidobacterium_dentium</t>
  </si>
  <si>
    <t>Bifidobacterium_animalis</t>
  </si>
  <si>
    <t>Bifidobacterium_breve</t>
  </si>
  <si>
    <t>Bifidobacterium_subtile</t>
  </si>
  <si>
    <t>Bifidobacterium_longum</t>
  </si>
  <si>
    <t>Bordetella_pertussis</t>
  </si>
  <si>
    <t>Bradyrhizobium_elkanii</t>
  </si>
  <si>
    <t>Brevibacterium_paucivorans</t>
  </si>
  <si>
    <t>Brevundimonas_diminuta</t>
  </si>
  <si>
    <t>Brochothrix_thermosphacta</t>
  </si>
  <si>
    <t>Brooklawnia_sp. HMT-192</t>
  </si>
  <si>
    <t>Brucella_anthropi</t>
  </si>
  <si>
    <t>Bulleidia_extructa</t>
  </si>
  <si>
    <t>Burkholderia_cepacia</t>
  </si>
  <si>
    <t>Campylobacter_curvus</t>
  </si>
  <si>
    <t>Campylobacter_concisus clade-433</t>
  </si>
  <si>
    <t>Campylobacter_showae</t>
  </si>
  <si>
    <t>Campylobacter_concisus clade-575</t>
  </si>
  <si>
    <t>Campylobacter_gracilis</t>
  </si>
  <si>
    <t>Campylobacter_rectus</t>
  </si>
  <si>
    <t>Campylobacter_sputorum</t>
  </si>
  <si>
    <t>Campylobacter_ureolyticus</t>
  </si>
  <si>
    <t>Capnocytophaga_granulosa</t>
  </si>
  <si>
    <t>Capnocytophaga_sp. HMT-471</t>
  </si>
  <si>
    <t>Capnocytophaga_bilenii</t>
  </si>
  <si>
    <t>Capnocytophaga_sp. HMT-470</t>
  </si>
  <si>
    <t>Capnocytophaga_sp. HMT-863</t>
  </si>
  <si>
    <t>Catonella_morbi</t>
  </si>
  <si>
    <t>Catonella_massiliensis</t>
  </si>
  <si>
    <t>Centipeda_periodontii</t>
  </si>
  <si>
    <t>Chlamydia_pneumoniae</t>
  </si>
  <si>
    <t>Chlorobium_limicola</t>
  </si>
  <si>
    <t>Cloacibacterium_normanense</t>
  </si>
  <si>
    <t>Clostridiales [F3 G1]_bacterium HMT-876</t>
  </si>
  <si>
    <t>Comamonas_testosteroni</t>
  </si>
  <si>
    <t>Corynebacterium_hesseae</t>
  </si>
  <si>
    <t>Corynebacterium_striatum</t>
  </si>
  <si>
    <t>Corynebacterium_aurimucosum clade-450</t>
  </si>
  <si>
    <t>Corynebacterium_bovis</t>
  </si>
  <si>
    <t>Corynebacterium_pseudodiphtheriticum</t>
  </si>
  <si>
    <t>Corynebacterium_macginleyi</t>
  </si>
  <si>
    <t>Corynebacterium_kefirresidentii</t>
  </si>
  <si>
    <t>Corynebacterium_diphtheriae</t>
  </si>
  <si>
    <t>Corynebacterium_propinquum</t>
  </si>
  <si>
    <t>Corynebacterium_aurimucosum clade-034</t>
  </si>
  <si>
    <t>Corynebacterium_mastitidis</t>
  </si>
  <si>
    <t>Corynebacterium_simulans</t>
  </si>
  <si>
    <t>Corynebacterium_matruchotii</t>
  </si>
  <si>
    <t>Corynebacterium_amycolatum</t>
  </si>
  <si>
    <t>Corynebacterium_tuberculostearicum</t>
  </si>
  <si>
    <t>Corynebacterium_pilbarense</t>
  </si>
  <si>
    <t>Corynebacterium_afermentans</t>
  </si>
  <si>
    <t>Corynebacterium_jeikeium</t>
  </si>
  <si>
    <t>Corynebacterium_gottingense</t>
  </si>
  <si>
    <t>Corynebacterium_minutissimum</t>
  </si>
  <si>
    <t>Corynebacterium_singulare</t>
  </si>
  <si>
    <t>Corynebacterium_accolens</t>
  </si>
  <si>
    <t>Corynebacterium_otitidis</t>
  </si>
  <si>
    <t>Corynebacterium_mucifaciens</t>
  </si>
  <si>
    <t>Corynebacterium_tuscaniense</t>
  </si>
  <si>
    <t>Corynebacterium_appendicis</t>
  </si>
  <si>
    <t>Corynebacterium_macclintockiae</t>
  </si>
  <si>
    <t>Corynebacterium_kroppenstedtii</t>
  </si>
  <si>
    <t>Corynebacterium_durum</t>
  </si>
  <si>
    <t>Corynebacterium_coyleae</t>
  </si>
  <si>
    <t>Corynebacterium_massiliense</t>
  </si>
  <si>
    <t>Corynebacterium_urealyticum</t>
  </si>
  <si>
    <t>Cronobacter_sakazakii</t>
  </si>
  <si>
    <t>Cryptobacterium_curtum</t>
  </si>
  <si>
    <t>Cupriavidus_gilardii</t>
  </si>
  <si>
    <t>Cutibacterium_acnes</t>
  </si>
  <si>
    <t>Cutibacterium_avidum</t>
  </si>
  <si>
    <t>Cutibacterium_modestum</t>
  </si>
  <si>
    <t>Cutibacterium_granulosum</t>
  </si>
  <si>
    <t>Cutibacterium_namnetense</t>
  </si>
  <si>
    <t>Delftia_acidovorans</t>
  </si>
  <si>
    <t>Dermabacter_hominis</t>
  </si>
  <si>
    <t>Desulfobulbus_oralis</t>
  </si>
  <si>
    <t>Desulfomicrobium_orale</t>
  </si>
  <si>
    <t>Desulfovibrio_fairfieldensis</t>
  </si>
  <si>
    <t>Dialister_invisus</t>
  </si>
  <si>
    <t>Dialister_micraerophilus</t>
  </si>
  <si>
    <t>Dialister_pneumosintes</t>
  </si>
  <si>
    <t>Dietzia_cinnamea</t>
  </si>
  <si>
    <t>Dolosigranulum_pigrum</t>
  </si>
  <si>
    <t>Eggerthella_lenta</t>
  </si>
  <si>
    <t>Eggerthia_catenaformis</t>
  </si>
  <si>
    <t>Enterobacter_hormaechei</t>
  </si>
  <si>
    <t>Enterobacter_cancerogenus</t>
  </si>
  <si>
    <t>Enterococcus_faecalis</t>
  </si>
  <si>
    <t>Enterococcus_saccharolyticus</t>
  </si>
  <si>
    <t>Enterococcus_durans</t>
  </si>
  <si>
    <t>Enterococcus_italicus</t>
  </si>
  <si>
    <t>Enterococcus_casseliflavus</t>
  </si>
  <si>
    <t>Erysipelothrix_tonsillarum</t>
  </si>
  <si>
    <t>Escherichia_coli</t>
  </si>
  <si>
    <t>Eubacterium_limosum</t>
  </si>
  <si>
    <t>Faecalibacterium_prausnitzii</t>
  </si>
  <si>
    <t>Fannyhessea_vaginae</t>
  </si>
  <si>
    <t>Fannyhessea_sp. HMT-416</t>
  </si>
  <si>
    <t>Fastidiosipila_sanguinis</t>
  </si>
  <si>
    <t>Fenollaria_massiliensis</t>
  </si>
  <si>
    <t>Filifactor_alocis</t>
  </si>
  <si>
    <t>Finegoldia_magna</t>
  </si>
  <si>
    <t>Fretibacterium_fastidiosum</t>
  </si>
  <si>
    <t>Fusobacterium_polymorphum</t>
  </si>
  <si>
    <t>Fusobacterium_necrophorum</t>
  </si>
  <si>
    <t>Fusobacterium_periodonticum</t>
  </si>
  <si>
    <t>Fusobacterium_simiae</t>
  </si>
  <si>
    <t>Fusobacterium_animalis</t>
  </si>
  <si>
    <t>Fusobacterium_watanabei</t>
  </si>
  <si>
    <t>Fusobacterium_vincentii</t>
  </si>
  <si>
    <t>Fusobacterium_gonidiaformans</t>
  </si>
  <si>
    <t>Fusobacterium_nucleatum_sensu_stricto</t>
  </si>
  <si>
    <t>Fusobacterium_hwasookii</t>
  </si>
  <si>
    <t>Fusobacterium_sp. HMT-370</t>
  </si>
  <si>
    <t>Fusobacterium_pseudoperiodonticum</t>
  </si>
  <si>
    <t>Fusobacterium_sp. HMT-248</t>
  </si>
  <si>
    <t>Gallibacter_brachus</t>
  </si>
  <si>
    <t>Gardnerella_swidsinskii</t>
  </si>
  <si>
    <t>Gardnerella_leopoldii</t>
  </si>
  <si>
    <t>Gardnerella_vaginalis</t>
  </si>
  <si>
    <t>Gardnerella_piotii</t>
  </si>
  <si>
    <t>Gemella_massiliensis</t>
  </si>
  <si>
    <t>Gemella_sanguinis</t>
  </si>
  <si>
    <t>Gemella_haemolysans clade-626</t>
  </si>
  <si>
    <t>Gemella_bergeri</t>
  </si>
  <si>
    <t>Gemella_morbillorum</t>
  </si>
  <si>
    <t>Gemella_haemolysans clade-434</t>
  </si>
  <si>
    <t>Granulicatella_adiacens</t>
  </si>
  <si>
    <t>Granulicatella_elegans</t>
  </si>
  <si>
    <t>Haematobacter_missouriensis</t>
  </si>
  <si>
    <t>Haemophilus_influenzae</t>
  </si>
  <si>
    <t>Haemophilus_parainfluenzae</t>
  </si>
  <si>
    <t>Haemophilus_haemolyticus</t>
  </si>
  <si>
    <t>Haemophilus_sp. HMT-036</t>
  </si>
  <si>
    <t>Haemophilus_aegyptius</t>
  </si>
  <si>
    <t>Haemophilus_ducreyi</t>
  </si>
  <si>
    <t>Haemophilus_sputorum</t>
  </si>
  <si>
    <t>Haemophilus_parahaemolyticus</t>
  </si>
  <si>
    <t>Haemophilus_paraphrohaemolyticus</t>
  </si>
  <si>
    <t>Haemophilus_pittmaniae</t>
  </si>
  <si>
    <t>Hallella_dentalis</t>
  </si>
  <si>
    <t>Hallella_multisaccharivorax</t>
  </si>
  <si>
    <t>Hallella_sp. HMT-376</t>
  </si>
  <si>
    <t>Helicobacter_pylori</t>
  </si>
  <si>
    <t>Hominimerdicola_aceti</t>
  </si>
  <si>
    <t>Hornefia_nodatum</t>
  </si>
  <si>
    <t>Hornefia_minuta</t>
  </si>
  <si>
    <t>Hoylesella_oralis</t>
  </si>
  <si>
    <t>Hoylesella_shahii</t>
  </si>
  <si>
    <t>Hoylesella_marshii</t>
  </si>
  <si>
    <t>Hoylesella_nanceiensis</t>
  </si>
  <si>
    <t>Hoylesella_sp. HMT-317</t>
  </si>
  <si>
    <t>Hoylesella_saccharolytica</t>
  </si>
  <si>
    <t>Hoylesella_sp. HMT-475</t>
  </si>
  <si>
    <t>Hoylesella_pleuritidis</t>
  </si>
  <si>
    <t>Hoylesella_enoeca</t>
  </si>
  <si>
    <t>Hoylesella_koreensis</t>
  </si>
  <si>
    <t>Ignavibacterium_album</t>
  </si>
  <si>
    <t>Jeotgalicoccus_marinus</t>
  </si>
  <si>
    <t>Johnsonella_ignava</t>
  </si>
  <si>
    <t>Jonquetella_anthropi</t>
  </si>
  <si>
    <t>Kingella_kingae</t>
  </si>
  <si>
    <t>Kingella_negevensis</t>
  </si>
  <si>
    <t>Kingella_denitrificans</t>
  </si>
  <si>
    <t>Kingella_oralis</t>
  </si>
  <si>
    <t>Klebsiella_aerogenes</t>
  </si>
  <si>
    <t>Klebsiella_pneumoniae</t>
  </si>
  <si>
    <t>Kluyvera_ascorbata</t>
  </si>
  <si>
    <t>Kocuria_rhizophila</t>
  </si>
  <si>
    <t>Kocuria_atrinae</t>
  </si>
  <si>
    <t>Kocuria_palustris</t>
  </si>
  <si>
    <t>Lachnoanaerobaculum_orale</t>
  </si>
  <si>
    <t>Lachnoanaerobaculum_umeaense</t>
  </si>
  <si>
    <t>Lachnoanaerobaculum_saburreum</t>
  </si>
  <si>
    <t>Lachnoanaerobaculum_sp. HMT-441</t>
  </si>
  <si>
    <t>Lachnoanaerobaculum_sp. HMT-430</t>
  </si>
  <si>
    <t>Lachnoanaerobaculum_gingivalis</t>
  </si>
  <si>
    <t>Lachnoanaerobaculum_sp. HMT-083</t>
  </si>
  <si>
    <t>Lachnocurva_vaginae</t>
  </si>
  <si>
    <t>Lachnospiraceae [G2]_bacterium HMT-096</t>
  </si>
  <si>
    <t>Lachnospiraceae [G8]_bacterium HMT-500</t>
  </si>
  <si>
    <t>Lacticaseibacillus_paracasei</t>
  </si>
  <si>
    <t>Lacticaseibacillus_casei</t>
  </si>
  <si>
    <t>Lacticaseibacillus_rhamnosus</t>
  </si>
  <si>
    <t>Lactiplantibacillus_pentosus</t>
  </si>
  <si>
    <t>Lactiplantibacillus_plantarum</t>
  </si>
  <si>
    <t>Lactobacillus_jensenii</t>
  </si>
  <si>
    <t>Lactobacillus_crispatus</t>
  </si>
  <si>
    <t>Lactobacillus_johnsonii</t>
  </si>
  <si>
    <t>Lactobacillus_gasseri</t>
  </si>
  <si>
    <t>Lactobacillus_acidophilus</t>
  </si>
  <si>
    <t>Lactobacillus_iners</t>
  </si>
  <si>
    <t>Lactobacillus_ultunensis</t>
  </si>
  <si>
    <t>Lactococcus_lactis</t>
  </si>
  <si>
    <t>Lancefieldella_rimae</t>
  </si>
  <si>
    <t>Lancefieldella_parvula</t>
  </si>
  <si>
    <t>Lancefieldella_sp. HMT-199</t>
  </si>
  <si>
    <t>Lautropia_mirabilis</t>
  </si>
  <si>
    <t>Lautropia_dentalis</t>
  </si>
  <si>
    <t>Lawsonella_clevelandensis</t>
  </si>
  <si>
    <t>Lentilactobacillus_buchneri</t>
  </si>
  <si>
    <t>Lentilactobacillus_parafarraginis</t>
  </si>
  <si>
    <t>Lentilactobacillus_kisonensis</t>
  </si>
  <si>
    <t>Lentilactobacillus_rapi</t>
  </si>
  <si>
    <t>Levilactobacillus_brevis</t>
  </si>
  <si>
    <t>Ligilactobacillus_salivarius</t>
  </si>
  <si>
    <t>Limosilactobacillus_fermentum</t>
  </si>
  <si>
    <t>Limosilactobacillus_coleohominis</t>
  </si>
  <si>
    <t>Limosilactobacillus_vaginalis</t>
  </si>
  <si>
    <t>Limosilactobacillus_oris</t>
  </si>
  <si>
    <t>Limosilactobacillus_reuteri</t>
  </si>
  <si>
    <t>Limosilactobacillus_panis</t>
  </si>
  <si>
    <t>Listeria_monocytogenes</t>
  </si>
  <si>
    <t>Lysinibacillus_fusiformis</t>
  </si>
  <si>
    <t>Megasphaera_lornae</t>
  </si>
  <si>
    <t>Megasphaera_micronuciformis</t>
  </si>
  <si>
    <t>Mesorhizobium_japonicum</t>
  </si>
  <si>
    <t>Metamycoplasma_salivarium</t>
  </si>
  <si>
    <t>Metamycoplasma_orale</t>
  </si>
  <si>
    <t>Metamycoplasma_hominis</t>
  </si>
  <si>
    <t>Methanobrevibacter_oralis</t>
  </si>
  <si>
    <t>Micavibrio_aeruginosavorus</t>
  </si>
  <si>
    <t>Microbacterium_ginsengisoli</t>
  </si>
  <si>
    <t>Microbacterium_sp. HMT-186</t>
  </si>
  <si>
    <t>Micrococcus_luteus</t>
  </si>
  <si>
    <t>Mitsuokella_multacida</t>
  </si>
  <si>
    <t>Mitsuokella_sp. HMT-131</t>
  </si>
  <si>
    <t>Mobiluncus_mulieris</t>
  </si>
  <si>
    <t>Mogibacterium_timidum</t>
  </si>
  <si>
    <t>Mogibacterium_pumilum</t>
  </si>
  <si>
    <t>Mogibacterium_neglectum</t>
  </si>
  <si>
    <t>Mogibacterium_diversum</t>
  </si>
  <si>
    <t>Moraxella_catarrhalis</t>
  </si>
  <si>
    <t>Moraxella_nonliquefaciens</t>
  </si>
  <si>
    <t>Moraxella_osloensis</t>
  </si>
  <si>
    <t>Moraxella_lincolnii</t>
  </si>
  <si>
    <t>Moryella_sp. HMT-097</t>
  </si>
  <si>
    <t>Mycobacterium_leprae</t>
  </si>
  <si>
    <t>Mycobacterium_tuberculosis</t>
  </si>
  <si>
    <t>Mycoplasmoides_pneumoniae</t>
  </si>
  <si>
    <t>Mycoplasmoides_genitalium</t>
  </si>
  <si>
    <t>Mycoplasmopsis_fermentans</t>
  </si>
  <si>
    <t>Nanogingivalis_sp. HMT-399</t>
  </si>
  <si>
    <t>Nanogingivalis_sp. HMT-400</t>
  </si>
  <si>
    <t>Nanogingivalis_sp. HMT-401</t>
  </si>
  <si>
    <t>Nanogingivalis_gingivitcus</t>
  </si>
  <si>
    <t>Nanoperiomorbus_periodonticus</t>
  </si>
  <si>
    <t>Nanosynbacter_fur</t>
  </si>
  <si>
    <t>Nanosynbacter_sp. HMT-353</t>
  </si>
  <si>
    <t>Nanosyncoccus_sp. HMT-364</t>
  </si>
  <si>
    <t>Nanosyncoccus_sp. HMT-351</t>
  </si>
  <si>
    <t>Nanosyncoccus_nanoralicus</t>
  </si>
  <si>
    <t>Nanosyncoccus_alces</t>
  </si>
  <si>
    <t>Neisseria_sicca</t>
  </si>
  <si>
    <t>Neisseria_meningitidis</t>
  </si>
  <si>
    <t>Neisseria_lactamica</t>
  </si>
  <si>
    <t>Neisseria_gonorrhoeae</t>
  </si>
  <si>
    <t>Neisseria_perflava</t>
  </si>
  <si>
    <t>Neisseria_subflava</t>
  </si>
  <si>
    <t>Neisseria_elongata</t>
  </si>
  <si>
    <t>Neisseria_bacilliformis</t>
  </si>
  <si>
    <t>Neisseria_mucosa</t>
  </si>
  <si>
    <t>Neisseria_polysaccharea</t>
  </si>
  <si>
    <t>Neisseria_flavescens</t>
  </si>
  <si>
    <t>Neisseria_cinerea</t>
  </si>
  <si>
    <t>Neisseria_macacae</t>
  </si>
  <si>
    <t>Neisseria_weaveri</t>
  </si>
  <si>
    <t>Neisseria_flava</t>
  </si>
  <si>
    <t>Neisseria_oralis</t>
  </si>
  <si>
    <t>Neisseria_sp. HMT-020</t>
  </si>
  <si>
    <t>Novosphingobium_panipatense</t>
  </si>
  <si>
    <t>Olegusella_sp. HMT-810</t>
  </si>
  <si>
    <t>Olsenella_phocaeensis</t>
  </si>
  <si>
    <t>Olsenella_profusa</t>
  </si>
  <si>
    <t>Olsenella_uli</t>
  </si>
  <si>
    <t>Olsenella_sp. HMT-807</t>
  </si>
  <si>
    <t>Oribacterium_parvum</t>
  </si>
  <si>
    <t>Oribacterium_asaccharolyticum</t>
  </si>
  <si>
    <t>Oribacterium_sinus</t>
  </si>
  <si>
    <t>Oribacterium_sp. HMT-078</t>
  </si>
  <si>
    <t>Oribacterium_sp. HMT-102</t>
  </si>
  <si>
    <t>Oryzomicrobium_terrae</t>
  </si>
  <si>
    <t>Ottowia_sp. HMT-894</t>
  </si>
  <si>
    <t>Paenacidovorax_caeni</t>
  </si>
  <si>
    <t>Paracoccus_yeei</t>
  </si>
  <si>
    <t>Parascardovia_denticolens</t>
  </si>
  <si>
    <t>Parvimonas_micra</t>
  </si>
  <si>
    <t>Parvimonas_sp. HMT-110</t>
  </si>
  <si>
    <t>Parvimonas_sp. HMT-393</t>
  </si>
  <si>
    <t>Parvisynbacter_sp. HMT-348</t>
  </si>
  <si>
    <t>Parvisynbacter_sp. HMT-390</t>
  </si>
  <si>
    <t>Patescibacteria [C1 O1 F1 G1]_bacterium HMT-872</t>
  </si>
  <si>
    <t>Patescibacteria [C1 O1 F1 G1]_bacterium HMT-871</t>
  </si>
  <si>
    <t>Patescibacteria [C1 O1 F1 G2]_bacterium HMT-873</t>
  </si>
  <si>
    <t>Peptoanaerobacter_stomatis</t>
  </si>
  <si>
    <t>Peptoanaerobacter_margaretiae</t>
  </si>
  <si>
    <t>Peptoniphilaceae [G1]_bacterium HMT-113</t>
  </si>
  <si>
    <t>Peptoniphilus_lacydonensis</t>
  </si>
  <si>
    <t>Peptoniphilus_lacrimalis</t>
  </si>
  <si>
    <t>Peptoniphilus_asaccharolyticus</t>
  </si>
  <si>
    <t>Peptoniphilus_harei</t>
  </si>
  <si>
    <t>Peptoniphilus_grossensis</t>
  </si>
  <si>
    <t>Peptoniphilus_indolicus</t>
  </si>
  <si>
    <t>Peptostreptococcus_stomatis</t>
  </si>
  <si>
    <t>Peptostreptococcus_anaerobius</t>
  </si>
  <si>
    <t>Porphyromonas_gingivalis</t>
  </si>
  <si>
    <t>Porphyromonas_uenonis</t>
  </si>
  <si>
    <t>Porphyromonas_endodontalis</t>
  </si>
  <si>
    <t>Porphyromonas_catoniae</t>
  </si>
  <si>
    <t>Porphyromonas_pasteri</t>
  </si>
  <si>
    <t>Porphyromonas_asaccharolytica</t>
  </si>
  <si>
    <t>Porphyromonas_sp. HMT-278</t>
  </si>
  <si>
    <t>Porphyromonas_sp. HMT-275</t>
  </si>
  <si>
    <t>Prevotella_intermedia</t>
  </si>
  <si>
    <t>Prevotella_vespertina</t>
  </si>
  <si>
    <t>Prevotella_nigrescens</t>
  </si>
  <si>
    <t>Prevotella_pallens</t>
  </si>
  <si>
    <t>Prevotella_amnii</t>
  </si>
  <si>
    <t>Prevotella_bivia</t>
  </si>
  <si>
    <t>Prevotella_micans</t>
  </si>
  <si>
    <t>Prevotella_scopos</t>
  </si>
  <si>
    <t>Prevotella_sp. HMT-410</t>
  </si>
  <si>
    <t>Prevotella_aurantiaca</t>
  </si>
  <si>
    <t>Propionibacterium_acidifaciens</t>
  </si>
  <si>
    <t>Proteus_mirabilis</t>
  </si>
  <si>
    <t>Pseudomonas_luteola</t>
  </si>
  <si>
    <t>Pseudomonas_fluorescens</t>
  </si>
  <si>
    <t>Pseudomonas_aeruginosa</t>
  </si>
  <si>
    <t>Pseudomonas_otitidis</t>
  </si>
  <si>
    <t>Pseudomonas_oleovorans</t>
  </si>
  <si>
    <t>Pseudoramibacter_alactolyticus</t>
  </si>
  <si>
    <t>Pyramidobacter_piscolens</t>
  </si>
  <si>
    <t>Ralstonia_pickettii</t>
  </si>
  <si>
    <t>Rhodobacter_capsulatus</t>
  </si>
  <si>
    <t>Roseomonas_mucosa</t>
  </si>
  <si>
    <t>Roseomonas_gilardii</t>
  </si>
  <si>
    <t>Rothia_dentocariosa</t>
  </si>
  <si>
    <t>Rothia_mucilaginosa clade-147</t>
  </si>
  <si>
    <t>Rothia_aeria</t>
  </si>
  <si>
    <t>Saccharimonadales [F1 G1]_bacterium HMT-350</t>
  </si>
  <si>
    <t>Saccharimonadales [F2 G1]_bacterium HMT-986</t>
  </si>
  <si>
    <t>Saccharimonadales [F2 G1]_bacterium HMT-989</t>
  </si>
  <si>
    <t>Saccharimonadales [F5 G1]_bacterium HMT-391</t>
  </si>
  <si>
    <t>Saccharimonas_sicarius</t>
  </si>
  <si>
    <t>Saccharimonas_sp. HMT-346</t>
  </si>
  <si>
    <t>Saccharimonas_sp. HMT-397</t>
  </si>
  <si>
    <t>Saccharimonas_sp. HMT-349</t>
  </si>
  <si>
    <t>Saccharimonas_aalborgensis</t>
  </si>
  <si>
    <t>Sanguibacter_keddieii</t>
  </si>
  <si>
    <t>Scardovia_inopinata</t>
  </si>
  <si>
    <t>Scardovia_wiggsiae</t>
  </si>
  <si>
    <t>Schaalia_sp. HMT-180</t>
  </si>
  <si>
    <t>Schaalia_dentiphila</t>
  </si>
  <si>
    <t>Schaalia_cardiffensis</t>
  </si>
  <si>
    <t>Schaalia_sp. HMT-240</t>
  </si>
  <si>
    <t>Schaalia_meyeri</t>
  </si>
  <si>
    <t>Schaalia_sp. HMT-172</t>
  </si>
  <si>
    <t>Schaalia_sp. HMT-404</t>
  </si>
  <si>
    <t>Schaalia_odontolytica</t>
  </si>
  <si>
    <t>Schlegelella_thermodepolymerans</t>
  </si>
  <si>
    <t>Segatella_oulorum</t>
  </si>
  <si>
    <t>Segatella_oris</t>
  </si>
  <si>
    <t>Segatella_salivae</t>
  </si>
  <si>
    <t>Selenomonas_felix</t>
  </si>
  <si>
    <t>Selenomonas_sputigena</t>
  </si>
  <si>
    <t>Selenomonas_dianae</t>
  </si>
  <si>
    <t>Selenomonas_flueggei</t>
  </si>
  <si>
    <t>Selenomonas_infelix</t>
  </si>
  <si>
    <t>Selenomonas_noxia</t>
  </si>
  <si>
    <t>Selenomonas_artemidis</t>
  </si>
  <si>
    <t>Selenomonas_sp. HMT-892</t>
  </si>
  <si>
    <t>Selenomonas_timonae</t>
  </si>
  <si>
    <t>Selenomonas_sp. HMT-133</t>
  </si>
  <si>
    <t>Selenomonas_sp. HMT-920</t>
  </si>
  <si>
    <t>Selenomonas_sp. HMT-126</t>
  </si>
  <si>
    <t>Serratia_marcescens</t>
  </si>
  <si>
    <t>Shuttleworthia_satelles</t>
  </si>
  <si>
    <t>Simonsiella_muelleri</t>
  </si>
  <si>
    <t>Slackia_exigua</t>
  </si>
  <si>
    <t>Sneathia_sanguinegens</t>
  </si>
  <si>
    <t>Sneathia_vaginalis</t>
  </si>
  <si>
    <t>Solobacterium_moorei</t>
  </si>
  <si>
    <t>Staphylococcus_haemolyticus</t>
  </si>
  <si>
    <t>Staphylococcus_warneri</t>
  </si>
  <si>
    <t>Staphylococcus_epidermidis</t>
  </si>
  <si>
    <t>Staphylococcus_aureus</t>
  </si>
  <si>
    <t>Staphylococcus_hominis</t>
  </si>
  <si>
    <t>Staphylococcus_caprae</t>
  </si>
  <si>
    <t>Staphylococcus_lugdunensis</t>
  </si>
  <si>
    <t>Staphylococcus_saccharolyticus</t>
  </si>
  <si>
    <t>Staphylococcus_capitis</t>
  </si>
  <si>
    <t>Staphylococcus_auricularis</t>
  </si>
  <si>
    <t>Staphylococcus_pasteuri</t>
  </si>
  <si>
    <t>Staphylococcus_schleiferi</t>
  </si>
  <si>
    <t>Staphylococcus_pettenkoferi</t>
  </si>
  <si>
    <t>Staphylococcus_cohnii</t>
  </si>
  <si>
    <t>Stenotrophomonas_nitritireducens</t>
  </si>
  <si>
    <t>Stenotrophomonas_maltophilia</t>
  </si>
  <si>
    <t>Stomatobaculum_longum</t>
  </si>
  <si>
    <t>Streptococcus_anginosus</t>
  </si>
  <si>
    <t>Streptococcus_salivarius</t>
  </si>
  <si>
    <t>Streptococcus_mutans</t>
  </si>
  <si>
    <t>Streptococcus_oralis subsp. oralis</t>
  </si>
  <si>
    <t>Streptococcus_gordonii</t>
  </si>
  <si>
    <t>Streptococcus_pseudopneumoniae</t>
  </si>
  <si>
    <t>Streptococcus_pneumoniae</t>
  </si>
  <si>
    <t>Streptococcus_oralis subsp. tigurinus</t>
  </si>
  <si>
    <t>Streptococcus_sanguinis</t>
  </si>
  <si>
    <t>Streptococcus_thermophilus</t>
  </si>
  <si>
    <t>Streptococcus_oralis subsp. dentisani</t>
  </si>
  <si>
    <t>Streptococcus_sobrinus</t>
  </si>
  <si>
    <t>Streptococcus_intermedius</t>
  </si>
  <si>
    <t>Streptococcus_constellatus</t>
  </si>
  <si>
    <t>Streptococcus_australis</t>
  </si>
  <si>
    <t>Streptococcus_rubneri</t>
  </si>
  <si>
    <t>Streptococcus_vestibularis</t>
  </si>
  <si>
    <t>Streptococcus_cristatus</t>
  </si>
  <si>
    <t>Streptococcus_sp. HMT-056</t>
  </si>
  <si>
    <t>Streptococcus_mitis</t>
  </si>
  <si>
    <t>Streptococcus_sinensis</t>
  </si>
  <si>
    <t>Streptococcus_pyogenes</t>
  </si>
  <si>
    <t>Streptococcus_ilei</t>
  </si>
  <si>
    <t>Streptococcus_agalactiae</t>
  </si>
  <si>
    <t>Streptococcus_peroris</t>
  </si>
  <si>
    <t>Streptococcus_lactarius</t>
  </si>
  <si>
    <t>Streptococcus_infantis clade-444</t>
  </si>
  <si>
    <t>Streptococcus_infantis clade-061</t>
  </si>
  <si>
    <t>Streptococcus_infantis clade-431</t>
  </si>
  <si>
    <t>Streptococcus_sp. HMT-058</t>
  </si>
  <si>
    <t>Streptococcus_downei</t>
  </si>
  <si>
    <t>Streptococcus_sp. HMT-066</t>
  </si>
  <si>
    <t>Stutzerimonas_stutzeri</t>
  </si>
  <si>
    <t>Tannerella_serpentiformis</t>
  </si>
  <si>
    <t>Treponema_pallidum</t>
  </si>
  <si>
    <t>Treponema_denticola</t>
  </si>
  <si>
    <t>Treponema_socranskii subsp. paredis</t>
  </si>
  <si>
    <t>Treponema_socranskii subsp. socranskii</t>
  </si>
  <si>
    <t>Treponema_vincentii clade-029</t>
  </si>
  <si>
    <t>Treponema_maltophilum</t>
  </si>
  <si>
    <t>Treponema_medium</t>
  </si>
  <si>
    <t>Treponema_lecithinolyticum</t>
  </si>
  <si>
    <t>Treponema_putidum</t>
  </si>
  <si>
    <t>Treponema_pectinovorum</t>
  </si>
  <si>
    <t>Treponema_parvum</t>
  </si>
  <si>
    <t>Treponema_vincentii clade-432</t>
  </si>
  <si>
    <t>Treponema_socranskii subsp. buccale</t>
  </si>
  <si>
    <t>Ureaplasma_parvum</t>
  </si>
  <si>
    <t>Urinicoccus_timonensis</t>
  </si>
  <si>
    <t>Variovorax_paradoxus</t>
  </si>
  <si>
    <t>Veillonella_sp. HMT-779</t>
  </si>
  <si>
    <t>Veillonella_sp. HMT-780</t>
  </si>
  <si>
    <t>Veillonella_parvula</t>
  </si>
  <si>
    <t>Veillonella_nakazawae</t>
  </si>
  <si>
    <t>Veillonella_rogosae</t>
  </si>
  <si>
    <t>Veillonella_atypica</t>
  </si>
  <si>
    <t>Veillonella_denticariosi</t>
  </si>
  <si>
    <t>Veillonella_dispar</t>
  </si>
  <si>
    <t>Veillonella_tobetsuensis</t>
  </si>
  <si>
    <t>Yersinia_pestis</t>
  </si>
  <si>
    <t>#DA291C</t>
  </si>
  <si>
    <t>CURATED.TREE.FecR/SigG</t>
  </si>
  <si>
    <t>Campylobacter_concisus</t>
  </si>
  <si>
    <t>Corynebacterium_aurimucosum</t>
  </si>
  <si>
    <t>Enhydrobacter_aerosaccus</t>
  </si>
  <si>
    <t>Fusobacterium_naviforme</t>
  </si>
  <si>
    <t>Gemella_haemolysans</t>
  </si>
  <si>
    <t>Metamycoplasma_buccale</t>
  </si>
  <si>
    <t>Metamycoplasma_faucium</t>
  </si>
  <si>
    <t>Mogibacterium_vescum</t>
  </si>
  <si>
    <t>Mycoplasmopsis_lipophila</t>
  </si>
  <si>
    <t>Novosphingobium_humi</t>
  </si>
  <si>
    <t>Peptoanaerobacter_yurii</t>
  </si>
  <si>
    <t>Schlegelella_aquatica</t>
  </si>
  <si>
    <t>Streptococcus_oralis</t>
  </si>
  <si>
    <t>Treponema_amylovorum</t>
  </si>
  <si>
    <t>Treponema_socranskii</t>
  </si>
  <si>
    <t>Treponema_vincentii</t>
  </si>
  <si>
    <t>Abiotrophia_sp._HMT-427</t>
  </si>
  <si>
    <t>Absconditicoccaceae_[G1]_bacterium_HMT-345</t>
  </si>
  <si>
    <t>Absconditicoccaceae_[G1]_bacterium_HMT-874</t>
  </si>
  <si>
    <t>Absconditicoccaceae_[G1]_bacterium_HMT-875</t>
  </si>
  <si>
    <t>Absconditicoccaceae_[G2]_bacterium_HMT-991</t>
  </si>
  <si>
    <t>Acinetobacter_sp._HMT-408</t>
  </si>
  <si>
    <t>Actinomyces_sp._HMT-170</t>
  </si>
  <si>
    <t>Actinomyces_sp._HMT-403</t>
  </si>
  <si>
    <t>Actinomyces_sp._HMT-414</t>
  </si>
  <si>
    <t>Actinomyces_sp._HMT-448</t>
  </si>
  <si>
    <t>Actinomyces_sp._HMT-525</t>
  </si>
  <si>
    <t>Actinomyces_sp._HMT-896</t>
  </si>
  <si>
    <t>Actinomyces_sp._HMT-897</t>
  </si>
  <si>
    <t>Aeriscardovia_sp._HMT-407</t>
  </si>
  <si>
    <t>Aggregatibacter_sp._HMT-458</t>
  </si>
  <si>
    <t>Aggregatibacter_sp._HMT-513</t>
  </si>
  <si>
    <t>Aggregatibacter_sp._HMT-898</t>
  </si>
  <si>
    <t>Aggregatibacter_sp._HMT-949</t>
  </si>
  <si>
    <t>Alloprevotella_sp._HMT-308</t>
  </si>
  <si>
    <t>Alloprevotella_sp._HMT-413</t>
  </si>
  <si>
    <t>Alloprevotella_sp._HMT-473</t>
  </si>
  <si>
    <t>Alloprevotella_sp._HMT-912</t>
  </si>
  <si>
    <t>Alloprevotella_sp._HMT-913</t>
  </si>
  <si>
    <t>Alloprevotella_sp._HMT-914</t>
  </si>
  <si>
    <t>Anaerococcus_sp._HMT-290</t>
  </si>
  <si>
    <t>Anaerococcus_sp._HMT-295</t>
  </si>
  <si>
    <t>Anaerolineae_[G1]_bacterium_HMT-439</t>
  </si>
  <si>
    <t>Anaerovoracaceae_[G1]_bacterium_HMT-383</t>
  </si>
  <si>
    <t>Anaerovoracaceae_[G1]_infirmum</t>
  </si>
  <si>
    <t>Anaerovoracaceae_[G1]_sulci</t>
  </si>
  <si>
    <t>Anaerovoracaceae_[G2]_bacterium_HMT-091</t>
  </si>
  <si>
    <t>Anaerovoracaceae_[G3]_bacterium_HMT-495</t>
  </si>
  <si>
    <t>Anaerovoracaceae_[G3]_bacterium_HMT-950</t>
  </si>
  <si>
    <t>Anaerovoracaceae_[G4]_bacterium_HMT-103</t>
  </si>
  <si>
    <t>Anaerovoracaceae_[G5]_bacterium_HMT-493</t>
  </si>
  <si>
    <t>Anaerovoracaceae_[G5]_saphenum</t>
  </si>
  <si>
    <t>Anaerovoracaceae_[G8]_bacterium_HMT-382</t>
  </si>
  <si>
    <t>Arsenicicoccus_sp._HMT-190</t>
  </si>
  <si>
    <t>Bdellovibrio_sp._HMT-039</t>
  </si>
  <si>
    <t>Brooklawnia_sp._HMT-192</t>
  </si>
  <si>
    <t>Butyrivibrio_sp._HMT-080</t>
  </si>
  <si>
    <t>Butyrivibrio_sp._HMT-090</t>
  </si>
  <si>
    <t>Butyrivibrio_sp._HMT-455</t>
  </si>
  <si>
    <t>Campylobacter_sp._HMT-044</t>
  </si>
  <si>
    <t>Capnocytophaga_sp._HMT-338</t>
  </si>
  <si>
    <t>Capnocytophaga_sp._HMT-470</t>
  </si>
  <si>
    <t>Capnocytophaga_sp._HMT-471</t>
  </si>
  <si>
    <t>Capnocytophaga_sp._HMT-863</t>
  </si>
  <si>
    <t>Capnocytophaga_sp._HMT-878</t>
  </si>
  <si>
    <t>Capnocytophaga_sp._HMT-901</t>
  </si>
  <si>
    <t>Catonella_sp._HMT-164</t>
  </si>
  <si>
    <t>Catonella_sp._HMT-451</t>
  </si>
  <si>
    <t>Caulobacter_sp._HMT-002</t>
  </si>
  <si>
    <t>Chryseobacterium_sp._HMT-319</t>
  </si>
  <si>
    <t>Cloacibacterium_sp._HMT-206</t>
  </si>
  <si>
    <t>Clostridiales_[F1_G1]_bacterium_HMT-093</t>
  </si>
  <si>
    <t>Clostridiales_[F1_G2]_bacterium_HMT-402</t>
  </si>
  <si>
    <t>Clostridiales_[F3_G1]_bacterium_HMT-876</t>
  </si>
  <si>
    <t>Desulfovibrio_sp._HMT-040</t>
  </si>
  <si>
    <t>Dialister_sp._HMT-119</t>
  </si>
  <si>
    <t>Eikenella_sp._HMT-011</t>
  </si>
  <si>
    <t>Eremiobacterota_[C1_O1_F1_G1]_bacterium_HMT-999</t>
  </si>
  <si>
    <t>Erysipelotrichaceae_[G1]_bacterium_HMT-904</t>
  </si>
  <si>
    <t>Erysipelotrichaceae_[G1]_bacterium_HMT-905</t>
  </si>
  <si>
    <t>Fannyhessea_sp._HMT-416</t>
  </si>
  <si>
    <t>Flavitalea_sp._HMT-320</t>
  </si>
  <si>
    <t>Fretibacterium_sp._HMT-358</t>
  </si>
  <si>
    <t>Fretibacterium_sp._HMT-359</t>
  </si>
  <si>
    <t>Fretibacterium_sp._HMT-360</t>
  </si>
  <si>
    <t>Fretibacterium_sp._HMT-361</t>
  </si>
  <si>
    <t>Fretibacterium_sp._HMT-362</t>
  </si>
  <si>
    <t>Fusobacterium_sp._HMT-203</t>
  </si>
  <si>
    <t>Fusobacterium_sp._HMT-204</t>
  </si>
  <si>
    <t>Fusobacterium_sp._HMT-205</t>
  </si>
  <si>
    <t>Fusobacterium_sp._HMT-248</t>
  </si>
  <si>
    <t>Fusobacterium_sp._HMT-370</t>
  </si>
  <si>
    <t>Haemophilus_sp._HMT-036</t>
  </si>
  <si>
    <t>Hallella_sp._HMT-315</t>
  </si>
  <si>
    <t>Hallella_sp._HMT-376</t>
  </si>
  <si>
    <t>Hallella_sp._HMT-515</t>
  </si>
  <si>
    <t>Hoylesella_sp._HMT-301</t>
  </si>
  <si>
    <t>Hoylesella_sp._HMT-317</t>
  </si>
  <si>
    <t>Hoylesella_sp._HMT-475</t>
  </si>
  <si>
    <t>Hoylesella_sp._HMT-942</t>
  </si>
  <si>
    <t>Johnsonella_sp._HMT-166</t>
  </si>
  <si>
    <t>Kingella_sp._HMT-012</t>
  </si>
  <si>
    <t>Kingella_sp._HMT-459</t>
  </si>
  <si>
    <t>Kingella_sp._HMT-932</t>
  </si>
  <si>
    <t>Lachnoanaerobaculum_sp._HMT-083</t>
  </si>
  <si>
    <t>Lachnoanaerobaculum_sp._HMT-089</t>
  </si>
  <si>
    <t>Lachnoanaerobaculum_sp._HMT-430</t>
  </si>
  <si>
    <t>Lachnoanaerobaculum_sp._HMT-441</t>
  </si>
  <si>
    <t>Lachnoanaerobaculum_sp._HMT-496</t>
  </si>
  <si>
    <t>Lachnospiraceae_[G10]_bacterium_HMT-094</t>
  </si>
  <si>
    <t>Lachnospiraceae_[G2]_bacterium_HMT-088</t>
  </si>
  <si>
    <t>Lachnospiraceae_[G2]_bacterium_HMT-096</t>
  </si>
  <si>
    <t>Lachnospiraceae_[G3]_bacterium_HMT-100</t>
  </si>
  <si>
    <t>Lachnospiraceae_[G7]_bacterium_HMT-086</t>
  </si>
  <si>
    <t>Lachnospiraceae_[G7]_bacterium_HMT-163</t>
  </si>
  <si>
    <t>Lachnospiraceae_[G8]_bacterium_HMT-500</t>
  </si>
  <si>
    <t>Lancefieldella_sp._HMT-199</t>
  </si>
  <si>
    <t>Leptothrix_sp._HMT-025</t>
  </si>
  <si>
    <t>Leptothrix_sp._HMT-266</t>
  </si>
  <si>
    <t>Leptotrichia_sp._HMT-218</t>
  </si>
  <si>
    <t>Leptotrichia_sp._HMT-221</t>
  </si>
  <si>
    <t>Leptotrichia_sp._HMT-223</t>
  </si>
  <si>
    <t>Leptotrichia_sp._HMT-225</t>
  </si>
  <si>
    <t>Leptotrichia_sp._HMT-417</t>
  </si>
  <si>
    <t>Leptotrichia_sp._HMT-463</t>
  </si>
  <si>
    <t>Leptotrichia_sp._HMT-498</t>
  </si>
  <si>
    <t>Leptotrichia_sp._HMT-847</t>
  </si>
  <si>
    <t>Leptotrichia_sp._HMT-879</t>
  </si>
  <si>
    <t>Leptotrichia_sp._HMT-909</t>
  </si>
  <si>
    <t>Limosilactobacillus_sp._HMT-052</t>
  </si>
  <si>
    <t>Microbacterium_sp._HMT-186</t>
  </si>
  <si>
    <t>Mitsuokella_sp._HMT-131</t>
  </si>
  <si>
    <t>Mitsuokella_sp._HMT-521</t>
  </si>
  <si>
    <t>Mollicutes_[O1_F1_G1]_bacterium_HMT-504</t>
  </si>
  <si>
    <t>Mollicutes_[O2_F2_G2]_bacterium_HMT-906</t>
  </si>
  <si>
    <t>Moraxella_sp._HMT-276</t>
  </si>
  <si>
    <t>Moryella_sp._HMT-097</t>
  </si>
  <si>
    <t>Nanogingivalis_sp._HMT-399</t>
  </si>
  <si>
    <t>Nanogingivalis_sp._HMT-400</t>
  </si>
  <si>
    <t>Nanogingivalis_sp._HMT-401</t>
  </si>
  <si>
    <t>Nanosynbacter_sp._HMT-352</t>
  </si>
  <si>
    <t>Nanosynbacter_sp._HMT-353</t>
  </si>
  <si>
    <t>Nanosyncoccus_sp._HMT-351</t>
  </si>
  <si>
    <t>Nanosyncoccus_sp._HMT-364</t>
  </si>
  <si>
    <t>Neisseria_sp._HMT-018</t>
  </si>
  <si>
    <t>Neisseria_sp._HMT-020</t>
  </si>
  <si>
    <t>Neisseria_sp._HMT-499</t>
  </si>
  <si>
    <t>Neisseria_sp._HMT-523</t>
  </si>
  <si>
    <t>Neisseriaceae_[G1]_bacterium_HMT-174</t>
  </si>
  <si>
    <t>Neisseriaceae_[G1]_bacterium_HMT-327</t>
  </si>
  <si>
    <t>Odoribacter_sp._HMT-516</t>
  </si>
  <si>
    <t>Odoribacteraceae_[G3]_bacterium_HMT-280</t>
  </si>
  <si>
    <t>Odoribacteraceae_[G3]_bacterium_HMT-281</t>
  </si>
  <si>
    <t>Odoribacteraceae_[G3]_bacterium_HMT-365</t>
  </si>
  <si>
    <t>Odoribacteraceae_[G3]_bacterium_HMT-436</t>
  </si>
  <si>
    <t>Odoribacteraceae_[G3]_bacterium_HMT-503</t>
  </si>
  <si>
    <t>Odoribacteraceae_[G3]_bacterium_HMT-899</t>
  </si>
  <si>
    <t>Odoribacteraceae_[G4]_bacterium_HMT-509</t>
  </si>
  <si>
    <t>Odoribacteraceae_[G5]_bacterium_HMT-505</t>
  </si>
  <si>
    <t>Odoribacteraceae_[G5]_bacterium_HMT-507</t>
  </si>
  <si>
    <t>Odoribacteraceae_[G5]_bacterium_HMT-511</t>
  </si>
  <si>
    <t>Odoribacteraceae_[G7]_bacterium_HMT-911</t>
  </si>
  <si>
    <t>Olegusella_sp._HMT-810</t>
  </si>
  <si>
    <t>Olsenella_sp._HMT-807</t>
  </si>
  <si>
    <t>Olsenella_sp._HMT-939</t>
  </si>
  <si>
    <t>Oribacterium_sp._HMT-078</t>
  </si>
  <si>
    <t>Oribacterium_sp._HMT-102</t>
  </si>
  <si>
    <t>Ottowia_sp._HMT-894</t>
  </si>
  <si>
    <t>Paludibacteraceae_[G1]_bacterium_HMT-274</t>
  </si>
  <si>
    <t>Parvimonas_sp._HMT-110</t>
  </si>
  <si>
    <t>Parvimonas_sp._HMT-393</t>
  </si>
  <si>
    <t>Parvisynbacter_sp._HMT-348</t>
  </si>
  <si>
    <t>Parvisynbacter_sp._HMT-390</t>
  </si>
  <si>
    <t>Patescibacteria_[C1_O1_F1_G1]_bacterium_HMT-871</t>
  </si>
  <si>
    <t>Patescibacteria_[C1_O1_F1_G1]_bacterium_HMT-872</t>
  </si>
  <si>
    <t>Patescibacteria_[C1_O1_F1_G2]_bacterium_HMT-873</t>
  </si>
  <si>
    <t>Pedobacter_sp._HMT-318</t>
  </si>
  <si>
    <t>Pedobacter_sp._HMT-321</t>
  </si>
  <si>
    <t>Pedobacter_sp._HMT-933</t>
  </si>
  <si>
    <t>Peptidiphaga_sp._HMT-183</t>
  </si>
  <si>
    <t>Peptoanaerobacter_sp._HMT-922</t>
  </si>
  <si>
    <t>Peptococcus_sp._HMT-167</t>
  </si>
  <si>
    <t>Peptococcus_sp._HMT-168</t>
  </si>
  <si>
    <t>Peptoniphilaceae_[G1]_bacterium_HMT-113</t>
  </si>
  <si>
    <t>Peptoniphilaceae_[G2]_bacterium_HMT-790</t>
  </si>
  <si>
    <t>Porphyromonas_sp._HMT-275</t>
  </si>
  <si>
    <t>Porphyromonas_sp._HMT-277</t>
  </si>
  <si>
    <t>Porphyromonas_sp._HMT-278</t>
  </si>
  <si>
    <t>Porphyromonas_sp._HMT-284</t>
  </si>
  <si>
    <t>Porphyromonas_sp._HMT-930</t>
  </si>
  <si>
    <t>Prevotella_sp._HMT-304</t>
  </si>
  <si>
    <t>Prevotella_sp._HMT-314</t>
  </si>
  <si>
    <t>Prevotella_sp._HMT-396</t>
  </si>
  <si>
    <t>Prevotella_sp._HMT-410</t>
  </si>
  <si>
    <t>Propionibacteriaceae_[G1]_bacterium_HMT-915</t>
  </si>
  <si>
    <t>Pseudoleptotrichia_sp._HMT-212</t>
  </si>
  <si>
    <t>Pseudoleptotrichia_sp._HMT-215</t>
  </si>
  <si>
    <t>Pseudoleptotrichia_sp._HMT-217</t>
  </si>
  <si>
    <t>Pseudoleptotrichia_sp._HMT-219</t>
  </si>
  <si>
    <t>Pseudoleptotrichia_sp._HMT-392</t>
  </si>
  <si>
    <t>Pseudomonas_sp._HMT-032</t>
  </si>
  <si>
    <t>Ralstonia_sp._HMT-406</t>
  </si>
  <si>
    <t>Riemerella_sp._HMT-322</t>
  </si>
  <si>
    <t>Ruminococcaceae_[G1]_bacterium_HMT-075</t>
  </si>
  <si>
    <t>Ruminococcaceae_[G2]_bacterium_HMT-085</t>
  </si>
  <si>
    <t>Ruminococcaceae_[G3]_bacterium_HMT-366</t>
  </si>
  <si>
    <t>Ruminococcaceae_[G3]_bacterium_HMT-381</t>
  </si>
  <si>
    <t>Saccharimonadales_[F1_G1]_bacterium_HMT-350</t>
  </si>
  <si>
    <t>Saccharimonadales_[F2_G1]_bacterium_HMT-986</t>
  </si>
  <si>
    <t>Saccharimonadales_[F2_G1]_bacterium_HMT-989</t>
  </si>
  <si>
    <t>Saccharimonadales_[F3_G1]_bacterium_HMT-355</t>
  </si>
  <si>
    <t>Saccharimonadales_[F4_G1]_bacterium_HMT-954</t>
  </si>
  <si>
    <t>Saccharimonadales_[F5_G1]_bacterium_HMT-391</t>
  </si>
  <si>
    <t>Saccharimonas_sp._HMT-346</t>
  </si>
  <si>
    <t>Saccharimonas_sp._HMT-347</t>
  </si>
  <si>
    <t>Saccharimonas_sp._HMT-349</t>
  </si>
  <si>
    <t>Saccharimonas_sp._HMT-394</t>
  </si>
  <si>
    <t>Saccharimonas_sp._HMT-397</t>
  </si>
  <si>
    <t>Saccharimonas_sp._HMT-869</t>
  </si>
  <si>
    <t>Schaalia_sp._HMT-172</t>
  </si>
  <si>
    <t>Schaalia_sp._HMT-180</t>
  </si>
  <si>
    <t>Schaalia_sp._HMT-240</t>
  </si>
  <si>
    <t>Schaalia_sp._HMT-404</t>
  </si>
  <si>
    <t>Segatella_sp._HMT-300</t>
  </si>
  <si>
    <t>Segatella_sp._HMT-305</t>
  </si>
  <si>
    <t>Segatella_sp._HMT-309</t>
  </si>
  <si>
    <t>Segatella_sp._HMT-443</t>
  </si>
  <si>
    <t>Selenomonadaceae_[G1]_bacterium_HMT-129</t>
  </si>
  <si>
    <t>Selenomonadaceae_[G1]_bacterium_HMT-132</t>
  </si>
  <si>
    <t>Selenomonadaceae_[G1]_bacterium_HMT-135</t>
  </si>
  <si>
    <t>Selenomonadaceae_[G1]_bacterium_HMT-145</t>
  </si>
  <si>
    <t>Selenomonadaceae_[G1]_bacterium_HMT-148</t>
  </si>
  <si>
    <t>Selenomonadaceae_[G1]_bacterium_HMT-150</t>
  </si>
  <si>
    <t>Selenomonadaceae_[G1]_bacterium_HMT-155</t>
  </si>
  <si>
    <t>Selenomonadaceae_[G1]_bacterium_HMT-483</t>
  </si>
  <si>
    <t>Selenomonadaceae_[G1]_bacterium_HMT-918</t>
  </si>
  <si>
    <t>Selenomonas_sp._HMT-126</t>
  </si>
  <si>
    <t>Selenomonas_sp._HMT-133</t>
  </si>
  <si>
    <t>Selenomonas_sp._HMT-134</t>
  </si>
  <si>
    <t>Selenomonas_sp._HMT-146</t>
  </si>
  <si>
    <t>Selenomonas_sp._HMT-388</t>
  </si>
  <si>
    <t>Selenomonas_sp._HMT-442</t>
  </si>
  <si>
    <t>Selenomonas_sp._HMT-479</t>
  </si>
  <si>
    <t>Selenomonas_sp._HMT-481</t>
  </si>
  <si>
    <t>Selenomonas_sp._HMT-501</t>
  </si>
  <si>
    <t>Selenomonas_sp._HMT-892</t>
  </si>
  <si>
    <t>Selenomonas_sp._HMT-919</t>
  </si>
  <si>
    <t>Selenomonas_sp._HMT-920</t>
  </si>
  <si>
    <t>Selenomonas_sp._HMT-936</t>
  </si>
  <si>
    <t>Selenomonas_sp._HMT-937</t>
  </si>
  <si>
    <t>Sphingomonas_sp._HMT-004</t>
  </si>
  <si>
    <t>Stomatobaculum_sp._HMT-373</t>
  </si>
  <si>
    <t>Stomatobaculum_sp._HMT-910</t>
  </si>
  <si>
    <t>Streptococcus_sp._HMT-056</t>
  </si>
  <si>
    <t>Streptococcus_sp._HMT-057</t>
  </si>
  <si>
    <t>Streptococcus_sp._HMT-058</t>
  </si>
  <si>
    <t>Streptococcus_sp._HMT-064</t>
  </si>
  <si>
    <t>Streptococcus_sp._HMT-066</t>
  </si>
  <si>
    <t>Streptococcus_sp._HMT-070</t>
  </si>
  <si>
    <t>Streptococcus_sp._HMT-074</t>
  </si>
  <si>
    <t>Streptococcus_sp._HMT-423</t>
  </si>
  <si>
    <t>Syntrophomonadaceae_[G1]_bacterium_HMT-435</t>
  </si>
  <si>
    <t>Tannerella_sp._HMT-808</t>
  </si>
  <si>
    <t>Tannerella_sp._HMT-916</t>
  </si>
  <si>
    <t>Treponema_sp._HMT-226</t>
  </si>
  <si>
    <t>Treponema_sp._HMT-227</t>
  </si>
  <si>
    <t>Treponema_sp._HMT-228</t>
  </si>
  <si>
    <t>Treponema_sp._HMT-230</t>
  </si>
  <si>
    <t>Treponema_sp._HMT-231</t>
  </si>
  <si>
    <t>Treponema_sp._HMT-232</t>
  </si>
  <si>
    <t>Treponema_sp._HMT-234</t>
  </si>
  <si>
    <t>Treponema_sp._HMT-235</t>
  </si>
  <si>
    <t>Treponema_sp._HMT-236</t>
  </si>
  <si>
    <t>Treponema_sp._HMT-237</t>
  </si>
  <si>
    <t>Treponema_sp._HMT-238</t>
  </si>
  <si>
    <t>Treponema_sp._HMT-239</t>
  </si>
  <si>
    <t>Treponema_sp._HMT-242</t>
  </si>
  <si>
    <t>Treponema_sp._HMT-246</t>
  </si>
  <si>
    <t>Treponema_sp._HMT-247</t>
  </si>
  <si>
    <t>Treponema_sp._HMT-249</t>
  </si>
  <si>
    <t>Treponema_sp._HMT-250</t>
  </si>
  <si>
    <t>Treponema_sp._HMT-251</t>
  </si>
  <si>
    <t>Treponema_sp._HMT-252</t>
  </si>
  <si>
    <t>Treponema_sp._HMT-253</t>
  </si>
  <si>
    <t>Treponema_sp._HMT-254</t>
  </si>
  <si>
    <t>Treponema_sp._HMT-256</t>
  </si>
  <si>
    <t>Treponema_sp._HMT-257</t>
  </si>
  <si>
    <t>Treponema_sp._HMT-258</t>
  </si>
  <si>
    <t>Treponema_sp._HMT-260</t>
  </si>
  <si>
    <t>Treponema_sp._HMT-262</t>
  </si>
  <si>
    <t>Treponema_sp._HMT-263</t>
  </si>
  <si>
    <t>Treponema_sp._HMT-264</t>
  </si>
  <si>
    <t>Treponema_sp._HMT-265</t>
  </si>
  <si>
    <t>Treponema_sp._HMT-268</t>
  </si>
  <si>
    <t>Treponema_sp._HMT-269</t>
  </si>
  <si>
    <t>Treponema_sp._HMT-270</t>
  </si>
  <si>
    <t>Treponema_sp._HMT-271</t>
  </si>
  <si>
    <t>Treponema_sp._HMT-490</t>
  </si>
  <si>
    <t>Treponema_sp._HMT-508</t>
  </si>
  <si>
    <t>Treponema_sp._HMT-517</t>
  </si>
  <si>
    <t>Treponema_sp._HMT-518</t>
  </si>
  <si>
    <t>Treponema_sp._HMT-927</t>
  </si>
  <si>
    <t>Treponema_sp._HMT-951</t>
  </si>
  <si>
    <t>Veillonella_sp._HMT-157</t>
  </si>
  <si>
    <t>Veillonella_sp._HMT-779</t>
  </si>
  <si>
    <t>Veillonella_sp._HMT-780</t>
  </si>
  <si>
    <t>Veillonella_sp._HMT-917</t>
  </si>
  <si>
    <t>Weeksellaceae_[G1]_bacterium_HMT-900</t>
  </si>
  <si>
    <t>Weeksellaceae_[G1]_bacterium_HMT-907</t>
  </si>
  <si>
    <t>Weeksellaceae_[G1]_bacterium_HMT-931</t>
  </si>
  <si>
    <t>other_information</t>
  </si>
  <si>
    <t>interactive tree on iToL</t>
  </si>
  <si>
    <t>03.signalp6_annos</t>
  </si>
  <si>
    <t>INTERNAL.source_file</t>
  </si>
  <si>
    <t>INTERNAL.comment</t>
  </si>
  <si>
    <t>BAKTA</t>
  </si>
  <si>
    <t>SIGNALP</t>
  </si>
  <si>
    <t>x</t>
  </si>
  <si>
    <t>xREF</t>
  </si>
  <si>
    <t>INFOS</t>
  </si>
  <si>
    <t>ITOL</t>
  </si>
  <si>
    <t>run_dbCAN</t>
  </si>
  <si>
    <t>run_dbCAN.evaluation</t>
  </si>
  <si>
    <t>BAKTA.evaluation</t>
  </si>
  <si>
    <t>04.REF.GCA_ID_info</t>
  </si>
  <si>
    <t>05.REF.HOMD_taxon_table</t>
  </si>
  <si>
    <t>INTERNAL.neighborhood</t>
  </si>
  <si>
    <t>Overview of all genes identified as being (or containing) a GH16_3 hit by run_dbcan CAZyme annotation. In addition, it provides information on all genes present in a CAZyme Gene Cluster (CGC) IF the GH16_3 was predicted to be in a CGC. In addition, it provides information on the substrate prediction IF there is a substrate prediction for the CGC. Row one describes data type and includes: INFOS (basic metadata on the strain encoding the GH16_3), run_dbCAN (outputs from the run_dbcan analyses).</t>
  </si>
  <si>
    <t>https://itol.embl.de/tree/70177211213229331779828815</t>
  </si>
  <si>
    <t>Prediction of signal peptides and cleavage sites for the 543 oral prots in the tree. Prediction based on selection of: Organism - "Other", Output Format - "Long Format", Model Mode - "Slow". Derived from "prediction_results.txt" from run on SignalP6.0 webserver (https://services.healthtech.dtu.dk/services/SignalP-6.0/)</t>
  </si>
  <si>
    <t>Information on metadata for each genome analyzed. Derived from GCA_ID_info.txt available at https://www.homd.org/ftp/genomes/PROKKA/V11.02/GCA_ID_info.txt</t>
  </si>
  <si>
    <t>Information linking taxa in the HOMD with the Body Site(s) in which they are found. Derived from HOMD.org Taxon Data available at https://homd.org/taxa/taxon_table, downloaded 2026-04-26.</t>
  </si>
  <si>
    <t>Body Site(s) - abbreviated</t>
  </si>
  <si>
    <t>Genus_species - concatenated</t>
  </si>
  <si>
    <t>DERIVED_COLUMN</t>
  </si>
  <si>
    <t>strain_name_clean; change any with mag to "…" ; change any with concoct to "…" ; change any with metabat to "…" ; remove full species name if included ; if multiples and has NCTC only use NCTC id</t>
  </si>
  <si>
    <t>Interactive version of oral GH16_3 tree shown in the manuscript, allows users to follow embedded hyperlinks in leaf names to inspect JBrowse regions around GH16_3 sequences in the tree.</t>
  </si>
  <si>
    <t>All GH16_3 sequences included in the tree (is the subset of rows in Sheet 01 that have "yes" for "in_tree?"), and associated metadata and annotations. Row one describes data type and includes: INFOS (basic metadata on the strain encoding the GH16_3), run_dbCAN (outputs from the run_dbcan analyses), run_dbCAN.evaluation (manual review of run_dbCAN outputs, including text-based searches for specific genes of interest), BAKTA (annotation of the GH16_3 gene by BAKTA), BAKTA.evaluation (manual review of the GH16_3 gene neighborhoods), SIGNALP (signalP6.0 prediction), ITOL (data mapped to interactive ITOL tree), xREF (identifiers for corresponding genes in HOMD v11.02 PROKKA and NCBI datasets).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</si>
</sst>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2" fillId="2" borderId="0" xfId="1" applyFill="1"/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16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" fillId="8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6" fillId="0" borderId="0" xfId="0" applyFont="1"/>
    <xf numFmtId="0" fontId="0" fillId="0" borderId="0" xfId="0" applyFill="1"/>
    <xf numFmtId="0" fontId="1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/>
    </xf>
    <xf numFmtId="0" fontId="9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9" fillId="13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horizontal="center"/>
    </xf>
    <xf numFmtId="0" fontId="1" fillId="14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/>
    </xf>
    <xf numFmtId="0" fontId="1" fillId="9" borderId="0" xfId="0" applyFont="1" applyFill="1" applyAlignment="1">
      <alignment horizontal="left"/>
    </xf>
    <xf numFmtId="0" fontId="5" fillId="8" borderId="0" xfId="0" applyFont="1" applyFill="1" applyAlignment="1">
      <alignment vertical="center" wrapText="1"/>
    </xf>
    <xf numFmtId="0" fontId="1" fillId="11" borderId="0" xfId="0" applyFont="1" applyFill="1"/>
    <xf numFmtId="0" fontId="3" fillId="8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9" fillId="0" borderId="0" xfId="0" applyFont="1" applyFill="1"/>
    <xf numFmtId="0" fontId="4" fillId="0" borderId="0" xfId="0" applyFont="1" applyAlignment="1"/>
    <xf numFmtId="0" fontId="1" fillId="7" borderId="0" xfId="0" applyFont="1" applyFill="1" applyAlignment="1">
      <alignment horizontal="center"/>
    </xf>
    <xf numFmtId="0" fontId="8" fillId="4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9" borderId="0" xfId="0" applyFont="1" applyFill="1"/>
    <xf numFmtId="0" fontId="1" fillId="8" borderId="0" xfId="0" applyFont="1" applyFill="1"/>
    <xf numFmtId="0" fontId="1" fillId="8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tol.embl.de/tree/7017721121322933177982881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B3DA-353A-4689-9B3C-21CD9835F5BF}">
  <sheetPr>
    <tabColor theme="0"/>
  </sheetPr>
  <dimension ref="A1:C14"/>
  <sheetViews>
    <sheetView tabSelected="1" workbookViewId="0"/>
  </sheetViews>
  <sheetFormatPr defaultColWidth="9" defaultRowHeight="13.5" x14ac:dyDescent="0.75"/>
  <cols>
    <col min="1" max="1" width="27.7265625" style="13" bestFit="1" customWidth="1"/>
    <col min="2" max="2" width="107.2265625" style="13" customWidth="1"/>
    <col min="3" max="3" width="48.86328125" style="13" bestFit="1" customWidth="1"/>
    <col min="4" max="16384" width="9" style="13"/>
  </cols>
  <sheetData>
    <row r="1" spans="1:3" s="12" customFormat="1" x14ac:dyDescent="0.75">
      <c r="A1" s="40" t="s">
        <v>6044</v>
      </c>
      <c r="B1" s="40" t="s">
        <v>6045</v>
      </c>
      <c r="C1" s="55"/>
    </row>
    <row r="2" spans="1:3" ht="54" x14ac:dyDescent="0.75">
      <c r="A2" s="49" t="s">
        <v>6043</v>
      </c>
      <c r="B2" s="13" t="s">
        <v>37694</v>
      </c>
    </row>
    <row r="3" spans="1:3" ht="81" x14ac:dyDescent="0.75">
      <c r="A3" s="18" t="s">
        <v>6053</v>
      </c>
      <c r="B3" s="13" t="s">
        <v>37704</v>
      </c>
    </row>
    <row r="4" spans="1:3" ht="40.5" x14ac:dyDescent="0.75">
      <c r="A4" s="50" t="s">
        <v>37679</v>
      </c>
      <c r="B4" s="13" t="s">
        <v>37696</v>
      </c>
    </row>
    <row r="5" spans="1:3" ht="27" x14ac:dyDescent="0.75">
      <c r="A5" s="20" t="s">
        <v>37691</v>
      </c>
      <c r="B5" s="13" t="s">
        <v>37697</v>
      </c>
    </row>
    <row r="6" spans="1:3" ht="27" x14ac:dyDescent="0.75">
      <c r="A6" s="19" t="s">
        <v>37692</v>
      </c>
      <c r="B6" s="13" t="s">
        <v>37698</v>
      </c>
    </row>
    <row r="8" spans="1:3" x14ac:dyDescent="0.75">
      <c r="A8" s="40" t="s">
        <v>37677</v>
      </c>
      <c r="B8" s="40" t="s">
        <v>6045</v>
      </c>
      <c r="C8" s="40" t="s">
        <v>33119</v>
      </c>
    </row>
    <row r="9" spans="1:3" ht="27" x14ac:dyDescent="0.75">
      <c r="A9" s="12" t="s">
        <v>37678</v>
      </c>
      <c r="B9" s="13" t="s">
        <v>37703</v>
      </c>
      <c r="C9" s="14" t="s">
        <v>37695</v>
      </c>
    </row>
    <row r="11" spans="1:3" x14ac:dyDescent="0.7">
      <c r="B11" s="21"/>
    </row>
    <row r="12" spans="1:3" x14ac:dyDescent="0.7">
      <c r="B12" s="21"/>
    </row>
    <row r="13" spans="1:3" x14ac:dyDescent="0.7">
      <c r="B13" s="21"/>
    </row>
    <row r="14" spans="1:3" x14ac:dyDescent="0.7">
      <c r="B14" s="21"/>
    </row>
  </sheetData>
  <hyperlinks>
    <hyperlink ref="C9" r:id="rId1" xr:uid="{C35C8778-AEC2-4B58-AF3A-6196FF0CFEAB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41FC-5AB4-4EE1-8E14-F352EE2557E2}">
  <sheetPr>
    <tabColor rgb="FFFFFFCC"/>
  </sheetPr>
  <dimension ref="A1:AH1098"/>
  <sheetViews>
    <sheetView topLeftCell="D1" zoomScale="80" zoomScaleNormal="80" workbookViewId="0">
      <pane ySplit="2" topLeftCell="A3" activePane="bottomLeft" state="frozen"/>
      <selection activeCell="L1" sqref="L1"/>
      <selection pane="bottomLeft" activeCell="D1" sqref="D1"/>
    </sheetView>
  </sheetViews>
  <sheetFormatPr defaultRowHeight="14.75" x14ac:dyDescent="0.75"/>
  <cols>
    <col min="1" max="1" width="11.36328125" style="22" customWidth="1"/>
    <col min="2" max="2" width="16.36328125" bestFit="1" customWidth="1"/>
    <col min="3" max="3" width="17.1328125" bestFit="1" customWidth="1"/>
    <col min="6" max="6" width="19.7265625" bestFit="1" customWidth="1"/>
    <col min="7" max="7" width="9" style="1"/>
    <col min="10" max="10" width="24.86328125" bestFit="1" customWidth="1"/>
    <col min="13" max="13" width="16" customWidth="1"/>
    <col min="16" max="20" width="6" customWidth="1"/>
    <col min="24" max="24" width="19.5" bestFit="1" customWidth="1"/>
    <col min="27" max="27" width="21.86328125" customWidth="1"/>
  </cols>
  <sheetData>
    <row r="1" spans="1:34" x14ac:dyDescent="0.75">
      <c r="A1" s="41" t="s">
        <v>37687</v>
      </c>
      <c r="B1" s="39" t="s">
        <v>37686</v>
      </c>
      <c r="C1" s="39" t="s">
        <v>37686</v>
      </c>
      <c r="D1" s="39" t="s">
        <v>37686</v>
      </c>
      <c r="E1" s="39" t="s">
        <v>37686</v>
      </c>
      <c r="F1" s="39" t="s">
        <v>37686</v>
      </c>
      <c r="G1" s="39" t="s">
        <v>37686</v>
      </c>
      <c r="H1" s="39" t="s">
        <v>37686</v>
      </c>
      <c r="I1" s="39" t="s">
        <v>37686</v>
      </c>
      <c r="J1" s="27" t="s">
        <v>37688</v>
      </c>
      <c r="K1" s="27" t="s">
        <v>37688</v>
      </c>
      <c r="L1" s="27" t="s">
        <v>37688</v>
      </c>
      <c r="M1" s="27" t="s">
        <v>37688</v>
      </c>
      <c r="N1" s="27" t="s">
        <v>37688</v>
      </c>
      <c r="O1" s="27" t="s">
        <v>37688</v>
      </c>
      <c r="P1" s="27" t="s">
        <v>37688</v>
      </c>
      <c r="Q1" s="27" t="s">
        <v>37688</v>
      </c>
      <c r="R1" s="27" t="s">
        <v>37688</v>
      </c>
      <c r="S1" s="27" t="s">
        <v>37688</v>
      </c>
      <c r="T1" s="27" t="s">
        <v>37688</v>
      </c>
      <c r="U1" s="27" t="s">
        <v>37688</v>
      </c>
      <c r="V1" s="27" t="s">
        <v>37688</v>
      </c>
      <c r="W1" s="27" t="s">
        <v>37688</v>
      </c>
      <c r="X1" s="27" t="s">
        <v>37688</v>
      </c>
      <c r="Y1" s="27" t="s">
        <v>37688</v>
      </c>
      <c r="Z1" s="27" t="s">
        <v>37688</v>
      </c>
      <c r="AA1" s="27" t="s">
        <v>37688</v>
      </c>
      <c r="AB1" s="27" t="s">
        <v>37688</v>
      </c>
      <c r="AC1" s="27" t="s">
        <v>37688</v>
      </c>
      <c r="AD1" s="27" t="s">
        <v>37688</v>
      </c>
      <c r="AE1" s="27" t="s">
        <v>37688</v>
      </c>
      <c r="AF1" s="27" t="s">
        <v>37688</v>
      </c>
      <c r="AG1" s="27" t="s">
        <v>37688</v>
      </c>
      <c r="AH1" s="27" t="s">
        <v>37688</v>
      </c>
    </row>
    <row r="2" spans="1:34" s="2" customFormat="1" x14ac:dyDescent="0.75">
      <c r="A2" s="3" t="s">
        <v>6046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17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</row>
    <row r="3" spans="1:34" x14ac:dyDescent="0.75">
      <c r="A3" s="22" t="s">
        <v>6047</v>
      </c>
      <c r="B3" t="s">
        <v>143</v>
      </c>
      <c r="C3" t="s">
        <v>144</v>
      </c>
      <c r="D3" t="s">
        <v>145</v>
      </c>
      <c r="E3" t="s">
        <v>146</v>
      </c>
      <c r="F3" t="s">
        <v>147</v>
      </c>
      <c r="G3" s="1" t="str">
        <f>HYPERLINK("https://homd.org/jbrowse/?data=homd_V11.02_phage_1.2%2FGCA_000023925.1&amp;loc=GCA_000023925.1%7CCP001686.1%3A2737629..2745785&amp;tracks=prokka,prokka_ncrna,ncbi,ncbi_ncrna,panggolin,cenote,genomad&amp;highlight=","Open JBrowse")</f>
        <v>Open JBrowse</v>
      </c>
      <c r="H3">
        <v>2740629</v>
      </c>
      <c r="I3">
        <v>2742785</v>
      </c>
      <c r="J3" t="s">
        <v>148</v>
      </c>
      <c r="K3" t="s">
        <v>59</v>
      </c>
      <c r="L3" t="s">
        <v>59</v>
      </c>
      <c r="M3" t="s">
        <v>59</v>
      </c>
      <c r="N3" t="s">
        <v>42</v>
      </c>
      <c r="O3">
        <v>1</v>
      </c>
      <c r="P3" t="s">
        <v>59</v>
      </c>
      <c r="Q3" t="s">
        <v>59</v>
      </c>
      <c r="R3" t="s">
        <v>149</v>
      </c>
      <c r="T3" t="s">
        <v>42</v>
      </c>
      <c r="X3" t="s">
        <v>59</v>
      </c>
      <c r="Y3" t="s">
        <v>150</v>
      </c>
      <c r="Z3" t="s">
        <v>118</v>
      </c>
      <c r="AA3" t="s">
        <v>151</v>
      </c>
    </row>
    <row r="4" spans="1:34" x14ac:dyDescent="0.75">
      <c r="A4" s="22" t="s">
        <v>6047</v>
      </c>
      <c r="B4" t="s">
        <v>197</v>
      </c>
      <c r="C4" t="s">
        <v>144</v>
      </c>
      <c r="D4" t="s">
        <v>198</v>
      </c>
      <c r="E4" t="s">
        <v>199</v>
      </c>
      <c r="F4" t="s">
        <v>200</v>
      </c>
      <c r="G4" s="1" t="str">
        <f>HYPERLINK("https://homd.org/jbrowse/?data=homd_V11.02_phage_1.2%2FGCA_000159955.1&amp;loc=GCA_000159955.1%7CGG695970.1%3A176610..183860&amp;tracks=prokka,prokka_ncrna,ncbi,ncbi_ncrna,panggolin,cenote,genomad&amp;highlight=","Open JBrowse")</f>
        <v>Open JBrowse</v>
      </c>
      <c r="H4">
        <v>179610</v>
      </c>
      <c r="I4">
        <v>180860</v>
      </c>
      <c r="J4" t="s">
        <v>201</v>
      </c>
      <c r="K4" t="s">
        <v>202</v>
      </c>
      <c r="L4" t="s">
        <v>203</v>
      </c>
      <c r="M4" t="s">
        <v>204</v>
      </c>
      <c r="N4" t="s">
        <v>205</v>
      </c>
      <c r="O4">
        <v>3</v>
      </c>
      <c r="P4" t="s">
        <v>206</v>
      </c>
      <c r="Q4" t="s">
        <v>207</v>
      </c>
      <c r="R4" t="s">
        <v>208</v>
      </c>
      <c r="S4" t="s">
        <v>209</v>
      </c>
      <c r="T4" t="s">
        <v>42</v>
      </c>
      <c r="U4">
        <v>38</v>
      </c>
      <c r="V4">
        <v>263</v>
      </c>
      <c r="W4">
        <v>226</v>
      </c>
      <c r="X4" t="s">
        <v>210</v>
      </c>
    </row>
    <row r="5" spans="1:34" x14ac:dyDescent="0.75">
      <c r="A5" s="22" t="s">
        <v>6047</v>
      </c>
      <c r="B5" t="s">
        <v>197</v>
      </c>
      <c r="C5" t="s">
        <v>144</v>
      </c>
      <c r="D5" t="s">
        <v>198</v>
      </c>
      <c r="E5" t="s">
        <v>199</v>
      </c>
      <c r="F5" t="s">
        <v>211</v>
      </c>
      <c r="G5" s="1" t="str">
        <f>HYPERLINK("https://homd.org/jbrowse/?data=homd_V11.02_phage_1.2%2FGCA_000159955.1&amp;loc=GCA_000159955.1%7CGG695971.1%3A95246..103636&amp;tracks=prokka,prokka_ncrna,ncbi,ncbi_ncrna,panggolin,cenote,genomad&amp;highlight=","Open JBrowse")</f>
        <v>Open JBrowse</v>
      </c>
      <c r="H5">
        <v>98246</v>
      </c>
      <c r="I5">
        <v>100636</v>
      </c>
      <c r="J5" t="s">
        <v>212</v>
      </c>
      <c r="K5" t="s">
        <v>213</v>
      </c>
      <c r="L5" t="s">
        <v>214</v>
      </c>
      <c r="M5" t="s">
        <v>215</v>
      </c>
      <c r="N5" t="s">
        <v>216</v>
      </c>
      <c r="O5">
        <v>3</v>
      </c>
      <c r="P5" t="s">
        <v>217</v>
      </c>
      <c r="Q5" t="s">
        <v>101</v>
      </c>
      <c r="R5" t="s">
        <v>208</v>
      </c>
      <c r="S5" t="s">
        <v>218</v>
      </c>
      <c r="T5" t="s">
        <v>42</v>
      </c>
      <c r="U5">
        <v>427</v>
      </c>
      <c r="V5">
        <v>679</v>
      </c>
      <c r="W5">
        <v>253</v>
      </c>
      <c r="X5" t="s">
        <v>219</v>
      </c>
      <c r="Y5" t="s">
        <v>220</v>
      </c>
      <c r="Z5" t="s">
        <v>90</v>
      </c>
      <c r="AA5" t="s">
        <v>221</v>
      </c>
    </row>
    <row r="6" spans="1:34" x14ac:dyDescent="0.75">
      <c r="A6" s="22" t="s">
        <v>6047</v>
      </c>
      <c r="B6" t="s">
        <v>485</v>
      </c>
      <c r="C6" t="s">
        <v>144</v>
      </c>
      <c r="D6" t="s">
        <v>486</v>
      </c>
      <c r="E6" t="s">
        <v>487</v>
      </c>
      <c r="F6" t="s">
        <v>488</v>
      </c>
      <c r="G6" s="1" t="str">
        <f>HYPERLINK("https://homd.org/jbrowse/?data=homd_V11.02_phage_1.2%2FGCA_000193415.2&amp;loc=GCA_000193415.2%7CADHJ01000023.1%3A176828..183715&amp;tracks=prokka,prokka_ncrna,ncbi,ncbi_ncrna,panggolin,cenote,genomad&amp;highlight=","Open JBrowse")</f>
        <v>Open JBrowse</v>
      </c>
      <c r="H6">
        <v>179828</v>
      </c>
      <c r="I6">
        <v>180715</v>
      </c>
      <c r="J6" t="s">
        <v>489</v>
      </c>
      <c r="K6" t="s">
        <v>490</v>
      </c>
      <c r="L6" t="s">
        <v>491</v>
      </c>
      <c r="M6" t="s">
        <v>492</v>
      </c>
      <c r="N6" t="s">
        <v>205</v>
      </c>
      <c r="O6">
        <v>3</v>
      </c>
      <c r="P6" t="s">
        <v>42</v>
      </c>
      <c r="Q6" t="s">
        <v>101</v>
      </c>
      <c r="R6" t="s">
        <v>493</v>
      </c>
      <c r="S6" t="s">
        <v>491</v>
      </c>
      <c r="T6" t="s">
        <v>42</v>
      </c>
      <c r="U6">
        <v>34</v>
      </c>
      <c r="V6">
        <v>259</v>
      </c>
      <c r="W6">
        <v>226</v>
      </c>
      <c r="X6" t="s">
        <v>210</v>
      </c>
    </row>
    <row r="7" spans="1:34" x14ac:dyDescent="0.75">
      <c r="A7" s="22" t="s">
        <v>6047</v>
      </c>
      <c r="B7" t="s">
        <v>485</v>
      </c>
      <c r="C7" t="s">
        <v>144</v>
      </c>
      <c r="D7" t="s">
        <v>486</v>
      </c>
      <c r="E7" t="s">
        <v>487</v>
      </c>
      <c r="F7" t="s">
        <v>494</v>
      </c>
      <c r="G7" s="1" t="str">
        <f>HYPERLINK("https://homd.org/jbrowse/?data=homd_V11.02_phage_1.2%2FGCA_000193415.2&amp;loc=GCA_000193415.2%7CADHJ01000025.1%3A310715..318022&amp;tracks=prokka,prokka_ncrna,ncbi,ncbi_ncrna,panggolin,cenote,genomad&amp;highlight=","Open JBrowse")</f>
        <v>Open JBrowse</v>
      </c>
      <c r="H7">
        <v>313715</v>
      </c>
      <c r="I7">
        <v>315022</v>
      </c>
      <c r="J7" t="s">
        <v>495</v>
      </c>
      <c r="K7" t="s">
        <v>496</v>
      </c>
      <c r="L7" t="s">
        <v>497</v>
      </c>
      <c r="M7" t="s">
        <v>498</v>
      </c>
      <c r="N7" t="s">
        <v>216</v>
      </c>
      <c r="O7">
        <v>3</v>
      </c>
      <c r="P7" t="s">
        <v>499</v>
      </c>
      <c r="Q7" t="s">
        <v>101</v>
      </c>
      <c r="R7" t="s">
        <v>493</v>
      </c>
      <c r="S7" t="s">
        <v>500</v>
      </c>
      <c r="T7" t="s">
        <v>42</v>
      </c>
      <c r="U7">
        <v>5</v>
      </c>
      <c r="V7">
        <v>230</v>
      </c>
      <c r="W7">
        <v>226</v>
      </c>
      <c r="X7" t="s">
        <v>501</v>
      </c>
      <c r="Y7" t="s">
        <v>502</v>
      </c>
      <c r="Z7" t="s">
        <v>503</v>
      </c>
      <c r="AA7" t="s">
        <v>504</v>
      </c>
      <c r="AB7" t="s">
        <v>505</v>
      </c>
      <c r="AC7" t="s">
        <v>506</v>
      </c>
      <c r="AD7" t="s">
        <v>507</v>
      </c>
      <c r="AE7">
        <v>267</v>
      </c>
      <c r="AF7" t="s">
        <v>508</v>
      </c>
      <c r="AG7" t="s">
        <v>101</v>
      </c>
      <c r="AH7">
        <v>4</v>
      </c>
    </row>
    <row r="8" spans="1:34" x14ac:dyDescent="0.75">
      <c r="A8" s="22" t="s">
        <v>6047</v>
      </c>
      <c r="B8" t="s">
        <v>485</v>
      </c>
      <c r="C8" t="s">
        <v>144</v>
      </c>
      <c r="D8" t="s">
        <v>486</v>
      </c>
      <c r="E8" t="s">
        <v>487</v>
      </c>
      <c r="F8" t="s">
        <v>494</v>
      </c>
      <c r="G8" s="1" t="str">
        <f>HYPERLINK("https://homd.org/jbrowse/?data=homd_V11.02_phage_1.2%2FGCA_000193415.2&amp;loc=GCA_000193415.2%7CADHJ01000025.1%3A312202..319380&amp;tracks=prokka,prokka_ncrna,ncbi,ncbi_ncrna,panggolin,cenote,genomad&amp;highlight=","Open JBrowse")</f>
        <v>Open JBrowse</v>
      </c>
      <c r="H8">
        <v>315202</v>
      </c>
      <c r="I8">
        <v>316380</v>
      </c>
      <c r="J8" t="s">
        <v>509</v>
      </c>
      <c r="K8" t="s">
        <v>510</v>
      </c>
      <c r="L8" t="s">
        <v>59</v>
      </c>
      <c r="M8" t="s">
        <v>511</v>
      </c>
      <c r="N8" t="s">
        <v>216</v>
      </c>
      <c r="O8">
        <v>2</v>
      </c>
      <c r="P8" t="s">
        <v>512</v>
      </c>
      <c r="Q8" t="s">
        <v>101</v>
      </c>
      <c r="R8" t="s">
        <v>493</v>
      </c>
      <c r="T8" t="s">
        <v>42</v>
      </c>
      <c r="X8" t="s">
        <v>219</v>
      </c>
      <c r="Y8" t="s">
        <v>502</v>
      </c>
      <c r="Z8" t="s">
        <v>503</v>
      </c>
      <c r="AA8" t="s">
        <v>504</v>
      </c>
      <c r="AB8" t="s">
        <v>505</v>
      </c>
      <c r="AC8" t="s">
        <v>506</v>
      </c>
      <c r="AD8" t="s">
        <v>507</v>
      </c>
      <c r="AE8">
        <v>267</v>
      </c>
      <c r="AF8" t="s">
        <v>508</v>
      </c>
      <c r="AG8" t="s">
        <v>101</v>
      </c>
      <c r="AH8">
        <v>4</v>
      </c>
    </row>
    <row r="9" spans="1:34" x14ac:dyDescent="0.75">
      <c r="A9" s="22" t="s">
        <v>6047</v>
      </c>
      <c r="B9" t="s">
        <v>764</v>
      </c>
      <c r="C9" t="s">
        <v>144</v>
      </c>
      <c r="D9" t="s">
        <v>765</v>
      </c>
      <c r="E9" t="s">
        <v>766</v>
      </c>
      <c r="F9" t="s">
        <v>767</v>
      </c>
      <c r="G9" s="1" t="str">
        <f>HYPERLINK("https://homd.org/jbrowse/?data=homd_V11.02_phage_1.2%2FGCA_000317305.3&amp;loc=GCA_000317305.3%7CCP006936.2%3A2731681..2738502&amp;tracks=prokka,prokka_ncrna,ncbi,ncbi_ncrna,panggolin,cenote,genomad&amp;highlight=","Open JBrowse")</f>
        <v>Open JBrowse</v>
      </c>
      <c r="H9">
        <v>2734681</v>
      </c>
      <c r="I9">
        <v>2735502</v>
      </c>
      <c r="J9" t="s">
        <v>768</v>
      </c>
      <c r="K9" t="s">
        <v>59</v>
      </c>
      <c r="L9" t="s">
        <v>563</v>
      </c>
      <c r="M9" t="s">
        <v>769</v>
      </c>
      <c r="N9" t="s">
        <v>42</v>
      </c>
      <c r="O9">
        <v>3</v>
      </c>
      <c r="P9" t="s">
        <v>42</v>
      </c>
      <c r="Q9" t="s">
        <v>59</v>
      </c>
      <c r="R9" t="s">
        <v>770</v>
      </c>
      <c r="S9" t="s">
        <v>563</v>
      </c>
      <c r="T9" t="s">
        <v>42</v>
      </c>
      <c r="U9">
        <v>44</v>
      </c>
      <c r="V9">
        <v>270</v>
      </c>
      <c r="W9">
        <v>227</v>
      </c>
      <c r="X9" t="s">
        <v>771</v>
      </c>
      <c r="Y9" t="s">
        <v>772</v>
      </c>
      <c r="Z9" t="s">
        <v>773</v>
      </c>
      <c r="AA9" t="s">
        <v>774</v>
      </c>
    </row>
    <row r="10" spans="1:34" x14ac:dyDescent="0.75">
      <c r="A10" s="22" t="s">
        <v>6047</v>
      </c>
      <c r="B10" t="s">
        <v>764</v>
      </c>
      <c r="C10" t="s">
        <v>144</v>
      </c>
      <c r="D10" t="s">
        <v>765</v>
      </c>
      <c r="E10" t="s">
        <v>766</v>
      </c>
      <c r="F10" t="s">
        <v>767</v>
      </c>
      <c r="G10" s="1" t="str">
        <f>HYPERLINK("https://homd.org/jbrowse/?data=homd_V11.02_phage_1.2%2FGCA_000317305.3&amp;loc=GCA_000317305.3%7CCP006936.2%3A2804508..2812244&amp;tracks=prokka,prokka_ncrna,ncbi,ncbi_ncrna,panggolin,cenote,genomad&amp;highlight=","Open JBrowse")</f>
        <v>Open JBrowse</v>
      </c>
      <c r="H10">
        <v>2807508</v>
      </c>
      <c r="I10">
        <v>2809244</v>
      </c>
      <c r="J10" t="s">
        <v>775</v>
      </c>
      <c r="K10" t="s">
        <v>59</v>
      </c>
      <c r="L10" t="s">
        <v>776</v>
      </c>
      <c r="M10" t="s">
        <v>777</v>
      </c>
      <c r="N10" t="s">
        <v>42</v>
      </c>
      <c r="O10">
        <v>3</v>
      </c>
      <c r="P10" t="s">
        <v>42</v>
      </c>
      <c r="Q10" t="s">
        <v>59</v>
      </c>
      <c r="R10" t="s">
        <v>770</v>
      </c>
      <c r="S10" t="s">
        <v>776</v>
      </c>
      <c r="T10" t="s">
        <v>42</v>
      </c>
      <c r="U10">
        <v>322</v>
      </c>
      <c r="V10">
        <v>571</v>
      </c>
      <c r="W10">
        <v>250</v>
      </c>
      <c r="X10" t="s">
        <v>778</v>
      </c>
      <c r="Y10" t="s">
        <v>779</v>
      </c>
      <c r="Z10" t="s">
        <v>780</v>
      </c>
      <c r="AA10" t="s">
        <v>781</v>
      </c>
    </row>
    <row r="11" spans="1:34" x14ac:dyDescent="0.75">
      <c r="A11" s="22" t="s">
        <v>6047</v>
      </c>
      <c r="B11" t="s">
        <v>1202</v>
      </c>
      <c r="C11" t="s">
        <v>144</v>
      </c>
      <c r="D11" t="s">
        <v>486</v>
      </c>
      <c r="E11" t="s">
        <v>487</v>
      </c>
      <c r="F11" t="s">
        <v>1203</v>
      </c>
      <c r="G11" s="1" t="str">
        <f>HYPERLINK("https://homd.org/jbrowse/?data=homd_V11.02_phage_1.2%2FGCA_000517885.1&amp;loc=GCA_000517885.1%7CASPT01000005.1%3A2999..11626&amp;tracks=prokka,prokka_ncrna,ncbi,ncbi_ncrna,panggolin,cenote,genomad&amp;highlight=","Open JBrowse")</f>
        <v>Open JBrowse</v>
      </c>
      <c r="H11">
        <v>5999</v>
      </c>
      <c r="I11">
        <v>8626</v>
      </c>
      <c r="J11" t="s">
        <v>1204</v>
      </c>
      <c r="K11" t="s">
        <v>213</v>
      </c>
      <c r="L11" t="s">
        <v>1205</v>
      </c>
      <c r="M11" t="s">
        <v>1206</v>
      </c>
      <c r="N11" t="s">
        <v>216</v>
      </c>
      <c r="O11">
        <v>3</v>
      </c>
      <c r="P11" t="s">
        <v>217</v>
      </c>
      <c r="Q11" t="s">
        <v>101</v>
      </c>
      <c r="R11" t="s">
        <v>1207</v>
      </c>
      <c r="S11" t="s">
        <v>1208</v>
      </c>
      <c r="T11" t="s">
        <v>42</v>
      </c>
      <c r="U11">
        <v>430</v>
      </c>
      <c r="V11">
        <v>682</v>
      </c>
      <c r="W11">
        <v>253</v>
      </c>
      <c r="X11" t="s">
        <v>219</v>
      </c>
      <c r="Y11" t="s">
        <v>1209</v>
      </c>
      <c r="Z11" t="s">
        <v>281</v>
      </c>
      <c r="AA11" t="s">
        <v>1210</v>
      </c>
      <c r="AB11" t="s">
        <v>1211</v>
      </c>
      <c r="AC11" t="s">
        <v>1212</v>
      </c>
      <c r="AD11" t="s">
        <v>1213</v>
      </c>
      <c r="AE11">
        <v>139.5</v>
      </c>
      <c r="AF11" t="s">
        <v>1214</v>
      </c>
    </row>
    <row r="12" spans="1:34" x14ac:dyDescent="0.75">
      <c r="A12" s="22" t="s">
        <v>6047</v>
      </c>
      <c r="B12" t="s">
        <v>1202</v>
      </c>
      <c r="C12" t="s">
        <v>144</v>
      </c>
      <c r="D12" t="s">
        <v>486</v>
      </c>
      <c r="E12" t="s">
        <v>487</v>
      </c>
      <c r="F12" t="s">
        <v>1215</v>
      </c>
      <c r="G12" s="1" t="str">
        <f>HYPERLINK("https://homd.org/jbrowse/?data=homd_V11.02_phage_1.2%2FGCA_000517885.1&amp;loc=GCA_000517885.1%7CASPT01000036.1%3A47293..54525&amp;tracks=prokka,prokka_ncrna,ncbi,ncbi_ncrna,panggolin,cenote,genomad&amp;highlight=","Open JBrowse")</f>
        <v>Open JBrowse</v>
      </c>
      <c r="H12">
        <v>50293</v>
      </c>
      <c r="I12">
        <v>51525</v>
      </c>
      <c r="J12" t="s">
        <v>1216</v>
      </c>
      <c r="K12" t="s">
        <v>202</v>
      </c>
      <c r="L12" t="s">
        <v>1217</v>
      </c>
      <c r="M12" t="s">
        <v>1218</v>
      </c>
      <c r="N12" t="s">
        <v>205</v>
      </c>
      <c r="O12">
        <v>3</v>
      </c>
      <c r="P12" t="s">
        <v>206</v>
      </c>
      <c r="Q12" t="s">
        <v>207</v>
      </c>
      <c r="R12" t="s">
        <v>1207</v>
      </c>
      <c r="S12" t="s">
        <v>491</v>
      </c>
      <c r="T12" t="s">
        <v>42</v>
      </c>
      <c r="U12">
        <v>34</v>
      </c>
      <c r="V12">
        <v>259</v>
      </c>
      <c r="W12">
        <v>226</v>
      </c>
      <c r="X12" t="s">
        <v>210</v>
      </c>
      <c r="Y12" t="s">
        <v>1219</v>
      </c>
      <c r="Z12" t="s">
        <v>1220</v>
      </c>
      <c r="AA12" t="s">
        <v>1221</v>
      </c>
      <c r="AB12" t="s">
        <v>1222</v>
      </c>
      <c r="AC12" t="s">
        <v>1223</v>
      </c>
      <c r="AD12" t="s">
        <v>1224</v>
      </c>
      <c r="AE12">
        <v>540.29999999999995</v>
      </c>
      <c r="AF12" t="s">
        <v>1225</v>
      </c>
      <c r="AG12" t="s">
        <v>101</v>
      </c>
      <c r="AH12">
        <v>2</v>
      </c>
    </row>
    <row r="13" spans="1:34" x14ac:dyDescent="0.75">
      <c r="A13" s="22" t="s">
        <v>6047</v>
      </c>
      <c r="B13" t="s">
        <v>1281</v>
      </c>
      <c r="C13" t="s">
        <v>144</v>
      </c>
      <c r="D13" t="s">
        <v>765</v>
      </c>
      <c r="E13" t="s">
        <v>766</v>
      </c>
      <c r="F13" t="s">
        <v>1282</v>
      </c>
      <c r="G13" s="1" t="str">
        <f>HYPERLINK("https://homd.org/jbrowse/?data=homd_V11.02_phage_1.2%2FGCA_000691525.1&amp;loc=GCA_000691525.1%7CJMDW01000009.1%3A376026..382847&amp;tracks=prokka,prokka_ncrna,ncbi,ncbi_ncrna,panggolin,cenote,genomad&amp;highlight=","Open JBrowse")</f>
        <v>Open JBrowse</v>
      </c>
      <c r="H13">
        <v>379026</v>
      </c>
      <c r="I13">
        <v>379847</v>
      </c>
      <c r="J13" t="s">
        <v>1283</v>
      </c>
      <c r="K13" t="s">
        <v>59</v>
      </c>
      <c r="L13" t="s">
        <v>563</v>
      </c>
      <c r="M13" t="s">
        <v>769</v>
      </c>
      <c r="N13" t="s">
        <v>42</v>
      </c>
      <c r="O13">
        <v>3</v>
      </c>
      <c r="P13" t="s">
        <v>42</v>
      </c>
      <c r="Q13" t="s">
        <v>59</v>
      </c>
      <c r="R13" t="s">
        <v>1284</v>
      </c>
      <c r="S13" t="s">
        <v>563</v>
      </c>
      <c r="T13" t="s">
        <v>42</v>
      </c>
      <c r="U13">
        <v>44</v>
      </c>
      <c r="V13">
        <v>270</v>
      </c>
      <c r="W13">
        <v>227</v>
      </c>
      <c r="X13" t="s">
        <v>771</v>
      </c>
      <c r="Y13" t="s">
        <v>1285</v>
      </c>
      <c r="Z13" t="s">
        <v>470</v>
      </c>
      <c r="AA13" t="s">
        <v>774</v>
      </c>
    </row>
    <row r="14" spans="1:34" x14ac:dyDescent="0.75">
      <c r="A14" s="22" t="s">
        <v>6047</v>
      </c>
      <c r="B14" t="s">
        <v>1281</v>
      </c>
      <c r="C14" t="s">
        <v>144</v>
      </c>
      <c r="D14" t="s">
        <v>765</v>
      </c>
      <c r="E14" t="s">
        <v>766</v>
      </c>
      <c r="F14" t="s">
        <v>1286</v>
      </c>
      <c r="G14" s="1" t="str">
        <f>HYPERLINK("https://homd.org/jbrowse/?data=homd_V11.02_phage_1.2%2FGCA_000691525.1&amp;loc=GCA_000691525.1%7CJMDW01000010.1%3A371173..378945&amp;tracks=prokka,prokka_ncrna,ncbi,ncbi_ncrna,panggolin,cenote,genomad&amp;highlight=","Open JBrowse")</f>
        <v>Open JBrowse</v>
      </c>
      <c r="H14">
        <v>374173</v>
      </c>
      <c r="I14">
        <v>375945</v>
      </c>
      <c r="J14" t="s">
        <v>1287</v>
      </c>
      <c r="K14" t="s">
        <v>59</v>
      </c>
      <c r="L14" t="s">
        <v>1288</v>
      </c>
      <c r="M14" t="s">
        <v>1289</v>
      </c>
      <c r="N14" t="s">
        <v>42</v>
      </c>
      <c r="O14">
        <v>3</v>
      </c>
      <c r="P14" t="s">
        <v>42</v>
      </c>
      <c r="Q14" t="s">
        <v>59</v>
      </c>
      <c r="R14" t="s">
        <v>1284</v>
      </c>
      <c r="S14" t="s">
        <v>1288</v>
      </c>
      <c r="T14" t="s">
        <v>42</v>
      </c>
      <c r="U14">
        <v>334</v>
      </c>
      <c r="V14">
        <v>583</v>
      </c>
      <c r="W14">
        <v>250</v>
      </c>
      <c r="X14" t="s">
        <v>778</v>
      </c>
      <c r="Y14" t="s">
        <v>1290</v>
      </c>
      <c r="Z14" t="s">
        <v>1291</v>
      </c>
      <c r="AA14" t="s">
        <v>1292</v>
      </c>
    </row>
    <row r="15" spans="1:34" x14ac:dyDescent="0.75">
      <c r="A15" s="22" t="s">
        <v>6047</v>
      </c>
      <c r="B15" t="s">
        <v>1300</v>
      </c>
      <c r="C15" t="s">
        <v>144</v>
      </c>
      <c r="D15" t="s">
        <v>765</v>
      </c>
      <c r="E15" t="s">
        <v>766</v>
      </c>
      <c r="F15" t="s">
        <v>1301</v>
      </c>
      <c r="G15" s="1" t="str">
        <f>HYPERLINK("https://homd.org/jbrowse/?data=homd_V11.02_phage_1.2%2FGCA_000724065.1&amp;loc=GCA_000724065.1%7CLK021338.1%3A312668..319489&amp;tracks=prokka,prokka_ncrna,ncbi,ncbi_ncrna,panggolin,cenote,genomad&amp;highlight=","Open JBrowse")</f>
        <v>Open JBrowse</v>
      </c>
      <c r="H15">
        <v>315668</v>
      </c>
      <c r="I15">
        <v>316489</v>
      </c>
      <c r="J15" t="s">
        <v>1302</v>
      </c>
      <c r="K15" t="s">
        <v>59</v>
      </c>
      <c r="L15" t="s">
        <v>563</v>
      </c>
      <c r="M15" t="s">
        <v>769</v>
      </c>
      <c r="N15" t="s">
        <v>42</v>
      </c>
      <c r="O15">
        <v>3</v>
      </c>
      <c r="P15" t="s">
        <v>42</v>
      </c>
      <c r="Q15" t="s">
        <v>59</v>
      </c>
      <c r="R15" t="s">
        <v>1303</v>
      </c>
      <c r="S15" t="s">
        <v>563</v>
      </c>
      <c r="T15" t="s">
        <v>42</v>
      </c>
      <c r="U15">
        <v>44</v>
      </c>
      <c r="V15">
        <v>270</v>
      </c>
      <c r="W15">
        <v>227</v>
      </c>
      <c r="X15" t="s">
        <v>771</v>
      </c>
      <c r="Y15" t="s">
        <v>1304</v>
      </c>
      <c r="Z15" t="s">
        <v>410</v>
      </c>
      <c r="AA15" t="s">
        <v>774</v>
      </c>
    </row>
    <row r="16" spans="1:34" x14ac:dyDescent="0.75">
      <c r="A16" s="22" t="s">
        <v>6047</v>
      </c>
      <c r="B16" t="s">
        <v>1300</v>
      </c>
      <c r="C16" t="s">
        <v>144</v>
      </c>
      <c r="D16" t="s">
        <v>765</v>
      </c>
      <c r="E16" t="s">
        <v>766</v>
      </c>
      <c r="F16" t="s">
        <v>1301</v>
      </c>
      <c r="G16" s="1" t="str">
        <f>HYPERLINK("https://homd.org/jbrowse/?data=homd_V11.02_phage_1.2%2FGCA_000724065.1&amp;loc=GCA_000724065.1%7CLK021338.1%3A379657..387429&amp;tracks=prokka,prokka_ncrna,ncbi,ncbi_ncrna,panggolin,cenote,genomad&amp;highlight=","Open JBrowse")</f>
        <v>Open JBrowse</v>
      </c>
      <c r="H16">
        <v>382657</v>
      </c>
      <c r="I16">
        <v>384429</v>
      </c>
      <c r="J16" t="s">
        <v>1305</v>
      </c>
      <c r="K16" t="s">
        <v>59</v>
      </c>
      <c r="L16" t="s">
        <v>1288</v>
      </c>
      <c r="M16" t="s">
        <v>1289</v>
      </c>
      <c r="N16" t="s">
        <v>42</v>
      </c>
      <c r="O16">
        <v>3</v>
      </c>
      <c r="P16" t="s">
        <v>42</v>
      </c>
      <c r="Q16" t="s">
        <v>59</v>
      </c>
      <c r="R16" t="s">
        <v>1303</v>
      </c>
      <c r="S16" t="s">
        <v>1288</v>
      </c>
      <c r="T16" t="s">
        <v>42</v>
      </c>
      <c r="U16">
        <v>334</v>
      </c>
      <c r="V16">
        <v>583</v>
      </c>
      <c r="W16">
        <v>250</v>
      </c>
      <c r="X16" t="s">
        <v>778</v>
      </c>
      <c r="Y16" t="s">
        <v>1306</v>
      </c>
      <c r="Z16" t="s">
        <v>416</v>
      </c>
      <c r="AA16" t="s">
        <v>781</v>
      </c>
    </row>
    <row r="17" spans="1:34" x14ac:dyDescent="0.75">
      <c r="A17" s="22" t="s">
        <v>6047</v>
      </c>
      <c r="B17" t="s">
        <v>1578</v>
      </c>
      <c r="C17" t="s">
        <v>144</v>
      </c>
      <c r="D17" t="s">
        <v>765</v>
      </c>
      <c r="E17" t="s">
        <v>766</v>
      </c>
      <c r="F17" t="s">
        <v>1579</v>
      </c>
      <c r="G17" s="1" t="str">
        <f>HYPERLINK("https://homd.org/jbrowse/?data=homd_V11.02_phage_1.2%2FGCA_001580405.1&amp;loc=GCA_001580405.1%7CCP011022.1%3A2731680..2738501&amp;tracks=prokka,prokka_ncrna,ncbi,ncbi_ncrna,panggolin,cenote,genomad&amp;highlight=","Open JBrowse")</f>
        <v>Open JBrowse</v>
      </c>
      <c r="H17">
        <v>2734680</v>
      </c>
      <c r="I17">
        <v>2735501</v>
      </c>
      <c r="J17" t="s">
        <v>1580</v>
      </c>
      <c r="K17" t="s">
        <v>59</v>
      </c>
      <c r="L17" t="s">
        <v>563</v>
      </c>
      <c r="M17" t="s">
        <v>769</v>
      </c>
      <c r="N17" t="s">
        <v>42</v>
      </c>
      <c r="O17">
        <v>3</v>
      </c>
      <c r="P17" t="s">
        <v>42</v>
      </c>
      <c r="Q17" t="s">
        <v>59</v>
      </c>
      <c r="R17" t="s">
        <v>1581</v>
      </c>
      <c r="S17" t="s">
        <v>563</v>
      </c>
      <c r="T17" t="s">
        <v>42</v>
      </c>
      <c r="U17">
        <v>44</v>
      </c>
      <c r="V17">
        <v>270</v>
      </c>
      <c r="W17">
        <v>227</v>
      </c>
      <c r="X17" t="s">
        <v>771</v>
      </c>
      <c r="Y17" t="s">
        <v>1582</v>
      </c>
      <c r="Z17" t="s">
        <v>773</v>
      </c>
      <c r="AA17" t="s">
        <v>774</v>
      </c>
    </row>
    <row r="18" spans="1:34" x14ac:dyDescent="0.75">
      <c r="A18" s="22" t="s">
        <v>6047</v>
      </c>
      <c r="B18" t="s">
        <v>1578</v>
      </c>
      <c r="C18" t="s">
        <v>144</v>
      </c>
      <c r="D18" t="s">
        <v>765</v>
      </c>
      <c r="E18" t="s">
        <v>766</v>
      </c>
      <c r="F18" t="s">
        <v>1579</v>
      </c>
      <c r="G18" s="1" t="str">
        <f>HYPERLINK("https://homd.org/jbrowse/?data=homd_V11.02_phage_1.2%2FGCA_001580405.1&amp;loc=GCA_001580405.1%7CCP011022.1%3A2804507..2812243&amp;tracks=prokka,prokka_ncrna,ncbi,ncbi_ncrna,panggolin,cenote,genomad&amp;highlight=","Open JBrowse")</f>
        <v>Open JBrowse</v>
      </c>
      <c r="H18">
        <v>2807507</v>
      </c>
      <c r="I18">
        <v>2809243</v>
      </c>
      <c r="J18" t="s">
        <v>1583</v>
      </c>
      <c r="K18" t="s">
        <v>59</v>
      </c>
      <c r="L18" t="s">
        <v>776</v>
      </c>
      <c r="M18" t="s">
        <v>777</v>
      </c>
      <c r="N18" t="s">
        <v>42</v>
      </c>
      <c r="O18">
        <v>3</v>
      </c>
      <c r="P18" t="s">
        <v>42</v>
      </c>
      <c r="Q18" t="s">
        <v>59</v>
      </c>
      <c r="R18" t="s">
        <v>1581</v>
      </c>
      <c r="S18" t="s">
        <v>776</v>
      </c>
      <c r="T18" t="s">
        <v>42</v>
      </c>
      <c r="U18">
        <v>322</v>
      </c>
      <c r="V18">
        <v>571</v>
      </c>
      <c r="W18">
        <v>250</v>
      </c>
      <c r="X18" t="s">
        <v>778</v>
      </c>
      <c r="Y18" t="s">
        <v>1584</v>
      </c>
      <c r="Z18" t="s">
        <v>780</v>
      </c>
      <c r="AA18" t="s">
        <v>781</v>
      </c>
    </row>
    <row r="19" spans="1:34" x14ac:dyDescent="0.75">
      <c r="A19" s="22" t="s">
        <v>6047</v>
      </c>
      <c r="B19" t="s">
        <v>1585</v>
      </c>
      <c r="C19" t="s">
        <v>144</v>
      </c>
      <c r="D19" t="s">
        <v>486</v>
      </c>
      <c r="E19" t="s">
        <v>487</v>
      </c>
      <c r="F19" t="s">
        <v>1586</v>
      </c>
      <c r="G19" s="1" t="str">
        <f>HYPERLINK("https://homd.org/jbrowse/?data=homd_V11.02_phage_1.2%2FGCA_001632305.1&amp;loc=GCA_001632305.1%7CCP015286.1%3A4869133..4876365&amp;tracks=prokka,prokka_ncrna,ncbi,ncbi_ncrna,panggolin,cenote,genomad&amp;highlight=","Open JBrowse")</f>
        <v>Open JBrowse</v>
      </c>
      <c r="H19">
        <v>4872133</v>
      </c>
      <c r="I19">
        <v>4873365</v>
      </c>
      <c r="J19" t="s">
        <v>1587</v>
      </c>
      <c r="K19" t="s">
        <v>202</v>
      </c>
      <c r="L19" t="s">
        <v>1217</v>
      </c>
      <c r="M19" t="s">
        <v>1218</v>
      </c>
      <c r="N19" t="s">
        <v>205</v>
      </c>
      <c r="O19">
        <v>3</v>
      </c>
      <c r="P19" t="s">
        <v>206</v>
      </c>
      <c r="Q19" t="s">
        <v>207</v>
      </c>
      <c r="R19" t="s">
        <v>1588</v>
      </c>
      <c r="S19" t="s">
        <v>491</v>
      </c>
      <c r="T19" t="s">
        <v>42</v>
      </c>
      <c r="U19">
        <v>34</v>
      </c>
      <c r="V19">
        <v>259</v>
      </c>
      <c r="W19">
        <v>226</v>
      </c>
      <c r="X19" t="s">
        <v>210</v>
      </c>
      <c r="Y19" t="s">
        <v>1589</v>
      </c>
      <c r="Z19" t="s">
        <v>1220</v>
      </c>
      <c r="AA19" t="s">
        <v>1590</v>
      </c>
      <c r="AB19" t="s">
        <v>1591</v>
      </c>
      <c r="AC19" t="s">
        <v>1223</v>
      </c>
      <c r="AD19" t="s">
        <v>1224</v>
      </c>
      <c r="AE19">
        <v>540.29999999999995</v>
      </c>
      <c r="AF19" t="s">
        <v>1592</v>
      </c>
      <c r="AG19" t="s">
        <v>101</v>
      </c>
      <c r="AH19">
        <v>2</v>
      </c>
    </row>
    <row r="20" spans="1:34" x14ac:dyDescent="0.75">
      <c r="A20" s="22" t="s">
        <v>6047</v>
      </c>
      <c r="B20" t="s">
        <v>1593</v>
      </c>
      <c r="C20" t="s">
        <v>144</v>
      </c>
      <c r="D20" t="s">
        <v>486</v>
      </c>
      <c r="E20" t="s">
        <v>487</v>
      </c>
      <c r="F20" t="s">
        <v>1594</v>
      </c>
      <c r="G20" s="1" t="str">
        <f>HYPERLINK("https://homd.org/jbrowse/?data=homd_V11.02_phage_1.2%2FGCA_001633025.1&amp;loc=GCA_001633025.1%7CLWMH01000001.1%3A4615596..4622828&amp;tracks=prokka,prokka_ncrna,ncbi,ncbi_ncrna,panggolin,cenote,genomad&amp;highlight=","Open JBrowse")</f>
        <v>Open JBrowse</v>
      </c>
      <c r="H20">
        <v>4618596</v>
      </c>
      <c r="I20">
        <v>4619828</v>
      </c>
      <c r="J20" t="s">
        <v>1595</v>
      </c>
      <c r="K20" t="s">
        <v>202</v>
      </c>
      <c r="L20" t="s">
        <v>1217</v>
      </c>
      <c r="M20" t="s">
        <v>1218</v>
      </c>
      <c r="N20" t="s">
        <v>205</v>
      </c>
      <c r="O20">
        <v>3</v>
      </c>
      <c r="P20" t="s">
        <v>206</v>
      </c>
      <c r="Q20" t="s">
        <v>207</v>
      </c>
      <c r="R20" t="s">
        <v>1596</v>
      </c>
      <c r="S20" t="s">
        <v>491</v>
      </c>
      <c r="T20" t="s">
        <v>42</v>
      </c>
      <c r="U20">
        <v>34</v>
      </c>
      <c r="V20">
        <v>259</v>
      </c>
      <c r="W20">
        <v>226</v>
      </c>
      <c r="X20" t="s">
        <v>210</v>
      </c>
    </row>
    <row r="21" spans="1:34" x14ac:dyDescent="0.75">
      <c r="A21" s="22" t="s">
        <v>6047</v>
      </c>
      <c r="B21" t="s">
        <v>1593</v>
      </c>
      <c r="C21" t="s">
        <v>144</v>
      </c>
      <c r="D21" t="s">
        <v>486</v>
      </c>
      <c r="E21" t="s">
        <v>487</v>
      </c>
      <c r="F21" t="s">
        <v>1597</v>
      </c>
      <c r="G21" s="1" t="str">
        <f>HYPERLINK("https://homd.org/jbrowse/?data=homd_V11.02_phage_1.2%2FGCA_001633025.1&amp;loc=GCA_001633025.1%7CLWMH01000003.1%3A169464..178091&amp;tracks=prokka,prokka_ncrna,ncbi,ncbi_ncrna,panggolin,cenote,genomad&amp;highlight=","Open JBrowse")</f>
        <v>Open JBrowse</v>
      </c>
      <c r="H21">
        <v>172464</v>
      </c>
      <c r="I21">
        <v>175091</v>
      </c>
      <c r="J21" t="s">
        <v>1598</v>
      </c>
      <c r="K21" t="s">
        <v>213</v>
      </c>
      <c r="L21" t="s">
        <v>1205</v>
      </c>
      <c r="M21" t="s">
        <v>1206</v>
      </c>
      <c r="N21" t="s">
        <v>216</v>
      </c>
      <c r="O21">
        <v>3</v>
      </c>
      <c r="P21" t="s">
        <v>217</v>
      </c>
      <c r="Q21" t="s">
        <v>101</v>
      </c>
      <c r="R21" t="s">
        <v>1596</v>
      </c>
      <c r="S21" t="s">
        <v>1208</v>
      </c>
      <c r="T21" t="s">
        <v>42</v>
      </c>
      <c r="U21">
        <v>430</v>
      </c>
      <c r="V21">
        <v>682</v>
      </c>
      <c r="W21">
        <v>253</v>
      </c>
      <c r="X21" t="s">
        <v>219</v>
      </c>
      <c r="Y21" t="s">
        <v>1599</v>
      </c>
      <c r="Z21" t="s">
        <v>1600</v>
      </c>
      <c r="AA21" t="s">
        <v>1210</v>
      </c>
      <c r="AB21" t="s">
        <v>1601</v>
      </c>
      <c r="AC21" t="s">
        <v>1212</v>
      </c>
      <c r="AD21" t="s">
        <v>1213</v>
      </c>
      <c r="AE21">
        <v>210.3</v>
      </c>
      <c r="AF21" t="s">
        <v>1602</v>
      </c>
    </row>
    <row r="22" spans="1:34" x14ac:dyDescent="0.75">
      <c r="A22" s="22" t="s">
        <v>6047</v>
      </c>
      <c r="B22" t="s">
        <v>1665</v>
      </c>
      <c r="C22" t="s">
        <v>144</v>
      </c>
      <c r="D22" t="s">
        <v>1666</v>
      </c>
      <c r="E22" t="s">
        <v>1667</v>
      </c>
      <c r="F22" t="s">
        <v>1668</v>
      </c>
      <c r="G22" s="1" t="str">
        <f>HYPERLINK("https://homd.org/jbrowse/?data=homd_V11.02_phage_1.2%2FGCA_001889125.1&amp;loc=GCA_001889125.1%7CCP013290.1%3A239804..247921&amp;tracks=prokka,prokka_ncrna,ncbi,ncbi_ncrna,panggolin,cenote,genomad&amp;highlight=","Open JBrowse")</f>
        <v>Open JBrowse</v>
      </c>
      <c r="H22">
        <v>242804</v>
      </c>
      <c r="I22">
        <v>244921</v>
      </c>
      <c r="J22" t="s">
        <v>1669</v>
      </c>
      <c r="K22" t="s">
        <v>59</v>
      </c>
      <c r="L22" t="s">
        <v>59</v>
      </c>
      <c r="M22" t="s">
        <v>59</v>
      </c>
      <c r="N22" t="s">
        <v>42</v>
      </c>
      <c r="O22">
        <v>1</v>
      </c>
      <c r="P22" t="s">
        <v>59</v>
      </c>
      <c r="Q22" t="s">
        <v>59</v>
      </c>
      <c r="R22" t="s">
        <v>1670</v>
      </c>
      <c r="T22" t="s">
        <v>42</v>
      </c>
      <c r="X22" t="s">
        <v>59</v>
      </c>
      <c r="Y22" t="s">
        <v>1671</v>
      </c>
      <c r="Z22" t="s">
        <v>47</v>
      </c>
      <c r="AA22" t="s">
        <v>1672</v>
      </c>
    </row>
    <row r="23" spans="1:34" x14ac:dyDescent="0.75">
      <c r="A23" s="22" t="s">
        <v>6047</v>
      </c>
      <c r="B23" t="s">
        <v>1702</v>
      </c>
      <c r="C23" t="s">
        <v>144</v>
      </c>
      <c r="D23" t="s">
        <v>486</v>
      </c>
      <c r="E23" t="s">
        <v>487</v>
      </c>
      <c r="F23" t="s">
        <v>1703</v>
      </c>
      <c r="G23" s="1" t="str">
        <f>HYPERLINK("https://homd.org/jbrowse/?data=homd_V11.02_phage_1.2%2FGCA_001955865.1&amp;loc=GCA_001955865.1%7CMRTT01000004.1%3A41118..48350&amp;tracks=prokka,prokka_ncrna,ncbi,ncbi_ncrna,panggolin,cenote,genomad&amp;highlight=","Open JBrowse")</f>
        <v>Open JBrowse</v>
      </c>
      <c r="H23">
        <v>44118</v>
      </c>
      <c r="I23">
        <v>45350</v>
      </c>
      <c r="J23" t="s">
        <v>1704</v>
      </c>
      <c r="K23" t="s">
        <v>202</v>
      </c>
      <c r="L23" t="s">
        <v>1217</v>
      </c>
      <c r="M23" t="s">
        <v>1218</v>
      </c>
      <c r="N23" t="s">
        <v>205</v>
      </c>
      <c r="O23">
        <v>3</v>
      </c>
      <c r="P23" t="s">
        <v>206</v>
      </c>
      <c r="Q23" t="s">
        <v>207</v>
      </c>
      <c r="R23" t="s">
        <v>1705</v>
      </c>
      <c r="S23" t="s">
        <v>491</v>
      </c>
      <c r="T23" t="s">
        <v>42</v>
      </c>
      <c r="U23">
        <v>34</v>
      </c>
      <c r="V23">
        <v>259</v>
      </c>
      <c r="W23">
        <v>226</v>
      </c>
      <c r="X23" t="s">
        <v>210</v>
      </c>
    </row>
    <row r="24" spans="1:34" x14ac:dyDescent="0.75">
      <c r="A24" s="22" t="s">
        <v>6047</v>
      </c>
      <c r="B24" t="s">
        <v>1702</v>
      </c>
      <c r="C24" t="s">
        <v>144</v>
      </c>
      <c r="D24" t="s">
        <v>486</v>
      </c>
      <c r="E24" t="s">
        <v>487</v>
      </c>
      <c r="F24" t="s">
        <v>1706</v>
      </c>
      <c r="G24" s="1" t="str">
        <f>HYPERLINK("https://homd.org/jbrowse/?data=homd_V11.02_phage_1.2%2FGCA_001955865.1&amp;loc=GCA_001955865.1%7CMRTT01000007.1%3A162568..171195&amp;tracks=prokka,prokka_ncrna,ncbi,ncbi_ncrna,panggolin,cenote,genomad&amp;highlight=","Open JBrowse")</f>
        <v>Open JBrowse</v>
      </c>
      <c r="H24">
        <v>165568</v>
      </c>
      <c r="I24">
        <v>168195</v>
      </c>
      <c r="J24" t="s">
        <v>1707</v>
      </c>
      <c r="K24" t="s">
        <v>213</v>
      </c>
      <c r="L24" t="s">
        <v>1205</v>
      </c>
      <c r="M24" t="s">
        <v>1708</v>
      </c>
      <c r="N24" t="s">
        <v>216</v>
      </c>
      <c r="O24">
        <v>3</v>
      </c>
      <c r="P24" t="s">
        <v>217</v>
      </c>
      <c r="Q24" t="s">
        <v>101</v>
      </c>
      <c r="R24" t="s">
        <v>1705</v>
      </c>
      <c r="S24" t="s">
        <v>1208</v>
      </c>
      <c r="T24" t="s">
        <v>42</v>
      </c>
      <c r="U24">
        <v>430</v>
      </c>
      <c r="V24">
        <v>682</v>
      </c>
      <c r="W24">
        <v>253</v>
      </c>
      <c r="X24" t="s">
        <v>219</v>
      </c>
      <c r="Y24" t="s">
        <v>1709</v>
      </c>
      <c r="Z24" t="s">
        <v>1710</v>
      </c>
      <c r="AA24" t="s">
        <v>1210</v>
      </c>
      <c r="AB24" t="s">
        <v>1711</v>
      </c>
      <c r="AC24" t="s">
        <v>1212</v>
      </c>
      <c r="AD24" t="s">
        <v>1213</v>
      </c>
      <c r="AE24">
        <v>207.6</v>
      </c>
      <c r="AF24" t="s">
        <v>1602</v>
      </c>
    </row>
    <row r="25" spans="1:34" x14ac:dyDescent="0.75">
      <c r="A25" s="22" t="s">
        <v>6047</v>
      </c>
      <c r="B25" t="s">
        <v>1712</v>
      </c>
      <c r="C25" t="s">
        <v>144</v>
      </c>
      <c r="D25" t="s">
        <v>1713</v>
      </c>
      <c r="E25" t="s">
        <v>1714</v>
      </c>
      <c r="F25" t="s">
        <v>1715</v>
      </c>
      <c r="G25" s="1" t="str">
        <f>HYPERLINK("https://homd.org/jbrowse/?data=homd_V11.02_phage_1.2%2FGCA_002155695.1&amp;loc=GCA_002155695.1%7CMUYJ01000012.1%3A44763..51743&amp;tracks=prokka,prokka_ncrna,ncbi,ncbi_ncrna,panggolin,cenote,genomad&amp;highlight=","Open JBrowse")</f>
        <v>Open JBrowse</v>
      </c>
      <c r="H25">
        <v>47763</v>
      </c>
      <c r="I25">
        <v>48743</v>
      </c>
      <c r="J25" t="s">
        <v>1716</v>
      </c>
      <c r="K25" t="s">
        <v>59</v>
      </c>
      <c r="L25" t="s">
        <v>1717</v>
      </c>
      <c r="M25" t="s">
        <v>1718</v>
      </c>
      <c r="N25" t="s">
        <v>42</v>
      </c>
      <c r="O25">
        <v>3</v>
      </c>
      <c r="P25" t="s">
        <v>42</v>
      </c>
      <c r="Q25" t="s">
        <v>59</v>
      </c>
      <c r="R25" t="s">
        <v>1719</v>
      </c>
      <c r="S25" t="s">
        <v>1717</v>
      </c>
      <c r="T25" t="s">
        <v>42</v>
      </c>
      <c r="U25">
        <v>43</v>
      </c>
      <c r="V25">
        <v>312</v>
      </c>
      <c r="W25">
        <v>270</v>
      </c>
      <c r="X25" t="s">
        <v>1720</v>
      </c>
      <c r="Y25" t="s">
        <v>1721</v>
      </c>
      <c r="Z25" t="s">
        <v>97</v>
      </c>
      <c r="AA25" t="s">
        <v>1722</v>
      </c>
      <c r="AB25" t="s">
        <v>1723</v>
      </c>
      <c r="AC25" t="s">
        <v>1724</v>
      </c>
      <c r="AD25" t="s">
        <v>101</v>
      </c>
      <c r="AE25">
        <v>928</v>
      </c>
      <c r="AF25" t="s">
        <v>1725</v>
      </c>
    </row>
    <row r="26" spans="1:34" x14ac:dyDescent="0.75">
      <c r="A26" s="22" t="s">
        <v>6047</v>
      </c>
      <c r="B26" t="s">
        <v>1804</v>
      </c>
      <c r="C26" t="s">
        <v>144</v>
      </c>
      <c r="D26" t="s">
        <v>1805</v>
      </c>
      <c r="E26" t="s">
        <v>1806</v>
      </c>
      <c r="F26" t="s">
        <v>1807</v>
      </c>
      <c r="G26" s="1" t="str">
        <f>HYPERLINK("https://homd.org/jbrowse/?data=homd_V11.02_phage_1.2%2FGCA_002250115.1&amp;loc=GCA_002250115.1%7CCP019985.1%3A582319..589161&amp;tracks=prokka,prokka_ncrna,ncbi,ncbi_ncrna,panggolin,cenote,genomad&amp;highlight=","Open JBrowse")</f>
        <v>Open JBrowse</v>
      </c>
      <c r="H26">
        <v>585319</v>
      </c>
      <c r="I26">
        <v>586161</v>
      </c>
      <c r="J26" t="s">
        <v>1808</v>
      </c>
      <c r="K26" t="s">
        <v>375</v>
      </c>
      <c r="L26" t="s">
        <v>1809</v>
      </c>
      <c r="M26" t="s">
        <v>1810</v>
      </c>
      <c r="N26" t="s">
        <v>42</v>
      </c>
      <c r="O26">
        <v>3</v>
      </c>
      <c r="P26" t="s">
        <v>42</v>
      </c>
      <c r="Q26" t="s">
        <v>101</v>
      </c>
      <c r="R26" t="s">
        <v>1811</v>
      </c>
      <c r="S26" t="s">
        <v>1809</v>
      </c>
      <c r="T26" t="s">
        <v>42</v>
      </c>
      <c r="U26">
        <v>38</v>
      </c>
      <c r="V26">
        <v>278</v>
      </c>
      <c r="W26">
        <v>241</v>
      </c>
      <c r="X26" t="s">
        <v>379</v>
      </c>
    </row>
    <row r="27" spans="1:34" x14ac:dyDescent="0.75">
      <c r="A27" s="22" t="s">
        <v>6047</v>
      </c>
      <c r="B27" t="s">
        <v>2036</v>
      </c>
      <c r="C27" t="s">
        <v>144</v>
      </c>
      <c r="D27" t="s">
        <v>486</v>
      </c>
      <c r="E27" t="s">
        <v>487</v>
      </c>
      <c r="F27" t="s">
        <v>2037</v>
      </c>
      <c r="G27" s="1" t="str">
        <f>HYPERLINK("https://homd.org/jbrowse/?data=homd_V11.02_phage_1.2%2FGCA_003033945.1&amp;loc=GCA_003033945.1%7CCP028366.1%3A4406071..4414698&amp;tracks=prokka,prokka_ncrna,ncbi,ncbi_ncrna,panggolin,cenote,genomad&amp;highlight=","Open JBrowse")</f>
        <v>Open JBrowse</v>
      </c>
      <c r="H27">
        <v>4409071</v>
      </c>
      <c r="I27">
        <v>4411698</v>
      </c>
      <c r="J27" t="s">
        <v>2038</v>
      </c>
      <c r="K27" t="s">
        <v>213</v>
      </c>
      <c r="L27" t="s">
        <v>1205</v>
      </c>
      <c r="M27" t="s">
        <v>1206</v>
      </c>
      <c r="N27" t="s">
        <v>216</v>
      </c>
      <c r="O27">
        <v>3</v>
      </c>
      <c r="P27" t="s">
        <v>217</v>
      </c>
      <c r="Q27" t="s">
        <v>101</v>
      </c>
      <c r="R27" t="s">
        <v>2039</v>
      </c>
      <c r="S27" t="s">
        <v>1208</v>
      </c>
      <c r="T27" t="s">
        <v>42</v>
      </c>
      <c r="U27">
        <v>430</v>
      </c>
      <c r="V27">
        <v>682</v>
      </c>
      <c r="W27">
        <v>253</v>
      </c>
      <c r="X27" t="s">
        <v>219</v>
      </c>
      <c r="Y27" t="s">
        <v>2040</v>
      </c>
      <c r="Z27" t="s">
        <v>2041</v>
      </c>
      <c r="AA27" t="s">
        <v>1210</v>
      </c>
      <c r="AB27" t="s">
        <v>2042</v>
      </c>
      <c r="AC27" t="s">
        <v>1212</v>
      </c>
      <c r="AD27" t="s">
        <v>1213</v>
      </c>
      <c r="AE27">
        <v>137.5</v>
      </c>
      <c r="AF27" t="s">
        <v>1214</v>
      </c>
    </row>
    <row r="28" spans="1:34" x14ac:dyDescent="0.75">
      <c r="A28" s="22" t="s">
        <v>6047</v>
      </c>
      <c r="B28" t="s">
        <v>2036</v>
      </c>
      <c r="C28" t="s">
        <v>144</v>
      </c>
      <c r="D28" t="s">
        <v>486</v>
      </c>
      <c r="E28" t="s">
        <v>487</v>
      </c>
      <c r="F28" t="s">
        <v>2037</v>
      </c>
      <c r="G28" s="1" t="str">
        <f>HYPERLINK("https://homd.org/jbrowse/?data=homd_V11.02_phage_1.2%2FGCA_003033945.1&amp;loc=GCA_003033945.1%7CCP028366.1%3A5074748..5081980&amp;tracks=prokka,prokka_ncrna,ncbi,ncbi_ncrna,panggolin,cenote,genomad&amp;highlight=","Open JBrowse")</f>
        <v>Open JBrowse</v>
      </c>
      <c r="H28">
        <v>5077748</v>
      </c>
      <c r="I28">
        <v>5078980</v>
      </c>
      <c r="J28" t="s">
        <v>2043</v>
      </c>
      <c r="K28" t="s">
        <v>202</v>
      </c>
      <c r="L28" t="s">
        <v>1217</v>
      </c>
      <c r="M28" t="s">
        <v>1218</v>
      </c>
      <c r="N28" t="s">
        <v>205</v>
      </c>
      <c r="O28">
        <v>3</v>
      </c>
      <c r="P28" t="s">
        <v>206</v>
      </c>
      <c r="Q28" t="s">
        <v>207</v>
      </c>
      <c r="R28" t="s">
        <v>2039</v>
      </c>
      <c r="S28" t="s">
        <v>491</v>
      </c>
      <c r="T28" t="s">
        <v>42</v>
      </c>
      <c r="U28">
        <v>34</v>
      </c>
      <c r="V28">
        <v>259</v>
      </c>
      <c r="W28">
        <v>226</v>
      </c>
      <c r="X28" t="s">
        <v>210</v>
      </c>
      <c r="Y28" t="s">
        <v>2044</v>
      </c>
      <c r="Z28" t="s">
        <v>2045</v>
      </c>
      <c r="AA28" t="s">
        <v>1221</v>
      </c>
      <c r="AB28" t="s">
        <v>2046</v>
      </c>
      <c r="AC28" t="s">
        <v>1223</v>
      </c>
      <c r="AD28" t="s">
        <v>1224</v>
      </c>
      <c r="AE28">
        <v>540.29999999999995</v>
      </c>
      <c r="AF28" t="s">
        <v>1225</v>
      </c>
      <c r="AG28" t="s">
        <v>101</v>
      </c>
      <c r="AH28">
        <v>2</v>
      </c>
    </row>
    <row r="29" spans="1:34" x14ac:dyDescent="0.75">
      <c r="A29" s="22" t="s">
        <v>6047</v>
      </c>
      <c r="B29" t="s">
        <v>2070</v>
      </c>
      <c r="C29" t="s">
        <v>144</v>
      </c>
      <c r="D29" t="s">
        <v>486</v>
      </c>
      <c r="E29" t="s">
        <v>487</v>
      </c>
      <c r="F29" t="s">
        <v>2071</v>
      </c>
      <c r="G29" s="1" t="str">
        <f>HYPERLINK("https://homd.org/jbrowse/?data=homd_V11.02_phage_1.2%2FGCA_003184205.1&amp;loc=GCA_003184205.1%7CCP020866.1%3A2377126..2385753&amp;tracks=prokka,prokka_ncrna,ncbi,ncbi_ncrna,panggolin,cenote,genomad&amp;highlight=","Open JBrowse")</f>
        <v>Open JBrowse</v>
      </c>
      <c r="H29">
        <v>2380126</v>
      </c>
      <c r="I29">
        <v>2382753</v>
      </c>
      <c r="J29" t="s">
        <v>2072</v>
      </c>
      <c r="K29" t="s">
        <v>213</v>
      </c>
      <c r="L29" t="s">
        <v>1205</v>
      </c>
      <c r="M29" t="s">
        <v>1206</v>
      </c>
      <c r="N29" t="s">
        <v>216</v>
      </c>
      <c r="O29">
        <v>3</v>
      </c>
      <c r="P29" t="s">
        <v>217</v>
      </c>
      <c r="Q29" t="s">
        <v>101</v>
      </c>
      <c r="R29" t="s">
        <v>2073</v>
      </c>
      <c r="S29" t="s">
        <v>1208</v>
      </c>
      <c r="T29" t="s">
        <v>42</v>
      </c>
      <c r="U29">
        <v>430</v>
      </c>
      <c r="V29">
        <v>682</v>
      </c>
      <c r="W29">
        <v>253</v>
      </c>
      <c r="X29" t="s">
        <v>219</v>
      </c>
      <c r="Y29" t="s">
        <v>2074</v>
      </c>
      <c r="Z29" t="s">
        <v>193</v>
      </c>
      <c r="AA29" t="s">
        <v>1210</v>
      </c>
      <c r="AB29" t="s">
        <v>2075</v>
      </c>
      <c r="AC29" t="s">
        <v>1212</v>
      </c>
      <c r="AD29" t="s">
        <v>1213</v>
      </c>
      <c r="AE29">
        <v>210.3</v>
      </c>
      <c r="AF29" t="s">
        <v>1602</v>
      </c>
    </row>
    <row r="30" spans="1:34" x14ac:dyDescent="0.75">
      <c r="A30" s="22" t="s">
        <v>6047</v>
      </c>
      <c r="B30" t="s">
        <v>2070</v>
      </c>
      <c r="C30" t="s">
        <v>144</v>
      </c>
      <c r="D30" t="s">
        <v>486</v>
      </c>
      <c r="E30" t="s">
        <v>487</v>
      </c>
      <c r="F30" t="s">
        <v>2071</v>
      </c>
      <c r="G30" s="1" t="str">
        <f>HYPERLINK("https://homd.org/jbrowse/?data=homd_V11.02_phage_1.2%2FGCA_003184205.1&amp;loc=GCA_003184205.1%7CCP020866.1%3A3056691..3063923&amp;tracks=prokka,prokka_ncrna,ncbi,ncbi_ncrna,panggolin,cenote,genomad&amp;highlight=","Open JBrowse")</f>
        <v>Open JBrowse</v>
      </c>
      <c r="H30">
        <v>3059691</v>
      </c>
      <c r="I30">
        <v>3060923</v>
      </c>
      <c r="J30" t="s">
        <v>2076</v>
      </c>
      <c r="K30" t="s">
        <v>202</v>
      </c>
      <c r="L30" t="s">
        <v>1217</v>
      </c>
      <c r="M30" t="s">
        <v>1218</v>
      </c>
      <c r="N30" t="s">
        <v>205</v>
      </c>
      <c r="O30">
        <v>3</v>
      </c>
      <c r="P30" t="s">
        <v>206</v>
      </c>
      <c r="Q30" t="s">
        <v>207</v>
      </c>
      <c r="R30" t="s">
        <v>2073</v>
      </c>
      <c r="S30" t="s">
        <v>491</v>
      </c>
      <c r="T30" t="s">
        <v>42</v>
      </c>
      <c r="U30">
        <v>34</v>
      </c>
      <c r="V30">
        <v>259</v>
      </c>
      <c r="W30">
        <v>226</v>
      </c>
      <c r="X30" t="s">
        <v>210</v>
      </c>
    </row>
    <row r="31" spans="1:34" x14ac:dyDescent="0.75">
      <c r="A31" s="22" t="s">
        <v>6047</v>
      </c>
      <c r="B31" t="s">
        <v>2077</v>
      </c>
      <c r="C31" t="s">
        <v>144</v>
      </c>
      <c r="D31" t="s">
        <v>765</v>
      </c>
      <c r="E31" t="s">
        <v>766</v>
      </c>
      <c r="F31" t="s">
        <v>2078</v>
      </c>
      <c r="G31" s="1" t="str">
        <f>HYPERLINK("https://homd.org/jbrowse/?data=homd_V11.02_phage_1.2%2FGCA_003367335.1&amp;loc=GCA_003367335.1%7CCP031414.1%3A2511777..2519513&amp;tracks=prokka,prokka_ncrna,ncbi,ncbi_ncrna,panggolin,cenote,genomad&amp;highlight=","Open JBrowse")</f>
        <v>Open JBrowse</v>
      </c>
      <c r="H31">
        <v>2514777</v>
      </c>
      <c r="I31">
        <v>2516513</v>
      </c>
      <c r="J31" t="s">
        <v>2079</v>
      </c>
      <c r="K31" t="s">
        <v>59</v>
      </c>
      <c r="L31" t="s">
        <v>776</v>
      </c>
      <c r="M31" t="s">
        <v>777</v>
      </c>
      <c r="N31" t="s">
        <v>42</v>
      </c>
      <c r="O31">
        <v>3</v>
      </c>
      <c r="P31" t="s">
        <v>42</v>
      </c>
      <c r="Q31" t="s">
        <v>59</v>
      </c>
      <c r="R31" t="s">
        <v>2080</v>
      </c>
      <c r="S31" t="s">
        <v>776</v>
      </c>
      <c r="T31" t="s">
        <v>42</v>
      </c>
      <c r="U31">
        <v>322</v>
      </c>
      <c r="V31">
        <v>571</v>
      </c>
      <c r="W31">
        <v>250</v>
      </c>
      <c r="X31" t="s">
        <v>778</v>
      </c>
      <c r="Y31" t="s">
        <v>2081</v>
      </c>
      <c r="Z31" t="s">
        <v>1450</v>
      </c>
      <c r="AA31" t="s">
        <v>1292</v>
      </c>
    </row>
    <row r="32" spans="1:34" x14ac:dyDescent="0.75">
      <c r="A32" s="22" t="s">
        <v>6047</v>
      </c>
      <c r="B32" t="s">
        <v>2077</v>
      </c>
      <c r="C32" t="s">
        <v>144</v>
      </c>
      <c r="D32" t="s">
        <v>765</v>
      </c>
      <c r="E32" t="s">
        <v>766</v>
      </c>
      <c r="F32" t="s">
        <v>2078</v>
      </c>
      <c r="G32" s="1" t="str">
        <f>HYPERLINK("https://homd.org/jbrowse/?data=homd_V11.02_phage_1.2%2FGCA_003367335.1&amp;loc=GCA_003367335.1%7CCP031414.1%3A2585518..2592339&amp;tracks=prokka,prokka_ncrna,ncbi,ncbi_ncrna,panggolin,cenote,genomad&amp;highlight=","Open JBrowse")</f>
        <v>Open JBrowse</v>
      </c>
      <c r="H32">
        <v>2588518</v>
      </c>
      <c r="I32">
        <v>2589339</v>
      </c>
      <c r="J32" t="s">
        <v>2082</v>
      </c>
      <c r="K32" t="s">
        <v>59</v>
      </c>
      <c r="L32" t="s">
        <v>563</v>
      </c>
      <c r="M32" t="s">
        <v>769</v>
      </c>
      <c r="N32" t="s">
        <v>42</v>
      </c>
      <c r="O32">
        <v>3</v>
      </c>
      <c r="P32" t="s">
        <v>42</v>
      </c>
      <c r="Q32" t="s">
        <v>59</v>
      </c>
      <c r="R32" t="s">
        <v>2080</v>
      </c>
      <c r="S32" t="s">
        <v>563</v>
      </c>
      <c r="T32" t="s">
        <v>42</v>
      </c>
      <c r="U32">
        <v>44</v>
      </c>
      <c r="V32">
        <v>270</v>
      </c>
      <c r="W32">
        <v>227</v>
      </c>
      <c r="X32" t="s">
        <v>771</v>
      </c>
      <c r="Y32" t="s">
        <v>2083</v>
      </c>
      <c r="Z32" t="s">
        <v>470</v>
      </c>
      <c r="AA32" t="s">
        <v>2084</v>
      </c>
    </row>
    <row r="33" spans="1:34" x14ac:dyDescent="0.75">
      <c r="A33" s="22" t="s">
        <v>6047</v>
      </c>
      <c r="B33" t="s">
        <v>2213</v>
      </c>
      <c r="C33" t="s">
        <v>144</v>
      </c>
      <c r="D33" t="s">
        <v>486</v>
      </c>
      <c r="E33" t="s">
        <v>487</v>
      </c>
      <c r="F33" t="s">
        <v>2214</v>
      </c>
      <c r="G33" s="1" t="str">
        <f>HYPERLINK("https://homd.org/jbrowse/?data=homd_V11.02_phage_1.2%2FGCA_004000885.1&amp;loc=GCA_004000885.1%7CBIMC01000010.1%3A47215..54447&amp;tracks=prokka,prokka_ncrna,ncbi,ncbi_ncrna,panggolin,cenote,genomad&amp;highlight=","Open JBrowse")</f>
        <v>Open JBrowse</v>
      </c>
      <c r="H33">
        <v>50215</v>
      </c>
      <c r="I33">
        <v>51447</v>
      </c>
      <c r="J33" t="s">
        <v>2215</v>
      </c>
      <c r="K33" t="s">
        <v>202</v>
      </c>
      <c r="L33" t="s">
        <v>1217</v>
      </c>
      <c r="M33" t="s">
        <v>1218</v>
      </c>
      <c r="N33" t="s">
        <v>205</v>
      </c>
      <c r="O33">
        <v>3</v>
      </c>
      <c r="P33" t="s">
        <v>206</v>
      </c>
      <c r="Q33" t="s">
        <v>207</v>
      </c>
      <c r="R33" t="s">
        <v>2216</v>
      </c>
      <c r="S33" t="s">
        <v>491</v>
      </c>
      <c r="T33" t="s">
        <v>42</v>
      </c>
      <c r="U33">
        <v>34</v>
      </c>
      <c r="V33">
        <v>259</v>
      </c>
      <c r="W33">
        <v>226</v>
      </c>
      <c r="X33" t="s">
        <v>210</v>
      </c>
      <c r="Y33" t="s">
        <v>2217</v>
      </c>
      <c r="Z33" t="s">
        <v>722</v>
      </c>
      <c r="AA33" t="s">
        <v>1221</v>
      </c>
      <c r="AB33" t="s">
        <v>2218</v>
      </c>
      <c r="AC33" t="s">
        <v>1223</v>
      </c>
      <c r="AD33" t="s">
        <v>1224</v>
      </c>
      <c r="AE33">
        <v>540.29999999999995</v>
      </c>
      <c r="AF33" t="s">
        <v>1225</v>
      </c>
      <c r="AG33" t="s">
        <v>101</v>
      </c>
      <c r="AH33">
        <v>2</v>
      </c>
    </row>
    <row r="34" spans="1:34" x14ac:dyDescent="0.75">
      <c r="A34" s="22" t="s">
        <v>6047</v>
      </c>
      <c r="B34" t="s">
        <v>2291</v>
      </c>
      <c r="C34" t="s">
        <v>144</v>
      </c>
      <c r="D34" t="s">
        <v>765</v>
      </c>
      <c r="E34" t="s">
        <v>766</v>
      </c>
      <c r="F34" t="s">
        <v>2292</v>
      </c>
      <c r="G34" s="1" t="str">
        <f>HYPERLINK("https://homd.org/jbrowse/?data=homd_V11.02_phage_1.2%2FGCA_005670605.1&amp;loc=GCA_005670605.1%7CPOTO01000002.1%3A6432..13253&amp;tracks=prokka,prokka_ncrna,ncbi,ncbi_ncrna,panggolin,cenote,genomad&amp;highlight=","Open JBrowse")</f>
        <v>Open JBrowse</v>
      </c>
      <c r="H34">
        <v>9432</v>
      </c>
      <c r="I34">
        <v>10253</v>
      </c>
      <c r="J34" t="s">
        <v>2293</v>
      </c>
      <c r="K34" t="s">
        <v>59</v>
      </c>
      <c r="L34" t="s">
        <v>563</v>
      </c>
      <c r="M34" t="s">
        <v>769</v>
      </c>
      <c r="N34" t="s">
        <v>42</v>
      </c>
      <c r="O34">
        <v>3</v>
      </c>
      <c r="P34" t="s">
        <v>42</v>
      </c>
      <c r="Q34" t="s">
        <v>59</v>
      </c>
      <c r="R34" t="s">
        <v>2294</v>
      </c>
      <c r="S34" t="s">
        <v>563</v>
      </c>
      <c r="T34" t="s">
        <v>42</v>
      </c>
      <c r="U34">
        <v>44</v>
      </c>
      <c r="V34">
        <v>270</v>
      </c>
      <c r="W34">
        <v>227</v>
      </c>
      <c r="X34" t="s">
        <v>771</v>
      </c>
      <c r="Y34" t="s">
        <v>2295</v>
      </c>
      <c r="Z34" t="s">
        <v>368</v>
      </c>
      <c r="AA34" t="s">
        <v>2084</v>
      </c>
    </row>
    <row r="35" spans="1:34" x14ac:dyDescent="0.75">
      <c r="A35" s="22" t="s">
        <v>6047</v>
      </c>
      <c r="B35" t="s">
        <v>2291</v>
      </c>
      <c r="C35" t="s">
        <v>144</v>
      </c>
      <c r="D35" t="s">
        <v>765</v>
      </c>
      <c r="E35" t="s">
        <v>766</v>
      </c>
      <c r="F35" t="s">
        <v>2296</v>
      </c>
      <c r="G35" s="1" t="str">
        <f>HYPERLINK("https://homd.org/jbrowse/?data=homd_V11.02_phage_1.2%2FGCA_005670605.1&amp;loc=GCA_005670605.1%7CPOTO01000017.1%3A5373..13145&amp;tracks=prokka,prokka_ncrna,ncbi,ncbi_ncrna,panggolin,cenote,genomad&amp;highlight=","Open JBrowse")</f>
        <v>Open JBrowse</v>
      </c>
      <c r="H35">
        <v>8373</v>
      </c>
      <c r="I35">
        <v>10145</v>
      </c>
      <c r="J35" t="s">
        <v>2297</v>
      </c>
      <c r="K35" t="s">
        <v>59</v>
      </c>
      <c r="L35" t="s">
        <v>1288</v>
      </c>
      <c r="M35" t="s">
        <v>1289</v>
      </c>
      <c r="N35" t="s">
        <v>42</v>
      </c>
      <c r="O35">
        <v>3</v>
      </c>
      <c r="P35" t="s">
        <v>42</v>
      </c>
      <c r="Q35" t="s">
        <v>59</v>
      </c>
      <c r="R35" t="s">
        <v>2294</v>
      </c>
      <c r="S35" t="s">
        <v>1288</v>
      </c>
      <c r="T35" t="s">
        <v>42</v>
      </c>
      <c r="U35">
        <v>334</v>
      </c>
      <c r="V35">
        <v>583</v>
      </c>
      <c r="W35">
        <v>250</v>
      </c>
      <c r="X35" t="s">
        <v>778</v>
      </c>
      <c r="Y35" t="s">
        <v>2298</v>
      </c>
      <c r="Z35" t="s">
        <v>2299</v>
      </c>
      <c r="AA35" t="s">
        <v>1292</v>
      </c>
    </row>
    <row r="36" spans="1:34" x14ac:dyDescent="0.75">
      <c r="A36" s="22" t="s">
        <v>6047</v>
      </c>
      <c r="B36" t="s">
        <v>2362</v>
      </c>
      <c r="C36" t="s">
        <v>144</v>
      </c>
      <c r="D36" t="s">
        <v>765</v>
      </c>
      <c r="E36" t="s">
        <v>766</v>
      </c>
      <c r="F36" t="s">
        <v>2363</v>
      </c>
      <c r="G36" s="1" t="str">
        <f>HYPERLINK("https://homd.org/jbrowse/?data=homd_V11.02_phage_1.2%2FGCA_006715585.1&amp;loc=GCA_006715585.1%7CVFNN01000001.1%3A5107342..5114163&amp;tracks=prokka,prokka_ncrna,ncbi,ncbi_ncrna,panggolin,cenote,genomad&amp;highlight=","Open JBrowse")</f>
        <v>Open JBrowse</v>
      </c>
      <c r="H36">
        <v>5110342</v>
      </c>
      <c r="I36">
        <v>5111163</v>
      </c>
      <c r="J36" t="s">
        <v>2364</v>
      </c>
      <c r="K36" t="s">
        <v>59</v>
      </c>
      <c r="L36" t="s">
        <v>563</v>
      </c>
      <c r="M36" t="s">
        <v>769</v>
      </c>
      <c r="N36" t="s">
        <v>42</v>
      </c>
      <c r="O36">
        <v>3</v>
      </c>
      <c r="P36" t="s">
        <v>42</v>
      </c>
      <c r="Q36" t="s">
        <v>59</v>
      </c>
      <c r="R36" t="s">
        <v>2365</v>
      </c>
      <c r="S36" t="s">
        <v>563</v>
      </c>
      <c r="T36" t="s">
        <v>42</v>
      </c>
      <c r="U36">
        <v>44</v>
      </c>
      <c r="V36">
        <v>270</v>
      </c>
      <c r="W36">
        <v>227</v>
      </c>
      <c r="X36" t="s">
        <v>771</v>
      </c>
      <c r="Y36" t="s">
        <v>2366</v>
      </c>
      <c r="Z36" t="s">
        <v>503</v>
      </c>
      <c r="AA36" t="s">
        <v>774</v>
      </c>
    </row>
    <row r="37" spans="1:34" x14ac:dyDescent="0.75">
      <c r="A37" s="22" t="s">
        <v>6047</v>
      </c>
      <c r="B37" t="s">
        <v>2362</v>
      </c>
      <c r="C37" t="s">
        <v>144</v>
      </c>
      <c r="D37" t="s">
        <v>765</v>
      </c>
      <c r="E37" t="s">
        <v>766</v>
      </c>
      <c r="F37" t="s">
        <v>2363</v>
      </c>
      <c r="G37" s="1" t="str">
        <f>HYPERLINK("https://homd.org/jbrowse/?data=homd_V11.02_phage_1.2%2FGCA_006715585.1&amp;loc=GCA_006715585.1%7CVFNN01000001.1%3A5179100..5186887&amp;tracks=prokka,prokka_ncrna,ncbi,ncbi_ncrna,panggolin,cenote,genomad&amp;highlight=","Open JBrowse")</f>
        <v>Open JBrowse</v>
      </c>
      <c r="H37">
        <v>5182100</v>
      </c>
      <c r="I37">
        <v>5183887</v>
      </c>
      <c r="J37" t="s">
        <v>2367</v>
      </c>
      <c r="K37" t="s">
        <v>59</v>
      </c>
      <c r="L37" t="s">
        <v>2368</v>
      </c>
      <c r="M37" t="s">
        <v>2369</v>
      </c>
      <c r="N37" t="s">
        <v>42</v>
      </c>
      <c r="O37">
        <v>3</v>
      </c>
      <c r="P37" t="s">
        <v>42</v>
      </c>
      <c r="Q37" t="s">
        <v>59</v>
      </c>
      <c r="R37" t="s">
        <v>2365</v>
      </c>
      <c r="S37" t="s">
        <v>2368</v>
      </c>
      <c r="T37" t="s">
        <v>42</v>
      </c>
      <c r="U37">
        <v>339</v>
      </c>
      <c r="V37">
        <v>588</v>
      </c>
      <c r="W37">
        <v>250</v>
      </c>
      <c r="X37" t="s">
        <v>778</v>
      </c>
      <c r="Y37" t="s">
        <v>2370</v>
      </c>
      <c r="Z37" t="s">
        <v>2254</v>
      </c>
      <c r="AA37" t="s">
        <v>781</v>
      </c>
    </row>
    <row r="38" spans="1:34" x14ac:dyDescent="0.75">
      <c r="A38" s="22" t="s">
        <v>6047</v>
      </c>
      <c r="B38" t="s">
        <v>2436</v>
      </c>
      <c r="C38" t="s">
        <v>144</v>
      </c>
      <c r="D38" t="s">
        <v>2437</v>
      </c>
      <c r="E38" t="s">
        <v>2438</v>
      </c>
      <c r="F38" t="s">
        <v>2439</v>
      </c>
      <c r="G38" s="1" t="str">
        <f>HYPERLINK("https://homd.org/jbrowse/?data=homd_V11.02_phage_1.2%2FGCA_007991655.1&amp;loc=GCA_007991655.1%7CBJYT01000004.1%3A157634..164449&amp;tracks=prokka,prokka_ncrna,ncbi,ncbi_ncrna,panggolin,cenote,genomad&amp;highlight=","Open JBrowse")</f>
        <v>Open JBrowse</v>
      </c>
      <c r="H38">
        <v>160634</v>
      </c>
      <c r="I38">
        <v>161449</v>
      </c>
      <c r="J38" t="s">
        <v>2440</v>
      </c>
      <c r="K38" t="s">
        <v>2441</v>
      </c>
      <c r="L38" t="s">
        <v>2133</v>
      </c>
      <c r="M38" t="s">
        <v>2442</v>
      </c>
      <c r="N38" t="s">
        <v>59</v>
      </c>
      <c r="O38">
        <v>2</v>
      </c>
      <c r="P38" t="s">
        <v>42</v>
      </c>
      <c r="Q38" t="s">
        <v>101</v>
      </c>
      <c r="R38" t="s">
        <v>2443</v>
      </c>
      <c r="S38" t="s">
        <v>2133</v>
      </c>
      <c r="T38" t="s">
        <v>42</v>
      </c>
      <c r="U38">
        <v>35</v>
      </c>
      <c r="V38">
        <v>266</v>
      </c>
      <c r="W38">
        <v>232</v>
      </c>
      <c r="X38" t="s">
        <v>2444</v>
      </c>
      <c r="Y38" t="s">
        <v>2445</v>
      </c>
      <c r="Z38" t="s">
        <v>381</v>
      </c>
      <c r="AA38" t="s">
        <v>2446</v>
      </c>
      <c r="AB38" t="s">
        <v>2447</v>
      </c>
      <c r="AC38" t="s">
        <v>2448</v>
      </c>
      <c r="AD38" t="s">
        <v>1224</v>
      </c>
      <c r="AE38">
        <v>529.70000000000005</v>
      </c>
      <c r="AF38" t="s">
        <v>2449</v>
      </c>
    </row>
    <row r="39" spans="1:34" x14ac:dyDescent="0.75">
      <c r="A39" s="22" t="s">
        <v>6047</v>
      </c>
      <c r="B39" t="s">
        <v>2436</v>
      </c>
      <c r="C39" t="s">
        <v>144</v>
      </c>
      <c r="D39" t="s">
        <v>2437</v>
      </c>
      <c r="E39" t="s">
        <v>2438</v>
      </c>
      <c r="F39" t="s">
        <v>2439</v>
      </c>
      <c r="G39" s="1" t="str">
        <f>HYPERLINK("https://homd.org/jbrowse/?data=homd_V11.02_phage_1.2%2FGCA_007991655.1&amp;loc=GCA_007991655.1%7CBJYT01000004.1%3A223590..230435&amp;tracks=prokka,prokka_ncrna,ncbi,ncbi_ncrna,panggolin,cenote,genomad&amp;highlight=","Open JBrowse")</f>
        <v>Open JBrowse</v>
      </c>
      <c r="H39">
        <v>226590</v>
      </c>
      <c r="I39">
        <v>227435</v>
      </c>
      <c r="J39" t="s">
        <v>2450</v>
      </c>
      <c r="K39" t="s">
        <v>59</v>
      </c>
      <c r="L39" t="s">
        <v>2451</v>
      </c>
      <c r="M39" t="s">
        <v>2452</v>
      </c>
      <c r="N39" t="s">
        <v>42</v>
      </c>
      <c r="O39">
        <v>3</v>
      </c>
      <c r="P39" t="s">
        <v>42</v>
      </c>
      <c r="Q39" t="s">
        <v>59</v>
      </c>
      <c r="R39" t="s">
        <v>2443</v>
      </c>
      <c r="S39" t="s">
        <v>2451</v>
      </c>
      <c r="T39" t="s">
        <v>42</v>
      </c>
      <c r="U39">
        <v>34</v>
      </c>
      <c r="V39">
        <v>278</v>
      </c>
      <c r="W39">
        <v>245</v>
      </c>
      <c r="X39" t="s">
        <v>2453</v>
      </c>
    </row>
    <row r="40" spans="1:34" x14ac:dyDescent="0.75">
      <c r="A40" s="22" t="s">
        <v>6047</v>
      </c>
      <c r="B40" t="s">
        <v>2436</v>
      </c>
      <c r="C40" t="s">
        <v>144</v>
      </c>
      <c r="D40" t="s">
        <v>2437</v>
      </c>
      <c r="E40" t="s">
        <v>2438</v>
      </c>
      <c r="F40" t="s">
        <v>2454</v>
      </c>
      <c r="G40" s="1" t="str">
        <f>HYPERLINK("https://homd.org/jbrowse/?data=homd_V11.02_phage_1.2%2FGCA_007991655.1&amp;loc=GCA_007991655.1%7CBJYT01000011.1%3A63645..70538&amp;tracks=prokka,prokka_ncrna,ncbi,ncbi_ncrna,panggolin,cenote,genomad&amp;highlight=","Open JBrowse")</f>
        <v>Open JBrowse</v>
      </c>
      <c r="H40">
        <v>66645</v>
      </c>
      <c r="I40">
        <v>67538</v>
      </c>
      <c r="J40" t="s">
        <v>2455</v>
      </c>
      <c r="K40" t="s">
        <v>59</v>
      </c>
      <c r="L40" t="s">
        <v>2456</v>
      </c>
      <c r="M40" t="s">
        <v>2457</v>
      </c>
      <c r="N40" t="s">
        <v>42</v>
      </c>
      <c r="O40">
        <v>3</v>
      </c>
      <c r="P40" t="s">
        <v>42</v>
      </c>
      <c r="Q40" t="s">
        <v>59</v>
      </c>
      <c r="R40" t="s">
        <v>2443</v>
      </c>
      <c r="S40" t="s">
        <v>2456</v>
      </c>
      <c r="T40" t="s">
        <v>42</v>
      </c>
      <c r="U40">
        <v>43</v>
      </c>
      <c r="V40">
        <v>293</v>
      </c>
      <c r="W40">
        <v>251</v>
      </c>
      <c r="X40" t="s">
        <v>2458</v>
      </c>
      <c r="Y40" t="s">
        <v>2459</v>
      </c>
      <c r="Z40" t="s">
        <v>429</v>
      </c>
      <c r="AA40" t="s">
        <v>2460</v>
      </c>
      <c r="AB40" t="s">
        <v>2461</v>
      </c>
      <c r="AC40" t="s">
        <v>316</v>
      </c>
      <c r="AD40" t="s">
        <v>101</v>
      </c>
      <c r="AE40">
        <v>510</v>
      </c>
      <c r="AF40" t="s">
        <v>102</v>
      </c>
    </row>
    <row r="41" spans="1:34" x14ac:dyDescent="0.75">
      <c r="A41" s="22" t="s">
        <v>6047</v>
      </c>
      <c r="B41" t="s">
        <v>2436</v>
      </c>
      <c r="C41" t="s">
        <v>144</v>
      </c>
      <c r="D41" t="s">
        <v>2437</v>
      </c>
      <c r="E41" t="s">
        <v>2438</v>
      </c>
      <c r="F41" t="s">
        <v>2462</v>
      </c>
      <c r="G41" s="1" t="str">
        <f>HYPERLINK("https://homd.org/jbrowse/?data=homd_V11.02_phage_1.2%2FGCA_007991655.1&amp;loc=GCA_007991655.1%7CBJYT01000013.1%3A76309..83457&amp;tracks=prokka,prokka_ncrna,ncbi,ncbi_ncrna,panggolin,cenote,genomad&amp;highlight=","Open JBrowse")</f>
        <v>Open JBrowse</v>
      </c>
      <c r="H41">
        <v>79309</v>
      </c>
      <c r="I41">
        <v>80457</v>
      </c>
      <c r="J41" t="s">
        <v>2463</v>
      </c>
      <c r="K41" t="s">
        <v>490</v>
      </c>
      <c r="L41" t="s">
        <v>2464</v>
      </c>
      <c r="M41" t="s">
        <v>2465</v>
      </c>
      <c r="N41" t="s">
        <v>42</v>
      </c>
      <c r="O41">
        <v>3</v>
      </c>
      <c r="P41" t="s">
        <v>42</v>
      </c>
      <c r="Q41" t="s">
        <v>101</v>
      </c>
      <c r="R41" t="s">
        <v>2443</v>
      </c>
      <c r="S41" t="s">
        <v>2464</v>
      </c>
      <c r="T41" t="s">
        <v>42</v>
      </c>
      <c r="U41">
        <v>150</v>
      </c>
      <c r="V41">
        <v>380</v>
      </c>
      <c r="W41">
        <v>231</v>
      </c>
      <c r="X41" t="s">
        <v>210</v>
      </c>
    </row>
    <row r="42" spans="1:34" x14ac:dyDescent="0.75">
      <c r="A42" s="22" t="s">
        <v>6047</v>
      </c>
      <c r="B42" t="s">
        <v>2436</v>
      </c>
      <c r="C42" t="s">
        <v>144</v>
      </c>
      <c r="D42" t="s">
        <v>2437</v>
      </c>
      <c r="E42" t="s">
        <v>2438</v>
      </c>
      <c r="F42" t="s">
        <v>2466</v>
      </c>
      <c r="G42" s="1" t="str">
        <f>HYPERLINK("https://homd.org/jbrowse/?data=homd_V11.02_phage_1.2%2FGCA_007991655.1&amp;loc=GCA_007991655.1%7CBJYT01000018.1%3A76875..83732&amp;tracks=prokka,prokka_ncrna,ncbi,ncbi_ncrna,panggolin,cenote,genomad&amp;highlight=","Open JBrowse")</f>
        <v>Open JBrowse</v>
      </c>
      <c r="H42">
        <v>79875</v>
      </c>
      <c r="I42">
        <v>80732</v>
      </c>
      <c r="J42" t="s">
        <v>2467</v>
      </c>
      <c r="K42" t="s">
        <v>59</v>
      </c>
      <c r="L42" t="s">
        <v>2468</v>
      </c>
      <c r="M42" t="s">
        <v>2469</v>
      </c>
      <c r="N42" t="s">
        <v>42</v>
      </c>
      <c r="O42">
        <v>3</v>
      </c>
      <c r="P42" t="s">
        <v>42</v>
      </c>
      <c r="Q42" t="s">
        <v>59</v>
      </c>
      <c r="R42" t="s">
        <v>2443</v>
      </c>
      <c r="S42" t="s">
        <v>2468</v>
      </c>
      <c r="T42" t="s">
        <v>42</v>
      </c>
      <c r="U42">
        <v>40</v>
      </c>
      <c r="V42">
        <v>282</v>
      </c>
      <c r="W42">
        <v>243</v>
      </c>
      <c r="X42" t="s">
        <v>1976</v>
      </c>
      <c r="Y42" t="s">
        <v>2470</v>
      </c>
      <c r="Z42" t="s">
        <v>2471</v>
      </c>
      <c r="AA42" t="s">
        <v>2472</v>
      </c>
    </row>
    <row r="43" spans="1:34" x14ac:dyDescent="0.75">
      <c r="A43" s="22" t="s">
        <v>6047</v>
      </c>
      <c r="B43" t="s">
        <v>2513</v>
      </c>
      <c r="C43" t="s">
        <v>144</v>
      </c>
      <c r="D43" t="s">
        <v>486</v>
      </c>
      <c r="E43" t="s">
        <v>487</v>
      </c>
      <c r="F43" t="s">
        <v>2514</v>
      </c>
      <c r="G43" s="1" t="str">
        <f>HYPERLINK("https://homd.org/jbrowse/?data=homd_V11.02_phage_1.2%2FGCA_009377295.1&amp;loc=GCA_009377295.1%7CVXLF01000004.1%3A185284..192516&amp;tracks=prokka,prokka_ncrna,ncbi,ncbi_ncrna,panggolin,cenote,genomad&amp;highlight=","Open JBrowse")</f>
        <v>Open JBrowse</v>
      </c>
      <c r="H43">
        <v>188284</v>
      </c>
      <c r="I43">
        <v>189516</v>
      </c>
      <c r="J43" t="s">
        <v>2515</v>
      </c>
      <c r="K43" t="s">
        <v>202</v>
      </c>
      <c r="L43" t="s">
        <v>1217</v>
      </c>
      <c r="M43" t="s">
        <v>1218</v>
      </c>
      <c r="N43" t="s">
        <v>205</v>
      </c>
      <c r="O43">
        <v>3</v>
      </c>
      <c r="P43" t="s">
        <v>206</v>
      </c>
      <c r="Q43" t="s">
        <v>207</v>
      </c>
      <c r="R43" t="s">
        <v>2516</v>
      </c>
      <c r="S43" t="s">
        <v>491</v>
      </c>
      <c r="T43" t="s">
        <v>42</v>
      </c>
      <c r="U43">
        <v>34</v>
      </c>
      <c r="V43">
        <v>259</v>
      </c>
      <c r="W43">
        <v>226</v>
      </c>
      <c r="X43" t="s">
        <v>210</v>
      </c>
    </row>
    <row r="44" spans="1:34" x14ac:dyDescent="0.75">
      <c r="A44" s="22" t="s">
        <v>6047</v>
      </c>
      <c r="B44" t="s">
        <v>2513</v>
      </c>
      <c r="C44" t="s">
        <v>144</v>
      </c>
      <c r="D44" t="s">
        <v>486</v>
      </c>
      <c r="E44" t="s">
        <v>487</v>
      </c>
      <c r="F44" t="s">
        <v>2517</v>
      </c>
      <c r="G44" s="1" t="str">
        <f>HYPERLINK("https://homd.org/jbrowse/?data=homd_V11.02_phage_1.2%2FGCA_009377295.1&amp;loc=GCA_009377295.1%7CVXLF01000005.1%3A158337..166964&amp;tracks=prokka,prokka_ncrna,ncbi,ncbi_ncrna,panggolin,cenote,genomad&amp;highlight=","Open JBrowse")</f>
        <v>Open JBrowse</v>
      </c>
      <c r="H44">
        <v>161337</v>
      </c>
      <c r="I44">
        <v>163964</v>
      </c>
      <c r="J44" t="s">
        <v>2518</v>
      </c>
      <c r="K44" t="s">
        <v>213</v>
      </c>
      <c r="L44" t="s">
        <v>1205</v>
      </c>
      <c r="M44" t="s">
        <v>1708</v>
      </c>
      <c r="N44" t="s">
        <v>216</v>
      </c>
      <c r="O44">
        <v>3</v>
      </c>
      <c r="P44" t="s">
        <v>217</v>
      </c>
      <c r="Q44" t="s">
        <v>101</v>
      </c>
      <c r="R44" t="s">
        <v>2516</v>
      </c>
      <c r="S44" t="s">
        <v>1208</v>
      </c>
      <c r="T44" t="s">
        <v>42</v>
      </c>
      <c r="U44">
        <v>430</v>
      </c>
      <c r="V44">
        <v>682</v>
      </c>
      <c r="W44">
        <v>253</v>
      </c>
      <c r="X44" t="s">
        <v>219</v>
      </c>
      <c r="Y44" t="s">
        <v>2519</v>
      </c>
      <c r="Z44" t="s">
        <v>1612</v>
      </c>
      <c r="AA44" t="s">
        <v>2520</v>
      </c>
      <c r="AB44" t="s">
        <v>2521</v>
      </c>
      <c r="AC44" t="s">
        <v>1212</v>
      </c>
      <c r="AD44" t="s">
        <v>1213</v>
      </c>
      <c r="AE44">
        <v>209.5</v>
      </c>
      <c r="AF44" t="s">
        <v>2522</v>
      </c>
    </row>
    <row r="45" spans="1:34" x14ac:dyDescent="0.75">
      <c r="A45" s="22" t="s">
        <v>6047</v>
      </c>
      <c r="B45" t="s">
        <v>2590</v>
      </c>
      <c r="C45" t="s">
        <v>144</v>
      </c>
      <c r="D45" t="s">
        <v>2591</v>
      </c>
      <c r="E45" t="s">
        <v>2592</v>
      </c>
      <c r="F45" t="s">
        <v>2593</v>
      </c>
      <c r="G45" s="1" t="str">
        <f>HYPERLINK("https://homd.org/jbrowse/?data=homd_V11.02_phage_1.2%2FGCA_009828055.1&amp;loc=GCA_009828055.1%7CWTYB01000002.1%3A1067136..1074113&amp;tracks=prokka,prokka_ncrna,ncbi,ncbi_ncrna,panggolin,cenote,genomad&amp;highlight=","Open JBrowse")</f>
        <v>Open JBrowse</v>
      </c>
      <c r="H45">
        <v>1070136</v>
      </c>
      <c r="I45">
        <v>1071113</v>
      </c>
      <c r="J45" t="s">
        <v>2594</v>
      </c>
      <c r="K45" t="s">
        <v>59</v>
      </c>
      <c r="L45" t="s">
        <v>2595</v>
      </c>
      <c r="M45" t="s">
        <v>2596</v>
      </c>
      <c r="N45" t="s">
        <v>42</v>
      </c>
      <c r="O45">
        <v>3</v>
      </c>
      <c r="P45" t="s">
        <v>42</v>
      </c>
      <c r="Q45" t="s">
        <v>59</v>
      </c>
      <c r="R45" t="s">
        <v>2597</v>
      </c>
      <c r="S45" t="s">
        <v>2595</v>
      </c>
      <c r="T45" t="s">
        <v>42</v>
      </c>
      <c r="U45">
        <v>42</v>
      </c>
      <c r="V45">
        <v>311</v>
      </c>
      <c r="W45">
        <v>270</v>
      </c>
      <c r="X45" t="s">
        <v>1720</v>
      </c>
      <c r="Y45" t="s">
        <v>2598</v>
      </c>
      <c r="Z45" t="s">
        <v>1327</v>
      </c>
      <c r="AA45" t="s">
        <v>2599</v>
      </c>
      <c r="AB45" t="s">
        <v>2600</v>
      </c>
      <c r="AC45" t="s">
        <v>1724</v>
      </c>
      <c r="AD45" t="s">
        <v>101</v>
      </c>
      <c r="AE45">
        <v>930</v>
      </c>
      <c r="AF45" t="s">
        <v>1725</v>
      </c>
    </row>
    <row r="46" spans="1:34" x14ac:dyDescent="0.75">
      <c r="A46" s="22" t="s">
        <v>6047</v>
      </c>
      <c r="B46" t="s">
        <v>2859</v>
      </c>
      <c r="C46" t="s">
        <v>144</v>
      </c>
      <c r="D46" t="s">
        <v>2591</v>
      </c>
      <c r="E46" t="s">
        <v>2592</v>
      </c>
      <c r="F46" t="s">
        <v>2860</v>
      </c>
      <c r="G46" s="1" t="str">
        <f>HYPERLINK("https://homd.org/jbrowse/?data=homd_V11.02_phage_1.2%2FGCA_014195675.1&amp;loc=GCA_014195675.1%7CJACICE010000002.1%3A240072..247049&amp;tracks=prokka,prokka_ncrna,ncbi,ncbi_ncrna,panggolin,cenote,genomad&amp;highlight=","Open JBrowse")</f>
        <v>Open JBrowse</v>
      </c>
      <c r="H46">
        <v>243072</v>
      </c>
      <c r="I46">
        <v>244049</v>
      </c>
      <c r="J46" t="s">
        <v>2861</v>
      </c>
      <c r="K46" t="s">
        <v>59</v>
      </c>
      <c r="L46" t="s">
        <v>2595</v>
      </c>
      <c r="M46" t="s">
        <v>2596</v>
      </c>
      <c r="N46" t="s">
        <v>42</v>
      </c>
      <c r="O46">
        <v>3</v>
      </c>
      <c r="P46" t="s">
        <v>42</v>
      </c>
      <c r="Q46" t="s">
        <v>59</v>
      </c>
      <c r="R46" t="s">
        <v>2862</v>
      </c>
      <c r="S46" t="s">
        <v>2595</v>
      </c>
      <c r="T46" t="s">
        <v>42</v>
      </c>
      <c r="U46">
        <v>42</v>
      </c>
      <c r="V46">
        <v>311</v>
      </c>
      <c r="W46">
        <v>270</v>
      </c>
      <c r="X46" t="s">
        <v>1720</v>
      </c>
      <c r="Y46" t="s">
        <v>2863</v>
      </c>
      <c r="Z46" t="s">
        <v>292</v>
      </c>
      <c r="AA46" t="s">
        <v>2864</v>
      </c>
      <c r="AB46" t="s">
        <v>2865</v>
      </c>
      <c r="AC46" t="s">
        <v>1724</v>
      </c>
      <c r="AD46" t="s">
        <v>101</v>
      </c>
      <c r="AE46">
        <v>930</v>
      </c>
      <c r="AF46" t="s">
        <v>1725</v>
      </c>
    </row>
    <row r="47" spans="1:34" x14ac:dyDescent="0.75">
      <c r="A47" s="22" t="s">
        <v>6047</v>
      </c>
      <c r="B47" t="s">
        <v>2888</v>
      </c>
      <c r="C47" t="s">
        <v>144</v>
      </c>
      <c r="D47" t="s">
        <v>1805</v>
      </c>
      <c r="E47" t="s">
        <v>1806</v>
      </c>
      <c r="F47" t="s">
        <v>2889</v>
      </c>
      <c r="G47" s="1" t="str">
        <f>HYPERLINK("https://homd.org/jbrowse/?data=homd_V11.02_phage_1.2%2FGCA_014338545.1&amp;loc=GCA_014338545.1%7CCP031128.1%3A4487297..4494139&amp;tracks=prokka,prokka_ncrna,ncbi,ncbi_ncrna,panggolin,cenote,genomad&amp;highlight=","Open JBrowse")</f>
        <v>Open JBrowse</v>
      </c>
      <c r="H47">
        <v>4490297</v>
      </c>
      <c r="I47">
        <v>4491139</v>
      </c>
      <c r="J47" t="s">
        <v>2890</v>
      </c>
      <c r="K47" t="s">
        <v>375</v>
      </c>
      <c r="L47" t="s">
        <v>1809</v>
      </c>
      <c r="M47" t="s">
        <v>1810</v>
      </c>
      <c r="N47" t="s">
        <v>42</v>
      </c>
      <c r="O47">
        <v>3</v>
      </c>
      <c r="P47" t="s">
        <v>42</v>
      </c>
      <c r="Q47" t="s">
        <v>101</v>
      </c>
      <c r="R47" t="s">
        <v>2891</v>
      </c>
      <c r="S47" t="s">
        <v>1809</v>
      </c>
      <c r="T47" t="s">
        <v>42</v>
      </c>
      <c r="U47">
        <v>38</v>
      </c>
      <c r="V47">
        <v>278</v>
      </c>
      <c r="W47">
        <v>241</v>
      </c>
      <c r="X47" t="s">
        <v>379</v>
      </c>
    </row>
    <row r="48" spans="1:34" x14ac:dyDescent="0.75">
      <c r="A48" s="22" t="s">
        <v>6047</v>
      </c>
      <c r="B48" t="s">
        <v>2899</v>
      </c>
      <c r="C48" t="s">
        <v>144</v>
      </c>
      <c r="D48" t="s">
        <v>1666</v>
      </c>
      <c r="E48" t="s">
        <v>1667</v>
      </c>
      <c r="F48" t="s">
        <v>2900</v>
      </c>
      <c r="G48" s="1" t="str">
        <f>HYPERLINK("https://homd.org/jbrowse/?data=homd_V11.02_phage_1.2%2FGCA_014883915.1&amp;loc=GCA_014883915.1%7CCP062789.1%3A234624..242741&amp;tracks=prokka,prokka_ncrna,ncbi,ncbi_ncrna,panggolin,cenote,genomad&amp;highlight=","Open JBrowse")</f>
        <v>Open JBrowse</v>
      </c>
      <c r="H48">
        <v>237624</v>
      </c>
      <c r="I48">
        <v>239741</v>
      </c>
      <c r="J48" t="s">
        <v>2901</v>
      </c>
      <c r="K48" t="s">
        <v>59</v>
      </c>
      <c r="L48" t="s">
        <v>59</v>
      </c>
      <c r="M48" t="s">
        <v>59</v>
      </c>
      <c r="N48" t="s">
        <v>42</v>
      </c>
      <c r="O48">
        <v>1</v>
      </c>
      <c r="P48" t="s">
        <v>59</v>
      </c>
      <c r="Q48" t="s">
        <v>59</v>
      </c>
      <c r="R48" t="s">
        <v>2902</v>
      </c>
      <c r="T48" t="s">
        <v>42</v>
      </c>
      <c r="X48" t="s">
        <v>59</v>
      </c>
      <c r="Y48" t="s">
        <v>2903</v>
      </c>
      <c r="Z48" t="s">
        <v>47</v>
      </c>
      <c r="AA48" t="s">
        <v>2904</v>
      </c>
    </row>
    <row r="49" spans="1:34" x14ac:dyDescent="0.75">
      <c r="A49" s="22" t="s">
        <v>6047</v>
      </c>
      <c r="B49" t="s">
        <v>3152</v>
      </c>
      <c r="C49" t="s">
        <v>144</v>
      </c>
      <c r="D49" t="s">
        <v>145</v>
      </c>
      <c r="E49" t="s">
        <v>146</v>
      </c>
      <c r="F49" t="s">
        <v>3153</v>
      </c>
      <c r="G49" s="1" t="str">
        <f>HYPERLINK("https://homd.org/jbrowse/?data=homd_V11.02_phage_1.2%2FGCA_016127495.1&amp;loc=GCA_016127495.1%7CCP066015.1%3A2304780..2312936&amp;tracks=prokka,prokka_ncrna,ncbi,ncbi_ncrna,panggolin,cenote,genomad&amp;highlight=","Open JBrowse")</f>
        <v>Open JBrowse</v>
      </c>
      <c r="H49">
        <v>2307780</v>
      </c>
      <c r="I49">
        <v>2309936</v>
      </c>
      <c r="J49" t="s">
        <v>3154</v>
      </c>
      <c r="K49" t="s">
        <v>59</v>
      </c>
      <c r="L49" t="s">
        <v>59</v>
      </c>
      <c r="M49" t="s">
        <v>59</v>
      </c>
      <c r="N49" t="s">
        <v>42</v>
      </c>
      <c r="O49">
        <v>1</v>
      </c>
      <c r="P49" t="s">
        <v>59</v>
      </c>
      <c r="Q49" t="s">
        <v>59</v>
      </c>
      <c r="R49" t="s">
        <v>3155</v>
      </c>
      <c r="T49" t="s">
        <v>42</v>
      </c>
      <c r="X49" t="s">
        <v>59</v>
      </c>
      <c r="Y49" t="s">
        <v>3156</v>
      </c>
      <c r="Z49" t="s">
        <v>904</v>
      </c>
      <c r="AA49" t="s">
        <v>3157</v>
      </c>
    </row>
    <row r="50" spans="1:34" x14ac:dyDescent="0.75">
      <c r="A50" s="22" t="s">
        <v>6047</v>
      </c>
      <c r="B50" t="s">
        <v>3267</v>
      </c>
      <c r="C50" t="s">
        <v>144</v>
      </c>
      <c r="D50" t="s">
        <v>145</v>
      </c>
      <c r="E50" t="s">
        <v>146</v>
      </c>
      <c r="F50" t="s">
        <v>3268</v>
      </c>
      <c r="G50" s="1" t="str">
        <f>HYPERLINK("https://homd.org/jbrowse/?data=homd_V11.02_phage_1.2%2FGCA_016889285.1&amp;loc=GCA_016889285.1%7CCP069495.1%3A2263390..2271558&amp;tracks=prokka,prokka_ncrna,ncbi,ncbi_ncrna,panggolin,cenote,genomad&amp;highlight=","Open JBrowse")</f>
        <v>Open JBrowse</v>
      </c>
      <c r="H50">
        <v>2266390</v>
      </c>
      <c r="I50">
        <v>2268558</v>
      </c>
      <c r="J50" t="s">
        <v>3269</v>
      </c>
      <c r="K50" t="s">
        <v>59</v>
      </c>
      <c r="L50" t="s">
        <v>59</v>
      </c>
      <c r="M50" t="s">
        <v>59</v>
      </c>
      <c r="N50" t="s">
        <v>42</v>
      </c>
      <c r="O50">
        <v>1</v>
      </c>
      <c r="P50" t="s">
        <v>59</v>
      </c>
      <c r="Q50" t="s">
        <v>59</v>
      </c>
      <c r="R50" t="s">
        <v>3270</v>
      </c>
      <c r="T50" t="s">
        <v>42</v>
      </c>
      <c r="X50" t="s">
        <v>59</v>
      </c>
      <c r="Y50" t="s">
        <v>3271</v>
      </c>
      <c r="Z50" t="s">
        <v>620</v>
      </c>
      <c r="AA50" t="s">
        <v>151</v>
      </c>
    </row>
    <row r="51" spans="1:34" x14ac:dyDescent="0.75">
      <c r="A51" s="22" t="s">
        <v>6047</v>
      </c>
      <c r="B51" t="s">
        <v>3603</v>
      </c>
      <c r="C51" t="s">
        <v>144</v>
      </c>
      <c r="D51" t="s">
        <v>765</v>
      </c>
      <c r="E51" t="s">
        <v>766</v>
      </c>
      <c r="F51" t="s">
        <v>3604</v>
      </c>
      <c r="G51" s="1" t="str">
        <f>HYPERLINK("https://homd.org/jbrowse/?data=homd_V11.02_phage_1.2%2FGCA_018363015.1&amp;loc=GCA_018363015.1%7CCP074376.1%3A3652296..3660056&amp;tracks=prokka,prokka_ncrna,ncbi,ncbi_ncrna,panggolin,cenote,genomad&amp;highlight=","Open JBrowse")</f>
        <v>Open JBrowse</v>
      </c>
      <c r="H51">
        <v>3655296</v>
      </c>
      <c r="I51">
        <v>3657056</v>
      </c>
      <c r="J51" t="s">
        <v>3605</v>
      </c>
      <c r="K51" t="s">
        <v>59</v>
      </c>
      <c r="L51" t="s">
        <v>3606</v>
      </c>
      <c r="M51" t="s">
        <v>3607</v>
      </c>
      <c r="N51" t="s">
        <v>42</v>
      </c>
      <c r="O51">
        <v>3</v>
      </c>
      <c r="P51" t="s">
        <v>42</v>
      </c>
      <c r="Q51" t="s">
        <v>59</v>
      </c>
      <c r="R51" t="s">
        <v>3608</v>
      </c>
      <c r="S51" t="s">
        <v>3606</v>
      </c>
      <c r="T51" t="s">
        <v>42</v>
      </c>
      <c r="U51">
        <v>330</v>
      </c>
      <c r="V51">
        <v>579</v>
      </c>
      <c r="W51">
        <v>250</v>
      </c>
      <c r="X51" t="s">
        <v>778</v>
      </c>
      <c r="Y51" t="s">
        <v>3609</v>
      </c>
      <c r="Z51" t="s">
        <v>1357</v>
      </c>
      <c r="AA51" t="s">
        <v>1292</v>
      </c>
    </row>
    <row r="52" spans="1:34" x14ac:dyDescent="0.75">
      <c r="A52" s="22" t="s">
        <v>6047</v>
      </c>
      <c r="B52" t="s">
        <v>3603</v>
      </c>
      <c r="C52" t="s">
        <v>144</v>
      </c>
      <c r="D52" t="s">
        <v>765</v>
      </c>
      <c r="E52" t="s">
        <v>766</v>
      </c>
      <c r="F52" t="s">
        <v>3604</v>
      </c>
      <c r="G52" s="1" t="str">
        <f>HYPERLINK("https://homd.org/jbrowse/?data=homd_V11.02_phage_1.2%2FGCA_018363015.1&amp;loc=GCA_018363015.1%7CCP074376.1%3A3723206..3730027&amp;tracks=prokka,prokka_ncrna,ncbi,ncbi_ncrna,panggolin,cenote,genomad&amp;highlight=","Open JBrowse")</f>
        <v>Open JBrowse</v>
      </c>
      <c r="H52">
        <v>3726206</v>
      </c>
      <c r="I52">
        <v>3727027</v>
      </c>
      <c r="J52" t="s">
        <v>3610</v>
      </c>
      <c r="K52" t="s">
        <v>59</v>
      </c>
      <c r="L52" t="s">
        <v>563</v>
      </c>
      <c r="M52" t="s">
        <v>769</v>
      </c>
      <c r="N52" t="s">
        <v>42</v>
      </c>
      <c r="O52">
        <v>3</v>
      </c>
      <c r="P52" t="s">
        <v>42</v>
      </c>
      <c r="Q52" t="s">
        <v>59</v>
      </c>
      <c r="R52" t="s">
        <v>3608</v>
      </c>
      <c r="S52" t="s">
        <v>563</v>
      </c>
      <c r="T52" t="s">
        <v>42</v>
      </c>
      <c r="U52">
        <v>44</v>
      </c>
      <c r="V52">
        <v>270</v>
      </c>
      <c r="W52">
        <v>227</v>
      </c>
      <c r="X52" t="s">
        <v>771</v>
      </c>
      <c r="Y52" t="s">
        <v>3611</v>
      </c>
      <c r="Z52" t="s">
        <v>83</v>
      </c>
      <c r="AA52" t="s">
        <v>2084</v>
      </c>
    </row>
    <row r="53" spans="1:34" x14ac:dyDescent="0.75">
      <c r="A53" s="22" t="s">
        <v>6047</v>
      </c>
      <c r="B53" t="s">
        <v>3837</v>
      </c>
      <c r="C53" t="s">
        <v>144</v>
      </c>
      <c r="D53" t="s">
        <v>3838</v>
      </c>
      <c r="E53" t="s">
        <v>3839</v>
      </c>
      <c r="F53" t="s">
        <v>3840</v>
      </c>
      <c r="G53" s="1" t="str">
        <f>HYPERLINK("https://homd.org/jbrowse/?data=homd_V11.02_phage_1.2%2FGCA_019748915.1&amp;loc=GCA_019748915.1%7CJACLCC010000002.1%3A76985..85618&amp;tracks=prokka,prokka_ncrna,ncbi,ncbi_ncrna,panggolin,cenote,genomad&amp;highlight=","Open JBrowse")</f>
        <v>Open JBrowse</v>
      </c>
      <c r="H53">
        <v>79985</v>
      </c>
      <c r="I53">
        <v>82618</v>
      </c>
      <c r="J53" t="s">
        <v>3841</v>
      </c>
      <c r="K53" t="s">
        <v>213</v>
      </c>
      <c r="L53" t="s">
        <v>3842</v>
      </c>
      <c r="M53" t="s">
        <v>3843</v>
      </c>
      <c r="N53" t="s">
        <v>216</v>
      </c>
      <c r="O53">
        <v>3</v>
      </c>
      <c r="P53" t="s">
        <v>217</v>
      </c>
      <c r="Q53" t="s">
        <v>101</v>
      </c>
      <c r="R53" t="s">
        <v>3844</v>
      </c>
      <c r="S53" t="s">
        <v>3845</v>
      </c>
      <c r="T53" t="s">
        <v>42</v>
      </c>
      <c r="U53">
        <v>429</v>
      </c>
      <c r="V53">
        <v>681</v>
      </c>
      <c r="W53">
        <v>253</v>
      </c>
      <c r="X53" t="s">
        <v>219</v>
      </c>
      <c r="Y53" t="s">
        <v>3846</v>
      </c>
      <c r="Z53" t="s">
        <v>302</v>
      </c>
      <c r="AA53" t="s">
        <v>3847</v>
      </c>
      <c r="AB53" t="s">
        <v>3848</v>
      </c>
      <c r="AC53" t="s">
        <v>3849</v>
      </c>
      <c r="AD53" t="s">
        <v>101</v>
      </c>
      <c r="AE53">
        <v>655</v>
      </c>
      <c r="AF53" t="s">
        <v>3850</v>
      </c>
    </row>
    <row r="54" spans="1:34" x14ac:dyDescent="0.75">
      <c r="A54" s="22" t="s">
        <v>6047</v>
      </c>
      <c r="B54" t="s">
        <v>3837</v>
      </c>
      <c r="C54" t="s">
        <v>144</v>
      </c>
      <c r="D54" t="s">
        <v>3838</v>
      </c>
      <c r="E54" t="s">
        <v>3839</v>
      </c>
      <c r="F54" t="s">
        <v>3840</v>
      </c>
      <c r="G54" s="1" t="str">
        <f>HYPERLINK("https://homd.org/jbrowse/?data=homd_V11.02_phage_1.2%2FGCA_019748915.1&amp;loc=GCA_019748915.1%7CJACLCC010000002.1%3A88319..95062&amp;tracks=prokka,prokka_ncrna,ncbi,ncbi_ncrna,panggolin,cenote,genomad&amp;highlight=","Open JBrowse")</f>
        <v>Open JBrowse</v>
      </c>
      <c r="H54">
        <v>91319</v>
      </c>
      <c r="I54">
        <v>92062</v>
      </c>
      <c r="J54" t="s">
        <v>3851</v>
      </c>
      <c r="K54" t="s">
        <v>59</v>
      </c>
      <c r="L54" t="s">
        <v>3852</v>
      </c>
      <c r="M54" t="s">
        <v>3853</v>
      </c>
      <c r="N54" t="s">
        <v>42</v>
      </c>
      <c r="O54">
        <v>3</v>
      </c>
      <c r="P54" t="s">
        <v>42</v>
      </c>
      <c r="Q54" t="s">
        <v>59</v>
      </c>
      <c r="R54" t="s">
        <v>3844</v>
      </c>
      <c r="S54" t="s">
        <v>3852</v>
      </c>
      <c r="T54" t="s">
        <v>42</v>
      </c>
      <c r="U54">
        <v>6</v>
      </c>
      <c r="V54">
        <v>240</v>
      </c>
      <c r="W54">
        <v>235</v>
      </c>
      <c r="X54" t="s">
        <v>3854</v>
      </c>
      <c r="Y54" t="s">
        <v>3846</v>
      </c>
      <c r="Z54" t="s">
        <v>302</v>
      </c>
      <c r="AA54" t="s">
        <v>3847</v>
      </c>
      <c r="AB54" t="s">
        <v>3848</v>
      </c>
      <c r="AC54" t="s">
        <v>3849</v>
      </c>
      <c r="AD54" t="s">
        <v>101</v>
      </c>
      <c r="AE54">
        <v>655</v>
      </c>
      <c r="AF54" t="s">
        <v>3850</v>
      </c>
    </row>
    <row r="55" spans="1:34" x14ac:dyDescent="0.75">
      <c r="A55" s="22" t="s">
        <v>6047</v>
      </c>
      <c r="B55" t="s">
        <v>3837</v>
      </c>
      <c r="C55" t="s">
        <v>144</v>
      </c>
      <c r="D55" t="s">
        <v>3838</v>
      </c>
      <c r="E55" t="s">
        <v>3839</v>
      </c>
      <c r="F55" t="s">
        <v>3855</v>
      </c>
      <c r="G55" s="1" t="str">
        <f>HYPERLINK("https://homd.org/jbrowse/?data=homd_V11.02_phage_1.2%2FGCA_019748915.1&amp;loc=GCA_019748915.1%7CJACLCC010000022.1%3A81288..91814&amp;tracks=prokka,prokka_ncrna,ncbi,ncbi_ncrna,panggolin,cenote,genomad&amp;highlight=","Open JBrowse")</f>
        <v>Open JBrowse</v>
      </c>
      <c r="H55">
        <v>84288</v>
      </c>
      <c r="I55">
        <v>88814</v>
      </c>
      <c r="J55" t="s">
        <v>3856</v>
      </c>
      <c r="K55" t="s">
        <v>3857</v>
      </c>
      <c r="L55" t="s">
        <v>3858</v>
      </c>
      <c r="M55" t="s">
        <v>3859</v>
      </c>
      <c r="N55" t="s">
        <v>3860</v>
      </c>
      <c r="O55">
        <v>3</v>
      </c>
      <c r="P55" t="s">
        <v>3861</v>
      </c>
      <c r="Q55" t="s">
        <v>3862</v>
      </c>
      <c r="R55" t="s">
        <v>3844</v>
      </c>
      <c r="S55" t="s">
        <v>3863</v>
      </c>
      <c r="T55" t="s">
        <v>42</v>
      </c>
      <c r="U55">
        <v>448</v>
      </c>
      <c r="V55">
        <v>695</v>
      </c>
      <c r="W55">
        <v>248</v>
      </c>
      <c r="X55" t="s">
        <v>3864</v>
      </c>
      <c r="Y55" t="s">
        <v>3865</v>
      </c>
      <c r="Z55" t="s">
        <v>3866</v>
      </c>
      <c r="AA55" t="s">
        <v>3867</v>
      </c>
      <c r="AB55" t="s">
        <v>3868</v>
      </c>
      <c r="AC55" t="s">
        <v>3849</v>
      </c>
      <c r="AD55" t="s">
        <v>101</v>
      </c>
      <c r="AE55">
        <v>2767</v>
      </c>
      <c r="AF55" t="s">
        <v>3869</v>
      </c>
      <c r="AG55" t="s">
        <v>51</v>
      </c>
      <c r="AH55">
        <v>4</v>
      </c>
    </row>
    <row r="56" spans="1:34" x14ac:dyDescent="0.75">
      <c r="A56" s="22" t="s">
        <v>6047</v>
      </c>
      <c r="B56" t="s">
        <v>3837</v>
      </c>
      <c r="C56" t="s">
        <v>144</v>
      </c>
      <c r="D56" t="s">
        <v>3838</v>
      </c>
      <c r="E56" t="s">
        <v>3839</v>
      </c>
      <c r="F56" t="s">
        <v>3870</v>
      </c>
      <c r="G56" s="1" t="str">
        <f>HYPERLINK("https://homd.org/jbrowse/?data=homd_V11.02_phage_1.2%2FGCA_019748915.1&amp;loc=GCA_019748915.1%7CJACLCC010000024.1%3A1..9422&amp;tracks=prokka,prokka_ncrna,ncbi,ncbi_ncrna,panggolin,cenote,genomad&amp;highlight=","Open JBrowse")</f>
        <v>Open JBrowse</v>
      </c>
      <c r="H56">
        <v>1431</v>
      </c>
      <c r="I56">
        <v>6422</v>
      </c>
      <c r="J56" t="s">
        <v>3871</v>
      </c>
      <c r="K56" t="s">
        <v>3872</v>
      </c>
      <c r="L56" t="s">
        <v>3873</v>
      </c>
      <c r="M56" t="s">
        <v>3874</v>
      </c>
      <c r="N56" t="s">
        <v>3875</v>
      </c>
      <c r="O56">
        <v>3</v>
      </c>
      <c r="P56" t="s">
        <v>3876</v>
      </c>
      <c r="Q56" t="s">
        <v>3862</v>
      </c>
      <c r="R56" t="s">
        <v>3844</v>
      </c>
      <c r="S56" t="s">
        <v>3877</v>
      </c>
      <c r="T56" t="s">
        <v>42</v>
      </c>
      <c r="U56">
        <v>504</v>
      </c>
      <c r="V56">
        <v>747</v>
      </c>
      <c r="W56">
        <v>244</v>
      </c>
      <c r="X56" t="s">
        <v>3878</v>
      </c>
      <c r="Y56" t="s">
        <v>3879</v>
      </c>
      <c r="Z56" t="s">
        <v>3880</v>
      </c>
      <c r="AA56" t="s">
        <v>3881</v>
      </c>
    </row>
    <row r="57" spans="1:34" x14ac:dyDescent="0.75">
      <c r="A57" s="22" t="s">
        <v>6047</v>
      </c>
      <c r="B57" t="s">
        <v>3837</v>
      </c>
      <c r="C57" t="s">
        <v>144</v>
      </c>
      <c r="D57" t="s">
        <v>3838</v>
      </c>
      <c r="E57" t="s">
        <v>3839</v>
      </c>
      <c r="F57" t="s">
        <v>3882</v>
      </c>
      <c r="G57" s="1" t="str">
        <f>HYPERLINK("https://homd.org/jbrowse/?data=homd_V11.02_phage_1.2%2FGCA_019748915.1&amp;loc=GCA_019748915.1%7CJACLCC010000027.1%3A83733..90971&amp;tracks=prokka,prokka_ncrna,ncbi,ncbi_ncrna,panggolin,cenote,genomad&amp;highlight=","Open JBrowse")</f>
        <v>Open JBrowse</v>
      </c>
      <c r="H57">
        <v>86733</v>
      </c>
      <c r="I57">
        <v>87971</v>
      </c>
      <c r="J57" t="s">
        <v>3883</v>
      </c>
      <c r="K57" t="s">
        <v>202</v>
      </c>
      <c r="L57" t="s">
        <v>3884</v>
      </c>
      <c r="M57" t="s">
        <v>3885</v>
      </c>
      <c r="N57" t="s">
        <v>205</v>
      </c>
      <c r="O57">
        <v>3</v>
      </c>
      <c r="P57" t="s">
        <v>206</v>
      </c>
      <c r="Q57" t="s">
        <v>207</v>
      </c>
      <c r="R57" t="s">
        <v>3844</v>
      </c>
      <c r="S57" t="s">
        <v>3886</v>
      </c>
      <c r="T57" t="s">
        <v>42</v>
      </c>
      <c r="U57">
        <v>36</v>
      </c>
      <c r="V57">
        <v>261</v>
      </c>
      <c r="W57">
        <v>226</v>
      </c>
      <c r="X57" t="s">
        <v>210</v>
      </c>
      <c r="Y57" t="s">
        <v>3887</v>
      </c>
      <c r="Z57" t="s">
        <v>3888</v>
      </c>
      <c r="AA57" t="s">
        <v>3889</v>
      </c>
      <c r="AB57" t="s">
        <v>3890</v>
      </c>
      <c r="AC57" t="s">
        <v>3891</v>
      </c>
      <c r="AD57" t="s">
        <v>3892</v>
      </c>
      <c r="AE57">
        <v>949.2</v>
      </c>
      <c r="AF57" t="s">
        <v>3893</v>
      </c>
    </row>
    <row r="58" spans="1:34" x14ac:dyDescent="0.75">
      <c r="A58" s="22" t="s">
        <v>6047</v>
      </c>
      <c r="B58" t="s">
        <v>4760</v>
      </c>
      <c r="C58" t="s">
        <v>144</v>
      </c>
      <c r="D58" t="s">
        <v>198</v>
      </c>
      <c r="E58" t="s">
        <v>199</v>
      </c>
      <c r="F58" t="s">
        <v>4761</v>
      </c>
      <c r="G58" s="1" t="str">
        <f>HYPERLINK("https://homd.org/jbrowse/?data=homd_V11.02_phage_1.2%2FGCA_025151705.1&amp;loc=GCA_025151705.1%7CJALXVO010000010.1%3A72135..80447&amp;tracks=prokka,prokka_ncrna,ncbi,ncbi_ncrna,panggolin,cenote,genomad&amp;highlight=","Open JBrowse")</f>
        <v>Open JBrowse</v>
      </c>
      <c r="H58">
        <v>75135</v>
      </c>
      <c r="I58">
        <v>77447</v>
      </c>
      <c r="J58" t="s">
        <v>4762</v>
      </c>
      <c r="K58" t="s">
        <v>213</v>
      </c>
      <c r="L58" t="s">
        <v>4763</v>
      </c>
      <c r="M58" t="s">
        <v>4764</v>
      </c>
      <c r="N58" t="s">
        <v>216</v>
      </c>
      <c r="O58">
        <v>3</v>
      </c>
      <c r="P58" t="s">
        <v>217</v>
      </c>
      <c r="Q58" t="s">
        <v>101</v>
      </c>
      <c r="R58" t="s">
        <v>4765</v>
      </c>
      <c r="S58" t="s">
        <v>4766</v>
      </c>
      <c r="T58" t="s">
        <v>42</v>
      </c>
      <c r="U58">
        <v>404</v>
      </c>
      <c r="V58">
        <v>656</v>
      </c>
      <c r="W58">
        <v>253</v>
      </c>
      <c r="X58" t="s">
        <v>219</v>
      </c>
      <c r="Y58" t="s">
        <v>4767</v>
      </c>
      <c r="Z58" t="s">
        <v>667</v>
      </c>
      <c r="AA58" t="s">
        <v>4768</v>
      </c>
    </row>
    <row r="59" spans="1:34" x14ac:dyDescent="0.75">
      <c r="A59" s="22" t="s">
        <v>6047</v>
      </c>
      <c r="B59" t="s">
        <v>4760</v>
      </c>
      <c r="C59" t="s">
        <v>144</v>
      </c>
      <c r="D59" t="s">
        <v>198</v>
      </c>
      <c r="E59" t="s">
        <v>199</v>
      </c>
      <c r="F59" t="s">
        <v>4769</v>
      </c>
      <c r="G59" s="1" t="str">
        <f>HYPERLINK("https://homd.org/jbrowse/?data=homd_V11.02_phage_1.2%2FGCA_025151705.1&amp;loc=GCA_025151705.1%7CJALXVO010000038.1%3A4478..11728&amp;tracks=prokka,prokka_ncrna,ncbi,ncbi_ncrna,panggolin,cenote,genomad&amp;highlight=","Open JBrowse")</f>
        <v>Open JBrowse</v>
      </c>
      <c r="H59">
        <v>7478</v>
      </c>
      <c r="I59">
        <v>8728</v>
      </c>
      <c r="J59" t="s">
        <v>4770</v>
      </c>
      <c r="K59" t="s">
        <v>202</v>
      </c>
      <c r="L59" t="s">
        <v>203</v>
      </c>
      <c r="M59" t="s">
        <v>204</v>
      </c>
      <c r="N59" t="s">
        <v>205</v>
      </c>
      <c r="O59">
        <v>3</v>
      </c>
      <c r="P59" t="s">
        <v>206</v>
      </c>
      <c r="Q59" t="s">
        <v>207</v>
      </c>
      <c r="R59" t="s">
        <v>4765</v>
      </c>
      <c r="S59" t="s">
        <v>209</v>
      </c>
      <c r="T59" t="s">
        <v>42</v>
      </c>
      <c r="U59">
        <v>38</v>
      </c>
      <c r="V59">
        <v>263</v>
      </c>
      <c r="W59">
        <v>226</v>
      </c>
      <c r="X59" t="s">
        <v>210</v>
      </c>
    </row>
    <row r="60" spans="1:34" x14ac:dyDescent="0.75">
      <c r="A60" s="22" t="s">
        <v>6047</v>
      </c>
      <c r="B60" t="s">
        <v>4807</v>
      </c>
      <c r="C60" t="s">
        <v>144</v>
      </c>
      <c r="D60" t="s">
        <v>765</v>
      </c>
      <c r="E60" t="s">
        <v>766</v>
      </c>
      <c r="F60" t="s">
        <v>4808</v>
      </c>
      <c r="G60" s="1" t="str">
        <f>HYPERLINK("https://homd.org/jbrowse/?data=homd_V11.02_phage_1.2%2FGCA_027627515.1&amp;loc=GCA_027627515.1%7CCP115466.1%3A5326675..5333496&amp;tracks=prokka,prokka_ncrna,ncbi,ncbi_ncrna,panggolin,cenote,genomad&amp;highlight=","Open JBrowse")</f>
        <v>Open JBrowse</v>
      </c>
      <c r="H60">
        <v>5329675</v>
      </c>
      <c r="I60">
        <v>5330496</v>
      </c>
      <c r="J60" t="s">
        <v>4809</v>
      </c>
      <c r="K60" t="s">
        <v>59</v>
      </c>
      <c r="L60" t="s">
        <v>563</v>
      </c>
      <c r="M60" t="s">
        <v>769</v>
      </c>
      <c r="N60" t="s">
        <v>42</v>
      </c>
      <c r="O60">
        <v>3</v>
      </c>
      <c r="P60" t="s">
        <v>42</v>
      </c>
      <c r="Q60" t="s">
        <v>59</v>
      </c>
      <c r="R60" t="s">
        <v>4810</v>
      </c>
      <c r="S60" t="s">
        <v>563</v>
      </c>
      <c r="T60" t="s">
        <v>42</v>
      </c>
      <c r="U60">
        <v>44</v>
      </c>
      <c r="V60">
        <v>270</v>
      </c>
      <c r="W60">
        <v>227</v>
      </c>
      <c r="X60" t="s">
        <v>771</v>
      </c>
      <c r="Y60" t="s">
        <v>4811</v>
      </c>
      <c r="Z60" t="s">
        <v>65</v>
      </c>
      <c r="AA60" t="s">
        <v>2084</v>
      </c>
    </row>
    <row r="61" spans="1:34" x14ac:dyDescent="0.75">
      <c r="A61" s="22" t="s">
        <v>6047</v>
      </c>
      <c r="B61" t="s">
        <v>4807</v>
      </c>
      <c r="C61" t="s">
        <v>144</v>
      </c>
      <c r="D61" t="s">
        <v>765</v>
      </c>
      <c r="E61" t="s">
        <v>766</v>
      </c>
      <c r="F61" t="s">
        <v>4808</v>
      </c>
      <c r="G61" s="1" t="str">
        <f>HYPERLINK("https://homd.org/jbrowse/?data=homd_V11.02_phage_1.2%2FGCA_027627515.1&amp;loc=GCA_027627515.1%7CCP115466.1%3A921186..928922&amp;tracks=prokka,prokka_ncrna,ncbi,ncbi_ncrna,panggolin,cenote,genomad&amp;highlight=","Open JBrowse")</f>
        <v>Open JBrowse</v>
      </c>
      <c r="H61">
        <v>924186</v>
      </c>
      <c r="I61">
        <v>925922</v>
      </c>
      <c r="J61" t="s">
        <v>4812</v>
      </c>
      <c r="K61" t="s">
        <v>59</v>
      </c>
      <c r="L61" t="s">
        <v>776</v>
      </c>
      <c r="M61" t="s">
        <v>777</v>
      </c>
      <c r="N61" t="s">
        <v>42</v>
      </c>
      <c r="O61">
        <v>3</v>
      </c>
      <c r="P61" t="s">
        <v>42</v>
      </c>
      <c r="Q61" t="s">
        <v>59</v>
      </c>
      <c r="R61" t="s">
        <v>4810</v>
      </c>
      <c r="S61" t="s">
        <v>776</v>
      </c>
      <c r="T61" t="s">
        <v>42</v>
      </c>
      <c r="U61">
        <v>322</v>
      </c>
      <c r="V61">
        <v>571</v>
      </c>
      <c r="W61">
        <v>250</v>
      </c>
      <c r="X61" t="s">
        <v>778</v>
      </c>
      <c r="Y61" t="s">
        <v>4813</v>
      </c>
      <c r="Z61" t="s">
        <v>132</v>
      </c>
      <c r="AA61" t="s">
        <v>781</v>
      </c>
    </row>
    <row r="62" spans="1:34" x14ac:dyDescent="0.75">
      <c r="A62" s="22" t="s">
        <v>6047</v>
      </c>
      <c r="B62" t="s">
        <v>4825</v>
      </c>
      <c r="C62" t="s">
        <v>144</v>
      </c>
      <c r="D62" t="s">
        <v>198</v>
      </c>
      <c r="E62" t="s">
        <v>199</v>
      </c>
      <c r="F62" t="s">
        <v>4826</v>
      </c>
      <c r="G62" s="1" t="str">
        <f>HYPERLINK("https://homd.org/jbrowse/?data=homd_V11.02_phage_1.2%2FGCA_027665525.1&amp;loc=GCA_027665525.1%7CJAQDEC010000018.1%3A10271..18661&amp;tracks=prokka,prokka_ncrna,ncbi,ncbi_ncrna,panggolin,cenote,genomad&amp;highlight=","Open JBrowse")</f>
        <v>Open JBrowse</v>
      </c>
      <c r="H62">
        <v>13271</v>
      </c>
      <c r="I62">
        <v>15661</v>
      </c>
      <c r="J62" t="s">
        <v>4827</v>
      </c>
      <c r="K62" t="s">
        <v>213</v>
      </c>
      <c r="L62" t="s">
        <v>214</v>
      </c>
      <c r="M62" t="s">
        <v>215</v>
      </c>
      <c r="N62" t="s">
        <v>216</v>
      </c>
      <c r="O62">
        <v>3</v>
      </c>
      <c r="P62" t="s">
        <v>217</v>
      </c>
      <c r="Q62" t="s">
        <v>101</v>
      </c>
      <c r="R62" t="s">
        <v>4828</v>
      </c>
      <c r="S62" t="s">
        <v>218</v>
      </c>
      <c r="T62" t="s">
        <v>42</v>
      </c>
      <c r="U62">
        <v>427</v>
      </c>
      <c r="V62">
        <v>679</v>
      </c>
      <c r="W62">
        <v>253</v>
      </c>
      <c r="X62" t="s">
        <v>219</v>
      </c>
      <c r="Y62" t="s">
        <v>4829</v>
      </c>
      <c r="Z62" t="s">
        <v>1236</v>
      </c>
      <c r="AA62" t="s">
        <v>4830</v>
      </c>
    </row>
    <row r="63" spans="1:34" x14ac:dyDescent="0.75">
      <c r="A63" s="22" t="s">
        <v>6047</v>
      </c>
      <c r="B63" t="s">
        <v>4825</v>
      </c>
      <c r="C63" t="s">
        <v>144</v>
      </c>
      <c r="D63" t="s">
        <v>198</v>
      </c>
      <c r="E63" t="s">
        <v>199</v>
      </c>
      <c r="F63" t="s">
        <v>4831</v>
      </c>
      <c r="G63" s="1" t="str">
        <f>HYPERLINK("https://homd.org/jbrowse/?data=homd_V11.02_phage_1.2%2FGCA_027665525.1&amp;loc=GCA_027665525.1%7CJAQDEC010000035.1%3A25343..32593&amp;tracks=prokka,prokka_ncrna,ncbi,ncbi_ncrna,panggolin,cenote,genomad&amp;highlight=","Open JBrowse")</f>
        <v>Open JBrowse</v>
      </c>
      <c r="H63">
        <v>28343</v>
      </c>
      <c r="I63">
        <v>29593</v>
      </c>
      <c r="J63" t="s">
        <v>4832</v>
      </c>
      <c r="K63" t="s">
        <v>202</v>
      </c>
      <c r="L63" t="s">
        <v>203</v>
      </c>
      <c r="M63" t="s">
        <v>204</v>
      </c>
      <c r="N63" t="s">
        <v>205</v>
      </c>
      <c r="O63">
        <v>3</v>
      </c>
      <c r="P63" t="s">
        <v>206</v>
      </c>
      <c r="Q63" t="s">
        <v>207</v>
      </c>
      <c r="R63" t="s">
        <v>4828</v>
      </c>
      <c r="S63" t="s">
        <v>209</v>
      </c>
      <c r="T63" t="s">
        <v>42</v>
      </c>
      <c r="U63">
        <v>38</v>
      </c>
      <c r="V63">
        <v>263</v>
      </c>
      <c r="W63">
        <v>226</v>
      </c>
      <c r="X63" t="s">
        <v>210</v>
      </c>
    </row>
    <row r="64" spans="1:34" x14ac:dyDescent="0.75">
      <c r="A64" s="22" t="s">
        <v>6047</v>
      </c>
      <c r="B64" t="s">
        <v>4907</v>
      </c>
      <c r="C64" t="s">
        <v>144</v>
      </c>
      <c r="D64" t="s">
        <v>765</v>
      </c>
      <c r="E64" t="s">
        <v>766</v>
      </c>
      <c r="F64" t="s">
        <v>4908</v>
      </c>
      <c r="G64" s="1" t="str">
        <f>HYPERLINK("https://homd.org/jbrowse/?data=homd_V11.02_phage_1.2%2FGCA_027857015.1&amp;loc=GCA_027857015.1%7CCP115600.1%3A5372357..5379178&amp;tracks=prokka,prokka_ncrna,ncbi,ncbi_ncrna,panggolin,cenote,genomad&amp;highlight=","Open JBrowse")</f>
        <v>Open JBrowse</v>
      </c>
      <c r="H64">
        <v>5375357</v>
      </c>
      <c r="I64">
        <v>5376178</v>
      </c>
      <c r="J64" t="s">
        <v>4909</v>
      </c>
      <c r="K64" t="s">
        <v>59</v>
      </c>
      <c r="L64" t="s">
        <v>563</v>
      </c>
      <c r="M64" t="s">
        <v>769</v>
      </c>
      <c r="N64" t="s">
        <v>42</v>
      </c>
      <c r="O64">
        <v>3</v>
      </c>
      <c r="P64" t="s">
        <v>42</v>
      </c>
      <c r="Q64" t="s">
        <v>59</v>
      </c>
      <c r="R64" t="s">
        <v>4910</v>
      </c>
      <c r="S64" t="s">
        <v>563</v>
      </c>
      <c r="T64" t="s">
        <v>42</v>
      </c>
      <c r="U64">
        <v>44</v>
      </c>
      <c r="V64">
        <v>270</v>
      </c>
      <c r="W64">
        <v>227</v>
      </c>
      <c r="X64" t="s">
        <v>771</v>
      </c>
      <c r="Y64" t="s">
        <v>4911</v>
      </c>
      <c r="Z64" t="s">
        <v>65</v>
      </c>
      <c r="AA64" t="s">
        <v>774</v>
      </c>
    </row>
    <row r="65" spans="1:34" x14ac:dyDescent="0.75">
      <c r="A65" s="22" t="s">
        <v>6047</v>
      </c>
      <c r="B65" t="s">
        <v>4907</v>
      </c>
      <c r="C65" t="s">
        <v>144</v>
      </c>
      <c r="D65" t="s">
        <v>765</v>
      </c>
      <c r="E65" t="s">
        <v>766</v>
      </c>
      <c r="F65" t="s">
        <v>4908</v>
      </c>
      <c r="G65" s="1" t="str">
        <f>HYPERLINK("https://homd.org/jbrowse/?data=homd_V11.02_phage_1.2%2FGCA_027857015.1&amp;loc=GCA_027857015.1%7CCP115600.1%3A921095..928831&amp;tracks=prokka,prokka_ncrna,ncbi,ncbi_ncrna,panggolin,cenote,genomad&amp;highlight=","Open JBrowse")</f>
        <v>Open JBrowse</v>
      </c>
      <c r="H65">
        <v>924095</v>
      </c>
      <c r="I65">
        <v>925831</v>
      </c>
      <c r="J65" t="s">
        <v>4912</v>
      </c>
      <c r="K65" t="s">
        <v>59</v>
      </c>
      <c r="L65" t="s">
        <v>776</v>
      </c>
      <c r="M65" t="s">
        <v>777</v>
      </c>
      <c r="N65" t="s">
        <v>42</v>
      </c>
      <c r="O65">
        <v>3</v>
      </c>
      <c r="P65" t="s">
        <v>42</v>
      </c>
      <c r="Q65" t="s">
        <v>59</v>
      </c>
      <c r="R65" t="s">
        <v>4910</v>
      </c>
      <c r="S65" t="s">
        <v>776</v>
      </c>
      <c r="T65" t="s">
        <v>42</v>
      </c>
      <c r="U65">
        <v>322</v>
      </c>
      <c r="V65">
        <v>571</v>
      </c>
      <c r="W65">
        <v>250</v>
      </c>
      <c r="X65" t="s">
        <v>778</v>
      </c>
      <c r="Y65" t="s">
        <v>4913</v>
      </c>
      <c r="Z65" t="s">
        <v>132</v>
      </c>
      <c r="AA65" t="s">
        <v>781</v>
      </c>
    </row>
    <row r="66" spans="1:34" x14ac:dyDescent="0.75">
      <c r="A66" s="22" t="s">
        <v>6047</v>
      </c>
      <c r="B66" t="s">
        <v>4943</v>
      </c>
      <c r="C66" t="s">
        <v>144</v>
      </c>
      <c r="D66" t="s">
        <v>486</v>
      </c>
      <c r="E66" t="s">
        <v>487</v>
      </c>
      <c r="F66" t="s">
        <v>4944</v>
      </c>
      <c r="G66" s="1" t="str">
        <f>HYPERLINK("https://homd.org/jbrowse/?data=homd_V11.02_phage_1.2%2FGCA_029893715.1&amp;loc=GCA_029893715.1%7CJARXYU010000002.1%3A475361..483988&amp;tracks=prokka,prokka_ncrna,ncbi,ncbi_ncrna,panggolin,cenote,genomad&amp;highlight=","Open JBrowse")</f>
        <v>Open JBrowse</v>
      </c>
      <c r="H66">
        <v>478361</v>
      </c>
      <c r="I66">
        <v>480988</v>
      </c>
      <c r="J66" t="s">
        <v>4945</v>
      </c>
      <c r="K66" t="s">
        <v>213</v>
      </c>
      <c r="L66" t="s">
        <v>1205</v>
      </c>
      <c r="M66" t="s">
        <v>1206</v>
      </c>
      <c r="N66" t="s">
        <v>216</v>
      </c>
      <c r="O66">
        <v>3</v>
      </c>
      <c r="P66" t="s">
        <v>217</v>
      </c>
      <c r="Q66" t="s">
        <v>101</v>
      </c>
      <c r="R66" t="s">
        <v>4946</v>
      </c>
      <c r="S66" t="s">
        <v>1208</v>
      </c>
      <c r="T66" t="s">
        <v>42</v>
      </c>
      <c r="U66">
        <v>430</v>
      </c>
      <c r="V66">
        <v>682</v>
      </c>
      <c r="W66">
        <v>253</v>
      </c>
      <c r="X66" t="s">
        <v>219</v>
      </c>
      <c r="Y66" t="s">
        <v>4947</v>
      </c>
      <c r="Z66" t="s">
        <v>410</v>
      </c>
      <c r="AA66" t="s">
        <v>1210</v>
      </c>
      <c r="AB66" t="s">
        <v>4948</v>
      </c>
      <c r="AC66" t="s">
        <v>1212</v>
      </c>
      <c r="AD66" t="s">
        <v>1213</v>
      </c>
      <c r="AE66">
        <v>210.3</v>
      </c>
      <c r="AF66" t="s">
        <v>1602</v>
      </c>
    </row>
    <row r="67" spans="1:34" x14ac:dyDescent="0.75">
      <c r="A67" s="22" t="s">
        <v>6047</v>
      </c>
      <c r="B67" t="s">
        <v>4943</v>
      </c>
      <c r="C67" t="s">
        <v>144</v>
      </c>
      <c r="D67" t="s">
        <v>486</v>
      </c>
      <c r="E67" t="s">
        <v>487</v>
      </c>
      <c r="F67" t="s">
        <v>4949</v>
      </c>
      <c r="G67" s="1" t="str">
        <f>HYPERLINK("https://homd.org/jbrowse/?data=homd_V11.02_phage_1.2%2FGCA_029893715.1&amp;loc=GCA_029893715.1%7CJARXYU010000005.1%3A47772..55004&amp;tracks=prokka,prokka_ncrna,ncbi,ncbi_ncrna,panggolin,cenote,genomad&amp;highlight=","Open JBrowse")</f>
        <v>Open JBrowse</v>
      </c>
      <c r="H67">
        <v>50772</v>
      </c>
      <c r="I67">
        <v>52004</v>
      </c>
      <c r="J67" t="s">
        <v>4950</v>
      </c>
      <c r="K67" t="s">
        <v>202</v>
      </c>
      <c r="L67" t="s">
        <v>1217</v>
      </c>
      <c r="M67" t="s">
        <v>1218</v>
      </c>
      <c r="N67" t="s">
        <v>205</v>
      </c>
      <c r="O67">
        <v>3</v>
      </c>
      <c r="P67" t="s">
        <v>206</v>
      </c>
      <c r="Q67" t="s">
        <v>207</v>
      </c>
      <c r="R67" t="s">
        <v>4946</v>
      </c>
      <c r="S67" t="s">
        <v>491</v>
      </c>
      <c r="T67" t="s">
        <v>42</v>
      </c>
      <c r="U67">
        <v>34</v>
      </c>
      <c r="V67">
        <v>259</v>
      </c>
      <c r="W67">
        <v>226</v>
      </c>
      <c r="X67" t="s">
        <v>210</v>
      </c>
    </row>
    <row r="68" spans="1:34" x14ac:dyDescent="0.75">
      <c r="A68" s="22" t="s">
        <v>6047</v>
      </c>
      <c r="B68" t="s">
        <v>5100</v>
      </c>
      <c r="C68" t="s">
        <v>144</v>
      </c>
      <c r="D68" t="s">
        <v>3838</v>
      </c>
      <c r="E68" t="s">
        <v>3839</v>
      </c>
      <c r="F68" t="s">
        <v>5101</v>
      </c>
      <c r="G68" s="1" t="str">
        <f>HYPERLINK("https://homd.org/jbrowse/?data=homd_V11.02_phage_1.2%2FGCA_900099765.1&amp;loc=GCA_900099765.1%7CFNDX01000001.1%3A414537..421775&amp;tracks=prokka,prokka_ncrna,ncbi,ncbi_ncrna,panggolin,cenote,genomad&amp;highlight=","Open JBrowse")</f>
        <v>Open JBrowse</v>
      </c>
      <c r="H68">
        <v>417537</v>
      </c>
      <c r="I68">
        <v>418775</v>
      </c>
      <c r="J68" t="s">
        <v>5102</v>
      </c>
      <c r="K68" t="s">
        <v>202</v>
      </c>
      <c r="L68" t="s">
        <v>3884</v>
      </c>
      <c r="M68" t="s">
        <v>3885</v>
      </c>
      <c r="N68" t="s">
        <v>205</v>
      </c>
      <c r="O68">
        <v>3</v>
      </c>
      <c r="P68" t="s">
        <v>206</v>
      </c>
      <c r="Q68" t="s">
        <v>207</v>
      </c>
      <c r="R68" t="s">
        <v>5103</v>
      </c>
      <c r="S68" t="s">
        <v>3886</v>
      </c>
      <c r="T68" t="s">
        <v>42</v>
      </c>
      <c r="U68">
        <v>36</v>
      </c>
      <c r="V68">
        <v>261</v>
      </c>
      <c r="W68">
        <v>226</v>
      </c>
      <c r="X68" t="s">
        <v>210</v>
      </c>
      <c r="Y68" t="s">
        <v>5104</v>
      </c>
      <c r="Z68" t="s">
        <v>547</v>
      </c>
      <c r="AA68" t="s">
        <v>5105</v>
      </c>
      <c r="AB68" t="s">
        <v>5106</v>
      </c>
      <c r="AC68" t="s">
        <v>1658</v>
      </c>
      <c r="AD68" t="s">
        <v>1659</v>
      </c>
      <c r="AE68">
        <v>2789</v>
      </c>
      <c r="AF68" t="s">
        <v>5107</v>
      </c>
      <c r="AG68" t="s">
        <v>51</v>
      </c>
      <c r="AH68">
        <v>5</v>
      </c>
    </row>
    <row r="69" spans="1:34" x14ac:dyDescent="0.75">
      <c r="A69" s="22" t="s">
        <v>6047</v>
      </c>
      <c r="B69" t="s">
        <v>5100</v>
      </c>
      <c r="C69" t="s">
        <v>144</v>
      </c>
      <c r="D69" t="s">
        <v>3838</v>
      </c>
      <c r="E69" t="s">
        <v>3839</v>
      </c>
      <c r="F69" t="s">
        <v>5108</v>
      </c>
      <c r="G69" s="1" t="str">
        <f>HYPERLINK("https://homd.org/jbrowse/?data=homd_V11.02_phage_1.2%2FGCA_900099765.1&amp;loc=GCA_900099765.1%7CFNDX01000003.1%3A176052..186566&amp;tracks=prokka,prokka_ncrna,ncbi,ncbi_ncrna,panggolin,cenote,genomad&amp;highlight=","Open JBrowse")</f>
        <v>Open JBrowse</v>
      </c>
      <c r="H69">
        <v>179052</v>
      </c>
      <c r="I69">
        <v>183566</v>
      </c>
      <c r="J69" t="s">
        <v>5109</v>
      </c>
      <c r="K69" t="s">
        <v>3857</v>
      </c>
      <c r="L69" t="s">
        <v>5110</v>
      </c>
      <c r="M69" t="s">
        <v>5111</v>
      </c>
      <c r="N69" t="s">
        <v>3860</v>
      </c>
      <c r="O69">
        <v>3</v>
      </c>
      <c r="P69" t="s">
        <v>3861</v>
      </c>
      <c r="Q69" t="s">
        <v>3862</v>
      </c>
      <c r="R69" t="s">
        <v>5103</v>
      </c>
      <c r="S69" t="s">
        <v>5112</v>
      </c>
      <c r="T69" t="s">
        <v>42</v>
      </c>
      <c r="U69">
        <v>444</v>
      </c>
      <c r="V69">
        <v>691</v>
      </c>
      <c r="W69">
        <v>248</v>
      </c>
      <c r="X69" t="s">
        <v>3864</v>
      </c>
      <c r="Y69" t="s">
        <v>5113</v>
      </c>
      <c r="Z69" t="s">
        <v>281</v>
      </c>
      <c r="AA69" t="s">
        <v>3867</v>
      </c>
      <c r="AB69" t="s">
        <v>5114</v>
      </c>
      <c r="AC69" t="s">
        <v>3849</v>
      </c>
      <c r="AD69" t="s">
        <v>101</v>
      </c>
      <c r="AE69">
        <v>2737</v>
      </c>
      <c r="AF69" t="s">
        <v>3869</v>
      </c>
      <c r="AG69" t="s">
        <v>51</v>
      </c>
      <c r="AH69">
        <v>4</v>
      </c>
    </row>
    <row r="70" spans="1:34" x14ac:dyDescent="0.75">
      <c r="A70" s="22" t="s">
        <v>6047</v>
      </c>
      <c r="B70" t="s">
        <v>5100</v>
      </c>
      <c r="C70" t="s">
        <v>144</v>
      </c>
      <c r="D70" t="s">
        <v>3838</v>
      </c>
      <c r="E70" t="s">
        <v>3839</v>
      </c>
      <c r="F70" t="s">
        <v>5115</v>
      </c>
      <c r="G70" s="1" t="str">
        <f>HYPERLINK("https://homd.org/jbrowse/?data=homd_V11.02_phage_1.2%2FGCA_900099765.1&amp;loc=GCA_900099765.1%7CFNDX01000022.1%3A71002..79635&amp;tracks=prokka,prokka_ncrna,ncbi,ncbi_ncrna,panggolin,cenote,genomad&amp;highlight=","Open JBrowse")</f>
        <v>Open JBrowse</v>
      </c>
      <c r="H70">
        <v>74002</v>
      </c>
      <c r="I70">
        <v>76635</v>
      </c>
      <c r="J70" t="s">
        <v>5116</v>
      </c>
      <c r="K70" t="s">
        <v>213</v>
      </c>
      <c r="L70" t="s">
        <v>3842</v>
      </c>
      <c r="M70" t="s">
        <v>3843</v>
      </c>
      <c r="N70" t="s">
        <v>216</v>
      </c>
      <c r="O70">
        <v>3</v>
      </c>
      <c r="P70" t="s">
        <v>217</v>
      </c>
      <c r="Q70" t="s">
        <v>101</v>
      </c>
      <c r="R70" t="s">
        <v>5103</v>
      </c>
      <c r="S70" t="s">
        <v>3845</v>
      </c>
      <c r="T70" t="s">
        <v>42</v>
      </c>
      <c r="U70">
        <v>429</v>
      </c>
      <c r="V70">
        <v>681</v>
      </c>
      <c r="W70">
        <v>253</v>
      </c>
      <c r="X70" t="s">
        <v>219</v>
      </c>
      <c r="Y70" t="s">
        <v>5117</v>
      </c>
      <c r="Z70" t="s">
        <v>4545</v>
      </c>
      <c r="AA70" t="s">
        <v>3847</v>
      </c>
      <c r="AB70" t="s">
        <v>5118</v>
      </c>
      <c r="AC70" t="s">
        <v>3849</v>
      </c>
      <c r="AD70" t="s">
        <v>101</v>
      </c>
      <c r="AE70">
        <v>655</v>
      </c>
      <c r="AF70" t="s">
        <v>3850</v>
      </c>
    </row>
    <row r="71" spans="1:34" x14ac:dyDescent="0.75">
      <c r="A71" s="22" t="s">
        <v>6047</v>
      </c>
      <c r="B71" t="s">
        <v>5100</v>
      </c>
      <c r="C71" t="s">
        <v>144</v>
      </c>
      <c r="D71" t="s">
        <v>3838</v>
      </c>
      <c r="E71" t="s">
        <v>3839</v>
      </c>
      <c r="F71" t="s">
        <v>5115</v>
      </c>
      <c r="G71" s="1" t="str">
        <f>HYPERLINK("https://homd.org/jbrowse/?data=homd_V11.02_phage_1.2%2FGCA_900099765.1&amp;loc=GCA_900099765.1%7CFNDX01000022.1%3A82332..89075&amp;tracks=prokka,prokka_ncrna,ncbi,ncbi_ncrna,panggolin,cenote,genomad&amp;highlight=","Open JBrowse")</f>
        <v>Open JBrowse</v>
      </c>
      <c r="H71">
        <v>85332</v>
      </c>
      <c r="I71">
        <v>86075</v>
      </c>
      <c r="J71" t="s">
        <v>5119</v>
      </c>
      <c r="K71" t="s">
        <v>59</v>
      </c>
      <c r="L71" t="s">
        <v>3852</v>
      </c>
      <c r="M71" t="s">
        <v>3853</v>
      </c>
      <c r="N71" t="s">
        <v>42</v>
      </c>
      <c r="O71">
        <v>3</v>
      </c>
      <c r="P71" t="s">
        <v>42</v>
      </c>
      <c r="Q71" t="s">
        <v>59</v>
      </c>
      <c r="R71" t="s">
        <v>5103</v>
      </c>
      <c r="S71" t="s">
        <v>3852</v>
      </c>
      <c r="T71" t="s">
        <v>42</v>
      </c>
      <c r="U71">
        <v>6</v>
      </c>
      <c r="V71">
        <v>240</v>
      </c>
      <c r="W71">
        <v>235</v>
      </c>
      <c r="X71" t="s">
        <v>3854</v>
      </c>
      <c r="Y71" t="s">
        <v>5117</v>
      </c>
      <c r="Z71" t="s">
        <v>4545</v>
      </c>
      <c r="AA71" t="s">
        <v>3847</v>
      </c>
      <c r="AB71" t="s">
        <v>5118</v>
      </c>
      <c r="AC71" t="s">
        <v>3849</v>
      </c>
      <c r="AD71" t="s">
        <v>101</v>
      </c>
      <c r="AE71">
        <v>655</v>
      </c>
      <c r="AF71" t="s">
        <v>3850</v>
      </c>
    </row>
    <row r="72" spans="1:34" x14ac:dyDescent="0.75">
      <c r="A72" s="22" t="s">
        <v>6047</v>
      </c>
      <c r="B72" t="s">
        <v>5100</v>
      </c>
      <c r="C72" t="s">
        <v>144</v>
      </c>
      <c r="D72" t="s">
        <v>3838</v>
      </c>
      <c r="E72" t="s">
        <v>3839</v>
      </c>
      <c r="F72" t="s">
        <v>5120</v>
      </c>
      <c r="G72" s="1" t="str">
        <f>HYPERLINK("https://homd.org/jbrowse/?data=homd_V11.02_phage_1.2%2FGCA_900099765.1&amp;loc=GCA_900099765.1%7CFNDX01000040.1%3A29441..40399&amp;tracks=prokka,prokka_ncrna,ncbi,ncbi_ncrna,panggolin,cenote,genomad&amp;highlight=","Open JBrowse")</f>
        <v>Open JBrowse</v>
      </c>
      <c r="H72">
        <v>32441</v>
      </c>
      <c r="I72">
        <v>37399</v>
      </c>
      <c r="J72" t="s">
        <v>5121</v>
      </c>
      <c r="K72" t="s">
        <v>3872</v>
      </c>
      <c r="L72" t="s">
        <v>5122</v>
      </c>
      <c r="M72" t="s">
        <v>5123</v>
      </c>
      <c r="N72" t="s">
        <v>3875</v>
      </c>
      <c r="O72">
        <v>3</v>
      </c>
      <c r="P72" t="s">
        <v>3876</v>
      </c>
      <c r="Q72" t="s">
        <v>3862</v>
      </c>
      <c r="R72" t="s">
        <v>5103</v>
      </c>
      <c r="S72" t="s">
        <v>5124</v>
      </c>
      <c r="T72" t="s">
        <v>42</v>
      </c>
      <c r="U72">
        <v>493</v>
      </c>
      <c r="V72">
        <v>736</v>
      </c>
      <c r="W72">
        <v>244</v>
      </c>
      <c r="X72" t="s">
        <v>3878</v>
      </c>
      <c r="Y72" t="s">
        <v>5125</v>
      </c>
      <c r="Z72" t="s">
        <v>5126</v>
      </c>
      <c r="AA72" t="s">
        <v>3881</v>
      </c>
    </row>
    <row r="73" spans="1:34" x14ac:dyDescent="0.75">
      <c r="A73" s="22" t="s">
        <v>6047</v>
      </c>
      <c r="B73" t="s">
        <v>5210</v>
      </c>
      <c r="C73" t="s">
        <v>144</v>
      </c>
      <c r="D73" t="s">
        <v>145</v>
      </c>
      <c r="E73" t="s">
        <v>146</v>
      </c>
      <c r="F73" t="s">
        <v>5211</v>
      </c>
      <c r="G73" s="1" t="str">
        <f>HYPERLINK("https://homd.org/jbrowse/?data=homd_V11.02_phage_1.2%2FGCA_900452405.1&amp;loc=GCA_900452405.1%7CUGNQ01000001.1%3A1597607..1605763&amp;tracks=prokka,prokka_ncrna,ncbi,ncbi_ncrna,panggolin,cenote,genomad&amp;highlight=","Open JBrowse")</f>
        <v>Open JBrowse</v>
      </c>
      <c r="H73">
        <v>1600607</v>
      </c>
      <c r="I73">
        <v>1602763</v>
      </c>
      <c r="J73" t="s">
        <v>5212</v>
      </c>
      <c r="K73" t="s">
        <v>59</v>
      </c>
      <c r="L73" t="s">
        <v>59</v>
      </c>
      <c r="M73" t="s">
        <v>59</v>
      </c>
      <c r="N73" t="s">
        <v>42</v>
      </c>
      <c r="O73">
        <v>1</v>
      </c>
      <c r="P73" t="s">
        <v>59</v>
      </c>
      <c r="Q73" t="s">
        <v>59</v>
      </c>
      <c r="R73" t="s">
        <v>5213</v>
      </c>
      <c r="T73" t="s">
        <v>42</v>
      </c>
      <c r="X73" t="s">
        <v>59</v>
      </c>
      <c r="Y73" t="s">
        <v>5214</v>
      </c>
      <c r="Z73" t="s">
        <v>132</v>
      </c>
      <c r="AA73" t="s">
        <v>5215</v>
      </c>
    </row>
    <row r="74" spans="1:34" x14ac:dyDescent="0.75">
      <c r="A74" s="22" t="s">
        <v>6047</v>
      </c>
      <c r="B74" t="s">
        <v>33</v>
      </c>
      <c r="C74" t="s">
        <v>34</v>
      </c>
      <c r="D74" t="s">
        <v>35</v>
      </c>
      <c r="E74" t="s">
        <v>36</v>
      </c>
      <c r="F74" t="s">
        <v>37</v>
      </c>
      <c r="G74" s="1" t="str">
        <f>HYPERLINK("https://homd.org/jbrowse/?data=homd_V11.02_phage_1.2%2FGCA_000012825.1&amp;loc=GCA_000012825.1%7CCP000139.1%3A61603..68394&amp;tracks=prokka,prokka_ncrna,ncbi,ncbi_ncrna,panggolin,cenote,genomad&amp;highlight=","Open JBrowse")</f>
        <v>Open JBrowse</v>
      </c>
      <c r="H74">
        <v>64603</v>
      </c>
      <c r="I74">
        <v>65394</v>
      </c>
      <c r="J74" t="s">
        <v>38</v>
      </c>
      <c r="K74" t="s">
        <v>39</v>
      </c>
      <c r="L74" t="s">
        <v>40</v>
      </c>
      <c r="M74" t="s">
        <v>41</v>
      </c>
      <c r="N74" t="s">
        <v>42</v>
      </c>
      <c r="O74">
        <v>3</v>
      </c>
      <c r="P74" t="s">
        <v>42</v>
      </c>
      <c r="Q74" t="s">
        <v>43</v>
      </c>
      <c r="R74" t="s">
        <v>44</v>
      </c>
      <c r="S74" t="s">
        <v>40</v>
      </c>
      <c r="T74" t="s">
        <v>42</v>
      </c>
      <c r="U74">
        <v>34</v>
      </c>
      <c r="V74">
        <v>260</v>
      </c>
      <c r="W74">
        <v>227</v>
      </c>
      <c r="X74" t="s">
        <v>45</v>
      </c>
      <c r="Y74" t="s">
        <v>46</v>
      </c>
      <c r="Z74" t="s">
        <v>47</v>
      </c>
      <c r="AA74" t="s">
        <v>48</v>
      </c>
      <c r="AB74" t="s">
        <v>49</v>
      </c>
      <c r="AC74" t="s">
        <v>50</v>
      </c>
      <c r="AD74" t="s">
        <v>51</v>
      </c>
      <c r="AE74">
        <v>6796</v>
      </c>
      <c r="AF74" t="s">
        <v>52</v>
      </c>
      <c r="AG74" t="s">
        <v>53</v>
      </c>
      <c r="AH74">
        <v>2</v>
      </c>
    </row>
    <row r="75" spans="1:34" x14ac:dyDescent="0.75">
      <c r="A75" s="22" t="s">
        <v>6047</v>
      </c>
      <c r="B75" t="s">
        <v>54</v>
      </c>
      <c r="C75" t="s">
        <v>34</v>
      </c>
      <c r="D75" t="s">
        <v>55</v>
      </c>
      <c r="E75" t="s">
        <v>56</v>
      </c>
      <c r="F75" t="s">
        <v>57</v>
      </c>
      <c r="G75" s="1" t="str">
        <f>HYPERLINK("https://homd.org/jbrowse/?data=homd_V11.02_phage_1.2%2FGCA_000012845.1&amp;loc=GCA_000012845.1%7CCP000140.1%3A3658736..3665566&amp;tracks=prokka,prokka_ncrna,ncbi,ncbi_ncrna,panggolin,cenote,genomad&amp;highlight=","Open JBrowse")</f>
        <v>Open JBrowse</v>
      </c>
      <c r="H75">
        <v>3661736</v>
      </c>
      <c r="I75">
        <v>3662566</v>
      </c>
      <c r="J75" t="s">
        <v>58</v>
      </c>
      <c r="K75" t="s">
        <v>59</v>
      </c>
      <c r="L75" t="s">
        <v>60</v>
      </c>
      <c r="M75" t="s">
        <v>61</v>
      </c>
      <c r="N75" t="s">
        <v>42</v>
      </c>
      <c r="O75">
        <v>3</v>
      </c>
      <c r="P75" t="s">
        <v>42</v>
      </c>
      <c r="Q75" t="s">
        <v>59</v>
      </c>
      <c r="R75" t="s">
        <v>62</v>
      </c>
      <c r="S75" t="s">
        <v>60</v>
      </c>
      <c r="T75" t="s">
        <v>42</v>
      </c>
      <c r="U75">
        <v>41</v>
      </c>
      <c r="V75">
        <v>274</v>
      </c>
      <c r="W75">
        <v>234</v>
      </c>
      <c r="X75" t="s">
        <v>63</v>
      </c>
      <c r="Y75" t="s">
        <v>64</v>
      </c>
      <c r="Z75" t="s">
        <v>65</v>
      </c>
      <c r="AA75" t="s">
        <v>66</v>
      </c>
      <c r="AB75" t="s">
        <v>67</v>
      </c>
      <c r="AC75" t="s">
        <v>68</v>
      </c>
      <c r="AD75" t="s">
        <v>69</v>
      </c>
      <c r="AE75">
        <v>2821</v>
      </c>
      <c r="AF75" t="s">
        <v>70</v>
      </c>
      <c r="AG75" t="s">
        <v>71</v>
      </c>
      <c r="AH75">
        <v>2</v>
      </c>
    </row>
    <row r="76" spans="1:34" x14ac:dyDescent="0.75">
      <c r="A76" s="22" t="s">
        <v>6047</v>
      </c>
      <c r="B76" t="s">
        <v>72</v>
      </c>
      <c r="C76" t="s">
        <v>34</v>
      </c>
      <c r="D76" t="s">
        <v>73</v>
      </c>
      <c r="E76" t="s">
        <v>74</v>
      </c>
      <c r="F76" t="s">
        <v>75</v>
      </c>
      <c r="G76" s="1" t="str">
        <f>HYPERLINK("https://homd.org/jbrowse/?data=homd_V11.02_phage_1.2%2FGCA_000020225.1&amp;loc=GCA_000020225.1%7CCP001071.1%3A2565270..2572166&amp;tracks=prokka,prokka_ncrna,ncbi,ncbi_ncrna,panggolin,cenote,genomad&amp;highlight=","Open JBrowse")</f>
        <v>Open JBrowse</v>
      </c>
      <c r="H76">
        <v>2568270</v>
      </c>
      <c r="I76">
        <v>2569166</v>
      </c>
      <c r="J76" t="s">
        <v>76</v>
      </c>
      <c r="K76" t="s">
        <v>77</v>
      </c>
      <c r="L76" t="s">
        <v>78</v>
      </c>
      <c r="M76" t="s">
        <v>79</v>
      </c>
      <c r="N76" t="s">
        <v>42</v>
      </c>
      <c r="O76">
        <v>3</v>
      </c>
      <c r="P76" t="s">
        <v>42</v>
      </c>
      <c r="Q76" t="s">
        <v>43</v>
      </c>
      <c r="R76" t="s">
        <v>80</v>
      </c>
      <c r="S76" t="s">
        <v>78</v>
      </c>
      <c r="T76" t="s">
        <v>42</v>
      </c>
      <c r="U76">
        <v>17</v>
      </c>
      <c r="V76">
        <v>266</v>
      </c>
      <c r="W76">
        <v>250</v>
      </c>
      <c r="X76" t="s">
        <v>81</v>
      </c>
      <c r="Y76" t="s">
        <v>82</v>
      </c>
      <c r="Z76" t="s">
        <v>83</v>
      </c>
      <c r="AA76" t="s">
        <v>84</v>
      </c>
    </row>
    <row r="77" spans="1:34" x14ac:dyDescent="0.75">
      <c r="A77" s="22" t="s">
        <v>6047</v>
      </c>
      <c r="B77" t="s">
        <v>72</v>
      </c>
      <c r="C77" t="s">
        <v>34</v>
      </c>
      <c r="D77" t="s">
        <v>73</v>
      </c>
      <c r="E77" t="s">
        <v>74</v>
      </c>
      <c r="F77" t="s">
        <v>75</v>
      </c>
      <c r="G77" s="1" t="str">
        <f>HYPERLINK("https://homd.org/jbrowse/?data=homd_V11.02_phage_1.2%2FGCA_000020225.1&amp;loc=GCA_000020225.1%7CCP001071.1%3A852308..859222&amp;tracks=prokka,prokka_ncrna,ncbi,ncbi_ncrna,panggolin,cenote,genomad&amp;highlight=","Open JBrowse")</f>
        <v>Open JBrowse</v>
      </c>
      <c r="H77">
        <v>855308</v>
      </c>
      <c r="I77">
        <v>856222</v>
      </c>
      <c r="J77" t="s">
        <v>85</v>
      </c>
      <c r="K77" t="s">
        <v>77</v>
      </c>
      <c r="L77" t="s">
        <v>86</v>
      </c>
      <c r="M77" t="s">
        <v>87</v>
      </c>
      <c r="N77" t="s">
        <v>42</v>
      </c>
      <c r="O77">
        <v>3</v>
      </c>
      <c r="P77" t="s">
        <v>42</v>
      </c>
      <c r="Q77" t="s">
        <v>43</v>
      </c>
      <c r="R77" t="s">
        <v>80</v>
      </c>
      <c r="S77" t="s">
        <v>86</v>
      </c>
      <c r="T77" t="s">
        <v>42</v>
      </c>
      <c r="U77">
        <v>36</v>
      </c>
      <c r="V77">
        <v>282</v>
      </c>
      <c r="W77">
        <v>247</v>
      </c>
      <c r="X77" t="s">
        <v>88</v>
      </c>
      <c r="Y77" t="s">
        <v>89</v>
      </c>
      <c r="Z77" t="s">
        <v>90</v>
      </c>
      <c r="AA77" t="s">
        <v>91</v>
      </c>
    </row>
    <row r="78" spans="1:34" x14ac:dyDescent="0.75">
      <c r="A78" s="22" t="s">
        <v>6047</v>
      </c>
      <c r="B78" t="s">
        <v>72</v>
      </c>
      <c r="C78" t="s">
        <v>34</v>
      </c>
      <c r="D78" t="s">
        <v>73</v>
      </c>
      <c r="E78" t="s">
        <v>74</v>
      </c>
      <c r="F78" t="s">
        <v>75</v>
      </c>
      <c r="G78" s="1" t="str">
        <f>HYPERLINK("https://homd.org/jbrowse/?data=homd_V11.02_phage_1.2%2FGCA_000020225.1&amp;loc=GCA_000020225.1%7CCP001071.1%3A1041268..1048209&amp;tracks=prokka,prokka_ncrna,ncbi,ncbi_ncrna,panggolin,cenote,genomad&amp;highlight=","Open JBrowse")</f>
        <v>Open JBrowse</v>
      </c>
      <c r="H78">
        <v>1044268</v>
      </c>
      <c r="I78">
        <v>1045209</v>
      </c>
      <c r="J78" t="s">
        <v>92</v>
      </c>
      <c r="K78" t="s">
        <v>77</v>
      </c>
      <c r="L78" t="s">
        <v>93</v>
      </c>
      <c r="M78" t="s">
        <v>94</v>
      </c>
      <c r="N78" t="s">
        <v>42</v>
      </c>
      <c r="O78">
        <v>3</v>
      </c>
      <c r="P78" t="s">
        <v>42</v>
      </c>
      <c r="Q78" t="s">
        <v>43</v>
      </c>
      <c r="R78" t="s">
        <v>80</v>
      </c>
      <c r="S78" t="s">
        <v>93</v>
      </c>
      <c r="T78" t="s">
        <v>42</v>
      </c>
      <c r="U78">
        <v>51</v>
      </c>
      <c r="V78">
        <v>296</v>
      </c>
      <c r="W78">
        <v>246</v>
      </c>
      <c r="X78" t="s">
        <v>95</v>
      </c>
      <c r="Y78" t="s">
        <v>96</v>
      </c>
      <c r="Z78" t="s">
        <v>97</v>
      </c>
      <c r="AA78" t="s">
        <v>98</v>
      </c>
      <c r="AB78" t="s">
        <v>99</v>
      </c>
      <c r="AC78" t="s">
        <v>100</v>
      </c>
      <c r="AD78" t="s">
        <v>101</v>
      </c>
      <c r="AE78">
        <v>413</v>
      </c>
      <c r="AF78" t="s">
        <v>102</v>
      </c>
    </row>
    <row r="79" spans="1:34" x14ac:dyDescent="0.75">
      <c r="A79" s="22" t="s">
        <v>6047</v>
      </c>
      <c r="B79" t="s">
        <v>166</v>
      </c>
      <c r="C79" t="s">
        <v>34</v>
      </c>
      <c r="D79" t="s">
        <v>167</v>
      </c>
      <c r="E79" t="s">
        <v>168</v>
      </c>
      <c r="F79" t="s">
        <v>169</v>
      </c>
      <c r="G79" s="1" t="str">
        <f>HYPERLINK("https://homd.org/jbrowse/?data=homd_V11.02_phage_1.2%2FGCA_000154525.1&amp;loc=GCA_000154525.1%7CDS499673.1%3A181190..189967&amp;tracks=prokka,prokka_ncrna,ncbi,ncbi_ncrna,panggolin,cenote,genomad&amp;highlight=","Open JBrowse")</f>
        <v>Open JBrowse</v>
      </c>
      <c r="H79">
        <v>184190</v>
      </c>
      <c r="I79">
        <v>186967</v>
      </c>
      <c r="J79" t="s">
        <v>170</v>
      </c>
      <c r="K79" t="s">
        <v>171</v>
      </c>
      <c r="L79" t="s">
        <v>172</v>
      </c>
      <c r="M79" t="s">
        <v>173</v>
      </c>
      <c r="N79" t="s">
        <v>174</v>
      </c>
      <c r="O79">
        <v>3</v>
      </c>
      <c r="P79" t="s">
        <v>175</v>
      </c>
      <c r="Q79" t="s">
        <v>43</v>
      </c>
      <c r="R79" t="s">
        <v>176</v>
      </c>
      <c r="S79" t="s">
        <v>177</v>
      </c>
      <c r="T79" t="s">
        <v>42</v>
      </c>
      <c r="U79">
        <v>691</v>
      </c>
      <c r="V79">
        <v>909</v>
      </c>
      <c r="W79">
        <v>219</v>
      </c>
      <c r="X79" t="s">
        <v>178</v>
      </c>
      <c r="Y79" t="s">
        <v>179</v>
      </c>
      <c r="Z79" t="s">
        <v>97</v>
      </c>
      <c r="AA79" t="s">
        <v>180</v>
      </c>
      <c r="AB79" t="s">
        <v>181</v>
      </c>
      <c r="AC79" t="s">
        <v>182</v>
      </c>
      <c r="AD79" t="s">
        <v>183</v>
      </c>
      <c r="AE79">
        <v>4878</v>
      </c>
      <c r="AF79" t="s">
        <v>184</v>
      </c>
      <c r="AG79" t="s">
        <v>185</v>
      </c>
      <c r="AH79">
        <v>2</v>
      </c>
    </row>
    <row r="80" spans="1:34" x14ac:dyDescent="0.75">
      <c r="A80" s="22" t="s">
        <v>6047</v>
      </c>
      <c r="B80" t="s">
        <v>166</v>
      </c>
      <c r="C80" t="s">
        <v>34</v>
      </c>
      <c r="D80" t="s">
        <v>167</v>
      </c>
      <c r="E80" t="s">
        <v>168</v>
      </c>
      <c r="F80" t="s">
        <v>169</v>
      </c>
      <c r="G80" s="1" t="str">
        <f>HYPERLINK("https://homd.org/jbrowse/?data=homd_V11.02_phage_1.2%2FGCA_000154525.1&amp;loc=GCA_000154525.1%7CDS499673.1%3A285037..291888&amp;tracks=prokka,prokka_ncrna,ncbi,ncbi_ncrna,panggolin,cenote,genomad&amp;highlight=","Open JBrowse")</f>
        <v>Open JBrowse</v>
      </c>
      <c r="H80">
        <v>288037</v>
      </c>
      <c r="I80">
        <v>288888</v>
      </c>
      <c r="J80" t="s">
        <v>186</v>
      </c>
      <c r="K80" t="s">
        <v>59</v>
      </c>
      <c r="L80" t="s">
        <v>59</v>
      </c>
      <c r="M80" t="s">
        <v>59</v>
      </c>
      <c r="N80" t="s">
        <v>42</v>
      </c>
      <c r="O80">
        <v>1</v>
      </c>
      <c r="P80" t="s">
        <v>59</v>
      </c>
      <c r="Q80" t="s">
        <v>59</v>
      </c>
      <c r="R80" t="s">
        <v>176</v>
      </c>
      <c r="T80" t="s">
        <v>42</v>
      </c>
      <c r="X80" t="s">
        <v>59</v>
      </c>
    </row>
    <row r="81" spans="1:34" x14ac:dyDescent="0.75">
      <c r="A81" s="22" t="s">
        <v>6047</v>
      </c>
      <c r="B81" t="s">
        <v>166</v>
      </c>
      <c r="C81" t="s">
        <v>34</v>
      </c>
      <c r="D81" t="s">
        <v>167</v>
      </c>
      <c r="E81" t="s">
        <v>168</v>
      </c>
      <c r="F81" t="s">
        <v>187</v>
      </c>
      <c r="G81" s="1" t="str">
        <f>HYPERLINK("https://homd.org/jbrowse/?data=homd_V11.02_phage_1.2%2FGCA_000154525.1&amp;loc=GCA_000154525.1%7CDS499674.1%3A517086..525866&amp;tracks=prokka,prokka_ncrna,ncbi,ncbi_ncrna,panggolin,cenote,genomad&amp;highlight=","Open JBrowse")</f>
        <v>Open JBrowse</v>
      </c>
      <c r="H81">
        <v>520086</v>
      </c>
      <c r="I81">
        <v>522866</v>
      </c>
      <c r="J81" t="s">
        <v>188</v>
      </c>
      <c r="K81" t="s">
        <v>171</v>
      </c>
      <c r="L81" t="s">
        <v>189</v>
      </c>
      <c r="M81" t="s">
        <v>190</v>
      </c>
      <c r="N81" t="s">
        <v>174</v>
      </c>
      <c r="O81">
        <v>3</v>
      </c>
      <c r="P81" t="s">
        <v>175</v>
      </c>
      <c r="Q81" t="s">
        <v>43</v>
      </c>
      <c r="R81" t="s">
        <v>176</v>
      </c>
      <c r="S81" t="s">
        <v>191</v>
      </c>
      <c r="T81" t="s">
        <v>42</v>
      </c>
      <c r="U81">
        <v>692</v>
      </c>
      <c r="V81">
        <v>910</v>
      </c>
      <c r="W81">
        <v>219</v>
      </c>
      <c r="X81" t="s">
        <v>178</v>
      </c>
      <c r="Y81" t="s">
        <v>192</v>
      </c>
      <c r="Z81" t="s">
        <v>193</v>
      </c>
      <c r="AA81" t="s">
        <v>194</v>
      </c>
      <c r="AB81" t="s">
        <v>195</v>
      </c>
      <c r="AC81" t="s">
        <v>182</v>
      </c>
      <c r="AD81" t="s">
        <v>183</v>
      </c>
      <c r="AE81">
        <v>3679.6</v>
      </c>
      <c r="AF81" t="s">
        <v>196</v>
      </c>
    </row>
    <row r="82" spans="1:34" x14ac:dyDescent="0.75">
      <c r="A82" s="22" t="s">
        <v>6047</v>
      </c>
      <c r="B82" t="s">
        <v>435</v>
      </c>
      <c r="C82" t="s">
        <v>34</v>
      </c>
      <c r="D82" t="s">
        <v>436</v>
      </c>
      <c r="E82" t="s">
        <v>437</v>
      </c>
      <c r="F82" t="s">
        <v>438</v>
      </c>
      <c r="G82" s="1" t="str">
        <f>HYPERLINK("https://homd.org/jbrowse/?data=homd_V11.02_phage_1.2%2FGCA_000187895.1&amp;loc=GCA_000187895.1%7CDS990134.1%3A659061..665897&amp;tracks=prokka,prokka_ncrna,ncbi,ncbi_ncrna,panggolin,cenote,genomad&amp;highlight=","Open JBrowse")</f>
        <v>Open JBrowse</v>
      </c>
      <c r="H82">
        <v>662061</v>
      </c>
      <c r="I82">
        <v>662897</v>
      </c>
      <c r="J82" t="s">
        <v>439</v>
      </c>
      <c r="K82" t="s">
        <v>109</v>
      </c>
      <c r="L82" t="s">
        <v>440</v>
      </c>
      <c r="M82" t="s">
        <v>441</v>
      </c>
      <c r="N82" t="s">
        <v>42</v>
      </c>
      <c r="O82">
        <v>3</v>
      </c>
      <c r="P82" t="s">
        <v>42</v>
      </c>
      <c r="Q82" t="s">
        <v>101</v>
      </c>
      <c r="R82" t="s">
        <v>442</v>
      </c>
      <c r="S82" t="s">
        <v>440</v>
      </c>
      <c r="T82" t="s">
        <v>42</v>
      </c>
      <c r="U82">
        <v>41</v>
      </c>
      <c r="V82">
        <v>276</v>
      </c>
      <c r="W82">
        <v>236</v>
      </c>
      <c r="X82" t="s">
        <v>248</v>
      </c>
      <c r="Y82" t="s">
        <v>443</v>
      </c>
      <c r="Z82" t="s">
        <v>444</v>
      </c>
      <c r="AA82" t="s">
        <v>445</v>
      </c>
      <c r="AB82" t="s">
        <v>446</v>
      </c>
      <c r="AC82" t="s">
        <v>447</v>
      </c>
      <c r="AD82" t="s">
        <v>101</v>
      </c>
      <c r="AE82">
        <v>2866</v>
      </c>
      <c r="AF82" t="s">
        <v>448</v>
      </c>
    </row>
    <row r="83" spans="1:34" x14ac:dyDescent="0.75">
      <c r="A83" s="22" t="s">
        <v>6047</v>
      </c>
      <c r="B83" t="s">
        <v>862</v>
      </c>
      <c r="C83" t="s">
        <v>34</v>
      </c>
      <c r="D83" t="s">
        <v>863</v>
      </c>
      <c r="E83" t="s">
        <v>864</v>
      </c>
      <c r="F83" t="s">
        <v>865</v>
      </c>
      <c r="G83" s="1" t="str">
        <f>HYPERLINK("https://homd.org/jbrowse/?data=homd_V11.02_phage_1.2%2FGCA_000373085.1&amp;loc=GCA_000373085.1%7CKB890342.1%3A11258..18049&amp;tracks=prokka,prokka_ncrna,ncbi,ncbi_ncrna,panggolin,cenote,genomad&amp;highlight=","Open JBrowse")</f>
        <v>Open JBrowse</v>
      </c>
      <c r="H83">
        <v>14258</v>
      </c>
      <c r="I83">
        <v>15049</v>
      </c>
      <c r="J83" t="s">
        <v>866</v>
      </c>
      <c r="K83" t="s">
        <v>39</v>
      </c>
      <c r="L83" t="s">
        <v>40</v>
      </c>
      <c r="M83" t="s">
        <v>867</v>
      </c>
      <c r="N83" t="s">
        <v>42</v>
      </c>
      <c r="O83">
        <v>3</v>
      </c>
      <c r="P83" t="s">
        <v>42</v>
      </c>
      <c r="Q83" t="s">
        <v>43</v>
      </c>
      <c r="R83" t="s">
        <v>868</v>
      </c>
      <c r="S83" t="s">
        <v>40</v>
      </c>
      <c r="T83" t="s">
        <v>42</v>
      </c>
      <c r="U83">
        <v>34</v>
      </c>
      <c r="V83">
        <v>260</v>
      </c>
      <c r="W83">
        <v>227</v>
      </c>
      <c r="X83" t="s">
        <v>45</v>
      </c>
      <c r="Y83" t="s">
        <v>869</v>
      </c>
      <c r="Z83" t="s">
        <v>870</v>
      </c>
      <c r="AA83" t="s">
        <v>871</v>
      </c>
    </row>
    <row r="84" spans="1:34" x14ac:dyDescent="0.75">
      <c r="A84" s="22" t="s">
        <v>6047</v>
      </c>
      <c r="B84" t="s">
        <v>908</v>
      </c>
      <c r="C84" t="s">
        <v>34</v>
      </c>
      <c r="D84" t="s">
        <v>863</v>
      </c>
      <c r="E84" t="s">
        <v>864</v>
      </c>
      <c r="F84" t="s">
        <v>909</v>
      </c>
      <c r="G84" s="1" t="str">
        <f>HYPERLINK("https://homd.org/jbrowse/?data=homd_V11.02_phage_1.2%2FGCA_000382445.1&amp;loc=GCA_000382445.1%7CKB905472.1%3A2406979..2413770&amp;tracks=prokka,prokka_ncrna,ncbi,ncbi_ncrna,panggolin,cenote,genomad&amp;highlight=","Open JBrowse")</f>
        <v>Open JBrowse</v>
      </c>
      <c r="H84">
        <v>2409979</v>
      </c>
      <c r="I84">
        <v>2410770</v>
      </c>
      <c r="J84" t="s">
        <v>910</v>
      </c>
      <c r="K84" t="s">
        <v>39</v>
      </c>
      <c r="L84" t="s">
        <v>40</v>
      </c>
      <c r="M84" t="s">
        <v>867</v>
      </c>
      <c r="N84" t="s">
        <v>42</v>
      </c>
      <c r="O84">
        <v>3</v>
      </c>
      <c r="P84" t="s">
        <v>42</v>
      </c>
      <c r="Q84" t="s">
        <v>43</v>
      </c>
      <c r="R84" t="s">
        <v>911</v>
      </c>
      <c r="S84" t="s">
        <v>40</v>
      </c>
      <c r="T84" t="s">
        <v>42</v>
      </c>
      <c r="U84">
        <v>34</v>
      </c>
      <c r="V84">
        <v>260</v>
      </c>
      <c r="W84">
        <v>227</v>
      </c>
      <c r="X84" t="s">
        <v>45</v>
      </c>
      <c r="Y84" t="s">
        <v>912</v>
      </c>
      <c r="Z84" t="s">
        <v>470</v>
      </c>
      <c r="AA84" t="s">
        <v>913</v>
      </c>
    </row>
    <row r="85" spans="1:34" x14ac:dyDescent="0.75">
      <c r="A85" s="22" t="s">
        <v>6047</v>
      </c>
      <c r="B85" t="s">
        <v>927</v>
      </c>
      <c r="C85" t="s">
        <v>34</v>
      </c>
      <c r="D85" t="s">
        <v>167</v>
      </c>
      <c r="E85" t="s">
        <v>168</v>
      </c>
      <c r="F85" t="s">
        <v>928</v>
      </c>
      <c r="G85" s="1" t="str">
        <f>HYPERLINK("https://homd.org/jbrowse/?data=homd_V11.02_phage_1.2%2FGCA_000413395.1&amp;loc=GCA_000413395.1%7CKE340309.1%3A702277..711057&amp;tracks=prokka,prokka_ncrna,ncbi,ncbi_ncrna,panggolin,cenote,genomad&amp;highlight=","Open JBrowse")</f>
        <v>Open JBrowse</v>
      </c>
      <c r="H85">
        <v>705277</v>
      </c>
      <c r="I85">
        <v>708057</v>
      </c>
      <c r="J85" t="s">
        <v>929</v>
      </c>
      <c r="K85" t="s">
        <v>171</v>
      </c>
      <c r="L85" t="s">
        <v>189</v>
      </c>
      <c r="M85" t="s">
        <v>190</v>
      </c>
      <c r="N85" t="s">
        <v>174</v>
      </c>
      <c r="O85">
        <v>3</v>
      </c>
      <c r="P85" t="s">
        <v>175</v>
      </c>
      <c r="Q85" t="s">
        <v>43</v>
      </c>
      <c r="R85" t="s">
        <v>930</v>
      </c>
      <c r="S85" t="s">
        <v>191</v>
      </c>
      <c r="T85" t="s">
        <v>42</v>
      </c>
      <c r="U85">
        <v>692</v>
      </c>
      <c r="V85">
        <v>910</v>
      </c>
      <c r="W85">
        <v>219</v>
      </c>
      <c r="X85" t="s">
        <v>178</v>
      </c>
      <c r="Y85" t="s">
        <v>931</v>
      </c>
      <c r="Z85" t="s">
        <v>932</v>
      </c>
      <c r="AA85" t="s">
        <v>194</v>
      </c>
      <c r="AB85" t="s">
        <v>933</v>
      </c>
      <c r="AC85" t="s">
        <v>182</v>
      </c>
      <c r="AD85" t="s">
        <v>183</v>
      </c>
      <c r="AE85">
        <v>3676.6</v>
      </c>
      <c r="AF85" t="s">
        <v>196</v>
      </c>
    </row>
    <row r="86" spans="1:34" x14ac:dyDescent="0.75">
      <c r="A86" s="22" t="s">
        <v>6047</v>
      </c>
      <c r="B86" t="s">
        <v>927</v>
      </c>
      <c r="C86" t="s">
        <v>34</v>
      </c>
      <c r="D86" t="s">
        <v>167</v>
      </c>
      <c r="E86" t="s">
        <v>168</v>
      </c>
      <c r="F86" t="s">
        <v>934</v>
      </c>
      <c r="G86" s="1" t="str">
        <f>HYPERLINK("https://homd.org/jbrowse/?data=homd_V11.02_phage_1.2%2FGCA_000413395.1&amp;loc=GCA_000413395.1%7CKE340311.1%3A192441..199292&amp;tracks=prokka,prokka_ncrna,ncbi,ncbi_ncrna,panggolin,cenote,genomad&amp;highlight=","Open JBrowse")</f>
        <v>Open JBrowse</v>
      </c>
      <c r="H86">
        <v>195441</v>
      </c>
      <c r="I86">
        <v>196292</v>
      </c>
      <c r="J86" t="s">
        <v>935</v>
      </c>
      <c r="K86" t="s">
        <v>59</v>
      </c>
      <c r="L86" t="s">
        <v>59</v>
      </c>
      <c r="M86" t="s">
        <v>59</v>
      </c>
      <c r="N86" t="s">
        <v>42</v>
      </c>
      <c r="O86">
        <v>1</v>
      </c>
      <c r="P86" t="s">
        <v>59</v>
      </c>
      <c r="Q86" t="s">
        <v>59</v>
      </c>
      <c r="R86" t="s">
        <v>930</v>
      </c>
      <c r="T86" t="s">
        <v>42</v>
      </c>
      <c r="X86" t="s">
        <v>59</v>
      </c>
    </row>
    <row r="87" spans="1:34" x14ac:dyDescent="0.75">
      <c r="A87" s="22" t="s">
        <v>6047</v>
      </c>
      <c r="B87" t="s">
        <v>927</v>
      </c>
      <c r="C87" t="s">
        <v>34</v>
      </c>
      <c r="D87" t="s">
        <v>167</v>
      </c>
      <c r="E87" t="s">
        <v>168</v>
      </c>
      <c r="F87" t="s">
        <v>934</v>
      </c>
      <c r="G87" s="1" t="str">
        <f>HYPERLINK("https://homd.org/jbrowse/?data=homd_V11.02_phage_1.2%2FGCA_000413395.1&amp;loc=GCA_000413395.1%7CKE340311.1%3A344983..353760&amp;tracks=prokka,prokka_ncrna,ncbi,ncbi_ncrna,panggolin,cenote,genomad&amp;highlight=","Open JBrowse")</f>
        <v>Open JBrowse</v>
      </c>
      <c r="H87">
        <v>347983</v>
      </c>
      <c r="I87">
        <v>350760</v>
      </c>
      <c r="J87" t="s">
        <v>936</v>
      </c>
      <c r="K87" t="s">
        <v>171</v>
      </c>
      <c r="L87" t="s">
        <v>937</v>
      </c>
      <c r="M87" t="s">
        <v>173</v>
      </c>
      <c r="N87" t="s">
        <v>174</v>
      </c>
      <c r="O87">
        <v>3</v>
      </c>
      <c r="P87" t="s">
        <v>175</v>
      </c>
      <c r="Q87" t="s">
        <v>43</v>
      </c>
      <c r="R87" t="s">
        <v>930</v>
      </c>
      <c r="S87" t="s">
        <v>177</v>
      </c>
      <c r="T87" t="s">
        <v>42</v>
      </c>
      <c r="U87">
        <v>691</v>
      </c>
      <c r="V87">
        <v>909</v>
      </c>
      <c r="W87">
        <v>219</v>
      </c>
      <c r="X87" t="s">
        <v>178</v>
      </c>
      <c r="Y87" t="s">
        <v>938</v>
      </c>
      <c r="Z87" t="s">
        <v>118</v>
      </c>
      <c r="AA87" t="s">
        <v>939</v>
      </c>
      <c r="AB87" t="s">
        <v>940</v>
      </c>
      <c r="AC87" t="s">
        <v>182</v>
      </c>
      <c r="AD87" t="s">
        <v>183</v>
      </c>
      <c r="AE87">
        <v>6311.6</v>
      </c>
      <c r="AF87" t="s">
        <v>941</v>
      </c>
      <c r="AG87" t="s">
        <v>185</v>
      </c>
      <c r="AH87">
        <v>2</v>
      </c>
    </row>
    <row r="88" spans="1:34" x14ac:dyDescent="0.75">
      <c r="A88" s="22" t="s">
        <v>6047</v>
      </c>
      <c r="B88" t="s">
        <v>1453</v>
      </c>
      <c r="C88" t="s">
        <v>34</v>
      </c>
      <c r="D88" t="s">
        <v>1454</v>
      </c>
      <c r="E88" t="s">
        <v>1455</v>
      </c>
      <c r="F88" t="s">
        <v>1456</v>
      </c>
      <c r="G88" s="1" t="str">
        <f>HYPERLINK("https://homd.org/jbrowse/?data=homd_V11.02_phage_1.2%2FGCA_001314975.1&amp;loc=GCA_001314975.1%7CCP012937.1%3A2184764..2191606&amp;tracks=prokka,prokka_ncrna,ncbi,ncbi_ncrna,panggolin,cenote,genomad&amp;highlight=","Open JBrowse")</f>
        <v>Open JBrowse</v>
      </c>
      <c r="H88">
        <v>2187764</v>
      </c>
      <c r="I88">
        <v>2188606</v>
      </c>
      <c r="J88" t="s">
        <v>1457</v>
      </c>
      <c r="K88" t="s">
        <v>59</v>
      </c>
      <c r="L88" t="s">
        <v>59</v>
      </c>
      <c r="M88" t="s">
        <v>59</v>
      </c>
      <c r="N88" t="s">
        <v>42</v>
      </c>
      <c r="O88">
        <v>1</v>
      </c>
      <c r="P88" t="s">
        <v>59</v>
      </c>
      <c r="Q88" t="s">
        <v>59</v>
      </c>
      <c r="R88" t="s">
        <v>1458</v>
      </c>
      <c r="T88" t="s">
        <v>42</v>
      </c>
      <c r="X88" t="s">
        <v>59</v>
      </c>
    </row>
    <row r="89" spans="1:34" x14ac:dyDescent="0.75">
      <c r="A89" s="22" t="s">
        <v>6047</v>
      </c>
      <c r="B89" t="s">
        <v>1453</v>
      </c>
      <c r="C89" t="s">
        <v>34</v>
      </c>
      <c r="D89" t="s">
        <v>1454</v>
      </c>
      <c r="E89" t="s">
        <v>1455</v>
      </c>
      <c r="F89" t="s">
        <v>1456</v>
      </c>
      <c r="G89" s="1" t="str">
        <f>HYPERLINK("https://homd.org/jbrowse/?data=homd_V11.02_phage_1.2%2FGCA_001314975.1&amp;loc=GCA_001314975.1%7CCP012937.1%3A373832..380950&amp;tracks=prokka,prokka_ncrna,ncbi,ncbi_ncrna,panggolin,cenote,genomad&amp;highlight=","Open JBrowse")</f>
        <v>Open JBrowse</v>
      </c>
      <c r="H89">
        <v>376832</v>
      </c>
      <c r="I89">
        <v>377950</v>
      </c>
      <c r="J89" t="s">
        <v>1459</v>
      </c>
      <c r="K89" t="s">
        <v>39</v>
      </c>
      <c r="L89" t="s">
        <v>1460</v>
      </c>
      <c r="M89" t="s">
        <v>1461</v>
      </c>
      <c r="N89" t="s">
        <v>42</v>
      </c>
      <c r="O89">
        <v>3</v>
      </c>
      <c r="P89" t="s">
        <v>42</v>
      </c>
      <c r="Q89" t="s">
        <v>43</v>
      </c>
      <c r="R89" t="s">
        <v>1458</v>
      </c>
      <c r="S89" t="s">
        <v>1460</v>
      </c>
      <c r="T89" t="s">
        <v>42</v>
      </c>
      <c r="U89">
        <v>138</v>
      </c>
      <c r="V89">
        <v>367</v>
      </c>
      <c r="W89">
        <v>230</v>
      </c>
      <c r="X89" t="s">
        <v>971</v>
      </c>
      <c r="Y89" t="s">
        <v>1462</v>
      </c>
      <c r="Z89" t="s">
        <v>1463</v>
      </c>
      <c r="AA89" t="s">
        <v>1464</v>
      </c>
      <c r="AB89" t="s">
        <v>1465</v>
      </c>
      <c r="AC89" t="s">
        <v>984</v>
      </c>
      <c r="AD89" t="s">
        <v>985</v>
      </c>
      <c r="AE89">
        <v>3999</v>
      </c>
      <c r="AF89" t="s">
        <v>1466</v>
      </c>
    </row>
    <row r="90" spans="1:34" x14ac:dyDescent="0.75">
      <c r="A90" s="22" t="s">
        <v>6047</v>
      </c>
      <c r="B90" t="s">
        <v>1453</v>
      </c>
      <c r="C90" t="s">
        <v>34</v>
      </c>
      <c r="D90" t="s">
        <v>1454</v>
      </c>
      <c r="E90" t="s">
        <v>1455</v>
      </c>
      <c r="F90" t="s">
        <v>1456</v>
      </c>
      <c r="G90" s="1" t="str">
        <f>HYPERLINK("https://homd.org/jbrowse/?data=homd_V11.02_phage_1.2%2FGCA_001314975.1&amp;loc=GCA_001314975.1%7CCP012937.1%3A5410106..5417200&amp;tracks=prokka,prokka_ncrna,ncbi,ncbi_ncrna,panggolin,cenote,genomad&amp;highlight=","Open JBrowse")</f>
        <v>Open JBrowse</v>
      </c>
      <c r="H90">
        <v>5413106</v>
      </c>
      <c r="I90">
        <v>5414200</v>
      </c>
      <c r="J90" t="s">
        <v>1467</v>
      </c>
      <c r="K90" t="s">
        <v>109</v>
      </c>
      <c r="L90" t="s">
        <v>1468</v>
      </c>
      <c r="M90" t="s">
        <v>1469</v>
      </c>
      <c r="N90" t="s">
        <v>42</v>
      </c>
      <c r="O90">
        <v>3</v>
      </c>
      <c r="P90" t="s">
        <v>42</v>
      </c>
      <c r="Q90" t="s">
        <v>101</v>
      </c>
      <c r="R90" t="s">
        <v>1458</v>
      </c>
      <c r="S90" t="s">
        <v>1468</v>
      </c>
      <c r="T90" t="s">
        <v>42</v>
      </c>
      <c r="U90">
        <v>133</v>
      </c>
      <c r="V90">
        <v>361</v>
      </c>
      <c r="W90">
        <v>229</v>
      </c>
      <c r="X90" t="s">
        <v>248</v>
      </c>
      <c r="Y90" t="s">
        <v>1470</v>
      </c>
      <c r="Z90" t="s">
        <v>1471</v>
      </c>
      <c r="AA90" t="s">
        <v>1472</v>
      </c>
      <c r="AB90" t="s">
        <v>1473</v>
      </c>
      <c r="AC90" t="s">
        <v>316</v>
      </c>
      <c r="AD90" t="s">
        <v>101</v>
      </c>
      <c r="AE90">
        <v>5441</v>
      </c>
      <c r="AF90" t="s">
        <v>1474</v>
      </c>
    </row>
    <row r="91" spans="1:34" x14ac:dyDescent="0.75">
      <c r="A91" s="22" t="s">
        <v>6047</v>
      </c>
      <c r="B91" t="s">
        <v>1453</v>
      </c>
      <c r="C91" t="s">
        <v>34</v>
      </c>
      <c r="D91" t="s">
        <v>1454</v>
      </c>
      <c r="E91" t="s">
        <v>1455</v>
      </c>
      <c r="F91" t="s">
        <v>1456</v>
      </c>
      <c r="G91" s="1" t="str">
        <f>HYPERLINK("https://homd.org/jbrowse/?data=homd_V11.02_phage_1.2%2FGCA_001314975.1&amp;loc=GCA_001314975.1%7CCP012937.1%3A5462043..5468849&amp;tracks=prokka,prokka_ncrna,ncbi,ncbi_ncrna,panggolin,cenote,genomad&amp;highlight=","Open JBrowse")</f>
        <v>Open JBrowse</v>
      </c>
      <c r="H91">
        <v>5465043</v>
      </c>
      <c r="I91">
        <v>5465849</v>
      </c>
      <c r="J91" t="s">
        <v>1475</v>
      </c>
      <c r="K91" t="s">
        <v>39</v>
      </c>
      <c r="L91" t="s">
        <v>1476</v>
      </c>
      <c r="M91" t="s">
        <v>1477</v>
      </c>
      <c r="N91" t="s">
        <v>42</v>
      </c>
      <c r="O91">
        <v>3</v>
      </c>
      <c r="P91" t="s">
        <v>42</v>
      </c>
      <c r="Q91" t="s">
        <v>43</v>
      </c>
      <c r="R91" t="s">
        <v>1458</v>
      </c>
      <c r="S91" t="s">
        <v>1476</v>
      </c>
      <c r="T91" t="s">
        <v>42</v>
      </c>
      <c r="U91">
        <v>36</v>
      </c>
      <c r="V91">
        <v>262</v>
      </c>
      <c r="W91">
        <v>227</v>
      </c>
      <c r="X91" t="s">
        <v>45</v>
      </c>
    </row>
    <row r="92" spans="1:34" x14ac:dyDescent="0.75">
      <c r="A92" s="22" t="s">
        <v>6047</v>
      </c>
      <c r="B92" t="s">
        <v>1453</v>
      </c>
      <c r="C92" t="s">
        <v>34</v>
      </c>
      <c r="D92" t="s">
        <v>1454</v>
      </c>
      <c r="E92" t="s">
        <v>1455</v>
      </c>
      <c r="F92" t="s">
        <v>1456</v>
      </c>
      <c r="G92" s="1" t="str">
        <f>HYPERLINK("https://homd.org/jbrowse/?data=homd_V11.02_phage_1.2%2FGCA_001314975.1&amp;loc=GCA_001314975.1%7CCP012937.1%3A5708574..5716469&amp;tracks=prokka,prokka_ncrna,ncbi,ncbi_ncrna,panggolin,cenote,genomad&amp;highlight=","Open JBrowse")</f>
        <v>Open JBrowse</v>
      </c>
      <c r="H92">
        <v>5711574</v>
      </c>
      <c r="I92">
        <v>5713469</v>
      </c>
      <c r="J92" t="s">
        <v>1478</v>
      </c>
      <c r="K92" t="s">
        <v>627</v>
      </c>
      <c r="L92" t="s">
        <v>1479</v>
      </c>
      <c r="M92" t="s">
        <v>1480</v>
      </c>
      <c r="N92" t="s">
        <v>1481</v>
      </c>
      <c r="O92">
        <v>3</v>
      </c>
      <c r="P92" t="s">
        <v>1482</v>
      </c>
      <c r="Q92" t="s">
        <v>59</v>
      </c>
      <c r="R92" t="s">
        <v>1458</v>
      </c>
      <c r="S92" t="s">
        <v>1483</v>
      </c>
      <c r="T92" t="s">
        <v>42</v>
      </c>
      <c r="U92">
        <v>29</v>
      </c>
      <c r="V92">
        <v>280</v>
      </c>
      <c r="W92">
        <v>252</v>
      </c>
      <c r="X92" t="s">
        <v>1484</v>
      </c>
      <c r="Y92" t="s">
        <v>1485</v>
      </c>
      <c r="Z92" t="s">
        <v>1486</v>
      </c>
      <c r="AA92" t="s">
        <v>1487</v>
      </c>
      <c r="AB92" t="s">
        <v>1488</v>
      </c>
      <c r="AC92" t="s">
        <v>1489</v>
      </c>
      <c r="AD92" t="s">
        <v>638</v>
      </c>
      <c r="AE92">
        <v>15572</v>
      </c>
      <c r="AF92" t="s">
        <v>1490</v>
      </c>
      <c r="AG92" t="s">
        <v>51</v>
      </c>
      <c r="AH92">
        <v>6</v>
      </c>
    </row>
    <row r="93" spans="1:34" x14ac:dyDescent="0.75">
      <c r="A93" s="22" t="s">
        <v>6047</v>
      </c>
      <c r="B93" t="s">
        <v>1491</v>
      </c>
      <c r="C93" t="s">
        <v>34</v>
      </c>
      <c r="D93" t="s">
        <v>1492</v>
      </c>
      <c r="E93" t="s">
        <v>1493</v>
      </c>
      <c r="F93" t="s">
        <v>1494</v>
      </c>
      <c r="G93" s="1" t="str">
        <f>HYPERLINK("https://homd.org/jbrowse/?data=homd_V11.02_phage_1.2%2FGCA_001314995.1&amp;loc=GCA_001314995.1%7CCP012938.1%3A1877898..1884737&amp;tracks=prokka,prokka_ncrna,ncbi,ncbi_ncrna,panggolin,cenote,genomad&amp;highlight=","Open JBrowse")</f>
        <v>Open JBrowse</v>
      </c>
      <c r="H93">
        <v>1880898</v>
      </c>
      <c r="I93">
        <v>1881737</v>
      </c>
      <c r="J93" t="s">
        <v>1495</v>
      </c>
      <c r="K93" t="s">
        <v>59</v>
      </c>
      <c r="L93" t="s">
        <v>59</v>
      </c>
      <c r="M93" t="s">
        <v>59</v>
      </c>
      <c r="N93" t="s">
        <v>42</v>
      </c>
      <c r="O93">
        <v>1</v>
      </c>
      <c r="P93" t="s">
        <v>59</v>
      </c>
      <c r="Q93" t="s">
        <v>59</v>
      </c>
      <c r="R93" t="s">
        <v>1496</v>
      </c>
      <c r="T93" t="s">
        <v>42</v>
      </c>
      <c r="X93" t="s">
        <v>59</v>
      </c>
    </row>
    <row r="94" spans="1:34" x14ac:dyDescent="0.75">
      <c r="A94" s="22" t="s">
        <v>6047</v>
      </c>
      <c r="B94" t="s">
        <v>1491</v>
      </c>
      <c r="C94" t="s">
        <v>34</v>
      </c>
      <c r="D94" t="s">
        <v>1492</v>
      </c>
      <c r="E94" t="s">
        <v>1493</v>
      </c>
      <c r="F94" t="s">
        <v>1494</v>
      </c>
      <c r="G94" s="1" t="str">
        <f>HYPERLINK("https://homd.org/jbrowse/?data=homd_V11.02_phage_1.2%2FGCA_001314995.1&amp;loc=GCA_001314995.1%7CCP012938.1%3A3307379..3314182&amp;tracks=prokka,prokka_ncrna,ncbi,ncbi_ncrna,panggolin,cenote,genomad&amp;highlight=","Open JBrowse")</f>
        <v>Open JBrowse</v>
      </c>
      <c r="H94">
        <v>3310379</v>
      </c>
      <c r="I94">
        <v>3311182</v>
      </c>
      <c r="J94" t="s">
        <v>1497</v>
      </c>
      <c r="K94" t="s">
        <v>39</v>
      </c>
      <c r="L94" t="s">
        <v>123</v>
      </c>
      <c r="M94" t="s">
        <v>124</v>
      </c>
      <c r="N94" t="s">
        <v>42</v>
      </c>
      <c r="O94">
        <v>3</v>
      </c>
      <c r="P94" t="s">
        <v>42</v>
      </c>
      <c r="Q94" t="s">
        <v>43</v>
      </c>
      <c r="R94" t="s">
        <v>1496</v>
      </c>
      <c r="S94" t="s">
        <v>123</v>
      </c>
      <c r="T94" t="s">
        <v>42</v>
      </c>
      <c r="U94">
        <v>35</v>
      </c>
      <c r="V94">
        <v>261</v>
      </c>
      <c r="W94">
        <v>227</v>
      </c>
      <c r="X94" t="s">
        <v>45</v>
      </c>
      <c r="Y94" t="s">
        <v>1498</v>
      </c>
      <c r="Z94" t="s">
        <v>1499</v>
      </c>
      <c r="AA94" t="s">
        <v>1500</v>
      </c>
    </row>
    <row r="95" spans="1:34" x14ac:dyDescent="0.75">
      <c r="A95" s="22" t="s">
        <v>6047</v>
      </c>
      <c r="B95" t="s">
        <v>1491</v>
      </c>
      <c r="C95" t="s">
        <v>34</v>
      </c>
      <c r="D95" t="s">
        <v>1492</v>
      </c>
      <c r="E95" t="s">
        <v>1493</v>
      </c>
      <c r="F95" t="s">
        <v>1494</v>
      </c>
      <c r="G95" s="1" t="str">
        <f>HYPERLINK("https://homd.org/jbrowse/?data=homd_V11.02_phage_1.2%2FGCA_001314995.1&amp;loc=GCA_001314995.1%7CCP012938.1%3A3923481..3930296&amp;tracks=prokka,prokka_ncrna,ncbi,ncbi_ncrna,panggolin,cenote,genomad&amp;highlight=","Open JBrowse")</f>
        <v>Open JBrowse</v>
      </c>
      <c r="H95">
        <v>3926481</v>
      </c>
      <c r="I95">
        <v>3927296</v>
      </c>
      <c r="J95" t="s">
        <v>1501</v>
      </c>
      <c r="K95" t="s">
        <v>996</v>
      </c>
      <c r="L95" t="s">
        <v>343</v>
      </c>
      <c r="M95" t="s">
        <v>1502</v>
      </c>
      <c r="N95" t="s">
        <v>42</v>
      </c>
      <c r="O95">
        <v>3</v>
      </c>
      <c r="P95" t="s">
        <v>42</v>
      </c>
      <c r="Q95" t="s">
        <v>101</v>
      </c>
      <c r="R95" t="s">
        <v>1496</v>
      </c>
      <c r="S95" t="s">
        <v>343</v>
      </c>
      <c r="T95" t="s">
        <v>42</v>
      </c>
      <c r="U95">
        <v>38</v>
      </c>
      <c r="V95">
        <v>270</v>
      </c>
      <c r="W95">
        <v>233</v>
      </c>
      <c r="X95" t="s">
        <v>999</v>
      </c>
      <c r="Y95" t="s">
        <v>1503</v>
      </c>
      <c r="Z95" t="s">
        <v>444</v>
      </c>
      <c r="AA95" t="s">
        <v>1504</v>
      </c>
      <c r="AB95" t="s">
        <v>1505</v>
      </c>
      <c r="AC95" t="s">
        <v>1003</v>
      </c>
      <c r="AD95" t="s">
        <v>101</v>
      </c>
      <c r="AE95">
        <v>10479</v>
      </c>
      <c r="AF95" t="s">
        <v>1506</v>
      </c>
      <c r="AG95" t="s">
        <v>101</v>
      </c>
      <c r="AH95">
        <v>2</v>
      </c>
    </row>
    <row r="96" spans="1:34" x14ac:dyDescent="0.75">
      <c r="A96" s="22" t="s">
        <v>6047</v>
      </c>
      <c r="B96" t="s">
        <v>1603</v>
      </c>
      <c r="C96" t="s">
        <v>34</v>
      </c>
      <c r="D96" t="s">
        <v>1604</v>
      </c>
      <c r="E96" t="s">
        <v>1605</v>
      </c>
      <c r="F96" t="s">
        <v>1606</v>
      </c>
      <c r="G96" s="1" t="str">
        <f>HYPERLINK("https://homd.org/jbrowse/?data=homd_V11.02_phage_1.2%2FGCA_001640865.1&amp;loc=GCA_001640865.1%7CCP011531.1%3A3148508..3155284&amp;tracks=prokka,prokka_ncrna,ncbi,ncbi_ncrna,panggolin,cenote,genomad&amp;highlight=","Open JBrowse")</f>
        <v>Open JBrowse</v>
      </c>
      <c r="H96">
        <v>3151508</v>
      </c>
      <c r="I96">
        <v>3152284</v>
      </c>
      <c r="J96" t="s">
        <v>1607</v>
      </c>
      <c r="K96" t="s">
        <v>39</v>
      </c>
      <c r="L96" t="s">
        <v>1608</v>
      </c>
      <c r="M96" t="s">
        <v>1609</v>
      </c>
      <c r="N96" t="s">
        <v>42</v>
      </c>
      <c r="O96">
        <v>3</v>
      </c>
      <c r="P96" t="s">
        <v>42</v>
      </c>
      <c r="Q96" t="s">
        <v>43</v>
      </c>
      <c r="R96" t="s">
        <v>1610</v>
      </c>
      <c r="S96" t="s">
        <v>1608</v>
      </c>
      <c r="T96" t="s">
        <v>42</v>
      </c>
      <c r="U96">
        <v>27</v>
      </c>
      <c r="V96">
        <v>255</v>
      </c>
      <c r="W96">
        <v>229</v>
      </c>
      <c r="X96" t="s">
        <v>45</v>
      </c>
      <c r="Y96" t="s">
        <v>1611</v>
      </c>
      <c r="Z96" t="s">
        <v>1612</v>
      </c>
      <c r="AA96" t="s">
        <v>1613</v>
      </c>
      <c r="AB96" t="s">
        <v>1614</v>
      </c>
      <c r="AC96" t="s">
        <v>1489</v>
      </c>
      <c r="AD96" t="s">
        <v>638</v>
      </c>
      <c r="AE96">
        <v>177.5</v>
      </c>
      <c r="AF96" t="s">
        <v>102</v>
      </c>
    </row>
    <row r="97" spans="1:34" x14ac:dyDescent="0.75">
      <c r="A97" s="22" t="s">
        <v>6047</v>
      </c>
      <c r="B97" t="s">
        <v>1603</v>
      </c>
      <c r="C97" t="s">
        <v>34</v>
      </c>
      <c r="D97" t="s">
        <v>1604</v>
      </c>
      <c r="E97" t="s">
        <v>1605</v>
      </c>
      <c r="F97" t="s">
        <v>1606</v>
      </c>
      <c r="G97" s="1" t="str">
        <f>HYPERLINK("https://homd.org/jbrowse/?data=homd_V11.02_phage_1.2%2FGCA_001640865.1&amp;loc=GCA_001640865.1%7CCP011531.1%3A54952..61743&amp;tracks=prokka,prokka_ncrna,ncbi,ncbi_ncrna,panggolin,cenote,genomad&amp;highlight=","Open JBrowse")</f>
        <v>Open JBrowse</v>
      </c>
      <c r="H97">
        <v>57952</v>
      </c>
      <c r="I97">
        <v>58743</v>
      </c>
      <c r="J97" t="s">
        <v>1615</v>
      </c>
      <c r="K97" t="s">
        <v>39</v>
      </c>
      <c r="L97" t="s">
        <v>40</v>
      </c>
      <c r="M97" t="s">
        <v>41</v>
      </c>
      <c r="N97" t="s">
        <v>42</v>
      </c>
      <c r="O97">
        <v>3</v>
      </c>
      <c r="P97" t="s">
        <v>42</v>
      </c>
      <c r="Q97" t="s">
        <v>43</v>
      </c>
      <c r="R97" t="s">
        <v>1610</v>
      </c>
      <c r="S97" t="s">
        <v>40</v>
      </c>
      <c r="T97" t="s">
        <v>42</v>
      </c>
      <c r="U97">
        <v>34</v>
      </c>
      <c r="V97">
        <v>260</v>
      </c>
      <c r="W97">
        <v>227</v>
      </c>
      <c r="X97" t="s">
        <v>45</v>
      </c>
      <c r="Y97" t="s">
        <v>1616</v>
      </c>
      <c r="Z97" t="s">
        <v>645</v>
      </c>
      <c r="AA97" t="s">
        <v>1617</v>
      </c>
      <c r="AB97" t="s">
        <v>1618</v>
      </c>
      <c r="AC97" t="s">
        <v>50</v>
      </c>
      <c r="AD97" t="s">
        <v>51</v>
      </c>
      <c r="AE97">
        <v>9882.5</v>
      </c>
      <c r="AF97" t="s">
        <v>1619</v>
      </c>
      <c r="AG97" t="s">
        <v>51</v>
      </c>
      <c r="AH97">
        <v>4</v>
      </c>
    </row>
    <row r="98" spans="1:34" x14ac:dyDescent="0.75">
      <c r="A98" s="22" t="s">
        <v>6047</v>
      </c>
      <c r="B98" t="s">
        <v>1634</v>
      </c>
      <c r="C98" t="s">
        <v>34</v>
      </c>
      <c r="D98" t="s">
        <v>73</v>
      </c>
      <c r="E98" t="s">
        <v>74</v>
      </c>
      <c r="F98" t="s">
        <v>1635</v>
      </c>
      <c r="G98" s="1" t="str">
        <f>HYPERLINK("https://homd.org/jbrowse/?data=homd_V11.02_phage_1.2%2FGCA_001688765.2&amp;loc=GCA_001688765.2%7CCP015409.2%3A1493969..1500865&amp;tracks=prokka,prokka_ncrna,ncbi,ncbi_ncrna,panggolin,cenote,genomad&amp;highlight=","Open JBrowse")</f>
        <v>Open JBrowse</v>
      </c>
      <c r="H98">
        <v>1496969</v>
      </c>
      <c r="I98">
        <v>1497865</v>
      </c>
      <c r="J98" t="s">
        <v>1636</v>
      </c>
      <c r="K98" t="s">
        <v>77</v>
      </c>
      <c r="L98" t="s">
        <v>78</v>
      </c>
      <c r="M98" t="s">
        <v>79</v>
      </c>
      <c r="N98" t="s">
        <v>42</v>
      </c>
      <c r="O98">
        <v>3</v>
      </c>
      <c r="P98" t="s">
        <v>42</v>
      </c>
      <c r="Q98" t="s">
        <v>43</v>
      </c>
      <c r="R98" t="s">
        <v>1637</v>
      </c>
      <c r="S98" t="s">
        <v>78</v>
      </c>
      <c r="T98" t="s">
        <v>42</v>
      </c>
      <c r="U98">
        <v>17</v>
      </c>
      <c r="V98">
        <v>266</v>
      </c>
      <c r="W98">
        <v>250</v>
      </c>
      <c r="X98" t="s">
        <v>81</v>
      </c>
      <c r="Y98" t="s">
        <v>1638</v>
      </c>
      <c r="Z98" t="s">
        <v>410</v>
      </c>
      <c r="AA98" t="s">
        <v>84</v>
      </c>
    </row>
    <row r="99" spans="1:34" x14ac:dyDescent="0.75">
      <c r="A99" s="22" t="s">
        <v>6047</v>
      </c>
      <c r="B99" t="s">
        <v>1634</v>
      </c>
      <c r="C99" t="s">
        <v>34</v>
      </c>
      <c r="D99" t="s">
        <v>73</v>
      </c>
      <c r="E99" t="s">
        <v>74</v>
      </c>
      <c r="F99" t="s">
        <v>1635</v>
      </c>
      <c r="G99" s="1" t="str">
        <f>HYPERLINK("https://homd.org/jbrowse/?data=homd_V11.02_phage_1.2%2FGCA_001688765.2&amp;loc=GCA_001688765.2%7CCP015409.2%3A2494610..2501524&amp;tracks=prokka,prokka_ncrna,ncbi,ncbi_ncrna,panggolin,cenote,genomad&amp;highlight=","Open JBrowse")</f>
        <v>Open JBrowse</v>
      </c>
      <c r="H99">
        <v>2497610</v>
      </c>
      <c r="I99">
        <v>2498524</v>
      </c>
      <c r="J99" t="s">
        <v>1639</v>
      </c>
      <c r="K99" t="s">
        <v>77</v>
      </c>
      <c r="L99" t="s">
        <v>86</v>
      </c>
      <c r="M99" t="s">
        <v>87</v>
      </c>
      <c r="N99" t="s">
        <v>42</v>
      </c>
      <c r="O99">
        <v>3</v>
      </c>
      <c r="P99" t="s">
        <v>42</v>
      </c>
      <c r="Q99" t="s">
        <v>43</v>
      </c>
      <c r="R99" t="s">
        <v>1637</v>
      </c>
      <c r="S99" t="s">
        <v>86</v>
      </c>
      <c r="T99" t="s">
        <v>42</v>
      </c>
      <c r="U99">
        <v>36</v>
      </c>
      <c r="V99">
        <v>282</v>
      </c>
      <c r="W99">
        <v>247</v>
      </c>
      <c r="X99" t="s">
        <v>88</v>
      </c>
      <c r="Y99" t="s">
        <v>1640</v>
      </c>
      <c r="Z99" t="s">
        <v>556</v>
      </c>
      <c r="AA99" t="s">
        <v>91</v>
      </c>
    </row>
    <row r="100" spans="1:34" x14ac:dyDescent="0.75">
      <c r="A100" s="22" t="s">
        <v>6047</v>
      </c>
      <c r="B100" t="s">
        <v>1634</v>
      </c>
      <c r="C100" t="s">
        <v>34</v>
      </c>
      <c r="D100" t="s">
        <v>73</v>
      </c>
      <c r="E100" t="s">
        <v>74</v>
      </c>
      <c r="F100" t="s">
        <v>1635</v>
      </c>
      <c r="G100" s="1" t="str">
        <f>HYPERLINK("https://homd.org/jbrowse/?data=homd_V11.02_phage_1.2%2FGCA_001688765.2&amp;loc=GCA_001688765.2%7CCP015409.2%3A2723233..2730174&amp;tracks=prokka,prokka_ncrna,ncbi,ncbi_ncrna,panggolin,cenote,genomad&amp;highlight=","Open JBrowse")</f>
        <v>Open JBrowse</v>
      </c>
      <c r="H100">
        <v>2726233</v>
      </c>
      <c r="I100">
        <v>2727174</v>
      </c>
      <c r="J100" t="s">
        <v>1641</v>
      </c>
      <c r="K100" t="s">
        <v>77</v>
      </c>
      <c r="L100" t="s">
        <v>93</v>
      </c>
      <c r="M100" t="s">
        <v>94</v>
      </c>
      <c r="N100" t="s">
        <v>42</v>
      </c>
      <c r="O100">
        <v>3</v>
      </c>
      <c r="P100" t="s">
        <v>42</v>
      </c>
      <c r="Q100" t="s">
        <v>43</v>
      </c>
      <c r="R100" t="s">
        <v>1637</v>
      </c>
      <c r="S100" t="s">
        <v>93</v>
      </c>
      <c r="T100" t="s">
        <v>42</v>
      </c>
      <c r="U100">
        <v>51</v>
      </c>
      <c r="V100">
        <v>296</v>
      </c>
      <c r="W100">
        <v>246</v>
      </c>
      <c r="X100" t="s">
        <v>95</v>
      </c>
      <c r="Y100" t="s">
        <v>1642</v>
      </c>
      <c r="Z100" t="s">
        <v>1643</v>
      </c>
      <c r="AA100" t="s">
        <v>1644</v>
      </c>
      <c r="AB100" t="s">
        <v>1645</v>
      </c>
      <c r="AC100" t="s">
        <v>100</v>
      </c>
      <c r="AD100" t="s">
        <v>101</v>
      </c>
      <c r="AE100">
        <v>416</v>
      </c>
      <c r="AF100" t="s">
        <v>102</v>
      </c>
    </row>
    <row r="101" spans="1:34" x14ac:dyDescent="0.75">
      <c r="A101" s="22" t="s">
        <v>6047</v>
      </c>
      <c r="B101" t="s">
        <v>1744</v>
      </c>
      <c r="C101" t="s">
        <v>34</v>
      </c>
      <c r="D101" t="s">
        <v>1745</v>
      </c>
      <c r="E101" t="s">
        <v>1746</v>
      </c>
      <c r="F101" t="s">
        <v>1747</v>
      </c>
      <c r="G101" s="1" t="str">
        <f>HYPERLINK("https://homd.org/jbrowse/?data=homd_V11.02_phage_1.2%2FGCA_002222615.2&amp;loc=GCA_002222615.2%7CCP022412.2%3A1382999..1390534&amp;tracks=prokka,prokka_ncrna,ncbi,ncbi_ncrna,panggolin,cenote,genomad&amp;highlight=","Open JBrowse")</f>
        <v>Open JBrowse</v>
      </c>
      <c r="H101">
        <v>1385999</v>
      </c>
      <c r="I101">
        <v>1387534</v>
      </c>
      <c r="J101" t="s">
        <v>1748</v>
      </c>
      <c r="K101" t="s">
        <v>59</v>
      </c>
      <c r="L101" t="s">
        <v>1749</v>
      </c>
      <c r="M101" t="s">
        <v>1750</v>
      </c>
      <c r="N101" t="s">
        <v>42</v>
      </c>
      <c r="O101">
        <v>3</v>
      </c>
      <c r="P101" t="s">
        <v>42</v>
      </c>
      <c r="Q101" t="s">
        <v>59</v>
      </c>
      <c r="R101" t="s">
        <v>1751</v>
      </c>
      <c r="S101" t="s">
        <v>1749</v>
      </c>
      <c r="T101" t="s">
        <v>42</v>
      </c>
      <c r="U101">
        <v>230</v>
      </c>
      <c r="V101">
        <v>508</v>
      </c>
      <c r="W101">
        <v>279</v>
      </c>
      <c r="X101" t="s">
        <v>1752</v>
      </c>
      <c r="Y101" t="s">
        <v>1753</v>
      </c>
      <c r="Z101" t="s">
        <v>410</v>
      </c>
      <c r="AA101" t="s">
        <v>1754</v>
      </c>
      <c r="AB101" t="s">
        <v>1755</v>
      </c>
      <c r="AC101" t="s">
        <v>637</v>
      </c>
      <c r="AD101" t="s">
        <v>638</v>
      </c>
      <c r="AE101">
        <v>7157</v>
      </c>
      <c r="AF101" t="s">
        <v>1756</v>
      </c>
      <c r="AG101" t="s">
        <v>1757</v>
      </c>
      <c r="AH101">
        <v>2</v>
      </c>
    </row>
    <row r="102" spans="1:34" x14ac:dyDescent="0.75">
      <c r="A102" s="22" t="s">
        <v>6047</v>
      </c>
      <c r="B102" t="s">
        <v>1744</v>
      </c>
      <c r="C102" t="s">
        <v>34</v>
      </c>
      <c r="D102" t="s">
        <v>1745</v>
      </c>
      <c r="E102" t="s">
        <v>1746</v>
      </c>
      <c r="F102" t="s">
        <v>1747</v>
      </c>
      <c r="G102" s="1" t="str">
        <f>HYPERLINK("https://homd.org/jbrowse/?data=homd_V11.02_phage_1.2%2FGCA_002222615.2&amp;loc=GCA_002222615.2%7CCP022412.2%3A1384551..1392458&amp;tracks=prokka,prokka_ncrna,ncbi,ncbi_ncrna,panggolin,cenote,genomad&amp;highlight=","Open JBrowse")</f>
        <v>Open JBrowse</v>
      </c>
      <c r="H102">
        <v>1387551</v>
      </c>
      <c r="I102">
        <v>1389458</v>
      </c>
      <c r="J102" t="s">
        <v>1758</v>
      </c>
      <c r="K102" t="s">
        <v>627</v>
      </c>
      <c r="L102" t="s">
        <v>1759</v>
      </c>
      <c r="M102" t="s">
        <v>1760</v>
      </c>
      <c r="N102" t="s">
        <v>1481</v>
      </c>
      <c r="O102">
        <v>3</v>
      </c>
      <c r="P102" t="s">
        <v>1482</v>
      </c>
      <c r="Q102" t="s">
        <v>59</v>
      </c>
      <c r="R102" t="s">
        <v>1751</v>
      </c>
      <c r="S102" t="s">
        <v>1761</v>
      </c>
      <c r="T102" t="s">
        <v>42</v>
      </c>
      <c r="U102">
        <v>32</v>
      </c>
      <c r="V102">
        <v>283</v>
      </c>
      <c r="W102">
        <v>252</v>
      </c>
      <c r="X102" t="s">
        <v>1484</v>
      </c>
      <c r="Y102" t="s">
        <v>1753</v>
      </c>
      <c r="Z102" t="s">
        <v>410</v>
      </c>
      <c r="AA102" t="s">
        <v>1754</v>
      </c>
      <c r="AB102" t="s">
        <v>1755</v>
      </c>
      <c r="AC102" t="s">
        <v>637</v>
      </c>
      <c r="AD102" t="s">
        <v>638</v>
      </c>
      <c r="AE102">
        <v>7157</v>
      </c>
      <c r="AF102" t="s">
        <v>1756</v>
      </c>
      <c r="AG102" t="s">
        <v>1757</v>
      </c>
      <c r="AH102">
        <v>2</v>
      </c>
    </row>
    <row r="103" spans="1:34" x14ac:dyDescent="0.75">
      <c r="A103" s="22" t="s">
        <v>6047</v>
      </c>
      <c r="B103" t="s">
        <v>1744</v>
      </c>
      <c r="C103" t="s">
        <v>34</v>
      </c>
      <c r="D103" t="s">
        <v>1745</v>
      </c>
      <c r="E103" t="s">
        <v>1746</v>
      </c>
      <c r="F103" t="s">
        <v>1747</v>
      </c>
      <c r="G103" s="1" t="str">
        <f>HYPERLINK("https://homd.org/jbrowse/?data=homd_V11.02_phage_1.2%2FGCA_002222615.2&amp;loc=GCA_002222615.2%7CCP022412.2%3A146070..152912&amp;tracks=prokka,prokka_ncrna,ncbi,ncbi_ncrna,panggolin,cenote,genomad&amp;highlight=","Open JBrowse")</f>
        <v>Open JBrowse</v>
      </c>
      <c r="H103">
        <v>149070</v>
      </c>
      <c r="I103">
        <v>149912</v>
      </c>
      <c r="J103" t="s">
        <v>1762</v>
      </c>
      <c r="K103" t="s">
        <v>77</v>
      </c>
      <c r="L103" t="s">
        <v>1763</v>
      </c>
      <c r="M103" t="s">
        <v>1764</v>
      </c>
      <c r="N103" t="s">
        <v>42</v>
      </c>
      <c r="O103">
        <v>3</v>
      </c>
      <c r="P103" t="s">
        <v>42</v>
      </c>
      <c r="Q103" t="s">
        <v>43</v>
      </c>
      <c r="R103" t="s">
        <v>1751</v>
      </c>
      <c r="S103" t="s">
        <v>1763</v>
      </c>
      <c r="T103" t="s">
        <v>42</v>
      </c>
      <c r="U103">
        <v>39</v>
      </c>
      <c r="V103">
        <v>270</v>
      </c>
      <c r="W103">
        <v>232</v>
      </c>
      <c r="X103" t="s">
        <v>1765</v>
      </c>
      <c r="Y103" t="s">
        <v>1766</v>
      </c>
      <c r="Z103" t="s">
        <v>645</v>
      </c>
      <c r="AA103" t="s">
        <v>1767</v>
      </c>
      <c r="AB103" t="s">
        <v>1768</v>
      </c>
      <c r="AC103" t="s">
        <v>984</v>
      </c>
      <c r="AD103" t="s">
        <v>985</v>
      </c>
      <c r="AE103">
        <v>920</v>
      </c>
      <c r="AF103" t="s">
        <v>986</v>
      </c>
      <c r="AG103" t="s">
        <v>185</v>
      </c>
      <c r="AH103">
        <v>2</v>
      </c>
    </row>
    <row r="104" spans="1:34" x14ac:dyDescent="0.75">
      <c r="A104" s="22" t="s">
        <v>6047</v>
      </c>
      <c r="B104" t="s">
        <v>1744</v>
      </c>
      <c r="C104" t="s">
        <v>34</v>
      </c>
      <c r="D104" t="s">
        <v>1745</v>
      </c>
      <c r="E104" t="s">
        <v>1746</v>
      </c>
      <c r="F104" t="s">
        <v>1747</v>
      </c>
      <c r="G104" s="1" t="str">
        <f>HYPERLINK("https://homd.org/jbrowse/?data=homd_V11.02_phage_1.2%2FGCA_002222615.2&amp;loc=GCA_002222615.2%7CCP022412.2%3A147114..153938&amp;tracks=prokka,prokka_ncrna,ncbi,ncbi_ncrna,panggolin,cenote,genomad&amp;highlight=","Open JBrowse")</f>
        <v>Open JBrowse</v>
      </c>
      <c r="H104">
        <v>150114</v>
      </c>
      <c r="I104">
        <v>150938</v>
      </c>
      <c r="J104" t="s">
        <v>1769</v>
      </c>
      <c r="K104" t="s">
        <v>1770</v>
      </c>
      <c r="L104" t="s">
        <v>1771</v>
      </c>
      <c r="M104" t="s">
        <v>1772</v>
      </c>
      <c r="N104" t="s">
        <v>42</v>
      </c>
      <c r="O104">
        <v>3</v>
      </c>
      <c r="P104" t="s">
        <v>42</v>
      </c>
      <c r="Q104" t="s">
        <v>43</v>
      </c>
      <c r="R104" t="s">
        <v>1751</v>
      </c>
      <c r="S104" t="s">
        <v>1771</v>
      </c>
      <c r="T104" t="s">
        <v>42</v>
      </c>
      <c r="U104">
        <v>48</v>
      </c>
      <c r="V104">
        <v>271</v>
      </c>
      <c r="W104">
        <v>224</v>
      </c>
      <c r="X104" t="s">
        <v>1773</v>
      </c>
      <c r="Y104" t="s">
        <v>1766</v>
      </c>
      <c r="Z104" t="s">
        <v>645</v>
      </c>
      <c r="AA104" t="s">
        <v>1767</v>
      </c>
      <c r="AB104" t="s">
        <v>1768</v>
      </c>
      <c r="AC104" t="s">
        <v>984</v>
      </c>
      <c r="AD104" t="s">
        <v>985</v>
      </c>
      <c r="AE104">
        <v>920</v>
      </c>
      <c r="AF104" t="s">
        <v>986</v>
      </c>
      <c r="AG104" t="s">
        <v>185</v>
      </c>
      <c r="AH104">
        <v>2</v>
      </c>
    </row>
    <row r="105" spans="1:34" x14ac:dyDescent="0.75">
      <c r="A105" s="22" t="s">
        <v>6047</v>
      </c>
      <c r="B105" t="s">
        <v>1744</v>
      </c>
      <c r="C105" t="s">
        <v>34</v>
      </c>
      <c r="D105" t="s">
        <v>1745</v>
      </c>
      <c r="E105" t="s">
        <v>1746</v>
      </c>
      <c r="F105" t="s">
        <v>1747</v>
      </c>
      <c r="G105" s="1" t="str">
        <f>HYPERLINK("https://homd.org/jbrowse/?data=homd_V11.02_phage_1.2%2FGCA_002222615.2&amp;loc=GCA_002222615.2%7CCP022412.2%3A311894..318697&amp;tracks=prokka,prokka_ncrna,ncbi,ncbi_ncrna,panggolin,cenote,genomad&amp;highlight=","Open JBrowse")</f>
        <v>Open JBrowse</v>
      </c>
      <c r="H105">
        <v>314894</v>
      </c>
      <c r="I105">
        <v>315697</v>
      </c>
      <c r="J105" t="s">
        <v>1774</v>
      </c>
      <c r="K105" t="s">
        <v>39</v>
      </c>
      <c r="L105" t="s">
        <v>123</v>
      </c>
      <c r="M105" t="s">
        <v>124</v>
      </c>
      <c r="N105" t="s">
        <v>42</v>
      </c>
      <c r="O105">
        <v>3</v>
      </c>
      <c r="P105" t="s">
        <v>42</v>
      </c>
      <c r="Q105" t="s">
        <v>43</v>
      </c>
      <c r="R105" t="s">
        <v>1751</v>
      </c>
      <c r="S105" t="s">
        <v>123</v>
      </c>
      <c r="T105" t="s">
        <v>42</v>
      </c>
      <c r="U105">
        <v>35</v>
      </c>
      <c r="V105">
        <v>261</v>
      </c>
      <c r="W105">
        <v>227</v>
      </c>
      <c r="X105" t="s">
        <v>45</v>
      </c>
    </row>
    <row r="106" spans="1:34" x14ac:dyDescent="0.75">
      <c r="A106" s="22" t="s">
        <v>6047</v>
      </c>
      <c r="B106" t="s">
        <v>1744</v>
      </c>
      <c r="C106" t="s">
        <v>34</v>
      </c>
      <c r="D106" t="s">
        <v>1745</v>
      </c>
      <c r="E106" t="s">
        <v>1746</v>
      </c>
      <c r="F106" t="s">
        <v>1747</v>
      </c>
      <c r="G106" s="1" t="str">
        <f>HYPERLINK("https://homd.org/jbrowse/?data=homd_V11.02_phage_1.2%2FGCA_002222615.2&amp;loc=GCA_002222615.2%7CCP022412.2%3A3805369..3812217&amp;tracks=prokka,prokka_ncrna,ncbi,ncbi_ncrna,panggolin,cenote,genomad&amp;highlight=","Open JBrowse")</f>
        <v>Open JBrowse</v>
      </c>
      <c r="H106">
        <v>3808369</v>
      </c>
      <c r="I106">
        <v>3809217</v>
      </c>
      <c r="J106" t="s">
        <v>1775</v>
      </c>
      <c r="K106" t="s">
        <v>59</v>
      </c>
      <c r="L106" t="s">
        <v>59</v>
      </c>
      <c r="M106" t="s">
        <v>59</v>
      </c>
      <c r="N106" t="s">
        <v>42</v>
      </c>
      <c r="O106">
        <v>1</v>
      </c>
      <c r="P106" t="s">
        <v>59</v>
      </c>
      <c r="Q106" t="s">
        <v>59</v>
      </c>
      <c r="R106" t="s">
        <v>1751</v>
      </c>
      <c r="T106" t="s">
        <v>42</v>
      </c>
      <c r="X106" t="s">
        <v>59</v>
      </c>
      <c r="Y106" t="s">
        <v>1776</v>
      </c>
      <c r="Z106" t="s">
        <v>1777</v>
      </c>
      <c r="AA106" t="s">
        <v>1778</v>
      </c>
      <c r="AB106" t="s">
        <v>1779</v>
      </c>
      <c r="AC106" t="s">
        <v>1780</v>
      </c>
      <c r="AD106" t="s">
        <v>183</v>
      </c>
      <c r="AE106">
        <v>1746</v>
      </c>
      <c r="AF106" t="s">
        <v>1781</v>
      </c>
      <c r="AG106" t="s">
        <v>185</v>
      </c>
      <c r="AH106">
        <v>2</v>
      </c>
    </row>
    <row r="107" spans="1:34" x14ac:dyDescent="0.75">
      <c r="A107" s="22" t="s">
        <v>6047</v>
      </c>
      <c r="B107" t="s">
        <v>1744</v>
      </c>
      <c r="C107" t="s">
        <v>34</v>
      </c>
      <c r="D107" t="s">
        <v>1745</v>
      </c>
      <c r="E107" t="s">
        <v>1746</v>
      </c>
      <c r="F107" t="s">
        <v>1747</v>
      </c>
      <c r="G107" s="1" t="str">
        <f>HYPERLINK("https://homd.org/jbrowse/?data=homd_V11.02_phage_1.2%2FGCA_002222615.2&amp;loc=GCA_002222615.2%7CCP022412.2%3A4312315..4319091&amp;tracks=prokka,prokka_ncrna,ncbi,ncbi_ncrna,panggolin,cenote,genomad&amp;highlight=","Open JBrowse")</f>
        <v>Open JBrowse</v>
      </c>
      <c r="H107">
        <v>4315315</v>
      </c>
      <c r="I107">
        <v>4316091</v>
      </c>
      <c r="J107" t="s">
        <v>1782</v>
      </c>
      <c r="K107" t="s">
        <v>39</v>
      </c>
      <c r="L107" t="s">
        <v>1608</v>
      </c>
      <c r="M107" t="s">
        <v>1609</v>
      </c>
      <c r="N107" t="s">
        <v>42</v>
      </c>
      <c r="O107">
        <v>3</v>
      </c>
      <c r="P107" t="s">
        <v>42</v>
      </c>
      <c r="Q107" t="s">
        <v>43</v>
      </c>
      <c r="R107" t="s">
        <v>1751</v>
      </c>
      <c r="S107" t="s">
        <v>1608</v>
      </c>
      <c r="T107" t="s">
        <v>42</v>
      </c>
      <c r="U107">
        <v>27</v>
      </c>
      <c r="V107">
        <v>255</v>
      </c>
      <c r="W107">
        <v>229</v>
      </c>
      <c r="X107" t="s">
        <v>45</v>
      </c>
      <c r="Y107" t="s">
        <v>1783</v>
      </c>
      <c r="Z107" t="s">
        <v>1784</v>
      </c>
      <c r="AA107" t="s">
        <v>1785</v>
      </c>
    </row>
    <row r="108" spans="1:34" x14ac:dyDescent="0.75">
      <c r="A108" s="22" t="s">
        <v>6047</v>
      </c>
      <c r="B108" t="s">
        <v>1744</v>
      </c>
      <c r="C108" t="s">
        <v>34</v>
      </c>
      <c r="D108" t="s">
        <v>1745</v>
      </c>
      <c r="E108" t="s">
        <v>1746</v>
      </c>
      <c r="F108" t="s">
        <v>1747</v>
      </c>
      <c r="G108" s="1" t="str">
        <f>HYPERLINK("https://homd.org/jbrowse/?data=homd_V11.02_phage_1.2%2FGCA_002222615.2&amp;loc=GCA_002222615.2%7CCP022412.2%3A595227..602351&amp;tracks=prokka,prokka_ncrna,ncbi,ncbi_ncrna,panggolin,cenote,genomad&amp;highlight=","Open JBrowse")</f>
        <v>Open JBrowse</v>
      </c>
      <c r="H108">
        <v>598227</v>
      </c>
      <c r="I108">
        <v>599351</v>
      </c>
      <c r="J108" t="s">
        <v>1786</v>
      </c>
      <c r="K108" t="s">
        <v>39</v>
      </c>
      <c r="L108" t="s">
        <v>1787</v>
      </c>
      <c r="M108" t="s">
        <v>1788</v>
      </c>
      <c r="N108" t="s">
        <v>42</v>
      </c>
      <c r="O108">
        <v>3</v>
      </c>
      <c r="P108" t="s">
        <v>42</v>
      </c>
      <c r="Q108" t="s">
        <v>43</v>
      </c>
      <c r="R108" t="s">
        <v>1751</v>
      </c>
      <c r="S108" t="s">
        <v>1787</v>
      </c>
      <c r="T108" t="s">
        <v>42</v>
      </c>
      <c r="U108">
        <v>139</v>
      </c>
      <c r="V108">
        <v>369</v>
      </c>
      <c r="W108">
        <v>231</v>
      </c>
      <c r="X108" t="s">
        <v>971</v>
      </c>
      <c r="Y108" t="s">
        <v>1789</v>
      </c>
      <c r="Z108" t="s">
        <v>336</v>
      </c>
      <c r="AA108" t="s">
        <v>1790</v>
      </c>
      <c r="AB108" t="s">
        <v>1791</v>
      </c>
      <c r="AC108" t="s">
        <v>984</v>
      </c>
      <c r="AD108" t="s">
        <v>985</v>
      </c>
      <c r="AE108">
        <v>2776</v>
      </c>
      <c r="AF108" t="s">
        <v>986</v>
      </c>
    </row>
    <row r="109" spans="1:34" x14ac:dyDescent="0.75">
      <c r="A109" s="22" t="s">
        <v>6047</v>
      </c>
      <c r="B109" t="s">
        <v>1744</v>
      </c>
      <c r="C109" t="s">
        <v>34</v>
      </c>
      <c r="D109" t="s">
        <v>1745</v>
      </c>
      <c r="E109" t="s">
        <v>1746</v>
      </c>
      <c r="F109" t="s">
        <v>1747</v>
      </c>
      <c r="G109" s="1" t="str">
        <f>HYPERLINK("https://homd.org/jbrowse/?data=homd_V11.02_phage_1.2%2FGCA_002222615.2&amp;loc=GCA_002222615.2%7CCP022412.2%3A906481..913872&amp;tracks=prokka,prokka_ncrna,ncbi,ncbi_ncrna,panggolin,cenote,genomad&amp;highlight=","Open JBrowse")</f>
        <v>Open JBrowse</v>
      </c>
      <c r="H109">
        <v>909481</v>
      </c>
      <c r="I109">
        <v>910872</v>
      </c>
      <c r="J109" t="s">
        <v>1792</v>
      </c>
      <c r="K109" t="s">
        <v>59</v>
      </c>
      <c r="L109" t="s">
        <v>59</v>
      </c>
      <c r="M109" t="s">
        <v>59</v>
      </c>
      <c r="N109" t="s">
        <v>42</v>
      </c>
      <c r="O109">
        <v>1</v>
      </c>
      <c r="P109" t="s">
        <v>59</v>
      </c>
      <c r="Q109" t="s">
        <v>59</v>
      </c>
      <c r="R109" t="s">
        <v>1751</v>
      </c>
      <c r="T109" t="s">
        <v>42</v>
      </c>
      <c r="X109" t="s">
        <v>59</v>
      </c>
    </row>
    <row r="110" spans="1:34" x14ac:dyDescent="0.75">
      <c r="A110" s="22" t="s">
        <v>6047</v>
      </c>
      <c r="B110" t="s">
        <v>1937</v>
      </c>
      <c r="C110" t="s">
        <v>34</v>
      </c>
      <c r="D110" t="s">
        <v>1745</v>
      </c>
      <c r="E110" t="s">
        <v>1746</v>
      </c>
      <c r="F110" t="s">
        <v>1938</v>
      </c>
      <c r="G110" s="1" t="str">
        <f>HYPERLINK("https://homd.org/jbrowse/?data=homd_V11.02_phage_1.2%2FGCA_002959715.1&amp;loc=GCA_002959715.1%7CPUEQ01000002.1%3A393789..400637&amp;tracks=prokka,prokka_ncrna,ncbi,ncbi_ncrna,panggolin,cenote,genomad&amp;highlight=","Open JBrowse")</f>
        <v>Open JBrowse</v>
      </c>
      <c r="H110">
        <v>396789</v>
      </c>
      <c r="I110">
        <v>397637</v>
      </c>
      <c r="J110" t="s">
        <v>1939</v>
      </c>
      <c r="K110" t="s">
        <v>59</v>
      </c>
      <c r="L110" t="s">
        <v>59</v>
      </c>
      <c r="M110" t="s">
        <v>59</v>
      </c>
      <c r="N110" t="s">
        <v>42</v>
      </c>
      <c r="O110">
        <v>1</v>
      </c>
      <c r="P110" t="s">
        <v>59</v>
      </c>
      <c r="Q110" t="s">
        <v>59</v>
      </c>
      <c r="R110" t="s">
        <v>1940</v>
      </c>
      <c r="T110" t="s">
        <v>42</v>
      </c>
      <c r="X110" t="s">
        <v>59</v>
      </c>
      <c r="Y110" t="s">
        <v>1941</v>
      </c>
      <c r="Z110" t="s">
        <v>836</v>
      </c>
      <c r="AA110" t="s">
        <v>1942</v>
      </c>
      <c r="AB110" t="s">
        <v>1943</v>
      </c>
      <c r="AC110" t="s">
        <v>1780</v>
      </c>
      <c r="AD110" t="s">
        <v>183</v>
      </c>
      <c r="AE110">
        <v>1746</v>
      </c>
      <c r="AF110" t="s">
        <v>1944</v>
      </c>
      <c r="AG110" t="s">
        <v>185</v>
      </c>
      <c r="AH110">
        <v>2</v>
      </c>
    </row>
    <row r="111" spans="1:34" x14ac:dyDescent="0.75">
      <c r="A111" s="22" t="s">
        <v>6047</v>
      </c>
      <c r="B111" t="s">
        <v>1937</v>
      </c>
      <c r="C111" t="s">
        <v>34</v>
      </c>
      <c r="D111" t="s">
        <v>1745</v>
      </c>
      <c r="E111" t="s">
        <v>1746</v>
      </c>
      <c r="F111" t="s">
        <v>1945</v>
      </c>
      <c r="G111" s="1" t="str">
        <f>HYPERLINK("https://homd.org/jbrowse/?data=homd_V11.02_phage_1.2%2FGCA_002959715.1&amp;loc=GCA_002959715.1%7CPUEQ01000003.1%3A197377..204201&amp;tracks=prokka,prokka_ncrna,ncbi,ncbi_ncrna,panggolin,cenote,genomad&amp;highlight=","Open JBrowse")</f>
        <v>Open JBrowse</v>
      </c>
      <c r="H111">
        <v>200377</v>
      </c>
      <c r="I111">
        <v>201201</v>
      </c>
      <c r="J111" t="s">
        <v>1946</v>
      </c>
      <c r="K111" t="s">
        <v>1770</v>
      </c>
      <c r="L111" t="s">
        <v>1771</v>
      </c>
      <c r="M111" t="s">
        <v>1772</v>
      </c>
      <c r="N111" t="s">
        <v>42</v>
      </c>
      <c r="O111">
        <v>3</v>
      </c>
      <c r="P111" t="s">
        <v>42</v>
      </c>
      <c r="Q111" t="s">
        <v>43</v>
      </c>
      <c r="R111" t="s">
        <v>1940</v>
      </c>
      <c r="S111" t="s">
        <v>1771</v>
      </c>
      <c r="T111" t="s">
        <v>42</v>
      </c>
      <c r="U111">
        <v>48</v>
      </c>
      <c r="V111">
        <v>271</v>
      </c>
      <c r="W111">
        <v>224</v>
      </c>
      <c r="X111" t="s">
        <v>1773</v>
      </c>
      <c r="Y111" t="s">
        <v>1947</v>
      </c>
      <c r="Z111" t="s">
        <v>1948</v>
      </c>
      <c r="AA111" t="s">
        <v>1949</v>
      </c>
      <c r="AB111" t="s">
        <v>1950</v>
      </c>
      <c r="AC111" t="s">
        <v>984</v>
      </c>
      <c r="AD111" t="s">
        <v>985</v>
      </c>
      <c r="AE111">
        <v>920</v>
      </c>
      <c r="AF111" t="s">
        <v>1951</v>
      </c>
      <c r="AG111" t="s">
        <v>185</v>
      </c>
      <c r="AH111">
        <v>2</v>
      </c>
    </row>
    <row r="112" spans="1:34" x14ac:dyDescent="0.75">
      <c r="A112" s="22" t="s">
        <v>6047</v>
      </c>
      <c r="B112" t="s">
        <v>1937</v>
      </c>
      <c r="C112" t="s">
        <v>34</v>
      </c>
      <c r="D112" t="s">
        <v>1745</v>
      </c>
      <c r="E112" t="s">
        <v>1746</v>
      </c>
      <c r="F112" t="s">
        <v>1945</v>
      </c>
      <c r="G112" s="1" t="str">
        <f>HYPERLINK("https://homd.org/jbrowse/?data=homd_V11.02_phage_1.2%2FGCA_002959715.1&amp;loc=GCA_002959715.1%7CPUEQ01000003.1%3A198403..205245&amp;tracks=prokka,prokka_ncrna,ncbi,ncbi_ncrna,panggolin,cenote,genomad&amp;highlight=","Open JBrowse")</f>
        <v>Open JBrowse</v>
      </c>
      <c r="H112">
        <v>201403</v>
      </c>
      <c r="I112">
        <v>202245</v>
      </c>
      <c r="J112" t="s">
        <v>1952</v>
      </c>
      <c r="K112" t="s">
        <v>77</v>
      </c>
      <c r="L112" t="s">
        <v>1763</v>
      </c>
      <c r="M112" t="s">
        <v>1764</v>
      </c>
      <c r="N112" t="s">
        <v>42</v>
      </c>
      <c r="O112">
        <v>3</v>
      </c>
      <c r="P112" t="s">
        <v>42</v>
      </c>
      <c r="Q112" t="s">
        <v>43</v>
      </c>
      <c r="R112" t="s">
        <v>1940</v>
      </c>
      <c r="S112" t="s">
        <v>1763</v>
      </c>
      <c r="T112" t="s">
        <v>42</v>
      </c>
      <c r="U112">
        <v>39</v>
      </c>
      <c r="V112">
        <v>270</v>
      </c>
      <c r="W112">
        <v>232</v>
      </c>
      <c r="X112" t="s">
        <v>1765</v>
      </c>
      <c r="Y112" t="s">
        <v>1947</v>
      </c>
      <c r="Z112" t="s">
        <v>1948</v>
      </c>
      <c r="AA112" t="s">
        <v>1949</v>
      </c>
      <c r="AB112" t="s">
        <v>1950</v>
      </c>
      <c r="AC112" t="s">
        <v>984</v>
      </c>
      <c r="AD112" t="s">
        <v>985</v>
      </c>
      <c r="AE112">
        <v>920</v>
      </c>
      <c r="AF112" t="s">
        <v>1951</v>
      </c>
      <c r="AG112" t="s">
        <v>185</v>
      </c>
      <c r="AH112">
        <v>2</v>
      </c>
    </row>
    <row r="113" spans="1:34" x14ac:dyDescent="0.75">
      <c r="A113" s="22" t="s">
        <v>6047</v>
      </c>
      <c r="B113" t="s">
        <v>1937</v>
      </c>
      <c r="C113" t="s">
        <v>34</v>
      </c>
      <c r="D113" t="s">
        <v>1745</v>
      </c>
      <c r="E113" t="s">
        <v>1746</v>
      </c>
      <c r="F113" t="s">
        <v>1945</v>
      </c>
      <c r="G113" s="1" t="str">
        <f>HYPERLINK("https://homd.org/jbrowse/?data=homd_V11.02_phage_1.2%2FGCA_002959715.1&amp;loc=GCA_002959715.1%7CPUEQ01000003.1%3A2907847..2915754&amp;tracks=prokka,prokka_ncrna,ncbi,ncbi_ncrna,panggolin,cenote,genomad&amp;highlight=","Open JBrowse")</f>
        <v>Open JBrowse</v>
      </c>
      <c r="H113">
        <v>2910847</v>
      </c>
      <c r="I113">
        <v>2912754</v>
      </c>
      <c r="J113" t="s">
        <v>1953</v>
      </c>
      <c r="K113" t="s">
        <v>627</v>
      </c>
      <c r="L113" t="s">
        <v>1759</v>
      </c>
      <c r="M113" t="s">
        <v>1760</v>
      </c>
      <c r="N113" t="s">
        <v>1481</v>
      </c>
      <c r="O113">
        <v>3</v>
      </c>
      <c r="P113" t="s">
        <v>1482</v>
      </c>
      <c r="Q113" t="s">
        <v>59</v>
      </c>
      <c r="R113" t="s">
        <v>1940</v>
      </c>
      <c r="S113" t="s">
        <v>1761</v>
      </c>
      <c r="T113" t="s">
        <v>42</v>
      </c>
      <c r="U113">
        <v>32</v>
      </c>
      <c r="V113">
        <v>283</v>
      </c>
      <c r="W113">
        <v>252</v>
      </c>
      <c r="X113" t="s">
        <v>1484</v>
      </c>
      <c r="Y113" t="s">
        <v>1954</v>
      </c>
      <c r="Z113" t="s">
        <v>429</v>
      </c>
      <c r="AA113" t="s">
        <v>1955</v>
      </c>
      <c r="AB113" t="s">
        <v>1956</v>
      </c>
      <c r="AC113" t="s">
        <v>637</v>
      </c>
      <c r="AD113" t="s">
        <v>638</v>
      </c>
      <c r="AE113">
        <v>5739</v>
      </c>
      <c r="AF113" t="s">
        <v>1957</v>
      </c>
      <c r="AG113" t="s">
        <v>1757</v>
      </c>
      <c r="AH113">
        <v>2</v>
      </c>
    </row>
    <row r="114" spans="1:34" x14ac:dyDescent="0.75">
      <c r="A114" s="22" t="s">
        <v>6047</v>
      </c>
      <c r="B114" t="s">
        <v>1937</v>
      </c>
      <c r="C114" t="s">
        <v>34</v>
      </c>
      <c r="D114" t="s">
        <v>1745</v>
      </c>
      <c r="E114" t="s">
        <v>1746</v>
      </c>
      <c r="F114" t="s">
        <v>1945</v>
      </c>
      <c r="G114" s="1" t="str">
        <f>HYPERLINK("https://homd.org/jbrowse/?data=homd_V11.02_phage_1.2%2FGCA_002959715.1&amp;loc=GCA_002959715.1%7CPUEQ01000003.1%3A2909771..2917306&amp;tracks=prokka,prokka_ncrna,ncbi,ncbi_ncrna,panggolin,cenote,genomad&amp;highlight=","Open JBrowse")</f>
        <v>Open JBrowse</v>
      </c>
      <c r="H114">
        <v>2912771</v>
      </c>
      <c r="I114">
        <v>2914306</v>
      </c>
      <c r="J114" t="s">
        <v>1958</v>
      </c>
      <c r="K114" t="s">
        <v>59</v>
      </c>
      <c r="L114" t="s">
        <v>1749</v>
      </c>
      <c r="M114" t="s">
        <v>1750</v>
      </c>
      <c r="N114" t="s">
        <v>42</v>
      </c>
      <c r="O114">
        <v>3</v>
      </c>
      <c r="P114" t="s">
        <v>42</v>
      </c>
      <c r="Q114" t="s">
        <v>59</v>
      </c>
      <c r="R114" t="s">
        <v>1940</v>
      </c>
      <c r="S114" t="s">
        <v>1749</v>
      </c>
      <c r="T114" t="s">
        <v>42</v>
      </c>
      <c r="U114">
        <v>230</v>
      </c>
      <c r="V114">
        <v>508</v>
      </c>
      <c r="W114">
        <v>279</v>
      </c>
      <c r="X114" t="s">
        <v>1752</v>
      </c>
      <c r="Y114" t="s">
        <v>1954</v>
      </c>
      <c r="Z114" t="s">
        <v>429</v>
      </c>
      <c r="AA114" t="s">
        <v>1955</v>
      </c>
      <c r="AB114" t="s">
        <v>1956</v>
      </c>
      <c r="AC114" t="s">
        <v>637</v>
      </c>
      <c r="AD114" t="s">
        <v>638</v>
      </c>
      <c r="AE114">
        <v>5739</v>
      </c>
      <c r="AF114" t="s">
        <v>1957</v>
      </c>
      <c r="AG114" t="s">
        <v>1757</v>
      </c>
      <c r="AH114">
        <v>2</v>
      </c>
    </row>
    <row r="115" spans="1:34" x14ac:dyDescent="0.75">
      <c r="A115" s="22" t="s">
        <v>6047</v>
      </c>
      <c r="B115" t="s">
        <v>1937</v>
      </c>
      <c r="C115" t="s">
        <v>34</v>
      </c>
      <c r="D115" t="s">
        <v>1745</v>
      </c>
      <c r="E115" t="s">
        <v>1746</v>
      </c>
      <c r="F115" t="s">
        <v>1945</v>
      </c>
      <c r="G115" s="1" t="str">
        <f>HYPERLINK("https://homd.org/jbrowse/?data=homd_V11.02_phage_1.2%2FGCA_002959715.1&amp;loc=GCA_002959715.1%7CPUEQ01000003.1%3A3386433..3393824&amp;tracks=prokka,prokka_ncrna,ncbi,ncbi_ncrna,panggolin,cenote,genomad&amp;highlight=","Open JBrowse")</f>
        <v>Open JBrowse</v>
      </c>
      <c r="H115">
        <v>3389433</v>
      </c>
      <c r="I115">
        <v>3390824</v>
      </c>
      <c r="J115" t="s">
        <v>1959</v>
      </c>
      <c r="K115" t="s">
        <v>59</v>
      </c>
      <c r="L115" t="s">
        <v>59</v>
      </c>
      <c r="M115" t="s">
        <v>59</v>
      </c>
      <c r="N115" t="s">
        <v>42</v>
      </c>
      <c r="O115">
        <v>1</v>
      </c>
      <c r="P115" t="s">
        <v>59</v>
      </c>
      <c r="Q115" t="s">
        <v>59</v>
      </c>
      <c r="R115" t="s">
        <v>1940</v>
      </c>
      <c r="T115" t="s">
        <v>42</v>
      </c>
      <c r="X115" t="s">
        <v>59</v>
      </c>
    </row>
    <row r="116" spans="1:34" x14ac:dyDescent="0.75">
      <c r="A116" s="22" t="s">
        <v>6047</v>
      </c>
      <c r="B116" t="s">
        <v>1937</v>
      </c>
      <c r="C116" t="s">
        <v>34</v>
      </c>
      <c r="D116" t="s">
        <v>1745</v>
      </c>
      <c r="E116" t="s">
        <v>1746</v>
      </c>
      <c r="F116" t="s">
        <v>1945</v>
      </c>
      <c r="G116" s="1" t="str">
        <f>HYPERLINK("https://homd.org/jbrowse/?data=homd_V11.02_phage_1.2%2FGCA_002959715.1&amp;loc=GCA_002959715.1%7CPUEQ01000003.1%3A3697954..3705078&amp;tracks=prokka,prokka_ncrna,ncbi,ncbi_ncrna,panggolin,cenote,genomad&amp;highlight=","Open JBrowse")</f>
        <v>Open JBrowse</v>
      </c>
      <c r="H116">
        <v>3700954</v>
      </c>
      <c r="I116">
        <v>3702078</v>
      </c>
      <c r="J116" t="s">
        <v>1960</v>
      </c>
      <c r="K116" t="s">
        <v>39</v>
      </c>
      <c r="L116" t="s">
        <v>1787</v>
      </c>
      <c r="M116" t="s">
        <v>1788</v>
      </c>
      <c r="N116" t="s">
        <v>42</v>
      </c>
      <c r="O116">
        <v>3</v>
      </c>
      <c r="P116" t="s">
        <v>42</v>
      </c>
      <c r="Q116" t="s">
        <v>43</v>
      </c>
      <c r="R116" t="s">
        <v>1940</v>
      </c>
      <c r="S116" t="s">
        <v>1787</v>
      </c>
      <c r="T116" t="s">
        <v>42</v>
      </c>
      <c r="U116">
        <v>139</v>
      </c>
      <c r="V116">
        <v>369</v>
      </c>
      <c r="W116">
        <v>231</v>
      </c>
      <c r="X116" t="s">
        <v>971</v>
      </c>
      <c r="Y116" t="s">
        <v>1961</v>
      </c>
      <c r="Z116" t="s">
        <v>1784</v>
      </c>
      <c r="AA116" t="s">
        <v>1962</v>
      </c>
      <c r="AB116" t="s">
        <v>1963</v>
      </c>
      <c r="AC116" t="s">
        <v>984</v>
      </c>
      <c r="AD116" t="s">
        <v>985</v>
      </c>
      <c r="AE116">
        <v>2776</v>
      </c>
      <c r="AF116" t="s">
        <v>1951</v>
      </c>
    </row>
    <row r="117" spans="1:34" x14ac:dyDescent="0.75">
      <c r="A117" s="22" t="s">
        <v>6047</v>
      </c>
      <c r="B117" t="s">
        <v>1937</v>
      </c>
      <c r="C117" t="s">
        <v>34</v>
      </c>
      <c r="D117" t="s">
        <v>1745</v>
      </c>
      <c r="E117" t="s">
        <v>1746</v>
      </c>
      <c r="F117" t="s">
        <v>1945</v>
      </c>
      <c r="G117" s="1" t="str">
        <f>HYPERLINK("https://homd.org/jbrowse/?data=homd_V11.02_phage_1.2%2FGCA_002959715.1&amp;loc=GCA_002959715.1%7CPUEQ01000003.1%3A32619..39422&amp;tracks=prokka,prokka_ncrna,ncbi,ncbi_ncrna,panggolin,cenote,genomad&amp;highlight=","Open JBrowse")</f>
        <v>Open JBrowse</v>
      </c>
      <c r="H117">
        <v>35619</v>
      </c>
      <c r="I117">
        <v>36422</v>
      </c>
      <c r="J117" t="s">
        <v>1964</v>
      </c>
      <c r="K117" t="s">
        <v>39</v>
      </c>
      <c r="L117" t="s">
        <v>123</v>
      </c>
      <c r="M117" t="s">
        <v>124</v>
      </c>
      <c r="N117" t="s">
        <v>42</v>
      </c>
      <c r="O117">
        <v>3</v>
      </c>
      <c r="P117" t="s">
        <v>42</v>
      </c>
      <c r="Q117" t="s">
        <v>43</v>
      </c>
      <c r="R117" t="s">
        <v>1940</v>
      </c>
      <c r="S117" t="s">
        <v>123</v>
      </c>
      <c r="T117" t="s">
        <v>42</v>
      </c>
      <c r="U117">
        <v>35</v>
      </c>
      <c r="V117">
        <v>261</v>
      </c>
      <c r="W117">
        <v>227</v>
      </c>
      <c r="X117" t="s">
        <v>45</v>
      </c>
    </row>
    <row r="118" spans="1:34" x14ac:dyDescent="0.75">
      <c r="A118" s="22" t="s">
        <v>6047</v>
      </c>
      <c r="B118" t="s">
        <v>1937</v>
      </c>
      <c r="C118" t="s">
        <v>34</v>
      </c>
      <c r="D118" t="s">
        <v>1745</v>
      </c>
      <c r="E118" t="s">
        <v>1746</v>
      </c>
      <c r="F118" t="s">
        <v>1945</v>
      </c>
      <c r="G118" s="1" t="str">
        <f>HYPERLINK("https://homd.org/jbrowse/?data=homd_V11.02_phage_1.2%2FGCA_002959715.1&amp;loc=GCA_002959715.1%7CPUEQ01000003.1%3A603027..609803&amp;tracks=prokka,prokka_ncrna,ncbi,ncbi_ncrna,panggolin,cenote,genomad&amp;highlight=","Open JBrowse")</f>
        <v>Open JBrowse</v>
      </c>
      <c r="H118">
        <v>606027</v>
      </c>
      <c r="I118">
        <v>606803</v>
      </c>
      <c r="J118" t="s">
        <v>1965</v>
      </c>
      <c r="K118" t="s">
        <v>39</v>
      </c>
      <c r="L118" t="s">
        <v>1608</v>
      </c>
      <c r="M118" t="s">
        <v>1609</v>
      </c>
      <c r="N118" t="s">
        <v>42</v>
      </c>
      <c r="O118">
        <v>3</v>
      </c>
      <c r="P118" t="s">
        <v>42</v>
      </c>
      <c r="Q118" t="s">
        <v>43</v>
      </c>
      <c r="R118" t="s">
        <v>1940</v>
      </c>
      <c r="S118" t="s">
        <v>1608</v>
      </c>
      <c r="T118" t="s">
        <v>42</v>
      </c>
      <c r="U118">
        <v>27</v>
      </c>
      <c r="V118">
        <v>255</v>
      </c>
      <c r="W118">
        <v>229</v>
      </c>
      <c r="X118" t="s">
        <v>45</v>
      </c>
      <c r="Y118" t="s">
        <v>1966</v>
      </c>
      <c r="Z118" t="s">
        <v>458</v>
      </c>
      <c r="AA118" t="s">
        <v>1967</v>
      </c>
    </row>
    <row r="119" spans="1:34" x14ac:dyDescent="0.75">
      <c r="A119" s="22" t="s">
        <v>6047</v>
      </c>
      <c r="B119" t="s">
        <v>1968</v>
      </c>
      <c r="C119" t="s">
        <v>34</v>
      </c>
      <c r="D119" t="s">
        <v>1969</v>
      </c>
      <c r="E119" t="s">
        <v>1970</v>
      </c>
      <c r="F119" t="s">
        <v>1971</v>
      </c>
      <c r="G119" s="1" t="str">
        <f>HYPERLINK("https://homd.org/jbrowse/?data=homd_V11.02_phage_1.2%2FGCA_002998355.1&amp;loc=GCA_002998355.1%7CCP027227.1%3A2230782..2237657&amp;tracks=prokka,prokka_ncrna,ncbi,ncbi_ncrna,panggolin,cenote,genomad&amp;highlight=","Open JBrowse")</f>
        <v>Open JBrowse</v>
      </c>
      <c r="H119">
        <v>2233782</v>
      </c>
      <c r="I119">
        <v>2234657</v>
      </c>
      <c r="J119" t="s">
        <v>1972</v>
      </c>
      <c r="K119" t="s">
        <v>59</v>
      </c>
      <c r="L119" t="s">
        <v>1973</v>
      </c>
      <c r="M119" t="s">
        <v>1974</v>
      </c>
      <c r="N119" t="s">
        <v>42</v>
      </c>
      <c r="O119">
        <v>3</v>
      </c>
      <c r="P119" t="s">
        <v>42</v>
      </c>
      <c r="Q119" t="s">
        <v>59</v>
      </c>
      <c r="R119" t="s">
        <v>1975</v>
      </c>
      <c r="S119" t="s">
        <v>1973</v>
      </c>
      <c r="T119" t="s">
        <v>42</v>
      </c>
      <c r="U119">
        <v>37</v>
      </c>
      <c r="V119">
        <v>287</v>
      </c>
      <c r="W119">
        <v>251</v>
      </c>
      <c r="X119" t="s">
        <v>1976</v>
      </c>
      <c r="Y119" t="s">
        <v>1977</v>
      </c>
      <c r="Z119" t="s">
        <v>1777</v>
      </c>
      <c r="AA119" t="s">
        <v>1978</v>
      </c>
      <c r="AB119" t="s">
        <v>1979</v>
      </c>
      <c r="AC119" t="s">
        <v>1980</v>
      </c>
      <c r="AD119" t="s">
        <v>1981</v>
      </c>
      <c r="AE119">
        <v>151.5</v>
      </c>
      <c r="AF119" t="s">
        <v>165</v>
      </c>
    </row>
    <row r="120" spans="1:34" x14ac:dyDescent="0.75">
      <c r="A120" s="22" t="s">
        <v>6047</v>
      </c>
      <c r="B120" t="s">
        <v>1968</v>
      </c>
      <c r="C120" t="s">
        <v>34</v>
      </c>
      <c r="D120" t="s">
        <v>1969</v>
      </c>
      <c r="E120" t="s">
        <v>1970</v>
      </c>
      <c r="F120" t="s">
        <v>1971</v>
      </c>
      <c r="G120" s="1" t="str">
        <f>HYPERLINK("https://homd.org/jbrowse/?data=homd_V11.02_phage_1.2%2FGCA_002998355.1&amp;loc=GCA_002998355.1%7CCP027227.1%3A2656379..2663236&amp;tracks=prokka,prokka_ncrna,ncbi,ncbi_ncrna,panggolin,cenote,genomad&amp;highlight=","Open JBrowse")</f>
        <v>Open JBrowse</v>
      </c>
      <c r="H120">
        <v>2659379</v>
      </c>
      <c r="I120">
        <v>2660236</v>
      </c>
      <c r="J120" t="s">
        <v>1982</v>
      </c>
      <c r="K120" t="s">
        <v>59</v>
      </c>
      <c r="L120" t="s">
        <v>1983</v>
      </c>
      <c r="M120" t="s">
        <v>1984</v>
      </c>
      <c r="N120" t="s">
        <v>42</v>
      </c>
      <c r="O120">
        <v>3</v>
      </c>
      <c r="P120" t="s">
        <v>42</v>
      </c>
      <c r="Q120" t="s">
        <v>59</v>
      </c>
      <c r="R120" t="s">
        <v>1975</v>
      </c>
      <c r="S120" t="s">
        <v>1983</v>
      </c>
      <c r="T120" t="s">
        <v>42</v>
      </c>
      <c r="U120">
        <v>38</v>
      </c>
      <c r="V120">
        <v>277</v>
      </c>
      <c r="W120">
        <v>240</v>
      </c>
      <c r="X120" t="s">
        <v>1985</v>
      </c>
      <c r="Y120" t="s">
        <v>1986</v>
      </c>
      <c r="Z120" t="s">
        <v>1987</v>
      </c>
      <c r="AA120" t="s">
        <v>1988</v>
      </c>
      <c r="AB120" t="s">
        <v>1989</v>
      </c>
      <c r="AC120" t="s">
        <v>100</v>
      </c>
      <c r="AD120" t="s">
        <v>101</v>
      </c>
      <c r="AE120">
        <v>187.7</v>
      </c>
      <c r="AF120" t="s">
        <v>1990</v>
      </c>
    </row>
    <row r="121" spans="1:34" x14ac:dyDescent="0.75">
      <c r="A121" s="22" t="s">
        <v>6047</v>
      </c>
      <c r="B121" t="s">
        <v>2085</v>
      </c>
      <c r="C121" t="s">
        <v>34</v>
      </c>
      <c r="D121" t="s">
        <v>863</v>
      </c>
      <c r="E121" t="s">
        <v>864</v>
      </c>
      <c r="F121" t="s">
        <v>2086</v>
      </c>
      <c r="G121" s="1" t="str">
        <f>HYPERLINK("https://homd.org/jbrowse/?data=homd_V11.02_phage_1.2%2FGCA_003435685.1&amp;loc=GCA_003435685.1%7CQTUN01000004.1%3A151881..158672&amp;tracks=prokka,prokka_ncrna,ncbi,ncbi_ncrna,panggolin,cenote,genomad&amp;highlight=","Open JBrowse")</f>
        <v>Open JBrowse</v>
      </c>
      <c r="H121">
        <v>154881</v>
      </c>
      <c r="I121">
        <v>155672</v>
      </c>
      <c r="J121" t="s">
        <v>2087</v>
      </c>
      <c r="K121" t="s">
        <v>39</v>
      </c>
      <c r="L121" t="s">
        <v>40</v>
      </c>
      <c r="M121" t="s">
        <v>867</v>
      </c>
      <c r="N121" t="s">
        <v>42</v>
      </c>
      <c r="O121">
        <v>3</v>
      </c>
      <c r="P121" t="s">
        <v>42</v>
      </c>
      <c r="Q121" t="s">
        <v>43</v>
      </c>
      <c r="R121" t="s">
        <v>2088</v>
      </c>
      <c r="S121" t="s">
        <v>40</v>
      </c>
      <c r="T121" t="s">
        <v>42</v>
      </c>
      <c r="U121">
        <v>34</v>
      </c>
      <c r="V121">
        <v>260</v>
      </c>
      <c r="W121">
        <v>227</v>
      </c>
      <c r="X121" t="s">
        <v>45</v>
      </c>
      <c r="Y121" t="s">
        <v>2089</v>
      </c>
      <c r="Z121" t="s">
        <v>932</v>
      </c>
      <c r="AA121" t="s">
        <v>871</v>
      </c>
    </row>
    <row r="122" spans="1:34" x14ac:dyDescent="0.75">
      <c r="A122" s="22" t="s">
        <v>6047</v>
      </c>
      <c r="B122" t="s">
        <v>2090</v>
      </c>
      <c r="C122" t="s">
        <v>34</v>
      </c>
      <c r="D122" t="s">
        <v>436</v>
      </c>
      <c r="E122" t="s">
        <v>437</v>
      </c>
      <c r="F122" t="s">
        <v>2091</v>
      </c>
      <c r="G122" s="1" t="str">
        <f>HYPERLINK("https://homd.org/jbrowse/?data=homd_V11.02_phage_1.2%2FGCA_003438305.1&amp;loc=GCA_003438305.1%7CQSTW01000022.1%3A37653..44489&amp;tracks=prokka,prokka_ncrna,ncbi,ncbi_ncrna,panggolin,cenote,genomad&amp;highlight=","Open JBrowse")</f>
        <v>Open JBrowse</v>
      </c>
      <c r="H122">
        <v>40653</v>
      </c>
      <c r="I122">
        <v>41489</v>
      </c>
      <c r="J122" t="s">
        <v>2092</v>
      </c>
      <c r="K122" t="s">
        <v>109</v>
      </c>
      <c r="L122" t="s">
        <v>440</v>
      </c>
      <c r="M122" t="s">
        <v>441</v>
      </c>
      <c r="N122" t="s">
        <v>42</v>
      </c>
      <c r="O122">
        <v>3</v>
      </c>
      <c r="P122" t="s">
        <v>42</v>
      </c>
      <c r="Q122" t="s">
        <v>101</v>
      </c>
      <c r="R122" t="s">
        <v>2093</v>
      </c>
      <c r="S122" t="s">
        <v>440</v>
      </c>
      <c r="T122" t="s">
        <v>42</v>
      </c>
      <c r="U122">
        <v>41</v>
      </c>
      <c r="V122">
        <v>276</v>
      </c>
      <c r="W122">
        <v>236</v>
      </c>
      <c r="X122" t="s">
        <v>248</v>
      </c>
      <c r="Y122" t="s">
        <v>2094</v>
      </c>
      <c r="Z122" t="s">
        <v>1291</v>
      </c>
      <c r="AA122" t="s">
        <v>2095</v>
      </c>
      <c r="AB122" t="s">
        <v>2096</v>
      </c>
      <c r="AC122" t="s">
        <v>447</v>
      </c>
      <c r="AD122" t="s">
        <v>101</v>
      </c>
      <c r="AE122">
        <v>2871</v>
      </c>
      <c r="AF122" t="s">
        <v>2097</v>
      </c>
    </row>
    <row r="123" spans="1:34" x14ac:dyDescent="0.75">
      <c r="A123" s="22" t="s">
        <v>6047</v>
      </c>
      <c r="B123" t="s">
        <v>2098</v>
      </c>
      <c r="C123" t="s">
        <v>34</v>
      </c>
      <c r="D123" t="s">
        <v>863</v>
      </c>
      <c r="E123" t="s">
        <v>864</v>
      </c>
      <c r="F123" t="s">
        <v>2099</v>
      </c>
      <c r="G123" s="1" t="str">
        <f>HYPERLINK("https://homd.org/jbrowse/?data=homd_V11.02_phage_1.2%2FGCA_003462285.1&amp;loc=GCA_003462285.1%7CQTYS01000002.1%3A236683..243474&amp;tracks=prokka,prokka_ncrna,ncbi,ncbi_ncrna,panggolin,cenote,genomad&amp;highlight=","Open JBrowse")</f>
        <v>Open JBrowse</v>
      </c>
      <c r="H123">
        <v>239683</v>
      </c>
      <c r="I123">
        <v>240474</v>
      </c>
      <c r="J123" t="s">
        <v>2100</v>
      </c>
      <c r="K123" t="s">
        <v>39</v>
      </c>
      <c r="L123" t="s">
        <v>40</v>
      </c>
      <c r="M123" t="s">
        <v>867</v>
      </c>
      <c r="N123" t="s">
        <v>42</v>
      </c>
      <c r="O123">
        <v>3</v>
      </c>
      <c r="P123" t="s">
        <v>42</v>
      </c>
      <c r="Q123" t="s">
        <v>43</v>
      </c>
      <c r="R123" t="s">
        <v>2101</v>
      </c>
      <c r="S123" t="s">
        <v>40</v>
      </c>
      <c r="T123" t="s">
        <v>42</v>
      </c>
      <c r="U123">
        <v>34</v>
      </c>
      <c r="V123">
        <v>260</v>
      </c>
      <c r="W123">
        <v>227</v>
      </c>
      <c r="X123" t="s">
        <v>45</v>
      </c>
      <c r="Y123" t="s">
        <v>2102</v>
      </c>
      <c r="Z123" t="s">
        <v>357</v>
      </c>
      <c r="AA123" t="s">
        <v>913</v>
      </c>
    </row>
    <row r="124" spans="1:34" x14ac:dyDescent="0.75">
      <c r="A124" s="22" t="s">
        <v>6047</v>
      </c>
      <c r="B124" t="s">
        <v>2103</v>
      </c>
      <c r="C124" t="s">
        <v>34</v>
      </c>
      <c r="D124" t="s">
        <v>167</v>
      </c>
      <c r="E124" t="s">
        <v>168</v>
      </c>
      <c r="F124" t="s">
        <v>2104</v>
      </c>
      <c r="G124" s="1" t="str">
        <f>HYPERLINK("https://homd.org/jbrowse/?data=homd_V11.02_phage_1.2%2FGCA_003464965.1&amp;loc=GCA_003464965.1%7CQSAF01000007.1%3A160856..167707&amp;tracks=prokka,prokka_ncrna,ncbi,ncbi_ncrna,panggolin,cenote,genomad&amp;highlight=","Open JBrowse")</f>
        <v>Open JBrowse</v>
      </c>
      <c r="H124">
        <v>163856</v>
      </c>
      <c r="I124">
        <v>164707</v>
      </c>
      <c r="J124" t="s">
        <v>2105</v>
      </c>
      <c r="K124" t="s">
        <v>59</v>
      </c>
      <c r="L124" t="s">
        <v>59</v>
      </c>
      <c r="M124" t="s">
        <v>59</v>
      </c>
      <c r="N124" t="s">
        <v>42</v>
      </c>
      <c r="O124">
        <v>1</v>
      </c>
      <c r="P124" t="s">
        <v>59</v>
      </c>
      <c r="Q124" t="s">
        <v>59</v>
      </c>
      <c r="R124" t="s">
        <v>2106</v>
      </c>
      <c r="T124" t="s">
        <v>42</v>
      </c>
      <c r="X124" t="s">
        <v>59</v>
      </c>
    </row>
    <row r="125" spans="1:34" x14ac:dyDescent="0.75">
      <c r="A125" s="22" t="s">
        <v>6047</v>
      </c>
      <c r="B125" t="s">
        <v>2103</v>
      </c>
      <c r="C125" t="s">
        <v>34</v>
      </c>
      <c r="D125" t="s">
        <v>167</v>
      </c>
      <c r="E125" t="s">
        <v>168</v>
      </c>
      <c r="F125" t="s">
        <v>2107</v>
      </c>
      <c r="G125" s="1" t="str">
        <f>HYPERLINK("https://homd.org/jbrowse/?data=homd_V11.02_phage_1.2%2FGCA_003464965.1&amp;loc=GCA_003464965.1%7CQSAF01000009.1%3A112086..120866&amp;tracks=prokka,prokka_ncrna,ncbi,ncbi_ncrna,panggolin,cenote,genomad&amp;highlight=","Open JBrowse")</f>
        <v>Open JBrowse</v>
      </c>
      <c r="H125">
        <v>115086</v>
      </c>
      <c r="I125">
        <v>117866</v>
      </c>
      <c r="J125" t="s">
        <v>2108</v>
      </c>
      <c r="K125" t="s">
        <v>171</v>
      </c>
      <c r="L125" t="s">
        <v>189</v>
      </c>
      <c r="M125" t="s">
        <v>190</v>
      </c>
      <c r="N125" t="s">
        <v>174</v>
      </c>
      <c r="O125">
        <v>3</v>
      </c>
      <c r="P125" t="s">
        <v>175</v>
      </c>
      <c r="Q125" t="s">
        <v>43</v>
      </c>
      <c r="R125" t="s">
        <v>2106</v>
      </c>
      <c r="S125" t="s">
        <v>191</v>
      </c>
      <c r="T125" t="s">
        <v>42</v>
      </c>
      <c r="U125">
        <v>692</v>
      </c>
      <c r="V125">
        <v>910</v>
      </c>
      <c r="W125">
        <v>219</v>
      </c>
      <c r="X125" t="s">
        <v>178</v>
      </c>
      <c r="Y125" t="s">
        <v>2109</v>
      </c>
      <c r="Z125" t="s">
        <v>2110</v>
      </c>
      <c r="AA125" t="s">
        <v>2111</v>
      </c>
      <c r="AB125" t="s">
        <v>2112</v>
      </c>
      <c r="AC125" t="s">
        <v>182</v>
      </c>
      <c r="AD125" t="s">
        <v>183</v>
      </c>
      <c r="AE125">
        <v>3674.6</v>
      </c>
      <c r="AF125" t="s">
        <v>2113</v>
      </c>
    </row>
    <row r="126" spans="1:34" x14ac:dyDescent="0.75">
      <c r="A126" s="22" t="s">
        <v>6047</v>
      </c>
      <c r="B126" t="s">
        <v>2103</v>
      </c>
      <c r="C126" t="s">
        <v>34</v>
      </c>
      <c r="D126" t="s">
        <v>167</v>
      </c>
      <c r="E126" t="s">
        <v>168</v>
      </c>
      <c r="F126" t="s">
        <v>2107</v>
      </c>
      <c r="G126" s="1" t="str">
        <f>HYPERLINK("https://homd.org/jbrowse/?data=homd_V11.02_phage_1.2%2FGCA_003464965.1&amp;loc=GCA_003464965.1%7CQSAF01000009.1%3A123468..131417&amp;tracks=prokka,prokka_ncrna,ncbi,ncbi_ncrna,panggolin,cenote,genomad&amp;highlight=","Open JBrowse")</f>
        <v>Open JBrowse</v>
      </c>
      <c r="H126">
        <v>126468</v>
      </c>
      <c r="I126">
        <v>128417</v>
      </c>
      <c r="J126" t="s">
        <v>2114</v>
      </c>
      <c r="K126" t="s">
        <v>59</v>
      </c>
      <c r="L126" t="s">
        <v>2115</v>
      </c>
      <c r="M126" t="s">
        <v>59</v>
      </c>
      <c r="N126" t="s">
        <v>59</v>
      </c>
      <c r="O126">
        <v>1</v>
      </c>
      <c r="P126" t="s">
        <v>59</v>
      </c>
      <c r="Q126" t="s">
        <v>59</v>
      </c>
      <c r="R126" t="s">
        <v>2106</v>
      </c>
      <c r="S126" t="s">
        <v>2115</v>
      </c>
      <c r="T126" t="s">
        <v>42</v>
      </c>
      <c r="U126">
        <v>355</v>
      </c>
      <c r="V126">
        <v>630</v>
      </c>
      <c r="W126">
        <v>276</v>
      </c>
      <c r="X126" t="s">
        <v>59</v>
      </c>
    </row>
    <row r="127" spans="1:34" x14ac:dyDescent="0.75">
      <c r="A127" s="22" t="s">
        <v>6049</v>
      </c>
      <c r="B127" t="s">
        <v>2116</v>
      </c>
      <c r="C127" t="s">
        <v>34</v>
      </c>
      <c r="D127" t="s">
        <v>2117</v>
      </c>
      <c r="E127" t="s">
        <v>2118</v>
      </c>
      <c r="F127" t="s">
        <v>2119</v>
      </c>
      <c r="G127" s="1" t="str">
        <f>HYPERLINK("https://homd.org/jbrowse/?data=homd_V11.02_phage_1.2%2FGCA_003468065.1&amp;loc=GCA_003468065.1%7CQSGF01000001.1%3A421153..427578&amp;tracks=prokka,prokka_ncrna,ncbi,ncbi_ncrna,panggolin,cenote,genomad&amp;highlight=","Open JBrowse")</f>
        <v>Open JBrowse</v>
      </c>
      <c r="H127">
        <v>424153</v>
      </c>
      <c r="I127">
        <v>424578</v>
      </c>
      <c r="J127" t="s">
        <v>2120</v>
      </c>
      <c r="K127" t="s">
        <v>59</v>
      </c>
      <c r="L127" t="s">
        <v>2121</v>
      </c>
      <c r="M127" t="s">
        <v>2122</v>
      </c>
      <c r="N127" t="s">
        <v>59</v>
      </c>
      <c r="O127">
        <v>2</v>
      </c>
      <c r="P127" t="s">
        <v>42</v>
      </c>
      <c r="Q127" t="s">
        <v>59</v>
      </c>
      <c r="R127" t="s">
        <v>2123</v>
      </c>
      <c r="S127" t="s">
        <v>2121</v>
      </c>
      <c r="T127" t="s">
        <v>42</v>
      </c>
      <c r="U127">
        <v>37</v>
      </c>
      <c r="V127">
        <v>139</v>
      </c>
      <c r="W127">
        <v>103</v>
      </c>
      <c r="X127" t="s">
        <v>2124</v>
      </c>
      <c r="Y127" t="s">
        <v>2125</v>
      </c>
      <c r="Z127" t="s">
        <v>586</v>
      </c>
      <c r="AA127" t="s">
        <v>2126</v>
      </c>
      <c r="AB127" t="s">
        <v>2127</v>
      </c>
      <c r="AC127" t="s">
        <v>2128</v>
      </c>
      <c r="AD127" t="s">
        <v>2129</v>
      </c>
      <c r="AE127">
        <v>560</v>
      </c>
      <c r="AF127" t="s">
        <v>165</v>
      </c>
    </row>
    <row r="128" spans="1:34" x14ac:dyDescent="0.75">
      <c r="A128" s="22" t="s">
        <v>6047</v>
      </c>
      <c r="B128" t="s">
        <v>2130</v>
      </c>
      <c r="C128" t="s">
        <v>34</v>
      </c>
      <c r="D128" t="s">
        <v>436</v>
      </c>
      <c r="E128" t="s">
        <v>437</v>
      </c>
      <c r="F128" t="s">
        <v>2131</v>
      </c>
      <c r="G128" s="1" t="str">
        <f>HYPERLINK("https://homd.org/jbrowse/?data=homd_V11.02_phage_1.2%2FGCA_003469295.1&amp;loc=GCA_003469295.1%7CQSJG01000010.1%3A18960..25769&amp;tracks=prokka,prokka_ncrna,ncbi,ncbi_ncrna,panggolin,cenote,genomad&amp;highlight=","Open JBrowse")</f>
        <v>Open JBrowse</v>
      </c>
      <c r="H128">
        <v>21960</v>
      </c>
      <c r="I128">
        <v>22769</v>
      </c>
      <c r="J128" t="s">
        <v>2132</v>
      </c>
      <c r="K128" t="s">
        <v>77</v>
      </c>
      <c r="L128" t="s">
        <v>2133</v>
      </c>
      <c r="M128" t="s">
        <v>2134</v>
      </c>
      <c r="N128" t="s">
        <v>398</v>
      </c>
      <c r="O128">
        <v>3</v>
      </c>
      <c r="P128" t="s">
        <v>42</v>
      </c>
      <c r="Q128" t="s">
        <v>43</v>
      </c>
      <c r="R128" t="s">
        <v>2135</v>
      </c>
      <c r="S128" t="s">
        <v>2133</v>
      </c>
      <c r="T128" t="s">
        <v>42</v>
      </c>
      <c r="U128">
        <v>35</v>
      </c>
      <c r="V128">
        <v>266</v>
      </c>
      <c r="W128">
        <v>232</v>
      </c>
      <c r="X128" t="s">
        <v>1765</v>
      </c>
      <c r="Y128" t="s">
        <v>2136</v>
      </c>
      <c r="Z128" t="s">
        <v>904</v>
      </c>
      <c r="AA128" t="s">
        <v>2137</v>
      </c>
      <c r="AB128" t="s">
        <v>2138</v>
      </c>
      <c r="AC128" t="s">
        <v>589</v>
      </c>
      <c r="AD128" t="s">
        <v>101</v>
      </c>
      <c r="AE128">
        <v>611.5</v>
      </c>
      <c r="AF128" t="s">
        <v>102</v>
      </c>
    </row>
    <row r="129" spans="1:34" x14ac:dyDescent="0.75">
      <c r="A129" s="22" t="s">
        <v>6047</v>
      </c>
      <c r="B129" t="s">
        <v>2145</v>
      </c>
      <c r="C129" t="s">
        <v>34</v>
      </c>
      <c r="D129" t="s">
        <v>2146</v>
      </c>
      <c r="E129" t="s">
        <v>2147</v>
      </c>
      <c r="F129" t="s">
        <v>2148</v>
      </c>
      <c r="G129" s="1" t="str">
        <f>HYPERLINK("https://homd.org/jbrowse/?data=homd_V11.02_phage_1.2%2FGCA_003470675.1&amp;loc=GCA_003470675.1%7CQRKC01000001.1%3A67389..74177&amp;tracks=prokka,prokka_ncrna,ncbi,ncbi_ncrna,panggolin,cenote,genomad&amp;highlight=","Open JBrowse")</f>
        <v>Open JBrowse</v>
      </c>
      <c r="H129">
        <v>70389</v>
      </c>
      <c r="I129">
        <v>71177</v>
      </c>
      <c r="J129" t="s">
        <v>2149</v>
      </c>
      <c r="K129" t="s">
        <v>59</v>
      </c>
      <c r="L129" t="s">
        <v>2150</v>
      </c>
      <c r="M129" t="s">
        <v>2151</v>
      </c>
      <c r="N129" t="s">
        <v>42</v>
      </c>
      <c r="O129">
        <v>3</v>
      </c>
      <c r="P129" t="s">
        <v>42</v>
      </c>
      <c r="Q129" t="s">
        <v>59</v>
      </c>
      <c r="R129" t="s">
        <v>2152</v>
      </c>
      <c r="S129" t="s">
        <v>2150</v>
      </c>
      <c r="T129" t="s">
        <v>42</v>
      </c>
      <c r="U129">
        <v>31</v>
      </c>
      <c r="V129">
        <v>258</v>
      </c>
      <c r="W129">
        <v>228</v>
      </c>
      <c r="X129" t="s">
        <v>1251</v>
      </c>
      <c r="Y129" t="s">
        <v>2153</v>
      </c>
      <c r="Z129" t="s">
        <v>47</v>
      </c>
      <c r="AA129" t="s">
        <v>2154</v>
      </c>
      <c r="AB129" t="s">
        <v>2155</v>
      </c>
      <c r="AC129" t="s">
        <v>2156</v>
      </c>
      <c r="AD129" t="s">
        <v>1981</v>
      </c>
      <c r="AE129">
        <v>1723</v>
      </c>
      <c r="AF129" t="s">
        <v>795</v>
      </c>
    </row>
    <row r="130" spans="1:34" x14ac:dyDescent="0.75">
      <c r="A130" s="22" t="s">
        <v>6047</v>
      </c>
      <c r="B130" t="s">
        <v>2157</v>
      </c>
      <c r="C130" t="s">
        <v>34</v>
      </c>
      <c r="D130" t="s">
        <v>436</v>
      </c>
      <c r="E130" t="s">
        <v>437</v>
      </c>
      <c r="F130" t="s">
        <v>2158</v>
      </c>
      <c r="G130" s="1" t="str">
        <f>HYPERLINK("https://homd.org/jbrowse/?data=homd_V11.02_phage_1.2%2FGCA_003471645.1&amp;loc=GCA_003471645.1%7CQRJS01000038.1%3A19249..26058&amp;tracks=prokka,prokka_ncrna,ncbi,ncbi_ncrna,panggolin,cenote,genomad&amp;highlight=","Open JBrowse")</f>
        <v>Open JBrowse</v>
      </c>
      <c r="H130">
        <v>22249</v>
      </c>
      <c r="I130">
        <v>23058</v>
      </c>
      <c r="J130" t="s">
        <v>2159</v>
      </c>
      <c r="K130" t="s">
        <v>77</v>
      </c>
      <c r="L130" t="s">
        <v>2133</v>
      </c>
      <c r="M130" t="s">
        <v>2134</v>
      </c>
      <c r="N130" t="s">
        <v>398</v>
      </c>
      <c r="O130">
        <v>3</v>
      </c>
      <c r="P130" t="s">
        <v>42</v>
      </c>
      <c r="Q130" t="s">
        <v>43</v>
      </c>
      <c r="R130" t="s">
        <v>2160</v>
      </c>
      <c r="S130" t="s">
        <v>2133</v>
      </c>
      <c r="T130" t="s">
        <v>42</v>
      </c>
      <c r="U130">
        <v>35</v>
      </c>
      <c r="V130">
        <v>266</v>
      </c>
      <c r="W130">
        <v>232</v>
      </c>
      <c r="X130" t="s">
        <v>1765</v>
      </c>
      <c r="Y130" t="s">
        <v>2161</v>
      </c>
      <c r="Z130" t="s">
        <v>1643</v>
      </c>
      <c r="AA130" t="s">
        <v>2137</v>
      </c>
      <c r="AB130" t="s">
        <v>2162</v>
      </c>
      <c r="AC130" t="s">
        <v>589</v>
      </c>
      <c r="AD130" t="s">
        <v>101</v>
      </c>
      <c r="AE130">
        <v>611.5</v>
      </c>
      <c r="AF130" t="s">
        <v>102</v>
      </c>
    </row>
    <row r="131" spans="1:34" x14ac:dyDescent="0.75">
      <c r="A131" s="22" t="s">
        <v>6047</v>
      </c>
      <c r="B131" t="s">
        <v>2163</v>
      </c>
      <c r="C131" t="s">
        <v>34</v>
      </c>
      <c r="D131" t="s">
        <v>436</v>
      </c>
      <c r="E131" t="s">
        <v>437</v>
      </c>
      <c r="F131" t="s">
        <v>2164</v>
      </c>
      <c r="G131" s="1" t="str">
        <f>HYPERLINK("https://homd.org/jbrowse/?data=homd_V11.02_phage_1.2%2FGCA_003474305.1&amp;loc=GCA_003474305.1%7CQROI01000014.1%3A68402..75835&amp;tracks=prokka,prokka_ncrna,ncbi,ncbi_ncrna,panggolin,cenote,genomad&amp;highlight=","Open JBrowse")</f>
        <v>Open JBrowse</v>
      </c>
      <c r="H131">
        <v>71402</v>
      </c>
      <c r="I131">
        <v>72835</v>
      </c>
      <c r="J131" t="s">
        <v>2165</v>
      </c>
      <c r="K131" t="s">
        <v>59</v>
      </c>
      <c r="L131" t="s">
        <v>2166</v>
      </c>
      <c r="M131" t="s">
        <v>2167</v>
      </c>
      <c r="N131" t="s">
        <v>42</v>
      </c>
      <c r="O131">
        <v>3</v>
      </c>
      <c r="P131" t="s">
        <v>42</v>
      </c>
      <c r="Q131" t="s">
        <v>59</v>
      </c>
      <c r="R131" t="s">
        <v>2168</v>
      </c>
      <c r="S131" t="s">
        <v>2166</v>
      </c>
      <c r="T131" t="s">
        <v>42</v>
      </c>
      <c r="U131">
        <v>212</v>
      </c>
      <c r="V131">
        <v>473</v>
      </c>
      <c r="W131">
        <v>262</v>
      </c>
      <c r="X131" t="s">
        <v>1752</v>
      </c>
      <c r="Y131" t="s">
        <v>2169</v>
      </c>
      <c r="Z131" t="s">
        <v>193</v>
      </c>
      <c r="AA131" t="s">
        <v>2170</v>
      </c>
      <c r="AB131" t="s">
        <v>2171</v>
      </c>
      <c r="AC131" t="s">
        <v>637</v>
      </c>
      <c r="AD131" t="s">
        <v>638</v>
      </c>
      <c r="AE131">
        <v>5843</v>
      </c>
      <c r="AF131" t="s">
        <v>2172</v>
      </c>
    </row>
    <row r="132" spans="1:34" x14ac:dyDescent="0.75">
      <c r="A132" s="22" t="s">
        <v>6047</v>
      </c>
      <c r="B132" t="s">
        <v>2163</v>
      </c>
      <c r="C132" t="s">
        <v>34</v>
      </c>
      <c r="D132" t="s">
        <v>436</v>
      </c>
      <c r="E132" t="s">
        <v>437</v>
      </c>
      <c r="F132" t="s">
        <v>2164</v>
      </c>
      <c r="G132" s="1" t="str">
        <f>HYPERLINK("https://homd.org/jbrowse/?data=homd_V11.02_phage_1.2%2FGCA_003474305.1&amp;loc=GCA_003474305.1%7CQROI01000014.1%3A69871..76755&amp;tracks=prokka,prokka_ncrna,ncbi,ncbi_ncrna,panggolin,cenote,genomad&amp;highlight=","Open JBrowse")</f>
        <v>Open JBrowse</v>
      </c>
      <c r="H132">
        <v>72871</v>
      </c>
      <c r="I132">
        <v>73755</v>
      </c>
      <c r="J132" t="s">
        <v>2173</v>
      </c>
      <c r="K132" t="s">
        <v>59</v>
      </c>
      <c r="L132" t="s">
        <v>2174</v>
      </c>
      <c r="M132" t="s">
        <v>2175</v>
      </c>
      <c r="N132" t="s">
        <v>42</v>
      </c>
      <c r="O132">
        <v>3</v>
      </c>
      <c r="P132" t="s">
        <v>42</v>
      </c>
      <c r="Q132" t="s">
        <v>59</v>
      </c>
      <c r="R132" t="s">
        <v>2168</v>
      </c>
      <c r="S132" t="s">
        <v>2174</v>
      </c>
      <c r="T132" t="s">
        <v>42</v>
      </c>
      <c r="U132">
        <v>42</v>
      </c>
      <c r="V132">
        <v>292</v>
      </c>
      <c r="W132">
        <v>251</v>
      </c>
      <c r="X132" t="s">
        <v>1484</v>
      </c>
      <c r="Y132" t="s">
        <v>2169</v>
      </c>
      <c r="Z132" t="s">
        <v>193</v>
      </c>
      <c r="AA132" t="s">
        <v>2170</v>
      </c>
      <c r="AB132" t="s">
        <v>2171</v>
      </c>
      <c r="AC132" t="s">
        <v>637</v>
      </c>
      <c r="AD132" t="s">
        <v>638</v>
      </c>
      <c r="AE132">
        <v>5843</v>
      </c>
      <c r="AF132" t="s">
        <v>2172</v>
      </c>
    </row>
    <row r="133" spans="1:34" x14ac:dyDescent="0.75">
      <c r="A133" s="22" t="s">
        <v>6047</v>
      </c>
      <c r="B133" t="s">
        <v>2176</v>
      </c>
      <c r="C133" t="s">
        <v>34</v>
      </c>
      <c r="D133" t="s">
        <v>436</v>
      </c>
      <c r="E133" t="s">
        <v>437</v>
      </c>
      <c r="F133" t="s">
        <v>2177</v>
      </c>
      <c r="G133" s="1" t="str">
        <f>HYPERLINK("https://homd.org/jbrowse/?data=homd_V11.02_phage_1.2%2FGCA_003474535.1&amp;loc=GCA_003474535.1%7CQROD01000014.1%3A68357..75790&amp;tracks=prokka,prokka_ncrna,ncbi,ncbi_ncrna,panggolin,cenote,genomad&amp;highlight=","Open JBrowse")</f>
        <v>Open JBrowse</v>
      </c>
      <c r="H133">
        <v>71357</v>
      </c>
      <c r="I133">
        <v>72790</v>
      </c>
      <c r="J133" t="s">
        <v>2178</v>
      </c>
      <c r="K133" t="s">
        <v>59</v>
      </c>
      <c r="L133" t="s">
        <v>2166</v>
      </c>
      <c r="M133" t="s">
        <v>2167</v>
      </c>
      <c r="N133" t="s">
        <v>42</v>
      </c>
      <c r="O133">
        <v>3</v>
      </c>
      <c r="P133" t="s">
        <v>42</v>
      </c>
      <c r="Q133" t="s">
        <v>59</v>
      </c>
      <c r="R133" t="s">
        <v>2179</v>
      </c>
      <c r="S133" t="s">
        <v>2166</v>
      </c>
      <c r="T133" t="s">
        <v>42</v>
      </c>
      <c r="U133">
        <v>212</v>
      </c>
      <c r="V133">
        <v>473</v>
      </c>
      <c r="W133">
        <v>262</v>
      </c>
      <c r="X133" t="s">
        <v>1752</v>
      </c>
      <c r="Y133" t="s">
        <v>2180</v>
      </c>
      <c r="Z133" t="s">
        <v>193</v>
      </c>
      <c r="AA133" t="s">
        <v>2170</v>
      </c>
      <c r="AB133" t="s">
        <v>2181</v>
      </c>
      <c r="AC133" t="s">
        <v>637</v>
      </c>
      <c r="AD133" t="s">
        <v>638</v>
      </c>
      <c r="AE133">
        <v>5843</v>
      </c>
      <c r="AF133" t="s">
        <v>2172</v>
      </c>
    </row>
    <row r="134" spans="1:34" x14ac:dyDescent="0.75">
      <c r="A134" s="22" t="s">
        <v>6047</v>
      </c>
      <c r="B134" t="s">
        <v>2176</v>
      </c>
      <c r="C134" t="s">
        <v>34</v>
      </c>
      <c r="D134" t="s">
        <v>436</v>
      </c>
      <c r="E134" t="s">
        <v>437</v>
      </c>
      <c r="F134" t="s">
        <v>2177</v>
      </c>
      <c r="G134" s="1" t="str">
        <f>HYPERLINK("https://homd.org/jbrowse/?data=homd_V11.02_phage_1.2%2FGCA_003474535.1&amp;loc=GCA_003474535.1%7CQROD01000014.1%3A69826..76710&amp;tracks=prokka,prokka_ncrna,ncbi,ncbi_ncrna,panggolin,cenote,genomad&amp;highlight=","Open JBrowse")</f>
        <v>Open JBrowse</v>
      </c>
      <c r="H134">
        <v>72826</v>
      </c>
      <c r="I134">
        <v>73710</v>
      </c>
      <c r="J134" t="s">
        <v>2182</v>
      </c>
      <c r="K134" t="s">
        <v>59</v>
      </c>
      <c r="L134" t="s">
        <v>2174</v>
      </c>
      <c r="M134" t="s">
        <v>2175</v>
      </c>
      <c r="N134" t="s">
        <v>42</v>
      </c>
      <c r="O134">
        <v>3</v>
      </c>
      <c r="P134" t="s">
        <v>42</v>
      </c>
      <c r="Q134" t="s">
        <v>59</v>
      </c>
      <c r="R134" t="s">
        <v>2179</v>
      </c>
      <c r="S134" t="s">
        <v>2174</v>
      </c>
      <c r="T134" t="s">
        <v>42</v>
      </c>
      <c r="U134">
        <v>42</v>
      </c>
      <c r="V134">
        <v>292</v>
      </c>
      <c r="W134">
        <v>251</v>
      </c>
      <c r="X134" t="s">
        <v>1484</v>
      </c>
      <c r="Y134" t="s">
        <v>2180</v>
      </c>
      <c r="Z134" t="s">
        <v>193</v>
      </c>
      <c r="AA134" t="s">
        <v>2170</v>
      </c>
      <c r="AB134" t="s">
        <v>2181</v>
      </c>
      <c r="AC134" t="s">
        <v>637</v>
      </c>
      <c r="AD134" t="s">
        <v>638</v>
      </c>
      <c r="AE134">
        <v>5843</v>
      </c>
      <c r="AF134" t="s">
        <v>2172</v>
      </c>
    </row>
    <row r="135" spans="1:34" x14ac:dyDescent="0.75">
      <c r="A135" s="22" t="s">
        <v>6047</v>
      </c>
      <c r="B135" t="s">
        <v>2219</v>
      </c>
      <c r="C135" t="s">
        <v>34</v>
      </c>
      <c r="D135" t="s">
        <v>73</v>
      </c>
      <c r="E135" t="s">
        <v>74</v>
      </c>
      <c r="F135" t="s">
        <v>2220</v>
      </c>
      <c r="G135" s="1" t="str">
        <f>HYPERLINK("https://homd.org/jbrowse/?data=homd_V11.02_phage_1.2%2FGCA_004015025.1&amp;loc=GCA_004015025.1%7CCP025826.1%3A2658191..2665087&amp;tracks=prokka,prokka_ncrna,ncbi,ncbi_ncrna,panggolin,cenote,genomad&amp;highlight=","Open JBrowse")</f>
        <v>Open JBrowse</v>
      </c>
      <c r="H135">
        <v>2661191</v>
      </c>
      <c r="I135">
        <v>2662087</v>
      </c>
      <c r="J135" t="s">
        <v>2221</v>
      </c>
      <c r="K135" t="s">
        <v>77</v>
      </c>
      <c r="L135" t="s">
        <v>78</v>
      </c>
      <c r="M135" t="s">
        <v>79</v>
      </c>
      <c r="N135" t="s">
        <v>42</v>
      </c>
      <c r="O135">
        <v>3</v>
      </c>
      <c r="P135" t="s">
        <v>42</v>
      </c>
      <c r="Q135" t="s">
        <v>43</v>
      </c>
      <c r="R135" t="s">
        <v>2222</v>
      </c>
      <c r="S135" t="s">
        <v>78</v>
      </c>
      <c r="T135" t="s">
        <v>42</v>
      </c>
      <c r="U135">
        <v>17</v>
      </c>
      <c r="V135">
        <v>266</v>
      </c>
      <c r="W135">
        <v>250</v>
      </c>
      <c r="X135" t="s">
        <v>81</v>
      </c>
      <c r="Y135" t="s">
        <v>2223</v>
      </c>
      <c r="Z135" t="s">
        <v>83</v>
      </c>
      <c r="AA135" t="s">
        <v>84</v>
      </c>
    </row>
    <row r="136" spans="1:34" x14ac:dyDescent="0.75">
      <c r="A136" s="22" t="s">
        <v>6047</v>
      </c>
      <c r="B136" t="s">
        <v>2219</v>
      </c>
      <c r="C136" t="s">
        <v>34</v>
      </c>
      <c r="D136" t="s">
        <v>73</v>
      </c>
      <c r="E136" t="s">
        <v>74</v>
      </c>
      <c r="F136" t="s">
        <v>2220</v>
      </c>
      <c r="G136" s="1" t="str">
        <f>HYPERLINK("https://homd.org/jbrowse/?data=homd_V11.02_phage_1.2%2FGCA_004015025.1&amp;loc=GCA_004015025.1%7CCP025826.1%3A953214..960131&amp;tracks=prokka,prokka_ncrna,ncbi,ncbi_ncrna,panggolin,cenote,genomad&amp;highlight=","Open JBrowse")</f>
        <v>Open JBrowse</v>
      </c>
      <c r="H136">
        <v>956214</v>
      </c>
      <c r="I136">
        <v>957131</v>
      </c>
      <c r="J136" t="s">
        <v>2224</v>
      </c>
      <c r="K136" t="s">
        <v>77</v>
      </c>
      <c r="L136" t="s">
        <v>2225</v>
      </c>
      <c r="M136" t="s">
        <v>2226</v>
      </c>
      <c r="N136" t="s">
        <v>42</v>
      </c>
      <c r="O136">
        <v>3</v>
      </c>
      <c r="P136" t="s">
        <v>42</v>
      </c>
      <c r="Q136" t="s">
        <v>43</v>
      </c>
      <c r="R136" t="s">
        <v>2222</v>
      </c>
      <c r="S136" t="s">
        <v>2225</v>
      </c>
      <c r="T136" t="s">
        <v>42</v>
      </c>
      <c r="U136">
        <v>37</v>
      </c>
      <c r="V136">
        <v>283</v>
      </c>
      <c r="W136">
        <v>247</v>
      </c>
      <c r="X136" t="s">
        <v>88</v>
      </c>
      <c r="Y136" t="s">
        <v>2227</v>
      </c>
      <c r="Z136" t="s">
        <v>1948</v>
      </c>
      <c r="AA136" t="s">
        <v>91</v>
      </c>
    </row>
    <row r="137" spans="1:34" x14ac:dyDescent="0.75">
      <c r="A137" s="22" t="s">
        <v>6047</v>
      </c>
      <c r="B137" t="s">
        <v>2219</v>
      </c>
      <c r="C137" t="s">
        <v>34</v>
      </c>
      <c r="D137" t="s">
        <v>73</v>
      </c>
      <c r="E137" t="s">
        <v>74</v>
      </c>
      <c r="F137" t="s">
        <v>2220</v>
      </c>
      <c r="G137" s="1" t="str">
        <f>HYPERLINK("https://homd.org/jbrowse/?data=homd_V11.02_phage_1.2%2FGCA_004015025.1&amp;loc=GCA_004015025.1%7CCP025826.1%3A1155199..1162311&amp;tracks=prokka,prokka_ncrna,ncbi,ncbi_ncrna,panggolin,cenote,genomad&amp;highlight=","Open JBrowse")</f>
        <v>Open JBrowse</v>
      </c>
      <c r="H137">
        <v>1158199</v>
      </c>
      <c r="I137">
        <v>1159311</v>
      </c>
      <c r="J137" t="s">
        <v>2228</v>
      </c>
      <c r="K137" t="s">
        <v>77</v>
      </c>
      <c r="L137" t="s">
        <v>93</v>
      </c>
      <c r="M137" t="s">
        <v>94</v>
      </c>
      <c r="N137" t="s">
        <v>42</v>
      </c>
      <c r="O137">
        <v>3</v>
      </c>
      <c r="P137" t="s">
        <v>42</v>
      </c>
      <c r="Q137" t="s">
        <v>43</v>
      </c>
      <c r="R137" t="s">
        <v>2222</v>
      </c>
      <c r="S137" t="s">
        <v>93</v>
      </c>
      <c r="T137" t="s">
        <v>42</v>
      </c>
      <c r="U137">
        <v>51</v>
      </c>
      <c r="V137">
        <v>296</v>
      </c>
      <c r="W137">
        <v>246</v>
      </c>
      <c r="X137" t="s">
        <v>95</v>
      </c>
      <c r="Y137" t="s">
        <v>2229</v>
      </c>
      <c r="Z137" t="s">
        <v>97</v>
      </c>
      <c r="AA137" t="s">
        <v>1644</v>
      </c>
      <c r="AB137" t="s">
        <v>2230</v>
      </c>
      <c r="AC137" t="s">
        <v>100</v>
      </c>
      <c r="AD137" t="s">
        <v>101</v>
      </c>
      <c r="AE137">
        <v>415</v>
      </c>
      <c r="AF137" t="s">
        <v>102</v>
      </c>
    </row>
    <row r="138" spans="1:34" x14ac:dyDescent="0.75">
      <c r="A138" s="22" t="s">
        <v>6047</v>
      </c>
      <c r="B138" t="s">
        <v>2237</v>
      </c>
      <c r="C138" t="s">
        <v>34</v>
      </c>
      <c r="D138" t="s">
        <v>2238</v>
      </c>
      <c r="E138" t="s">
        <v>2239</v>
      </c>
      <c r="F138" t="s">
        <v>2240</v>
      </c>
      <c r="G138" s="1" t="str">
        <f>HYPERLINK("https://homd.org/jbrowse/?data=homd_V11.02_phage_1.2%2FGCA_004328515.1&amp;loc=GCA_004328515.1%7CCP036491.1%3A1382696..1391473&amp;tracks=prokka,prokka_ncrna,ncbi,ncbi_ncrna,panggolin,cenote,genomad&amp;highlight=","Open JBrowse")</f>
        <v>Open JBrowse</v>
      </c>
      <c r="H138">
        <v>1385696</v>
      </c>
      <c r="I138">
        <v>1388473</v>
      </c>
      <c r="J138" t="s">
        <v>2241</v>
      </c>
      <c r="K138" t="s">
        <v>171</v>
      </c>
      <c r="L138" t="s">
        <v>2242</v>
      </c>
      <c r="M138" t="s">
        <v>2243</v>
      </c>
      <c r="N138" t="s">
        <v>174</v>
      </c>
      <c r="O138">
        <v>3</v>
      </c>
      <c r="P138" t="s">
        <v>175</v>
      </c>
      <c r="Q138" t="s">
        <v>43</v>
      </c>
      <c r="R138" t="s">
        <v>2244</v>
      </c>
      <c r="S138" t="s">
        <v>177</v>
      </c>
      <c r="T138" t="s">
        <v>42</v>
      </c>
      <c r="U138">
        <v>691</v>
      </c>
      <c r="V138">
        <v>909</v>
      </c>
      <c r="W138">
        <v>219</v>
      </c>
      <c r="X138" t="s">
        <v>178</v>
      </c>
      <c r="Y138" t="s">
        <v>2245</v>
      </c>
      <c r="Z138" t="s">
        <v>410</v>
      </c>
      <c r="AA138" t="s">
        <v>2246</v>
      </c>
      <c r="AB138" t="s">
        <v>2247</v>
      </c>
      <c r="AC138" t="s">
        <v>1929</v>
      </c>
      <c r="AD138" t="s">
        <v>1930</v>
      </c>
      <c r="AE138">
        <v>5226</v>
      </c>
      <c r="AF138" t="s">
        <v>2248</v>
      </c>
      <c r="AG138" t="s">
        <v>2249</v>
      </c>
      <c r="AH138">
        <v>2</v>
      </c>
    </row>
    <row r="139" spans="1:34" x14ac:dyDescent="0.75">
      <c r="A139" s="22" t="s">
        <v>6047</v>
      </c>
      <c r="B139" t="s">
        <v>2237</v>
      </c>
      <c r="C139" t="s">
        <v>34</v>
      </c>
      <c r="D139" t="s">
        <v>2238</v>
      </c>
      <c r="E139" t="s">
        <v>2239</v>
      </c>
      <c r="F139" t="s">
        <v>2240</v>
      </c>
      <c r="G139" s="1" t="str">
        <f>HYPERLINK("https://homd.org/jbrowse/?data=homd_V11.02_phage_1.2%2FGCA_004328515.1&amp;loc=GCA_004328515.1%7CCP036491.1%3A3581262..3588641&amp;tracks=prokka,prokka_ncrna,ncbi,ncbi_ncrna,panggolin,cenote,genomad&amp;highlight=","Open JBrowse")</f>
        <v>Open JBrowse</v>
      </c>
      <c r="H139">
        <v>3584262</v>
      </c>
      <c r="I139">
        <v>3585641</v>
      </c>
      <c r="J139" t="s">
        <v>2250</v>
      </c>
      <c r="K139" t="s">
        <v>109</v>
      </c>
      <c r="L139" t="s">
        <v>2251</v>
      </c>
      <c r="M139" t="s">
        <v>2252</v>
      </c>
      <c r="N139" t="s">
        <v>42</v>
      </c>
      <c r="O139">
        <v>3</v>
      </c>
      <c r="P139" t="s">
        <v>42</v>
      </c>
      <c r="Q139" t="s">
        <v>101</v>
      </c>
      <c r="R139" t="s">
        <v>2244</v>
      </c>
      <c r="S139" t="s">
        <v>2251</v>
      </c>
      <c r="T139" t="s">
        <v>42</v>
      </c>
      <c r="U139">
        <v>222</v>
      </c>
      <c r="V139">
        <v>456</v>
      </c>
      <c r="W139">
        <v>235</v>
      </c>
      <c r="X139" t="s">
        <v>248</v>
      </c>
      <c r="Y139" t="s">
        <v>2253</v>
      </c>
      <c r="Z139" t="s">
        <v>2254</v>
      </c>
      <c r="AA139" t="s">
        <v>2255</v>
      </c>
      <c r="AB139" t="s">
        <v>2256</v>
      </c>
      <c r="AC139" t="s">
        <v>2257</v>
      </c>
      <c r="AD139" t="s">
        <v>51</v>
      </c>
      <c r="AE139">
        <v>13372</v>
      </c>
      <c r="AF139" t="s">
        <v>2258</v>
      </c>
      <c r="AG139" t="s">
        <v>101</v>
      </c>
      <c r="AH139">
        <v>2</v>
      </c>
    </row>
    <row r="140" spans="1:34" x14ac:dyDescent="0.75">
      <c r="A140" s="22" t="s">
        <v>6047</v>
      </c>
      <c r="B140" t="s">
        <v>2237</v>
      </c>
      <c r="C140" t="s">
        <v>34</v>
      </c>
      <c r="D140" t="s">
        <v>2238</v>
      </c>
      <c r="E140" t="s">
        <v>2239</v>
      </c>
      <c r="F140" t="s">
        <v>2240</v>
      </c>
      <c r="G140" s="1" t="str">
        <f>HYPERLINK("https://homd.org/jbrowse/?data=homd_V11.02_phage_1.2%2FGCA_004328515.1&amp;loc=GCA_004328515.1%7CCP036491.1%3A3649102..3655944&amp;tracks=prokka,prokka_ncrna,ncbi,ncbi_ncrna,panggolin,cenote,genomad&amp;highlight=","Open JBrowse")</f>
        <v>Open JBrowse</v>
      </c>
      <c r="H140">
        <v>3652102</v>
      </c>
      <c r="I140">
        <v>3652944</v>
      </c>
      <c r="J140" t="s">
        <v>2259</v>
      </c>
      <c r="K140" t="s">
        <v>59</v>
      </c>
      <c r="L140" t="s">
        <v>59</v>
      </c>
      <c r="M140" t="s">
        <v>59</v>
      </c>
      <c r="N140" t="s">
        <v>42</v>
      </c>
      <c r="O140">
        <v>1</v>
      </c>
      <c r="P140" t="s">
        <v>59</v>
      </c>
      <c r="Q140" t="s">
        <v>59</v>
      </c>
      <c r="R140" t="s">
        <v>2244</v>
      </c>
      <c r="T140" t="s">
        <v>42</v>
      </c>
      <c r="X140" t="s">
        <v>59</v>
      </c>
    </row>
    <row r="141" spans="1:34" x14ac:dyDescent="0.75">
      <c r="A141" s="22" t="s">
        <v>6047</v>
      </c>
      <c r="B141" t="s">
        <v>2326</v>
      </c>
      <c r="C141" t="s">
        <v>34</v>
      </c>
      <c r="D141" t="s">
        <v>55</v>
      </c>
      <c r="E141" t="s">
        <v>56</v>
      </c>
      <c r="F141" t="s">
        <v>2327</v>
      </c>
      <c r="G141" s="1" t="str">
        <f>HYPERLINK("https://homd.org/jbrowse/?data=homd_V11.02_phage_1.2%2FGCA_006149185.1&amp;loc=GCA_006149185.1%7CCP040468.1%3A4488926..4495756&amp;tracks=prokka,prokka_ncrna,ncbi,ncbi_ncrna,panggolin,cenote,genomad&amp;highlight=","Open JBrowse")</f>
        <v>Open JBrowse</v>
      </c>
      <c r="H141">
        <v>4491926</v>
      </c>
      <c r="I141">
        <v>4492756</v>
      </c>
      <c r="J141" t="s">
        <v>2328</v>
      </c>
      <c r="K141" t="s">
        <v>59</v>
      </c>
      <c r="L141" t="s">
        <v>60</v>
      </c>
      <c r="M141" t="s">
        <v>61</v>
      </c>
      <c r="N141" t="s">
        <v>42</v>
      </c>
      <c r="O141">
        <v>3</v>
      </c>
      <c r="P141" t="s">
        <v>42</v>
      </c>
      <c r="Q141" t="s">
        <v>59</v>
      </c>
      <c r="R141" t="s">
        <v>2329</v>
      </c>
      <c r="S141" t="s">
        <v>60</v>
      </c>
      <c r="T141" t="s">
        <v>42</v>
      </c>
      <c r="U141">
        <v>41</v>
      </c>
      <c r="V141">
        <v>274</v>
      </c>
      <c r="W141">
        <v>234</v>
      </c>
      <c r="X141" t="s">
        <v>63</v>
      </c>
      <c r="Y141" t="s">
        <v>2330</v>
      </c>
      <c r="Z141" t="s">
        <v>1220</v>
      </c>
      <c r="AA141" t="s">
        <v>2331</v>
      </c>
      <c r="AB141" t="s">
        <v>2332</v>
      </c>
      <c r="AC141" t="s">
        <v>68</v>
      </c>
      <c r="AD141" t="s">
        <v>69</v>
      </c>
      <c r="AE141">
        <v>3622</v>
      </c>
      <c r="AF141" t="s">
        <v>2333</v>
      </c>
      <c r="AG141" t="s">
        <v>71</v>
      </c>
      <c r="AH141">
        <v>2</v>
      </c>
    </row>
    <row r="142" spans="1:34" x14ac:dyDescent="0.75">
      <c r="A142" s="22" t="s">
        <v>6047</v>
      </c>
      <c r="B142" t="s">
        <v>2351</v>
      </c>
      <c r="C142" t="s">
        <v>34</v>
      </c>
      <c r="D142" t="s">
        <v>2352</v>
      </c>
      <c r="E142" t="s">
        <v>2353</v>
      </c>
      <c r="F142" t="s">
        <v>2354</v>
      </c>
      <c r="G142" s="1" t="str">
        <f>HYPERLINK("https://homd.org/jbrowse/?data=homd_V11.02_phage_1.2%2FGCA_006546965.1&amp;loc=GCA_006546965.1%7CCP041230.1%3A5671446..5678285&amp;tracks=prokka,prokka_ncrna,ncbi,ncbi_ncrna,panggolin,cenote,genomad&amp;highlight=","Open JBrowse")</f>
        <v>Open JBrowse</v>
      </c>
      <c r="H142">
        <v>5674446</v>
      </c>
      <c r="I142">
        <v>5675285</v>
      </c>
      <c r="J142" t="s">
        <v>2355</v>
      </c>
      <c r="K142" t="s">
        <v>59</v>
      </c>
      <c r="L142" t="s">
        <v>59</v>
      </c>
      <c r="M142" t="s">
        <v>59</v>
      </c>
      <c r="N142" t="s">
        <v>42</v>
      </c>
      <c r="O142">
        <v>1</v>
      </c>
      <c r="P142" t="s">
        <v>59</v>
      </c>
      <c r="Q142" t="s">
        <v>59</v>
      </c>
      <c r="R142" t="s">
        <v>2356</v>
      </c>
      <c r="T142" t="s">
        <v>42</v>
      </c>
      <c r="X142" t="s">
        <v>59</v>
      </c>
    </row>
    <row r="143" spans="1:34" x14ac:dyDescent="0.75">
      <c r="A143" s="22" t="s">
        <v>6047</v>
      </c>
      <c r="B143" t="s">
        <v>2351</v>
      </c>
      <c r="C143" t="s">
        <v>34</v>
      </c>
      <c r="D143" t="s">
        <v>2352</v>
      </c>
      <c r="E143" t="s">
        <v>2353</v>
      </c>
      <c r="F143" t="s">
        <v>2354</v>
      </c>
      <c r="G143" s="1" t="str">
        <f>HYPERLINK("https://homd.org/jbrowse/?data=homd_V11.02_phage_1.2%2FGCA_006546965.1&amp;loc=GCA_006546965.1%7CCP041230.1%3A1032322..1039137&amp;tracks=prokka,prokka_ncrna,ncbi,ncbi_ncrna,panggolin,cenote,genomad&amp;highlight=","Open JBrowse")</f>
        <v>Open JBrowse</v>
      </c>
      <c r="H143">
        <v>1035322</v>
      </c>
      <c r="I143">
        <v>1036137</v>
      </c>
      <c r="J143" t="s">
        <v>2357</v>
      </c>
      <c r="K143" t="s">
        <v>996</v>
      </c>
      <c r="L143" t="s">
        <v>343</v>
      </c>
      <c r="M143" t="s">
        <v>1502</v>
      </c>
      <c r="N143" t="s">
        <v>42</v>
      </c>
      <c r="O143">
        <v>3</v>
      </c>
      <c r="P143" t="s">
        <v>42</v>
      </c>
      <c r="Q143" t="s">
        <v>101</v>
      </c>
      <c r="R143" t="s">
        <v>2356</v>
      </c>
      <c r="S143" t="s">
        <v>343</v>
      </c>
      <c r="T143" t="s">
        <v>42</v>
      </c>
      <c r="U143">
        <v>38</v>
      </c>
      <c r="V143">
        <v>270</v>
      </c>
      <c r="W143">
        <v>233</v>
      </c>
      <c r="X143" t="s">
        <v>999</v>
      </c>
      <c r="Y143" t="s">
        <v>2358</v>
      </c>
      <c r="Z143" t="s">
        <v>620</v>
      </c>
      <c r="AA143" t="s">
        <v>2359</v>
      </c>
      <c r="AB143" t="s">
        <v>2360</v>
      </c>
      <c r="AC143" t="s">
        <v>1003</v>
      </c>
      <c r="AD143" t="s">
        <v>101</v>
      </c>
      <c r="AE143">
        <v>8743</v>
      </c>
      <c r="AF143" t="s">
        <v>2361</v>
      </c>
      <c r="AG143" t="s">
        <v>101</v>
      </c>
      <c r="AH143">
        <v>2</v>
      </c>
    </row>
    <row r="144" spans="1:34" x14ac:dyDescent="0.75">
      <c r="A144" s="22" t="s">
        <v>6047</v>
      </c>
      <c r="B144" t="s">
        <v>2473</v>
      </c>
      <c r="C144" t="s">
        <v>34</v>
      </c>
      <c r="D144" t="s">
        <v>73</v>
      </c>
      <c r="E144" t="s">
        <v>74</v>
      </c>
      <c r="F144" t="s">
        <v>2474</v>
      </c>
      <c r="G144" s="1" t="str">
        <f>HYPERLINK("https://homd.org/jbrowse/?data=homd_V11.02_phage_1.2%2FGCA_008000975.1&amp;loc=GCA_008000975.1%7CCP042830.1%3A2563267..2570163&amp;tracks=prokka,prokka_ncrna,ncbi,ncbi_ncrna,panggolin,cenote,genomad&amp;highlight=","Open JBrowse")</f>
        <v>Open JBrowse</v>
      </c>
      <c r="H144">
        <v>2566267</v>
      </c>
      <c r="I144">
        <v>2567163</v>
      </c>
      <c r="J144" t="s">
        <v>2475</v>
      </c>
      <c r="K144" t="s">
        <v>77</v>
      </c>
      <c r="L144" t="s">
        <v>78</v>
      </c>
      <c r="M144" t="s">
        <v>79</v>
      </c>
      <c r="N144" t="s">
        <v>42</v>
      </c>
      <c r="O144">
        <v>3</v>
      </c>
      <c r="P144" t="s">
        <v>42</v>
      </c>
      <c r="Q144" t="s">
        <v>43</v>
      </c>
      <c r="R144" t="s">
        <v>2476</v>
      </c>
      <c r="S144" t="s">
        <v>78</v>
      </c>
      <c r="T144" t="s">
        <v>42</v>
      </c>
      <c r="U144">
        <v>17</v>
      </c>
      <c r="V144">
        <v>266</v>
      </c>
      <c r="W144">
        <v>250</v>
      </c>
      <c r="X144" t="s">
        <v>81</v>
      </c>
      <c r="Y144" t="s">
        <v>2477</v>
      </c>
      <c r="Z144" t="s">
        <v>83</v>
      </c>
      <c r="AA144" t="s">
        <v>84</v>
      </c>
    </row>
    <row r="145" spans="1:34" x14ac:dyDescent="0.75">
      <c r="A145" s="22" t="s">
        <v>6047</v>
      </c>
      <c r="B145" t="s">
        <v>2473</v>
      </c>
      <c r="C145" t="s">
        <v>34</v>
      </c>
      <c r="D145" t="s">
        <v>73</v>
      </c>
      <c r="E145" t="s">
        <v>74</v>
      </c>
      <c r="F145" t="s">
        <v>2474</v>
      </c>
      <c r="G145" s="1" t="str">
        <f>HYPERLINK("https://homd.org/jbrowse/?data=homd_V11.02_phage_1.2%2FGCA_008000975.1&amp;loc=GCA_008000975.1%7CCP042830.1%3A850345..857259&amp;tracks=prokka,prokka_ncrna,ncbi,ncbi_ncrna,panggolin,cenote,genomad&amp;highlight=","Open JBrowse")</f>
        <v>Open JBrowse</v>
      </c>
      <c r="H145">
        <v>853345</v>
      </c>
      <c r="I145">
        <v>854259</v>
      </c>
      <c r="J145" t="s">
        <v>2478</v>
      </c>
      <c r="K145" t="s">
        <v>77</v>
      </c>
      <c r="L145" t="s">
        <v>86</v>
      </c>
      <c r="M145" t="s">
        <v>87</v>
      </c>
      <c r="N145" t="s">
        <v>42</v>
      </c>
      <c r="O145">
        <v>3</v>
      </c>
      <c r="P145" t="s">
        <v>42</v>
      </c>
      <c r="Q145" t="s">
        <v>43</v>
      </c>
      <c r="R145" t="s">
        <v>2476</v>
      </c>
      <c r="S145" t="s">
        <v>86</v>
      </c>
      <c r="T145" t="s">
        <v>42</v>
      </c>
      <c r="U145">
        <v>36</v>
      </c>
      <c r="V145">
        <v>282</v>
      </c>
      <c r="W145">
        <v>247</v>
      </c>
      <c r="X145" t="s">
        <v>88</v>
      </c>
      <c r="Y145" t="s">
        <v>2479</v>
      </c>
      <c r="Z145" t="s">
        <v>90</v>
      </c>
      <c r="AA145" t="s">
        <v>91</v>
      </c>
    </row>
    <row r="146" spans="1:34" x14ac:dyDescent="0.75">
      <c r="A146" s="22" t="s">
        <v>6047</v>
      </c>
      <c r="B146" t="s">
        <v>2473</v>
      </c>
      <c r="C146" t="s">
        <v>34</v>
      </c>
      <c r="D146" t="s">
        <v>73</v>
      </c>
      <c r="E146" t="s">
        <v>74</v>
      </c>
      <c r="F146" t="s">
        <v>2474</v>
      </c>
      <c r="G146" s="1" t="str">
        <f>HYPERLINK("https://homd.org/jbrowse/?data=homd_V11.02_phage_1.2%2FGCA_008000975.1&amp;loc=GCA_008000975.1%7CCP042830.1%3A1039305..1046246&amp;tracks=prokka,prokka_ncrna,ncbi,ncbi_ncrna,panggolin,cenote,genomad&amp;highlight=","Open JBrowse")</f>
        <v>Open JBrowse</v>
      </c>
      <c r="H146">
        <v>1042305</v>
      </c>
      <c r="I146">
        <v>1043246</v>
      </c>
      <c r="J146" t="s">
        <v>2480</v>
      </c>
      <c r="K146" t="s">
        <v>77</v>
      </c>
      <c r="L146" t="s">
        <v>93</v>
      </c>
      <c r="M146" t="s">
        <v>94</v>
      </c>
      <c r="N146" t="s">
        <v>42</v>
      </c>
      <c r="O146">
        <v>3</v>
      </c>
      <c r="P146" t="s">
        <v>42</v>
      </c>
      <c r="Q146" t="s">
        <v>43</v>
      </c>
      <c r="R146" t="s">
        <v>2476</v>
      </c>
      <c r="S146" t="s">
        <v>93</v>
      </c>
      <c r="T146" t="s">
        <v>42</v>
      </c>
      <c r="U146">
        <v>51</v>
      </c>
      <c r="V146">
        <v>296</v>
      </c>
      <c r="W146">
        <v>246</v>
      </c>
      <c r="X146" t="s">
        <v>95</v>
      </c>
      <c r="Y146" t="s">
        <v>2481</v>
      </c>
      <c r="Z146" t="s">
        <v>97</v>
      </c>
      <c r="AA146" t="s">
        <v>98</v>
      </c>
      <c r="AB146" t="s">
        <v>2482</v>
      </c>
      <c r="AC146" t="s">
        <v>100</v>
      </c>
      <c r="AD146" t="s">
        <v>101</v>
      </c>
      <c r="AE146">
        <v>413</v>
      </c>
      <c r="AF146" t="s">
        <v>102</v>
      </c>
    </row>
    <row r="147" spans="1:34" x14ac:dyDescent="0.75">
      <c r="A147" s="22" t="s">
        <v>6047</v>
      </c>
      <c r="B147" t="s">
        <v>2504</v>
      </c>
      <c r="C147" t="s">
        <v>34</v>
      </c>
      <c r="D147" t="s">
        <v>35</v>
      </c>
      <c r="E147" t="s">
        <v>36</v>
      </c>
      <c r="F147" t="s">
        <v>2505</v>
      </c>
      <c r="G147" s="1" t="str">
        <f>HYPERLINK("https://homd.org/jbrowse/?data=homd_V11.02_phage_1.2%2FGCA_008728395.1&amp;loc=GCA_008728395.1%7CCP043529.1%3A1529051..1535842&amp;tracks=prokka,prokka_ncrna,ncbi,ncbi_ncrna,panggolin,cenote,genomad&amp;highlight=","Open JBrowse")</f>
        <v>Open JBrowse</v>
      </c>
      <c r="H147">
        <v>1532051</v>
      </c>
      <c r="I147">
        <v>1532842</v>
      </c>
      <c r="J147" t="s">
        <v>2506</v>
      </c>
      <c r="K147" t="s">
        <v>39</v>
      </c>
      <c r="L147" t="s">
        <v>40</v>
      </c>
      <c r="M147" t="s">
        <v>41</v>
      </c>
      <c r="N147" t="s">
        <v>42</v>
      </c>
      <c r="O147">
        <v>3</v>
      </c>
      <c r="P147" t="s">
        <v>42</v>
      </c>
      <c r="Q147" t="s">
        <v>43</v>
      </c>
      <c r="R147" t="s">
        <v>2507</v>
      </c>
      <c r="S147" t="s">
        <v>40</v>
      </c>
      <c r="T147" t="s">
        <v>42</v>
      </c>
      <c r="U147">
        <v>34</v>
      </c>
      <c r="V147">
        <v>260</v>
      </c>
      <c r="W147">
        <v>227</v>
      </c>
      <c r="X147" t="s">
        <v>45</v>
      </c>
    </row>
    <row r="148" spans="1:34" x14ac:dyDescent="0.75">
      <c r="A148" s="22" t="s">
        <v>6047</v>
      </c>
      <c r="B148" t="s">
        <v>2504</v>
      </c>
      <c r="C148" t="s">
        <v>34</v>
      </c>
      <c r="D148" t="s">
        <v>35</v>
      </c>
      <c r="E148" t="s">
        <v>36</v>
      </c>
      <c r="F148" t="s">
        <v>2505</v>
      </c>
      <c r="G148" s="1" t="str">
        <f>HYPERLINK("https://homd.org/jbrowse/?data=homd_V11.02_phage_1.2%2FGCA_008728395.1&amp;loc=GCA_008728395.1%7CCP043529.1%3A3660369..3667133&amp;tracks=prokka,prokka_ncrna,ncbi,ncbi_ncrna,panggolin,cenote,genomad&amp;highlight=","Open JBrowse")</f>
        <v>Open JBrowse</v>
      </c>
      <c r="H148">
        <v>3663369</v>
      </c>
      <c r="I148">
        <v>3664133</v>
      </c>
      <c r="J148" t="s">
        <v>2508</v>
      </c>
      <c r="K148" t="s">
        <v>59</v>
      </c>
      <c r="L148" t="s">
        <v>2509</v>
      </c>
      <c r="M148" t="s">
        <v>2510</v>
      </c>
      <c r="N148" t="s">
        <v>42</v>
      </c>
      <c r="O148">
        <v>3</v>
      </c>
      <c r="P148" t="s">
        <v>42</v>
      </c>
      <c r="Q148" t="s">
        <v>59</v>
      </c>
      <c r="R148" t="s">
        <v>2507</v>
      </c>
      <c r="S148" t="s">
        <v>2509</v>
      </c>
      <c r="T148" t="s">
        <v>42</v>
      </c>
      <c r="U148">
        <v>29</v>
      </c>
      <c r="V148">
        <v>250</v>
      </c>
      <c r="W148">
        <v>222</v>
      </c>
      <c r="X148" t="s">
        <v>1985</v>
      </c>
      <c r="Y148" t="s">
        <v>2511</v>
      </c>
      <c r="Z148" t="s">
        <v>722</v>
      </c>
      <c r="AA148" t="s">
        <v>2512</v>
      </c>
    </row>
    <row r="149" spans="1:34" x14ac:dyDescent="0.75">
      <c r="A149" s="22" t="s">
        <v>6047</v>
      </c>
      <c r="B149" t="s">
        <v>2523</v>
      </c>
      <c r="C149" t="s">
        <v>34</v>
      </c>
      <c r="D149" t="s">
        <v>2524</v>
      </c>
      <c r="E149" t="s">
        <v>2525</v>
      </c>
      <c r="F149" t="s">
        <v>2526</v>
      </c>
      <c r="G149" s="1" t="str">
        <f>HYPERLINK("https://homd.org/jbrowse/?data=homd_V11.02_phage_1.2%2FGCA_009494375.1&amp;loc=GCA_009494375.1%7CVZCD01000123.1%3A30904..37770&amp;tracks=prokka,prokka_ncrna,ncbi,ncbi_ncrna,panggolin,cenote,genomad&amp;highlight=","Open JBrowse")</f>
        <v>Open JBrowse</v>
      </c>
      <c r="H149">
        <v>33904</v>
      </c>
      <c r="I149">
        <v>34770</v>
      </c>
      <c r="J149" t="s">
        <v>2527</v>
      </c>
      <c r="K149" t="s">
        <v>59</v>
      </c>
      <c r="L149" t="s">
        <v>2528</v>
      </c>
      <c r="M149" t="s">
        <v>2529</v>
      </c>
      <c r="N149" t="s">
        <v>42</v>
      </c>
      <c r="O149">
        <v>3</v>
      </c>
      <c r="P149" t="s">
        <v>42</v>
      </c>
      <c r="Q149" t="s">
        <v>59</v>
      </c>
      <c r="R149" t="s">
        <v>2530</v>
      </c>
      <c r="S149" t="s">
        <v>2528</v>
      </c>
      <c r="T149" t="s">
        <v>42</v>
      </c>
      <c r="U149">
        <v>33</v>
      </c>
      <c r="V149">
        <v>285</v>
      </c>
      <c r="W149">
        <v>253</v>
      </c>
      <c r="X149" t="s">
        <v>1484</v>
      </c>
      <c r="Y149" t="s">
        <v>2531</v>
      </c>
      <c r="Z149" t="s">
        <v>1166</v>
      </c>
      <c r="AA149" t="s">
        <v>2532</v>
      </c>
    </row>
    <row r="150" spans="1:34" x14ac:dyDescent="0.75">
      <c r="A150" s="22" t="s">
        <v>6047</v>
      </c>
      <c r="B150" t="s">
        <v>2533</v>
      </c>
      <c r="C150" t="s">
        <v>34</v>
      </c>
      <c r="D150" t="s">
        <v>2524</v>
      </c>
      <c r="E150" t="s">
        <v>2525</v>
      </c>
      <c r="F150" t="s">
        <v>2534</v>
      </c>
      <c r="G150" s="1" t="str">
        <f>HYPERLINK("https://homd.org/jbrowse/?data=homd_V11.02_phage_1.2%2FGCA_009495335.1&amp;loc=GCA_009495335.1%7CVZAH01000028.1%3A30904..37770&amp;tracks=prokka,prokka_ncrna,ncbi,ncbi_ncrna,panggolin,cenote,genomad&amp;highlight=","Open JBrowse")</f>
        <v>Open JBrowse</v>
      </c>
      <c r="H150">
        <v>33904</v>
      </c>
      <c r="I150">
        <v>34770</v>
      </c>
      <c r="J150" t="s">
        <v>2535</v>
      </c>
      <c r="K150" t="s">
        <v>59</v>
      </c>
      <c r="L150" t="s">
        <v>2528</v>
      </c>
      <c r="M150" t="s">
        <v>2529</v>
      </c>
      <c r="N150" t="s">
        <v>42</v>
      </c>
      <c r="O150">
        <v>3</v>
      </c>
      <c r="P150" t="s">
        <v>42</v>
      </c>
      <c r="Q150" t="s">
        <v>59</v>
      </c>
      <c r="R150" t="s">
        <v>2536</v>
      </c>
      <c r="S150" t="s">
        <v>2528</v>
      </c>
      <c r="T150" t="s">
        <v>42</v>
      </c>
      <c r="U150">
        <v>33</v>
      </c>
      <c r="V150">
        <v>285</v>
      </c>
      <c r="W150">
        <v>253</v>
      </c>
      <c r="X150" t="s">
        <v>1484</v>
      </c>
      <c r="Y150" t="s">
        <v>2537</v>
      </c>
      <c r="Z150" t="s">
        <v>292</v>
      </c>
      <c r="AA150" t="s">
        <v>2532</v>
      </c>
    </row>
    <row r="151" spans="1:34" x14ac:dyDescent="0.75">
      <c r="A151" s="22" t="s">
        <v>6047</v>
      </c>
      <c r="B151" t="s">
        <v>2577</v>
      </c>
      <c r="C151" t="s">
        <v>34</v>
      </c>
      <c r="D151" t="s">
        <v>1492</v>
      </c>
      <c r="E151" t="s">
        <v>1493</v>
      </c>
      <c r="F151" t="s">
        <v>2578</v>
      </c>
      <c r="G151" s="1" t="str">
        <f>HYPERLINK("https://homd.org/jbrowse/?data=homd_V11.02_phage_1.2%2FGCA_009734165.1&amp;loc=GCA_009734165.1%7CCP046397.1%3A2275114..2281953&amp;tracks=prokka,prokka_ncrna,ncbi,ncbi_ncrna,panggolin,cenote,genomad&amp;highlight=","Open JBrowse")</f>
        <v>Open JBrowse</v>
      </c>
      <c r="H151">
        <v>2278114</v>
      </c>
      <c r="I151">
        <v>2278953</v>
      </c>
      <c r="J151" t="s">
        <v>2579</v>
      </c>
      <c r="K151" t="s">
        <v>59</v>
      </c>
      <c r="L151" t="s">
        <v>59</v>
      </c>
      <c r="M151" t="s">
        <v>59</v>
      </c>
      <c r="N151" t="s">
        <v>42</v>
      </c>
      <c r="O151">
        <v>1</v>
      </c>
      <c r="P151" t="s">
        <v>59</v>
      </c>
      <c r="Q151" t="s">
        <v>59</v>
      </c>
      <c r="R151" t="s">
        <v>2580</v>
      </c>
      <c r="T151" t="s">
        <v>42</v>
      </c>
      <c r="X151" t="s">
        <v>59</v>
      </c>
    </row>
    <row r="152" spans="1:34" x14ac:dyDescent="0.75">
      <c r="A152" s="22" t="s">
        <v>6047</v>
      </c>
      <c r="B152" t="s">
        <v>2577</v>
      </c>
      <c r="C152" t="s">
        <v>34</v>
      </c>
      <c r="D152" t="s">
        <v>1492</v>
      </c>
      <c r="E152" t="s">
        <v>1493</v>
      </c>
      <c r="F152" t="s">
        <v>2578</v>
      </c>
      <c r="G152" s="1" t="str">
        <f>HYPERLINK("https://homd.org/jbrowse/?data=homd_V11.02_phage_1.2%2FGCA_009734165.1&amp;loc=GCA_009734165.1%7CCP046397.1%3A3557594..3564397&amp;tracks=prokka,prokka_ncrna,ncbi,ncbi_ncrna,panggolin,cenote,genomad&amp;highlight=","Open JBrowse")</f>
        <v>Open JBrowse</v>
      </c>
      <c r="H152">
        <v>3560594</v>
      </c>
      <c r="I152">
        <v>3561397</v>
      </c>
      <c r="J152" t="s">
        <v>2581</v>
      </c>
      <c r="K152" t="s">
        <v>39</v>
      </c>
      <c r="L152" t="s">
        <v>123</v>
      </c>
      <c r="M152" t="s">
        <v>124</v>
      </c>
      <c r="N152" t="s">
        <v>42</v>
      </c>
      <c r="O152">
        <v>3</v>
      </c>
      <c r="P152" t="s">
        <v>42</v>
      </c>
      <c r="Q152" t="s">
        <v>43</v>
      </c>
      <c r="R152" t="s">
        <v>2580</v>
      </c>
      <c r="S152" t="s">
        <v>123</v>
      </c>
      <c r="T152" t="s">
        <v>42</v>
      </c>
      <c r="U152">
        <v>35</v>
      </c>
      <c r="V152">
        <v>261</v>
      </c>
      <c r="W152">
        <v>227</v>
      </c>
      <c r="X152" t="s">
        <v>45</v>
      </c>
      <c r="Y152" t="s">
        <v>2582</v>
      </c>
      <c r="Z152" t="s">
        <v>2583</v>
      </c>
      <c r="AA152" t="s">
        <v>1500</v>
      </c>
    </row>
    <row r="153" spans="1:34" x14ac:dyDescent="0.75">
      <c r="A153" s="22" t="s">
        <v>6047</v>
      </c>
      <c r="B153" t="s">
        <v>2577</v>
      </c>
      <c r="C153" t="s">
        <v>34</v>
      </c>
      <c r="D153" t="s">
        <v>1492</v>
      </c>
      <c r="E153" t="s">
        <v>1493</v>
      </c>
      <c r="F153" t="s">
        <v>2578</v>
      </c>
      <c r="G153" s="1" t="str">
        <f>HYPERLINK("https://homd.org/jbrowse/?data=homd_V11.02_phage_1.2%2FGCA_009734165.1&amp;loc=GCA_009734165.1%7CCP046397.1%3A4196228..4203043&amp;tracks=prokka,prokka_ncrna,ncbi,ncbi_ncrna,panggolin,cenote,genomad&amp;highlight=","Open JBrowse")</f>
        <v>Open JBrowse</v>
      </c>
      <c r="H153">
        <v>4199228</v>
      </c>
      <c r="I153">
        <v>4200043</v>
      </c>
      <c r="J153" t="s">
        <v>2584</v>
      </c>
      <c r="K153" t="s">
        <v>996</v>
      </c>
      <c r="L153" t="s">
        <v>343</v>
      </c>
      <c r="M153" t="s">
        <v>1502</v>
      </c>
      <c r="N153" t="s">
        <v>42</v>
      </c>
      <c r="O153">
        <v>3</v>
      </c>
      <c r="P153" t="s">
        <v>42</v>
      </c>
      <c r="Q153" t="s">
        <v>101</v>
      </c>
      <c r="R153" t="s">
        <v>2580</v>
      </c>
      <c r="S153" t="s">
        <v>343</v>
      </c>
      <c r="T153" t="s">
        <v>42</v>
      </c>
      <c r="U153">
        <v>38</v>
      </c>
      <c r="V153">
        <v>270</v>
      </c>
      <c r="W153">
        <v>233</v>
      </c>
      <c r="X153" t="s">
        <v>999</v>
      </c>
      <c r="Y153" t="s">
        <v>2585</v>
      </c>
      <c r="Z153" t="s">
        <v>2041</v>
      </c>
      <c r="AA153" t="s">
        <v>2586</v>
      </c>
      <c r="AB153" t="s">
        <v>2587</v>
      </c>
      <c r="AC153" t="s">
        <v>1139</v>
      </c>
      <c r="AD153" t="s">
        <v>101</v>
      </c>
      <c r="AE153">
        <v>10355</v>
      </c>
      <c r="AF153" t="s">
        <v>2588</v>
      </c>
      <c r="AG153" t="s">
        <v>2589</v>
      </c>
      <c r="AH153">
        <v>2</v>
      </c>
    </row>
    <row r="154" spans="1:34" x14ac:dyDescent="0.75">
      <c r="A154" s="22" t="s">
        <v>6047</v>
      </c>
      <c r="B154" t="s">
        <v>2601</v>
      </c>
      <c r="C154" t="s">
        <v>34</v>
      </c>
      <c r="D154" t="s">
        <v>73</v>
      </c>
      <c r="E154" t="s">
        <v>74</v>
      </c>
      <c r="F154" t="s">
        <v>2602</v>
      </c>
      <c r="G154" s="1" t="str">
        <f>HYPERLINK("https://homd.org/jbrowse/?data=homd_V11.02_phage_1.2%2FGCA_010223175.1&amp;loc=GCA_010223175.1%7CCP027009.1%3A2618073..2624969&amp;tracks=prokka,prokka_ncrna,ncbi,ncbi_ncrna,panggolin,cenote,genomad&amp;highlight=","Open JBrowse")</f>
        <v>Open JBrowse</v>
      </c>
      <c r="H154">
        <v>2621073</v>
      </c>
      <c r="I154">
        <v>2621969</v>
      </c>
      <c r="J154" t="s">
        <v>2603</v>
      </c>
      <c r="K154" t="s">
        <v>77</v>
      </c>
      <c r="L154" t="s">
        <v>78</v>
      </c>
      <c r="M154" t="s">
        <v>79</v>
      </c>
      <c r="N154" t="s">
        <v>42</v>
      </c>
      <c r="O154">
        <v>3</v>
      </c>
      <c r="P154" t="s">
        <v>42</v>
      </c>
      <c r="Q154" t="s">
        <v>43</v>
      </c>
      <c r="R154" t="s">
        <v>2604</v>
      </c>
      <c r="S154" t="s">
        <v>78</v>
      </c>
      <c r="T154" t="s">
        <v>42</v>
      </c>
      <c r="U154">
        <v>17</v>
      </c>
      <c r="V154">
        <v>266</v>
      </c>
      <c r="W154">
        <v>250</v>
      </c>
      <c r="X154" t="s">
        <v>81</v>
      </c>
      <c r="Y154" t="s">
        <v>2605</v>
      </c>
      <c r="Z154" t="s">
        <v>1357</v>
      </c>
      <c r="AA154" t="s">
        <v>84</v>
      </c>
    </row>
    <row r="155" spans="1:34" x14ac:dyDescent="0.75">
      <c r="A155" s="22" t="s">
        <v>6047</v>
      </c>
      <c r="B155" t="s">
        <v>2601</v>
      </c>
      <c r="C155" t="s">
        <v>34</v>
      </c>
      <c r="D155" t="s">
        <v>73</v>
      </c>
      <c r="E155" t="s">
        <v>74</v>
      </c>
      <c r="F155" t="s">
        <v>2602</v>
      </c>
      <c r="G155" s="1" t="str">
        <f>HYPERLINK("https://homd.org/jbrowse/?data=homd_V11.02_phage_1.2%2FGCA_010223175.1&amp;loc=GCA_010223175.1%7CCP027009.1%3A924552..931469&amp;tracks=prokka,prokka_ncrna,ncbi,ncbi_ncrna,panggolin,cenote,genomad&amp;highlight=","Open JBrowse")</f>
        <v>Open JBrowse</v>
      </c>
      <c r="H155">
        <v>927552</v>
      </c>
      <c r="I155">
        <v>928469</v>
      </c>
      <c r="J155" t="s">
        <v>2606</v>
      </c>
      <c r="K155" t="s">
        <v>77</v>
      </c>
      <c r="L155" t="s">
        <v>2225</v>
      </c>
      <c r="M155" t="s">
        <v>2226</v>
      </c>
      <c r="N155" t="s">
        <v>42</v>
      </c>
      <c r="O155">
        <v>3</v>
      </c>
      <c r="P155" t="s">
        <v>42</v>
      </c>
      <c r="Q155" t="s">
        <v>43</v>
      </c>
      <c r="R155" t="s">
        <v>2604</v>
      </c>
      <c r="S155" t="s">
        <v>2225</v>
      </c>
      <c r="T155" t="s">
        <v>42</v>
      </c>
      <c r="U155">
        <v>37</v>
      </c>
      <c r="V155">
        <v>283</v>
      </c>
      <c r="W155">
        <v>247</v>
      </c>
      <c r="X155" t="s">
        <v>88</v>
      </c>
      <c r="Y155" t="s">
        <v>2607</v>
      </c>
      <c r="Z155" t="s">
        <v>90</v>
      </c>
      <c r="AA155" t="s">
        <v>91</v>
      </c>
    </row>
    <row r="156" spans="1:34" x14ac:dyDescent="0.75">
      <c r="A156" s="22" t="s">
        <v>6047</v>
      </c>
      <c r="B156" t="s">
        <v>2601</v>
      </c>
      <c r="C156" t="s">
        <v>34</v>
      </c>
      <c r="D156" t="s">
        <v>73</v>
      </c>
      <c r="E156" t="s">
        <v>74</v>
      </c>
      <c r="F156" t="s">
        <v>2602</v>
      </c>
      <c r="G156" s="1" t="str">
        <f>HYPERLINK("https://homd.org/jbrowse/?data=homd_V11.02_phage_1.2%2FGCA_010223175.1&amp;loc=GCA_010223175.1%7CCP027009.1%3A1127135..1134247&amp;tracks=prokka,prokka_ncrna,ncbi,ncbi_ncrna,panggolin,cenote,genomad&amp;highlight=","Open JBrowse")</f>
        <v>Open JBrowse</v>
      </c>
      <c r="H156">
        <v>1130135</v>
      </c>
      <c r="I156">
        <v>1131247</v>
      </c>
      <c r="J156" t="s">
        <v>2608</v>
      </c>
      <c r="K156" t="s">
        <v>77</v>
      </c>
      <c r="L156" t="s">
        <v>93</v>
      </c>
      <c r="M156" t="s">
        <v>94</v>
      </c>
      <c r="N156" t="s">
        <v>42</v>
      </c>
      <c r="O156">
        <v>3</v>
      </c>
      <c r="P156" t="s">
        <v>42</v>
      </c>
      <c r="Q156" t="s">
        <v>43</v>
      </c>
      <c r="R156" t="s">
        <v>2604</v>
      </c>
      <c r="S156" t="s">
        <v>93</v>
      </c>
      <c r="T156" t="s">
        <v>42</v>
      </c>
      <c r="U156">
        <v>51</v>
      </c>
      <c r="V156">
        <v>296</v>
      </c>
      <c r="W156">
        <v>246</v>
      </c>
      <c r="X156" t="s">
        <v>95</v>
      </c>
      <c r="Y156" t="s">
        <v>2609</v>
      </c>
      <c r="Z156" t="s">
        <v>904</v>
      </c>
      <c r="AA156" t="s">
        <v>1644</v>
      </c>
      <c r="AB156" t="s">
        <v>2610</v>
      </c>
      <c r="AC156" t="s">
        <v>100</v>
      </c>
      <c r="AD156" t="s">
        <v>101</v>
      </c>
      <c r="AE156">
        <v>415</v>
      </c>
      <c r="AF156" t="s">
        <v>102</v>
      </c>
    </row>
    <row r="157" spans="1:34" x14ac:dyDescent="0.75">
      <c r="A157" s="22" t="s">
        <v>6047</v>
      </c>
      <c r="B157" t="s">
        <v>2611</v>
      </c>
      <c r="C157" t="s">
        <v>34</v>
      </c>
      <c r="D157" t="s">
        <v>73</v>
      </c>
      <c r="E157" t="s">
        <v>74</v>
      </c>
      <c r="F157" t="s">
        <v>2612</v>
      </c>
      <c r="G157" s="1" t="str">
        <f>HYPERLINK("https://homd.org/jbrowse/?data=homd_V11.02_phage_1.2%2FGCA_010223255.1&amp;loc=GCA_010223255.1%7CCP027011.1%3A2618113..2625009&amp;tracks=prokka,prokka_ncrna,ncbi,ncbi_ncrna,panggolin,cenote,genomad&amp;highlight=","Open JBrowse")</f>
        <v>Open JBrowse</v>
      </c>
      <c r="H157">
        <v>2621113</v>
      </c>
      <c r="I157">
        <v>2622009</v>
      </c>
      <c r="J157" t="s">
        <v>2613</v>
      </c>
      <c r="K157" t="s">
        <v>77</v>
      </c>
      <c r="L157" t="s">
        <v>78</v>
      </c>
      <c r="M157" t="s">
        <v>79</v>
      </c>
      <c r="N157" t="s">
        <v>42</v>
      </c>
      <c r="O157">
        <v>3</v>
      </c>
      <c r="P157" t="s">
        <v>42</v>
      </c>
      <c r="Q157" t="s">
        <v>43</v>
      </c>
      <c r="R157" t="s">
        <v>2614</v>
      </c>
      <c r="S157" t="s">
        <v>78</v>
      </c>
      <c r="T157" t="s">
        <v>42</v>
      </c>
      <c r="U157">
        <v>17</v>
      </c>
      <c r="V157">
        <v>266</v>
      </c>
      <c r="W157">
        <v>250</v>
      </c>
      <c r="X157" t="s">
        <v>81</v>
      </c>
      <c r="Y157" t="s">
        <v>2615</v>
      </c>
      <c r="Z157" t="s">
        <v>1357</v>
      </c>
      <c r="AA157" t="s">
        <v>84</v>
      </c>
    </row>
    <row r="158" spans="1:34" x14ac:dyDescent="0.75">
      <c r="A158" s="22" t="s">
        <v>6047</v>
      </c>
      <c r="B158" t="s">
        <v>2611</v>
      </c>
      <c r="C158" t="s">
        <v>34</v>
      </c>
      <c r="D158" t="s">
        <v>73</v>
      </c>
      <c r="E158" t="s">
        <v>74</v>
      </c>
      <c r="F158" t="s">
        <v>2612</v>
      </c>
      <c r="G158" s="1" t="str">
        <f>HYPERLINK("https://homd.org/jbrowse/?data=homd_V11.02_phage_1.2%2FGCA_010223255.1&amp;loc=GCA_010223255.1%7CCP027011.1%3A924601..931473&amp;tracks=prokka,prokka_ncrna,ncbi,ncbi_ncrna,panggolin,cenote,genomad&amp;highlight=","Open JBrowse")</f>
        <v>Open JBrowse</v>
      </c>
      <c r="H158">
        <v>927601</v>
      </c>
      <c r="I158">
        <v>928473</v>
      </c>
      <c r="J158" t="s">
        <v>2616</v>
      </c>
      <c r="K158" t="s">
        <v>77</v>
      </c>
      <c r="L158" t="s">
        <v>2617</v>
      </c>
      <c r="M158" t="s">
        <v>2618</v>
      </c>
      <c r="N158" t="s">
        <v>42</v>
      </c>
      <c r="O158">
        <v>3</v>
      </c>
      <c r="P158" t="s">
        <v>42</v>
      </c>
      <c r="Q158" t="s">
        <v>43</v>
      </c>
      <c r="R158" t="s">
        <v>2614</v>
      </c>
      <c r="S158" t="s">
        <v>2617</v>
      </c>
      <c r="T158" t="s">
        <v>42</v>
      </c>
      <c r="U158">
        <v>22</v>
      </c>
      <c r="V158">
        <v>268</v>
      </c>
      <c r="W158">
        <v>247</v>
      </c>
      <c r="X158" t="s">
        <v>88</v>
      </c>
      <c r="Y158" t="s">
        <v>2619</v>
      </c>
      <c r="Z158" t="s">
        <v>90</v>
      </c>
      <c r="AA158" t="s">
        <v>91</v>
      </c>
    </row>
    <row r="159" spans="1:34" x14ac:dyDescent="0.75">
      <c r="A159" s="22" t="s">
        <v>6047</v>
      </c>
      <c r="B159" t="s">
        <v>2611</v>
      </c>
      <c r="C159" t="s">
        <v>34</v>
      </c>
      <c r="D159" t="s">
        <v>73</v>
      </c>
      <c r="E159" t="s">
        <v>74</v>
      </c>
      <c r="F159" t="s">
        <v>2612</v>
      </c>
      <c r="G159" s="1" t="str">
        <f>HYPERLINK("https://homd.org/jbrowse/?data=homd_V11.02_phage_1.2%2FGCA_010223255.1&amp;loc=GCA_010223255.1%7CCP027011.1%3A1127179..1134177&amp;tracks=prokka,prokka_ncrna,ncbi,ncbi_ncrna,panggolin,cenote,genomad&amp;highlight=","Open JBrowse")</f>
        <v>Open JBrowse</v>
      </c>
      <c r="H159">
        <v>1130179</v>
      </c>
      <c r="I159">
        <v>1131177</v>
      </c>
      <c r="J159" t="s">
        <v>2620</v>
      </c>
      <c r="K159" t="s">
        <v>77</v>
      </c>
      <c r="L159" t="s">
        <v>2621</v>
      </c>
      <c r="M159" t="s">
        <v>2622</v>
      </c>
      <c r="N159" t="s">
        <v>42</v>
      </c>
      <c r="O159">
        <v>3</v>
      </c>
      <c r="P159" t="s">
        <v>42</v>
      </c>
      <c r="Q159" t="s">
        <v>43</v>
      </c>
      <c r="R159" t="s">
        <v>2614</v>
      </c>
      <c r="S159" t="s">
        <v>2621</v>
      </c>
      <c r="T159" t="s">
        <v>42</v>
      </c>
      <c r="U159">
        <v>13</v>
      </c>
      <c r="V159">
        <v>258</v>
      </c>
      <c r="W159">
        <v>246</v>
      </c>
      <c r="X159" t="s">
        <v>95</v>
      </c>
      <c r="Y159" t="s">
        <v>2623</v>
      </c>
      <c r="Z159" t="s">
        <v>904</v>
      </c>
      <c r="AA159" t="s">
        <v>1644</v>
      </c>
      <c r="AB159" t="s">
        <v>2624</v>
      </c>
      <c r="AC159" t="s">
        <v>100</v>
      </c>
      <c r="AD159" t="s">
        <v>101</v>
      </c>
      <c r="AE159">
        <v>415</v>
      </c>
      <c r="AF159" t="s">
        <v>102</v>
      </c>
    </row>
    <row r="160" spans="1:34" x14ac:dyDescent="0.75">
      <c r="A160" s="22" t="s">
        <v>6047</v>
      </c>
      <c r="B160" t="s">
        <v>2625</v>
      </c>
      <c r="C160" t="s">
        <v>34</v>
      </c>
      <c r="D160" t="s">
        <v>2626</v>
      </c>
      <c r="E160" t="s">
        <v>2627</v>
      </c>
      <c r="F160" t="s">
        <v>2628</v>
      </c>
      <c r="G160" s="1" t="str">
        <f>HYPERLINK("https://homd.org/jbrowse/?data=homd_V11.02_phage_1.2%2FGCA_012844205.1&amp;loc=GCA_012844205.1%7CJABAGP010000004.1%3A117298..124914&amp;tracks=prokka,prokka_ncrna,ncbi,ncbi_ncrna,panggolin,cenote,genomad&amp;highlight=","Open JBrowse")</f>
        <v>Open JBrowse</v>
      </c>
      <c r="H160">
        <v>120298</v>
      </c>
      <c r="I160">
        <v>121914</v>
      </c>
      <c r="J160" t="s">
        <v>2629</v>
      </c>
      <c r="K160" t="s">
        <v>39</v>
      </c>
      <c r="L160" t="s">
        <v>2630</v>
      </c>
      <c r="M160" t="s">
        <v>2631</v>
      </c>
      <c r="N160" t="s">
        <v>59</v>
      </c>
      <c r="O160">
        <v>2</v>
      </c>
      <c r="P160" t="s">
        <v>42</v>
      </c>
      <c r="Q160" t="s">
        <v>43</v>
      </c>
      <c r="R160" t="s">
        <v>2632</v>
      </c>
      <c r="S160" t="s">
        <v>2630</v>
      </c>
      <c r="T160" t="s">
        <v>42</v>
      </c>
      <c r="U160">
        <v>309</v>
      </c>
      <c r="V160">
        <v>535</v>
      </c>
      <c r="W160">
        <v>227</v>
      </c>
      <c r="X160" t="s">
        <v>45</v>
      </c>
      <c r="Y160" t="s">
        <v>2633</v>
      </c>
      <c r="Z160" t="s">
        <v>743</v>
      </c>
      <c r="AA160" t="s">
        <v>2634</v>
      </c>
      <c r="AB160" t="s">
        <v>2635</v>
      </c>
      <c r="AC160" t="s">
        <v>68</v>
      </c>
      <c r="AD160" t="s">
        <v>69</v>
      </c>
      <c r="AE160">
        <v>904</v>
      </c>
      <c r="AF160" t="s">
        <v>386</v>
      </c>
      <c r="AG160" t="s">
        <v>185</v>
      </c>
      <c r="AH160">
        <v>2</v>
      </c>
    </row>
    <row r="161" spans="1:34" x14ac:dyDescent="0.75">
      <c r="A161" s="22" t="s">
        <v>6047</v>
      </c>
      <c r="B161" t="s">
        <v>2625</v>
      </c>
      <c r="C161" t="s">
        <v>34</v>
      </c>
      <c r="D161" t="s">
        <v>2626</v>
      </c>
      <c r="E161" t="s">
        <v>2627</v>
      </c>
      <c r="F161" t="s">
        <v>2628</v>
      </c>
      <c r="G161" s="1" t="str">
        <f>HYPERLINK("https://homd.org/jbrowse/?data=homd_V11.02_phage_1.2%2FGCA_012844205.1&amp;loc=GCA_012844205.1%7CJABAGP010000004.1%3A118932..125723&amp;tracks=prokka,prokka_ncrna,ncbi,ncbi_ncrna,panggolin,cenote,genomad&amp;highlight=","Open JBrowse")</f>
        <v>Open JBrowse</v>
      </c>
      <c r="H161">
        <v>121932</v>
      </c>
      <c r="I161">
        <v>122723</v>
      </c>
      <c r="J161" t="s">
        <v>2636</v>
      </c>
      <c r="K161" t="s">
        <v>39</v>
      </c>
      <c r="L161" t="s">
        <v>2637</v>
      </c>
      <c r="M161" t="s">
        <v>2638</v>
      </c>
      <c r="N161" t="s">
        <v>42</v>
      </c>
      <c r="O161">
        <v>3</v>
      </c>
      <c r="P161" t="s">
        <v>42</v>
      </c>
      <c r="Q161" t="s">
        <v>43</v>
      </c>
      <c r="R161" t="s">
        <v>2632</v>
      </c>
      <c r="S161" t="s">
        <v>2637</v>
      </c>
      <c r="T161" t="s">
        <v>42</v>
      </c>
      <c r="U161">
        <v>30</v>
      </c>
      <c r="V161">
        <v>256</v>
      </c>
      <c r="W161">
        <v>227</v>
      </c>
      <c r="X161" t="s">
        <v>45</v>
      </c>
      <c r="Y161" t="s">
        <v>2633</v>
      </c>
      <c r="Z161" t="s">
        <v>743</v>
      </c>
      <c r="AA161" t="s">
        <v>2634</v>
      </c>
      <c r="AB161" t="s">
        <v>2635</v>
      </c>
      <c r="AC161" t="s">
        <v>68</v>
      </c>
      <c r="AD161" t="s">
        <v>69</v>
      </c>
      <c r="AE161">
        <v>904</v>
      </c>
      <c r="AF161" t="s">
        <v>386</v>
      </c>
      <c r="AG161" t="s">
        <v>185</v>
      </c>
      <c r="AH161">
        <v>2</v>
      </c>
    </row>
    <row r="162" spans="1:34" x14ac:dyDescent="0.75">
      <c r="A162" s="22" t="s">
        <v>6047</v>
      </c>
      <c r="B162" t="s">
        <v>2639</v>
      </c>
      <c r="C162" t="s">
        <v>34</v>
      </c>
      <c r="D162" t="s">
        <v>55</v>
      </c>
      <c r="E162" t="s">
        <v>56</v>
      </c>
      <c r="F162" t="s">
        <v>2640</v>
      </c>
      <c r="G162" s="1" t="str">
        <f>HYPERLINK("https://homd.org/jbrowse/?data=homd_V11.02_phage_1.2%2FGCA_012851305.1&amp;loc=GCA_012851305.1%7CCP051672.1%3A3810108..3816938&amp;tracks=prokka,prokka_ncrna,ncbi,ncbi_ncrna,panggolin,cenote,genomad&amp;highlight=","Open JBrowse")</f>
        <v>Open JBrowse</v>
      </c>
      <c r="H162">
        <v>3813108</v>
      </c>
      <c r="I162">
        <v>3813938</v>
      </c>
      <c r="J162" t="s">
        <v>2641</v>
      </c>
      <c r="K162" t="s">
        <v>59</v>
      </c>
      <c r="L162" t="s">
        <v>60</v>
      </c>
      <c r="M162" t="s">
        <v>61</v>
      </c>
      <c r="N162" t="s">
        <v>42</v>
      </c>
      <c r="O162">
        <v>3</v>
      </c>
      <c r="P162" t="s">
        <v>42</v>
      </c>
      <c r="Q162" t="s">
        <v>59</v>
      </c>
      <c r="R162" t="s">
        <v>2642</v>
      </c>
      <c r="S162" t="s">
        <v>60</v>
      </c>
      <c r="T162" t="s">
        <v>42</v>
      </c>
      <c r="U162">
        <v>41</v>
      </c>
      <c r="V162">
        <v>274</v>
      </c>
      <c r="W162">
        <v>234</v>
      </c>
      <c r="X162" t="s">
        <v>63</v>
      </c>
      <c r="Y162" t="s">
        <v>2643</v>
      </c>
      <c r="Z162" t="s">
        <v>2644</v>
      </c>
      <c r="AA162" t="s">
        <v>2645</v>
      </c>
      <c r="AB162" t="s">
        <v>2646</v>
      </c>
      <c r="AC162" t="s">
        <v>68</v>
      </c>
      <c r="AD162" t="s">
        <v>69</v>
      </c>
      <c r="AE162">
        <v>3405</v>
      </c>
      <c r="AF162" t="s">
        <v>2647</v>
      </c>
      <c r="AG162" t="s">
        <v>71</v>
      </c>
      <c r="AH162">
        <v>2</v>
      </c>
    </row>
    <row r="163" spans="1:34" x14ac:dyDescent="0.75">
      <c r="A163" s="22" t="s">
        <v>6047</v>
      </c>
      <c r="B163" t="s">
        <v>2648</v>
      </c>
      <c r="C163" t="s">
        <v>34</v>
      </c>
      <c r="D163" t="s">
        <v>1604</v>
      </c>
      <c r="E163" t="s">
        <v>1605</v>
      </c>
      <c r="F163" t="s">
        <v>2649</v>
      </c>
      <c r="G163" s="1" t="str">
        <f>HYPERLINK("https://homd.org/jbrowse/?data=homd_V11.02_phage_1.2%2FGCA_013009555.1&amp;loc=GCA_013009555.1%7CCP046176.1%3A1354884..1361660&amp;tracks=prokka,prokka_ncrna,ncbi,ncbi_ncrna,panggolin,cenote,genomad&amp;highlight=","Open JBrowse")</f>
        <v>Open JBrowse</v>
      </c>
      <c r="H163">
        <v>1357884</v>
      </c>
      <c r="I163">
        <v>1358660</v>
      </c>
      <c r="J163" t="s">
        <v>2650</v>
      </c>
      <c r="K163" t="s">
        <v>39</v>
      </c>
      <c r="L163" t="s">
        <v>1608</v>
      </c>
      <c r="M163" t="s">
        <v>1609</v>
      </c>
      <c r="N163" t="s">
        <v>42</v>
      </c>
      <c r="O163">
        <v>3</v>
      </c>
      <c r="P163" t="s">
        <v>42</v>
      </c>
      <c r="Q163" t="s">
        <v>43</v>
      </c>
      <c r="R163" t="s">
        <v>2651</v>
      </c>
      <c r="S163" t="s">
        <v>1608</v>
      </c>
      <c r="T163" t="s">
        <v>42</v>
      </c>
      <c r="U163">
        <v>27</v>
      </c>
      <c r="V163">
        <v>255</v>
      </c>
      <c r="W163">
        <v>229</v>
      </c>
      <c r="X163" t="s">
        <v>45</v>
      </c>
      <c r="Y163" t="s">
        <v>2652</v>
      </c>
      <c r="Z163" t="s">
        <v>118</v>
      </c>
      <c r="AA163" t="s">
        <v>1613</v>
      </c>
      <c r="AB163" t="s">
        <v>2653</v>
      </c>
      <c r="AC163" t="s">
        <v>1489</v>
      </c>
      <c r="AD163" t="s">
        <v>638</v>
      </c>
      <c r="AE163">
        <v>177.5</v>
      </c>
      <c r="AF163" t="s">
        <v>102</v>
      </c>
    </row>
    <row r="164" spans="1:34" x14ac:dyDescent="0.75">
      <c r="A164" s="22" t="s">
        <v>6047</v>
      </c>
      <c r="B164" t="s">
        <v>2648</v>
      </c>
      <c r="C164" t="s">
        <v>34</v>
      </c>
      <c r="D164" t="s">
        <v>1604</v>
      </c>
      <c r="E164" t="s">
        <v>1605</v>
      </c>
      <c r="F164" t="s">
        <v>2649</v>
      </c>
      <c r="G164" s="1" t="str">
        <f>HYPERLINK("https://homd.org/jbrowse/?data=homd_V11.02_phage_1.2%2FGCA_013009555.1&amp;loc=GCA_013009555.1%7CCP046176.1%3A3873461..3880252&amp;tracks=prokka,prokka_ncrna,ncbi,ncbi_ncrna,panggolin,cenote,genomad&amp;highlight=","Open JBrowse")</f>
        <v>Open JBrowse</v>
      </c>
      <c r="H164">
        <v>3876461</v>
      </c>
      <c r="I164">
        <v>3877252</v>
      </c>
      <c r="J164" t="s">
        <v>2654</v>
      </c>
      <c r="K164" t="s">
        <v>39</v>
      </c>
      <c r="L164" t="s">
        <v>40</v>
      </c>
      <c r="M164" t="s">
        <v>41</v>
      </c>
      <c r="N164" t="s">
        <v>42</v>
      </c>
      <c r="O164">
        <v>3</v>
      </c>
      <c r="P164" t="s">
        <v>42</v>
      </c>
      <c r="Q164" t="s">
        <v>43</v>
      </c>
      <c r="R164" t="s">
        <v>2651</v>
      </c>
      <c r="S164" t="s">
        <v>40</v>
      </c>
      <c r="T164" t="s">
        <v>42</v>
      </c>
      <c r="U164">
        <v>34</v>
      </c>
      <c r="V164">
        <v>260</v>
      </c>
      <c r="W164">
        <v>227</v>
      </c>
      <c r="X164" t="s">
        <v>45</v>
      </c>
      <c r="Y164" t="s">
        <v>2655</v>
      </c>
      <c r="Z164" t="s">
        <v>722</v>
      </c>
      <c r="AA164" t="s">
        <v>1617</v>
      </c>
      <c r="AB164" t="s">
        <v>2656</v>
      </c>
      <c r="AC164" t="s">
        <v>50</v>
      </c>
      <c r="AD164" t="s">
        <v>51</v>
      </c>
      <c r="AE164">
        <v>9891.5</v>
      </c>
      <c r="AF164" t="s">
        <v>1619</v>
      </c>
      <c r="AG164" t="s">
        <v>51</v>
      </c>
      <c r="AH164">
        <v>4</v>
      </c>
    </row>
    <row r="165" spans="1:34" x14ac:dyDescent="0.75">
      <c r="A165" s="22" t="s">
        <v>6047</v>
      </c>
      <c r="B165" t="s">
        <v>2657</v>
      </c>
      <c r="C165" t="s">
        <v>34</v>
      </c>
      <c r="D165" t="s">
        <v>1604</v>
      </c>
      <c r="E165" t="s">
        <v>1605</v>
      </c>
      <c r="F165" t="s">
        <v>2658</v>
      </c>
      <c r="G165" s="1" t="str">
        <f>HYPERLINK("https://homd.org/jbrowse/?data=homd_V11.02_phage_1.2%2FGCA_013009675.1&amp;loc=GCA_013009675.1%7CCP046424.1%3A1798959..1805735&amp;tracks=prokka,prokka_ncrna,ncbi,ncbi_ncrna,panggolin,cenote,genomad&amp;highlight=","Open JBrowse")</f>
        <v>Open JBrowse</v>
      </c>
      <c r="H165">
        <v>1801959</v>
      </c>
      <c r="I165">
        <v>1802735</v>
      </c>
      <c r="J165" t="s">
        <v>2659</v>
      </c>
      <c r="K165" t="s">
        <v>39</v>
      </c>
      <c r="L165" t="s">
        <v>1608</v>
      </c>
      <c r="M165" t="s">
        <v>1609</v>
      </c>
      <c r="N165" t="s">
        <v>42</v>
      </c>
      <c r="O165">
        <v>3</v>
      </c>
      <c r="P165" t="s">
        <v>42</v>
      </c>
      <c r="Q165" t="s">
        <v>43</v>
      </c>
      <c r="R165" t="s">
        <v>2660</v>
      </c>
      <c r="S165" t="s">
        <v>1608</v>
      </c>
      <c r="T165" t="s">
        <v>42</v>
      </c>
      <c r="U165">
        <v>27</v>
      </c>
      <c r="V165">
        <v>255</v>
      </c>
      <c r="W165">
        <v>229</v>
      </c>
      <c r="X165" t="s">
        <v>45</v>
      </c>
      <c r="Y165" t="s">
        <v>2661</v>
      </c>
      <c r="Z165" t="s">
        <v>410</v>
      </c>
      <c r="AA165" t="s">
        <v>1613</v>
      </c>
      <c r="AB165" t="s">
        <v>2662</v>
      </c>
      <c r="AC165" t="s">
        <v>1489</v>
      </c>
      <c r="AD165" t="s">
        <v>638</v>
      </c>
      <c r="AE165">
        <v>177.5</v>
      </c>
      <c r="AF165" t="s">
        <v>102</v>
      </c>
    </row>
    <row r="166" spans="1:34" x14ac:dyDescent="0.75">
      <c r="A166" s="22" t="s">
        <v>6047</v>
      </c>
      <c r="B166" t="s">
        <v>2657</v>
      </c>
      <c r="C166" t="s">
        <v>34</v>
      </c>
      <c r="D166" t="s">
        <v>1604</v>
      </c>
      <c r="E166" t="s">
        <v>1605</v>
      </c>
      <c r="F166" t="s">
        <v>2658</v>
      </c>
      <c r="G166" s="1" t="str">
        <f>HYPERLINK("https://homd.org/jbrowse/?data=homd_V11.02_phage_1.2%2FGCA_013009675.1&amp;loc=GCA_013009675.1%7CCP046424.1%3A4016112..4022903&amp;tracks=prokka,prokka_ncrna,ncbi,ncbi_ncrna,panggolin,cenote,genomad&amp;highlight=","Open JBrowse")</f>
        <v>Open JBrowse</v>
      </c>
      <c r="H166">
        <v>4019112</v>
      </c>
      <c r="I166">
        <v>4019903</v>
      </c>
      <c r="J166" t="s">
        <v>2663</v>
      </c>
      <c r="K166" t="s">
        <v>39</v>
      </c>
      <c r="L166" t="s">
        <v>40</v>
      </c>
      <c r="M166" t="s">
        <v>41</v>
      </c>
      <c r="N166" t="s">
        <v>42</v>
      </c>
      <c r="O166">
        <v>3</v>
      </c>
      <c r="P166" t="s">
        <v>42</v>
      </c>
      <c r="Q166" t="s">
        <v>43</v>
      </c>
      <c r="R166" t="s">
        <v>2660</v>
      </c>
      <c r="S166" t="s">
        <v>40</v>
      </c>
      <c r="T166" t="s">
        <v>42</v>
      </c>
      <c r="U166">
        <v>34</v>
      </c>
      <c r="V166">
        <v>260</v>
      </c>
      <c r="W166">
        <v>227</v>
      </c>
      <c r="X166" t="s">
        <v>45</v>
      </c>
      <c r="Y166" t="s">
        <v>2664</v>
      </c>
      <c r="Z166" t="s">
        <v>2665</v>
      </c>
      <c r="AA166" t="s">
        <v>1617</v>
      </c>
      <c r="AB166" t="s">
        <v>2666</v>
      </c>
      <c r="AC166" t="s">
        <v>50</v>
      </c>
      <c r="AD166" t="s">
        <v>51</v>
      </c>
      <c r="AE166">
        <v>9879.5</v>
      </c>
      <c r="AF166" t="s">
        <v>1619</v>
      </c>
      <c r="AG166" t="s">
        <v>51</v>
      </c>
      <c r="AH166">
        <v>4</v>
      </c>
    </row>
    <row r="167" spans="1:34" x14ac:dyDescent="0.75">
      <c r="A167" s="22" t="s">
        <v>6047</v>
      </c>
      <c r="B167" t="s">
        <v>2667</v>
      </c>
      <c r="C167" t="s">
        <v>34</v>
      </c>
      <c r="D167" t="s">
        <v>1604</v>
      </c>
      <c r="E167" t="s">
        <v>1605</v>
      </c>
      <c r="F167" t="s">
        <v>2668</v>
      </c>
      <c r="G167" s="1" t="str">
        <f>HYPERLINK("https://homd.org/jbrowse/?data=homd_V11.02_phage_1.2%2FGCA_013009875.1&amp;loc=GCA_013009875.1%7CCP046425.1%3A1678637..1685413&amp;tracks=prokka,prokka_ncrna,ncbi,ncbi_ncrna,panggolin,cenote,genomad&amp;highlight=","Open JBrowse")</f>
        <v>Open JBrowse</v>
      </c>
      <c r="H167">
        <v>1681637</v>
      </c>
      <c r="I167">
        <v>1682413</v>
      </c>
      <c r="J167" t="s">
        <v>2669</v>
      </c>
      <c r="K167" t="s">
        <v>39</v>
      </c>
      <c r="L167" t="s">
        <v>1608</v>
      </c>
      <c r="M167" t="s">
        <v>1609</v>
      </c>
      <c r="N167" t="s">
        <v>42</v>
      </c>
      <c r="O167">
        <v>3</v>
      </c>
      <c r="P167" t="s">
        <v>42</v>
      </c>
      <c r="Q167" t="s">
        <v>43</v>
      </c>
      <c r="R167" t="s">
        <v>2670</v>
      </c>
      <c r="S167" t="s">
        <v>1608</v>
      </c>
      <c r="T167" t="s">
        <v>42</v>
      </c>
      <c r="U167">
        <v>27</v>
      </c>
      <c r="V167">
        <v>255</v>
      </c>
      <c r="W167">
        <v>229</v>
      </c>
      <c r="X167" t="s">
        <v>45</v>
      </c>
      <c r="Y167" t="s">
        <v>2671</v>
      </c>
      <c r="Z167" t="s">
        <v>381</v>
      </c>
      <c r="AA167" t="s">
        <v>1613</v>
      </c>
      <c r="AB167" t="s">
        <v>2672</v>
      </c>
      <c r="AC167" t="s">
        <v>1489</v>
      </c>
      <c r="AD167" t="s">
        <v>638</v>
      </c>
      <c r="AE167">
        <v>177.5</v>
      </c>
      <c r="AF167" t="s">
        <v>102</v>
      </c>
    </row>
    <row r="168" spans="1:34" x14ac:dyDescent="0.75">
      <c r="A168" s="22" t="s">
        <v>6047</v>
      </c>
      <c r="B168" t="s">
        <v>2667</v>
      </c>
      <c r="C168" t="s">
        <v>34</v>
      </c>
      <c r="D168" t="s">
        <v>1604</v>
      </c>
      <c r="E168" t="s">
        <v>1605</v>
      </c>
      <c r="F168" t="s">
        <v>2668</v>
      </c>
      <c r="G168" s="1" t="str">
        <f>HYPERLINK("https://homd.org/jbrowse/?data=homd_V11.02_phage_1.2%2FGCA_013009875.1&amp;loc=GCA_013009875.1%7CCP046425.1%3A3898618..3905409&amp;tracks=prokka,prokka_ncrna,ncbi,ncbi_ncrna,panggolin,cenote,genomad&amp;highlight=","Open JBrowse")</f>
        <v>Open JBrowse</v>
      </c>
      <c r="H168">
        <v>3901618</v>
      </c>
      <c r="I168">
        <v>3902409</v>
      </c>
      <c r="J168" t="s">
        <v>2673</v>
      </c>
      <c r="K168" t="s">
        <v>39</v>
      </c>
      <c r="L168" t="s">
        <v>40</v>
      </c>
      <c r="M168" t="s">
        <v>41</v>
      </c>
      <c r="N168" t="s">
        <v>42</v>
      </c>
      <c r="O168">
        <v>3</v>
      </c>
      <c r="P168" t="s">
        <v>42</v>
      </c>
      <c r="Q168" t="s">
        <v>43</v>
      </c>
      <c r="R168" t="s">
        <v>2670</v>
      </c>
      <c r="S168" t="s">
        <v>40</v>
      </c>
      <c r="T168" t="s">
        <v>42</v>
      </c>
      <c r="U168">
        <v>34</v>
      </c>
      <c r="V168">
        <v>260</v>
      </c>
      <c r="W168">
        <v>227</v>
      </c>
      <c r="X168" t="s">
        <v>45</v>
      </c>
      <c r="Y168" t="s">
        <v>2674</v>
      </c>
      <c r="Z168" t="s">
        <v>2675</v>
      </c>
      <c r="AA168" t="s">
        <v>1617</v>
      </c>
      <c r="AB168" t="s">
        <v>2676</v>
      </c>
      <c r="AC168" t="s">
        <v>50</v>
      </c>
      <c r="AD168" t="s">
        <v>51</v>
      </c>
      <c r="AE168">
        <v>9879.5</v>
      </c>
      <c r="AF168" t="s">
        <v>1619</v>
      </c>
      <c r="AG168" t="s">
        <v>51</v>
      </c>
      <c r="AH168">
        <v>4</v>
      </c>
    </row>
    <row r="169" spans="1:34" x14ac:dyDescent="0.75">
      <c r="A169" s="22" t="s">
        <v>6047</v>
      </c>
      <c r="B169" t="s">
        <v>2677</v>
      </c>
      <c r="C169" t="s">
        <v>34</v>
      </c>
      <c r="D169" t="s">
        <v>1604</v>
      </c>
      <c r="E169" t="s">
        <v>1605</v>
      </c>
      <c r="F169" t="s">
        <v>2678</v>
      </c>
      <c r="G169" s="1" t="str">
        <f>HYPERLINK("https://homd.org/jbrowse/?data=homd_V11.02_phage_1.2%2FGCA_013010095.1&amp;loc=GCA_013010095.1%7CCP046426.1%3A1677604..1684380&amp;tracks=prokka,prokka_ncrna,ncbi,ncbi_ncrna,panggolin,cenote,genomad&amp;highlight=","Open JBrowse")</f>
        <v>Open JBrowse</v>
      </c>
      <c r="H169">
        <v>1680604</v>
      </c>
      <c r="I169">
        <v>1681380</v>
      </c>
      <c r="J169" t="s">
        <v>2679</v>
      </c>
      <c r="K169" t="s">
        <v>39</v>
      </c>
      <c r="L169" t="s">
        <v>1608</v>
      </c>
      <c r="M169" t="s">
        <v>1609</v>
      </c>
      <c r="N169" t="s">
        <v>42</v>
      </c>
      <c r="O169">
        <v>3</v>
      </c>
      <c r="P169" t="s">
        <v>42</v>
      </c>
      <c r="Q169" t="s">
        <v>43</v>
      </c>
      <c r="R169" t="s">
        <v>2680</v>
      </c>
      <c r="S169" t="s">
        <v>1608</v>
      </c>
      <c r="T169" t="s">
        <v>42</v>
      </c>
      <c r="U169">
        <v>27</v>
      </c>
      <c r="V169">
        <v>255</v>
      </c>
      <c r="W169">
        <v>229</v>
      </c>
      <c r="X169" t="s">
        <v>45</v>
      </c>
      <c r="Y169" t="s">
        <v>2681</v>
      </c>
      <c r="Z169" t="s">
        <v>381</v>
      </c>
      <c r="AA169" t="s">
        <v>1613</v>
      </c>
      <c r="AB169" t="s">
        <v>2682</v>
      </c>
      <c r="AC169" t="s">
        <v>1489</v>
      </c>
      <c r="AD169" t="s">
        <v>638</v>
      </c>
      <c r="AE169">
        <v>177.5</v>
      </c>
      <c r="AF169" t="s">
        <v>102</v>
      </c>
    </row>
    <row r="170" spans="1:34" x14ac:dyDescent="0.75">
      <c r="A170" s="22" t="s">
        <v>6047</v>
      </c>
      <c r="B170" t="s">
        <v>2677</v>
      </c>
      <c r="C170" t="s">
        <v>34</v>
      </c>
      <c r="D170" t="s">
        <v>1604</v>
      </c>
      <c r="E170" t="s">
        <v>1605</v>
      </c>
      <c r="F170" t="s">
        <v>2678</v>
      </c>
      <c r="G170" s="1" t="str">
        <f>HYPERLINK("https://homd.org/jbrowse/?data=homd_V11.02_phage_1.2%2FGCA_013010095.1&amp;loc=GCA_013010095.1%7CCP046426.1%3A3893674..3900465&amp;tracks=prokka,prokka_ncrna,ncbi,ncbi_ncrna,panggolin,cenote,genomad&amp;highlight=","Open JBrowse")</f>
        <v>Open JBrowse</v>
      </c>
      <c r="H170">
        <v>3896674</v>
      </c>
      <c r="I170">
        <v>3897465</v>
      </c>
      <c r="J170" t="s">
        <v>2683</v>
      </c>
      <c r="K170" t="s">
        <v>39</v>
      </c>
      <c r="L170" t="s">
        <v>40</v>
      </c>
      <c r="M170" t="s">
        <v>41</v>
      </c>
      <c r="N170" t="s">
        <v>42</v>
      </c>
      <c r="O170">
        <v>3</v>
      </c>
      <c r="P170" t="s">
        <v>42</v>
      </c>
      <c r="Q170" t="s">
        <v>43</v>
      </c>
      <c r="R170" t="s">
        <v>2680</v>
      </c>
      <c r="S170" t="s">
        <v>40</v>
      </c>
      <c r="T170" t="s">
        <v>42</v>
      </c>
      <c r="U170">
        <v>34</v>
      </c>
      <c r="V170">
        <v>260</v>
      </c>
      <c r="W170">
        <v>227</v>
      </c>
      <c r="X170" t="s">
        <v>45</v>
      </c>
      <c r="Y170" t="s">
        <v>2684</v>
      </c>
      <c r="Z170" t="s">
        <v>2675</v>
      </c>
      <c r="AA170" t="s">
        <v>1617</v>
      </c>
      <c r="AB170" t="s">
        <v>2685</v>
      </c>
      <c r="AC170" t="s">
        <v>50</v>
      </c>
      <c r="AD170" t="s">
        <v>51</v>
      </c>
      <c r="AE170">
        <v>9879.5</v>
      </c>
      <c r="AF170" t="s">
        <v>1619</v>
      </c>
      <c r="AG170" t="s">
        <v>51</v>
      </c>
      <c r="AH170">
        <v>4</v>
      </c>
    </row>
    <row r="171" spans="1:34" x14ac:dyDescent="0.75">
      <c r="A171" s="22" t="s">
        <v>6047</v>
      </c>
      <c r="B171" t="s">
        <v>2686</v>
      </c>
      <c r="C171" t="s">
        <v>34</v>
      </c>
      <c r="D171" t="s">
        <v>1604</v>
      </c>
      <c r="E171" t="s">
        <v>1605</v>
      </c>
      <c r="F171" t="s">
        <v>2687</v>
      </c>
      <c r="G171" s="1" t="str">
        <f>HYPERLINK("https://homd.org/jbrowse/?data=homd_V11.02_phage_1.2%2FGCA_013010255.1&amp;loc=GCA_013010255.1%7CCP046427.1%3A1695035..1701811&amp;tracks=prokka,prokka_ncrna,ncbi,ncbi_ncrna,panggolin,cenote,genomad&amp;highlight=","Open JBrowse")</f>
        <v>Open JBrowse</v>
      </c>
      <c r="H171">
        <v>1698035</v>
      </c>
      <c r="I171">
        <v>1698811</v>
      </c>
      <c r="J171" t="s">
        <v>2688</v>
      </c>
      <c r="K171" t="s">
        <v>39</v>
      </c>
      <c r="L171" t="s">
        <v>1608</v>
      </c>
      <c r="M171" t="s">
        <v>1609</v>
      </c>
      <c r="N171" t="s">
        <v>42</v>
      </c>
      <c r="O171">
        <v>3</v>
      </c>
      <c r="P171" t="s">
        <v>42</v>
      </c>
      <c r="Q171" t="s">
        <v>43</v>
      </c>
      <c r="R171" t="s">
        <v>2689</v>
      </c>
      <c r="S171" t="s">
        <v>1608</v>
      </c>
      <c r="T171" t="s">
        <v>42</v>
      </c>
      <c r="U171">
        <v>27</v>
      </c>
      <c r="V171">
        <v>255</v>
      </c>
      <c r="W171">
        <v>229</v>
      </c>
      <c r="X171" t="s">
        <v>45</v>
      </c>
      <c r="Y171" t="s">
        <v>2690</v>
      </c>
      <c r="Z171" t="s">
        <v>892</v>
      </c>
      <c r="AA171" t="s">
        <v>1613</v>
      </c>
      <c r="AB171" t="s">
        <v>2691</v>
      </c>
      <c r="AC171" t="s">
        <v>1489</v>
      </c>
      <c r="AD171" t="s">
        <v>638</v>
      </c>
      <c r="AE171">
        <v>177.5</v>
      </c>
      <c r="AF171" t="s">
        <v>102</v>
      </c>
    </row>
    <row r="172" spans="1:34" x14ac:dyDescent="0.75">
      <c r="A172" s="22" t="s">
        <v>6047</v>
      </c>
      <c r="B172" t="s">
        <v>2686</v>
      </c>
      <c r="C172" t="s">
        <v>34</v>
      </c>
      <c r="D172" t="s">
        <v>1604</v>
      </c>
      <c r="E172" t="s">
        <v>1605</v>
      </c>
      <c r="F172" t="s">
        <v>2687</v>
      </c>
      <c r="G172" s="1" t="str">
        <f>HYPERLINK("https://homd.org/jbrowse/?data=homd_V11.02_phage_1.2%2FGCA_013010255.1&amp;loc=GCA_013010255.1%7CCP046427.1%3A4108152..4114943&amp;tracks=prokka,prokka_ncrna,ncbi,ncbi_ncrna,panggolin,cenote,genomad&amp;highlight=","Open JBrowse")</f>
        <v>Open JBrowse</v>
      </c>
      <c r="H172">
        <v>4111152</v>
      </c>
      <c r="I172">
        <v>4111943</v>
      </c>
      <c r="J172" t="s">
        <v>2692</v>
      </c>
      <c r="K172" t="s">
        <v>39</v>
      </c>
      <c r="L172" t="s">
        <v>40</v>
      </c>
      <c r="M172" t="s">
        <v>41</v>
      </c>
      <c r="N172" t="s">
        <v>42</v>
      </c>
      <c r="O172">
        <v>3</v>
      </c>
      <c r="P172" t="s">
        <v>42</v>
      </c>
      <c r="Q172" t="s">
        <v>43</v>
      </c>
      <c r="R172" t="s">
        <v>2689</v>
      </c>
      <c r="S172" t="s">
        <v>40</v>
      </c>
      <c r="T172" t="s">
        <v>42</v>
      </c>
      <c r="U172">
        <v>34</v>
      </c>
      <c r="V172">
        <v>260</v>
      </c>
      <c r="W172">
        <v>227</v>
      </c>
      <c r="X172" t="s">
        <v>45</v>
      </c>
      <c r="Y172" t="s">
        <v>2693</v>
      </c>
      <c r="Z172" t="s">
        <v>2694</v>
      </c>
      <c r="AA172" t="s">
        <v>1617</v>
      </c>
      <c r="AB172" t="s">
        <v>2695</v>
      </c>
      <c r="AC172" t="s">
        <v>50</v>
      </c>
      <c r="AD172" t="s">
        <v>51</v>
      </c>
      <c r="AE172">
        <v>9868.5</v>
      </c>
      <c r="AF172" t="s">
        <v>1619</v>
      </c>
      <c r="AG172" t="s">
        <v>51</v>
      </c>
      <c r="AH172">
        <v>4</v>
      </c>
    </row>
    <row r="173" spans="1:34" x14ac:dyDescent="0.75">
      <c r="A173" s="22" t="s">
        <v>6047</v>
      </c>
      <c r="B173" t="s">
        <v>2696</v>
      </c>
      <c r="C173" t="s">
        <v>34</v>
      </c>
      <c r="D173" t="s">
        <v>1604</v>
      </c>
      <c r="E173" t="s">
        <v>1605</v>
      </c>
      <c r="F173" t="s">
        <v>2697</v>
      </c>
      <c r="G173" s="1" t="str">
        <f>HYPERLINK("https://homd.org/jbrowse/?data=homd_V11.02_phage_1.2%2FGCA_013010365.1&amp;loc=GCA_013010365.1%7CCP046428.1%3A1456353..1463144&amp;tracks=prokka,prokka_ncrna,ncbi,ncbi_ncrna,panggolin,cenote,genomad&amp;highlight=","Open JBrowse")</f>
        <v>Open JBrowse</v>
      </c>
      <c r="H173">
        <v>1459353</v>
      </c>
      <c r="I173">
        <v>1460144</v>
      </c>
      <c r="J173" t="s">
        <v>2698</v>
      </c>
      <c r="K173" t="s">
        <v>39</v>
      </c>
      <c r="L173" t="s">
        <v>40</v>
      </c>
      <c r="M173" t="s">
        <v>41</v>
      </c>
      <c r="N173" t="s">
        <v>42</v>
      </c>
      <c r="O173">
        <v>3</v>
      </c>
      <c r="P173" t="s">
        <v>42</v>
      </c>
      <c r="Q173" t="s">
        <v>43</v>
      </c>
      <c r="R173" t="s">
        <v>2699</v>
      </c>
      <c r="S173" t="s">
        <v>40</v>
      </c>
      <c r="T173" t="s">
        <v>42</v>
      </c>
      <c r="U173">
        <v>34</v>
      </c>
      <c r="V173">
        <v>260</v>
      </c>
      <c r="W173">
        <v>227</v>
      </c>
      <c r="X173" t="s">
        <v>45</v>
      </c>
      <c r="Y173" t="s">
        <v>2700</v>
      </c>
      <c r="Z173" t="s">
        <v>892</v>
      </c>
      <c r="AA173" t="s">
        <v>2701</v>
      </c>
      <c r="AB173" t="s">
        <v>2702</v>
      </c>
      <c r="AC173" t="s">
        <v>50</v>
      </c>
      <c r="AD173" t="s">
        <v>51</v>
      </c>
      <c r="AE173">
        <v>9868.5</v>
      </c>
      <c r="AF173" t="s">
        <v>2703</v>
      </c>
      <c r="AG173" t="s">
        <v>51</v>
      </c>
      <c r="AH173">
        <v>4</v>
      </c>
    </row>
    <row r="174" spans="1:34" x14ac:dyDescent="0.75">
      <c r="A174" s="22" t="s">
        <v>6047</v>
      </c>
      <c r="B174" t="s">
        <v>2696</v>
      </c>
      <c r="C174" t="s">
        <v>34</v>
      </c>
      <c r="D174" t="s">
        <v>1604</v>
      </c>
      <c r="E174" t="s">
        <v>1605</v>
      </c>
      <c r="F174" t="s">
        <v>2697</v>
      </c>
      <c r="G174" s="1" t="str">
        <f>HYPERLINK("https://homd.org/jbrowse/?data=homd_V11.02_phage_1.2%2FGCA_013010365.1&amp;loc=GCA_013010365.1%7CCP046428.1%3A3869485..3876261&amp;tracks=prokka,prokka_ncrna,ncbi,ncbi_ncrna,panggolin,cenote,genomad&amp;highlight=","Open JBrowse")</f>
        <v>Open JBrowse</v>
      </c>
      <c r="H174">
        <v>3872485</v>
      </c>
      <c r="I174">
        <v>3873261</v>
      </c>
      <c r="J174" t="s">
        <v>2704</v>
      </c>
      <c r="K174" t="s">
        <v>39</v>
      </c>
      <c r="L174" t="s">
        <v>1608</v>
      </c>
      <c r="M174" t="s">
        <v>1609</v>
      </c>
      <c r="N174" t="s">
        <v>42</v>
      </c>
      <c r="O174">
        <v>3</v>
      </c>
      <c r="P174" t="s">
        <v>42</v>
      </c>
      <c r="Q174" t="s">
        <v>43</v>
      </c>
      <c r="R174" t="s">
        <v>2699</v>
      </c>
      <c r="S174" t="s">
        <v>1608</v>
      </c>
      <c r="T174" t="s">
        <v>42</v>
      </c>
      <c r="U174">
        <v>27</v>
      </c>
      <c r="V174">
        <v>255</v>
      </c>
      <c r="W174">
        <v>229</v>
      </c>
      <c r="X174" t="s">
        <v>45</v>
      </c>
      <c r="Y174" t="s">
        <v>2705</v>
      </c>
      <c r="Z174" t="s">
        <v>2694</v>
      </c>
      <c r="AA174" t="s">
        <v>2706</v>
      </c>
      <c r="AB174" t="s">
        <v>2707</v>
      </c>
      <c r="AC174" t="s">
        <v>1489</v>
      </c>
      <c r="AD174" t="s">
        <v>638</v>
      </c>
      <c r="AE174">
        <v>177.5</v>
      </c>
      <c r="AF174" t="s">
        <v>386</v>
      </c>
    </row>
    <row r="175" spans="1:34" x14ac:dyDescent="0.75">
      <c r="A175" s="22" t="s">
        <v>6047</v>
      </c>
      <c r="B175" t="s">
        <v>2721</v>
      </c>
      <c r="C175" t="s">
        <v>34</v>
      </c>
      <c r="D175" t="s">
        <v>55</v>
      </c>
      <c r="E175" t="s">
        <v>56</v>
      </c>
      <c r="F175" t="s">
        <v>2722</v>
      </c>
      <c r="G175" s="1" t="str">
        <f>HYPERLINK("https://homd.org/jbrowse/?data=homd_V11.02_phage_1.2%2FGCA_013267615.1&amp;loc=GCA_013267615.1%7CCP054012.1%3A4090293..4097123&amp;tracks=prokka,prokka_ncrna,ncbi,ncbi_ncrna,panggolin,cenote,genomad&amp;highlight=","Open JBrowse")</f>
        <v>Open JBrowse</v>
      </c>
      <c r="H175">
        <v>4093293</v>
      </c>
      <c r="I175">
        <v>4094123</v>
      </c>
      <c r="J175" t="s">
        <v>2723</v>
      </c>
      <c r="K175" t="s">
        <v>59</v>
      </c>
      <c r="L175" t="s">
        <v>60</v>
      </c>
      <c r="M175" t="s">
        <v>61</v>
      </c>
      <c r="N175" t="s">
        <v>42</v>
      </c>
      <c r="O175">
        <v>3</v>
      </c>
      <c r="P175" t="s">
        <v>42</v>
      </c>
      <c r="Q175" t="s">
        <v>59</v>
      </c>
      <c r="R175" t="s">
        <v>2724</v>
      </c>
      <c r="S175" t="s">
        <v>60</v>
      </c>
      <c r="T175" t="s">
        <v>42</v>
      </c>
      <c r="U175">
        <v>41</v>
      </c>
      <c r="V175">
        <v>274</v>
      </c>
      <c r="W175">
        <v>234</v>
      </c>
      <c r="X175" t="s">
        <v>63</v>
      </c>
      <c r="Y175" t="s">
        <v>2725</v>
      </c>
      <c r="Z175" t="s">
        <v>2726</v>
      </c>
      <c r="AA175" t="s">
        <v>2727</v>
      </c>
      <c r="AB175" t="s">
        <v>2728</v>
      </c>
      <c r="AC175" t="s">
        <v>68</v>
      </c>
      <c r="AD175" t="s">
        <v>69</v>
      </c>
      <c r="AE175">
        <v>2937</v>
      </c>
      <c r="AF175" t="s">
        <v>2729</v>
      </c>
      <c r="AG175" t="s">
        <v>71</v>
      </c>
      <c r="AH175">
        <v>2</v>
      </c>
    </row>
    <row r="176" spans="1:34" x14ac:dyDescent="0.75">
      <c r="A176" s="22" t="s">
        <v>6047</v>
      </c>
      <c r="B176" t="s">
        <v>2838</v>
      </c>
      <c r="C176" t="s">
        <v>34</v>
      </c>
      <c r="D176" t="s">
        <v>1454</v>
      </c>
      <c r="E176" t="s">
        <v>1455</v>
      </c>
      <c r="F176" t="s">
        <v>2839</v>
      </c>
      <c r="G176" s="1" t="str">
        <f>HYPERLINK("https://homd.org/jbrowse/?data=homd_V11.02_phage_1.2%2FGCA_014131755.1&amp;loc=GCA_014131755.1%7CCP040530.1%3A2084749..2092644&amp;tracks=prokka,prokka_ncrna,ncbi,ncbi_ncrna,panggolin,cenote,genomad&amp;highlight=","Open JBrowse")</f>
        <v>Open JBrowse</v>
      </c>
      <c r="H176">
        <v>2087749</v>
      </c>
      <c r="I176">
        <v>2089644</v>
      </c>
      <c r="J176" t="s">
        <v>2840</v>
      </c>
      <c r="K176" t="s">
        <v>627</v>
      </c>
      <c r="L176" t="s">
        <v>1479</v>
      </c>
      <c r="M176" t="s">
        <v>1480</v>
      </c>
      <c r="N176" t="s">
        <v>1481</v>
      </c>
      <c r="O176">
        <v>3</v>
      </c>
      <c r="P176" t="s">
        <v>1482</v>
      </c>
      <c r="Q176" t="s">
        <v>59</v>
      </c>
      <c r="R176" t="s">
        <v>2841</v>
      </c>
      <c r="S176" t="s">
        <v>1483</v>
      </c>
      <c r="T176" t="s">
        <v>42</v>
      </c>
      <c r="U176">
        <v>29</v>
      </c>
      <c r="V176">
        <v>280</v>
      </c>
      <c r="W176">
        <v>252</v>
      </c>
      <c r="X176" t="s">
        <v>1484</v>
      </c>
      <c r="Y176" t="s">
        <v>2842</v>
      </c>
      <c r="Z176" t="s">
        <v>1008</v>
      </c>
      <c r="AA176" t="s">
        <v>2843</v>
      </c>
      <c r="AB176" t="s">
        <v>2844</v>
      </c>
      <c r="AC176" t="s">
        <v>1489</v>
      </c>
      <c r="AD176" t="s">
        <v>638</v>
      </c>
      <c r="AE176">
        <v>13991</v>
      </c>
      <c r="AF176" t="s">
        <v>2845</v>
      </c>
      <c r="AG176" t="s">
        <v>51</v>
      </c>
      <c r="AH176">
        <v>6</v>
      </c>
    </row>
    <row r="177" spans="1:34" x14ac:dyDescent="0.75">
      <c r="A177" s="22" t="s">
        <v>6047</v>
      </c>
      <c r="B177" t="s">
        <v>2838</v>
      </c>
      <c r="C177" t="s">
        <v>34</v>
      </c>
      <c r="D177" t="s">
        <v>1454</v>
      </c>
      <c r="E177" t="s">
        <v>1455</v>
      </c>
      <c r="F177" t="s">
        <v>2839</v>
      </c>
      <c r="G177" s="1" t="str">
        <f>HYPERLINK("https://homd.org/jbrowse/?data=homd_V11.02_phage_1.2%2FGCA_014131755.1&amp;loc=GCA_014131755.1%7CCP040530.1%3A482486..489292&amp;tracks=prokka,prokka_ncrna,ncbi,ncbi_ncrna,panggolin,cenote,genomad&amp;highlight=","Open JBrowse")</f>
        <v>Open JBrowse</v>
      </c>
      <c r="H177">
        <v>485486</v>
      </c>
      <c r="I177">
        <v>486292</v>
      </c>
      <c r="J177" t="s">
        <v>2846</v>
      </c>
      <c r="K177" t="s">
        <v>39</v>
      </c>
      <c r="L177" t="s">
        <v>1476</v>
      </c>
      <c r="M177" t="s">
        <v>1477</v>
      </c>
      <c r="N177" t="s">
        <v>42</v>
      </c>
      <c r="O177">
        <v>3</v>
      </c>
      <c r="P177" t="s">
        <v>42</v>
      </c>
      <c r="Q177" t="s">
        <v>43</v>
      </c>
      <c r="R177" t="s">
        <v>2841</v>
      </c>
      <c r="S177" t="s">
        <v>1476</v>
      </c>
      <c r="T177" t="s">
        <v>42</v>
      </c>
      <c r="U177">
        <v>36</v>
      </c>
      <c r="V177">
        <v>262</v>
      </c>
      <c r="W177">
        <v>227</v>
      </c>
      <c r="X177" t="s">
        <v>45</v>
      </c>
    </row>
    <row r="178" spans="1:34" x14ac:dyDescent="0.75">
      <c r="A178" s="22" t="s">
        <v>6047</v>
      </c>
      <c r="B178" t="s">
        <v>2838</v>
      </c>
      <c r="C178" t="s">
        <v>34</v>
      </c>
      <c r="D178" t="s">
        <v>1454</v>
      </c>
      <c r="E178" t="s">
        <v>1455</v>
      </c>
      <c r="F178" t="s">
        <v>2839</v>
      </c>
      <c r="G178" s="1" t="str">
        <f>HYPERLINK("https://homd.org/jbrowse/?data=homd_V11.02_phage_1.2%2FGCA_014131755.1&amp;loc=GCA_014131755.1%7CCP040530.1%3A5396433..5403275&amp;tracks=prokka,prokka_ncrna,ncbi,ncbi_ncrna,panggolin,cenote,genomad&amp;highlight=","Open JBrowse")</f>
        <v>Open JBrowse</v>
      </c>
      <c r="H178">
        <v>5399433</v>
      </c>
      <c r="I178">
        <v>5400275</v>
      </c>
      <c r="J178" t="s">
        <v>2847</v>
      </c>
      <c r="K178" t="s">
        <v>59</v>
      </c>
      <c r="L178" t="s">
        <v>59</v>
      </c>
      <c r="M178" t="s">
        <v>59</v>
      </c>
      <c r="N178" t="s">
        <v>42</v>
      </c>
      <c r="O178">
        <v>1</v>
      </c>
      <c r="P178" t="s">
        <v>59</v>
      </c>
      <c r="Q178" t="s">
        <v>59</v>
      </c>
      <c r="R178" t="s">
        <v>2841</v>
      </c>
      <c r="T178" t="s">
        <v>42</v>
      </c>
      <c r="X178" t="s">
        <v>59</v>
      </c>
    </row>
    <row r="179" spans="1:34" x14ac:dyDescent="0.75">
      <c r="A179" s="22" t="s">
        <v>6047</v>
      </c>
      <c r="B179" t="s">
        <v>2838</v>
      </c>
      <c r="C179" t="s">
        <v>34</v>
      </c>
      <c r="D179" t="s">
        <v>1454</v>
      </c>
      <c r="E179" t="s">
        <v>1455</v>
      </c>
      <c r="F179" t="s">
        <v>2839</v>
      </c>
      <c r="G179" s="1" t="str">
        <f>HYPERLINK("https://homd.org/jbrowse/?data=homd_V11.02_phage_1.2%2FGCA_014131755.1&amp;loc=GCA_014131755.1%7CCP040530.1%3A815096..822214&amp;tracks=prokka,prokka_ncrna,ncbi,ncbi_ncrna,panggolin,cenote,genomad&amp;highlight=","Open JBrowse")</f>
        <v>Open JBrowse</v>
      </c>
      <c r="H179">
        <v>818096</v>
      </c>
      <c r="I179">
        <v>819214</v>
      </c>
      <c r="J179" t="s">
        <v>2848</v>
      </c>
      <c r="K179" t="s">
        <v>39</v>
      </c>
      <c r="L179" t="s">
        <v>1460</v>
      </c>
      <c r="M179" t="s">
        <v>1461</v>
      </c>
      <c r="N179" t="s">
        <v>42</v>
      </c>
      <c r="O179">
        <v>3</v>
      </c>
      <c r="P179" t="s">
        <v>42</v>
      </c>
      <c r="Q179" t="s">
        <v>43</v>
      </c>
      <c r="R179" t="s">
        <v>2841</v>
      </c>
      <c r="S179" t="s">
        <v>1460</v>
      </c>
      <c r="T179" t="s">
        <v>42</v>
      </c>
      <c r="U179">
        <v>138</v>
      </c>
      <c r="V179">
        <v>367</v>
      </c>
      <c r="W179">
        <v>230</v>
      </c>
      <c r="X179" t="s">
        <v>971</v>
      </c>
      <c r="Y179" t="s">
        <v>2849</v>
      </c>
      <c r="Z179" t="s">
        <v>336</v>
      </c>
      <c r="AA179" t="s">
        <v>2850</v>
      </c>
      <c r="AB179" t="s">
        <v>2851</v>
      </c>
      <c r="AC179" t="s">
        <v>984</v>
      </c>
      <c r="AD179" t="s">
        <v>985</v>
      </c>
      <c r="AE179">
        <v>4062</v>
      </c>
      <c r="AF179" t="s">
        <v>2852</v>
      </c>
    </row>
    <row r="180" spans="1:34" x14ac:dyDescent="0.75">
      <c r="A180" s="22" t="s">
        <v>6047</v>
      </c>
      <c r="B180" t="s">
        <v>2879</v>
      </c>
      <c r="C180" t="s">
        <v>34</v>
      </c>
      <c r="D180" t="s">
        <v>2238</v>
      </c>
      <c r="E180" t="s">
        <v>2239</v>
      </c>
      <c r="F180" t="s">
        <v>2880</v>
      </c>
      <c r="G180" s="1" t="str">
        <f>HYPERLINK("https://homd.org/jbrowse/?data=homd_V11.02_phage_1.2%2FGCA_014287575.1&amp;loc=GCA_014287575.1%7CJACOOG010000001.1%3A2328709..2336088&amp;tracks=prokka,prokka_ncrna,ncbi,ncbi_ncrna,panggolin,cenote,genomad&amp;highlight=","Open JBrowse")</f>
        <v>Open JBrowse</v>
      </c>
      <c r="H180">
        <v>2331709</v>
      </c>
      <c r="I180">
        <v>2333088</v>
      </c>
      <c r="J180" t="s">
        <v>2881</v>
      </c>
      <c r="K180" t="s">
        <v>109</v>
      </c>
      <c r="L180" t="s">
        <v>2251</v>
      </c>
      <c r="M180" t="s">
        <v>2252</v>
      </c>
      <c r="N180" t="s">
        <v>42</v>
      </c>
      <c r="O180">
        <v>3</v>
      </c>
      <c r="P180" t="s">
        <v>42</v>
      </c>
      <c r="Q180" t="s">
        <v>101</v>
      </c>
      <c r="R180" t="s">
        <v>2882</v>
      </c>
      <c r="S180" t="s">
        <v>2251</v>
      </c>
      <c r="T180" t="s">
        <v>42</v>
      </c>
      <c r="U180">
        <v>222</v>
      </c>
      <c r="V180">
        <v>456</v>
      </c>
      <c r="W180">
        <v>235</v>
      </c>
      <c r="X180" t="s">
        <v>248</v>
      </c>
      <c r="Y180" t="s">
        <v>2883</v>
      </c>
      <c r="Z180" t="s">
        <v>556</v>
      </c>
      <c r="AA180" t="s">
        <v>2884</v>
      </c>
      <c r="AB180" t="s">
        <v>2885</v>
      </c>
      <c r="AC180" t="s">
        <v>2257</v>
      </c>
      <c r="AD180" t="s">
        <v>51</v>
      </c>
      <c r="AE180">
        <v>12822</v>
      </c>
      <c r="AF180" t="s">
        <v>2886</v>
      </c>
      <c r="AG180" t="s">
        <v>101</v>
      </c>
      <c r="AH180">
        <v>2</v>
      </c>
    </row>
    <row r="181" spans="1:34" x14ac:dyDescent="0.75">
      <c r="A181" s="22" t="s">
        <v>6047</v>
      </c>
      <c r="B181" t="s">
        <v>2879</v>
      </c>
      <c r="C181" t="s">
        <v>34</v>
      </c>
      <c r="D181" t="s">
        <v>2238</v>
      </c>
      <c r="E181" t="s">
        <v>2239</v>
      </c>
      <c r="F181" t="s">
        <v>2880</v>
      </c>
      <c r="G181" s="1" t="str">
        <f>HYPERLINK("https://homd.org/jbrowse/?data=homd_V11.02_phage_1.2%2FGCA_014287575.1&amp;loc=GCA_014287575.1%7CJACOOG010000001.1%3A2395030..2401872&amp;tracks=prokka,prokka_ncrna,ncbi,ncbi_ncrna,panggolin,cenote,genomad&amp;highlight=","Open JBrowse")</f>
        <v>Open JBrowse</v>
      </c>
      <c r="H181">
        <v>2398030</v>
      </c>
      <c r="I181">
        <v>2398872</v>
      </c>
      <c r="J181" t="s">
        <v>2887</v>
      </c>
      <c r="K181" t="s">
        <v>59</v>
      </c>
      <c r="L181" t="s">
        <v>59</v>
      </c>
      <c r="M181" t="s">
        <v>59</v>
      </c>
      <c r="N181" t="s">
        <v>42</v>
      </c>
      <c r="O181">
        <v>1</v>
      </c>
      <c r="P181" t="s">
        <v>59</v>
      </c>
      <c r="Q181" t="s">
        <v>59</v>
      </c>
      <c r="R181" t="s">
        <v>2882</v>
      </c>
      <c r="T181" t="s">
        <v>42</v>
      </c>
      <c r="X181" t="s">
        <v>59</v>
      </c>
    </row>
    <row r="182" spans="1:34" x14ac:dyDescent="0.75">
      <c r="A182" s="22" t="s">
        <v>6047</v>
      </c>
      <c r="B182" t="s">
        <v>3086</v>
      </c>
      <c r="C182" t="s">
        <v>34</v>
      </c>
      <c r="D182" t="s">
        <v>2117</v>
      </c>
      <c r="E182" t="s">
        <v>2118</v>
      </c>
      <c r="F182" t="s">
        <v>3087</v>
      </c>
      <c r="G182" s="1" t="str">
        <f>HYPERLINK("https://homd.org/jbrowse/?data=homd_V11.02_phage_1.2%2FGCA_015557515.1&amp;loc=GCA_015557515.1%7CJADNON010000004.1%3A278494..285399&amp;tracks=prokka,prokka_ncrna,ncbi,ncbi_ncrna,panggolin,cenote,genomad&amp;highlight=","Open JBrowse")</f>
        <v>Open JBrowse</v>
      </c>
      <c r="H182">
        <v>281494</v>
      </c>
      <c r="I182">
        <v>282399</v>
      </c>
      <c r="J182" t="s">
        <v>3088</v>
      </c>
      <c r="K182" t="s">
        <v>59</v>
      </c>
      <c r="L182" t="s">
        <v>3089</v>
      </c>
      <c r="M182" t="s">
        <v>3090</v>
      </c>
      <c r="N182" t="s">
        <v>3091</v>
      </c>
      <c r="O182">
        <v>3</v>
      </c>
      <c r="P182" t="s">
        <v>42</v>
      </c>
      <c r="Q182" t="s">
        <v>59</v>
      </c>
      <c r="R182" t="s">
        <v>3092</v>
      </c>
      <c r="S182" t="s">
        <v>3089</v>
      </c>
      <c r="T182" t="s">
        <v>42</v>
      </c>
      <c r="U182">
        <v>37</v>
      </c>
      <c r="V182">
        <v>281</v>
      </c>
      <c r="W182">
        <v>245</v>
      </c>
      <c r="X182" t="s">
        <v>2124</v>
      </c>
      <c r="Y182" t="s">
        <v>3093</v>
      </c>
      <c r="Z182" t="s">
        <v>458</v>
      </c>
      <c r="AA182" t="s">
        <v>3094</v>
      </c>
      <c r="AB182" t="s">
        <v>3095</v>
      </c>
      <c r="AC182" t="s">
        <v>3096</v>
      </c>
      <c r="AD182" t="s">
        <v>3097</v>
      </c>
      <c r="AE182">
        <v>674.9</v>
      </c>
      <c r="AF182" t="s">
        <v>3098</v>
      </c>
    </row>
    <row r="183" spans="1:34" x14ac:dyDescent="0.75">
      <c r="A183" s="22" t="s">
        <v>6047</v>
      </c>
      <c r="B183" t="s">
        <v>3099</v>
      </c>
      <c r="C183" t="s">
        <v>34</v>
      </c>
      <c r="D183" t="s">
        <v>863</v>
      </c>
      <c r="E183" t="s">
        <v>864</v>
      </c>
      <c r="F183" t="s">
        <v>3100</v>
      </c>
      <c r="G183" s="1" t="str">
        <f>HYPERLINK("https://homd.org/jbrowse/?data=homd_V11.02_phage_1.2%2FGCA_015560925.1&amp;loc=GCA_015560925.1%7CJADMST010000005.1%3A36202..42993&amp;tracks=prokka,prokka_ncrna,ncbi,ncbi_ncrna,panggolin,cenote,genomad&amp;highlight=","Open JBrowse")</f>
        <v>Open JBrowse</v>
      </c>
      <c r="H183">
        <v>39202</v>
      </c>
      <c r="I183">
        <v>39993</v>
      </c>
      <c r="J183" t="s">
        <v>3101</v>
      </c>
      <c r="K183" t="s">
        <v>39</v>
      </c>
      <c r="L183" t="s">
        <v>40</v>
      </c>
      <c r="M183" t="s">
        <v>867</v>
      </c>
      <c r="N183" t="s">
        <v>42</v>
      </c>
      <c r="O183">
        <v>3</v>
      </c>
      <c r="P183" t="s">
        <v>42</v>
      </c>
      <c r="Q183" t="s">
        <v>43</v>
      </c>
      <c r="R183" t="s">
        <v>3102</v>
      </c>
      <c r="S183" t="s">
        <v>40</v>
      </c>
      <c r="T183" t="s">
        <v>42</v>
      </c>
      <c r="U183">
        <v>34</v>
      </c>
      <c r="V183">
        <v>260</v>
      </c>
      <c r="W183">
        <v>227</v>
      </c>
      <c r="X183" t="s">
        <v>45</v>
      </c>
      <c r="Y183" t="s">
        <v>3103</v>
      </c>
      <c r="Z183" t="s">
        <v>118</v>
      </c>
      <c r="AA183" t="s">
        <v>871</v>
      </c>
    </row>
    <row r="184" spans="1:34" x14ac:dyDescent="0.75">
      <c r="A184" s="22" t="s">
        <v>6047</v>
      </c>
      <c r="B184" t="s">
        <v>3104</v>
      </c>
      <c r="C184" t="s">
        <v>34</v>
      </c>
      <c r="D184" t="s">
        <v>2238</v>
      </c>
      <c r="E184" t="s">
        <v>2239</v>
      </c>
      <c r="F184" t="s">
        <v>3105</v>
      </c>
      <c r="G184" s="1" t="str">
        <f>HYPERLINK("https://homd.org/jbrowse/?data=homd_V11.02_phage_1.2%2FGCA_015679285.1&amp;loc=GCA_015679285.1%7CCP064937.1%3A2379988..2387421&amp;tracks=prokka,prokka_ncrna,ncbi,ncbi_ncrna,panggolin,cenote,genomad&amp;highlight=","Open JBrowse")</f>
        <v>Open JBrowse</v>
      </c>
      <c r="H184">
        <v>2382988</v>
      </c>
      <c r="I184">
        <v>2384421</v>
      </c>
      <c r="J184" t="s">
        <v>3106</v>
      </c>
      <c r="K184" t="s">
        <v>109</v>
      </c>
      <c r="L184" t="s">
        <v>3107</v>
      </c>
      <c r="M184" t="s">
        <v>3108</v>
      </c>
      <c r="N184" t="s">
        <v>42</v>
      </c>
      <c r="O184">
        <v>3</v>
      </c>
      <c r="P184" t="s">
        <v>42</v>
      </c>
      <c r="Q184" t="s">
        <v>101</v>
      </c>
      <c r="R184" t="s">
        <v>3109</v>
      </c>
      <c r="S184" t="s">
        <v>3107</v>
      </c>
      <c r="T184" t="s">
        <v>42</v>
      </c>
      <c r="U184">
        <v>239</v>
      </c>
      <c r="V184">
        <v>474</v>
      </c>
      <c r="W184">
        <v>236</v>
      </c>
      <c r="X184" t="s">
        <v>248</v>
      </c>
      <c r="Y184" t="s">
        <v>3110</v>
      </c>
      <c r="Z184" t="s">
        <v>556</v>
      </c>
      <c r="AA184" t="s">
        <v>3111</v>
      </c>
      <c r="AB184" t="s">
        <v>3112</v>
      </c>
      <c r="AC184" t="s">
        <v>2257</v>
      </c>
      <c r="AD184" t="s">
        <v>51</v>
      </c>
      <c r="AE184">
        <v>13159</v>
      </c>
      <c r="AF184" t="s">
        <v>3113</v>
      </c>
      <c r="AG184" t="s">
        <v>101</v>
      </c>
      <c r="AH184">
        <v>2</v>
      </c>
    </row>
    <row r="185" spans="1:34" x14ac:dyDescent="0.75">
      <c r="A185" s="22" t="s">
        <v>6047</v>
      </c>
      <c r="B185" t="s">
        <v>3104</v>
      </c>
      <c r="C185" t="s">
        <v>34</v>
      </c>
      <c r="D185" t="s">
        <v>2238</v>
      </c>
      <c r="E185" t="s">
        <v>2239</v>
      </c>
      <c r="F185" t="s">
        <v>3105</v>
      </c>
      <c r="G185" s="1" t="str">
        <f>HYPERLINK("https://homd.org/jbrowse/?data=homd_V11.02_phage_1.2%2FGCA_015679285.1&amp;loc=GCA_015679285.1%7CCP064937.1%3A2446439..2453281&amp;tracks=prokka,prokka_ncrna,ncbi,ncbi_ncrna,panggolin,cenote,genomad&amp;highlight=","Open JBrowse")</f>
        <v>Open JBrowse</v>
      </c>
      <c r="H185">
        <v>2449439</v>
      </c>
      <c r="I185">
        <v>2450281</v>
      </c>
      <c r="J185" t="s">
        <v>3114</v>
      </c>
      <c r="K185" t="s">
        <v>59</v>
      </c>
      <c r="L185" t="s">
        <v>59</v>
      </c>
      <c r="M185" t="s">
        <v>59</v>
      </c>
      <c r="N185" t="s">
        <v>42</v>
      </c>
      <c r="O185">
        <v>1</v>
      </c>
      <c r="P185" t="s">
        <v>59</v>
      </c>
      <c r="Q185" t="s">
        <v>59</v>
      </c>
      <c r="R185" t="s">
        <v>3109</v>
      </c>
      <c r="T185" t="s">
        <v>42</v>
      </c>
      <c r="X185" t="s">
        <v>59</v>
      </c>
    </row>
    <row r="186" spans="1:34" x14ac:dyDescent="0.75">
      <c r="A186" s="22" t="s">
        <v>6047</v>
      </c>
      <c r="B186" t="s">
        <v>3115</v>
      </c>
      <c r="C186" t="s">
        <v>34</v>
      </c>
      <c r="D186" t="s">
        <v>2238</v>
      </c>
      <c r="E186" t="s">
        <v>2239</v>
      </c>
      <c r="F186" t="s">
        <v>3116</v>
      </c>
      <c r="G186" s="1" t="str">
        <f>HYPERLINK("https://homd.org/jbrowse/?data=homd_V11.02_phage_1.2%2FGCA_016117815.1&amp;loc=GCA_016117815.1%7CCP065889.1%3A3116916..3123758&amp;tracks=prokka,prokka_ncrna,ncbi,ncbi_ncrna,panggolin,cenote,genomad&amp;highlight=","Open JBrowse")</f>
        <v>Open JBrowse</v>
      </c>
      <c r="H186">
        <v>3119916</v>
      </c>
      <c r="I186">
        <v>3120758</v>
      </c>
      <c r="J186" t="s">
        <v>3117</v>
      </c>
      <c r="K186" t="s">
        <v>59</v>
      </c>
      <c r="L186" t="s">
        <v>59</v>
      </c>
      <c r="M186" t="s">
        <v>59</v>
      </c>
      <c r="N186" t="s">
        <v>42</v>
      </c>
      <c r="O186">
        <v>1</v>
      </c>
      <c r="P186" t="s">
        <v>59</v>
      </c>
      <c r="Q186" t="s">
        <v>59</v>
      </c>
      <c r="R186" t="s">
        <v>3118</v>
      </c>
      <c r="T186" t="s">
        <v>42</v>
      </c>
      <c r="X186" t="s">
        <v>59</v>
      </c>
    </row>
    <row r="187" spans="1:34" x14ac:dyDescent="0.75">
      <c r="A187" s="22" t="s">
        <v>6047</v>
      </c>
      <c r="B187" t="s">
        <v>3115</v>
      </c>
      <c r="C187" t="s">
        <v>34</v>
      </c>
      <c r="D187" t="s">
        <v>2238</v>
      </c>
      <c r="E187" t="s">
        <v>2239</v>
      </c>
      <c r="F187" t="s">
        <v>3116</v>
      </c>
      <c r="G187" s="1" t="str">
        <f>HYPERLINK("https://homd.org/jbrowse/?data=homd_V11.02_phage_1.2%2FGCA_016117815.1&amp;loc=GCA_016117815.1%7CCP065889.1%3A3183981..3191417&amp;tracks=prokka,prokka_ncrna,ncbi,ncbi_ncrna,panggolin,cenote,genomad&amp;highlight=","Open JBrowse")</f>
        <v>Open JBrowse</v>
      </c>
      <c r="H187">
        <v>3186981</v>
      </c>
      <c r="I187">
        <v>3188417</v>
      </c>
      <c r="J187" t="s">
        <v>3119</v>
      </c>
      <c r="K187" t="s">
        <v>109</v>
      </c>
      <c r="L187" t="s">
        <v>3120</v>
      </c>
      <c r="M187" t="s">
        <v>3121</v>
      </c>
      <c r="N187" t="s">
        <v>42</v>
      </c>
      <c r="O187">
        <v>3</v>
      </c>
      <c r="P187" t="s">
        <v>42</v>
      </c>
      <c r="Q187" t="s">
        <v>101</v>
      </c>
      <c r="R187" t="s">
        <v>3118</v>
      </c>
      <c r="S187" t="s">
        <v>3120</v>
      </c>
      <c r="T187" t="s">
        <v>42</v>
      </c>
      <c r="U187">
        <v>240</v>
      </c>
      <c r="V187">
        <v>475</v>
      </c>
      <c r="W187">
        <v>236</v>
      </c>
      <c r="X187" t="s">
        <v>248</v>
      </c>
      <c r="Y187" t="s">
        <v>3122</v>
      </c>
      <c r="Z187" t="s">
        <v>722</v>
      </c>
      <c r="AA187" t="s">
        <v>3123</v>
      </c>
      <c r="AB187" t="s">
        <v>3124</v>
      </c>
      <c r="AC187" t="s">
        <v>2257</v>
      </c>
      <c r="AD187" t="s">
        <v>51</v>
      </c>
      <c r="AE187">
        <v>13482</v>
      </c>
      <c r="AF187" t="s">
        <v>3125</v>
      </c>
      <c r="AG187" t="s">
        <v>101</v>
      </c>
      <c r="AH187">
        <v>2</v>
      </c>
    </row>
    <row r="188" spans="1:34" x14ac:dyDescent="0.75">
      <c r="A188" s="22" t="s">
        <v>6047</v>
      </c>
      <c r="B188" t="s">
        <v>3164</v>
      </c>
      <c r="C188" t="s">
        <v>34</v>
      </c>
      <c r="D188" t="s">
        <v>1745</v>
      </c>
      <c r="E188" t="s">
        <v>1746</v>
      </c>
      <c r="F188" t="s">
        <v>3165</v>
      </c>
      <c r="G188" s="1" t="str">
        <f>HYPERLINK("https://homd.org/jbrowse/?data=homd_V11.02_phage_1.2%2FGCA_016726305.1&amp;loc=GCA_016726305.1%7CCP068174.1%3A1410493..1417269&amp;tracks=prokka,prokka_ncrna,ncbi,ncbi_ncrna,panggolin,cenote,genomad&amp;highlight=","Open JBrowse")</f>
        <v>Open JBrowse</v>
      </c>
      <c r="H188">
        <v>1413493</v>
      </c>
      <c r="I188">
        <v>1414269</v>
      </c>
      <c r="J188" t="s">
        <v>3166</v>
      </c>
      <c r="K188" t="s">
        <v>39</v>
      </c>
      <c r="L188" t="s">
        <v>1608</v>
      </c>
      <c r="M188" t="s">
        <v>1609</v>
      </c>
      <c r="N188" t="s">
        <v>42</v>
      </c>
      <c r="O188">
        <v>3</v>
      </c>
      <c r="P188" t="s">
        <v>42</v>
      </c>
      <c r="Q188" t="s">
        <v>43</v>
      </c>
      <c r="R188" t="s">
        <v>3167</v>
      </c>
      <c r="S188" t="s">
        <v>1608</v>
      </c>
      <c r="T188" t="s">
        <v>42</v>
      </c>
      <c r="U188">
        <v>27</v>
      </c>
      <c r="V188">
        <v>255</v>
      </c>
      <c r="W188">
        <v>229</v>
      </c>
      <c r="X188" t="s">
        <v>45</v>
      </c>
      <c r="Y188" t="s">
        <v>3168</v>
      </c>
      <c r="Z188" t="s">
        <v>892</v>
      </c>
      <c r="AA188" t="s">
        <v>1967</v>
      </c>
    </row>
    <row r="189" spans="1:34" x14ac:dyDescent="0.75">
      <c r="A189" s="22" t="s">
        <v>6047</v>
      </c>
      <c r="B189" t="s">
        <v>3164</v>
      </c>
      <c r="C189" t="s">
        <v>34</v>
      </c>
      <c r="D189" t="s">
        <v>1745</v>
      </c>
      <c r="E189" t="s">
        <v>1746</v>
      </c>
      <c r="F189" t="s">
        <v>3165</v>
      </c>
      <c r="G189" s="1" t="str">
        <f>HYPERLINK("https://homd.org/jbrowse/?data=homd_V11.02_phage_1.2%2FGCA_016726305.1&amp;loc=GCA_016726305.1%7CCP068174.1%3A1917361..1924209&amp;tracks=prokka,prokka_ncrna,ncbi,ncbi_ncrna,panggolin,cenote,genomad&amp;highlight=","Open JBrowse")</f>
        <v>Open JBrowse</v>
      </c>
      <c r="H189">
        <v>1920361</v>
      </c>
      <c r="I189">
        <v>1921209</v>
      </c>
      <c r="J189" t="s">
        <v>3169</v>
      </c>
      <c r="K189" t="s">
        <v>59</v>
      </c>
      <c r="L189" t="s">
        <v>59</v>
      </c>
      <c r="M189" t="s">
        <v>59</v>
      </c>
      <c r="N189" t="s">
        <v>42</v>
      </c>
      <c r="O189">
        <v>1</v>
      </c>
      <c r="P189" t="s">
        <v>59</v>
      </c>
      <c r="Q189" t="s">
        <v>59</v>
      </c>
      <c r="R189" t="s">
        <v>3167</v>
      </c>
      <c r="T189" t="s">
        <v>42</v>
      </c>
      <c r="X189" t="s">
        <v>59</v>
      </c>
      <c r="Y189" t="s">
        <v>3170</v>
      </c>
      <c r="Z189" t="s">
        <v>811</v>
      </c>
      <c r="AA189" t="s">
        <v>1942</v>
      </c>
      <c r="AB189" t="s">
        <v>3171</v>
      </c>
      <c r="AC189" t="s">
        <v>1780</v>
      </c>
      <c r="AD189" t="s">
        <v>183</v>
      </c>
      <c r="AE189">
        <v>1746</v>
      </c>
      <c r="AF189" t="s">
        <v>1944</v>
      </c>
      <c r="AG189" t="s">
        <v>185</v>
      </c>
      <c r="AH189">
        <v>2</v>
      </c>
    </row>
    <row r="190" spans="1:34" x14ac:dyDescent="0.75">
      <c r="A190" s="22" t="s">
        <v>6047</v>
      </c>
      <c r="B190" t="s">
        <v>3164</v>
      </c>
      <c r="C190" t="s">
        <v>34</v>
      </c>
      <c r="D190" t="s">
        <v>1745</v>
      </c>
      <c r="E190" t="s">
        <v>1746</v>
      </c>
      <c r="F190" t="s">
        <v>3165</v>
      </c>
      <c r="G190" s="1" t="str">
        <f>HYPERLINK("https://homd.org/jbrowse/?data=homd_V11.02_phage_1.2%2FGCA_016726305.1&amp;loc=GCA_016726305.1%7CCP068174.1%3A244915..252306&amp;tracks=prokka,prokka_ncrna,ncbi,ncbi_ncrna,panggolin,cenote,genomad&amp;highlight=","Open JBrowse")</f>
        <v>Open JBrowse</v>
      </c>
      <c r="H190">
        <v>247915</v>
      </c>
      <c r="I190">
        <v>249306</v>
      </c>
      <c r="J190" t="s">
        <v>3172</v>
      </c>
      <c r="K190" t="s">
        <v>59</v>
      </c>
      <c r="L190" t="s">
        <v>59</v>
      </c>
      <c r="M190" t="s">
        <v>59</v>
      </c>
      <c r="N190" t="s">
        <v>42</v>
      </c>
      <c r="O190">
        <v>1</v>
      </c>
      <c r="P190" t="s">
        <v>59</v>
      </c>
      <c r="Q190" t="s">
        <v>59</v>
      </c>
      <c r="R190" t="s">
        <v>3167</v>
      </c>
      <c r="T190" t="s">
        <v>42</v>
      </c>
      <c r="X190" t="s">
        <v>59</v>
      </c>
    </row>
    <row r="191" spans="1:34" x14ac:dyDescent="0.75">
      <c r="A191" s="22" t="s">
        <v>6047</v>
      </c>
      <c r="B191" t="s">
        <v>3164</v>
      </c>
      <c r="C191" t="s">
        <v>34</v>
      </c>
      <c r="D191" t="s">
        <v>1745</v>
      </c>
      <c r="E191" t="s">
        <v>1746</v>
      </c>
      <c r="F191" t="s">
        <v>3165</v>
      </c>
      <c r="G191" s="1" t="str">
        <f>HYPERLINK("https://homd.org/jbrowse/?data=homd_V11.02_phage_1.2%2FGCA_016726305.1&amp;loc=GCA_016726305.1%7CCP068174.1%3A4337270..4345177&amp;tracks=prokka,prokka_ncrna,ncbi,ncbi_ncrna,panggolin,cenote,genomad&amp;highlight=","Open JBrowse")</f>
        <v>Open JBrowse</v>
      </c>
      <c r="H191">
        <v>4340270</v>
      </c>
      <c r="I191">
        <v>4342177</v>
      </c>
      <c r="J191" t="s">
        <v>3173</v>
      </c>
      <c r="K191" t="s">
        <v>627</v>
      </c>
      <c r="L191" t="s">
        <v>1759</v>
      </c>
      <c r="M191" t="s">
        <v>1760</v>
      </c>
      <c r="N191" t="s">
        <v>1481</v>
      </c>
      <c r="O191">
        <v>3</v>
      </c>
      <c r="P191" t="s">
        <v>1482</v>
      </c>
      <c r="Q191" t="s">
        <v>59</v>
      </c>
      <c r="R191" t="s">
        <v>3167</v>
      </c>
      <c r="S191" t="s">
        <v>1761</v>
      </c>
      <c r="T191" t="s">
        <v>42</v>
      </c>
      <c r="U191">
        <v>32</v>
      </c>
      <c r="V191">
        <v>283</v>
      </c>
      <c r="W191">
        <v>252</v>
      </c>
      <c r="X191" t="s">
        <v>1484</v>
      </c>
      <c r="Y191" t="s">
        <v>3174</v>
      </c>
      <c r="Z191" t="s">
        <v>444</v>
      </c>
      <c r="AA191" t="s">
        <v>1955</v>
      </c>
      <c r="AB191" t="s">
        <v>3175</v>
      </c>
      <c r="AC191" t="s">
        <v>637</v>
      </c>
      <c r="AD191" t="s">
        <v>638</v>
      </c>
      <c r="AE191">
        <v>5739</v>
      </c>
      <c r="AF191" t="s">
        <v>1957</v>
      </c>
      <c r="AG191" t="s">
        <v>1757</v>
      </c>
      <c r="AH191">
        <v>2</v>
      </c>
    </row>
    <row r="192" spans="1:34" x14ac:dyDescent="0.75">
      <c r="A192" s="22" t="s">
        <v>6047</v>
      </c>
      <c r="B192" t="s">
        <v>3164</v>
      </c>
      <c r="C192" t="s">
        <v>34</v>
      </c>
      <c r="D192" t="s">
        <v>1745</v>
      </c>
      <c r="E192" t="s">
        <v>1746</v>
      </c>
      <c r="F192" t="s">
        <v>3165</v>
      </c>
      <c r="G192" s="1" t="str">
        <f>HYPERLINK("https://homd.org/jbrowse/?data=homd_V11.02_phage_1.2%2FGCA_016726305.1&amp;loc=GCA_016726305.1%7CCP068174.1%3A4339194..4346729&amp;tracks=prokka,prokka_ncrna,ncbi,ncbi_ncrna,panggolin,cenote,genomad&amp;highlight=","Open JBrowse")</f>
        <v>Open JBrowse</v>
      </c>
      <c r="H192">
        <v>4342194</v>
      </c>
      <c r="I192">
        <v>4343729</v>
      </c>
      <c r="J192" t="s">
        <v>3176</v>
      </c>
      <c r="K192" t="s">
        <v>59</v>
      </c>
      <c r="L192" t="s">
        <v>1749</v>
      </c>
      <c r="M192" t="s">
        <v>1750</v>
      </c>
      <c r="N192" t="s">
        <v>42</v>
      </c>
      <c r="O192">
        <v>3</v>
      </c>
      <c r="P192" t="s">
        <v>42</v>
      </c>
      <c r="Q192" t="s">
        <v>59</v>
      </c>
      <c r="R192" t="s">
        <v>3167</v>
      </c>
      <c r="S192" t="s">
        <v>1749</v>
      </c>
      <c r="T192" t="s">
        <v>42</v>
      </c>
      <c r="U192">
        <v>230</v>
      </c>
      <c r="V192">
        <v>508</v>
      </c>
      <c r="W192">
        <v>279</v>
      </c>
      <c r="X192" t="s">
        <v>1752</v>
      </c>
      <c r="Y192" t="s">
        <v>3174</v>
      </c>
      <c r="Z192" t="s">
        <v>444</v>
      </c>
      <c r="AA192" t="s">
        <v>1955</v>
      </c>
      <c r="AB192" t="s">
        <v>3175</v>
      </c>
      <c r="AC192" t="s">
        <v>637</v>
      </c>
      <c r="AD192" t="s">
        <v>638</v>
      </c>
      <c r="AE192">
        <v>5739</v>
      </c>
      <c r="AF192" t="s">
        <v>1957</v>
      </c>
      <c r="AG192" t="s">
        <v>1757</v>
      </c>
      <c r="AH192">
        <v>2</v>
      </c>
    </row>
    <row r="193" spans="1:34" x14ac:dyDescent="0.75">
      <c r="A193" s="22" t="s">
        <v>6047</v>
      </c>
      <c r="B193" t="s">
        <v>3164</v>
      </c>
      <c r="C193" t="s">
        <v>34</v>
      </c>
      <c r="D193" t="s">
        <v>1745</v>
      </c>
      <c r="E193" t="s">
        <v>1746</v>
      </c>
      <c r="F193" t="s">
        <v>3165</v>
      </c>
      <c r="G193" s="1" t="str">
        <f>HYPERLINK("https://homd.org/jbrowse/?data=homd_V11.02_phage_1.2%2FGCA_016726305.1&amp;loc=GCA_016726305.1%7CCP068174.1%3A556436..563560&amp;tracks=prokka,prokka_ncrna,ncbi,ncbi_ncrna,panggolin,cenote,genomad&amp;highlight=","Open JBrowse")</f>
        <v>Open JBrowse</v>
      </c>
      <c r="H193">
        <v>559436</v>
      </c>
      <c r="I193">
        <v>560560</v>
      </c>
      <c r="J193" t="s">
        <v>3177</v>
      </c>
      <c r="K193" t="s">
        <v>39</v>
      </c>
      <c r="L193" t="s">
        <v>1787</v>
      </c>
      <c r="M193" t="s">
        <v>1788</v>
      </c>
      <c r="N193" t="s">
        <v>42</v>
      </c>
      <c r="O193">
        <v>3</v>
      </c>
      <c r="P193" t="s">
        <v>42</v>
      </c>
      <c r="Q193" t="s">
        <v>43</v>
      </c>
      <c r="R193" t="s">
        <v>3167</v>
      </c>
      <c r="S193" t="s">
        <v>1787</v>
      </c>
      <c r="T193" t="s">
        <v>42</v>
      </c>
      <c r="U193">
        <v>139</v>
      </c>
      <c r="V193">
        <v>369</v>
      </c>
      <c r="W193">
        <v>231</v>
      </c>
      <c r="X193" t="s">
        <v>971</v>
      </c>
      <c r="Y193" t="s">
        <v>3178</v>
      </c>
      <c r="Z193" t="s">
        <v>932</v>
      </c>
      <c r="AA193" t="s">
        <v>1962</v>
      </c>
      <c r="AB193" t="s">
        <v>3179</v>
      </c>
      <c r="AC193" t="s">
        <v>984</v>
      </c>
      <c r="AD193" t="s">
        <v>985</v>
      </c>
      <c r="AE193">
        <v>2776</v>
      </c>
      <c r="AF193" t="s">
        <v>1951</v>
      </c>
    </row>
    <row r="194" spans="1:34" x14ac:dyDescent="0.75">
      <c r="A194" s="22" t="s">
        <v>6047</v>
      </c>
      <c r="B194" t="s">
        <v>3164</v>
      </c>
      <c r="C194" t="s">
        <v>34</v>
      </c>
      <c r="D194" t="s">
        <v>1745</v>
      </c>
      <c r="E194" t="s">
        <v>1746</v>
      </c>
      <c r="F194" t="s">
        <v>3165</v>
      </c>
      <c r="G194" s="1" t="str">
        <f>HYPERLINK("https://homd.org/jbrowse/?data=homd_V11.02_phage_1.2%2FGCA_016726305.1&amp;loc=GCA_016726305.1%7CCP068174.1%3A840086..846889&amp;tracks=prokka,prokka_ncrna,ncbi,ncbi_ncrna,panggolin,cenote,genomad&amp;highlight=","Open JBrowse")</f>
        <v>Open JBrowse</v>
      </c>
      <c r="H194">
        <v>843086</v>
      </c>
      <c r="I194">
        <v>843889</v>
      </c>
      <c r="J194" t="s">
        <v>3180</v>
      </c>
      <c r="K194" t="s">
        <v>39</v>
      </c>
      <c r="L194" t="s">
        <v>123</v>
      </c>
      <c r="M194" t="s">
        <v>124</v>
      </c>
      <c r="N194" t="s">
        <v>42</v>
      </c>
      <c r="O194">
        <v>3</v>
      </c>
      <c r="P194" t="s">
        <v>42</v>
      </c>
      <c r="Q194" t="s">
        <v>43</v>
      </c>
      <c r="R194" t="s">
        <v>3167</v>
      </c>
      <c r="S194" t="s">
        <v>123</v>
      </c>
      <c r="T194" t="s">
        <v>42</v>
      </c>
      <c r="U194">
        <v>35</v>
      </c>
      <c r="V194">
        <v>261</v>
      </c>
      <c r="W194">
        <v>227</v>
      </c>
      <c r="X194" t="s">
        <v>45</v>
      </c>
    </row>
    <row r="195" spans="1:34" x14ac:dyDescent="0.75">
      <c r="A195" s="22" t="s">
        <v>6047</v>
      </c>
      <c r="B195" t="s">
        <v>3164</v>
      </c>
      <c r="C195" t="s">
        <v>34</v>
      </c>
      <c r="D195" t="s">
        <v>1745</v>
      </c>
      <c r="E195" t="s">
        <v>1746</v>
      </c>
      <c r="F195" t="s">
        <v>3165</v>
      </c>
      <c r="G195" s="1" t="str">
        <f>HYPERLINK("https://homd.org/jbrowse/?data=homd_V11.02_phage_1.2%2FGCA_016726305.1&amp;loc=GCA_016726305.1%7CCP068174.1%3A1004843..1011667&amp;tracks=prokka,prokka_ncrna,ncbi,ncbi_ncrna,panggolin,cenote,genomad&amp;highlight=","Open JBrowse")</f>
        <v>Open JBrowse</v>
      </c>
      <c r="H195">
        <v>1007843</v>
      </c>
      <c r="I195">
        <v>1008667</v>
      </c>
      <c r="J195" t="s">
        <v>3181</v>
      </c>
      <c r="K195" t="s">
        <v>1770</v>
      </c>
      <c r="L195" t="s">
        <v>1771</v>
      </c>
      <c r="M195" t="s">
        <v>1772</v>
      </c>
      <c r="N195" t="s">
        <v>42</v>
      </c>
      <c r="O195">
        <v>3</v>
      </c>
      <c r="P195" t="s">
        <v>42</v>
      </c>
      <c r="Q195" t="s">
        <v>43</v>
      </c>
      <c r="R195" t="s">
        <v>3167</v>
      </c>
      <c r="S195" t="s">
        <v>1771</v>
      </c>
      <c r="T195" t="s">
        <v>42</v>
      </c>
      <c r="U195">
        <v>48</v>
      </c>
      <c r="V195">
        <v>271</v>
      </c>
      <c r="W195">
        <v>224</v>
      </c>
      <c r="X195" t="s">
        <v>1773</v>
      </c>
      <c r="Y195" t="s">
        <v>3182</v>
      </c>
      <c r="Z195" t="s">
        <v>458</v>
      </c>
      <c r="AA195" t="s">
        <v>1949</v>
      </c>
      <c r="AB195" t="s">
        <v>3183</v>
      </c>
      <c r="AC195" t="s">
        <v>984</v>
      </c>
      <c r="AD195" t="s">
        <v>985</v>
      </c>
      <c r="AE195">
        <v>920</v>
      </c>
      <c r="AF195" t="s">
        <v>1951</v>
      </c>
      <c r="AG195" t="s">
        <v>185</v>
      </c>
      <c r="AH195">
        <v>2</v>
      </c>
    </row>
    <row r="196" spans="1:34" x14ac:dyDescent="0.75">
      <c r="A196" s="22" t="s">
        <v>6047</v>
      </c>
      <c r="B196" t="s">
        <v>3164</v>
      </c>
      <c r="C196" t="s">
        <v>34</v>
      </c>
      <c r="D196" t="s">
        <v>1745</v>
      </c>
      <c r="E196" t="s">
        <v>1746</v>
      </c>
      <c r="F196" t="s">
        <v>3165</v>
      </c>
      <c r="G196" s="1" t="str">
        <f>HYPERLINK("https://homd.org/jbrowse/?data=homd_V11.02_phage_1.2%2FGCA_016726305.1&amp;loc=GCA_016726305.1%7CCP068174.1%3A1005869..1012711&amp;tracks=prokka,prokka_ncrna,ncbi,ncbi_ncrna,panggolin,cenote,genomad&amp;highlight=","Open JBrowse")</f>
        <v>Open JBrowse</v>
      </c>
      <c r="H196">
        <v>1008869</v>
      </c>
      <c r="I196">
        <v>1009711</v>
      </c>
      <c r="J196" t="s">
        <v>3184</v>
      </c>
      <c r="K196" t="s">
        <v>77</v>
      </c>
      <c r="L196" t="s">
        <v>1763</v>
      </c>
      <c r="M196" t="s">
        <v>1764</v>
      </c>
      <c r="N196" t="s">
        <v>42</v>
      </c>
      <c r="O196">
        <v>3</v>
      </c>
      <c r="P196" t="s">
        <v>42</v>
      </c>
      <c r="Q196" t="s">
        <v>43</v>
      </c>
      <c r="R196" t="s">
        <v>3167</v>
      </c>
      <c r="S196" t="s">
        <v>1763</v>
      </c>
      <c r="T196" t="s">
        <v>42</v>
      </c>
      <c r="U196">
        <v>39</v>
      </c>
      <c r="V196">
        <v>270</v>
      </c>
      <c r="W196">
        <v>232</v>
      </c>
      <c r="X196" t="s">
        <v>1765</v>
      </c>
      <c r="Y196" t="s">
        <v>3182</v>
      </c>
      <c r="Z196" t="s">
        <v>458</v>
      </c>
      <c r="AA196" t="s">
        <v>1949</v>
      </c>
      <c r="AB196" t="s">
        <v>3183</v>
      </c>
      <c r="AC196" t="s">
        <v>984</v>
      </c>
      <c r="AD196" t="s">
        <v>985</v>
      </c>
      <c r="AE196">
        <v>920</v>
      </c>
      <c r="AF196" t="s">
        <v>1951</v>
      </c>
      <c r="AG196" t="s">
        <v>185</v>
      </c>
      <c r="AH196">
        <v>2</v>
      </c>
    </row>
    <row r="197" spans="1:34" x14ac:dyDescent="0.75">
      <c r="A197" s="22" t="s">
        <v>6047</v>
      </c>
      <c r="B197" t="s">
        <v>3185</v>
      </c>
      <c r="C197" t="s">
        <v>34</v>
      </c>
      <c r="D197" t="s">
        <v>35</v>
      </c>
      <c r="E197" t="s">
        <v>36</v>
      </c>
      <c r="F197" t="s">
        <v>3186</v>
      </c>
      <c r="G197" s="1" t="str">
        <f>HYPERLINK("https://homd.org/jbrowse/?data=homd_V11.02_phage_1.2%2FGCA_016766915.1&amp;loc=GCA_016766915.1%7CCP068488.1%3A1947227..1954018&amp;tracks=prokka,prokka_ncrna,ncbi,ncbi_ncrna,panggolin,cenote,genomad&amp;highlight=","Open JBrowse")</f>
        <v>Open JBrowse</v>
      </c>
      <c r="H197">
        <v>1950227</v>
      </c>
      <c r="I197">
        <v>1951018</v>
      </c>
      <c r="J197" t="s">
        <v>3187</v>
      </c>
      <c r="K197" t="s">
        <v>39</v>
      </c>
      <c r="L197" t="s">
        <v>40</v>
      </c>
      <c r="M197" t="s">
        <v>41</v>
      </c>
      <c r="N197" t="s">
        <v>42</v>
      </c>
      <c r="O197">
        <v>3</v>
      </c>
      <c r="P197" t="s">
        <v>42</v>
      </c>
      <c r="Q197" t="s">
        <v>43</v>
      </c>
      <c r="R197" t="s">
        <v>3188</v>
      </c>
      <c r="S197" t="s">
        <v>40</v>
      </c>
      <c r="T197" t="s">
        <v>42</v>
      </c>
      <c r="U197">
        <v>34</v>
      </c>
      <c r="V197">
        <v>260</v>
      </c>
      <c r="W197">
        <v>227</v>
      </c>
      <c r="X197" t="s">
        <v>45</v>
      </c>
      <c r="Y197" t="s">
        <v>3189</v>
      </c>
      <c r="Z197" t="s">
        <v>193</v>
      </c>
      <c r="AA197" t="s">
        <v>3190</v>
      </c>
      <c r="AB197" t="s">
        <v>3191</v>
      </c>
      <c r="AC197" t="s">
        <v>50</v>
      </c>
      <c r="AD197" t="s">
        <v>51</v>
      </c>
      <c r="AE197">
        <v>6796</v>
      </c>
      <c r="AF197" t="s">
        <v>3192</v>
      </c>
      <c r="AG197" t="s">
        <v>53</v>
      </c>
      <c r="AH197">
        <v>2</v>
      </c>
    </row>
    <row r="198" spans="1:34" x14ac:dyDescent="0.75">
      <c r="A198" s="22" t="s">
        <v>6047</v>
      </c>
      <c r="B198" t="s">
        <v>3193</v>
      </c>
      <c r="C198" t="s">
        <v>34</v>
      </c>
      <c r="D198" t="s">
        <v>35</v>
      </c>
      <c r="E198" t="s">
        <v>36</v>
      </c>
      <c r="F198" t="s">
        <v>3194</v>
      </c>
      <c r="G198" s="1" t="str">
        <f>HYPERLINK("https://homd.org/jbrowse/?data=homd_V11.02_phage_1.2%2FGCA_016766935.1&amp;loc=GCA_016766935.1%7CCP068489.1%3A3270617..3277381&amp;tracks=prokka,prokka_ncrna,ncbi,ncbi_ncrna,panggolin,cenote,genomad&amp;highlight=","Open JBrowse")</f>
        <v>Open JBrowse</v>
      </c>
      <c r="H198">
        <v>3273617</v>
      </c>
      <c r="I198">
        <v>3274381</v>
      </c>
      <c r="J198" t="s">
        <v>3195</v>
      </c>
      <c r="K198" t="s">
        <v>59</v>
      </c>
      <c r="L198" t="s">
        <v>2509</v>
      </c>
      <c r="M198" t="s">
        <v>2510</v>
      </c>
      <c r="N198" t="s">
        <v>42</v>
      </c>
      <c r="O198">
        <v>3</v>
      </c>
      <c r="P198" t="s">
        <v>42</v>
      </c>
      <c r="Q198" t="s">
        <v>59</v>
      </c>
      <c r="R198" t="s">
        <v>3196</v>
      </c>
      <c r="S198" t="s">
        <v>2509</v>
      </c>
      <c r="T198" t="s">
        <v>42</v>
      </c>
      <c r="U198">
        <v>29</v>
      </c>
      <c r="V198">
        <v>250</v>
      </c>
      <c r="W198">
        <v>222</v>
      </c>
      <c r="X198" t="s">
        <v>1985</v>
      </c>
      <c r="Y198" t="s">
        <v>3197</v>
      </c>
      <c r="Z198" t="s">
        <v>556</v>
      </c>
      <c r="AA198" t="s">
        <v>3198</v>
      </c>
    </row>
    <row r="199" spans="1:34" x14ac:dyDescent="0.75">
      <c r="A199" s="22" t="s">
        <v>6047</v>
      </c>
      <c r="B199" t="s">
        <v>3193</v>
      </c>
      <c r="C199" t="s">
        <v>34</v>
      </c>
      <c r="D199" t="s">
        <v>35</v>
      </c>
      <c r="E199" t="s">
        <v>36</v>
      </c>
      <c r="F199" t="s">
        <v>3194</v>
      </c>
      <c r="G199" s="1" t="str">
        <f>HYPERLINK("https://homd.org/jbrowse/?data=homd_V11.02_phage_1.2%2FGCA_016766935.1&amp;loc=GCA_016766935.1%7CCP068489.1%3A884725..891516&amp;tracks=prokka,prokka_ncrna,ncbi,ncbi_ncrna,panggolin,cenote,genomad&amp;highlight=","Open JBrowse")</f>
        <v>Open JBrowse</v>
      </c>
      <c r="H199">
        <v>887725</v>
      </c>
      <c r="I199">
        <v>888516</v>
      </c>
      <c r="J199" t="s">
        <v>3199</v>
      </c>
      <c r="K199" t="s">
        <v>39</v>
      </c>
      <c r="L199" t="s">
        <v>40</v>
      </c>
      <c r="M199" t="s">
        <v>41</v>
      </c>
      <c r="N199" t="s">
        <v>42</v>
      </c>
      <c r="O199">
        <v>3</v>
      </c>
      <c r="P199" t="s">
        <v>42</v>
      </c>
      <c r="Q199" t="s">
        <v>43</v>
      </c>
      <c r="R199" t="s">
        <v>3196</v>
      </c>
      <c r="S199" t="s">
        <v>40</v>
      </c>
      <c r="T199" t="s">
        <v>42</v>
      </c>
      <c r="U199">
        <v>34</v>
      </c>
      <c r="V199">
        <v>260</v>
      </c>
      <c r="W199">
        <v>227</v>
      </c>
      <c r="X199" t="s">
        <v>45</v>
      </c>
      <c r="Y199" t="s">
        <v>3200</v>
      </c>
      <c r="Z199" t="s">
        <v>1948</v>
      </c>
      <c r="AA199" t="s">
        <v>3190</v>
      </c>
      <c r="AB199" t="s">
        <v>3201</v>
      </c>
      <c r="AC199" t="s">
        <v>50</v>
      </c>
      <c r="AD199" t="s">
        <v>51</v>
      </c>
      <c r="AE199">
        <v>6798</v>
      </c>
      <c r="AF199" t="s">
        <v>3192</v>
      </c>
      <c r="AG199" t="s">
        <v>53</v>
      </c>
      <c r="AH199">
        <v>2</v>
      </c>
    </row>
    <row r="200" spans="1:34" x14ac:dyDescent="0.75">
      <c r="A200" s="22" t="s">
        <v>6047</v>
      </c>
      <c r="B200" t="s">
        <v>3258</v>
      </c>
      <c r="C200" t="s">
        <v>34</v>
      </c>
      <c r="D200" t="s">
        <v>55</v>
      </c>
      <c r="E200" t="s">
        <v>56</v>
      </c>
      <c r="F200" t="s">
        <v>3259</v>
      </c>
      <c r="G200" s="1" t="str">
        <f>HYPERLINK("https://homd.org/jbrowse/?data=homd_V11.02_phage_1.2%2FGCA_016888905.1&amp;loc=GCA_016888905.1%7CCP069431.1%3A3059206..3066036&amp;tracks=prokka,prokka_ncrna,ncbi,ncbi_ncrna,panggolin,cenote,genomad&amp;highlight=","Open JBrowse")</f>
        <v>Open JBrowse</v>
      </c>
      <c r="H200">
        <v>3062206</v>
      </c>
      <c r="I200">
        <v>3063036</v>
      </c>
      <c r="J200" t="s">
        <v>3260</v>
      </c>
      <c r="K200" t="s">
        <v>59</v>
      </c>
      <c r="L200" t="s">
        <v>60</v>
      </c>
      <c r="M200" t="s">
        <v>61</v>
      </c>
      <c r="N200" t="s">
        <v>42</v>
      </c>
      <c r="O200">
        <v>3</v>
      </c>
      <c r="P200" t="s">
        <v>42</v>
      </c>
      <c r="Q200" t="s">
        <v>59</v>
      </c>
      <c r="R200" t="s">
        <v>3261</v>
      </c>
      <c r="S200" t="s">
        <v>60</v>
      </c>
      <c r="T200" t="s">
        <v>42</v>
      </c>
      <c r="U200">
        <v>41</v>
      </c>
      <c r="V200">
        <v>274</v>
      </c>
      <c r="W200">
        <v>234</v>
      </c>
      <c r="X200" t="s">
        <v>63</v>
      </c>
      <c r="Y200" t="s">
        <v>3262</v>
      </c>
      <c r="Z200" t="s">
        <v>2583</v>
      </c>
      <c r="AA200" t="s">
        <v>3263</v>
      </c>
      <c r="AB200" t="s">
        <v>3264</v>
      </c>
      <c r="AC200" t="s">
        <v>68</v>
      </c>
      <c r="AD200" t="s">
        <v>69</v>
      </c>
      <c r="AE200">
        <v>2958</v>
      </c>
      <c r="AF200" t="s">
        <v>3265</v>
      </c>
      <c r="AG200" t="s">
        <v>3266</v>
      </c>
      <c r="AH200">
        <v>2</v>
      </c>
    </row>
    <row r="201" spans="1:34" x14ac:dyDescent="0.75">
      <c r="A201" s="22" t="s">
        <v>6047</v>
      </c>
      <c r="B201" t="s">
        <v>3272</v>
      </c>
      <c r="C201" t="s">
        <v>34</v>
      </c>
      <c r="D201" t="s">
        <v>1745</v>
      </c>
      <c r="E201" t="s">
        <v>1746</v>
      </c>
      <c r="F201" t="s">
        <v>3273</v>
      </c>
      <c r="G201" s="1" t="str">
        <f>HYPERLINK("https://homd.org/jbrowse/?data=homd_V11.02_phage_1.2%2FGCA_016889745.1&amp;loc=GCA_016889745.1%7CCP069532.1%3A1277578..1284354&amp;tracks=prokka,prokka_ncrna,ncbi,ncbi_ncrna,panggolin,cenote,genomad&amp;highlight=","Open JBrowse")</f>
        <v>Open JBrowse</v>
      </c>
      <c r="H201">
        <v>1280578</v>
      </c>
      <c r="I201">
        <v>1281354</v>
      </c>
      <c r="J201" t="s">
        <v>3274</v>
      </c>
      <c r="K201" t="s">
        <v>39</v>
      </c>
      <c r="L201" t="s">
        <v>1608</v>
      </c>
      <c r="M201" t="s">
        <v>1609</v>
      </c>
      <c r="N201" t="s">
        <v>42</v>
      </c>
      <c r="O201">
        <v>3</v>
      </c>
      <c r="P201" t="s">
        <v>42</v>
      </c>
      <c r="Q201" t="s">
        <v>43</v>
      </c>
      <c r="R201" t="s">
        <v>3275</v>
      </c>
      <c r="S201" t="s">
        <v>1608</v>
      </c>
      <c r="T201" t="s">
        <v>42</v>
      </c>
      <c r="U201">
        <v>27</v>
      </c>
      <c r="V201">
        <v>255</v>
      </c>
      <c r="W201">
        <v>229</v>
      </c>
      <c r="X201" t="s">
        <v>45</v>
      </c>
      <c r="Y201" t="s">
        <v>3276</v>
      </c>
      <c r="Z201" t="s">
        <v>458</v>
      </c>
      <c r="AA201" t="s">
        <v>1785</v>
      </c>
    </row>
    <row r="202" spans="1:34" x14ac:dyDescent="0.75">
      <c r="A202" s="22" t="s">
        <v>6047</v>
      </c>
      <c r="B202" t="s">
        <v>3272</v>
      </c>
      <c r="C202" t="s">
        <v>34</v>
      </c>
      <c r="D202" t="s">
        <v>1745</v>
      </c>
      <c r="E202" t="s">
        <v>1746</v>
      </c>
      <c r="F202" t="s">
        <v>3273</v>
      </c>
      <c r="G202" s="1" t="str">
        <f>HYPERLINK("https://homd.org/jbrowse/?data=homd_V11.02_phage_1.2%2FGCA_016889745.1&amp;loc=GCA_016889745.1%7CCP069532.1%3A1682136..1688978&amp;tracks=prokka,prokka_ncrna,ncbi,ncbi_ncrna,panggolin,cenote,genomad&amp;highlight=","Open JBrowse")</f>
        <v>Open JBrowse</v>
      </c>
      <c r="H202">
        <v>1685136</v>
      </c>
      <c r="I202">
        <v>1685978</v>
      </c>
      <c r="J202" t="s">
        <v>3277</v>
      </c>
      <c r="K202" t="s">
        <v>77</v>
      </c>
      <c r="L202" t="s">
        <v>1763</v>
      </c>
      <c r="M202" t="s">
        <v>1764</v>
      </c>
      <c r="N202" t="s">
        <v>42</v>
      </c>
      <c r="O202">
        <v>3</v>
      </c>
      <c r="P202" t="s">
        <v>42</v>
      </c>
      <c r="Q202" t="s">
        <v>43</v>
      </c>
      <c r="R202" t="s">
        <v>3275</v>
      </c>
      <c r="S202" t="s">
        <v>1763</v>
      </c>
      <c r="T202" t="s">
        <v>42</v>
      </c>
      <c r="U202">
        <v>39</v>
      </c>
      <c r="V202">
        <v>270</v>
      </c>
      <c r="W202">
        <v>232</v>
      </c>
      <c r="X202" t="s">
        <v>1765</v>
      </c>
      <c r="Y202" t="s">
        <v>3278</v>
      </c>
      <c r="Z202" t="s">
        <v>892</v>
      </c>
      <c r="AA202" t="s">
        <v>1767</v>
      </c>
      <c r="AB202" t="s">
        <v>3279</v>
      </c>
      <c r="AC202" t="s">
        <v>984</v>
      </c>
      <c r="AD202" t="s">
        <v>985</v>
      </c>
      <c r="AE202">
        <v>920</v>
      </c>
      <c r="AF202" t="s">
        <v>986</v>
      </c>
      <c r="AG202" t="s">
        <v>185</v>
      </c>
      <c r="AH202">
        <v>2</v>
      </c>
    </row>
    <row r="203" spans="1:34" x14ac:dyDescent="0.75">
      <c r="A203" s="22" t="s">
        <v>6047</v>
      </c>
      <c r="B203" t="s">
        <v>3272</v>
      </c>
      <c r="C203" t="s">
        <v>34</v>
      </c>
      <c r="D203" t="s">
        <v>1745</v>
      </c>
      <c r="E203" t="s">
        <v>1746</v>
      </c>
      <c r="F203" t="s">
        <v>3273</v>
      </c>
      <c r="G203" s="1" t="str">
        <f>HYPERLINK("https://homd.org/jbrowse/?data=homd_V11.02_phage_1.2%2FGCA_016889745.1&amp;loc=GCA_016889745.1%7CCP069532.1%3A1683180..1690004&amp;tracks=prokka,prokka_ncrna,ncbi,ncbi_ncrna,panggolin,cenote,genomad&amp;highlight=","Open JBrowse")</f>
        <v>Open JBrowse</v>
      </c>
      <c r="H203">
        <v>1686180</v>
      </c>
      <c r="I203">
        <v>1687004</v>
      </c>
      <c r="J203" t="s">
        <v>3280</v>
      </c>
      <c r="K203" t="s">
        <v>1770</v>
      </c>
      <c r="L203" t="s">
        <v>1771</v>
      </c>
      <c r="M203" t="s">
        <v>1772</v>
      </c>
      <c r="N203" t="s">
        <v>42</v>
      </c>
      <c r="O203">
        <v>3</v>
      </c>
      <c r="P203" t="s">
        <v>42</v>
      </c>
      <c r="Q203" t="s">
        <v>43</v>
      </c>
      <c r="R203" t="s">
        <v>3275</v>
      </c>
      <c r="S203" t="s">
        <v>1771</v>
      </c>
      <c r="T203" t="s">
        <v>42</v>
      </c>
      <c r="U203">
        <v>48</v>
      </c>
      <c r="V203">
        <v>271</v>
      </c>
      <c r="W203">
        <v>224</v>
      </c>
      <c r="X203" t="s">
        <v>1773</v>
      </c>
      <c r="Y203" t="s">
        <v>3278</v>
      </c>
      <c r="Z203" t="s">
        <v>892</v>
      </c>
      <c r="AA203" t="s">
        <v>1767</v>
      </c>
      <c r="AB203" t="s">
        <v>3279</v>
      </c>
      <c r="AC203" t="s">
        <v>984</v>
      </c>
      <c r="AD203" t="s">
        <v>985</v>
      </c>
      <c r="AE203">
        <v>920</v>
      </c>
      <c r="AF203" t="s">
        <v>986</v>
      </c>
      <c r="AG203" t="s">
        <v>185</v>
      </c>
      <c r="AH203">
        <v>2</v>
      </c>
    </row>
    <row r="204" spans="1:34" x14ac:dyDescent="0.75">
      <c r="A204" s="22" t="s">
        <v>6047</v>
      </c>
      <c r="B204" t="s">
        <v>3272</v>
      </c>
      <c r="C204" t="s">
        <v>34</v>
      </c>
      <c r="D204" t="s">
        <v>1745</v>
      </c>
      <c r="E204" t="s">
        <v>1746</v>
      </c>
      <c r="F204" t="s">
        <v>3273</v>
      </c>
      <c r="G204" s="1" t="str">
        <f>HYPERLINK("https://homd.org/jbrowse/?data=homd_V11.02_phage_1.2%2FGCA_016889745.1&amp;loc=GCA_016889745.1%7CCP069532.1%3A1847960..1854763&amp;tracks=prokka,prokka_ncrna,ncbi,ncbi_ncrna,panggolin,cenote,genomad&amp;highlight=","Open JBrowse")</f>
        <v>Open JBrowse</v>
      </c>
      <c r="H204">
        <v>1850960</v>
      </c>
      <c r="I204">
        <v>1851763</v>
      </c>
      <c r="J204" t="s">
        <v>3281</v>
      </c>
      <c r="K204" t="s">
        <v>39</v>
      </c>
      <c r="L204" t="s">
        <v>123</v>
      </c>
      <c r="M204" t="s">
        <v>124</v>
      </c>
      <c r="N204" t="s">
        <v>42</v>
      </c>
      <c r="O204">
        <v>3</v>
      </c>
      <c r="P204" t="s">
        <v>42</v>
      </c>
      <c r="Q204" t="s">
        <v>43</v>
      </c>
      <c r="R204" t="s">
        <v>3275</v>
      </c>
      <c r="S204" t="s">
        <v>123</v>
      </c>
      <c r="T204" t="s">
        <v>42</v>
      </c>
      <c r="U204">
        <v>35</v>
      </c>
      <c r="V204">
        <v>261</v>
      </c>
      <c r="W204">
        <v>227</v>
      </c>
      <c r="X204" t="s">
        <v>45</v>
      </c>
    </row>
    <row r="205" spans="1:34" x14ac:dyDescent="0.75">
      <c r="A205" s="22" t="s">
        <v>6047</v>
      </c>
      <c r="B205" t="s">
        <v>3272</v>
      </c>
      <c r="C205" t="s">
        <v>34</v>
      </c>
      <c r="D205" t="s">
        <v>1745</v>
      </c>
      <c r="E205" t="s">
        <v>1746</v>
      </c>
      <c r="F205" t="s">
        <v>3273</v>
      </c>
      <c r="G205" s="1" t="str">
        <f>HYPERLINK("https://homd.org/jbrowse/?data=homd_V11.02_phage_1.2%2FGCA_016889745.1&amp;loc=GCA_016889745.1%7CCP069532.1%3A2131293..2138417&amp;tracks=prokka,prokka_ncrna,ncbi,ncbi_ncrna,panggolin,cenote,genomad&amp;highlight=","Open JBrowse")</f>
        <v>Open JBrowse</v>
      </c>
      <c r="H205">
        <v>2134293</v>
      </c>
      <c r="I205">
        <v>2135417</v>
      </c>
      <c r="J205" t="s">
        <v>3282</v>
      </c>
      <c r="K205" t="s">
        <v>39</v>
      </c>
      <c r="L205" t="s">
        <v>1787</v>
      </c>
      <c r="M205" t="s">
        <v>1788</v>
      </c>
      <c r="N205" t="s">
        <v>42</v>
      </c>
      <c r="O205">
        <v>3</v>
      </c>
      <c r="P205" t="s">
        <v>42</v>
      </c>
      <c r="Q205" t="s">
        <v>43</v>
      </c>
      <c r="R205" t="s">
        <v>3275</v>
      </c>
      <c r="S205" t="s">
        <v>1787</v>
      </c>
      <c r="T205" t="s">
        <v>42</v>
      </c>
      <c r="U205">
        <v>139</v>
      </c>
      <c r="V205">
        <v>369</v>
      </c>
      <c r="W205">
        <v>231</v>
      </c>
      <c r="X205" t="s">
        <v>971</v>
      </c>
      <c r="Y205" t="s">
        <v>3283</v>
      </c>
      <c r="Z205" t="s">
        <v>1236</v>
      </c>
      <c r="AA205" t="s">
        <v>1790</v>
      </c>
      <c r="AB205" t="s">
        <v>3284</v>
      </c>
      <c r="AC205" t="s">
        <v>984</v>
      </c>
      <c r="AD205" t="s">
        <v>985</v>
      </c>
      <c r="AE205">
        <v>2776</v>
      </c>
      <c r="AF205" t="s">
        <v>986</v>
      </c>
    </row>
    <row r="206" spans="1:34" x14ac:dyDescent="0.75">
      <c r="A206" s="22" t="s">
        <v>6047</v>
      </c>
      <c r="B206" t="s">
        <v>3272</v>
      </c>
      <c r="C206" t="s">
        <v>34</v>
      </c>
      <c r="D206" t="s">
        <v>1745</v>
      </c>
      <c r="E206" t="s">
        <v>1746</v>
      </c>
      <c r="F206" t="s">
        <v>3273</v>
      </c>
      <c r="G206" s="1" t="str">
        <f>HYPERLINK("https://homd.org/jbrowse/?data=homd_V11.02_phage_1.2%2FGCA_016889745.1&amp;loc=GCA_016889745.1%7CCP069532.1%3A2442547..2449938&amp;tracks=prokka,prokka_ncrna,ncbi,ncbi_ncrna,panggolin,cenote,genomad&amp;highlight=","Open JBrowse")</f>
        <v>Open JBrowse</v>
      </c>
      <c r="H206">
        <v>2445547</v>
      </c>
      <c r="I206">
        <v>2446938</v>
      </c>
      <c r="J206" t="s">
        <v>3285</v>
      </c>
      <c r="K206" t="s">
        <v>59</v>
      </c>
      <c r="L206" t="s">
        <v>59</v>
      </c>
      <c r="M206" t="s">
        <v>59</v>
      </c>
      <c r="N206" t="s">
        <v>42</v>
      </c>
      <c r="O206">
        <v>1</v>
      </c>
      <c r="P206" t="s">
        <v>59</v>
      </c>
      <c r="Q206" t="s">
        <v>59</v>
      </c>
      <c r="R206" t="s">
        <v>3275</v>
      </c>
      <c r="T206" t="s">
        <v>42</v>
      </c>
      <c r="X206" t="s">
        <v>59</v>
      </c>
    </row>
    <row r="207" spans="1:34" x14ac:dyDescent="0.75">
      <c r="A207" s="22" t="s">
        <v>6047</v>
      </c>
      <c r="B207" t="s">
        <v>3272</v>
      </c>
      <c r="C207" t="s">
        <v>34</v>
      </c>
      <c r="D207" t="s">
        <v>1745</v>
      </c>
      <c r="E207" t="s">
        <v>1746</v>
      </c>
      <c r="F207" t="s">
        <v>3273</v>
      </c>
      <c r="G207" s="1" t="str">
        <f>HYPERLINK("https://homd.org/jbrowse/?data=homd_V11.02_phage_1.2%2FGCA_016889745.1&amp;loc=GCA_016889745.1%7CCP069532.1%3A2919065..2926600&amp;tracks=prokka,prokka_ncrna,ncbi,ncbi_ncrna,panggolin,cenote,genomad&amp;highlight=","Open JBrowse")</f>
        <v>Open JBrowse</v>
      </c>
      <c r="H207">
        <v>2922065</v>
      </c>
      <c r="I207">
        <v>2923600</v>
      </c>
      <c r="J207" t="s">
        <v>3286</v>
      </c>
      <c r="K207" t="s">
        <v>59</v>
      </c>
      <c r="L207" t="s">
        <v>1749</v>
      </c>
      <c r="M207" t="s">
        <v>1750</v>
      </c>
      <c r="N207" t="s">
        <v>42</v>
      </c>
      <c r="O207">
        <v>3</v>
      </c>
      <c r="P207" t="s">
        <v>42</v>
      </c>
      <c r="Q207" t="s">
        <v>59</v>
      </c>
      <c r="R207" t="s">
        <v>3275</v>
      </c>
      <c r="S207" t="s">
        <v>1749</v>
      </c>
      <c r="T207" t="s">
        <v>42</v>
      </c>
      <c r="U207">
        <v>230</v>
      </c>
      <c r="V207">
        <v>508</v>
      </c>
      <c r="W207">
        <v>279</v>
      </c>
      <c r="X207" t="s">
        <v>1752</v>
      </c>
      <c r="Y207" t="s">
        <v>3287</v>
      </c>
      <c r="Z207" t="s">
        <v>83</v>
      </c>
      <c r="AA207" t="s">
        <v>1754</v>
      </c>
      <c r="AB207" t="s">
        <v>3288</v>
      </c>
      <c r="AC207" t="s">
        <v>637</v>
      </c>
      <c r="AD207" t="s">
        <v>638</v>
      </c>
      <c r="AE207">
        <v>7157</v>
      </c>
      <c r="AF207" t="s">
        <v>1756</v>
      </c>
      <c r="AG207" t="s">
        <v>1757</v>
      </c>
      <c r="AH207">
        <v>2</v>
      </c>
    </row>
    <row r="208" spans="1:34" x14ac:dyDescent="0.75">
      <c r="A208" s="22" t="s">
        <v>6047</v>
      </c>
      <c r="B208" t="s">
        <v>3272</v>
      </c>
      <c r="C208" t="s">
        <v>34</v>
      </c>
      <c r="D208" t="s">
        <v>1745</v>
      </c>
      <c r="E208" t="s">
        <v>1746</v>
      </c>
      <c r="F208" t="s">
        <v>3273</v>
      </c>
      <c r="G208" s="1" t="str">
        <f>HYPERLINK("https://homd.org/jbrowse/?data=homd_V11.02_phage_1.2%2FGCA_016889745.1&amp;loc=GCA_016889745.1%7CCP069532.1%3A2920617..2928524&amp;tracks=prokka,prokka_ncrna,ncbi,ncbi_ncrna,panggolin,cenote,genomad&amp;highlight=","Open JBrowse")</f>
        <v>Open JBrowse</v>
      </c>
      <c r="H208">
        <v>2923617</v>
      </c>
      <c r="I208">
        <v>2925524</v>
      </c>
      <c r="J208" t="s">
        <v>3289</v>
      </c>
      <c r="K208" t="s">
        <v>627</v>
      </c>
      <c r="L208" t="s">
        <v>1759</v>
      </c>
      <c r="M208" t="s">
        <v>1760</v>
      </c>
      <c r="N208" t="s">
        <v>1481</v>
      </c>
      <c r="O208">
        <v>3</v>
      </c>
      <c r="P208" t="s">
        <v>1482</v>
      </c>
      <c r="Q208" t="s">
        <v>59</v>
      </c>
      <c r="R208" t="s">
        <v>3275</v>
      </c>
      <c r="S208" t="s">
        <v>1761</v>
      </c>
      <c r="T208" t="s">
        <v>42</v>
      </c>
      <c r="U208">
        <v>32</v>
      </c>
      <c r="V208">
        <v>283</v>
      </c>
      <c r="W208">
        <v>252</v>
      </c>
      <c r="X208" t="s">
        <v>1484</v>
      </c>
      <c r="Y208" t="s">
        <v>3287</v>
      </c>
      <c r="Z208" t="s">
        <v>83</v>
      </c>
      <c r="AA208" t="s">
        <v>1754</v>
      </c>
      <c r="AB208" t="s">
        <v>3288</v>
      </c>
      <c r="AC208" t="s">
        <v>637</v>
      </c>
      <c r="AD208" t="s">
        <v>638</v>
      </c>
      <c r="AE208">
        <v>7157</v>
      </c>
      <c r="AF208" t="s">
        <v>1756</v>
      </c>
      <c r="AG208" t="s">
        <v>1757</v>
      </c>
      <c r="AH208">
        <v>2</v>
      </c>
    </row>
    <row r="209" spans="1:34" x14ac:dyDescent="0.75">
      <c r="A209" s="22" t="s">
        <v>6047</v>
      </c>
      <c r="B209" t="s">
        <v>3272</v>
      </c>
      <c r="C209" t="s">
        <v>34</v>
      </c>
      <c r="D209" t="s">
        <v>1745</v>
      </c>
      <c r="E209" t="s">
        <v>1746</v>
      </c>
      <c r="F209" t="s">
        <v>3273</v>
      </c>
      <c r="G209" s="1" t="str">
        <f>HYPERLINK("https://homd.org/jbrowse/?data=homd_V11.02_phage_1.2%2FGCA_016889745.1&amp;loc=GCA_016889745.1%7CCP069532.1%3A770631..777479&amp;tracks=prokka,prokka_ncrna,ncbi,ncbi_ncrna,panggolin,cenote,genomad&amp;highlight=","Open JBrowse")</f>
        <v>Open JBrowse</v>
      </c>
      <c r="H209">
        <v>773631</v>
      </c>
      <c r="I209">
        <v>774479</v>
      </c>
      <c r="J209" t="s">
        <v>3290</v>
      </c>
      <c r="K209" t="s">
        <v>59</v>
      </c>
      <c r="L209" t="s">
        <v>59</v>
      </c>
      <c r="M209" t="s">
        <v>59</v>
      </c>
      <c r="N209" t="s">
        <v>42</v>
      </c>
      <c r="O209">
        <v>1</v>
      </c>
      <c r="P209" t="s">
        <v>59</v>
      </c>
      <c r="Q209" t="s">
        <v>59</v>
      </c>
      <c r="R209" t="s">
        <v>3275</v>
      </c>
      <c r="T209" t="s">
        <v>42</v>
      </c>
      <c r="X209" t="s">
        <v>59</v>
      </c>
      <c r="Y209" t="s">
        <v>3291</v>
      </c>
      <c r="Z209" t="s">
        <v>336</v>
      </c>
      <c r="AA209" t="s">
        <v>1778</v>
      </c>
      <c r="AB209" t="s">
        <v>3292</v>
      </c>
      <c r="AC209" t="s">
        <v>1780</v>
      </c>
      <c r="AD209" t="s">
        <v>183</v>
      </c>
      <c r="AE209">
        <v>1746</v>
      </c>
      <c r="AF209" t="s">
        <v>1781</v>
      </c>
      <c r="AG209" t="s">
        <v>185</v>
      </c>
      <c r="AH209">
        <v>2</v>
      </c>
    </row>
    <row r="210" spans="1:34" x14ac:dyDescent="0.75">
      <c r="A210" s="22" t="s">
        <v>6047</v>
      </c>
      <c r="B210" t="s">
        <v>3293</v>
      </c>
      <c r="C210" t="s">
        <v>34</v>
      </c>
      <c r="D210" t="s">
        <v>1492</v>
      </c>
      <c r="E210" t="s">
        <v>1493</v>
      </c>
      <c r="F210" t="s">
        <v>3294</v>
      </c>
      <c r="G210" s="1" t="str">
        <f>HYPERLINK("https://homd.org/jbrowse/?data=homd_V11.02_phage_1.2%2FGCA_016894185.1&amp;loc=GCA_016894185.1%7CCP069790.1%3A1474848..1481687&amp;tracks=prokka,prokka_ncrna,ncbi,ncbi_ncrna,panggolin,cenote,genomad&amp;highlight=","Open JBrowse")</f>
        <v>Open JBrowse</v>
      </c>
      <c r="H210">
        <v>1477848</v>
      </c>
      <c r="I210">
        <v>1478687</v>
      </c>
      <c r="J210" t="s">
        <v>3295</v>
      </c>
      <c r="K210" t="s">
        <v>59</v>
      </c>
      <c r="L210" t="s">
        <v>59</v>
      </c>
      <c r="M210" t="s">
        <v>59</v>
      </c>
      <c r="N210" t="s">
        <v>42</v>
      </c>
      <c r="O210">
        <v>1</v>
      </c>
      <c r="P210" t="s">
        <v>59</v>
      </c>
      <c r="Q210" t="s">
        <v>59</v>
      </c>
      <c r="R210" t="s">
        <v>3296</v>
      </c>
      <c r="T210" t="s">
        <v>42</v>
      </c>
      <c r="X210" t="s">
        <v>59</v>
      </c>
    </row>
    <row r="211" spans="1:34" x14ac:dyDescent="0.75">
      <c r="A211" s="22" t="s">
        <v>6047</v>
      </c>
      <c r="B211" t="s">
        <v>3293</v>
      </c>
      <c r="C211" t="s">
        <v>34</v>
      </c>
      <c r="D211" t="s">
        <v>1492</v>
      </c>
      <c r="E211" t="s">
        <v>1493</v>
      </c>
      <c r="F211" t="s">
        <v>3294</v>
      </c>
      <c r="G211" s="1" t="str">
        <f>HYPERLINK("https://homd.org/jbrowse/?data=homd_V11.02_phage_1.2%2FGCA_016894185.1&amp;loc=GCA_016894185.1%7CCP069790.1%3A2904329..2911132&amp;tracks=prokka,prokka_ncrna,ncbi,ncbi_ncrna,panggolin,cenote,genomad&amp;highlight=","Open JBrowse")</f>
        <v>Open JBrowse</v>
      </c>
      <c r="H211">
        <v>2907329</v>
      </c>
      <c r="I211">
        <v>2908132</v>
      </c>
      <c r="J211" t="s">
        <v>3297</v>
      </c>
      <c r="K211" t="s">
        <v>39</v>
      </c>
      <c r="L211" t="s">
        <v>123</v>
      </c>
      <c r="M211" t="s">
        <v>124</v>
      </c>
      <c r="N211" t="s">
        <v>42</v>
      </c>
      <c r="O211">
        <v>3</v>
      </c>
      <c r="P211" t="s">
        <v>42</v>
      </c>
      <c r="Q211" t="s">
        <v>43</v>
      </c>
      <c r="R211" t="s">
        <v>3296</v>
      </c>
      <c r="S211" t="s">
        <v>123</v>
      </c>
      <c r="T211" t="s">
        <v>42</v>
      </c>
      <c r="U211">
        <v>35</v>
      </c>
      <c r="V211">
        <v>261</v>
      </c>
      <c r="W211">
        <v>227</v>
      </c>
      <c r="X211" t="s">
        <v>45</v>
      </c>
      <c r="Y211" t="s">
        <v>3298</v>
      </c>
      <c r="Z211" t="s">
        <v>1710</v>
      </c>
      <c r="AA211" t="s">
        <v>1500</v>
      </c>
    </row>
    <row r="212" spans="1:34" x14ac:dyDescent="0.75">
      <c r="A212" s="22" t="s">
        <v>6047</v>
      </c>
      <c r="B212" t="s">
        <v>3293</v>
      </c>
      <c r="C212" t="s">
        <v>34</v>
      </c>
      <c r="D212" t="s">
        <v>1492</v>
      </c>
      <c r="E212" t="s">
        <v>1493</v>
      </c>
      <c r="F212" t="s">
        <v>3294</v>
      </c>
      <c r="G212" s="1" t="str">
        <f>HYPERLINK("https://homd.org/jbrowse/?data=homd_V11.02_phage_1.2%2FGCA_016894185.1&amp;loc=GCA_016894185.1%7CCP069790.1%3A3520431..3527246&amp;tracks=prokka,prokka_ncrna,ncbi,ncbi_ncrna,panggolin,cenote,genomad&amp;highlight=","Open JBrowse")</f>
        <v>Open JBrowse</v>
      </c>
      <c r="H212">
        <v>3523431</v>
      </c>
      <c r="I212">
        <v>3524246</v>
      </c>
      <c r="J212" t="s">
        <v>3299</v>
      </c>
      <c r="K212" t="s">
        <v>996</v>
      </c>
      <c r="L212" t="s">
        <v>343</v>
      </c>
      <c r="M212" t="s">
        <v>1502</v>
      </c>
      <c r="N212" t="s">
        <v>42</v>
      </c>
      <c r="O212">
        <v>3</v>
      </c>
      <c r="P212" t="s">
        <v>42</v>
      </c>
      <c r="Q212" t="s">
        <v>101</v>
      </c>
      <c r="R212" t="s">
        <v>3296</v>
      </c>
      <c r="S212" t="s">
        <v>343</v>
      </c>
      <c r="T212" t="s">
        <v>42</v>
      </c>
      <c r="U212">
        <v>38</v>
      </c>
      <c r="V212">
        <v>270</v>
      </c>
      <c r="W212">
        <v>233</v>
      </c>
      <c r="X212" t="s">
        <v>999</v>
      </c>
      <c r="Y212" t="s">
        <v>3300</v>
      </c>
      <c r="Z212" t="s">
        <v>722</v>
      </c>
      <c r="AA212" t="s">
        <v>1504</v>
      </c>
      <c r="AB212" t="s">
        <v>3301</v>
      </c>
      <c r="AC212" t="s">
        <v>1003</v>
      </c>
      <c r="AD212" t="s">
        <v>101</v>
      </c>
      <c r="AE212">
        <v>10479</v>
      </c>
      <c r="AF212" t="s">
        <v>1506</v>
      </c>
      <c r="AG212" t="s">
        <v>101</v>
      </c>
      <c r="AH212">
        <v>2</v>
      </c>
    </row>
    <row r="213" spans="1:34" x14ac:dyDescent="0.75">
      <c r="A213" s="22" t="s">
        <v>6047</v>
      </c>
      <c r="B213" t="s">
        <v>3302</v>
      </c>
      <c r="C213" t="s">
        <v>34</v>
      </c>
      <c r="D213" t="s">
        <v>2238</v>
      </c>
      <c r="E213" t="s">
        <v>2239</v>
      </c>
      <c r="F213" t="s">
        <v>3303</v>
      </c>
      <c r="G213" s="1" t="str">
        <f>HYPERLINK("https://homd.org/jbrowse/?data=homd_V11.02_phage_1.2%2FGCA_017309675.2&amp;loc=GCA_017309675.2%7CCP084680.1%3A2370441..2377874&amp;tracks=prokka,prokka_ncrna,ncbi,ncbi_ncrna,panggolin,cenote,genomad&amp;highlight=","Open JBrowse")</f>
        <v>Open JBrowse</v>
      </c>
      <c r="H213">
        <v>2373441</v>
      </c>
      <c r="I213">
        <v>2374874</v>
      </c>
      <c r="J213" t="s">
        <v>3304</v>
      </c>
      <c r="K213" t="s">
        <v>109</v>
      </c>
      <c r="L213" t="s">
        <v>3107</v>
      </c>
      <c r="M213" t="s">
        <v>3108</v>
      </c>
      <c r="N213" t="s">
        <v>42</v>
      </c>
      <c r="O213">
        <v>3</v>
      </c>
      <c r="P213" t="s">
        <v>42</v>
      </c>
      <c r="Q213" t="s">
        <v>101</v>
      </c>
      <c r="R213" t="s">
        <v>3305</v>
      </c>
      <c r="S213" t="s">
        <v>3107</v>
      </c>
      <c r="T213" t="s">
        <v>42</v>
      </c>
      <c r="U213">
        <v>239</v>
      </c>
      <c r="V213">
        <v>474</v>
      </c>
      <c r="W213">
        <v>236</v>
      </c>
      <c r="X213" t="s">
        <v>248</v>
      </c>
      <c r="Y213" t="s">
        <v>3306</v>
      </c>
      <c r="Z213" t="s">
        <v>1159</v>
      </c>
      <c r="AA213" t="s">
        <v>3307</v>
      </c>
      <c r="AB213" t="s">
        <v>3308</v>
      </c>
      <c r="AC213" t="s">
        <v>2257</v>
      </c>
      <c r="AD213" t="s">
        <v>51</v>
      </c>
      <c r="AE213">
        <v>13279</v>
      </c>
      <c r="AF213" t="s">
        <v>2886</v>
      </c>
      <c r="AG213" t="s">
        <v>101</v>
      </c>
      <c r="AH213">
        <v>2</v>
      </c>
    </row>
    <row r="214" spans="1:34" x14ac:dyDescent="0.75">
      <c r="A214" s="22" t="s">
        <v>6047</v>
      </c>
      <c r="B214" t="s">
        <v>3302</v>
      </c>
      <c r="C214" t="s">
        <v>34</v>
      </c>
      <c r="D214" t="s">
        <v>2238</v>
      </c>
      <c r="E214" t="s">
        <v>2239</v>
      </c>
      <c r="F214" t="s">
        <v>3303</v>
      </c>
      <c r="G214" s="1" t="str">
        <f>HYPERLINK("https://homd.org/jbrowse/?data=homd_V11.02_phage_1.2%2FGCA_017309675.2&amp;loc=GCA_017309675.2%7CCP084680.1%3A2436872..2443714&amp;tracks=prokka,prokka_ncrna,ncbi,ncbi_ncrna,panggolin,cenote,genomad&amp;highlight=","Open JBrowse")</f>
        <v>Open JBrowse</v>
      </c>
      <c r="H214">
        <v>2439872</v>
      </c>
      <c r="I214">
        <v>2440714</v>
      </c>
      <c r="J214" t="s">
        <v>3309</v>
      </c>
      <c r="K214" t="s">
        <v>59</v>
      </c>
      <c r="L214" t="s">
        <v>59</v>
      </c>
      <c r="M214" t="s">
        <v>59</v>
      </c>
      <c r="N214" t="s">
        <v>42</v>
      </c>
      <c r="O214">
        <v>1</v>
      </c>
      <c r="P214" t="s">
        <v>59</v>
      </c>
      <c r="Q214" t="s">
        <v>59</v>
      </c>
      <c r="R214" t="s">
        <v>3305</v>
      </c>
      <c r="T214" t="s">
        <v>42</v>
      </c>
      <c r="X214" t="s">
        <v>59</v>
      </c>
    </row>
    <row r="215" spans="1:34" x14ac:dyDescent="0.75">
      <c r="A215" s="22" t="s">
        <v>6047</v>
      </c>
      <c r="B215" t="s">
        <v>3316</v>
      </c>
      <c r="C215" t="s">
        <v>34</v>
      </c>
      <c r="D215" t="s">
        <v>73</v>
      </c>
      <c r="E215" t="s">
        <v>74</v>
      </c>
      <c r="F215" t="s">
        <v>3317</v>
      </c>
      <c r="G215" s="1" t="str">
        <f>HYPERLINK("https://homd.org/jbrowse/?data=homd_V11.02_phage_1.2%2FGCA_017504145.1&amp;loc=GCA_017504145.1%7CCP071807.1%3A2563440..2570336&amp;tracks=prokka,prokka_ncrna,ncbi,ncbi_ncrna,panggolin,cenote,genomad&amp;highlight=","Open JBrowse")</f>
        <v>Open JBrowse</v>
      </c>
      <c r="H215">
        <v>2566440</v>
      </c>
      <c r="I215">
        <v>2567336</v>
      </c>
      <c r="J215" t="s">
        <v>3318</v>
      </c>
      <c r="K215" t="s">
        <v>77</v>
      </c>
      <c r="L215" t="s">
        <v>78</v>
      </c>
      <c r="M215" t="s">
        <v>79</v>
      </c>
      <c r="N215" t="s">
        <v>42</v>
      </c>
      <c r="O215">
        <v>3</v>
      </c>
      <c r="P215" t="s">
        <v>42</v>
      </c>
      <c r="Q215" t="s">
        <v>43</v>
      </c>
      <c r="R215" t="s">
        <v>3319</v>
      </c>
      <c r="S215" t="s">
        <v>78</v>
      </c>
      <c r="T215" t="s">
        <v>42</v>
      </c>
      <c r="U215">
        <v>17</v>
      </c>
      <c r="V215">
        <v>266</v>
      </c>
      <c r="W215">
        <v>250</v>
      </c>
      <c r="X215" t="s">
        <v>81</v>
      </c>
      <c r="Y215" t="s">
        <v>3320</v>
      </c>
      <c r="Z215" t="s">
        <v>83</v>
      </c>
      <c r="AA215" t="s">
        <v>84</v>
      </c>
    </row>
    <row r="216" spans="1:34" x14ac:dyDescent="0.75">
      <c r="A216" s="22" t="s">
        <v>6047</v>
      </c>
      <c r="B216" t="s">
        <v>3316</v>
      </c>
      <c r="C216" t="s">
        <v>34</v>
      </c>
      <c r="D216" t="s">
        <v>73</v>
      </c>
      <c r="E216" t="s">
        <v>74</v>
      </c>
      <c r="F216" t="s">
        <v>3317</v>
      </c>
      <c r="G216" s="1" t="str">
        <f>HYPERLINK("https://homd.org/jbrowse/?data=homd_V11.02_phage_1.2%2FGCA_017504145.1&amp;loc=GCA_017504145.1%7CCP071807.1%3A850518..857432&amp;tracks=prokka,prokka_ncrna,ncbi,ncbi_ncrna,panggolin,cenote,genomad&amp;highlight=","Open JBrowse")</f>
        <v>Open JBrowse</v>
      </c>
      <c r="H216">
        <v>853518</v>
      </c>
      <c r="I216">
        <v>854432</v>
      </c>
      <c r="J216" t="s">
        <v>3321</v>
      </c>
      <c r="K216" t="s">
        <v>77</v>
      </c>
      <c r="L216" t="s">
        <v>86</v>
      </c>
      <c r="M216" t="s">
        <v>87</v>
      </c>
      <c r="N216" t="s">
        <v>42</v>
      </c>
      <c r="O216">
        <v>3</v>
      </c>
      <c r="P216" t="s">
        <v>42</v>
      </c>
      <c r="Q216" t="s">
        <v>43</v>
      </c>
      <c r="R216" t="s">
        <v>3319</v>
      </c>
      <c r="S216" t="s">
        <v>86</v>
      </c>
      <c r="T216" t="s">
        <v>42</v>
      </c>
      <c r="U216">
        <v>36</v>
      </c>
      <c r="V216">
        <v>282</v>
      </c>
      <c r="W216">
        <v>247</v>
      </c>
      <c r="X216" t="s">
        <v>88</v>
      </c>
      <c r="Y216" t="s">
        <v>3322</v>
      </c>
      <c r="Z216" t="s">
        <v>90</v>
      </c>
      <c r="AA216" t="s">
        <v>91</v>
      </c>
    </row>
    <row r="217" spans="1:34" x14ac:dyDescent="0.75">
      <c r="A217" s="22" t="s">
        <v>6047</v>
      </c>
      <c r="B217" t="s">
        <v>3316</v>
      </c>
      <c r="C217" t="s">
        <v>34</v>
      </c>
      <c r="D217" t="s">
        <v>73</v>
      </c>
      <c r="E217" t="s">
        <v>74</v>
      </c>
      <c r="F217" t="s">
        <v>3317</v>
      </c>
      <c r="G217" s="1" t="str">
        <f>HYPERLINK("https://homd.org/jbrowse/?data=homd_V11.02_phage_1.2%2FGCA_017504145.1&amp;loc=GCA_017504145.1%7CCP071807.1%3A1039477..1046418&amp;tracks=prokka,prokka_ncrna,ncbi,ncbi_ncrna,panggolin,cenote,genomad&amp;highlight=","Open JBrowse")</f>
        <v>Open JBrowse</v>
      </c>
      <c r="H217">
        <v>1042477</v>
      </c>
      <c r="I217">
        <v>1043418</v>
      </c>
      <c r="J217" t="s">
        <v>3323</v>
      </c>
      <c r="K217" t="s">
        <v>77</v>
      </c>
      <c r="L217" t="s">
        <v>93</v>
      </c>
      <c r="M217" t="s">
        <v>94</v>
      </c>
      <c r="N217" t="s">
        <v>42</v>
      </c>
      <c r="O217">
        <v>3</v>
      </c>
      <c r="P217" t="s">
        <v>42</v>
      </c>
      <c r="Q217" t="s">
        <v>43</v>
      </c>
      <c r="R217" t="s">
        <v>3319</v>
      </c>
      <c r="S217" t="s">
        <v>93</v>
      </c>
      <c r="T217" t="s">
        <v>42</v>
      </c>
      <c r="U217">
        <v>51</v>
      </c>
      <c r="V217">
        <v>296</v>
      </c>
      <c r="W217">
        <v>246</v>
      </c>
      <c r="X217" t="s">
        <v>95</v>
      </c>
      <c r="Y217" t="s">
        <v>3324</v>
      </c>
      <c r="Z217" t="s">
        <v>97</v>
      </c>
      <c r="AA217" t="s">
        <v>98</v>
      </c>
      <c r="AB217" t="s">
        <v>3325</v>
      </c>
      <c r="AC217" t="s">
        <v>100</v>
      </c>
      <c r="AD217" t="s">
        <v>101</v>
      </c>
      <c r="AE217">
        <v>413</v>
      </c>
      <c r="AF217" t="s">
        <v>102</v>
      </c>
    </row>
    <row r="218" spans="1:34" x14ac:dyDescent="0.75">
      <c r="A218" s="22" t="s">
        <v>6047</v>
      </c>
      <c r="B218" t="s">
        <v>3326</v>
      </c>
      <c r="C218" t="s">
        <v>34</v>
      </c>
      <c r="D218" t="s">
        <v>73</v>
      </c>
      <c r="E218" t="s">
        <v>74</v>
      </c>
      <c r="F218" t="s">
        <v>3327</v>
      </c>
      <c r="G218" s="1" t="str">
        <f>HYPERLINK("https://homd.org/jbrowse/?data=homd_V11.02_phage_1.2%2FGCA_017570505.1&amp;loc=GCA_017570505.1%7CCP071886.1%3A2740257..2747153&amp;tracks=prokka,prokka_ncrna,ncbi,ncbi_ncrna,panggolin,cenote,genomad&amp;highlight=","Open JBrowse")</f>
        <v>Open JBrowse</v>
      </c>
      <c r="H218">
        <v>2743257</v>
      </c>
      <c r="I218">
        <v>2744153</v>
      </c>
      <c r="J218" t="s">
        <v>3328</v>
      </c>
      <c r="K218" t="s">
        <v>77</v>
      </c>
      <c r="L218" t="s">
        <v>78</v>
      </c>
      <c r="M218" t="s">
        <v>79</v>
      </c>
      <c r="N218" t="s">
        <v>42</v>
      </c>
      <c r="O218">
        <v>3</v>
      </c>
      <c r="P218" t="s">
        <v>42</v>
      </c>
      <c r="Q218" t="s">
        <v>43</v>
      </c>
      <c r="R218" t="s">
        <v>3329</v>
      </c>
      <c r="S218" t="s">
        <v>78</v>
      </c>
      <c r="T218" t="s">
        <v>42</v>
      </c>
      <c r="U218">
        <v>17</v>
      </c>
      <c r="V218">
        <v>266</v>
      </c>
      <c r="W218">
        <v>250</v>
      </c>
      <c r="X218" t="s">
        <v>81</v>
      </c>
      <c r="Y218" t="s">
        <v>3330</v>
      </c>
      <c r="Z218" t="s">
        <v>83</v>
      </c>
      <c r="AA218" t="s">
        <v>84</v>
      </c>
    </row>
    <row r="219" spans="1:34" x14ac:dyDescent="0.75">
      <c r="A219" s="22" t="s">
        <v>6047</v>
      </c>
      <c r="B219" t="s">
        <v>3326</v>
      </c>
      <c r="C219" t="s">
        <v>34</v>
      </c>
      <c r="D219" t="s">
        <v>73</v>
      </c>
      <c r="E219" t="s">
        <v>74</v>
      </c>
      <c r="F219" t="s">
        <v>3327</v>
      </c>
      <c r="G219" s="1" t="str">
        <f>HYPERLINK("https://homd.org/jbrowse/?data=homd_V11.02_phage_1.2%2FGCA_017570505.1&amp;loc=GCA_017570505.1%7CCP071886.1%3A929302..936219&amp;tracks=prokka,prokka_ncrna,ncbi,ncbi_ncrna,panggolin,cenote,genomad&amp;highlight=","Open JBrowse")</f>
        <v>Open JBrowse</v>
      </c>
      <c r="H219">
        <v>932302</v>
      </c>
      <c r="I219">
        <v>933219</v>
      </c>
      <c r="J219" t="s">
        <v>3331</v>
      </c>
      <c r="K219" t="s">
        <v>77</v>
      </c>
      <c r="L219" t="s">
        <v>2225</v>
      </c>
      <c r="M219" t="s">
        <v>2226</v>
      </c>
      <c r="N219" t="s">
        <v>42</v>
      </c>
      <c r="O219">
        <v>3</v>
      </c>
      <c r="P219" t="s">
        <v>42</v>
      </c>
      <c r="Q219" t="s">
        <v>43</v>
      </c>
      <c r="R219" t="s">
        <v>3329</v>
      </c>
      <c r="S219" t="s">
        <v>2225</v>
      </c>
      <c r="T219" t="s">
        <v>42</v>
      </c>
      <c r="U219">
        <v>37</v>
      </c>
      <c r="V219">
        <v>283</v>
      </c>
      <c r="W219">
        <v>247</v>
      </c>
      <c r="X219" t="s">
        <v>88</v>
      </c>
      <c r="Y219" t="s">
        <v>3332</v>
      </c>
      <c r="Z219" t="s">
        <v>1948</v>
      </c>
      <c r="AA219" t="s">
        <v>91</v>
      </c>
    </row>
    <row r="220" spans="1:34" x14ac:dyDescent="0.75">
      <c r="A220" s="22" t="s">
        <v>6047</v>
      </c>
      <c r="B220" t="s">
        <v>3326</v>
      </c>
      <c r="C220" t="s">
        <v>34</v>
      </c>
      <c r="D220" t="s">
        <v>73</v>
      </c>
      <c r="E220" t="s">
        <v>74</v>
      </c>
      <c r="F220" t="s">
        <v>3327</v>
      </c>
      <c r="G220" s="1" t="str">
        <f>HYPERLINK("https://homd.org/jbrowse/?data=homd_V11.02_phage_1.2%2FGCA_017570505.1&amp;loc=GCA_017570505.1%7CCP071886.1%3A1131707..1138819&amp;tracks=prokka,prokka_ncrna,ncbi,ncbi_ncrna,panggolin,cenote,genomad&amp;highlight=","Open JBrowse")</f>
        <v>Open JBrowse</v>
      </c>
      <c r="H220">
        <v>1134707</v>
      </c>
      <c r="I220">
        <v>1135819</v>
      </c>
      <c r="J220" t="s">
        <v>3333</v>
      </c>
      <c r="K220" t="s">
        <v>77</v>
      </c>
      <c r="L220" t="s">
        <v>93</v>
      </c>
      <c r="M220" t="s">
        <v>94</v>
      </c>
      <c r="N220" t="s">
        <v>42</v>
      </c>
      <c r="O220">
        <v>3</v>
      </c>
      <c r="P220" t="s">
        <v>42</v>
      </c>
      <c r="Q220" t="s">
        <v>43</v>
      </c>
      <c r="R220" t="s">
        <v>3329</v>
      </c>
      <c r="S220" t="s">
        <v>93</v>
      </c>
      <c r="T220" t="s">
        <v>42</v>
      </c>
      <c r="U220">
        <v>51</v>
      </c>
      <c r="V220">
        <v>296</v>
      </c>
      <c r="W220">
        <v>246</v>
      </c>
      <c r="X220" t="s">
        <v>95</v>
      </c>
      <c r="Y220" t="s">
        <v>3334</v>
      </c>
      <c r="Z220" t="s">
        <v>97</v>
      </c>
      <c r="AA220" t="s">
        <v>1644</v>
      </c>
      <c r="AB220" t="s">
        <v>3335</v>
      </c>
      <c r="AC220" t="s">
        <v>100</v>
      </c>
      <c r="AD220" t="s">
        <v>101</v>
      </c>
      <c r="AE220">
        <v>415</v>
      </c>
      <c r="AF220" t="s">
        <v>102</v>
      </c>
    </row>
    <row r="221" spans="1:34" x14ac:dyDescent="0.75">
      <c r="A221" s="22" t="s">
        <v>6047</v>
      </c>
      <c r="B221" t="s">
        <v>3507</v>
      </c>
      <c r="C221" t="s">
        <v>34</v>
      </c>
      <c r="D221" t="s">
        <v>2352</v>
      </c>
      <c r="E221" t="s">
        <v>2353</v>
      </c>
      <c r="F221" t="s">
        <v>3508</v>
      </c>
      <c r="G221" s="1" t="str">
        <f>HYPERLINK("https://homd.org/jbrowse/?data=homd_V11.02_phage_1.2%2FGCA_018279805.1&amp;loc=GCA_018279805.1%7CCP042282.1%3A418281..425114&amp;tracks=prokka,prokka_ncrna,ncbi,ncbi_ncrna,panggolin,cenote,genomad&amp;highlight=","Open JBrowse")</f>
        <v>Open JBrowse</v>
      </c>
      <c r="H221">
        <v>421281</v>
      </c>
      <c r="I221">
        <v>422114</v>
      </c>
      <c r="J221" t="s">
        <v>3509</v>
      </c>
      <c r="K221" t="s">
        <v>1770</v>
      </c>
      <c r="L221" t="s">
        <v>3510</v>
      </c>
      <c r="M221" t="s">
        <v>3511</v>
      </c>
      <c r="N221" t="s">
        <v>42</v>
      </c>
      <c r="O221">
        <v>3</v>
      </c>
      <c r="P221" t="s">
        <v>42</v>
      </c>
      <c r="Q221" t="s">
        <v>43</v>
      </c>
      <c r="R221" t="s">
        <v>3512</v>
      </c>
      <c r="S221" t="s">
        <v>3510</v>
      </c>
      <c r="T221" t="s">
        <v>42</v>
      </c>
      <c r="U221">
        <v>51</v>
      </c>
      <c r="V221">
        <v>274</v>
      </c>
      <c r="W221">
        <v>224</v>
      </c>
      <c r="X221" t="s">
        <v>1773</v>
      </c>
      <c r="Y221" t="s">
        <v>3513</v>
      </c>
      <c r="Z221" t="s">
        <v>1463</v>
      </c>
      <c r="AA221" t="s">
        <v>3514</v>
      </c>
      <c r="AB221" t="s">
        <v>3515</v>
      </c>
      <c r="AC221" t="s">
        <v>3516</v>
      </c>
      <c r="AD221" t="s">
        <v>183</v>
      </c>
      <c r="AE221">
        <v>5738</v>
      </c>
      <c r="AF221" t="s">
        <v>3517</v>
      </c>
      <c r="AG221" t="s">
        <v>185</v>
      </c>
      <c r="AH221">
        <v>4</v>
      </c>
    </row>
    <row r="222" spans="1:34" x14ac:dyDescent="0.75">
      <c r="A222" s="22" t="s">
        <v>6047</v>
      </c>
      <c r="B222" t="s">
        <v>3507</v>
      </c>
      <c r="C222" t="s">
        <v>34</v>
      </c>
      <c r="D222" t="s">
        <v>2352</v>
      </c>
      <c r="E222" t="s">
        <v>2353</v>
      </c>
      <c r="F222" t="s">
        <v>3508</v>
      </c>
      <c r="G222" s="1" t="str">
        <f>HYPERLINK("https://homd.org/jbrowse/?data=homd_V11.02_phage_1.2%2FGCA_018279805.1&amp;loc=GCA_018279805.1%7CCP042282.1%3A421761..428621&amp;tracks=prokka,prokka_ncrna,ncbi,ncbi_ncrna,panggolin,cenote,genomad&amp;highlight=","Open JBrowse")</f>
        <v>Open JBrowse</v>
      </c>
      <c r="H222">
        <v>424761</v>
      </c>
      <c r="I222">
        <v>425621</v>
      </c>
      <c r="J222" t="s">
        <v>3518</v>
      </c>
      <c r="K222" t="s">
        <v>77</v>
      </c>
      <c r="L222" t="s">
        <v>3519</v>
      </c>
      <c r="M222" t="s">
        <v>3520</v>
      </c>
      <c r="N222" t="s">
        <v>398</v>
      </c>
      <c r="O222">
        <v>3</v>
      </c>
      <c r="P222" t="s">
        <v>42</v>
      </c>
      <c r="Q222" t="s">
        <v>43</v>
      </c>
      <c r="R222" t="s">
        <v>3512</v>
      </c>
      <c r="S222" t="s">
        <v>3519</v>
      </c>
      <c r="T222" t="s">
        <v>42</v>
      </c>
      <c r="U222">
        <v>41</v>
      </c>
      <c r="V222">
        <v>272</v>
      </c>
      <c r="W222">
        <v>232</v>
      </c>
      <c r="X222" t="s">
        <v>1765</v>
      </c>
      <c r="Y222" t="s">
        <v>3513</v>
      </c>
      <c r="Z222" t="s">
        <v>1463</v>
      </c>
      <c r="AA222" t="s">
        <v>3514</v>
      </c>
      <c r="AB222" t="s">
        <v>3515</v>
      </c>
      <c r="AC222" t="s">
        <v>3516</v>
      </c>
      <c r="AD222" t="s">
        <v>183</v>
      </c>
      <c r="AE222">
        <v>5738</v>
      </c>
      <c r="AF222" t="s">
        <v>3517</v>
      </c>
      <c r="AG222" t="s">
        <v>185</v>
      </c>
      <c r="AH222">
        <v>4</v>
      </c>
    </row>
    <row r="223" spans="1:34" x14ac:dyDescent="0.75">
      <c r="A223" s="22" t="s">
        <v>6047</v>
      </c>
      <c r="B223" t="s">
        <v>3507</v>
      </c>
      <c r="C223" t="s">
        <v>34</v>
      </c>
      <c r="D223" t="s">
        <v>2352</v>
      </c>
      <c r="E223" t="s">
        <v>2353</v>
      </c>
      <c r="F223" t="s">
        <v>3508</v>
      </c>
      <c r="G223" s="1" t="str">
        <f>HYPERLINK("https://homd.org/jbrowse/?data=homd_V11.02_phage_1.2%2FGCA_018279805.1&amp;loc=GCA_018279805.1%7CCP042282.1%3A5085894..5092709&amp;tracks=prokka,prokka_ncrna,ncbi,ncbi_ncrna,panggolin,cenote,genomad&amp;highlight=","Open JBrowse")</f>
        <v>Open JBrowse</v>
      </c>
      <c r="H223">
        <v>5088894</v>
      </c>
      <c r="I223">
        <v>5089709</v>
      </c>
      <c r="J223" t="s">
        <v>3521</v>
      </c>
      <c r="K223" t="s">
        <v>996</v>
      </c>
      <c r="L223" t="s">
        <v>343</v>
      </c>
      <c r="M223" t="s">
        <v>1502</v>
      </c>
      <c r="N223" t="s">
        <v>42</v>
      </c>
      <c r="O223">
        <v>3</v>
      </c>
      <c r="P223" t="s">
        <v>42</v>
      </c>
      <c r="Q223" t="s">
        <v>101</v>
      </c>
      <c r="R223" t="s">
        <v>3512</v>
      </c>
      <c r="S223" t="s">
        <v>343</v>
      </c>
      <c r="T223" t="s">
        <v>42</v>
      </c>
      <c r="U223">
        <v>38</v>
      </c>
      <c r="V223">
        <v>270</v>
      </c>
      <c r="W223">
        <v>233</v>
      </c>
      <c r="X223" t="s">
        <v>999</v>
      </c>
      <c r="Y223" t="s">
        <v>3522</v>
      </c>
      <c r="Z223" t="s">
        <v>3523</v>
      </c>
      <c r="AA223" t="s">
        <v>3524</v>
      </c>
      <c r="AB223" t="s">
        <v>3525</v>
      </c>
      <c r="AC223" t="s">
        <v>1003</v>
      </c>
      <c r="AD223" t="s">
        <v>101</v>
      </c>
      <c r="AE223">
        <v>10343</v>
      </c>
      <c r="AF223" t="s">
        <v>3526</v>
      </c>
      <c r="AG223" t="s">
        <v>101</v>
      </c>
      <c r="AH223">
        <v>2</v>
      </c>
    </row>
    <row r="224" spans="1:34" x14ac:dyDescent="0.75">
      <c r="A224" s="22" t="s">
        <v>6047</v>
      </c>
      <c r="B224" t="s">
        <v>3507</v>
      </c>
      <c r="C224" t="s">
        <v>34</v>
      </c>
      <c r="D224" t="s">
        <v>2352</v>
      </c>
      <c r="E224" t="s">
        <v>2353</v>
      </c>
      <c r="F224" t="s">
        <v>3508</v>
      </c>
      <c r="G224" s="1" t="str">
        <f>HYPERLINK("https://homd.org/jbrowse/?data=homd_V11.02_phage_1.2%2FGCA_018279805.1&amp;loc=GCA_018279805.1%7CCP042282.1%3A741883..748722&amp;tracks=prokka,prokka_ncrna,ncbi,ncbi_ncrna,panggolin,cenote,genomad&amp;highlight=","Open JBrowse")</f>
        <v>Open JBrowse</v>
      </c>
      <c r="H224">
        <v>744883</v>
      </c>
      <c r="I224">
        <v>745722</v>
      </c>
      <c r="J224" t="s">
        <v>3527</v>
      </c>
      <c r="K224" t="s">
        <v>59</v>
      </c>
      <c r="L224" t="s">
        <v>59</v>
      </c>
      <c r="M224" t="s">
        <v>59</v>
      </c>
      <c r="N224" t="s">
        <v>42</v>
      </c>
      <c r="O224">
        <v>1</v>
      </c>
      <c r="P224" t="s">
        <v>59</v>
      </c>
      <c r="Q224" t="s">
        <v>59</v>
      </c>
      <c r="R224" t="s">
        <v>3512</v>
      </c>
      <c r="T224" t="s">
        <v>42</v>
      </c>
      <c r="X224" t="s">
        <v>59</v>
      </c>
    </row>
    <row r="225" spans="1:34" x14ac:dyDescent="0.75">
      <c r="A225" s="22" t="s">
        <v>6047</v>
      </c>
      <c r="B225" t="s">
        <v>3528</v>
      </c>
      <c r="C225" t="s">
        <v>34</v>
      </c>
      <c r="D225" t="s">
        <v>2352</v>
      </c>
      <c r="E225" t="s">
        <v>2353</v>
      </c>
      <c r="F225" t="s">
        <v>3529</v>
      </c>
      <c r="G225" s="1" t="str">
        <f>HYPERLINK("https://homd.org/jbrowse/?data=homd_V11.02_phage_1.2%2FGCA_018289035.1&amp;loc=GCA_018289035.1%7CCP072212.1%3A208386..215645&amp;tracks=prokka,prokka_ncrna,ncbi,ncbi_ncrna,panggolin,cenote,genomad&amp;highlight=","Open JBrowse")</f>
        <v>Open JBrowse</v>
      </c>
      <c r="H225">
        <v>211386</v>
      </c>
      <c r="I225">
        <v>212645</v>
      </c>
      <c r="J225" t="s">
        <v>3530</v>
      </c>
      <c r="K225" t="s">
        <v>59</v>
      </c>
      <c r="L225" t="s">
        <v>3531</v>
      </c>
      <c r="M225" t="s">
        <v>3532</v>
      </c>
      <c r="N225" t="s">
        <v>42</v>
      </c>
      <c r="O225">
        <v>3</v>
      </c>
      <c r="P225" t="s">
        <v>42</v>
      </c>
      <c r="Q225" t="s">
        <v>59</v>
      </c>
      <c r="R225" t="s">
        <v>3533</v>
      </c>
      <c r="S225" t="s">
        <v>3531</v>
      </c>
      <c r="T225" t="s">
        <v>42</v>
      </c>
      <c r="U225">
        <v>162</v>
      </c>
      <c r="V225">
        <v>416</v>
      </c>
      <c r="W225">
        <v>255</v>
      </c>
      <c r="X225" t="s">
        <v>3366</v>
      </c>
      <c r="Y225" t="s">
        <v>3534</v>
      </c>
      <c r="Z225" t="s">
        <v>1334</v>
      </c>
      <c r="AA225" t="s">
        <v>3535</v>
      </c>
      <c r="AB225" t="s">
        <v>3536</v>
      </c>
      <c r="AC225" t="s">
        <v>1489</v>
      </c>
      <c r="AD225" t="s">
        <v>638</v>
      </c>
      <c r="AE225">
        <v>361.4</v>
      </c>
      <c r="AF225" t="s">
        <v>386</v>
      </c>
    </row>
    <row r="226" spans="1:34" x14ac:dyDescent="0.75">
      <c r="A226" s="22" t="s">
        <v>6047</v>
      </c>
      <c r="B226" t="s">
        <v>3528</v>
      </c>
      <c r="C226" t="s">
        <v>34</v>
      </c>
      <c r="D226" t="s">
        <v>2352</v>
      </c>
      <c r="E226" t="s">
        <v>2353</v>
      </c>
      <c r="F226" t="s">
        <v>3529</v>
      </c>
      <c r="G226" s="1" t="str">
        <f>HYPERLINK("https://homd.org/jbrowse/?data=homd_V11.02_phage_1.2%2FGCA_018289035.1&amp;loc=GCA_018289035.1%7CCP072212.1%3A2433230..2440069&amp;tracks=prokka,prokka_ncrna,ncbi,ncbi_ncrna,panggolin,cenote,genomad&amp;highlight=","Open JBrowse")</f>
        <v>Open JBrowse</v>
      </c>
      <c r="H226">
        <v>2436230</v>
      </c>
      <c r="I226">
        <v>2437069</v>
      </c>
      <c r="J226" t="s">
        <v>3537</v>
      </c>
      <c r="K226" t="s">
        <v>59</v>
      </c>
      <c r="L226" t="s">
        <v>59</v>
      </c>
      <c r="M226" t="s">
        <v>59</v>
      </c>
      <c r="N226" t="s">
        <v>42</v>
      </c>
      <c r="O226">
        <v>1</v>
      </c>
      <c r="P226" t="s">
        <v>59</v>
      </c>
      <c r="Q226" t="s">
        <v>59</v>
      </c>
      <c r="R226" t="s">
        <v>3533</v>
      </c>
      <c r="T226" t="s">
        <v>42</v>
      </c>
      <c r="X226" t="s">
        <v>59</v>
      </c>
    </row>
    <row r="227" spans="1:34" x14ac:dyDescent="0.75">
      <c r="A227" s="22" t="s">
        <v>6047</v>
      </c>
      <c r="B227" t="s">
        <v>3528</v>
      </c>
      <c r="C227" t="s">
        <v>34</v>
      </c>
      <c r="D227" t="s">
        <v>2352</v>
      </c>
      <c r="E227" t="s">
        <v>2353</v>
      </c>
      <c r="F227" t="s">
        <v>3529</v>
      </c>
      <c r="G227" s="1" t="str">
        <f>HYPERLINK("https://homd.org/jbrowse/?data=homd_V11.02_phage_1.2%2FGCA_018289035.1&amp;loc=GCA_018289035.1%7CCP072212.1%3A4422656..4429471&amp;tracks=prokka,prokka_ncrna,ncbi,ncbi_ncrna,panggolin,cenote,genomad&amp;highlight=","Open JBrowse")</f>
        <v>Open JBrowse</v>
      </c>
      <c r="H227">
        <v>4425656</v>
      </c>
      <c r="I227">
        <v>4426471</v>
      </c>
      <c r="J227" t="s">
        <v>3538</v>
      </c>
      <c r="K227" t="s">
        <v>996</v>
      </c>
      <c r="L227" t="s">
        <v>343</v>
      </c>
      <c r="M227" t="s">
        <v>1502</v>
      </c>
      <c r="N227" t="s">
        <v>42</v>
      </c>
      <c r="O227">
        <v>3</v>
      </c>
      <c r="P227" t="s">
        <v>42</v>
      </c>
      <c r="Q227" t="s">
        <v>101</v>
      </c>
      <c r="R227" t="s">
        <v>3533</v>
      </c>
      <c r="S227" t="s">
        <v>343</v>
      </c>
      <c r="T227" t="s">
        <v>42</v>
      </c>
      <c r="U227">
        <v>38</v>
      </c>
      <c r="V227">
        <v>270</v>
      </c>
      <c r="W227">
        <v>233</v>
      </c>
      <c r="X227" t="s">
        <v>999</v>
      </c>
      <c r="Y227" t="s">
        <v>3539</v>
      </c>
      <c r="Z227" t="s">
        <v>3540</v>
      </c>
      <c r="AA227" t="s">
        <v>2359</v>
      </c>
      <c r="AB227" t="s">
        <v>3541</v>
      </c>
      <c r="AC227" t="s">
        <v>1003</v>
      </c>
      <c r="AD227" t="s">
        <v>101</v>
      </c>
      <c r="AE227">
        <v>8772</v>
      </c>
      <c r="AF227" t="s">
        <v>2361</v>
      </c>
      <c r="AG227" t="s">
        <v>101</v>
      </c>
      <c r="AH227">
        <v>2</v>
      </c>
    </row>
    <row r="228" spans="1:34" x14ac:dyDescent="0.75">
      <c r="A228" s="22" t="s">
        <v>6047</v>
      </c>
      <c r="B228" t="s">
        <v>3542</v>
      </c>
      <c r="C228" t="s">
        <v>34</v>
      </c>
      <c r="D228" t="s">
        <v>2352</v>
      </c>
      <c r="E228" t="s">
        <v>2353</v>
      </c>
      <c r="F228" t="s">
        <v>3543</v>
      </c>
      <c r="G228" s="1" t="str">
        <f>HYPERLINK("https://homd.org/jbrowse/?data=homd_V11.02_phage_1.2%2FGCA_018289135.1&amp;loc=GCA_018289135.1%7CCP072216.1%3A2404067..2410906&amp;tracks=prokka,prokka_ncrna,ncbi,ncbi_ncrna,panggolin,cenote,genomad&amp;highlight=","Open JBrowse")</f>
        <v>Open JBrowse</v>
      </c>
      <c r="H228">
        <v>2407067</v>
      </c>
      <c r="I228">
        <v>2407906</v>
      </c>
      <c r="J228" t="s">
        <v>3544</v>
      </c>
      <c r="K228" t="s">
        <v>59</v>
      </c>
      <c r="L228" t="s">
        <v>59</v>
      </c>
      <c r="M228" t="s">
        <v>59</v>
      </c>
      <c r="N228" t="s">
        <v>42</v>
      </c>
      <c r="O228">
        <v>1</v>
      </c>
      <c r="P228" t="s">
        <v>59</v>
      </c>
      <c r="Q228" t="s">
        <v>59</v>
      </c>
      <c r="R228" t="s">
        <v>3545</v>
      </c>
      <c r="T228" t="s">
        <v>42</v>
      </c>
      <c r="X228" t="s">
        <v>59</v>
      </c>
    </row>
    <row r="229" spans="1:34" x14ac:dyDescent="0.75">
      <c r="A229" s="22" t="s">
        <v>6047</v>
      </c>
      <c r="B229" t="s">
        <v>3542</v>
      </c>
      <c r="C229" t="s">
        <v>34</v>
      </c>
      <c r="D229" t="s">
        <v>2352</v>
      </c>
      <c r="E229" t="s">
        <v>2353</v>
      </c>
      <c r="F229" t="s">
        <v>3543</v>
      </c>
      <c r="G229" s="1" t="str">
        <f>HYPERLINK("https://homd.org/jbrowse/?data=homd_V11.02_phage_1.2%2FGCA_018289135.1&amp;loc=GCA_018289135.1%7CCP072216.1%3A4106461..4113747&amp;tracks=prokka,prokka_ncrna,ncbi,ncbi_ncrna,panggolin,cenote,genomad&amp;highlight=","Open JBrowse")</f>
        <v>Open JBrowse</v>
      </c>
      <c r="H229">
        <v>4109461</v>
      </c>
      <c r="I229">
        <v>4110747</v>
      </c>
      <c r="J229" t="s">
        <v>3546</v>
      </c>
      <c r="K229" t="s">
        <v>627</v>
      </c>
      <c r="L229" t="s">
        <v>3547</v>
      </c>
      <c r="M229" t="s">
        <v>3548</v>
      </c>
      <c r="N229" t="s">
        <v>398</v>
      </c>
      <c r="O229">
        <v>3</v>
      </c>
      <c r="P229" t="s">
        <v>3549</v>
      </c>
      <c r="Q229" t="s">
        <v>59</v>
      </c>
      <c r="R229" t="s">
        <v>3545</v>
      </c>
      <c r="S229" t="s">
        <v>3547</v>
      </c>
      <c r="T229" t="s">
        <v>42</v>
      </c>
      <c r="U229">
        <v>48</v>
      </c>
      <c r="V229">
        <v>163</v>
      </c>
      <c r="W229">
        <v>116</v>
      </c>
      <c r="X229" t="s">
        <v>258</v>
      </c>
      <c r="Y229" t="s">
        <v>3550</v>
      </c>
      <c r="Z229" t="s">
        <v>3551</v>
      </c>
      <c r="AA229" t="s">
        <v>3552</v>
      </c>
      <c r="AB229" t="s">
        <v>3553</v>
      </c>
      <c r="AC229" t="s">
        <v>3554</v>
      </c>
      <c r="AD229" t="s">
        <v>2129</v>
      </c>
      <c r="AE229">
        <v>1170</v>
      </c>
      <c r="AF229" t="s">
        <v>165</v>
      </c>
    </row>
    <row r="230" spans="1:34" x14ac:dyDescent="0.75">
      <c r="A230" s="22" t="s">
        <v>6047</v>
      </c>
      <c r="B230" t="s">
        <v>3542</v>
      </c>
      <c r="C230" t="s">
        <v>34</v>
      </c>
      <c r="D230" t="s">
        <v>2352</v>
      </c>
      <c r="E230" t="s">
        <v>2353</v>
      </c>
      <c r="F230" t="s">
        <v>3543</v>
      </c>
      <c r="G230" s="1" t="str">
        <f>HYPERLINK("https://homd.org/jbrowse/?data=homd_V11.02_phage_1.2%2FGCA_018289135.1&amp;loc=GCA_018289135.1%7CCP072216.1%3A4413204..4420019&amp;tracks=prokka,prokka_ncrna,ncbi,ncbi_ncrna,panggolin,cenote,genomad&amp;highlight=","Open JBrowse")</f>
        <v>Open JBrowse</v>
      </c>
      <c r="H230">
        <v>4416204</v>
      </c>
      <c r="I230">
        <v>4417019</v>
      </c>
      <c r="J230" t="s">
        <v>3555</v>
      </c>
      <c r="K230" t="s">
        <v>996</v>
      </c>
      <c r="L230" t="s">
        <v>343</v>
      </c>
      <c r="M230" t="s">
        <v>1502</v>
      </c>
      <c r="N230" t="s">
        <v>42</v>
      </c>
      <c r="O230">
        <v>3</v>
      </c>
      <c r="P230" t="s">
        <v>42</v>
      </c>
      <c r="Q230" t="s">
        <v>101</v>
      </c>
      <c r="R230" t="s">
        <v>3545</v>
      </c>
      <c r="S230" t="s">
        <v>343</v>
      </c>
      <c r="T230" t="s">
        <v>42</v>
      </c>
      <c r="U230">
        <v>38</v>
      </c>
      <c r="V230">
        <v>270</v>
      </c>
      <c r="W230">
        <v>233</v>
      </c>
      <c r="X230" t="s">
        <v>999</v>
      </c>
      <c r="Y230" t="s">
        <v>3556</v>
      </c>
      <c r="Z230" t="s">
        <v>2041</v>
      </c>
      <c r="AA230" t="s">
        <v>3557</v>
      </c>
      <c r="AB230" t="s">
        <v>3558</v>
      </c>
      <c r="AC230" t="s">
        <v>1139</v>
      </c>
      <c r="AD230" t="s">
        <v>101</v>
      </c>
      <c r="AE230">
        <v>10362</v>
      </c>
      <c r="AF230" t="s">
        <v>2588</v>
      </c>
      <c r="AG230" t="s">
        <v>2589</v>
      </c>
      <c r="AH230">
        <v>2</v>
      </c>
    </row>
    <row r="231" spans="1:34" x14ac:dyDescent="0.75">
      <c r="A231" s="22" t="s">
        <v>6047</v>
      </c>
      <c r="B231" t="s">
        <v>3559</v>
      </c>
      <c r="C231" t="s">
        <v>34</v>
      </c>
      <c r="D231" t="s">
        <v>2146</v>
      </c>
      <c r="E231" t="s">
        <v>2147</v>
      </c>
      <c r="F231" t="s">
        <v>3560</v>
      </c>
      <c r="G231" s="1" t="str">
        <f>HYPERLINK("https://homd.org/jbrowse/?data=homd_V11.02_phage_1.2%2FGCA_018289315.1&amp;loc=GCA_018289315.1%7CCP072229.1%3A2466167..2472955&amp;tracks=prokka,prokka_ncrna,ncbi,ncbi_ncrna,panggolin,cenote,genomad&amp;highlight=","Open JBrowse")</f>
        <v>Open JBrowse</v>
      </c>
      <c r="H231">
        <v>2469167</v>
      </c>
      <c r="I231">
        <v>2469955</v>
      </c>
      <c r="J231" t="s">
        <v>3561</v>
      </c>
      <c r="K231" t="s">
        <v>59</v>
      </c>
      <c r="L231" t="s">
        <v>2150</v>
      </c>
      <c r="M231" t="s">
        <v>2151</v>
      </c>
      <c r="N231" t="s">
        <v>42</v>
      </c>
      <c r="O231">
        <v>3</v>
      </c>
      <c r="P231" t="s">
        <v>42</v>
      </c>
      <c r="Q231" t="s">
        <v>59</v>
      </c>
      <c r="R231" t="s">
        <v>3562</v>
      </c>
      <c r="S231" t="s">
        <v>2150</v>
      </c>
      <c r="T231" t="s">
        <v>42</v>
      </c>
      <c r="U231">
        <v>31</v>
      </c>
      <c r="V231">
        <v>258</v>
      </c>
      <c r="W231">
        <v>228</v>
      </c>
      <c r="X231" t="s">
        <v>1251</v>
      </c>
      <c r="Y231" t="s">
        <v>3563</v>
      </c>
      <c r="Z231" t="s">
        <v>2110</v>
      </c>
      <c r="AA231" t="s">
        <v>3564</v>
      </c>
      <c r="AB231" t="s">
        <v>3565</v>
      </c>
      <c r="AC231" t="s">
        <v>2156</v>
      </c>
      <c r="AD231" t="s">
        <v>1981</v>
      </c>
      <c r="AE231">
        <v>1722</v>
      </c>
      <c r="AF231" t="s">
        <v>795</v>
      </c>
    </row>
    <row r="232" spans="1:34" x14ac:dyDescent="0.75">
      <c r="A232" s="22" t="s">
        <v>6047</v>
      </c>
      <c r="B232" t="s">
        <v>3566</v>
      </c>
      <c r="C232" t="s">
        <v>34</v>
      </c>
      <c r="D232" t="s">
        <v>35</v>
      </c>
      <c r="E232" t="s">
        <v>36</v>
      </c>
      <c r="F232" t="s">
        <v>3567</v>
      </c>
      <c r="G232" s="1" t="str">
        <f>HYPERLINK("https://homd.org/jbrowse/?data=homd_V11.02_phage_1.2%2FGCA_018289355.1&amp;loc=GCA_018289355.1%7CCP072234.1%3A1231094..1237885&amp;tracks=prokka,prokka_ncrna,ncbi,ncbi_ncrna,panggolin,cenote,genomad&amp;highlight=","Open JBrowse")</f>
        <v>Open JBrowse</v>
      </c>
      <c r="H232">
        <v>1234094</v>
      </c>
      <c r="I232">
        <v>1234885</v>
      </c>
      <c r="J232" t="s">
        <v>3568</v>
      </c>
      <c r="K232" t="s">
        <v>39</v>
      </c>
      <c r="L232" t="s">
        <v>40</v>
      </c>
      <c r="M232" t="s">
        <v>41</v>
      </c>
      <c r="N232" t="s">
        <v>42</v>
      </c>
      <c r="O232">
        <v>3</v>
      </c>
      <c r="P232" t="s">
        <v>42</v>
      </c>
      <c r="Q232" t="s">
        <v>43</v>
      </c>
      <c r="R232" t="s">
        <v>3569</v>
      </c>
      <c r="S232" t="s">
        <v>40</v>
      </c>
      <c r="T232" t="s">
        <v>42</v>
      </c>
      <c r="U232">
        <v>34</v>
      </c>
      <c r="V232">
        <v>260</v>
      </c>
      <c r="W232">
        <v>227</v>
      </c>
      <c r="X232" t="s">
        <v>45</v>
      </c>
      <c r="Y232" t="s">
        <v>3570</v>
      </c>
      <c r="Z232" t="s">
        <v>97</v>
      </c>
      <c r="AA232" t="s">
        <v>3190</v>
      </c>
      <c r="AB232" t="s">
        <v>3571</v>
      </c>
      <c r="AC232" t="s">
        <v>50</v>
      </c>
      <c r="AD232" t="s">
        <v>51</v>
      </c>
      <c r="AE232">
        <v>6782</v>
      </c>
      <c r="AF232" t="s">
        <v>3192</v>
      </c>
      <c r="AG232" t="s">
        <v>53</v>
      </c>
      <c r="AH232">
        <v>2</v>
      </c>
    </row>
    <row r="233" spans="1:34" x14ac:dyDescent="0.75">
      <c r="A233" s="22" t="s">
        <v>6047</v>
      </c>
      <c r="B233" t="s">
        <v>3572</v>
      </c>
      <c r="C233" t="s">
        <v>34</v>
      </c>
      <c r="D233" t="s">
        <v>1454</v>
      </c>
      <c r="E233" t="s">
        <v>1455</v>
      </c>
      <c r="F233" t="s">
        <v>3573</v>
      </c>
      <c r="G233" s="1" t="str">
        <f>HYPERLINK("https://homd.org/jbrowse/?data=homd_V11.02_phage_1.2%2FGCA_018291825.1&amp;loc=GCA_018291825.1%7CCP072242.1%3A222779..230674&amp;tracks=prokka,prokka_ncrna,ncbi,ncbi_ncrna,panggolin,cenote,genomad&amp;highlight=","Open JBrowse")</f>
        <v>Open JBrowse</v>
      </c>
      <c r="H233">
        <v>225779</v>
      </c>
      <c r="I233">
        <v>227674</v>
      </c>
      <c r="J233" t="s">
        <v>3574</v>
      </c>
      <c r="K233" t="s">
        <v>627</v>
      </c>
      <c r="L233" t="s">
        <v>1479</v>
      </c>
      <c r="M233" t="s">
        <v>1480</v>
      </c>
      <c r="N233" t="s">
        <v>1481</v>
      </c>
      <c r="O233">
        <v>3</v>
      </c>
      <c r="P233" t="s">
        <v>1482</v>
      </c>
      <c r="Q233" t="s">
        <v>59</v>
      </c>
      <c r="R233" t="s">
        <v>3575</v>
      </c>
      <c r="S233" t="s">
        <v>1483</v>
      </c>
      <c r="T233" t="s">
        <v>42</v>
      </c>
      <c r="U233">
        <v>29</v>
      </c>
      <c r="V233">
        <v>280</v>
      </c>
      <c r="W233">
        <v>252</v>
      </c>
      <c r="X233" t="s">
        <v>1484</v>
      </c>
      <c r="Y233" t="s">
        <v>3576</v>
      </c>
      <c r="Z233" t="s">
        <v>1334</v>
      </c>
      <c r="AA233" t="s">
        <v>3577</v>
      </c>
      <c r="AB233" t="s">
        <v>3578</v>
      </c>
      <c r="AC233" t="s">
        <v>1489</v>
      </c>
      <c r="AD233" t="s">
        <v>638</v>
      </c>
      <c r="AE233">
        <v>14853</v>
      </c>
      <c r="AF233" t="s">
        <v>3579</v>
      </c>
      <c r="AG233" t="s">
        <v>51</v>
      </c>
      <c r="AH233">
        <v>6</v>
      </c>
    </row>
    <row r="234" spans="1:34" x14ac:dyDescent="0.75">
      <c r="A234" s="22" t="s">
        <v>6047</v>
      </c>
      <c r="B234" t="s">
        <v>3572</v>
      </c>
      <c r="C234" t="s">
        <v>34</v>
      </c>
      <c r="D234" t="s">
        <v>1454</v>
      </c>
      <c r="E234" t="s">
        <v>1455</v>
      </c>
      <c r="F234" t="s">
        <v>3573</v>
      </c>
      <c r="G234" s="1" t="str">
        <f>HYPERLINK("https://homd.org/jbrowse/?data=homd_V11.02_phage_1.2%2FGCA_018291825.1&amp;loc=GCA_018291825.1%7CCP072242.1%3A3329349..3336191&amp;tracks=prokka,prokka_ncrna,ncbi,ncbi_ncrna,panggolin,cenote,genomad&amp;highlight=","Open JBrowse")</f>
        <v>Open JBrowse</v>
      </c>
      <c r="H234">
        <v>3332349</v>
      </c>
      <c r="I234">
        <v>3333191</v>
      </c>
      <c r="J234" t="s">
        <v>3580</v>
      </c>
      <c r="K234" t="s">
        <v>59</v>
      </c>
      <c r="L234" t="s">
        <v>59</v>
      </c>
      <c r="M234" t="s">
        <v>59</v>
      </c>
      <c r="N234" t="s">
        <v>42</v>
      </c>
      <c r="O234">
        <v>1</v>
      </c>
      <c r="P234" t="s">
        <v>59</v>
      </c>
      <c r="Q234" t="s">
        <v>59</v>
      </c>
      <c r="R234" t="s">
        <v>3575</v>
      </c>
      <c r="T234" t="s">
        <v>42</v>
      </c>
      <c r="X234" t="s">
        <v>59</v>
      </c>
    </row>
    <row r="235" spans="1:34" x14ac:dyDescent="0.75">
      <c r="A235" s="22" t="s">
        <v>6047</v>
      </c>
      <c r="B235" t="s">
        <v>3572</v>
      </c>
      <c r="C235" t="s">
        <v>34</v>
      </c>
      <c r="D235" t="s">
        <v>1454</v>
      </c>
      <c r="E235" t="s">
        <v>1455</v>
      </c>
      <c r="F235" t="s">
        <v>3573</v>
      </c>
      <c r="G235" s="1" t="str">
        <f>HYPERLINK("https://homd.org/jbrowse/?data=homd_V11.02_phage_1.2%2FGCA_018291825.1&amp;loc=GCA_018291825.1%7CCP072242.1%3A4646380..4653186&amp;tracks=prokka,prokka_ncrna,ncbi,ncbi_ncrna,panggolin,cenote,genomad&amp;highlight=","Open JBrowse")</f>
        <v>Open JBrowse</v>
      </c>
      <c r="H235">
        <v>4649380</v>
      </c>
      <c r="I235">
        <v>4650186</v>
      </c>
      <c r="J235" t="s">
        <v>3581</v>
      </c>
      <c r="K235" t="s">
        <v>39</v>
      </c>
      <c r="L235" t="s">
        <v>1476</v>
      </c>
      <c r="M235" t="s">
        <v>1477</v>
      </c>
      <c r="N235" t="s">
        <v>42</v>
      </c>
      <c r="O235">
        <v>3</v>
      </c>
      <c r="P235" t="s">
        <v>42</v>
      </c>
      <c r="Q235" t="s">
        <v>43</v>
      </c>
      <c r="R235" t="s">
        <v>3575</v>
      </c>
      <c r="S235" t="s">
        <v>1476</v>
      </c>
      <c r="T235" t="s">
        <v>42</v>
      </c>
      <c r="U235">
        <v>36</v>
      </c>
      <c r="V235">
        <v>262</v>
      </c>
      <c r="W235">
        <v>227</v>
      </c>
      <c r="X235" t="s">
        <v>45</v>
      </c>
    </row>
    <row r="236" spans="1:34" x14ac:dyDescent="0.75">
      <c r="A236" s="22" t="s">
        <v>6047</v>
      </c>
      <c r="B236" t="s">
        <v>3572</v>
      </c>
      <c r="C236" t="s">
        <v>34</v>
      </c>
      <c r="D236" t="s">
        <v>1454</v>
      </c>
      <c r="E236" t="s">
        <v>1455</v>
      </c>
      <c r="F236" t="s">
        <v>3573</v>
      </c>
      <c r="G236" s="1" t="str">
        <f>HYPERLINK("https://homd.org/jbrowse/?data=homd_V11.02_phage_1.2%2FGCA_018291825.1&amp;loc=GCA_018291825.1%7CCP072242.1%3A4909906..4917024&amp;tracks=prokka,prokka_ncrna,ncbi,ncbi_ncrna,panggolin,cenote,genomad&amp;highlight=","Open JBrowse")</f>
        <v>Open JBrowse</v>
      </c>
      <c r="H236">
        <v>4912906</v>
      </c>
      <c r="I236">
        <v>4914024</v>
      </c>
      <c r="J236" t="s">
        <v>3582</v>
      </c>
      <c r="K236" t="s">
        <v>39</v>
      </c>
      <c r="L236" t="s">
        <v>1460</v>
      </c>
      <c r="M236" t="s">
        <v>1461</v>
      </c>
      <c r="N236" t="s">
        <v>42</v>
      </c>
      <c r="O236">
        <v>3</v>
      </c>
      <c r="P236" t="s">
        <v>42</v>
      </c>
      <c r="Q236" t="s">
        <v>43</v>
      </c>
      <c r="R236" t="s">
        <v>3575</v>
      </c>
      <c r="S236" t="s">
        <v>1460</v>
      </c>
      <c r="T236" t="s">
        <v>42</v>
      </c>
      <c r="U236">
        <v>138</v>
      </c>
      <c r="V236">
        <v>367</v>
      </c>
      <c r="W236">
        <v>230</v>
      </c>
      <c r="X236" t="s">
        <v>971</v>
      </c>
      <c r="Y236" t="s">
        <v>3583</v>
      </c>
      <c r="Z236" t="s">
        <v>3584</v>
      </c>
      <c r="AA236" t="s">
        <v>2850</v>
      </c>
      <c r="AB236" t="s">
        <v>3585</v>
      </c>
      <c r="AC236" t="s">
        <v>984</v>
      </c>
      <c r="AD236" t="s">
        <v>985</v>
      </c>
      <c r="AE236">
        <v>4056</v>
      </c>
      <c r="AF236" t="s">
        <v>2852</v>
      </c>
    </row>
    <row r="237" spans="1:34" x14ac:dyDescent="0.75">
      <c r="A237" s="22" t="s">
        <v>6047</v>
      </c>
      <c r="B237" t="s">
        <v>3586</v>
      </c>
      <c r="C237" t="s">
        <v>34</v>
      </c>
      <c r="D237" t="s">
        <v>55</v>
      </c>
      <c r="E237" t="s">
        <v>56</v>
      </c>
      <c r="F237" t="s">
        <v>3587</v>
      </c>
      <c r="G237" s="1" t="str">
        <f>HYPERLINK("https://homd.org/jbrowse/?data=homd_V11.02_phage_1.2%2FGCA_018292145.1&amp;loc=GCA_018292145.1%7CCP072254.1%3A4677277..4684107&amp;tracks=prokka,prokka_ncrna,ncbi,ncbi_ncrna,panggolin,cenote,genomad&amp;highlight=","Open JBrowse")</f>
        <v>Open JBrowse</v>
      </c>
      <c r="H237">
        <v>4680277</v>
      </c>
      <c r="I237">
        <v>4681107</v>
      </c>
      <c r="J237" t="s">
        <v>3588</v>
      </c>
      <c r="K237" t="s">
        <v>59</v>
      </c>
      <c r="L237" t="s">
        <v>60</v>
      </c>
      <c r="M237" t="s">
        <v>61</v>
      </c>
      <c r="N237" t="s">
        <v>42</v>
      </c>
      <c r="O237">
        <v>3</v>
      </c>
      <c r="P237" t="s">
        <v>42</v>
      </c>
      <c r="Q237" t="s">
        <v>59</v>
      </c>
      <c r="R237" t="s">
        <v>3589</v>
      </c>
      <c r="S237" t="s">
        <v>60</v>
      </c>
      <c r="T237" t="s">
        <v>42</v>
      </c>
      <c r="U237">
        <v>41</v>
      </c>
      <c r="V237">
        <v>274</v>
      </c>
      <c r="W237">
        <v>234</v>
      </c>
      <c r="X237" t="s">
        <v>63</v>
      </c>
      <c r="Y237" t="s">
        <v>3590</v>
      </c>
      <c r="Z237" t="s">
        <v>1220</v>
      </c>
      <c r="AA237" t="s">
        <v>3591</v>
      </c>
      <c r="AB237" t="s">
        <v>3592</v>
      </c>
      <c r="AC237" t="s">
        <v>68</v>
      </c>
      <c r="AD237" t="s">
        <v>69</v>
      </c>
      <c r="AE237">
        <v>3078</v>
      </c>
      <c r="AF237" t="s">
        <v>3593</v>
      </c>
      <c r="AG237" t="s">
        <v>3266</v>
      </c>
      <c r="AH237">
        <v>2</v>
      </c>
    </row>
    <row r="238" spans="1:34" x14ac:dyDescent="0.75">
      <c r="A238" s="22" t="s">
        <v>6047</v>
      </c>
      <c r="B238" t="s">
        <v>3594</v>
      </c>
      <c r="C238" t="s">
        <v>34</v>
      </c>
      <c r="D238" t="s">
        <v>2238</v>
      </c>
      <c r="E238" t="s">
        <v>2239</v>
      </c>
      <c r="F238" t="s">
        <v>3595</v>
      </c>
      <c r="G238" s="1" t="str">
        <f>HYPERLINK("https://homd.org/jbrowse/?data=homd_V11.02_phage_1.2%2FGCA_018292165.1&amp;loc=GCA_018292165.1%7CCP072255.1%3A747499..754932&amp;tracks=prokka,prokka_ncrna,ncbi,ncbi_ncrna,panggolin,cenote,genomad&amp;highlight=","Open JBrowse")</f>
        <v>Open JBrowse</v>
      </c>
      <c r="H238">
        <v>750499</v>
      </c>
      <c r="I238">
        <v>751932</v>
      </c>
      <c r="J238" t="s">
        <v>3596</v>
      </c>
      <c r="K238" t="s">
        <v>109</v>
      </c>
      <c r="L238" t="s">
        <v>3107</v>
      </c>
      <c r="M238" t="s">
        <v>3108</v>
      </c>
      <c r="N238" t="s">
        <v>42</v>
      </c>
      <c r="O238">
        <v>3</v>
      </c>
      <c r="P238" t="s">
        <v>42</v>
      </c>
      <c r="Q238" t="s">
        <v>101</v>
      </c>
      <c r="R238" t="s">
        <v>3597</v>
      </c>
      <c r="S238" t="s">
        <v>3107</v>
      </c>
      <c r="T238" t="s">
        <v>42</v>
      </c>
      <c r="U238">
        <v>239</v>
      </c>
      <c r="V238">
        <v>474</v>
      </c>
      <c r="W238">
        <v>236</v>
      </c>
      <c r="X238" t="s">
        <v>248</v>
      </c>
      <c r="Y238" t="s">
        <v>3598</v>
      </c>
      <c r="Z238" t="s">
        <v>1327</v>
      </c>
      <c r="AA238" t="s">
        <v>3599</v>
      </c>
      <c r="AB238" t="s">
        <v>3600</v>
      </c>
      <c r="AC238" t="s">
        <v>2257</v>
      </c>
      <c r="AD238" t="s">
        <v>51</v>
      </c>
      <c r="AE238">
        <v>13095</v>
      </c>
      <c r="AF238" t="s">
        <v>3601</v>
      </c>
      <c r="AG238" t="s">
        <v>101</v>
      </c>
      <c r="AH238">
        <v>2</v>
      </c>
    </row>
    <row r="239" spans="1:34" x14ac:dyDescent="0.75">
      <c r="A239" s="22" t="s">
        <v>6047</v>
      </c>
      <c r="B239" t="s">
        <v>3594</v>
      </c>
      <c r="C239" t="s">
        <v>34</v>
      </c>
      <c r="D239" t="s">
        <v>2238</v>
      </c>
      <c r="E239" t="s">
        <v>2239</v>
      </c>
      <c r="F239" t="s">
        <v>3595</v>
      </c>
      <c r="G239" s="1" t="str">
        <f>HYPERLINK("https://homd.org/jbrowse/?data=homd_V11.02_phage_1.2%2FGCA_018292165.1&amp;loc=GCA_018292165.1%7CCP072255.1%3A817245..824087&amp;tracks=prokka,prokka_ncrna,ncbi,ncbi_ncrna,panggolin,cenote,genomad&amp;highlight=","Open JBrowse")</f>
        <v>Open JBrowse</v>
      </c>
      <c r="H239">
        <v>820245</v>
      </c>
      <c r="I239">
        <v>821087</v>
      </c>
      <c r="J239" t="s">
        <v>3602</v>
      </c>
      <c r="K239" t="s">
        <v>59</v>
      </c>
      <c r="L239" t="s">
        <v>59</v>
      </c>
      <c r="M239" t="s">
        <v>59</v>
      </c>
      <c r="N239" t="s">
        <v>42</v>
      </c>
      <c r="O239">
        <v>1</v>
      </c>
      <c r="P239" t="s">
        <v>59</v>
      </c>
      <c r="Q239" t="s">
        <v>59</v>
      </c>
      <c r="R239" t="s">
        <v>3597</v>
      </c>
      <c r="T239" t="s">
        <v>42</v>
      </c>
      <c r="X239" t="s">
        <v>59</v>
      </c>
    </row>
    <row r="240" spans="1:34" x14ac:dyDescent="0.75">
      <c r="A240" s="22" t="s">
        <v>6047</v>
      </c>
      <c r="B240" t="s">
        <v>3660</v>
      </c>
      <c r="C240" t="s">
        <v>34</v>
      </c>
      <c r="D240" t="s">
        <v>2352</v>
      </c>
      <c r="E240" t="s">
        <v>2353</v>
      </c>
      <c r="F240" t="s">
        <v>3661</v>
      </c>
      <c r="G240" s="1" t="str">
        <f>HYPERLINK("https://homd.org/jbrowse/?data=homd_V11.02_phage_1.2%2FGCA_018492835.1&amp;loc=GCA_018492835.1%7CJAGHEF010000002.1%3A1825551..1832390&amp;tracks=prokka,prokka_ncrna,ncbi,ncbi_ncrna,panggolin,cenote,genomad&amp;highlight=","Open JBrowse")</f>
        <v>Open JBrowse</v>
      </c>
      <c r="H240">
        <v>1828551</v>
      </c>
      <c r="I240">
        <v>1829390</v>
      </c>
      <c r="J240" t="s">
        <v>3662</v>
      </c>
      <c r="K240" t="s">
        <v>59</v>
      </c>
      <c r="L240" t="s">
        <v>59</v>
      </c>
      <c r="M240" t="s">
        <v>59</v>
      </c>
      <c r="N240" t="s">
        <v>42</v>
      </c>
      <c r="O240">
        <v>1</v>
      </c>
      <c r="P240" t="s">
        <v>59</v>
      </c>
      <c r="Q240" t="s">
        <v>59</v>
      </c>
      <c r="R240" t="s">
        <v>3663</v>
      </c>
      <c r="T240" t="s">
        <v>42</v>
      </c>
      <c r="X240" t="s">
        <v>59</v>
      </c>
    </row>
    <row r="241" spans="1:34" x14ac:dyDescent="0.75">
      <c r="A241" s="22" t="s">
        <v>6047</v>
      </c>
      <c r="B241" t="s">
        <v>3660</v>
      </c>
      <c r="C241" t="s">
        <v>34</v>
      </c>
      <c r="D241" t="s">
        <v>2352</v>
      </c>
      <c r="E241" t="s">
        <v>2353</v>
      </c>
      <c r="F241" t="s">
        <v>3664</v>
      </c>
      <c r="G241" s="1" t="str">
        <f>HYPERLINK("https://homd.org/jbrowse/?data=homd_V11.02_phage_1.2%2FGCA_018492835.1&amp;loc=GCA_018492835.1%7CJAGHEF010000003.1%3A1163291..1170106&amp;tracks=prokka,prokka_ncrna,ncbi,ncbi_ncrna,panggolin,cenote,genomad&amp;highlight=","Open JBrowse")</f>
        <v>Open JBrowse</v>
      </c>
      <c r="H241">
        <v>1166291</v>
      </c>
      <c r="I241">
        <v>1167106</v>
      </c>
      <c r="J241" t="s">
        <v>3665</v>
      </c>
      <c r="K241" t="s">
        <v>996</v>
      </c>
      <c r="L241" t="s">
        <v>3666</v>
      </c>
      <c r="M241" t="s">
        <v>1502</v>
      </c>
      <c r="N241" t="s">
        <v>42</v>
      </c>
      <c r="O241">
        <v>3</v>
      </c>
      <c r="P241" t="s">
        <v>42</v>
      </c>
      <c r="Q241" t="s">
        <v>101</v>
      </c>
      <c r="R241" t="s">
        <v>3663</v>
      </c>
      <c r="S241" t="s">
        <v>3666</v>
      </c>
      <c r="T241" t="s">
        <v>42</v>
      </c>
      <c r="U241">
        <v>38</v>
      </c>
      <c r="V241">
        <v>269</v>
      </c>
      <c r="W241">
        <v>232</v>
      </c>
      <c r="X241" t="s">
        <v>999</v>
      </c>
      <c r="Y241" t="s">
        <v>3667</v>
      </c>
      <c r="Z241" t="s">
        <v>3668</v>
      </c>
      <c r="AA241" t="s">
        <v>3669</v>
      </c>
      <c r="AB241" t="s">
        <v>3670</v>
      </c>
      <c r="AC241" t="s">
        <v>1139</v>
      </c>
      <c r="AD241" t="s">
        <v>101</v>
      </c>
      <c r="AE241">
        <v>10354</v>
      </c>
      <c r="AF241" t="s">
        <v>1506</v>
      </c>
      <c r="AG241" t="s">
        <v>3671</v>
      </c>
      <c r="AH241">
        <v>2</v>
      </c>
    </row>
    <row r="242" spans="1:34" x14ac:dyDescent="0.75">
      <c r="A242" s="22" t="s">
        <v>6047</v>
      </c>
      <c r="B242" t="s">
        <v>3672</v>
      </c>
      <c r="C242" t="s">
        <v>34</v>
      </c>
      <c r="D242" t="s">
        <v>73</v>
      </c>
      <c r="E242" t="s">
        <v>74</v>
      </c>
      <c r="F242" t="s">
        <v>3673</v>
      </c>
      <c r="G242" s="1" t="str">
        <f>HYPERLINK("https://homd.org/jbrowse/?data=homd_V11.02_phage_1.2%2FGCA_018847595.1&amp;loc=GCA_018847595.1%7CCP072046.1%3A1187084..1193956&amp;tracks=prokka,prokka_ncrna,ncbi,ncbi_ncrna,panggolin,cenote,genomad&amp;highlight=","Open JBrowse")</f>
        <v>Open JBrowse</v>
      </c>
      <c r="H242">
        <v>1190084</v>
      </c>
      <c r="I242">
        <v>1190956</v>
      </c>
      <c r="J242" t="s">
        <v>3674</v>
      </c>
      <c r="K242" t="s">
        <v>77</v>
      </c>
      <c r="L242" t="s">
        <v>2617</v>
      </c>
      <c r="M242" t="s">
        <v>2618</v>
      </c>
      <c r="N242" t="s">
        <v>42</v>
      </c>
      <c r="O242">
        <v>3</v>
      </c>
      <c r="P242" t="s">
        <v>42</v>
      </c>
      <c r="Q242" t="s">
        <v>43</v>
      </c>
      <c r="R242" t="s">
        <v>3675</v>
      </c>
      <c r="S242" t="s">
        <v>2617</v>
      </c>
      <c r="T242" t="s">
        <v>42</v>
      </c>
      <c r="U242">
        <v>22</v>
      </c>
      <c r="V242">
        <v>268</v>
      </c>
      <c r="W242">
        <v>247</v>
      </c>
      <c r="X242" t="s">
        <v>88</v>
      </c>
      <c r="Y242" t="s">
        <v>3676</v>
      </c>
      <c r="Z242" t="s">
        <v>118</v>
      </c>
      <c r="AA242" t="s">
        <v>91</v>
      </c>
    </row>
    <row r="243" spans="1:34" x14ac:dyDescent="0.75">
      <c r="A243" s="22" t="s">
        <v>6047</v>
      </c>
      <c r="B243" t="s">
        <v>3672</v>
      </c>
      <c r="C243" t="s">
        <v>34</v>
      </c>
      <c r="D243" t="s">
        <v>73</v>
      </c>
      <c r="E243" t="s">
        <v>74</v>
      </c>
      <c r="F243" t="s">
        <v>3673</v>
      </c>
      <c r="G243" s="1" t="str">
        <f>HYPERLINK("https://homd.org/jbrowse/?data=homd_V11.02_phage_1.2%2FGCA_018847595.1&amp;loc=GCA_018847595.1%7CCP072046.1%3A2691892..2698785&amp;tracks=prokka,prokka_ncrna,ncbi,ncbi_ncrna,panggolin,cenote,genomad&amp;highlight=","Open JBrowse")</f>
        <v>Open JBrowse</v>
      </c>
      <c r="H243">
        <v>2694892</v>
      </c>
      <c r="I243">
        <v>2695785</v>
      </c>
      <c r="J243" t="s">
        <v>3677</v>
      </c>
      <c r="K243" t="s">
        <v>77</v>
      </c>
      <c r="L243" t="s">
        <v>3678</v>
      </c>
      <c r="M243" t="s">
        <v>3679</v>
      </c>
      <c r="N243" t="s">
        <v>42</v>
      </c>
      <c r="O243">
        <v>3</v>
      </c>
      <c r="P243" t="s">
        <v>42</v>
      </c>
      <c r="Q243" t="s">
        <v>43</v>
      </c>
      <c r="R243" t="s">
        <v>3675</v>
      </c>
      <c r="S243" t="s">
        <v>3678</v>
      </c>
      <c r="T243" t="s">
        <v>42</v>
      </c>
      <c r="U243">
        <v>17</v>
      </c>
      <c r="V243">
        <v>265</v>
      </c>
      <c r="W243">
        <v>249</v>
      </c>
      <c r="X243" t="s">
        <v>81</v>
      </c>
      <c r="Y243" t="s">
        <v>3680</v>
      </c>
      <c r="Z243" t="s">
        <v>1612</v>
      </c>
      <c r="AA243" t="s">
        <v>84</v>
      </c>
    </row>
    <row r="244" spans="1:34" x14ac:dyDescent="0.75">
      <c r="A244" s="22" t="s">
        <v>6047</v>
      </c>
      <c r="B244" t="s">
        <v>3672</v>
      </c>
      <c r="C244" t="s">
        <v>34</v>
      </c>
      <c r="D244" t="s">
        <v>73</v>
      </c>
      <c r="E244" t="s">
        <v>74</v>
      </c>
      <c r="F244" t="s">
        <v>3673</v>
      </c>
      <c r="G244" s="1" t="str">
        <f>HYPERLINK("https://homd.org/jbrowse/?data=homd_V11.02_phage_1.2%2FGCA_018847595.1&amp;loc=GCA_018847595.1%7CCP072046.1%3A973101..980042&amp;tracks=prokka,prokka_ncrna,ncbi,ncbi_ncrna,panggolin,cenote,genomad&amp;highlight=","Open JBrowse")</f>
        <v>Open JBrowse</v>
      </c>
      <c r="H244">
        <v>976101</v>
      </c>
      <c r="I244">
        <v>977042</v>
      </c>
      <c r="J244" t="s">
        <v>3681</v>
      </c>
      <c r="K244" t="s">
        <v>77</v>
      </c>
      <c r="L244" t="s">
        <v>93</v>
      </c>
      <c r="M244" t="s">
        <v>94</v>
      </c>
      <c r="N244" t="s">
        <v>42</v>
      </c>
      <c r="O244">
        <v>3</v>
      </c>
      <c r="P244" t="s">
        <v>42</v>
      </c>
      <c r="Q244" t="s">
        <v>43</v>
      </c>
      <c r="R244" t="s">
        <v>3675</v>
      </c>
      <c r="S244" t="s">
        <v>93</v>
      </c>
      <c r="T244" t="s">
        <v>42</v>
      </c>
      <c r="U244">
        <v>51</v>
      </c>
      <c r="V244">
        <v>296</v>
      </c>
      <c r="W244">
        <v>246</v>
      </c>
      <c r="X244" t="s">
        <v>95</v>
      </c>
      <c r="Y244" t="s">
        <v>3682</v>
      </c>
      <c r="Z244" t="s">
        <v>1948</v>
      </c>
      <c r="AA244" t="s">
        <v>3683</v>
      </c>
      <c r="AB244" t="s">
        <v>3684</v>
      </c>
      <c r="AC244" t="s">
        <v>100</v>
      </c>
      <c r="AD244" t="s">
        <v>101</v>
      </c>
      <c r="AE244">
        <v>415</v>
      </c>
      <c r="AF244" t="s">
        <v>386</v>
      </c>
    </row>
    <row r="245" spans="1:34" x14ac:dyDescent="0.75">
      <c r="A245" s="22" t="s">
        <v>6047</v>
      </c>
      <c r="B245" t="s">
        <v>3819</v>
      </c>
      <c r="C245" t="s">
        <v>34</v>
      </c>
      <c r="D245" t="s">
        <v>167</v>
      </c>
      <c r="E245" t="s">
        <v>168</v>
      </c>
      <c r="F245" t="s">
        <v>3820</v>
      </c>
      <c r="G245" s="1" t="str">
        <f>HYPERLINK("https://homd.org/jbrowse/?data=homd_V11.02_phage_1.2%2FGCA_019734215.1&amp;loc=GCA_019734215.1%7CJAASHK010000002.1%3A204062..212842&amp;tracks=prokka,prokka_ncrna,ncbi,ncbi_ncrna,panggolin,cenote,genomad&amp;highlight=","Open JBrowse")</f>
        <v>Open JBrowse</v>
      </c>
      <c r="H245">
        <v>207062</v>
      </c>
      <c r="I245">
        <v>209842</v>
      </c>
      <c r="J245" t="s">
        <v>3821</v>
      </c>
      <c r="K245" t="s">
        <v>171</v>
      </c>
      <c r="L245" t="s">
        <v>189</v>
      </c>
      <c r="M245" t="s">
        <v>190</v>
      </c>
      <c r="N245" t="s">
        <v>174</v>
      </c>
      <c r="O245">
        <v>3</v>
      </c>
      <c r="P245" t="s">
        <v>175</v>
      </c>
      <c r="Q245" t="s">
        <v>43</v>
      </c>
      <c r="R245" t="s">
        <v>3822</v>
      </c>
      <c r="S245" t="s">
        <v>191</v>
      </c>
      <c r="T245" t="s">
        <v>42</v>
      </c>
      <c r="U245">
        <v>692</v>
      </c>
      <c r="V245">
        <v>910</v>
      </c>
      <c r="W245">
        <v>219</v>
      </c>
      <c r="X245" t="s">
        <v>178</v>
      </c>
      <c r="Y245" t="s">
        <v>3823</v>
      </c>
      <c r="Z245" t="s">
        <v>1463</v>
      </c>
      <c r="AA245" t="s">
        <v>2111</v>
      </c>
      <c r="AB245" t="s">
        <v>3824</v>
      </c>
      <c r="AC245" t="s">
        <v>182</v>
      </c>
      <c r="AD245" t="s">
        <v>183</v>
      </c>
      <c r="AE245">
        <v>3676.6</v>
      </c>
      <c r="AF245" t="s">
        <v>2113</v>
      </c>
    </row>
    <row r="246" spans="1:34" x14ac:dyDescent="0.75">
      <c r="A246" s="22" t="s">
        <v>6047</v>
      </c>
      <c r="B246" t="s">
        <v>3819</v>
      </c>
      <c r="C246" t="s">
        <v>34</v>
      </c>
      <c r="D246" t="s">
        <v>167</v>
      </c>
      <c r="E246" t="s">
        <v>168</v>
      </c>
      <c r="F246" t="s">
        <v>3820</v>
      </c>
      <c r="G246" s="1" t="str">
        <f>HYPERLINK("https://homd.org/jbrowse/?data=homd_V11.02_phage_1.2%2FGCA_019734215.1&amp;loc=GCA_019734215.1%7CJAASHK010000002.1%3A215444..223387&amp;tracks=prokka,prokka_ncrna,ncbi,ncbi_ncrna,panggolin,cenote,genomad&amp;highlight=","Open JBrowse")</f>
        <v>Open JBrowse</v>
      </c>
      <c r="H246">
        <v>218444</v>
      </c>
      <c r="I246">
        <v>220387</v>
      </c>
      <c r="J246" t="s">
        <v>3825</v>
      </c>
      <c r="K246" t="s">
        <v>59</v>
      </c>
      <c r="L246" t="s">
        <v>3826</v>
      </c>
      <c r="M246" t="s">
        <v>59</v>
      </c>
      <c r="N246" t="s">
        <v>59</v>
      </c>
      <c r="O246">
        <v>1</v>
      </c>
      <c r="P246" t="s">
        <v>59</v>
      </c>
      <c r="Q246" t="s">
        <v>59</v>
      </c>
      <c r="R246" t="s">
        <v>3822</v>
      </c>
      <c r="S246" t="s">
        <v>3826</v>
      </c>
      <c r="T246" t="s">
        <v>42</v>
      </c>
      <c r="U246">
        <v>353</v>
      </c>
      <c r="V246">
        <v>628</v>
      </c>
      <c r="W246">
        <v>276</v>
      </c>
      <c r="X246" t="s">
        <v>59</v>
      </c>
    </row>
    <row r="247" spans="1:34" x14ac:dyDescent="0.75">
      <c r="A247" s="22" t="s">
        <v>6047</v>
      </c>
      <c r="B247" t="s">
        <v>3819</v>
      </c>
      <c r="C247" t="s">
        <v>34</v>
      </c>
      <c r="D247" t="s">
        <v>167</v>
      </c>
      <c r="E247" t="s">
        <v>168</v>
      </c>
      <c r="F247" t="s">
        <v>3827</v>
      </c>
      <c r="G247" s="1" t="str">
        <f>HYPERLINK("https://homd.org/jbrowse/?data=homd_V11.02_phage_1.2%2FGCA_019734215.1&amp;loc=GCA_019734215.1%7CJAASHK010000009.1%3A622..9399&amp;tracks=prokka,prokka_ncrna,ncbi,ncbi_ncrna,panggolin,cenote,genomad&amp;highlight=","Open JBrowse")</f>
        <v>Open JBrowse</v>
      </c>
      <c r="H247">
        <v>3622</v>
      </c>
      <c r="I247">
        <v>6399</v>
      </c>
      <c r="J247" t="s">
        <v>3828</v>
      </c>
      <c r="K247" t="s">
        <v>171</v>
      </c>
      <c r="L247" t="s">
        <v>172</v>
      </c>
      <c r="M247" t="s">
        <v>173</v>
      </c>
      <c r="N247" t="s">
        <v>174</v>
      </c>
      <c r="O247">
        <v>3</v>
      </c>
      <c r="P247" t="s">
        <v>175</v>
      </c>
      <c r="Q247" t="s">
        <v>43</v>
      </c>
      <c r="R247" t="s">
        <v>3822</v>
      </c>
      <c r="S247" t="s">
        <v>177</v>
      </c>
      <c r="T247" t="s">
        <v>42</v>
      </c>
      <c r="U247">
        <v>691</v>
      </c>
      <c r="V247">
        <v>909</v>
      </c>
      <c r="W247">
        <v>219</v>
      </c>
      <c r="X247" t="s">
        <v>178</v>
      </c>
      <c r="Y247" t="s">
        <v>3829</v>
      </c>
      <c r="Z247" t="s">
        <v>1450</v>
      </c>
      <c r="AA247" t="s">
        <v>3830</v>
      </c>
      <c r="AB247" t="s">
        <v>3831</v>
      </c>
      <c r="AC247" t="s">
        <v>3832</v>
      </c>
      <c r="AD247" t="s">
        <v>1981</v>
      </c>
      <c r="AE247">
        <v>12240.8</v>
      </c>
      <c r="AF247" t="s">
        <v>3833</v>
      </c>
      <c r="AG247" t="s">
        <v>3834</v>
      </c>
      <c r="AH247">
        <v>2</v>
      </c>
    </row>
    <row r="248" spans="1:34" x14ac:dyDescent="0.75">
      <c r="A248" s="22" t="s">
        <v>6047</v>
      </c>
      <c r="B248" t="s">
        <v>3819</v>
      </c>
      <c r="C248" t="s">
        <v>34</v>
      </c>
      <c r="D248" t="s">
        <v>167</v>
      </c>
      <c r="E248" t="s">
        <v>168</v>
      </c>
      <c r="F248" t="s">
        <v>3835</v>
      </c>
      <c r="G248" s="1" t="str">
        <f>HYPERLINK("https://homd.org/jbrowse/?data=homd_V11.02_phage_1.2%2FGCA_019734215.1&amp;loc=GCA_019734215.1%7CJAASHK010000010.1%3A76046..82897&amp;tracks=prokka,prokka_ncrna,ncbi,ncbi_ncrna,panggolin,cenote,genomad&amp;highlight=","Open JBrowse")</f>
        <v>Open JBrowse</v>
      </c>
      <c r="H248">
        <v>79046</v>
      </c>
      <c r="I248">
        <v>79897</v>
      </c>
      <c r="J248" t="s">
        <v>3836</v>
      </c>
      <c r="K248" t="s">
        <v>59</v>
      </c>
      <c r="L248" t="s">
        <v>59</v>
      </c>
      <c r="M248" t="s">
        <v>59</v>
      </c>
      <c r="N248" t="s">
        <v>42</v>
      </c>
      <c r="O248">
        <v>1</v>
      </c>
      <c r="P248" t="s">
        <v>59</v>
      </c>
      <c r="Q248" t="s">
        <v>59</v>
      </c>
      <c r="R248" t="s">
        <v>3822</v>
      </c>
      <c r="T248" t="s">
        <v>42</v>
      </c>
      <c r="X248" t="s">
        <v>59</v>
      </c>
    </row>
    <row r="249" spans="1:34" x14ac:dyDescent="0.75">
      <c r="A249" s="22" t="s">
        <v>6047</v>
      </c>
      <c r="B249" t="s">
        <v>3908</v>
      </c>
      <c r="C249" t="s">
        <v>34</v>
      </c>
      <c r="D249" t="s">
        <v>1454</v>
      </c>
      <c r="E249" t="s">
        <v>1455</v>
      </c>
      <c r="F249" t="s">
        <v>3909</v>
      </c>
      <c r="G249" s="1" t="str">
        <f>HYPERLINK("https://homd.org/jbrowse/?data=homd_V11.02_phage_1.2%2FGCA_020091305.1&amp;loc=GCA_020091305.1%7CCP081898.1%3A1880598..1888493&amp;tracks=prokka,prokka_ncrna,ncbi,ncbi_ncrna,panggolin,cenote,genomad&amp;highlight=","Open JBrowse")</f>
        <v>Open JBrowse</v>
      </c>
      <c r="H249">
        <v>1883598</v>
      </c>
      <c r="I249">
        <v>1885493</v>
      </c>
      <c r="J249" t="s">
        <v>3910</v>
      </c>
      <c r="K249" t="s">
        <v>627</v>
      </c>
      <c r="L249" t="s">
        <v>1479</v>
      </c>
      <c r="M249" t="s">
        <v>1480</v>
      </c>
      <c r="N249" t="s">
        <v>1481</v>
      </c>
      <c r="O249">
        <v>3</v>
      </c>
      <c r="P249" t="s">
        <v>1482</v>
      </c>
      <c r="Q249" t="s">
        <v>59</v>
      </c>
      <c r="R249" t="s">
        <v>3911</v>
      </c>
      <c r="S249" t="s">
        <v>1483</v>
      </c>
      <c r="T249" t="s">
        <v>42</v>
      </c>
      <c r="U249">
        <v>29</v>
      </c>
      <c r="V249">
        <v>280</v>
      </c>
      <c r="W249">
        <v>252</v>
      </c>
      <c r="X249" t="s">
        <v>1484</v>
      </c>
      <c r="Y249" t="s">
        <v>3912</v>
      </c>
      <c r="Z249" t="s">
        <v>870</v>
      </c>
      <c r="AA249" t="s">
        <v>3913</v>
      </c>
      <c r="AB249" t="s">
        <v>3914</v>
      </c>
      <c r="AC249" t="s">
        <v>1489</v>
      </c>
      <c r="AD249" t="s">
        <v>638</v>
      </c>
      <c r="AE249">
        <v>13261</v>
      </c>
      <c r="AF249" t="s">
        <v>3915</v>
      </c>
      <c r="AG249" t="s">
        <v>51</v>
      </c>
      <c r="AH249">
        <v>6</v>
      </c>
    </row>
    <row r="250" spans="1:34" x14ac:dyDescent="0.75">
      <c r="A250" s="22" t="s">
        <v>6047</v>
      </c>
      <c r="B250" t="s">
        <v>3908</v>
      </c>
      <c r="C250" t="s">
        <v>34</v>
      </c>
      <c r="D250" t="s">
        <v>1454</v>
      </c>
      <c r="E250" t="s">
        <v>1455</v>
      </c>
      <c r="F250" t="s">
        <v>3909</v>
      </c>
      <c r="G250" s="1" t="str">
        <f>HYPERLINK("https://homd.org/jbrowse/?data=homd_V11.02_phage_1.2%2FGCA_020091305.1&amp;loc=GCA_020091305.1%7CCP081898.1%3A434392..441198&amp;tracks=prokka,prokka_ncrna,ncbi,ncbi_ncrna,panggolin,cenote,genomad&amp;highlight=","Open JBrowse")</f>
        <v>Open JBrowse</v>
      </c>
      <c r="H250">
        <v>437392</v>
      </c>
      <c r="I250">
        <v>438198</v>
      </c>
      <c r="J250" t="s">
        <v>3916</v>
      </c>
      <c r="K250" t="s">
        <v>39</v>
      </c>
      <c r="L250" t="s">
        <v>1476</v>
      </c>
      <c r="M250" t="s">
        <v>1477</v>
      </c>
      <c r="N250" t="s">
        <v>42</v>
      </c>
      <c r="O250">
        <v>3</v>
      </c>
      <c r="P250" t="s">
        <v>42</v>
      </c>
      <c r="Q250" t="s">
        <v>43</v>
      </c>
      <c r="R250" t="s">
        <v>3911</v>
      </c>
      <c r="S250" t="s">
        <v>1476</v>
      </c>
      <c r="T250" t="s">
        <v>42</v>
      </c>
      <c r="U250">
        <v>36</v>
      </c>
      <c r="V250">
        <v>262</v>
      </c>
      <c r="W250">
        <v>227</v>
      </c>
      <c r="X250" t="s">
        <v>45</v>
      </c>
    </row>
    <row r="251" spans="1:34" x14ac:dyDescent="0.75">
      <c r="A251" s="22" t="s">
        <v>6047</v>
      </c>
      <c r="B251" t="s">
        <v>3908</v>
      </c>
      <c r="C251" t="s">
        <v>34</v>
      </c>
      <c r="D251" t="s">
        <v>1454</v>
      </c>
      <c r="E251" t="s">
        <v>1455</v>
      </c>
      <c r="F251" t="s">
        <v>3909</v>
      </c>
      <c r="G251" s="1" t="str">
        <f>HYPERLINK("https://homd.org/jbrowse/?data=homd_V11.02_phage_1.2%2FGCA_020091305.1&amp;loc=GCA_020091305.1%7CCP081898.1%3A5320561..5327403&amp;tracks=prokka,prokka_ncrna,ncbi,ncbi_ncrna,panggolin,cenote,genomad&amp;highlight=","Open JBrowse")</f>
        <v>Open JBrowse</v>
      </c>
      <c r="H251">
        <v>5323561</v>
      </c>
      <c r="I251">
        <v>5324403</v>
      </c>
      <c r="J251" t="s">
        <v>3917</v>
      </c>
      <c r="K251" t="s">
        <v>59</v>
      </c>
      <c r="L251" t="s">
        <v>59</v>
      </c>
      <c r="M251" t="s">
        <v>59</v>
      </c>
      <c r="N251" t="s">
        <v>42</v>
      </c>
      <c r="O251">
        <v>1</v>
      </c>
      <c r="P251" t="s">
        <v>59</v>
      </c>
      <c r="Q251" t="s">
        <v>59</v>
      </c>
      <c r="R251" t="s">
        <v>3911</v>
      </c>
      <c r="T251" t="s">
        <v>42</v>
      </c>
      <c r="X251" t="s">
        <v>59</v>
      </c>
    </row>
    <row r="252" spans="1:34" x14ac:dyDescent="0.75">
      <c r="A252" s="22" t="s">
        <v>6047</v>
      </c>
      <c r="B252" t="s">
        <v>3908</v>
      </c>
      <c r="C252" t="s">
        <v>34</v>
      </c>
      <c r="D252" t="s">
        <v>1454</v>
      </c>
      <c r="E252" t="s">
        <v>1455</v>
      </c>
      <c r="F252" t="s">
        <v>3909</v>
      </c>
      <c r="G252" s="1" t="str">
        <f>HYPERLINK("https://homd.org/jbrowse/?data=homd_V11.02_phage_1.2%2FGCA_020091305.1&amp;loc=GCA_020091305.1%7CCP081898.1%3A676826..683944&amp;tracks=prokka,prokka_ncrna,ncbi,ncbi_ncrna,panggolin,cenote,genomad&amp;highlight=","Open JBrowse")</f>
        <v>Open JBrowse</v>
      </c>
      <c r="H252">
        <v>679826</v>
      </c>
      <c r="I252">
        <v>680944</v>
      </c>
      <c r="J252" t="s">
        <v>3918</v>
      </c>
      <c r="K252" t="s">
        <v>39</v>
      </c>
      <c r="L252" t="s">
        <v>1460</v>
      </c>
      <c r="M252" t="s">
        <v>1461</v>
      </c>
      <c r="N252" t="s">
        <v>42</v>
      </c>
      <c r="O252">
        <v>3</v>
      </c>
      <c r="P252" t="s">
        <v>42</v>
      </c>
      <c r="Q252" t="s">
        <v>43</v>
      </c>
      <c r="R252" t="s">
        <v>3911</v>
      </c>
      <c r="S252" t="s">
        <v>1460</v>
      </c>
      <c r="T252" t="s">
        <v>42</v>
      </c>
      <c r="U252">
        <v>138</v>
      </c>
      <c r="V252">
        <v>367</v>
      </c>
      <c r="W252">
        <v>230</v>
      </c>
      <c r="X252" t="s">
        <v>971</v>
      </c>
      <c r="Y252" t="s">
        <v>3919</v>
      </c>
      <c r="Z252" t="s">
        <v>336</v>
      </c>
      <c r="AA252" t="s">
        <v>2850</v>
      </c>
      <c r="AB252" t="s">
        <v>3920</v>
      </c>
      <c r="AC252" t="s">
        <v>984</v>
      </c>
      <c r="AD252" t="s">
        <v>985</v>
      </c>
      <c r="AE252">
        <v>4043</v>
      </c>
      <c r="AF252" t="s">
        <v>2852</v>
      </c>
    </row>
    <row r="253" spans="1:34" x14ac:dyDescent="0.75">
      <c r="A253" s="22" t="s">
        <v>6047</v>
      </c>
      <c r="B253" t="s">
        <v>3921</v>
      </c>
      <c r="C253" t="s">
        <v>34</v>
      </c>
      <c r="D253" t="s">
        <v>2146</v>
      </c>
      <c r="E253" t="s">
        <v>2147</v>
      </c>
      <c r="F253" t="s">
        <v>3922</v>
      </c>
      <c r="G253" s="1" t="str">
        <f>HYPERLINK("https://homd.org/jbrowse/?data=homd_V11.02_phage_1.2%2FGCA_020091365.1&amp;loc=GCA_020091365.1%7CCP081901.1%3A3290816..3297604&amp;tracks=prokka,prokka_ncrna,ncbi,ncbi_ncrna,panggolin,cenote,genomad&amp;highlight=","Open JBrowse")</f>
        <v>Open JBrowse</v>
      </c>
      <c r="H253">
        <v>3293816</v>
      </c>
      <c r="I253">
        <v>3294604</v>
      </c>
      <c r="J253" t="s">
        <v>3923</v>
      </c>
      <c r="K253" t="s">
        <v>59</v>
      </c>
      <c r="L253" t="s">
        <v>2150</v>
      </c>
      <c r="M253" t="s">
        <v>2151</v>
      </c>
      <c r="N253" t="s">
        <v>42</v>
      </c>
      <c r="O253">
        <v>3</v>
      </c>
      <c r="P253" t="s">
        <v>42</v>
      </c>
      <c r="Q253" t="s">
        <v>59</v>
      </c>
      <c r="R253" t="s">
        <v>3924</v>
      </c>
      <c r="S253" t="s">
        <v>2150</v>
      </c>
      <c r="T253" t="s">
        <v>42</v>
      </c>
      <c r="U253">
        <v>31</v>
      </c>
      <c r="V253">
        <v>258</v>
      </c>
      <c r="W253">
        <v>228</v>
      </c>
      <c r="X253" t="s">
        <v>1251</v>
      </c>
      <c r="Y253" t="s">
        <v>3925</v>
      </c>
      <c r="Z253" t="s">
        <v>2665</v>
      </c>
      <c r="AA253" t="s">
        <v>3926</v>
      </c>
      <c r="AB253" t="s">
        <v>3927</v>
      </c>
      <c r="AC253" t="s">
        <v>2156</v>
      </c>
      <c r="AD253" t="s">
        <v>1981</v>
      </c>
      <c r="AE253">
        <v>1727</v>
      </c>
      <c r="AF253" t="s">
        <v>795</v>
      </c>
    </row>
    <row r="254" spans="1:34" x14ac:dyDescent="0.75">
      <c r="A254" s="22" t="s">
        <v>6047</v>
      </c>
      <c r="B254" t="s">
        <v>3928</v>
      </c>
      <c r="C254" t="s">
        <v>34</v>
      </c>
      <c r="D254" t="s">
        <v>167</v>
      </c>
      <c r="E254" t="s">
        <v>168</v>
      </c>
      <c r="F254" t="s">
        <v>3929</v>
      </c>
      <c r="G254" s="1" t="str">
        <f>HYPERLINK("https://homd.org/jbrowse/?data=homd_V11.02_phage_1.2%2FGCA_020091485.1&amp;loc=GCA_020091485.1%7CCP081913.1%3A15156..22007&amp;tracks=prokka,prokka_ncrna,ncbi,ncbi_ncrna,panggolin,cenote,genomad&amp;highlight=","Open JBrowse")</f>
        <v>Open JBrowse</v>
      </c>
      <c r="H254">
        <v>18156</v>
      </c>
      <c r="I254">
        <v>19007</v>
      </c>
      <c r="J254" t="s">
        <v>3930</v>
      </c>
      <c r="K254" t="s">
        <v>59</v>
      </c>
      <c r="L254" t="s">
        <v>59</v>
      </c>
      <c r="M254" t="s">
        <v>59</v>
      </c>
      <c r="N254" t="s">
        <v>42</v>
      </c>
      <c r="O254">
        <v>1</v>
      </c>
      <c r="P254" t="s">
        <v>59</v>
      </c>
      <c r="Q254" t="s">
        <v>59</v>
      </c>
      <c r="R254" t="s">
        <v>3931</v>
      </c>
      <c r="T254" t="s">
        <v>42</v>
      </c>
      <c r="X254" t="s">
        <v>59</v>
      </c>
    </row>
    <row r="255" spans="1:34" x14ac:dyDescent="0.75">
      <c r="A255" s="22" t="s">
        <v>6047</v>
      </c>
      <c r="B255" t="s">
        <v>3928</v>
      </c>
      <c r="C255" t="s">
        <v>34</v>
      </c>
      <c r="D255" t="s">
        <v>167</v>
      </c>
      <c r="E255" t="s">
        <v>168</v>
      </c>
      <c r="F255" t="s">
        <v>3929</v>
      </c>
      <c r="G255" s="1" t="str">
        <f>HYPERLINK("https://homd.org/jbrowse/?data=homd_V11.02_phage_1.2%2FGCA_020091485.1&amp;loc=GCA_020091485.1%7CCP081913.1%3A3810226..3819003&amp;tracks=prokka,prokka_ncrna,ncbi,ncbi_ncrna,panggolin,cenote,genomad&amp;highlight=","Open JBrowse")</f>
        <v>Open JBrowse</v>
      </c>
      <c r="H255">
        <v>3813226</v>
      </c>
      <c r="I255">
        <v>3816003</v>
      </c>
      <c r="J255" t="s">
        <v>3932</v>
      </c>
      <c r="K255" t="s">
        <v>171</v>
      </c>
      <c r="L255" t="s">
        <v>172</v>
      </c>
      <c r="M255" t="s">
        <v>173</v>
      </c>
      <c r="N255" t="s">
        <v>174</v>
      </c>
      <c r="O255">
        <v>3</v>
      </c>
      <c r="P255" t="s">
        <v>175</v>
      </c>
      <c r="Q255" t="s">
        <v>43</v>
      </c>
      <c r="R255" t="s">
        <v>3931</v>
      </c>
      <c r="S255" t="s">
        <v>177</v>
      </c>
      <c r="T255" t="s">
        <v>42</v>
      </c>
      <c r="U255">
        <v>691</v>
      </c>
      <c r="V255">
        <v>909</v>
      </c>
      <c r="W255">
        <v>219</v>
      </c>
      <c r="X255" t="s">
        <v>178</v>
      </c>
      <c r="Y255" t="s">
        <v>3933</v>
      </c>
      <c r="Z255" t="s">
        <v>2299</v>
      </c>
      <c r="AA255" t="s">
        <v>3934</v>
      </c>
      <c r="AB255" t="s">
        <v>3935</v>
      </c>
      <c r="AC255" t="s">
        <v>3832</v>
      </c>
      <c r="AD255" t="s">
        <v>1981</v>
      </c>
      <c r="AE255">
        <v>13083.3</v>
      </c>
      <c r="AF255" t="s">
        <v>3936</v>
      </c>
      <c r="AG255" t="s">
        <v>3937</v>
      </c>
      <c r="AH255">
        <v>2</v>
      </c>
    </row>
    <row r="256" spans="1:34" x14ac:dyDescent="0.75">
      <c r="A256" s="22" t="s">
        <v>6047</v>
      </c>
      <c r="B256" t="s">
        <v>3938</v>
      </c>
      <c r="C256" t="s">
        <v>34</v>
      </c>
      <c r="D256" t="s">
        <v>1745</v>
      </c>
      <c r="E256" t="s">
        <v>1746</v>
      </c>
      <c r="F256" t="s">
        <v>3939</v>
      </c>
      <c r="G256" s="1" t="str">
        <f>HYPERLINK("https://homd.org/jbrowse/?data=homd_V11.02_phage_1.2%2FGCA_020091545.1&amp;loc=GCA_020091545.1%7CCP081920.1%3A2235863..2242711&amp;tracks=prokka,prokka_ncrna,ncbi,ncbi_ncrna,panggolin,cenote,genomad&amp;highlight=","Open JBrowse")</f>
        <v>Open JBrowse</v>
      </c>
      <c r="H256">
        <v>2238863</v>
      </c>
      <c r="I256">
        <v>2239711</v>
      </c>
      <c r="J256" t="s">
        <v>3940</v>
      </c>
      <c r="K256" t="s">
        <v>59</v>
      </c>
      <c r="L256" t="s">
        <v>59</v>
      </c>
      <c r="M256" t="s">
        <v>59</v>
      </c>
      <c r="N256" t="s">
        <v>42</v>
      </c>
      <c r="O256">
        <v>1</v>
      </c>
      <c r="P256" t="s">
        <v>59</v>
      </c>
      <c r="Q256" t="s">
        <v>59</v>
      </c>
      <c r="R256" t="s">
        <v>3941</v>
      </c>
      <c r="T256" t="s">
        <v>42</v>
      </c>
      <c r="X256" t="s">
        <v>59</v>
      </c>
      <c r="Y256" t="s">
        <v>3942</v>
      </c>
      <c r="Z256" t="s">
        <v>811</v>
      </c>
      <c r="AA256" t="s">
        <v>3943</v>
      </c>
    </row>
    <row r="257" spans="1:34" x14ac:dyDescent="0.75">
      <c r="A257" s="22" t="s">
        <v>6047</v>
      </c>
      <c r="B257" t="s">
        <v>3938</v>
      </c>
      <c r="C257" t="s">
        <v>34</v>
      </c>
      <c r="D257" t="s">
        <v>1745</v>
      </c>
      <c r="E257" t="s">
        <v>1746</v>
      </c>
      <c r="F257" t="s">
        <v>3939</v>
      </c>
      <c r="G257" s="1" t="str">
        <f>HYPERLINK("https://homd.org/jbrowse/?data=homd_V11.02_phage_1.2%2FGCA_020091545.1&amp;loc=GCA_020091545.1%7CCP081920.1%3A2766507..2773283&amp;tracks=prokka,prokka_ncrna,ncbi,ncbi_ncrna,panggolin,cenote,genomad&amp;highlight=","Open JBrowse")</f>
        <v>Open JBrowse</v>
      </c>
      <c r="H257">
        <v>2769507</v>
      </c>
      <c r="I257">
        <v>2770283</v>
      </c>
      <c r="J257" t="s">
        <v>3944</v>
      </c>
      <c r="K257" t="s">
        <v>39</v>
      </c>
      <c r="L257" t="s">
        <v>1608</v>
      </c>
      <c r="M257" t="s">
        <v>1609</v>
      </c>
      <c r="N257" t="s">
        <v>42</v>
      </c>
      <c r="O257">
        <v>3</v>
      </c>
      <c r="P257" t="s">
        <v>42</v>
      </c>
      <c r="Q257" t="s">
        <v>43</v>
      </c>
      <c r="R257" t="s">
        <v>3941</v>
      </c>
      <c r="S257" t="s">
        <v>1608</v>
      </c>
      <c r="T257" t="s">
        <v>42</v>
      </c>
      <c r="U257">
        <v>27</v>
      </c>
      <c r="V257">
        <v>255</v>
      </c>
      <c r="W257">
        <v>229</v>
      </c>
      <c r="X257" t="s">
        <v>45</v>
      </c>
      <c r="Y257" t="s">
        <v>3945</v>
      </c>
      <c r="Z257" t="s">
        <v>556</v>
      </c>
      <c r="AA257" t="s">
        <v>1785</v>
      </c>
    </row>
    <row r="258" spans="1:34" x14ac:dyDescent="0.75">
      <c r="A258" s="22" t="s">
        <v>6047</v>
      </c>
      <c r="B258" t="s">
        <v>3938</v>
      </c>
      <c r="C258" t="s">
        <v>34</v>
      </c>
      <c r="D258" t="s">
        <v>1745</v>
      </c>
      <c r="E258" t="s">
        <v>1746</v>
      </c>
      <c r="F258" t="s">
        <v>3939</v>
      </c>
      <c r="G258" s="1" t="str">
        <f>HYPERLINK("https://homd.org/jbrowse/?data=homd_V11.02_phage_1.2%2FGCA_020091545.1&amp;loc=GCA_020091545.1%7CCP081920.1%3A3135452..3142294&amp;tracks=prokka,prokka_ncrna,ncbi,ncbi_ncrna,panggolin,cenote,genomad&amp;highlight=","Open JBrowse")</f>
        <v>Open JBrowse</v>
      </c>
      <c r="H258">
        <v>3138452</v>
      </c>
      <c r="I258">
        <v>3139294</v>
      </c>
      <c r="J258" t="s">
        <v>3946</v>
      </c>
      <c r="K258" t="s">
        <v>77</v>
      </c>
      <c r="L258" t="s">
        <v>1763</v>
      </c>
      <c r="M258" t="s">
        <v>1764</v>
      </c>
      <c r="N258" t="s">
        <v>42</v>
      </c>
      <c r="O258">
        <v>3</v>
      </c>
      <c r="P258" t="s">
        <v>42</v>
      </c>
      <c r="Q258" t="s">
        <v>43</v>
      </c>
      <c r="R258" t="s">
        <v>3941</v>
      </c>
      <c r="S258" t="s">
        <v>1763</v>
      </c>
      <c r="T258" t="s">
        <v>42</v>
      </c>
      <c r="U258">
        <v>39</v>
      </c>
      <c r="V258">
        <v>270</v>
      </c>
      <c r="W258">
        <v>232</v>
      </c>
      <c r="X258" t="s">
        <v>1765</v>
      </c>
      <c r="Y258" t="s">
        <v>3947</v>
      </c>
      <c r="Z258" t="s">
        <v>1357</v>
      </c>
      <c r="AA258" t="s">
        <v>3948</v>
      </c>
      <c r="AB258" t="s">
        <v>3949</v>
      </c>
      <c r="AC258" t="s">
        <v>984</v>
      </c>
      <c r="AD258" t="s">
        <v>985</v>
      </c>
      <c r="AE258">
        <v>921</v>
      </c>
      <c r="AF258" t="s">
        <v>986</v>
      </c>
      <c r="AG258" t="s">
        <v>185</v>
      </c>
      <c r="AH258">
        <v>2</v>
      </c>
    </row>
    <row r="259" spans="1:34" x14ac:dyDescent="0.75">
      <c r="A259" s="22" t="s">
        <v>6047</v>
      </c>
      <c r="B259" t="s">
        <v>3938</v>
      </c>
      <c r="C259" t="s">
        <v>34</v>
      </c>
      <c r="D259" t="s">
        <v>1745</v>
      </c>
      <c r="E259" t="s">
        <v>1746</v>
      </c>
      <c r="F259" t="s">
        <v>3939</v>
      </c>
      <c r="G259" s="1" t="str">
        <f>HYPERLINK("https://homd.org/jbrowse/?data=homd_V11.02_phage_1.2%2FGCA_020091545.1&amp;loc=GCA_020091545.1%7CCP081920.1%3A3136496..3143320&amp;tracks=prokka,prokka_ncrna,ncbi,ncbi_ncrna,panggolin,cenote,genomad&amp;highlight=","Open JBrowse")</f>
        <v>Open JBrowse</v>
      </c>
      <c r="H259">
        <v>3139496</v>
      </c>
      <c r="I259">
        <v>3140320</v>
      </c>
      <c r="J259" t="s">
        <v>3950</v>
      </c>
      <c r="K259" t="s">
        <v>1770</v>
      </c>
      <c r="L259" t="s">
        <v>1771</v>
      </c>
      <c r="M259" t="s">
        <v>1772</v>
      </c>
      <c r="N259" t="s">
        <v>42</v>
      </c>
      <c r="O259">
        <v>3</v>
      </c>
      <c r="P259" t="s">
        <v>42</v>
      </c>
      <c r="Q259" t="s">
        <v>43</v>
      </c>
      <c r="R259" t="s">
        <v>3941</v>
      </c>
      <c r="S259" t="s">
        <v>1771</v>
      </c>
      <c r="T259" t="s">
        <v>42</v>
      </c>
      <c r="U259">
        <v>48</v>
      </c>
      <c r="V259">
        <v>271</v>
      </c>
      <c r="W259">
        <v>224</v>
      </c>
      <c r="X259" t="s">
        <v>1773</v>
      </c>
      <c r="Y259" t="s">
        <v>3947</v>
      </c>
      <c r="Z259" t="s">
        <v>1357</v>
      </c>
      <c r="AA259" t="s">
        <v>3948</v>
      </c>
      <c r="AB259" t="s">
        <v>3949</v>
      </c>
      <c r="AC259" t="s">
        <v>984</v>
      </c>
      <c r="AD259" t="s">
        <v>985</v>
      </c>
      <c r="AE259">
        <v>921</v>
      </c>
      <c r="AF259" t="s">
        <v>986</v>
      </c>
      <c r="AG259" t="s">
        <v>185</v>
      </c>
      <c r="AH259">
        <v>2</v>
      </c>
    </row>
    <row r="260" spans="1:34" x14ac:dyDescent="0.75">
      <c r="A260" s="22" t="s">
        <v>6047</v>
      </c>
      <c r="B260" t="s">
        <v>3938</v>
      </c>
      <c r="C260" t="s">
        <v>34</v>
      </c>
      <c r="D260" t="s">
        <v>1745</v>
      </c>
      <c r="E260" t="s">
        <v>1746</v>
      </c>
      <c r="F260" t="s">
        <v>3939</v>
      </c>
      <c r="G260" s="1" t="str">
        <f>HYPERLINK("https://homd.org/jbrowse/?data=homd_V11.02_phage_1.2%2FGCA_020091545.1&amp;loc=GCA_020091545.1%7CCP081920.1%3A3318585..3326492&amp;tracks=prokka,prokka_ncrna,ncbi,ncbi_ncrna,panggolin,cenote,genomad&amp;highlight=","Open JBrowse")</f>
        <v>Open JBrowse</v>
      </c>
      <c r="H260">
        <v>3321585</v>
      </c>
      <c r="I260">
        <v>3323492</v>
      </c>
      <c r="J260" t="s">
        <v>3951</v>
      </c>
      <c r="K260" t="s">
        <v>627</v>
      </c>
      <c r="L260" t="s">
        <v>1759</v>
      </c>
      <c r="M260" t="s">
        <v>1760</v>
      </c>
      <c r="N260" t="s">
        <v>1481</v>
      </c>
      <c r="O260">
        <v>3</v>
      </c>
      <c r="P260" t="s">
        <v>1482</v>
      </c>
      <c r="Q260" t="s">
        <v>59</v>
      </c>
      <c r="R260" t="s">
        <v>3941</v>
      </c>
      <c r="S260" t="s">
        <v>1761</v>
      </c>
      <c r="T260" t="s">
        <v>42</v>
      </c>
      <c r="U260">
        <v>32</v>
      </c>
      <c r="V260">
        <v>283</v>
      </c>
      <c r="W260">
        <v>252</v>
      </c>
      <c r="X260" t="s">
        <v>1484</v>
      </c>
      <c r="Y260" t="s">
        <v>3952</v>
      </c>
      <c r="Z260" t="s">
        <v>1612</v>
      </c>
      <c r="AA260" t="s">
        <v>3953</v>
      </c>
      <c r="AB260" t="s">
        <v>3954</v>
      </c>
      <c r="AC260" t="s">
        <v>637</v>
      </c>
      <c r="AD260" t="s">
        <v>638</v>
      </c>
      <c r="AE260">
        <v>5738</v>
      </c>
      <c r="AF260" t="s">
        <v>1957</v>
      </c>
    </row>
    <row r="261" spans="1:34" x14ac:dyDescent="0.75">
      <c r="A261" s="22" t="s">
        <v>6047</v>
      </c>
      <c r="B261" t="s">
        <v>3938</v>
      </c>
      <c r="C261" t="s">
        <v>34</v>
      </c>
      <c r="D261" t="s">
        <v>1745</v>
      </c>
      <c r="E261" t="s">
        <v>1746</v>
      </c>
      <c r="F261" t="s">
        <v>3939</v>
      </c>
      <c r="G261" s="1" t="str">
        <f>HYPERLINK("https://homd.org/jbrowse/?data=homd_V11.02_phage_1.2%2FGCA_020091545.1&amp;loc=GCA_020091545.1%7CCP081920.1%3A3320509..3328044&amp;tracks=prokka,prokka_ncrna,ncbi,ncbi_ncrna,panggolin,cenote,genomad&amp;highlight=","Open JBrowse")</f>
        <v>Open JBrowse</v>
      </c>
      <c r="H261">
        <v>3323509</v>
      </c>
      <c r="I261">
        <v>3325044</v>
      </c>
      <c r="J261" t="s">
        <v>3955</v>
      </c>
      <c r="K261" t="s">
        <v>59</v>
      </c>
      <c r="L261" t="s">
        <v>1749</v>
      </c>
      <c r="M261" t="s">
        <v>1750</v>
      </c>
      <c r="N261" t="s">
        <v>42</v>
      </c>
      <c r="O261">
        <v>3</v>
      </c>
      <c r="P261" t="s">
        <v>42</v>
      </c>
      <c r="Q261" t="s">
        <v>59</v>
      </c>
      <c r="R261" t="s">
        <v>3941</v>
      </c>
      <c r="S261" t="s">
        <v>1749</v>
      </c>
      <c r="T261" t="s">
        <v>42</v>
      </c>
      <c r="U261">
        <v>230</v>
      </c>
      <c r="V261">
        <v>508</v>
      </c>
      <c r="W261">
        <v>279</v>
      </c>
      <c r="X261" t="s">
        <v>1752</v>
      </c>
      <c r="Y261" t="s">
        <v>3952</v>
      </c>
      <c r="Z261" t="s">
        <v>1612</v>
      </c>
      <c r="AA261" t="s">
        <v>3953</v>
      </c>
      <c r="AB261" t="s">
        <v>3954</v>
      </c>
      <c r="AC261" t="s">
        <v>637</v>
      </c>
      <c r="AD261" t="s">
        <v>638</v>
      </c>
      <c r="AE261">
        <v>5738</v>
      </c>
      <c r="AF261" t="s">
        <v>1957</v>
      </c>
    </row>
    <row r="262" spans="1:34" x14ac:dyDescent="0.75">
      <c r="A262" s="22" t="s">
        <v>6047</v>
      </c>
      <c r="B262" t="s">
        <v>3938</v>
      </c>
      <c r="C262" t="s">
        <v>34</v>
      </c>
      <c r="D262" t="s">
        <v>1745</v>
      </c>
      <c r="E262" t="s">
        <v>1746</v>
      </c>
      <c r="F262" t="s">
        <v>3939</v>
      </c>
      <c r="G262" s="1" t="str">
        <f>HYPERLINK("https://homd.org/jbrowse/?data=homd_V11.02_phage_1.2%2FGCA_020091545.1&amp;loc=GCA_020091545.1%7CCP081920.1%3A3459835..3466695&amp;tracks=prokka,prokka_ncrna,ncbi,ncbi_ncrna,panggolin,cenote,genomad&amp;highlight=","Open JBrowse")</f>
        <v>Open JBrowse</v>
      </c>
      <c r="H262">
        <v>3462835</v>
      </c>
      <c r="I262">
        <v>3463695</v>
      </c>
      <c r="J262" t="s">
        <v>3956</v>
      </c>
      <c r="K262" t="s">
        <v>77</v>
      </c>
      <c r="L262" t="s">
        <v>3519</v>
      </c>
      <c r="M262" t="s">
        <v>3520</v>
      </c>
      <c r="N262" t="s">
        <v>398</v>
      </c>
      <c r="O262">
        <v>3</v>
      </c>
      <c r="P262" t="s">
        <v>42</v>
      </c>
      <c r="Q262" t="s">
        <v>43</v>
      </c>
      <c r="R262" t="s">
        <v>3941</v>
      </c>
      <c r="S262" t="s">
        <v>3519</v>
      </c>
      <c r="T262" t="s">
        <v>42</v>
      </c>
      <c r="U262">
        <v>41</v>
      </c>
      <c r="V262">
        <v>272</v>
      </c>
      <c r="W262">
        <v>232</v>
      </c>
      <c r="X262" t="s">
        <v>1765</v>
      </c>
      <c r="Y262" t="s">
        <v>3957</v>
      </c>
      <c r="Z262" t="s">
        <v>2583</v>
      </c>
      <c r="AA262" t="s">
        <v>3958</v>
      </c>
      <c r="AB262" t="s">
        <v>3959</v>
      </c>
      <c r="AC262" t="s">
        <v>3960</v>
      </c>
      <c r="AD262" t="s">
        <v>1052</v>
      </c>
      <c r="AE262">
        <v>1408</v>
      </c>
      <c r="AF262" t="s">
        <v>3961</v>
      </c>
      <c r="AG262" t="s">
        <v>185</v>
      </c>
      <c r="AH262">
        <v>2</v>
      </c>
    </row>
    <row r="263" spans="1:34" x14ac:dyDescent="0.75">
      <c r="A263" s="22" t="s">
        <v>6047</v>
      </c>
      <c r="B263" t="s">
        <v>3938</v>
      </c>
      <c r="C263" t="s">
        <v>34</v>
      </c>
      <c r="D263" t="s">
        <v>1745</v>
      </c>
      <c r="E263" t="s">
        <v>1746</v>
      </c>
      <c r="F263" t="s">
        <v>3939</v>
      </c>
      <c r="G263" s="1" t="str">
        <f>HYPERLINK("https://homd.org/jbrowse/?data=homd_V11.02_phage_1.2%2FGCA_020091545.1&amp;loc=GCA_020091545.1%7CCP081920.1%3A3463342..3470175&amp;tracks=prokka,prokka_ncrna,ncbi,ncbi_ncrna,panggolin,cenote,genomad&amp;highlight=","Open JBrowse")</f>
        <v>Open JBrowse</v>
      </c>
      <c r="H263">
        <v>3466342</v>
      </c>
      <c r="I263">
        <v>3467175</v>
      </c>
      <c r="J263" t="s">
        <v>3962</v>
      </c>
      <c r="K263" t="s">
        <v>1770</v>
      </c>
      <c r="L263" t="s">
        <v>3510</v>
      </c>
      <c r="M263" t="s">
        <v>3511</v>
      </c>
      <c r="N263" t="s">
        <v>42</v>
      </c>
      <c r="O263">
        <v>3</v>
      </c>
      <c r="P263" t="s">
        <v>42</v>
      </c>
      <c r="Q263" t="s">
        <v>43</v>
      </c>
      <c r="R263" t="s">
        <v>3941</v>
      </c>
      <c r="S263" t="s">
        <v>3510</v>
      </c>
      <c r="T263" t="s">
        <v>42</v>
      </c>
      <c r="U263">
        <v>51</v>
      </c>
      <c r="V263">
        <v>274</v>
      </c>
      <c r="W263">
        <v>224</v>
      </c>
      <c r="X263" t="s">
        <v>1773</v>
      </c>
      <c r="Y263" t="s">
        <v>3957</v>
      </c>
      <c r="Z263" t="s">
        <v>2583</v>
      </c>
      <c r="AA263" t="s">
        <v>3958</v>
      </c>
      <c r="AB263" t="s">
        <v>3959</v>
      </c>
      <c r="AC263" t="s">
        <v>3960</v>
      </c>
      <c r="AD263" t="s">
        <v>1052</v>
      </c>
      <c r="AE263">
        <v>1408</v>
      </c>
      <c r="AF263" t="s">
        <v>3961</v>
      </c>
      <c r="AG263" t="s">
        <v>185</v>
      </c>
      <c r="AH263">
        <v>2</v>
      </c>
    </row>
    <row r="264" spans="1:34" x14ac:dyDescent="0.75">
      <c r="A264" s="22" t="s">
        <v>6047</v>
      </c>
      <c r="B264" t="s">
        <v>3938</v>
      </c>
      <c r="C264" t="s">
        <v>34</v>
      </c>
      <c r="D264" t="s">
        <v>1745</v>
      </c>
      <c r="E264" t="s">
        <v>1746</v>
      </c>
      <c r="F264" t="s">
        <v>3939</v>
      </c>
      <c r="G264" s="1" t="str">
        <f>HYPERLINK("https://homd.org/jbrowse/?data=homd_V11.02_phage_1.2%2FGCA_020091545.1&amp;loc=GCA_020091545.1%7CCP081920.1%3A4397912..4405303&amp;tracks=prokka,prokka_ncrna,ncbi,ncbi_ncrna,panggolin,cenote,genomad&amp;highlight=","Open JBrowse")</f>
        <v>Open JBrowse</v>
      </c>
      <c r="H264">
        <v>4400912</v>
      </c>
      <c r="I264">
        <v>4402303</v>
      </c>
      <c r="J264" t="s">
        <v>3963</v>
      </c>
      <c r="K264" t="s">
        <v>59</v>
      </c>
      <c r="L264" t="s">
        <v>59</v>
      </c>
      <c r="M264" t="s">
        <v>59</v>
      </c>
      <c r="N264" t="s">
        <v>42</v>
      </c>
      <c r="O264">
        <v>1</v>
      </c>
      <c r="P264" t="s">
        <v>59</v>
      </c>
      <c r="Q264" t="s">
        <v>59</v>
      </c>
      <c r="R264" t="s">
        <v>3941</v>
      </c>
      <c r="T264" t="s">
        <v>42</v>
      </c>
      <c r="X264" t="s">
        <v>59</v>
      </c>
    </row>
    <row r="265" spans="1:34" x14ac:dyDescent="0.75">
      <c r="A265" s="22" t="s">
        <v>6047</v>
      </c>
      <c r="B265" t="s">
        <v>3938</v>
      </c>
      <c r="C265" t="s">
        <v>34</v>
      </c>
      <c r="D265" t="s">
        <v>1745</v>
      </c>
      <c r="E265" t="s">
        <v>1746</v>
      </c>
      <c r="F265" t="s">
        <v>3939</v>
      </c>
      <c r="G265" s="1" t="str">
        <f>HYPERLINK("https://homd.org/jbrowse/?data=homd_V11.02_phage_1.2%2FGCA_020091545.1&amp;loc=GCA_020091545.1%7CCP081920.1%3A4517283..4524407&amp;tracks=prokka,prokka_ncrna,ncbi,ncbi_ncrna,panggolin,cenote,genomad&amp;highlight=","Open JBrowse")</f>
        <v>Open JBrowse</v>
      </c>
      <c r="H265">
        <v>4520283</v>
      </c>
      <c r="I265">
        <v>4521407</v>
      </c>
      <c r="J265" t="s">
        <v>3964</v>
      </c>
      <c r="K265" t="s">
        <v>39</v>
      </c>
      <c r="L265" t="s">
        <v>1787</v>
      </c>
      <c r="M265" t="s">
        <v>1788</v>
      </c>
      <c r="N265" t="s">
        <v>42</v>
      </c>
      <c r="O265">
        <v>3</v>
      </c>
      <c r="P265" t="s">
        <v>42</v>
      </c>
      <c r="Q265" t="s">
        <v>43</v>
      </c>
      <c r="R265" t="s">
        <v>3941</v>
      </c>
      <c r="S265" t="s">
        <v>1787</v>
      </c>
      <c r="T265" t="s">
        <v>42</v>
      </c>
      <c r="U265">
        <v>139</v>
      </c>
      <c r="V265">
        <v>369</v>
      </c>
      <c r="W265">
        <v>231</v>
      </c>
      <c r="X265" t="s">
        <v>971</v>
      </c>
      <c r="Y265" t="s">
        <v>3965</v>
      </c>
      <c r="Z265" t="s">
        <v>1987</v>
      </c>
      <c r="AA265" t="s">
        <v>1962</v>
      </c>
      <c r="AB265" t="s">
        <v>3966</v>
      </c>
      <c r="AC265" t="s">
        <v>984</v>
      </c>
      <c r="AD265" t="s">
        <v>985</v>
      </c>
      <c r="AE265">
        <v>2781</v>
      </c>
      <c r="AF265" t="s">
        <v>1951</v>
      </c>
    </row>
    <row r="266" spans="1:34" x14ac:dyDescent="0.75">
      <c r="A266" s="22" t="s">
        <v>6047</v>
      </c>
      <c r="B266" t="s">
        <v>3938</v>
      </c>
      <c r="C266" t="s">
        <v>34</v>
      </c>
      <c r="D266" t="s">
        <v>1745</v>
      </c>
      <c r="E266" t="s">
        <v>1746</v>
      </c>
      <c r="F266" t="s">
        <v>3939</v>
      </c>
      <c r="G266" s="1" t="str">
        <f>HYPERLINK("https://homd.org/jbrowse/?data=homd_V11.02_phage_1.2%2FGCA_020091545.1&amp;loc=GCA_020091545.1%7CCP081920.1%3A4770667..4777470&amp;tracks=prokka,prokka_ncrna,ncbi,ncbi_ncrna,panggolin,cenote,genomad&amp;highlight=","Open JBrowse")</f>
        <v>Open JBrowse</v>
      </c>
      <c r="H266">
        <v>4773667</v>
      </c>
      <c r="I266">
        <v>4774470</v>
      </c>
      <c r="J266" t="s">
        <v>3967</v>
      </c>
      <c r="K266" t="s">
        <v>39</v>
      </c>
      <c r="L266" t="s">
        <v>123</v>
      </c>
      <c r="M266" t="s">
        <v>124</v>
      </c>
      <c r="N266" t="s">
        <v>42</v>
      </c>
      <c r="O266">
        <v>3</v>
      </c>
      <c r="P266" t="s">
        <v>42</v>
      </c>
      <c r="Q266" t="s">
        <v>43</v>
      </c>
      <c r="R266" t="s">
        <v>3941</v>
      </c>
      <c r="S266" t="s">
        <v>123</v>
      </c>
      <c r="T266" t="s">
        <v>42</v>
      </c>
      <c r="U266">
        <v>35</v>
      </c>
      <c r="V266">
        <v>261</v>
      </c>
      <c r="W266">
        <v>227</v>
      </c>
      <c r="X266" t="s">
        <v>45</v>
      </c>
    </row>
    <row r="267" spans="1:34" x14ac:dyDescent="0.75">
      <c r="A267" s="22" t="s">
        <v>6047</v>
      </c>
      <c r="B267" t="s">
        <v>3968</v>
      </c>
      <c r="C267" t="s">
        <v>34</v>
      </c>
      <c r="D267" t="s">
        <v>1492</v>
      </c>
      <c r="E267" t="s">
        <v>1493</v>
      </c>
      <c r="F267" t="s">
        <v>3969</v>
      </c>
      <c r="G267" s="1" t="str">
        <f>HYPERLINK("https://homd.org/jbrowse/?data=homd_V11.02_phage_1.2%2FGCA_020149745.1&amp;loc=GCA_020149745.1%7CCP083813.1%3A1764590..1771393&amp;tracks=prokka,prokka_ncrna,ncbi,ncbi_ncrna,panggolin,cenote,genomad&amp;highlight=","Open JBrowse")</f>
        <v>Open JBrowse</v>
      </c>
      <c r="H267">
        <v>1767590</v>
      </c>
      <c r="I267">
        <v>1768393</v>
      </c>
      <c r="J267" t="s">
        <v>3970</v>
      </c>
      <c r="K267" t="s">
        <v>39</v>
      </c>
      <c r="L267" t="s">
        <v>123</v>
      </c>
      <c r="M267" t="s">
        <v>124</v>
      </c>
      <c r="N267" t="s">
        <v>42</v>
      </c>
      <c r="O267">
        <v>3</v>
      </c>
      <c r="P267" t="s">
        <v>42</v>
      </c>
      <c r="Q267" t="s">
        <v>43</v>
      </c>
      <c r="R267" t="s">
        <v>3971</v>
      </c>
      <c r="S267" t="s">
        <v>123</v>
      </c>
      <c r="T267" t="s">
        <v>42</v>
      </c>
      <c r="U267">
        <v>35</v>
      </c>
      <c r="V267">
        <v>261</v>
      </c>
      <c r="W267">
        <v>227</v>
      </c>
      <c r="X267" t="s">
        <v>45</v>
      </c>
      <c r="Y267" t="s">
        <v>3972</v>
      </c>
      <c r="Z267" t="s">
        <v>811</v>
      </c>
      <c r="AA267" t="s">
        <v>3973</v>
      </c>
    </row>
    <row r="268" spans="1:34" x14ac:dyDescent="0.75">
      <c r="A268" s="22" t="s">
        <v>6047</v>
      </c>
      <c r="B268" t="s">
        <v>3968</v>
      </c>
      <c r="C268" t="s">
        <v>34</v>
      </c>
      <c r="D268" t="s">
        <v>1492</v>
      </c>
      <c r="E268" t="s">
        <v>1493</v>
      </c>
      <c r="F268" t="s">
        <v>3969</v>
      </c>
      <c r="G268" s="1" t="str">
        <f>HYPERLINK("https://homd.org/jbrowse/?data=homd_V11.02_phage_1.2%2FGCA_020149745.1&amp;loc=GCA_020149745.1%7CCP083813.1%3A3194035..3200874&amp;tracks=prokka,prokka_ncrna,ncbi,ncbi_ncrna,panggolin,cenote,genomad&amp;highlight=","Open JBrowse")</f>
        <v>Open JBrowse</v>
      </c>
      <c r="H268">
        <v>3197035</v>
      </c>
      <c r="I268">
        <v>3197874</v>
      </c>
      <c r="J268" t="s">
        <v>3974</v>
      </c>
      <c r="K268" t="s">
        <v>59</v>
      </c>
      <c r="L268" t="s">
        <v>59</v>
      </c>
      <c r="M268" t="s">
        <v>59</v>
      </c>
      <c r="N268" t="s">
        <v>42</v>
      </c>
      <c r="O268">
        <v>1</v>
      </c>
      <c r="P268" t="s">
        <v>59</v>
      </c>
      <c r="Q268" t="s">
        <v>59</v>
      </c>
      <c r="R268" t="s">
        <v>3971</v>
      </c>
      <c r="T268" t="s">
        <v>42</v>
      </c>
      <c r="X268" t="s">
        <v>59</v>
      </c>
    </row>
    <row r="269" spans="1:34" x14ac:dyDescent="0.75">
      <c r="A269" s="22" t="s">
        <v>6047</v>
      </c>
      <c r="B269" t="s">
        <v>3968</v>
      </c>
      <c r="C269" t="s">
        <v>34</v>
      </c>
      <c r="D269" t="s">
        <v>1492</v>
      </c>
      <c r="E269" t="s">
        <v>1493</v>
      </c>
      <c r="F269" t="s">
        <v>3969</v>
      </c>
      <c r="G269" s="1" t="str">
        <f>HYPERLINK("https://homd.org/jbrowse/?data=homd_V11.02_phage_1.2%2FGCA_020149745.1&amp;loc=GCA_020149745.1%7CCP083813.1%3A1148476..1155291&amp;tracks=prokka,prokka_ncrna,ncbi,ncbi_ncrna,panggolin,cenote,genomad&amp;highlight=","Open JBrowse")</f>
        <v>Open JBrowse</v>
      </c>
      <c r="H269">
        <v>1151476</v>
      </c>
      <c r="I269">
        <v>1152291</v>
      </c>
      <c r="J269" t="s">
        <v>3975</v>
      </c>
      <c r="K269" t="s">
        <v>996</v>
      </c>
      <c r="L269" t="s">
        <v>343</v>
      </c>
      <c r="M269" t="s">
        <v>1502</v>
      </c>
      <c r="N269" t="s">
        <v>42</v>
      </c>
      <c r="O269">
        <v>3</v>
      </c>
      <c r="P269" t="s">
        <v>42</v>
      </c>
      <c r="Q269" t="s">
        <v>101</v>
      </c>
      <c r="R269" t="s">
        <v>3971</v>
      </c>
      <c r="S269" t="s">
        <v>343</v>
      </c>
      <c r="T269" t="s">
        <v>42</v>
      </c>
      <c r="U269">
        <v>38</v>
      </c>
      <c r="V269">
        <v>270</v>
      </c>
      <c r="W269">
        <v>233</v>
      </c>
      <c r="X269" t="s">
        <v>999</v>
      </c>
      <c r="Y269" t="s">
        <v>3976</v>
      </c>
      <c r="Z269" t="s">
        <v>743</v>
      </c>
      <c r="AA269" t="s">
        <v>3977</v>
      </c>
      <c r="AB269" t="s">
        <v>3978</v>
      </c>
      <c r="AC269" t="s">
        <v>1003</v>
      </c>
      <c r="AD269" t="s">
        <v>101</v>
      </c>
      <c r="AE269">
        <v>10479</v>
      </c>
      <c r="AF269" t="s">
        <v>3526</v>
      </c>
      <c r="AG269" t="s">
        <v>101</v>
      </c>
      <c r="AH269">
        <v>2</v>
      </c>
    </row>
    <row r="270" spans="1:34" x14ac:dyDescent="0.75">
      <c r="A270" s="22" t="s">
        <v>6047</v>
      </c>
      <c r="B270" t="s">
        <v>3979</v>
      </c>
      <c r="C270" t="s">
        <v>34</v>
      </c>
      <c r="D270" t="s">
        <v>2238</v>
      </c>
      <c r="E270" t="s">
        <v>2239</v>
      </c>
      <c r="F270" t="s">
        <v>3980</v>
      </c>
      <c r="G270" s="1" t="str">
        <f>HYPERLINK("https://homd.org/jbrowse/?data=homd_V11.02_phage_1.2%2FGCA_020550085.1&amp;loc=GCA_020550085.1%7CCP085132.1%3A2378574..2386007&amp;tracks=prokka,prokka_ncrna,ncbi,ncbi_ncrna,panggolin,cenote,genomad&amp;highlight=","Open JBrowse")</f>
        <v>Open JBrowse</v>
      </c>
      <c r="H270">
        <v>2381574</v>
      </c>
      <c r="I270">
        <v>2383007</v>
      </c>
      <c r="J270" t="s">
        <v>3981</v>
      </c>
      <c r="K270" t="s">
        <v>109</v>
      </c>
      <c r="L270" t="s">
        <v>3107</v>
      </c>
      <c r="M270" t="s">
        <v>3108</v>
      </c>
      <c r="N270" t="s">
        <v>42</v>
      </c>
      <c r="O270">
        <v>3</v>
      </c>
      <c r="P270" t="s">
        <v>42</v>
      </c>
      <c r="Q270" t="s">
        <v>101</v>
      </c>
      <c r="R270" t="s">
        <v>3982</v>
      </c>
      <c r="S270" t="s">
        <v>3107</v>
      </c>
      <c r="T270" t="s">
        <v>42</v>
      </c>
      <c r="U270">
        <v>239</v>
      </c>
      <c r="V270">
        <v>474</v>
      </c>
      <c r="W270">
        <v>236</v>
      </c>
      <c r="X270" t="s">
        <v>248</v>
      </c>
      <c r="Y270" t="s">
        <v>3983</v>
      </c>
      <c r="Z270" t="s">
        <v>1159</v>
      </c>
      <c r="AA270" t="s">
        <v>3111</v>
      </c>
      <c r="AB270" t="s">
        <v>3984</v>
      </c>
      <c r="AC270" t="s">
        <v>2257</v>
      </c>
      <c r="AD270" t="s">
        <v>51</v>
      </c>
      <c r="AE270">
        <v>13156</v>
      </c>
      <c r="AF270" t="s">
        <v>3113</v>
      </c>
      <c r="AG270" t="s">
        <v>101</v>
      </c>
      <c r="AH270">
        <v>2</v>
      </c>
    </row>
    <row r="271" spans="1:34" x14ac:dyDescent="0.75">
      <c r="A271" s="22" t="s">
        <v>6047</v>
      </c>
      <c r="B271" t="s">
        <v>3979</v>
      </c>
      <c r="C271" t="s">
        <v>34</v>
      </c>
      <c r="D271" t="s">
        <v>2238</v>
      </c>
      <c r="E271" t="s">
        <v>2239</v>
      </c>
      <c r="F271" t="s">
        <v>3980</v>
      </c>
      <c r="G271" s="1" t="str">
        <f>HYPERLINK("https://homd.org/jbrowse/?data=homd_V11.02_phage_1.2%2FGCA_020550085.1&amp;loc=GCA_020550085.1%7CCP085132.1%3A2445036..2451878&amp;tracks=prokka,prokka_ncrna,ncbi,ncbi_ncrna,panggolin,cenote,genomad&amp;highlight=","Open JBrowse")</f>
        <v>Open JBrowse</v>
      </c>
      <c r="H271">
        <v>2448036</v>
      </c>
      <c r="I271">
        <v>2448878</v>
      </c>
      <c r="J271" t="s">
        <v>3985</v>
      </c>
      <c r="K271" t="s">
        <v>59</v>
      </c>
      <c r="L271" t="s">
        <v>59</v>
      </c>
      <c r="M271" t="s">
        <v>59</v>
      </c>
      <c r="N271" t="s">
        <v>42</v>
      </c>
      <c r="O271">
        <v>1</v>
      </c>
      <c r="P271" t="s">
        <v>59</v>
      </c>
      <c r="Q271" t="s">
        <v>59</v>
      </c>
      <c r="R271" t="s">
        <v>3982</v>
      </c>
      <c r="T271" t="s">
        <v>42</v>
      </c>
      <c r="X271" t="s">
        <v>59</v>
      </c>
    </row>
    <row r="272" spans="1:34" x14ac:dyDescent="0.75">
      <c r="A272" s="22" t="s">
        <v>6047</v>
      </c>
      <c r="B272" t="s">
        <v>4005</v>
      </c>
      <c r="C272" t="s">
        <v>34</v>
      </c>
      <c r="D272" t="s">
        <v>2146</v>
      </c>
      <c r="E272" t="s">
        <v>2147</v>
      </c>
      <c r="F272" t="s">
        <v>4006</v>
      </c>
      <c r="G272" s="1" t="str">
        <f>HYPERLINK("https://homd.org/jbrowse/?data=homd_V11.02_phage_1.2%2FGCA_020735605.1&amp;loc=GCA_020735605.1%7CCP085927.1%3A1404047..1410835&amp;tracks=prokka,prokka_ncrna,ncbi,ncbi_ncrna,panggolin,cenote,genomad&amp;highlight=","Open JBrowse")</f>
        <v>Open JBrowse</v>
      </c>
      <c r="H272">
        <v>1407047</v>
      </c>
      <c r="I272">
        <v>1407835</v>
      </c>
      <c r="J272" t="s">
        <v>4007</v>
      </c>
      <c r="K272" t="s">
        <v>59</v>
      </c>
      <c r="L272" t="s">
        <v>2150</v>
      </c>
      <c r="M272" t="s">
        <v>2151</v>
      </c>
      <c r="N272" t="s">
        <v>42</v>
      </c>
      <c r="O272">
        <v>3</v>
      </c>
      <c r="P272" t="s">
        <v>42</v>
      </c>
      <c r="Q272" t="s">
        <v>59</v>
      </c>
      <c r="R272" t="s">
        <v>4008</v>
      </c>
      <c r="S272" t="s">
        <v>2150</v>
      </c>
      <c r="T272" t="s">
        <v>42</v>
      </c>
      <c r="U272">
        <v>31</v>
      </c>
      <c r="V272">
        <v>258</v>
      </c>
      <c r="W272">
        <v>228</v>
      </c>
      <c r="X272" t="s">
        <v>1251</v>
      </c>
      <c r="Y272" t="s">
        <v>4009</v>
      </c>
      <c r="Z272" t="s">
        <v>667</v>
      </c>
      <c r="AA272" t="s">
        <v>4010</v>
      </c>
      <c r="AB272" t="s">
        <v>4011</v>
      </c>
      <c r="AC272" t="s">
        <v>4012</v>
      </c>
      <c r="AD272" t="s">
        <v>1981</v>
      </c>
      <c r="AE272">
        <v>1635</v>
      </c>
      <c r="AF272" t="s">
        <v>4013</v>
      </c>
    </row>
    <row r="273" spans="1:34" x14ac:dyDescent="0.75">
      <c r="A273" s="22" t="s">
        <v>6047</v>
      </c>
      <c r="B273" t="s">
        <v>4020</v>
      </c>
      <c r="C273" t="s">
        <v>34</v>
      </c>
      <c r="D273" t="s">
        <v>55</v>
      </c>
      <c r="E273" t="s">
        <v>56</v>
      </c>
      <c r="F273" t="s">
        <v>4021</v>
      </c>
      <c r="G273" s="1" t="str">
        <f>HYPERLINK("https://homd.org/jbrowse/?data=homd_V11.02_phage_1.2%2FGCA_020735945.1&amp;loc=GCA_020735945.1%7CCP085944.1%3A3517845..3524675&amp;tracks=prokka,prokka_ncrna,ncbi,ncbi_ncrna,panggolin,cenote,genomad&amp;highlight=","Open JBrowse")</f>
        <v>Open JBrowse</v>
      </c>
      <c r="H273">
        <v>3520845</v>
      </c>
      <c r="I273">
        <v>3521675</v>
      </c>
      <c r="J273" t="s">
        <v>4022</v>
      </c>
      <c r="K273" t="s">
        <v>59</v>
      </c>
      <c r="L273" t="s">
        <v>60</v>
      </c>
      <c r="M273" t="s">
        <v>61</v>
      </c>
      <c r="N273" t="s">
        <v>42</v>
      </c>
      <c r="O273">
        <v>3</v>
      </c>
      <c r="P273" t="s">
        <v>42</v>
      </c>
      <c r="Q273" t="s">
        <v>59</v>
      </c>
      <c r="R273" t="s">
        <v>4023</v>
      </c>
      <c r="S273" t="s">
        <v>60</v>
      </c>
      <c r="T273" t="s">
        <v>42</v>
      </c>
      <c r="U273">
        <v>41</v>
      </c>
      <c r="V273">
        <v>274</v>
      </c>
      <c r="W273">
        <v>234</v>
      </c>
      <c r="X273" t="s">
        <v>63</v>
      </c>
      <c r="Y273" t="s">
        <v>4024</v>
      </c>
      <c r="Z273" t="s">
        <v>2254</v>
      </c>
      <c r="AA273" t="s">
        <v>66</v>
      </c>
      <c r="AB273" t="s">
        <v>4025</v>
      </c>
      <c r="AC273" t="s">
        <v>68</v>
      </c>
      <c r="AD273" t="s">
        <v>69</v>
      </c>
      <c r="AE273">
        <v>2821</v>
      </c>
      <c r="AF273" t="s">
        <v>70</v>
      </c>
      <c r="AG273" t="s">
        <v>71</v>
      </c>
      <c r="AH273">
        <v>2</v>
      </c>
    </row>
    <row r="274" spans="1:34" x14ac:dyDescent="0.75">
      <c r="A274" s="22" t="s">
        <v>6047</v>
      </c>
      <c r="B274" t="s">
        <v>4156</v>
      </c>
      <c r="C274" t="s">
        <v>34</v>
      </c>
      <c r="D274" t="s">
        <v>2238</v>
      </c>
      <c r="E274" t="s">
        <v>2239</v>
      </c>
      <c r="F274" t="s">
        <v>4157</v>
      </c>
      <c r="G274" s="1" t="str">
        <f>HYPERLINK("https://homd.org/jbrowse/?data=homd_V11.02_phage_1.2%2FGCA_022834995.1&amp;loc=GCA_022834995.1%7CBQNL01000001.1%3A2736843..2743787&amp;tracks=prokka,prokka_ncrna,ncbi,ncbi_ncrna,panggolin,cenote,genomad&amp;highlight=","Open JBrowse")</f>
        <v>Open JBrowse</v>
      </c>
      <c r="H274">
        <v>2739843</v>
      </c>
      <c r="I274">
        <v>2740787</v>
      </c>
      <c r="J274" t="s">
        <v>4158</v>
      </c>
      <c r="K274" t="s">
        <v>109</v>
      </c>
      <c r="L274" t="s">
        <v>4159</v>
      </c>
      <c r="M274" t="s">
        <v>4160</v>
      </c>
      <c r="N274" t="s">
        <v>42</v>
      </c>
      <c r="O274">
        <v>3</v>
      </c>
      <c r="P274" t="s">
        <v>42</v>
      </c>
      <c r="Q274" t="s">
        <v>101</v>
      </c>
      <c r="R274" t="s">
        <v>4161</v>
      </c>
      <c r="S274" t="s">
        <v>4159</v>
      </c>
      <c r="T274" t="s">
        <v>42</v>
      </c>
      <c r="U274">
        <v>76</v>
      </c>
      <c r="V274">
        <v>311</v>
      </c>
      <c r="W274">
        <v>236</v>
      </c>
      <c r="X274" t="s">
        <v>248</v>
      </c>
      <c r="Y274" t="s">
        <v>4162</v>
      </c>
      <c r="Z274" t="s">
        <v>1643</v>
      </c>
      <c r="AA274" t="s">
        <v>4163</v>
      </c>
      <c r="AB274" t="s">
        <v>4164</v>
      </c>
      <c r="AC274" t="s">
        <v>2257</v>
      </c>
      <c r="AD274" t="s">
        <v>51</v>
      </c>
      <c r="AE274">
        <v>15715</v>
      </c>
      <c r="AF274" t="s">
        <v>4165</v>
      </c>
      <c r="AG274" t="s">
        <v>101</v>
      </c>
      <c r="AH274">
        <v>2</v>
      </c>
    </row>
    <row r="275" spans="1:34" x14ac:dyDescent="0.75">
      <c r="A275" s="22" t="s">
        <v>6047</v>
      </c>
      <c r="B275" t="s">
        <v>4156</v>
      </c>
      <c r="C275" t="s">
        <v>34</v>
      </c>
      <c r="D275" t="s">
        <v>2238</v>
      </c>
      <c r="E275" t="s">
        <v>2239</v>
      </c>
      <c r="F275" t="s">
        <v>4157</v>
      </c>
      <c r="G275" s="1" t="str">
        <f>HYPERLINK("https://homd.org/jbrowse/?data=homd_V11.02_phage_1.2%2FGCA_022834995.1&amp;loc=GCA_022834995.1%7CBQNL01000001.1%3A2803880..2810722&amp;tracks=prokka,prokka_ncrna,ncbi,ncbi_ncrna,panggolin,cenote,genomad&amp;highlight=","Open JBrowse")</f>
        <v>Open JBrowse</v>
      </c>
      <c r="H275">
        <v>2806880</v>
      </c>
      <c r="I275">
        <v>2807722</v>
      </c>
      <c r="J275" t="s">
        <v>4166</v>
      </c>
      <c r="K275" t="s">
        <v>59</v>
      </c>
      <c r="L275" t="s">
        <v>59</v>
      </c>
      <c r="M275" t="s">
        <v>59</v>
      </c>
      <c r="N275" t="s">
        <v>42</v>
      </c>
      <c r="O275">
        <v>1</v>
      </c>
      <c r="P275" t="s">
        <v>59</v>
      </c>
      <c r="Q275" t="s">
        <v>59</v>
      </c>
      <c r="R275" t="s">
        <v>4161</v>
      </c>
      <c r="T275" t="s">
        <v>42</v>
      </c>
      <c r="X275" t="s">
        <v>59</v>
      </c>
    </row>
    <row r="276" spans="1:34" x14ac:dyDescent="0.75">
      <c r="A276" s="22" t="s">
        <v>6047</v>
      </c>
      <c r="B276" t="s">
        <v>4167</v>
      </c>
      <c r="C276" t="s">
        <v>34</v>
      </c>
      <c r="D276" t="s">
        <v>2146</v>
      </c>
      <c r="E276" t="s">
        <v>2147</v>
      </c>
      <c r="F276" t="s">
        <v>4168</v>
      </c>
      <c r="G276" s="1" t="str">
        <f>HYPERLINK("https://homd.org/jbrowse/?data=homd_V11.02_phage_1.2%2FGCA_022835275.1&amp;loc=GCA_022835275.1%7CBQNZ01000002.1%3A987697..994485&amp;tracks=prokka,prokka_ncrna,ncbi,ncbi_ncrna,panggolin,cenote,genomad&amp;highlight=","Open JBrowse")</f>
        <v>Open JBrowse</v>
      </c>
      <c r="H276">
        <v>990697</v>
      </c>
      <c r="I276">
        <v>991485</v>
      </c>
      <c r="J276" t="s">
        <v>4169</v>
      </c>
      <c r="K276" t="s">
        <v>59</v>
      </c>
      <c r="L276" t="s">
        <v>2150</v>
      </c>
      <c r="M276" t="s">
        <v>2151</v>
      </c>
      <c r="N276" t="s">
        <v>42</v>
      </c>
      <c r="O276">
        <v>3</v>
      </c>
      <c r="P276" t="s">
        <v>42</v>
      </c>
      <c r="Q276" t="s">
        <v>59</v>
      </c>
      <c r="R276" t="s">
        <v>4170</v>
      </c>
      <c r="S276" t="s">
        <v>2150</v>
      </c>
      <c r="T276" t="s">
        <v>42</v>
      </c>
      <c r="U276">
        <v>31</v>
      </c>
      <c r="V276">
        <v>258</v>
      </c>
      <c r="W276">
        <v>228</v>
      </c>
      <c r="X276" t="s">
        <v>1251</v>
      </c>
      <c r="Y276" t="s">
        <v>4171</v>
      </c>
      <c r="Z276" t="s">
        <v>3551</v>
      </c>
      <c r="AA276" t="s">
        <v>4010</v>
      </c>
      <c r="AB276" t="s">
        <v>4172</v>
      </c>
      <c r="AC276" t="s">
        <v>4012</v>
      </c>
      <c r="AD276" t="s">
        <v>1981</v>
      </c>
      <c r="AE276">
        <v>1635</v>
      </c>
      <c r="AF276" t="s">
        <v>4013</v>
      </c>
    </row>
    <row r="277" spans="1:34" x14ac:dyDescent="0.75">
      <c r="A277" s="22" t="s">
        <v>6047</v>
      </c>
      <c r="B277" t="s">
        <v>4204</v>
      </c>
      <c r="C277" t="s">
        <v>34</v>
      </c>
      <c r="D277" t="s">
        <v>863</v>
      </c>
      <c r="E277" t="s">
        <v>864</v>
      </c>
      <c r="F277" t="s">
        <v>4205</v>
      </c>
      <c r="G277" s="1" t="str">
        <f>HYPERLINK("https://homd.org/jbrowse/?data=homd_V11.02_phage_1.2%2FGCA_023668195.1&amp;loc=GCA_023668195.1%7CJAMOWN010000004.1%3A93900..100691&amp;tracks=prokka,prokka_ncrna,ncbi,ncbi_ncrna,panggolin,cenote,genomad&amp;highlight=","Open JBrowse")</f>
        <v>Open JBrowse</v>
      </c>
      <c r="H277">
        <v>96900</v>
      </c>
      <c r="I277">
        <v>97691</v>
      </c>
      <c r="J277" t="s">
        <v>4206</v>
      </c>
      <c r="K277" t="s">
        <v>39</v>
      </c>
      <c r="L277" t="s">
        <v>40</v>
      </c>
      <c r="M277" t="s">
        <v>867</v>
      </c>
      <c r="N277" t="s">
        <v>42</v>
      </c>
      <c r="O277">
        <v>3</v>
      </c>
      <c r="P277" t="s">
        <v>42</v>
      </c>
      <c r="Q277" t="s">
        <v>43</v>
      </c>
      <c r="R277" t="s">
        <v>4207</v>
      </c>
      <c r="S277" t="s">
        <v>40</v>
      </c>
      <c r="T277" t="s">
        <v>42</v>
      </c>
      <c r="U277">
        <v>34</v>
      </c>
      <c r="V277">
        <v>260</v>
      </c>
      <c r="W277">
        <v>227</v>
      </c>
      <c r="X277" t="s">
        <v>45</v>
      </c>
      <c r="Y277" t="s">
        <v>4208</v>
      </c>
      <c r="Z277" t="s">
        <v>97</v>
      </c>
      <c r="AA277" t="s">
        <v>913</v>
      </c>
    </row>
    <row r="278" spans="1:34" x14ac:dyDescent="0.75">
      <c r="A278" s="22" t="s">
        <v>6047</v>
      </c>
      <c r="B278" t="s">
        <v>4209</v>
      </c>
      <c r="C278" t="s">
        <v>34</v>
      </c>
      <c r="D278" t="s">
        <v>863</v>
      </c>
      <c r="E278" t="s">
        <v>864</v>
      </c>
      <c r="F278" t="s">
        <v>4210</v>
      </c>
      <c r="G278" s="1" t="str">
        <f>HYPERLINK("https://homd.org/jbrowse/?data=homd_V11.02_phage_1.2%2FGCA_023668475.1&amp;loc=GCA_023668475.1%7CJAMOXA010000003.1%3A140940..147731&amp;tracks=prokka,prokka_ncrna,ncbi,ncbi_ncrna,panggolin,cenote,genomad&amp;highlight=","Open JBrowse")</f>
        <v>Open JBrowse</v>
      </c>
      <c r="H278">
        <v>143940</v>
      </c>
      <c r="I278">
        <v>144731</v>
      </c>
      <c r="J278" t="s">
        <v>4211</v>
      </c>
      <c r="K278" t="s">
        <v>39</v>
      </c>
      <c r="L278" t="s">
        <v>40</v>
      </c>
      <c r="M278" t="s">
        <v>867</v>
      </c>
      <c r="N278" t="s">
        <v>42</v>
      </c>
      <c r="O278">
        <v>3</v>
      </c>
      <c r="P278" t="s">
        <v>42</v>
      </c>
      <c r="Q278" t="s">
        <v>43</v>
      </c>
      <c r="R278" t="s">
        <v>4212</v>
      </c>
      <c r="S278" t="s">
        <v>40</v>
      </c>
      <c r="T278" t="s">
        <v>42</v>
      </c>
      <c r="U278">
        <v>34</v>
      </c>
      <c r="V278">
        <v>260</v>
      </c>
      <c r="W278">
        <v>227</v>
      </c>
      <c r="X278" t="s">
        <v>45</v>
      </c>
      <c r="Y278" t="s">
        <v>4213</v>
      </c>
      <c r="Z278" t="s">
        <v>90</v>
      </c>
      <c r="AA278" t="s">
        <v>913</v>
      </c>
    </row>
    <row r="279" spans="1:34" x14ac:dyDescent="0.75">
      <c r="A279" s="22" t="s">
        <v>6047</v>
      </c>
      <c r="B279" t="s">
        <v>4214</v>
      </c>
      <c r="C279" t="s">
        <v>34</v>
      </c>
      <c r="D279" t="s">
        <v>2146</v>
      </c>
      <c r="E279" t="s">
        <v>2147</v>
      </c>
      <c r="F279" t="s">
        <v>4215</v>
      </c>
      <c r="G279" s="1" t="str">
        <f>HYPERLINK("https://homd.org/jbrowse/?data=homd_V11.02_phage_1.2%2FGCA_024125345.1&amp;loc=GCA_024125345.1%7CJAMXVJ010000001.1%3A1423807..1430595&amp;tracks=prokka,prokka_ncrna,ncbi,ncbi_ncrna,panggolin,cenote,genomad&amp;highlight=","Open JBrowse")</f>
        <v>Open JBrowse</v>
      </c>
      <c r="H279">
        <v>1426807</v>
      </c>
      <c r="I279">
        <v>1427595</v>
      </c>
      <c r="J279" t="s">
        <v>4216</v>
      </c>
      <c r="K279" t="s">
        <v>59</v>
      </c>
      <c r="L279" t="s">
        <v>2150</v>
      </c>
      <c r="M279" t="s">
        <v>2151</v>
      </c>
      <c r="N279" t="s">
        <v>42</v>
      </c>
      <c r="O279">
        <v>3</v>
      </c>
      <c r="P279" t="s">
        <v>42</v>
      </c>
      <c r="Q279" t="s">
        <v>59</v>
      </c>
      <c r="R279" t="s">
        <v>4217</v>
      </c>
      <c r="S279" t="s">
        <v>2150</v>
      </c>
      <c r="T279" t="s">
        <v>42</v>
      </c>
      <c r="U279">
        <v>31</v>
      </c>
      <c r="V279">
        <v>258</v>
      </c>
      <c r="W279">
        <v>228</v>
      </c>
      <c r="X279" t="s">
        <v>1251</v>
      </c>
      <c r="Y279" t="s">
        <v>4218</v>
      </c>
      <c r="Z279" t="s">
        <v>824</v>
      </c>
      <c r="AA279" t="s">
        <v>4010</v>
      </c>
      <c r="AB279" t="s">
        <v>4219</v>
      </c>
      <c r="AC279" t="s">
        <v>4012</v>
      </c>
      <c r="AD279" t="s">
        <v>1981</v>
      </c>
      <c r="AE279">
        <v>1635</v>
      </c>
      <c r="AF279" t="s">
        <v>4013</v>
      </c>
    </row>
    <row r="280" spans="1:34" x14ac:dyDescent="0.75">
      <c r="A280" s="22" t="s">
        <v>6047</v>
      </c>
      <c r="B280" t="s">
        <v>4220</v>
      </c>
      <c r="C280" t="s">
        <v>34</v>
      </c>
      <c r="D280" t="s">
        <v>2117</v>
      </c>
      <c r="E280" t="s">
        <v>2118</v>
      </c>
      <c r="F280" t="s">
        <v>4221</v>
      </c>
      <c r="G280" s="1" t="str">
        <f>HYPERLINK("https://homd.org/jbrowse/?data=homd_V11.02_phage_1.2%2FGCA_024167965.1&amp;loc=GCA_024167965.1%7CCP100127.1%3A616513..623541&amp;tracks=prokka,prokka_ncrna,ncbi,ncbi_ncrna,panggolin,cenote,genomad&amp;highlight=","Open JBrowse")</f>
        <v>Open JBrowse</v>
      </c>
      <c r="H280">
        <v>619513</v>
      </c>
      <c r="I280">
        <v>620541</v>
      </c>
      <c r="J280" t="s">
        <v>4222</v>
      </c>
      <c r="K280" t="s">
        <v>59</v>
      </c>
      <c r="L280" t="s">
        <v>4223</v>
      </c>
      <c r="M280" t="s">
        <v>4224</v>
      </c>
      <c r="N280" t="s">
        <v>59</v>
      </c>
      <c r="O280">
        <v>2</v>
      </c>
      <c r="P280" t="s">
        <v>42</v>
      </c>
      <c r="Q280" t="s">
        <v>59</v>
      </c>
      <c r="R280" t="s">
        <v>4225</v>
      </c>
      <c r="S280" t="s">
        <v>4223</v>
      </c>
      <c r="T280" t="s">
        <v>42</v>
      </c>
      <c r="U280">
        <v>2</v>
      </c>
      <c r="V280">
        <v>192</v>
      </c>
      <c r="W280">
        <v>191</v>
      </c>
      <c r="X280" t="s">
        <v>2124</v>
      </c>
      <c r="Y280" t="s">
        <v>4226</v>
      </c>
      <c r="Z280" t="s">
        <v>336</v>
      </c>
      <c r="AA280" t="s">
        <v>4227</v>
      </c>
    </row>
    <row r="281" spans="1:34" x14ac:dyDescent="0.75">
      <c r="A281" s="22" t="s">
        <v>6047</v>
      </c>
      <c r="B281" t="s">
        <v>4228</v>
      </c>
      <c r="C281" t="s">
        <v>34</v>
      </c>
      <c r="D281" t="s">
        <v>2524</v>
      </c>
      <c r="E281" t="s">
        <v>2525</v>
      </c>
      <c r="F281" t="s">
        <v>4229</v>
      </c>
      <c r="G281" s="1" t="str">
        <f>HYPERLINK("https://homd.org/jbrowse/?data=homd_V11.02_phage_1.2%2FGCA_024329925.1&amp;loc=GCA_024329925.1%7CJANDXG010000007.1%3A129194..136030&amp;tracks=prokka,prokka_ncrna,ncbi,ncbi_ncrna,panggolin,cenote,genomad&amp;highlight=","Open JBrowse")</f>
        <v>Open JBrowse</v>
      </c>
      <c r="H281">
        <v>132194</v>
      </c>
      <c r="I281">
        <v>133030</v>
      </c>
      <c r="J281" t="s">
        <v>4230</v>
      </c>
      <c r="K281" t="s">
        <v>39</v>
      </c>
      <c r="L281" t="s">
        <v>4231</v>
      </c>
      <c r="M281" t="s">
        <v>4232</v>
      </c>
      <c r="N281" t="s">
        <v>42</v>
      </c>
      <c r="O281">
        <v>3</v>
      </c>
      <c r="P281" t="s">
        <v>42</v>
      </c>
      <c r="Q281" t="s">
        <v>43</v>
      </c>
      <c r="R281" t="s">
        <v>4233</v>
      </c>
      <c r="S281" t="s">
        <v>4231</v>
      </c>
      <c r="T281" t="s">
        <v>42</v>
      </c>
      <c r="U281">
        <v>37</v>
      </c>
      <c r="V281">
        <v>274</v>
      </c>
      <c r="W281">
        <v>238</v>
      </c>
      <c r="X281" t="s">
        <v>45</v>
      </c>
      <c r="Y281" t="s">
        <v>4234</v>
      </c>
      <c r="Z281" t="s">
        <v>824</v>
      </c>
      <c r="AA281" t="s">
        <v>4235</v>
      </c>
    </row>
    <row r="282" spans="1:34" x14ac:dyDescent="0.75">
      <c r="A282" s="22" t="s">
        <v>6047</v>
      </c>
      <c r="B282" t="s">
        <v>4236</v>
      </c>
      <c r="C282" t="s">
        <v>34</v>
      </c>
      <c r="D282" t="s">
        <v>2524</v>
      </c>
      <c r="E282" t="s">
        <v>2525</v>
      </c>
      <c r="F282" t="s">
        <v>4237</v>
      </c>
      <c r="G282" s="1" t="str">
        <f>HYPERLINK("https://homd.org/jbrowse/?data=homd_V11.02_phage_1.2%2FGCA_024330295.1&amp;loc=GCA_024330295.1%7CJANDXA010000006.1%3A129274..136110&amp;tracks=prokka,prokka_ncrna,ncbi,ncbi_ncrna,panggolin,cenote,genomad&amp;highlight=","Open JBrowse")</f>
        <v>Open JBrowse</v>
      </c>
      <c r="H282">
        <v>132274</v>
      </c>
      <c r="I282">
        <v>133110</v>
      </c>
      <c r="J282" t="s">
        <v>4238</v>
      </c>
      <c r="K282" t="s">
        <v>39</v>
      </c>
      <c r="L282" t="s">
        <v>4231</v>
      </c>
      <c r="M282" t="s">
        <v>4232</v>
      </c>
      <c r="N282" t="s">
        <v>42</v>
      </c>
      <c r="O282">
        <v>3</v>
      </c>
      <c r="P282" t="s">
        <v>42</v>
      </c>
      <c r="Q282" t="s">
        <v>43</v>
      </c>
      <c r="R282" t="s">
        <v>4239</v>
      </c>
      <c r="S282" t="s">
        <v>4231</v>
      </c>
      <c r="T282" t="s">
        <v>42</v>
      </c>
      <c r="U282">
        <v>37</v>
      </c>
      <c r="V282">
        <v>274</v>
      </c>
      <c r="W282">
        <v>238</v>
      </c>
      <c r="X282" t="s">
        <v>45</v>
      </c>
      <c r="Y282" t="s">
        <v>4240</v>
      </c>
      <c r="Z282" t="s">
        <v>892</v>
      </c>
      <c r="AA282" t="s">
        <v>4235</v>
      </c>
    </row>
    <row r="283" spans="1:34" x14ac:dyDescent="0.75">
      <c r="A283" s="22" t="s">
        <v>6047</v>
      </c>
      <c r="B283" t="s">
        <v>4241</v>
      </c>
      <c r="C283" t="s">
        <v>34</v>
      </c>
      <c r="D283" t="s">
        <v>2524</v>
      </c>
      <c r="E283" t="s">
        <v>2525</v>
      </c>
      <c r="F283" t="s">
        <v>4242</v>
      </c>
      <c r="G283" s="1" t="str">
        <f>HYPERLINK("https://homd.org/jbrowse/?data=homd_V11.02_phage_1.2%2FGCA_024330365.1&amp;loc=GCA_024330365.1%7CJANDWZ010000023.1%3A12085..18921&amp;tracks=prokka,prokka_ncrna,ncbi,ncbi_ncrna,panggolin,cenote,genomad&amp;highlight=","Open JBrowse")</f>
        <v>Open JBrowse</v>
      </c>
      <c r="H283">
        <v>15085</v>
      </c>
      <c r="I283">
        <v>15921</v>
      </c>
      <c r="J283" t="s">
        <v>4243</v>
      </c>
      <c r="K283" t="s">
        <v>39</v>
      </c>
      <c r="L283" t="s">
        <v>4231</v>
      </c>
      <c r="M283" t="s">
        <v>4232</v>
      </c>
      <c r="N283" t="s">
        <v>42</v>
      </c>
      <c r="O283">
        <v>3</v>
      </c>
      <c r="P283" t="s">
        <v>42</v>
      </c>
      <c r="Q283" t="s">
        <v>43</v>
      </c>
      <c r="R283" t="s">
        <v>4244</v>
      </c>
      <c r="S283" t="s">
        <v>4231</v>
      </c>
      <c r="T283" t="s">
        <v>42</v>
      </c>
      <c r="U283">
        <v>37</v>
      </c>
      <c r="V283">
        <v>274</v>
      </c>
      <c r="W283">
        <v>238</v>
      </c>
      <c r="X283" t="s">
        <v>45</v>
      </c>
      <c r="Y283" t="s">
        <v>4245</v>
      </c>
      <c r="Z283" t="s">
        <v>556</v>
      </c>
      <c r="AA283" t="s">
        <v>4246</v>
      </c>
    </row>
    <row r="284" spans="1:34" x14ac:dyDescent="0.75">
      <c r="A284" s="22" t="s">
        <v>6047</v>
      </c>
      <c r="B284" t="s">
        <v>4247</v>
      </c>
      <c r="C284" t="s">
        <v>34</v>
      </c>
      <c r="D284" t="s">
        <v>2524</v>
      </c>
      <c r="E284" t="s">
        <v>2525</v>
      </c>
      <c r="F284" t="s">
        <v>4248</v>
      </c>
      <c r="G284" s="1" t="str">
        <f>HYPERLINK("https://homd.org/jbrowse/?data=homd_V11.02_phage_1.2%2FGCA_024330435.1&amp;loc=GCA_024330435.1%7CJANDWY010000006.1%3A129274..136110&amp;tracks=prokka,prokka_ncrna,ncbi,ncbi_ncrna,panggolin,cenote,genomad&amp;highlight=","Open JBrowse")</f>
        <v>Open JBrowse</v>
      </c>
      <c r="H284">
        <v>132274</v>
      </c>
      <c r="I284">
        <v>133110</v>
      </c>
      <c r="J284" t="s">
        <v>4249</v>
      </c>
      <c r="K284" t="s">
        <v>39</v>
      </c>
      <c r="L284" t="s">
        <v>4231</v>
      </c>
      <c r="M284" t="s">
        <v>4232</v>
      </c>
      <c r="N284" t="s">
        <v>42</v>
      </c>
      <c r="O284">
        <v>3</v>
      </c>
      <c r="P284" t="s">
        <v>42</v>
      </c>
      <c r="Q284" t="s">
        <v>43</v>
      </c>
      <c r="R284" t="s">
        <v>4250</v>
      </c>
      <c r="S284" t="s">
        <v>4231</v>
      </c>
      <c r="T284" t="s">
        <v>42</v>
      </c>
      <c r="U284">
        <v>37</v>
      </c>
      <c r="V284">
        <v>274</v>
      </c>
      <c r="W284">
        <v>238</v>
      </c>
      <c r="X284" t="s">
        <v>45</v>
      </c>
      <c r="Y284" t="s">
        <v>4251</v>
      </c>
      <c r="Z284" t="s">
        <v>892</v>
      </c>
      <c r="AA284" t="s">
        <v>4235</v>
      </c>
    </row>
    <row r="285" spans="1:34" x14ac:dyDescent="0.75">
      <c r="A285" s="22" t="s">
        <v>6047</v>
      </c>
      <c r="B285" t="s">
        <v>4252</v>
      </c>
      <c r="C285" t="s">
        <v>34</v>
      </c>
      <c r="D285" t="s">
        <v>2524</v>
      </c>
      <c r="E285" t="s">
        <v>2525</v>
      </c>
      <c r="F285" t="s">
        <v>4253</v>
      </c>
      <c r="G285" s="1" t="str">
        <f>HYPERLINK("https://homd.org/jbrowse/?data=homd_V11.02_phage_1.2%2FGCA_024330665.1&amp;loc=GCA_024330665.1%7CJANDXE010000021.1%3A53190..60026&amp;tracks=prokka,prokka_ncrna,ncbi,ncbi_ncrna,panggolin,cenote,genomad&amp;highlight=","Open JBrowse")</f>
        <v>Open JBrowse</v>
      </c>
      <c r="H285">
        <v>56190</v>
      </c>
      <c r="I285">
        <v>57026</v>
      </c>
      <c r="J285" t="s">
        <v>4254</v>
      </c>
      <c r="K285" t="s">
        <v>39</v>
      </c>
      <c r="L285" t="s">
        <v>4231</v>
      </c>
      <c r="M285" t="s">
        <v>4232</v>
      </c>
      <c r="N285" t="s">
        <v>42</v>
      </c>
      <c r="O285">
        <v>3</v>
      </c>
      <c r="P285" t="s">
        <v>42</v>
      </c>
      <c r="Q285" t="s">
        <v>43</v>
      </c>
      <c r="R285" t="s">
        <v>4255</v>
      </c>
      <c r="S285" t="s">
        <v>4231</v>
      </c>
      <c r="T285" t="s">
        <v>42</v>
      </c>
      <c r="U285">
        <v>37</v>
      </c>
      <c r="V285">
        <v>274</v>
      </c>
      <c r="W285">
        <v>238</v>
      </c>
      <c r="X285" t="s">
        <v>45</v>
      </c>
      <c r="Y285" t="s">
        <v>4256</v>
      </c>
      <c r="Z285" t="s">
        <v>2110</v>
      </c>
      <c r="AA285" t="s">
        <v>4235</v>
      </c>
    </row>
    <row r="286" spans="1:34" x14ac:dyDescent="0.75">
      <c r="A286" s="22" t="s">
        <v>6047</v>
      </c>
      <c r="B286" t="s">
        <v>4257</v>
      </c>
      <c r="C286" t="s">
        <v>34</v>
      </c>
      <c r="D286" t="s">
        <v>2524</v>
      </c>
      <c r="E286" t="s">
        <v>2525</v>
      </c>
      <c r="F286" t="s">
        <v>4258</v>
      </c>
      <c r="G286" s="1" t="str">
        <f>HYPERLINK("https://homd.org/jbrowse/?data=homd_V11.02_phage_1.2%2FGCA_024330875.1&amp;loc=GCA_024330875.1%7CJANDXB010000004.1%3A12085..18921&amp;tracks=prokka,prokka_ncrna,ncbi,ncbi_ncrna,panggolin,cenote,genomad&amp;highlight=","Open JBrowse")</f>
        <v>Open JBrowse</v>
      </c>
      <c r="H286">
        <v>15085</v>
      </c>
      <c r="I286">
        <v>15921</v>
      </c>
      <c r="J286" t="s">
        <v>4259</v>
      </c>
      <c r="K286" t="s">
        <v>39</v>
      </c>
      <c r="L286" t="s">
        <v>4231</v>
      </c>
      <c r="M286" t="s">
        <v>4232</v>
      </c>
      <c r="N286" t="s">
        <v>42</v>
      </c>
      <c r="O286">
        <v>3</v>
      </c>
      <c r="P286" t="s">
        <v>42</v>
      </c>
      <c r="Q286" t="s">
        <v>43</v>
      </c>
      <c r="R286" t="s">
        <v>4260</v>
      </c>
      <c r="S286" t="s">
        <v>4231</v>
      </c>
      <c r="T286" t="s">
        <v>42</v>
      </c>
      <c r="U286">
        <v>37</v>
      </c>
      <c r="V286">
        <v>274</v>
      </c>
      <c r="W286">
        <v>238</v>
      </c>
      <c r="X286" t="s">
        <v>45</v>
      </c>
      <c r="Y286" t="s">
        <v>4261</v>
      </c>
      <c r="Z286" t="s">
        <v>281</v>
      </c>
      <c r="AA286" t="s">
        <v>4246</v>
      </c>
    </row>
    <row r="287" spans="1:34" x14ac:dyDescent="0.75">
      <c r="A287" s="22" t="s">
        <v>6047</v>
      </c>
      <c r="B287" t="s">
        <v>4262</v>
      </c>
      <c r="C287" t="s">
        <v>34</v>
      </c>
      <c r="D287" t="s">
        <v>2524</v>
      </c>
      <c r="E287" t="s">
        <v>2525</v>
      </c>
      <c r="F287" t="s">
        <v>4263</v>
      </c>
      <c r="G287" s="1" t="str">
        <f>HYPERLINK("https://homd.org/jbrowse/?data=homd_V11.02_phage_1.2%2FGCA_024330905.1&amp;loc=GCA_024330905.1%7CJANDXC010000006.1%3A129194..136030&amp;tracks=prokka,prokka_ncrna,ncbi,ncbi_ncrna,panggolin,cenote,genomad&amp;highlight=","Open JBrowse")</f>
        <v>Open JBrowse</v>
      </c>
      <c r="H287">
        <v>132194</v>
      </c>
      <c r="I287">
        <v>133030</v>
      </c>
      <c r="J287" t="s">
        <v>4264</v>
      </c>
      <c r="K287" t="s">
        <v>39</v>
      </c>
      <c r="L287" t="s">
        <v>4231</v>
      </c>
      <c r="M287" t="s">
        <v>4232</v>
      </c>
      <c r="N287" t="s">
        <v>42</v>
      </c>
      <c r="O287">
        <v>3</v>
      </c>
      <c r="P287" t="s">
        <v>42</v>
      </c>
      <c r="Q287" t="s">
        <v>43</v>
      </c>
      <c r="R287" t="s">
        <v>4265</v>
      </c>
      <c r="S287" t="s">
        <v>4231</v>
      </c>
      <c r="T287" t="s">
        <v>42</v>
      </c>
      <c r="U287">
        <v>37</v>
      </c>
      <c r="V287">
        <v>274</v>
      </c>
      <c r="W287">
        <v>238</v>
      </c>
      <c r="X287" t="s">
        <v>45</v>
      </c>
      <c r="Y287" t="s">
        <v>4266</v>
      </c>
      <c r="Z287" t="s">
        <v>892</v>
      </c>
      <c r="AA287" t="s">
        <v>4235</v>
      </c>
    </row>
    <row r="288" spans="1:34" x14ac:dyDescent="0.75">
      <c r="A288" s="22" t="s">
        <v>6047</v>
      </c>
      <c r="B288" t="s">
        <v>4267</v>
      </c>
      <c r="C288" t="s">
        <v>34</v>
      </c>
      <c r="D288" t="s">
        <v>2146</v>
      </c>
      <c r="E288" t="s">
        <v>2147</v>
      </c>
      <c r="F288" t="s">
        <v>4268</v>
      </c>
      <c r="G288" s="1" t="str">
        <f>HYPERLINK("https://homd.org/jbrowse/?data=homd_V11.02_phage_1.2%2FGCA_024592595.1&amp;loc=GCA_024592595.1%7CJANJGS010000001.1%3A4343501..4350289&amp;tracks=prokka,prokka_ncrna,ncbi,ncbi_ncrna,panggolin,cenote,genomad&amp;highlight=","Open JBrowse")</f>
        <v>Open JBrowse</v>
      </c>
      <c r="H288">
        <v>4346501</v>
      </c>
      <c r="I288">
        <v>4347289</v>
      </c>
      <c r="J288" t="s">
        <v>4269</v>
      </c>
      <c r="K288" t="s">
        <v>59</v>
      </c>
      <c r="L288" t="s">
        <v>2150</v>
      </c>
      <c r="M288" t="s">
        <v>2151</v>
      </c>
      <c r="N288" t="s">
        <v>42</v>
      </c>
      <c r="O288">
        <v>3</v>
      </c>
      <c r="P288" t="s">
        <v>42</v>
      </c>
      <c r="Q288" t="s">
        <v>59</v>
      </c>
      <c r="R288" t="s">
        <v>4270</v>
      </c>
      <c r="S288" t="s">
        <v>2150</v>
      </c>
      <c r="T288" t="s">
        <v>42</v>
      </c>
      <c r="U288">
        <v>31</v>
      </c>
      <c r="V288">
        <v>258</v>
      </c>
      <c r="W288">
        <v>228</v>
      </c>
      <c r="X288" t="s">
        <v>1251</v>
      </c>
      <c r="Y288" t="s">
        <v>4271</v>
      </c>
      <c r="Z288" t="s">
        <v>2471</v>
      </c>
      <c r="AA288" t="s">
        <v>4010</v>
      </c>
      <c r="AB288" t="s">
        <v>4272</v>
      </c>
      <c r="AC288" t="s">
        <v>4012</v>
      </c>
      <c r="AD288" t="s">
        <v>1981</v>
      </c>
      <c r="AE288">
        <v>1635</v>
      </c>
      <c r="AF288" t="s">
        <v>4013</v>
      </c>
    </row>
    <row r="289" spans="1:34" x14ac:dyDescent="0.75">
      <c r="A289" s="22" t="s">
        <v>6047</v>
      </c>
      <c r="B289" t="s">
        <v>4273</v>
      </c>
      <c r="C289" t="s">
        <v>34</v>
      </c>
      <c r="D289" t="s">
        <v>35</v>
      </c>
      <c r="E289" t="s">
        <v>36</v>
      </c>
      <c r="F289" t="s">
        <v>4274</v>
      </c>
      <c r="G289" s="1" t="str">
        <f>HYPERLINK("https://homd.org/jbrowse/?data=homd_V11.02_phage_1.2%2FGCA_024758205.1&amp;loc=GCA_024758205.1%7CCP103067.1%3A21495..28286&amp;tracks=prokka,prokka_ncrna,ncbi,ncbi_ncrna,panggolin,cenote,genomad&amp;highlight=","Open JBrowse")</f>
        <v>Open JBrowse</v>
      </c>
      <c r="H289">
        <v>24495</v>
      </c>
      <c r="I289">
        <v>25286</v>
      </c>
      <c r="J289" t="s">
        <v>4275</v>
      </c>
      <c r="K289" t="s">
        <v>39</v>
      </c>
      <c r="L289" t="s">
        <v>40</v>
      </c>
      <c r="M289" t="s">
        <v>41</v>
      </c>
      <c r="N289" t="s">
        <v>42</v>
      </c>
      <c r="O289">
        <v>3</v>
      </c>
      <c r="P289" t="s">
        <v>42</v>
      </c>
      <c r="Q289" t="s">
        <v>43</v>
      </c>
      <c r="R289" t="s">
        <v>4276</v>
      </c>
      <c r="S289" t="s">
        <v>40</v>
      </c>
      <c r="T289" t="s">
        <v>42</v>
      </c>
      <c r="U289">
        <v>34</v>
      </c>
      <c r="V289">
        <v>260</v>
      </c>
      <c r="W289">
        <v>227</v>
      </c>
      <c r="X289" t="s">
        <v>45</v>
      </c>
    </row>
    <row r="290" spans="1:34" x14ac:dyDescent="0.75">
      <c r="A290" s="22" t="s">
        <v>6047</v>
      </c>
      <c r="B290" t="s">
        <v>4277</v>
      </c>
      <c r="C290" t="s">
        <v>34</v>
      </c>
      <c r="D290" t="s">
        <v>55</v>
      </c>
      <c r="E290" t="s">
        <v>56</v>
      </c>
      <c r="F290" t="s">
        <v>4278</v>
      </c>
      <c r="G290" s="1" t="str">
        <f>HYPERLINK("https://homd.org/jbrowse/?data=homd_V11.02_phage_1.2%2FGCA_024758245.1&amp;loc=GCA_024758245.1%7CCP103079.1%3A3560096..3566926&amp;tracks=prokka,prokka_ncrna,ncbi,ncbi_ncrna,panggolin,cenote,genomad&amp;highlight=","Open JBrowse")</f>
        <v>Open JBrowse</v>
      </c>
      <c r="H290">
        <v>3563096</v>
      </c>
      <c r="I290">
        <v>3563926</v>
      </c>
      <c r="J290" t="s">
        <v>4279</v>
      </c>
      <c r="K290" t="s">
        <v>59</v>
      </c>
      <c r="L290" t="s">
        <v>60</v>
      </c>
      <c r="M290" t="s">
        <v>61</v>
      </c>
      <c r="N290" t="s">
        <v>42</v>
      </c>
      <c r="O290">
        <v>3</v>
      </c>
      <c r="P290" t="s">
        <v>42</v>
      </c>
      <c r="Q290" t="s">
        <v>59</v>
      </c>
      <c r="R290" t="s">
        <v>4280</v>
      </c>
      <c r="S290" t="s">
        <v>60</v>
      </c>
      <c r="T290" t="s">
        <v>42</v>
      </c>
      <c r="U290">
        <v>41</v>
      </c>
      <c r="V290">
        <v>274</v>
      </c>
      <c r="W290">
        <v>234</v>
      </c>
      <c r="X290" t="s">
        <v>63</v>
      </c>
      <c r="Y290" t="s">
        <v>4281</v>
      </c>
      <c r="Z290" t="s">
        <v>4282</v>
      </c>
      <c r="AA290" t="s">
        <v>4283</v>
      </c>
      <c r="AB290" t="s">
        <v>4284</v>
      </c>
      <c r="AC290" t="s">
        <v>68</v>
      </c>
      <c r="AD290" t="s">
        <v>69</v>
      </c>
      <c r="AE290">
        <v>3142</v>
      </c>
      <c r="AF290" t="s">
        <v>4285</v>
      </c>
      <c r="AG290" t="s">
        <v>71</v>
      </c>
      <c r="AH290">
        <v>2</v>
      </c>
    </row>
    <row r="291" spans="1:34" x14ac:dyDescent="0.75">
      <c r="A291" s="22" t="s">
        <v>6049</v>
      </c>
      <c r="B291" t="s">
        <v>4286</v>
      </c>
      <c r="C291" t="s">
        <v>34</v>
      </c>
      <c r="D291" t="s">
        <v>1492</v>
      </c>
      <c r="E291" t="s">
        <v>1493</v>
      </c>
      <c r="F291" t="s">
        <v>4287</v>
      </c>
      <c r="G291" s="1" t="str">
        <f>HYPERLINK("https://homd.org/jbrowse/?data=homd_V11.02_phage_1.2%2FGCA_024758285.1&amp;loc=GCA_024758285.1%7CCP103071.1%3A2360307..2366660&amp;tracks=prokka,prokka_ncrna,ncbi,ncbi_ncrna,panggolin,cenote,genomad&amp;highlight=","Open JBrowse")</f>
        <v>Open JBrowse</v>
      </c>
      <c r="H291">
        <v>2363307</v>
      </c>
      <c r="I291">
        <v>2363660</v>
      </c>
      <c r="J291" t="s">
        <v>4288</v>
      </c>
      <c r="K291" t="s">
        <v>996</v>
      </c>
      <c r="L291" t="s">
        <v>4289</v>
      </c>
      <c r="M291" t="s">
        <v>4290</v>
      </c>
      <c r="N291" t="s">
        <v>59</v>
      </c>
      <c r="O291">
        <v>2</v>
      </c>
      <c r="P291" t="s">
        <v>42</v>
      </c>
      <c r="Q291" t="s">
        <v>101</v>
      </c>
      <c r="R291" t="s">
        <v>4291</v>
      </c>
      <c r="S291" t="s">
        <v>4289</v>
      </c>
      <c r="T291" t="s">
        <v>42</v>
      </c>
      <c r="U291">
        <v>4</v>
      </c>
      <c r="V291">
        <v>116</v>
      </c>
      <c r="W291">
        <v>113</v>
      </c>
      <c r="X291" t="s">
        <v>999</v>
      </c>
      <c r="Y291" t="s">
        <v>4292</v>
      </c>
      <c r="Z291" t="s">
        <v>83</v>
      </c>
      <c r="AA291" t="s">
        <v>4293</v>
      </c>
      <c r="AB291" t="s">
        <v>4294</v>
      </c>
      <c r="AC291" t="s">
        <v>1139</v>
      </c>
      <c r="AD291" t="s">
        <v>101</v>
      </c>
      <c r="AE291">
        <v>6873</v>
      </c>
      <c r="AF291" t="s">
        <v>4295</v>
      </c>
      <c r="AG291" t="s">
        <v>101</v>
      </c>
      <c r="AH291">
        <v>3</v>
      </c>
    </row>
    <row r="292" spans="1:34" x14ac:dyDescent="0.75">
      <c r="A292" s="22" t="s">
        <v>6049</v>
      </c>
      <c r="B292" t="s">
        <v>4286</v>
      </c>
      <c r="C292" t="s">
        <v>34</v>
      </c>
      <c r="D292" t="s">
        <v>1492</v>
      </c>
      <c r="E292" t="s">
        <v>1493</v>
      </c>
      <c r="F292" t="s">
        <v>4287</v>
      </c>
      <c r="G292" s="1" t="str">
        <f>HYPERLINK("https://homd.org/jbrowse/?data=homd_V11.02_phage_1.2%2FGCA_024758285.1&amp;loc=GCA_024758285.1%7CCP103071.1%3A2360605..2367123&amp;tracks=prokka,prokka_ncrna,ncbi,ncbi_ncrna,panggolin,cenote,genomad&amp;highlight=","Open JBrowse")</f>
        <v>Open JBrowse</v>
      </c>
      <c r="H292">
        <v>2363605</v>
      </c>
      <c r="I292">
        <v>2364123</v>
      </c>
      <c r="J292" t="s">
        <v>4296</v>
      </c>
      <c r="K292" t="s">
        <v>996</v>
      </c>
      <c r="L292" t="s">
        <v>4297</v>
      </c>
      <c r="M292" t="s">
        <v>4298</v>
      </c>
      <c r="N292" t="s">
        <v>59</v>
      </c>
      <c r="O292">
        <v>2</v>
      </c>
      <c r="P292" t="s">
        <v>42</v>
      </c>
      <c r="Q292" t="s">
        <v>101</v>
      </c>
      <c r="R292" t="s">
        <v>4291</v>
      </c>
      <c r="S292" t="s">
        <v>4297</v>
      </c>
      <c r="T292" t="s">
        <v>42</v>
      </c>
      <c r="U292">
        <v>38</v>
      </c>
      <c r="V292">
        <v>142</v>
      </c>
      <c r="W292">
        <v>105</v>
      </c>
      <c r="X292" t="s">
        <v>999</v>
      </c>
      <c r="Y292" t="s">
        <v>4292</v>
      </c>
      <c r="Z292" t="s">
        <v>83</v>
      </c>
      <c r="AA292" t="s">
        <v>4293</v>
      </c>
      <c r="AB292" t="s">
        <v>4294</v>
      </c>
      <c r="AC292" t="s">
        <v>1139</v>
      </c>
      <c r="AD292" t="s">
        <v>101</v>
      </c>
      <c r="AE292">
        <v>6873</v>
      </c>
      <c r="AF292" t="s">
        <v>4295</v>
      </c>
      <c r="AG292" t="s">
        <v>101</v>
      </c>
      <c r="AH292">
        <v>3</v>
      </c>
    </row>
    <row r="293" spans="1:34" x14ac:dyDescent="0.75">
      <c r="A293" s="22" t="s">
        <v>6049</v>
      </c>
      <c r="B293" t="s">
        <v>4286</v>
      </c>
      <c r="C293" t="s">
        <v>34</v>
      </c>
      <c r="D293" t="s">
        <v>1492</v>
      </c>
      <c r="E293" t="s">
        <v>1493</v>
      </c>
      <c r="F293" t="s">
        <v>4287</v>
      </c>
      <c r="G293" s="1" t="str">
        <f>HYPERLINK("https://homd.org/jbrowse/?data=homd_V11.02_phage_1.2%2FGCA_024758285.1&amp;loc=GCA_024758285.1%7CCP103071.1%3A3065565..3071993&amp;tracks=prokka,prokka_ncrna,ncbi,ncbi_ncrna,panggolin,cenote,genomad&amp;highlight=","Open JBrowse")</f>
        <v>Open JBrowse</v>
      </c>
      <c r="H293">
        <v>3068565</v>
      </c>
      <c r="I293">
        <v>3068993</v>
      </c>
      <c r="J293" t="s">
        <v>4299</v>
      </c>
      <c r="K293" t="s">
        <v>39</v>
      </c>
      <c r="L293" t="s">
        <v>4300</v>
      </c>
      <c r="M293" t="s">
        <v>4301</v>
      </c>
      <c r="N293" t="s">
        <v>59</v>
      </c>
      <c r="O293">
        <v>2</v>
      </c>
      <c r="P293" t="s">
        <v>42</v>
      </c>
      <c r="Q293" t="s">
        <v>43</v>
      </c>
      <c r="R293" t="s">
        <v>4291</v>
      </c>
      <c r="S293" t="s">
        <v>4300</v>
      </c>
      <c r="T293" t="s">
        <v>42</v>
      </c>
      <c r="U293">
        <v>35</v>
      </c>
      <c r="V293">
        <v>135</v>
      </c>
      <c r="W293">
        <v>101</v>
      </c>
      <c r="X293" t="s">
        <v>45</v>
      </c>
      <c r="Y293" t="s">
        <v>4302</v>
      </c>
      <c r="Z293" t="s">
        <v>3551</v>
      </c>
      <c r="AA293" t="s">
        <v>3973</v>
      </c>
    </row>
    <row r="294" spans="1:34" x14ac:dyDescent="0.75">
      <c r="A294" s="22" t="s">
        <v>6047</v>
      </c>
      <c r="B294" t="s">
        <v>4286</v>
      </c>
      <c r="C294" t="s">
        <v>34</v>
      </c>
      <c r="D294" t="s">
        <v>1492</v>
      </c>
      <c r="E294" t="s">
        <v>1493</v>
      </c>
      <c r="F294" t="s">
        <v>4287</v>
      </c>
      <c r="G294" s="1" t="str">
        <f>HYPERLINK("https://homd.org/jbrowse/?data=homd_V11.02_phage_1.2%2FGCA_024758285.1&amp;loc=GCA_024758285.1%7CCP103071.1%3A4442944..4449783&amp;tracks=prokka,prokka_ncrna,ncbi,ncbi_ncrna,panggolin,cenote,genomad&amp;highlight=","Open JBrowse")</f>
        <v>Open JBrowse</v>
      </c>
      <c r="H294">
        <v>4445944</v>
      </c>
      <c r="I294">
        <v>4446783</v>
      </c>
      <c r="J294" t="s">
        <v>4303</v>
      </c>
      <c r="K294" t="s">
        <v>59</v>
      </c>
      <c r="L294" t="s">
        <v>59</v>
      </c>
      <c r="M294" t="s">
        <v>59</v>
      </c>
      <c r="N294" t="s">
        <v>42</v>
      </c>
      <c r="O294">
        <v>1</v>
      </c>
      <c r="P294" t="s">
        <v>59</v>
      </c>
      <c r="Q294" t="s">
        <v>59</v>
      </c>
      <c r="R294" t="s">
        <v>4291</v>
      </c>
      <c r="T294" t="s">
        <v>42</v>
      </c>
      <c r="X294" t="s">
        <v>59</v>
      </c>
    </row>
    <row r="295" spans="1:34" x14ac:dyDescent="0.75">
      <c r="A295" s="22" t="s">
        <v>6047</v>
      </c>
      <c r="B295" t="s">
        <v>4304</v>
      </c>
      <c r="C295" t="s">
        <v>34</v>
      </c>
      <c r="D295" t="s">
        <v>2352</v>
      </c>
      <c r="E295" t="s">
        <v>2353</v>
      </c>
      <c r="F295" t="s">
        <v>4305</v>
      </c>
      <c r="G295" s="1" t="str">
        <f>HYPERLINK("https://homd.org/jbrowse/?data=homd_V11.02_phage_1.2%2FGCA_024758345.1&amp;loc=GCA_024758345.1%7CCP103094.1%3A3839121..3846380&amp;tracks=prokka,prokka_ncrna,ncbi,ncbi_ncrna,panggolin,cenote,genomad&amp;highlight=","Open JBrowse")</f>
        <v>Open JBrowse</v>
      </c>
      <c r="H295">
        <v>3842121</v>
      </c>
      <c r="I295">
        <v>3843380</v>
      </c>
      <c r="J295" t="s">
        <v>4306</v>
      </c>
      <c r="K295" t="s">
        <v>59</v>
      </c>
      <c r="L295" t="s">
        <v>3531</v>
      </c>
      <c r="M295" t="s">
        <v>3532</v>
      </c>
      <c r="N295" t="s">
        <v>42</v>
      </c>
      <c r="O295">
        <v>3</v>
      </c>
      <c r="P295" t="s">
        <v>42</v>
      </c>
      <c r="Q295" t="s">
        <v>59</v>
      </c>
      <c r="R295" t="s">
        <v>4307</v>
      </c>
      <c r="S295" t="s">
        <v>3531</v>
      </c>
      <c r="T295" t="s">
        <v>42</v>
      </c>
      <c r="U295">
        <v>162</v>
      </c>
      <c r="V295">
        <v>416</v>
      </c>
      <c r="W295">
        <v>255</v>
      </c>
      <c r="X295" t="s">
        <v>3366</v>
      </c>
      <c r="Y295" t="s">
        <v>4308</v>
      </c>
      <c r="Z295" t="s">
        <v>2471</v>
      </c>
      <c r="AA295" t="s">
        <v>3535</v>
      </c>
      <c r="AB295" t="s">
        <v>4309</v>
      </c>
      <c r="AC295" t="s">
        <v>1489</v>
      </c>
      <c r="AD295" t="s">
        <v>638</v>
      </c>
      <c r="AE295">
        <v>361.4</v>
      </c>
      <c r="AF295" t="s">
        <v>386</v>
      </c>
    </row>
    <row r="296" spans="1:34" x14ac:dyDescent="0.75">
      <c r="A296" s="22" t="s">
        <v>6047</v>
      </c>
      <c r="B296" t="s">
        <v>4304</v>
      </c>
      <c r="C296" t="s">
        <v>34</v>
      </c>
      <c r="D296" t="s">
        <v>2352</v>
      </c>
      <c r="E296" t="s">
        <v>2353</v>
      </c>
      <c r="F296" t="s">
        <v>4305</v>
      </c>
      <c r="G296" s="1" t="str">
        <f>HYPERLINK("https://homd.org/jbrowse/?data=homd_V11.02_phage_1.2%2FGCA_024758345.1&amp;loc=GCA_024758345.1%7CCP103094.1%3A5591777..5598616&amp;tracks=prokka,prokka_ncrna,ncbi,ncbi_ncrna,panggolin,cenote,genomad&amp;highlight=","Open JBrowse")</f>
        <v>Open JBrowse</v>
      </c>
      <c r="H296">
        <v>5594777</v>
      </c>
      <c r="I296">
        <v>5595616</v>
      </c>
      <c r="J296" t="s">
        <v>4310</v>
      </c>
      <c r="K296" t="s">
        <v>59</v>
      </c>
      <c r="L296" t="s">
        <v>59</v>
      </c>
      <c r="M296" t="s">
        <v>59</v>
      </c>
      <c r="N296" t="s">
        <v>42</v>
      </c>
      <c r="O296">
        <v>1</v>
      </c>
      <c r="P296" t="s">
        <v>59</v>
      </c>
      <c r="Q296" t="s">
        <v>59</v>
      </c>
      <c r="R296" t="s">
        <v>4307</v>
      </c>
      <c r="T296" t="s">
        <v>42</v>
      </c>
      <c r="X296" t="s">
        <v>59</v>
      </c>
    </row>
    <row r="297" spans="1:34" x14ac:dyDescent="0.75">
      <c r="A297" s="22" t="s">
        <v>6047</v>
      </c>
      <c r="B297" t="s">
        <v>4304</v>
      </c>
      <c r="C297" t="s">
        <v>34</v>
      </c>
      <c r="D297" t="s">
        <v>2352</v>
      </c>
      <c r="E297" t="s">
        <v>2353</v>
      </c>
      <c r="F297" t="s">
        <v>4305</v>
      </c>
      <c r="G297" s="1" t="str">
        <f>HYPERLINK("https://homd.org/jbrowse/?data=homd_V11.02_phage_1.2%2FGCA_024758345.1&amp;loc=GCA_024758345.1%7CCP103094.1%3A1142043..1148858&amp;tracks=prokka,prokka_ncrna,ncbi,ncbi_ncrna,panggolin,cenote,genomad&amp;highlight=","Open JBrowse")</f>
        <v>Open JBrowse</v>
      </c>
      <c r="H297">
        <v>1145043</v>
      </c>
      <c r="I297">
        <v>1145858</v>
      </c>
      <c r="J297" t="s">
        <v>4311</v>
      </c>
      <c r="K297" t="s">
        <v>996</v>
      </c>
      <c r="L297" t="s">
        <v>3666</v>
      </c>
      <c r="M297" t="s">
        <v>1502</v>
      </c>
      <c r="N297" t="s">
        <v>42</v>
      </c>
      <c r="O297">
        <v>3</v>
      </c>
      <c r="P297" t="s">
        <v>42</v>
      </c>
      <c r="Q297" t="s">
        <v>101</v>
      </c>
      <c r="R297" t="s">
        <v>4307</v>
      </c>
      <c r="S297" t="s">
        <v>3666</v>
      </c>
      <c r="T297" t="s">
        <v>42</v>
      </c>
      <c r="U297">
        <v>38</v>
      </c>
      <c r="V297">
        <v>269</v>
      </c>
      <c r="W297">
        <v>232</v>
      </c>
      <c r="X297" t="s">
        <v>999</v>
      </c>
      <c r="Y297" t="s">
        <v>4312</v>
      </c>
      <c r="Z297" t="s">
        <v>620</v>
      </c>
      <c r="AA297" t="s">
        <v>4313</v>
      </c>
      <c r="AB297" t="s">
        <v>4314</v>
      </c>
      <c r="AC297" t="s">
        <v>1139</v>
      </c>
      <c r="AD297" t="s">
        <v>101</v>
      </c>
      <c r="AE297">
        <v>8814</v>
      </c>
      <c r="AF297" t="s">
        <v>4315</v>
      </c>
      <c r="AG297" t="s">
        <v>101</v>
      </c>
      <c r="AH297">
        <v>2</v>
      </c>
    </row>
    <row r="298" spans="1:34" x14ac:dyDescent="0.75">
      <c r="A298" s="22" t="s">
        <v>6047</v>
      </c>
      <c r="B298" t="s">
        <v>4316</v>
      </c>
      <c r="C298" t="s">
        <v>34</v>
      </c>
      <c r="D298" t="s">
        <v>1454</v>
      </c>
      <c r="E298" t="s">
        <v>1455</v>
      </c>
      <c r="F298" t="s">
        <v>4317</v>
      </c>
      <c r="G298" s="1" t="str">
        <f>HYPERLINK("https://homd.org/jbrowse/?data=homd_V11.02_phage_1.2%2FGCA_024758405.1&amp;loc=GCA_024758405.1%7CCP103075.1%3A2000170..2008065&amp;tracks=prokka,prokka_ncrna,ncbi,ncbi_ncrna,panggolin,cenote,genomad&amp;highlight=","Open JBrowse")</f>
        <v>Open JBrowse</v>
      </c>
      <c r="H298">
        <v>2003170</v>
      </c>
      <c r="I298">
        <v>2005065</v>
      </c>
      <c r="J298" t="s">
        <v>4318</v>
      </c>
      <c r="K298" t="s">
        <v>627</v>
      </c>
      <c r="L298" t="s">
        <v>1479</v>
      </c>
      <c r="M298" t="s">
        <v>1480</v>
      </c>
      <c r="N298" t="s">
        <v>1481</v>
      </c>
      <c r="O298">
        <v>3</v>
      </c>
      <c r="P298" t="s">
        <v>1482</v>
      </c>
      <c r="Q298" t="s">
        <v>59</v>
      </c>
      <c r="R298" t="s">
        <v>4319</v>
      </c>
      <c r="S298" t="s">
        <v>1483</v>
      </c>
      <c r="T298" t="s">
        <v>42</v>
      </c>
      <c r="U298">
        <v>29</v>
      </c>
      <c r="V298">
        <v>280</v>
      </c>
      <c r="W298">
        <v>252</v>
      </c>
      <c r="X298" t="s">
        <v>1484</v>
      </c>
      <c r="Y298" t="s">
        <v>4320</v>
      </c>
      <c r="Z298" t="s">
        <v>420</v>
      </c>
      <c r="AA298" t="s">
        <v>3577</v>
      </c>
      <c r="AB298" t="s">
        <v>4321</v>
      </c>
      <c r="AC298" t="s">
        <v>1489</v>
      </c>
      <c r="AD298" t="s">
        <v>638</v>
      </c>
      <c r="AE298">
        <v>14852</v>
      </c>
      <c r="AF298" t="s">
        <v>3579</v>
      </c>
      <c r="AG298" t="s">
        <v>51</v>
      </c>
      <c r="AH298">
        <v>6</v>
      </c>
    </row>
    <row r="299" spans="1:34" x14ac:dyDescent="0.75">
      <c r="A299" s="22" t="s">
        <v>6047</v>
      </c>
      <c r="B299" t="s">
        <v>4316</v>
      </c>
      <c r="C299" t="s">
        <v>34</v>
      </c>
      <c r="D299" t="s">
        <v>1454</v>
      </c>
      <c r="E299" t="s">
        <v>1455</v>
      </c>
      <c r="F299" t="s">
        <v>4317</v>
      </c>
      <c r="G299" s="1" t="str">
        <f>HYPERLINK("https://homd.org/jbrowse/?data=homd_V11.02_phage_1.2%2FGCA_024758405.1&amp;loc=GCA_024758405.1%7CCP103075.1%3A5420477..5427319&amp;tracks=prokka,prokka_ncrna,ncbi,ncbi_ncrna,panggolin,cenote,genomad&amp;highlight=","Open JBrowse")</f>
        <v>Open JBrowse</v>
      </c>
      <c r="H299">
        <v>5423477</v>
      </c>
      <c r="I299">
        <v>5424319</v>
      </c>
      <c r="J299" t="s">
        <v>4322</v>
      </c>
      <c r="K299" t="s">
        <v>59</v>
      </c>
      <c r="L299" t="s">
        <v>59</v>
      </c>
      <c r="M299" t="s">
        <v>59</v>
      </c>
      <c r="N299" t="s">
        <v>42</v>
      </c>
      <c r="O299">
        <v>1</v>
      </c>
      <c r="P299" t="s">
        <v>59</v>
      </c>
      <c r="Q299" t="s">
        <v>59</v>
      </c>
      <c r="R299" t="s">
        <v>4319</v>
      </c>
      <c r="T299" t="s">
        <v>42</v>
      </c>
      <c r="X299" t="s">
        <v>59</v>
      </c>
    </row>
    <row r="300" spans="1:34" x14ac:dyDescent="0.75">
      <c r="A300" s="22" t="s">
        <v>6047</v>
      </c>
      <c r="B300" t="s">
        <v>4316</v>
      </c>
      <c r="C300" t="s">
        <v>34</v>
      </c>
      <c r="D300" t="s">
        <v>1454</v>
      </c>
      <c r="E300" t="s">
        <v>1455</v>
      </c>
      <c r="F300" t="s">
        <v>4317</v>
      </c>
      <c r="G300" s="1" t="str">
        <f>HYPERLINK("https://homd.org/jbrowse/?data=homd_V11.02_phage_1.2%2FGCA_024758405.1&amp;loc=GCA_024758405.1%7CCP103075.1%3A552417..559223&amp;tracks=prokka,prokka_ncrna,ncbi,ncbi_ncrna,panggolin,cenote,genomad&amp;highlight=","Open JBrowse")</f>
        <v>Open JBrowse</v>
      </c>
      <c r="H300">
        <v>555417</v>
      </c>
      <c r="I300">
        <v>556223</v>
      </c>
      <c r="J300" t="s">
        <v>4323</v>
      </c>
      <c r="K300" t="s">
        <v>39</v>
      </c>
      <c r="L300" t="s">
        <v>1476</v>
      </c>
      <c r="M300" t="s">
        <v>1477</v>
      </c>
      <c r="N300" t="s">
        <v>42</v>
      </c>
      <c r="O300">
        <v>3</v>
      </c>
      <c r="P300" t="s">
        <v>42</v>
      </c>
      <c r="Q300" t="s">
        <v>43</v>
      </c>
      <c r="R300" t="s">
        <v>4319</v>
      </c>
      <c r="S300" t="s">
        <v>1476</v>
      </c>
      <c r="T300" t="s">
        <v>42</v>
      </c>
      <c r="U300">
        <v>36</v>
      </c>
      <c r="V300">
        <v>262</v>
      </c>
      <c r="W300">
        <v>227</v>
      </c>
      <c r="X300" t="s">
        <v>45</v>
      </c>
    </row>
    <row r="301" spans="1:34" x14ac:dyDescent="0.75">
      <c r="A301" s="22" t="s">
        <v>6047</v>
      </c>
      <c r="B301" t="s">
        <v>4316</v>
      </c>
      <c r="C301" t="s">
        <v>34</v>
      </c>
      <c r="D301" t="s">
        <v>1454</v>
      </c>
      <c r="E301" t="s">
        <v>1455</v>
      </c>
      <c r="F301" t="s">
        <v>4317</v>
      </c>
      <c r="G301" s="1" t="str">
        <f>HYPERLINK("https://homd.org/jbrowse/?data=homd_V11.02_phage_1.2%2FGCA_024758405.1&amp;loc=GCA_024758405.1%7CCP103075.1%3A844120..851238&amp;tracks=prokka,prokka_ncrna,ncbi,ncbi_ncrna,panggolin,cenote,genomad&amp;highlight=","Open JBrowse")</f>
        <v>Open JBrowse</v>
      </c>
      <c r="H301">
        <v>847120</v>
      </c>
      <c r="I301">
        <v>848238</v>
      </c>
      <c r="J301" t="s">
        <v>4324</v>
      </c>
      <c r="K301" t="s">
        <v>39</v>
      </c>
      <c r="L301" t="s">
        <v>1460</v>
      </c>
      <c r="M301" t="s">
        <v>1461</v>
      </c>
      <c r="N301" t="s">
        <v>42</v>
      </c>
      <c r="O301">
        <v>3</v>
      </c>
      <c r="P301" t="s">
        <v>42</v>
      </c>
      <c r="Q301" t="s">
        <v>43</v>
      </c>
      <c r="R301" t="s">
        <v>4319</v>
      </c>
      <c r="S301" t="s">
        <v>1460</v>
      </c>
      <c r="T301" t="s">
        <v>42</v>
      </c>
      <c r="U301">
        <v>138</v>
      </c>
      <c r="V301">
        <v>367</v>
      </c>
      <c r="W301">
        <v>230</v>
      </c>
      <c r="X301" t="s">
        <v>971</v>
      </c>
      <c r="Y301" t="s">
        <v>4325</v>
      </c>
      <c r="Z301" t="s">
        <v>932</v>
      </c>
      <c r="AA301" t="s">
        <v>2850</v>
      </c>
      <c r="AB301" t="s">
        <v>4326</v>
      </c>
      <c r="AC301" t="s">
        <v>984</v>
      </c>
      <c r="AD301" t="s">
        <v>985</v>
      </c>
      <c r="AE301">
        <v>4038</v>
      </c>
      <c r="AF301" t="s">
        <v>2852</v>
      </c>
    </row>
    <row r="302" spans="1:34" x14ac:dyDescent="0.75">
      <c r="A302" s="22" t="s">
        <v>6047</v>
      </c>
      <c r="B302" t="s">
        <v>4327</v>
      </c>
      <c r="C302" t="s">
        <v>34</v>
      </c>
      <c r="D302" t="s">
        <v>1745</v>
      </c>
      <c r="E302" t="s">
        <v>1746</v>
      </c>
      <c r="F302" t="s">
        <v>4328</v>
      </c>
      <c r="G302" s="1" t="str">
        <f>HYPERLINK("https://homd.org/jbrowse/?data=homd_V11.02_phage_1.2%2FGCA_024758425.1&amp;loc=GCA_024758425.1%7CCP103081.1%3A112633..119475&amp;tracks=prokka,prokka_ncrna,ncbi,ncbi_ncrna,panggolin,cenote,genomad&amp;highlight=","Open JBrowse")</f>
        <v>Open JBrowse</v>
      </c>
      <c r="H302">
        <v>115633</v>
      </c>
      <c r="I302">
        <v>116475</v>
      </c>
      <c r="J302" t="s">
        <v>4329</v>
      </c>
      <c r="K302" t="s">
        <v>77</v>
      </c>
      <c r="L302" t="s">
        <v>1763</v>
      </c>
      <c r="M302" t="s">
        <v>1764</v>
      </c>
      <c r="N302" t="s">
        <v>42</v>
      </c>
      <c r="O302">
        <v>3</v>
      </c>
      <c r="P302" t="s">
        <v>42</v>
      </c>
      <c r="Q302" t="s">
        <v>43</v>
      </c>
      <c r="R302" t="s">
        <v>4330</v>
      </c>
      <c r="S302" t="s">
        <v>1763</v>
      </c>
      <c r="T302" t="s">
        <v>42</v>
      </c>
      <c r="U302">
        <v>39</v>
      </c>
      <c r="V302">
        <v>270</v>
      </c>
      <c r="W302">
        <v>232</v>
      </c>
      <c r="X302" t="s">
        <v>1765</v>
      </c>
      <c r="Y302" t="s">
        <v>4331</v>
      </c>
      <c r="Z302" t="s">
        <v>645</v>
      </c>
      <c r="AA302" t="s">
        <v>4332</v>
      </c>
      <c r="AB302" t="s">
        <v>4333</v>
      </c>
      <c r="AC302" t="s">
        <v>984</v>
      </c>
      <c r="AD302" t="s">
        <v>985</v>
      </c>
      <c r="AE302">
        <v>921</v>
      </c>
      <c r="AF302" t="s">
        <v>986</v>
      </c>
      <c r="AG302" t="s">
        <v>185</v>
      </c>
      <c r="AH302">
        <v>2</v>
      </c>
    </row>
    <row r="303" spans="1:34" x14ac:dyDescent="0.75">
      <c r="A303" s="22" t="s">
        <v>6047</v>
      </c>
      <c r="B303" t="s">
        <v>4327</v>
      </c>
      <c r="C303" t="s">
        <v>34</v>
      </c>
      <c r="D303" t="s">
        <v>1745</v>
      </c>
      <c r="E303" t="s">
        <v>1746</v>
      </c>
      <c r="F303" t="s">
        <v>4328</v>
      </c>
      <c r="G303" s="1" t="str">
        <f>HYPERLINK("https://homd.org/jbrowse/?data=homd_V11.02_phage_1.2%2FGCA_024758425.1&amp;loc=GCA_024758425.1%7CCP103081.1%3A113678..120502&amp;tracks=prokka,prokka_ncrna,ncbi,ncbi_ncrna,panggolin,cenote,genomad&amp;highlight=","Open JBrowse")</f>
        <v>Open JBrowse</v>
      </c>
      <c r="H303">
        <v>116678</v>
      </c>
      <c r="I303">
        <v>117502</v>
      </c>
      <c r="J303" t="s">
        <v>4334</v>
      </c>
      <c r="K303" t="s">
        <v>1770</v>
      </c>
      <c r="L303" t="s">
        <v>1771</v>
      </c>
      <c r="M303" t="s">
        <v>1772</v>
      </c>
      <c r="N303" t="s">
        <v>42</v>
      </c>
      <c r="O303">
        <v>3</v>
      </c>
      <c r="P303" t="s">
        <v>42</v>
      </c>
      <c r="Q303" t="s">
        <v>43</v>
      </c>
      <c r="R303" t="s">
        <v>4330</v>
      </c>
      <c r="S303" t="s">
        <v>1771</v>
      </c>
      <c r="T303" t="s">
        <v>42</v>
      </c>
      <c r="U303">
        <v>48</v>
      </c>
      <c r="V303">
        <v>271</v>
      </c>
      <c r="W303">
        <v>224</v>
      </c>
      <c r="X303" t="s">
        <v>1773</v>
      </c>
      <c r="Y303" t="s">
        <v>4331</v>
      </c>
      <c r="Z303" t="s">
        <v>645</v>
      </c>
      <c r="AA303" t="s">
        <v>4332</v>
      </c>
      <c r="AB303" t="s">
        <v>4333</v>
      </c>
      <c r="AC303" t="s">
        <v>984</v>
      </c>
      <c r="AD303" t="s">
        <v>985</v>
      </c>
      <c r="AE303">
        <v>921</v>
      </c>
      <c r="AF303" t="s">
        <v>986</v>
      </c>
      <c r="AG303" t="s">
        <v>185</v>
      </c>
      <c r="AH303">
        <v>2</v>
      </c>
    </row>
    <row r="304" spans="1:34" x14ac:dyDescent="0.75">
      <c r="A304" s="22" t="s">
        <v>6047</v>
      </c>
      <c r="B304" t="s">
        <v>4327</v>
      </c>
      <c r="C304" t="s">
        <v>34</v>
      </c>
      <c r="D304" t="s">
        <v>1745</v>
      </c>
      <c r="E304" t="s">
        <v>1746</v>
      </c>
      <c r="F304" t="s">
        <v>4328</v>
      </c>
      <c r="G304" s="1" t="str">
        <f>HYPERLINK("https://homd.org/jbrowse/?data=homd_V11.02_phage_1.2%2FGCA_024758425.1&amp;loc=GCA_024758425.1%7CCP103081.1%3A1494407..1501531&amp;tracks=prokka,prokka_ncrna,ncbi,ncbi_ncrna,panggolin,cenote,genomad&amp;highlight=","Open JBrowse")</f>
        <v>Open JBrowse</v>
      </c>
      <c r="H304">
        <v>1497407</v>
      </c>
      <c r="I304">
        <v>1498531</v>
      </c>
      <c r="J304" t="s">
        <v>4335</v>
      </c>
      <c r="K304" t="s">
        <v>39</v>
      </c>
      <c r="L304" t="s">
        <v>1787</v>
      </c>
      <c r="M304" t="s">
        <v>1788</v>
      </c>
      <c r="N304" t="s">
        <v>42</v>
      </c>
      <c r="O304">
        <v>3</v>
      </c>
      <c r="P304" t="s">
        <v>42</v>
      </c>
      <c r="Q304" t="s">
        <v>43</v>
      </c>
      <c r="R304" t="s">
        <v>4330</v>
      </c>
      <c r="S304" t="s">
        <v>1787</v>
      </c>
      <c r="T304" t="s">
        <v>42</v>
      </c>
      <c r="U304">
        <v>139</v>
      </c>
      <c r="V304">
        <v>369</v>
      </c>
      <c r="W304">
        <v>231</v>
      </c>
      <c r="X304" t="s">
        <v>971</v>
      </c>
      <c r="Y304" t="s">
        <v>4336</v>
      </c>
      <c r="Z304" t="s">
        <v>530</v>
      </c>
      <c r="AA304" t="s">
        <v>1962</v>
      </c>
      <c r="AB304" t="s">
        <v>4337</v>
      </c>
      <c r="AC304" t="s">
        <v>984</v>
      </c>
      <c r="AD304" t="s">
        <v>985</v>
      </c>
      <c r="AE304">
        <v>2781</v>
      </c>
      <c r="AF304" t="s">
        <v>1951</v>
      </c>
    </row>
    <row r="305" spans="1:34" x14ac:dyDescent="0.75">
      <c r="A305" s="22" t="s">
        <v>6047</v>
      </c>
      <c r="B305" t="s">
        <v>4327</v>
      </c>
      <c r="C305" t="s">
        <v>34</v>
      </c>
      <c r="D305" t="s">
        <v>1745</v>
      </c>
      <c r="E305" t="s">
        <v>1746</v>
      </c>
      <c r="F305" t="s">
        <v>4328</v>
      </c>
      <c r="G305" s="1" t="str">
        <f>HYPERLINK("https://homd.org/jbrowse/?data=homd_V11.02_phage_1.2%2FGCA_024758425.1&amp;loc=GCA_024758425.1%7CCP103081.1%3A1747788..1754591&amp;tracks=prokka,prokka_ncrna,ncbi,ncbi_ncrna,panggolin,cenote,genomad&amp;highlight=","Open JBrowse")</f>
        <v>Open JBrowse</v>
      </c>
      <c r="H305">
        <v>1750788</v>
      </c>
      <c r="I305">
        <v>1751591</v>
      </c>
      <c r="J305" t="s">
        <v>4338</v>
      </c>
      <c r="K305" t="s">
        <v>39</v>
      </c>
      <c r="L305" t="s">
        <v>123</v>
      </c>
      <c r="M305" t="s">
        <v>124</v>
      </c>
      <c r="N305" t="s">
        <v>42</v>
      </c>
      <c r="O305">
        <v>3</v>
      </c>
      <c r="P305" t="s">
        <v>42</v>
      </c>
      <c r="Q305" t="s">
        <v>43</v>
      </c>
      <c r="R305" t="s">
        <v>4330</v>
      </c>
      <c r="S305" t="s">
        <v>123</v>
      </c>
      <c r="T305" t="s">
        <v>42</v>
      </c>
      <c r="U305">
        <v>35</v>
      </c>
      <c r="V305">
        <v>261</v>
      </c>
      <c r="W305">
        <v>227</v>
      </c>
      <c r="X305" t="s">
        <v>45</v>
      </c>
      <c r="Y305" t="s">
        <v>4339</v>
      </c>
      <c r="Z305" t="s">
        <v>1236</v>
      </c>
      <c r="AA305" t="s">
        <v>4340</v>
      </c>
    </row>
    <row r="306" spans="1:34" x14ac:dyDescent="0.75">
      <c r="A306" s="22" t="s">
        <v>6047</v>
      </c>
      <c r="B306" t="s">
        <v>4327</v>
      </c>
      <c r="C306" t="s">
        <v>34</v>
      </c>
      <c r="D306" t="s">
        <v>1745</v>
      </c>
      <c r="E306" t="s">
        <v>1746</v>
      </c>
      <c r="F306" t="s">
        <v>4328</v>
      </c>
      <c r="G306" s="1" t="str">
        <f>HYPERLINK("https://homd.org/jbrowse/?data=homd_V11.02_phage_1.2%2FGCA_024758425.1&amp;loc=GCA_024758425.1%7CCP103081.1%3A296023..303663&amp;tracks=prokka,prokka_ncrna,ncbi,ncbi_ncrna,panggolin,cenote,genomad&amp;highlight=","Open JBrowse")</f>
        <v>Open JBrowse</v>
      </c>
      <c r="H306">
        <v>299023</v>
      </c>
      <c r="I306">
        <v>300663</v>
      </c>
      <c r="J306" t="s">
        <v>4341</v>
      </c>
      <c r="K306" t="s">
        <v>627</v>
      </c>
      <c r="L306" t="s">
        <v>4342</v>
      </c>
      <c r="M306" t="s">
        <v>4343</v>
      </c>
      <c r="N306" t="s">
        <v>1481</v>
      </c>
      <c r="O306">
        <v>3</v>
      </c>
      <c r="P306" t="s">
        <v>1482</v>
      </c>
      <c r="Q306" t="s">
        <v>59</v>
      </c>
      <c r="R306" t="s">
        <v>4330</v>
      </c>
      <c r="S306" t="s">
        <v>1761</v>
      </c>
      <c r="T306" t="s">
        <v>42</v>
      </c>
      <c r="U306">
        <v>32</v>
      </c>
      <c r="V306">
        <v>283</v>
      </c>
      <c r="W306">
        <v>252</v>
      </c>
      <c r="X306" t="s">
        <v>1484</v>
      </c>
      <c r="Y306" t="s">
        <v>4344</v>
      </c>
      <c r="Z306" t="s">
        <v>586</v>
      </c>
      <c r="AA306" t="s">
        <v>4345</v>
      </c>
      <c r="AB306" t="s">
        <v>4346</v>
      </c>
      <c r="AC306" t="s">
        <v>637</v>
      </c>
      <c r="AD306" t="s">
        <v>638</v>
      </c>
      <c r="AE306">
        <v>5587</v>
      </c>
      <c r="AF306" t="s">
        <v>4347</v>
      </c>
    </row>
    <row r="307" spans="1:34" x14ac:dyDescent="0.75">
      <c r="A307" s="22" t="s">
        <v>6047</v>
      </c>
      <c r="B307" t="s">
        <v>4327</v>
      </c>
      <c r="C307" t="s">
        <v>34</v>
      </c>
      <c r="D307" t="s">
        <v>1745</v>
      </c>
      <c r="E307" t="s">
        <v>1746</v>
      </c>
      <c r="F307" t="s">
        <v>4328</v>
      </c>
      <c r="G307" s="1" t="str">
        <f>HYPERLINK("https://homd.org/jbrowse/?data=homd_V11.02_phage_1.2%2FGCA_024758425.1&amp;loc=GCA_024758425.1%7CCP103081.1%3A297680..305215&amp;tracks=prokka,prokka_ncrna,ncbi,ncbi_ncrna,panggolin,cenote,genomad&amp;highlight=","Open JBrowse")</f>
        <v>Open JBrowse</v>
      </c>
      <c r="H307">
        <v>300680</v>
      </c>
      <c r="I307">
        <v>302215</v>
      </c>
      <c r="J307" t="s">
        <v>4348</v>
      </c>
      <c r="K307" t="s">
        <v>59</v>
      </c>
      <c r="L307" t="s">
        <v>1749</v>
      </c>
      <c r="M307" t="s">
        <v>1750</v>
      </c>
      <c r="N307" t="s">
        <v>42</v>
      </c>
      <c r="O307">
        <v>3</v>
      </c>
      <c r="P307" t="s">
        <v>42</v>
      </c>
      <c r="Q307" t="s">
        <v>59</v>
      </c>
      <c r="R307" t="s">
        <v>4330</v>
      </c>
      <c r="S307" t="s">
        <v>1749</v>
      </c>
      <c r="T307" t="s">
        <v>42</v>
      </c>
      <c r="U307">
        <v>230</v>
      </c>
      <c r="V307">
        <v>508</v>
      </c>
      <c r="W307">
        <v>279</v>
      </c>
      <c r="X307" t="s">
        <v>1752</v>
      </c>
      <c r="Y307" t="s">
        <v>4344</v>
      </c>
      <c r="Z307" t="s">
        <v>586</v>
      </c>
      <c r="AA307" t="s">
        <v>4345</v>
      </c>
      <c r="AB307" t="s">
        <v>4346</v>
      </c>
      <c r="AC307" t="s">
        <v>637</v>
      </c>
      <c r="AD307" t="s">
        <v>638</v>
      </c>
      <c r="AE307">
        <v>5587</v>
      </c>
      <c r="AF307" t="s">
        <v>4347</v>
      </c>
    </row>
    <row r="308" spans="1:34" x14ac:dyDescent="0.75">
      <c r="A308" s="22" t="s">
        <v>6047</v>
      </c>
      <c r="B308" t="s">
        <v>4327</v>
      </c>
      <c r="C308" t="s">
        <v>34</v>
      </c>
      <c r="D308" t="s">
        <v>1745</v>
      </c>
      <c r="E308" t="s">
        <v>1746</v>
      </c>
      <c r="F308" t="s">
        <v>4328</v>
      </c>
      <c r="G308" s="1" t="str">
        <f>HYPERLINK("https://homd.org/jbrowse/?data=homd_V11.02_phage_1.2%2FGCA_024758425.1&amp;loc=GCA_024758425.1%7CCP103081.1%3A436993..443853&amp;tracks=prokka,prokka_ncrna,ncbi,ncbi_ncrna,panggolin,cenote,genomad&amp;highlight=","Open JBrowse")</f>
        <v>Open JBrowse</v>
      </c>
      <c r="H308">
        <v>439993</v>
      </c>
      <c r="I308">
        <v>440853</v>
      </c>
      <c r="J308" t="s">
        <v>4349</v>
      </c>
      <c r="K308" t="s">
        <v>77</v>
      </c>
      <c r="L308" t="s">
        <v>3519</v>
      </c>
      <c r="M308" t="s">
        <v>3520</v>
      </c>
      <c r="N308" t="s">
        <v>398</v>
      </c>
      <c r="O308">
        <v>3</v>
      </c>
      <c r="P308" t="s">
        <v>42</v>
      </c>
      <c r="Q308" t="s">
        <v>43</v>
      </c>
      <c r="R308" t="s">
        <v>4330</v>
      </c>
      <c r="S308" t="s">
        <v>3519</v>
      </c>
      <c r="T308" t="s">
        <v>42</v>
      </c>
      <c r="U308">
        <v>41</v>
      </c>
      <c r="V308">
        <v>272</v>
      </c>
      <c r="W308">
        <v>232</v>
      </c>
      <c r="X308" t="s">
        <v>1765</v>
      </c>
      <c r="Y308" t="s">
        <v>4350</v>
      </c>
      <c r="Z308" t="s">
        <v>547</v>
      </c>
      <c r="AA308" t="s">
        <v>4351</v>
      </c>
      <c r="AB308" t="s">
        <v>4352</v>
      </c>
      <c r="AC308" t="s">
        <v>3960</v>
      </c>
      <c r="AD308" t="s">
        <v>1052</v>
      </c>
      <c r="AE308">
        <v>1408</v>
      </c>
      <c r="AF308" t="s">
        <v>3961</v>
      </c>
      <c r="AG308" t="s">
        <v>185</v>
      </c>
      <c r="AH308">
        <v>2</v>
      </c>
    </row>
    <row r="309" spans="1:34" x14ac:dyDescent="0.75">
      <c r="A309" s="22" t="s">
        <v>6047</v>
      </c>
      <c r="B309" t="s">
        <v>4327</v>
      </c>
      <c r="C309" t="s">
        <v>34</v>
      </c>
      <c r="D309" t="s">
        <v>1745</v>
      </c>
      <c r="E309" t="s">
        <v>1746</v>
      </c>
      <c r="F309" t="s">
        <v>4328</v>
      </c>
      <c r="G309" s="1" t="str">
        <f>HYPERLINK("https://homd.org/jbrowse/?data=homd_V11.02_phage_1.2%2FGCA_024758425.1&amp;loc=GCA_024758425.1%7CCP103081.1%3A440500..447333&amp;tracks=prokka,prokka_ncrna,ncbi,ncbi_ncrna,panggolin,cenote,genomad&amp;highlight=","Open JBrowse")</f>
        <v>Open JBrowse</v>
      </c>
      <c r="H309">
        <v>443500</v>
      </c>
      <c r="I309">
        <v>444333</v>
      </c>
      <c r="J309" t="s">
        <v>4353</v>
      </c>
      <c r="K309" t="s">
        <v>1770</v>
      </c>
      <c r="L309" t="s">
        <v>3510</v>
      </c>
      <c r="M309" t="s">
        <v>3511</v>
      </c>
      <c r="N309" t="s">
        <v>42</v>
      </c>
      <c r="O309">
        <v>3</v>
      </c>
      <c r="P309" t="s">
        <v>42</v>
      </c>
      <c r="Q309" t="s">
        <v>43</v>
      </c>
      <c r="R309" t="s">
        <v>4330</v>
      </c>
      <c r="S309" t="s">
        <v>3510</v>
      </c>
      <c r="T309" t="s">
        <v>42</v>
      </c>
      <c r="U309">
        <v>51</v>
      </c>
      <c r="V309">
        <v>274</v>
      </c>
      <c r="W309">
        <v>224</v>
      </c>
      <c r="X309" t="s">
        <v>1773</v>
      </c>
      <c r="Y309" t="s">
        <v>4350</v>
      </c>
      <c r="Z309" t="s">
        <v>547</v>
      </c>
      <c r="AA309" t="s">
        <v>4351</v>
      </c>
      <c r="AB309" t="s">
        <v>4352</v>
      </c>
      <c r="AC309" t="s">
        <v>3960</v>
      </c>
      <c r="AD309" t="s">
        <v>1052</v>
      </c>
      <c r="AE309">
        <v>1408</v>
      </c>
      <c r="AF309" t="s">
        <v>3961</v>
      </c>
      <c r="AG309" t="s">
        <v>185</v>
      </c>
      <c r="AH309">
        <v>2</v>
      </c>
    </row>
    <row r="310" spans="1:34" x14ac:dyDescent="0.75">
      <c r="A310" s="22" t="s">
        <v>6047</v>
      </c>
      <c r="B310" t="s">
        <v>4327</v>
      </c>
      <c r="C310" t="s">
        <v>34</v>
      </c>
      <c r="D310" t="s">
        <v>1745</v>
      </c>
      <c r="E310" t="s">
        <v>1746</v>
      </c>
      <c r="F310" t="s">
        <v>4328</v>
      </c>
      <c r="G310" s="1" t="str">
        <f>HYPERLINK("https://homd.org/jbrowse/?data=homd_V11.02_phage_1.2%2FGCA_024758425.1&amp;loc=GCA_024758425.1%7CCP103081.1%3A4766348..4773124&amp;tracks=prokka,prokka_ncrna,ncbi,ncbi_ncrna,panggolin,cenote,genomad&amp;highlight=","Open JBrowse")</f>
        <v>Open JBrowse</v>
      </c>
      <c r="H310">
        <v>4769348</v>
      </c>
      <c r="I310">
        <v>4770124</v>
      </c>
      <c r="J310" t="s">
        <v>4354</v>
      </c>
      <c r="K310" t="s">
        <v>39</v>
      </c>
      <c r="L310" t="s">
        <v>1608</v>
      </c>
      <c r="M310" t="s">
        <v>1609</v>
      </c>
      <c r="N310" t="s">
        <v>42</v>
      </c>
      <c r="O310">
        <v>3</v>
      </c>
      <c r="P310" t="s">
        <v>42</v>
      </c>
      <c r="Q310" t="s">
        <v>43</v>
      </c>
      <c r="R310" t="s">
        <v>4330</v>
      </c>
      <c r="S310" t="s">
        <v>1608</v>
      </c>
      <c r="T310" t="s">
        <v>42</v>
      </c>
      <c r="U310">
        <v>27</v>
      </c>
      <c r="V310">
        <v>255</v>
      </c>
      <c r="W310">
        <v>229</v>
      </c>
      <c r="X310" t="s">
        <v>45</v>
      </c>
      <c r="Y310" t="s">
        <v>4355</v>
      </c>
      <c r="Z310" t="s">
        <v>4356</v>
      </c>
      <c r="AA310" t="s">
        <v>1785</v>
      </c>
    </row>
    <row r="311" spans="1:34" x14ac:dyDescent="0.75">
      <c r="A311" s="22" t="s">
        <v>6047</v>
      </c>
      <c r="B311" t="s">
        <v>4357</v>
      </c>
      <c r="C311" t="s">
        <v>34</v>
      </c>
      <c r="D311" t="s">
        <v>1454</v>
      </c>
      <c r="E311" t="s">
        <v>1455</v>
      </c>
      <c r="F311" t="s">
        <v>4358</v>
      </c>
      <c r="G311" s="1" t="str">
        <f>HYPERLINK("https://homd.org/jbrowse/?data=homd_V11.02_phage_1.2%2FGCA_024758865.1&amp;loc=GCA_024758865.1%7CCP103072.1%3A1827130..1833963&amp;tracks=prokka,prokka_ncrna,ncbi,ncbi_ncrna,panggolin,cenote,genomad&amp;highlight=","Open JBrowse")</f>
        <v>Open JBrowse</v>
      </c>
      <c r="H311">
        <v>1830130</v>
      </c>
      <c r="I311">
        <v>1830963</v>
      </c>
      <c r="J311" t="s">
        <v>4359</v>
      </c>
      <c r="K311" t="s">
        <v>1770</v>
      </c>
      <c r="L311" t="s">
        <v>3510</v>
      </c>
      <c r="M311" t="s">
        <v>3511</v>
      </c>
      <c r="N311" t="s">
        <v>42</v>
      </c>
      <c r="O311">
        <v>3</v>
      </c>
      <c r="P311" t="s">
        <v>42</v>
      </c>
      <c r="Q311" t="s">
        <v>43</v>
      </c>
      <c r="R311" t="s">
        <v>4360</v>
      </c>
      <c r="S311" t="s">
        <v>3510</v>
      </c>
      <c r="T311" t="s">
        <v>42</v>
      </c>
      <c r="U311">
        <v>51</v>
      </c>
      <c r="V311">
        <v>274</v>
      </c>
      <c r="W311">
        <v>224</v>
      </c>
      <c r="X311" t="s">
        <v>1773</v>
      </c>
      <c r="Y311" t="s">
        <v>4361</v>
      </c>
      <c r="Z311" t="s">
        <v>470</v>
      </c>
      <c r="AA311" t="s">
        <v>3514</v>
      </c>
      <c r="AB311" t="s">
        <v>4362</v>
      </c>
      <c r="AC311" t="s">
        <v>3516</v>
      </c>
      <c r="AD311" t="s">
        <v>183</v>
      </c>
      <c r="AE311">
        <v>5597.1</v>
      </c>
      <c r="AF311" t="s">
        <v>3517</v>
      </c>
      <c r="AG311" t="s">
        <v>185</v>
      </c>
      <c r="AH311">
        <v>4</v>
      </c>
    </row>
    <row r="312" spans="1:34" x14ac:dyDescent="0.75">
      <c r="A312" s="22" t="s">
        <v>6047</v>
      </c>
      <c r="B312" t="s">
        <v>4357</v>
      </c>
      <c r="C312" t="s">
        <v>34</v>
      </c>
      <c r="D312" t="s">
        <v>1454</v>
      </c>
      <c r="E312" t="s">
        <v>1455</v>
      </c>
      <c r="F312" t="s">
        <v>4358</v>
      </c>
      <c r="G312" s="1" t="str">
        <f>HYPERLINK("https://homd.org/jbrowse/?data=homd_V11.02_phage_1.2%2FGCA_024758865.1&amp;loc=GCA_024758865.1%7CCP103072.1%3A1830610..1837470&amp;tracks=prokka,prokka_ncrna,ncbi,ncbi_ncrna,panggolin,cenote,genomad&amp;highlight=","Open JBrowse")</f>
        <v>Open JBrowse</v>
      </c>
      <c r="H312">
        <v>1833610</v>
      </c>
      <c r="I312">
        <v>1834470</v>
      </c>
      <c r="J312" t="s">
        <v>4363</v>
      </c>
      <c r="K312" t="s">
        <v>77</v>
      </c>
      <c r="L312" t="s">
        <v>3519</v>
      </c>
      <c r="M312" t="s">
        <v>3520</v>
      </c>
      <c r="N312" t="s">
        <v>398</v>
      </c>
      <c r="O312">
        <v>3</v>
      </c>
      <c r="P312" t="s">
        <v>42</v>
      </c>
      <c r="Q312" t="s">
        <v>43</v>
      </c>
      <c r="R312" t="s">
        <v>4360</v>
      </c>
      <c r="S312" t="s">
        <v>3519</v>
      </c>
      <c r="T312" t="s">
        <v>42</v>
      </c>
      <c r="U312">
        <v>41</v>
      </c>
      <c r="V312">
        <v>272</v>
      </c>
      <c r="W312">
        <v>232</v>
      </c>
      <c r="X312" t="s">
        <v>1765</v>
      </c>
      <c r="Y312" t="s">
        <v>4361</v>
      </c>
      <c r="Z312" t="s">
        <v>470</v>
      </c>
      <c r="AA312" t="s">
        <v>3514</v>
      </c>
      <c r="AB312" t="s">
        <v>4362</v>
      </c>
      <c r="AC312" t="s">
        <v>3516</v>
      </c>
      <c r="AD312" t="s">
        <v>183</v>
      </c>
      <c r="AE312">
        <v>5597.1</v>
      </c>
      <c r="AF312" t="s">
        <v>3517</v>
      </c>
      <c r="AG312" t="s">
        <v>185</v>
      </c>
      <c r="AH312">
        <v>4</v>
      </c>
    </row>
    <row r="313" spans="1:34" x14ac:dyDescent="0.75">
      <c r="A313" s="22" t="s">
        <v>6047</v>
      </c>
      <c r="B313" t="s">
        <v>4357</v>
      </c>
      <c r="C313" t="s">
        <v>34</v>
      </c>
      <c r="D313" t="s">
        <v>1454</v>
      </c>
      <c r="E313" t="s">
        <v>1455</v>
      </c>
      <c r="F313" t="s">
        <v>4358</v>
      </c>
      <c r="G313" s="1" t="str">
        <f>HYPERLINK("https://homd.org/jbrowse/?data=homd_V11.02_phage_1.2%2FGCA_024758865.1&amp;loc=GCA_024758865.1%7CCP103072.1%3A2033759..2041654&amp;tracks=prokka,prokka_ncrna,ncbi,ncbi_ncrna,panggolin,cenote,genomad&amp;highlight=","Open JBrowse")</f>
        <v>Open JBrowse</v>
      </c>
      <c r="H313">
        <v>2036759</v>
      </c>
      <c r="I313">
        <v>2038654</v>
      </c>
      <c r="J313" t="s">
        <v>4364</v>
      </c>
      <c r="K313" t="s">
        <v>627</v>
      </c>
      <c r="L313" t="s">
        <v>1479</v>
      </c>
      <c r="M313" t="s">
        <v>1480</v>
      </c>
      <c r="N313" t="s">
        <v>1481</v>
      </c>
      <c r="O313">
        <v>3</v>
      </c>
      <c r="P313" t="s">
        <v>1482</v>
      </c>
      <c r="Q313" t="s">
        <v>59</v>
      </c>
      <c r="R313" t="s">
        <v>4360</v>
      </c>
      <c r="S313" t="s">
        <v>1483</v>
      </c>
      <c r="T313" t="s">
        <v>42</v>
      </c>
      <c r="U313">
        <v>29</v>
      </c>
      <c r="V313">
        <v>280</v>
      </c>
      <c r="W313">
        <v>252</v>
      </c>
      <c r="X313" t="s">
        <v>1484</v>
      </c>
      <c r="Y313" t="s">
        <v>4365</v>
      </c>
      <c r="Z313" t="s">
        <v>840</v>
      </c>
      <c r="AA313" t="s">
        <v>3577</v>
      </c>
      <c r="AB313" t="s">
        <v>4366</v>
      </c>
      <c r="AC313" t="s">
        <v>1489</v>
      </c>
      <c r="AD313" t="s">
        <v>638</v>
      </c>
      <c r="AE313">
        <v>14853</v>
      </c>
      <c r="AF313" t="s">
        <v>3579</v>
      </c>
      <c r="AG313" t="s">
        <v>51</v>
      </c>
      <c r="AH313">
        <v>6</v>
      </c>
    </row>
    <row r="314" spans="1:34" x14ac:dyDescent="0.75">
      <c r="A314" s="22" t="s">
        <v>6047</v>
      </c>
      <c r="B314" t="s">
        <v>4357</v>
      </c>
      <c r="C314" t="s">
        <v>34</v>
      </c>
      <c r="D314" t="s">
        <v>1454</v>
      </c>
      <c r="E314" t="s">
        <v>1455</v>
      </c>
      <c r="F314" t="s">
        <v>4358</v>
      </c>
      <c r="G314" s="1" t="str">
        <f>HYPERLINK("https://homd.org/jbrowse/?data=homd_V11.02_phage_1.2%2FGCA_024758865.1&amp;loc=GCA_024758865.1%7CCP103072.1%3A394793..401599&amp;tracks=prokka,prokka_ncrna,ncbi,ncbi_ncrna,panggolin,cenote,genomad&amp;highlight=","Open JBrowse")</f>
        <v>Open JBrowse</v>
      </c>
      <c r="H314">
        <v>397793</v>
      </c>
      <c r="I314">
        <v>398599</v>
      </c>
      <c r="J314" t="s">
        <v>4367</v>
      </c>
      <c r="K314" t="s">
        <v>39</v>
      </c>
      <c r="L314" t="s">
        <v>1476</v>
      </c>
      <c r="M314" t="s">
        <v>1477</v>
      </c>
      <c r="N314" t="s">
        <v>42</v>
      </c>
      <c r="O314">
        <v>3</v>
      </c>
      <c r="P314" t="s">
        <v>42</v>
      </c>
      <c r="Q314" t="s">
        <v>43</v>
      </c>
      <c r="R314" t="s">
        <v>4360</v>
      </c>
      <c r="S314" t="s">
        <v>1476</v>
      </c>
      <c r="T314" t="s">
        <v>42</v>
      </c>
      <c r="U314">
        <v>36</v>
      </c>
      <c r="V314">
        <v>262</v>
      </c>
      <c r="W314">
        <v>227</v>
      </c>
      <c r="X314" t="s">
        <v>45</v>
      </c>
    </row>
    <row r="315" spans="1:34" x14ac:dyDescent="0.75">
      <c r="A315" s="22" t="s">
        <v>6047</v>
      </c>
      <c r="B315" t="s">
        <v>4357</v>
      </c>
      <c r="C315" t="s">
        <v>34</v>
      </c>
      <c r="D315" t="s">
        <v>1454</v>
      </c>
      <c r="E315" t="s">
        <v>1455</v>
      </c>
      <c r="F315" t="s">
        <v>4358</v>
      </c>
      <c r="G315" s="1" t="str">
        <f>HYPERLINK("https://homd.org/jbrowse/?data=homd_V11.02_phage_1.2%2FGCA_024758865.1&amp;loc=GCA_024758865.1%7CCP103072.1%3A5202169..5209011&amp;tracks=prokka,prokka_ncrna,ncbi,ncbi_ncrna,panggolin,cenote,genomad&amp;highlight=","Open JBrowse")</f>
        <v>Open JBrowse</v>
      </c>
      <c r="H315">
        <v>5205169</v>
      </c>
      <c r="I315">
        <v>5206011</v>
      </c>
      <c r="J315" t="s">
        <v>4368</v>
      </c>
      <c r="K315" t="s">
        <v>59</v>
      </c>
      <c r="L315" t="s">
        <v>59</v>
      </c>
      <c r="M315" t="s">
        <v>59</v>
      </c>
      <c r="N315" t="s">
        <v>42</v>
      </c>
      <c r="O315">
        <v>1</v>
      </c>
      <c r="P315" t="s">
        <v>59</v>
      </c>
      <c r="Q315" t="s">
        <v>59</v>
      </c>
      <c r="R315" t="s">
        <v>4360</v>
      </c>
      <c r="T315" t="s">
        <v>42</v>
      </c>
      <c r="X315" t="s">
        <v>59</v>
      </c>
    </row>
    <row r="316" spans="1:34" x14ac:dyDescent="0.75">
      <c r="A316" s="22" t="s">
        <v>6047</v>
      </c>
      <c r="B316" t="s">
        <v>4357</v>
      </c>
      <c r="C316" t="s">
        <v>34</v>
      </c>
      <c r="D316" t="s">
        <v>1454</v>
      </c>
      <c r="E316" t="s">
        <v>1455</v>
      </c>
      <c r="F316" t="s">
        <v>4358</v>
      </c>
      <c r="G316" s="1" t="str">
        <f>HYPERLINK("https://homd.org/jbrowse/?data=homd_V11.02_phage_1.2%2FGCA_024758865.1&amp;loc=GCA_024758865.1%7CCP103072.1%3A670639..677757&amp;tracks=prokka,prokka_ncrna,ncbi,ncbi_ncrna,panggolin,cenote,genomad&amp;highlight=","Open JBrowse")</f>
        <v>Open JBrowse</v>
      </c>
      <c r="H316">
        <v>673639</v>
      </c>
      <c r="I316">
        <v>674757</v>
      </c>
      <c r="J316" t="s">
        <v>4369</v>
      </c>
      <c r="K316" t="s">
        <v>39</v>
      </c>
      <c r="L316" t="s">
        <v>1460</v>
      </c>
      <c r="M316" t="s">
        <v>1461</v>
      </c>
      <c r="N316" t="s">
        <v>42</v>
      </c>
      <c r="O316">
        <v>3</v>
      </c>
      <c r="P316" t="s">
        <v>42</v>
      </c>
      <c r="Q316" t="s">
        <v>43</v>
      </c>
      <c r="R316" t="s">
        <v>4360</v>
      </c>
      <c r="S316" t="s">
        <v>1460</v>
      </c>
      <c r="T316" t="s">
        <v>42</v>
      </c>
      <c r="U316">
        <v>138</v>
      </c>
      <c r="V316">
        <v>367</v>
      </c>
      <c r="W316">
        <v>230</v>
      </c>
      <c r="X316" t="s">
        <v>971</v>
      </c>
      <c r="Y316" t="s">
        <v>4370</v>
      </c>
      <c r="Z316" t="s">
        <v>302</v>
      </c>
      <c r="AA316" t="s">
        <v>2850</v>
      </c>
      <c r="AB316" t="s">
        <v>4371</v>
      </c>
      <c r="AC316" t="s">
        <v>984</v>
      </c>
      <c r="AD316" t="s">
        <v>985</v>
      </c>
      <c r="AE316">
        <v>4056</v>
      </c>
      <c r="AF316" t="s">
        <v>2852</v>
      </c>
    </row>
    <row r="317" spans="1:34" x14ac:dyDescent="0.75">
      <c r="A317" s="22" t="s">
        <v>6047</v>
      </c>
      <c r="B317" t="s">
        <v>4372</v>
      </c>
      <c r="C317" t="s">
        <v>34</v>
      </c>
      <c r="D317" t="s">
        <v>1454</v>
      </c>
      <c r="E317" t="s">
        <v>1455</v>
      </c>
      <c r="F317" t="s">
        <v>4373</v>
      </c>
      <c r="G317" s="1" t="str">
        <f>HYPERLINK("https://homd.org/jbrowse/?data=homd_V11.02_phage_1.2%2FGCA_024758905.1&amp;loc=GCA_024758905.1%7CCP103077.1%3A1625451..1632569&amp;tracks=prokka,prokka_ncrna,ncbi,ncbi_ncrna,panggolin,cenote,genomad&amp;highlight=","Open JBrowse")</f>
        <v>Open JBrowse</v>
      </c>
      <c r="H317">
        <v>1628451</v>
      </c>
      <c r="I317">
        <v>1629569</v>
      </c>
      <c r="J317" t="s">
        <v>4374</v>
      </c>
      <c r="K317" t="s">
        <v>39</v>
      </c>
      <c r="L317" t="s">
        <v>1460</v>
      </c>
      <c r="M317" t="s">
        <v>1461</v>
      </c>
      <c r="N317" t="s">
        <v>42</v>
      </c>
      <c r="O317">
        <v>3</v>
      </c>
      <c r="P317" t="s">
        <v>42</v>
      </c>
      <c r="Q317" t="s">
        <v>43</v>
      </c>
      <c r="R317" t="s">
        <v>4375</v>
      </c>
      <c r="S317" t="s">
        <v>1460</v>
      </c>
      <c r="T317" t="s">
        <v>42</v>
      </c>
      <c r="U317">
        <v>138</v>
      </c>
      <c r="V317">
        <v>367</v>
      </c>
      <c r="W317">
        <v>230</v>
      </c>
      <c r="X317" t="s">
        <v>971</v>
      </c>
      <c r="Y317" t="s">
        <v>4376</v>
      </c>
      <c r="Z317" t="s">
        <v>811</v>
      </c>
      <c r="AA317" t="s">
        <v>1464</v>
      </c>
      <c r="AB317" t="s">
        <v>4377</v>
      </c>
      <c r="AC317" t="s">
        <v>984</v>
      </c>
      <c r="AD317" t="s">
        <v>985</v>
      </c>
      <c r="AE317">
        <v>4041</v>
      </c>
      <c r="AF317" t="s">
        <v>1466</v>
      </c>
    </row>
    <row r="318" spans="1:34" x14ac:dyDescent="0.75">
      <c r="A318" s="22" t="s">
        <v>6047</v>
      </c>
      <c r="B318" t="s">
        <v>4372</v>
      </c>
      <c r="C318" t="s">
        <v>34</v>
      </c>
      <c r="D318" t="s">
        <v>1454</v>
      </c>
      <c r="E318" t="s">
        <v>1455</v>
      </c>
      <c r="F318" t="s">
        <v>4373</v>
      </c>
      <c r="G318" s="1" t="str">
        <f>HYPERLINK("https://homd.org/jbrowse/?data=homd_V11.02_phage_1.2%2FGCA_024758905.1&amp;loc=GCA_024758905.1%7CCP103077.1%3A1947060..1953866&amp;tracks=prokka,prokka_ncrna,ncbi,ncbi_ncrna,panggolin,cenote,genomad&amp;highlight=","Open JBrowse")</f>
        <v>Open JBrowse</v>
      </c>
      <c r="H318">
        <v>1950060</v>
      </c>
      <c r="I318">
        <v>1950866</v>
      </c>
      <c r="J318" t="s">
        <v>4378</v>
      </c>
      <c r="K318" t="s">
        <v>39</v>
      </c>
      <c r="L318" t="s">
        <v>1476</v>
      </c>
      <c r="M318" t="s">
        <v>1477</v>
      </c>
      <c r="N318" t="s">
        <v>42</v>
      </c>
      <c r="O318">
        <v>3</v>
      </c>
      <c r="P318" t="s">
        <v>42</v>
      </c>
      <c r="Q318" t="s">
        <v>43</v>
      </c>
      <c r="R318" t="s">
        <v>4375</v>
      </c>
      <c r="S318" t="s">
        <v>1476</v>
      </c>
      <c r="T318" t="s">
        <v>42</v>
      </c>
      <c r="U318">
        <v>36</v>
      </c>
      <c r="V318">
        <v>262</v>
      </c>
      <c r="W318">
        <v>227</v>
      </c>
      <c r="X318" t="s">
        <v>45</v>
      </c>
    </row>
    <row r="319" spans="1:34" x14ac:dyDescent="0.75">
      <c r="A319" s="22" t="s">
        <v>6047</v>
      </c>
      <c r="B319" t="s">
        <v>4372</v>
      </c>
      <c r="C319" t="s">
        <v>34</v>
      </c>
      <c r="D319" t="s">
        <v>1454</v>
      </c>
      <c r="E319" t="s">
        <v>1455</v>
      </c>
      <c r="F319" t="s">
        <v>4373</v>
      </c>
      <c r="G319" s="1" t="str">
        <f>HYPERLINK("https://homd.org/jbrowse/?data=homd_V11.02_phage_1.2%2FGCA_024758905.1&amp;loc=GCA_024758905.1%7CCP103077.1%3A2004334..2011428&amp;tracks=prokka,prokka_ncrna,ncbi,ncbi_ncrna,panggolin,cenote,genomad&amp;highlight=","Open JBrowse")</f>
        <v>Open JBrowse</v>
      </c>
      <c r="H319">
        <v>2007334</v>
      </c>
      <c r="I319">
        <v>2008428</v>
      </c>
      <c r="J319" t="s">
        <v>4379</v>
      </c>
      <c r="K319" t="s">
        <v>109</v>
      </c>
      <c r="L319" t="s">
        <v>1468</v>
      </c>
      <c r="M319" t="s">
        <v>1469</v>
      </c>
      <c r="N319" t="s">
        <v>42</v>
      </c>
      <c r="O319">
        <v>3</v>
      </c>
      <c r="P319" t="s">
        <v>42</v>
      </c>
      <c r="Q319" t="s">
        <v>101</v>
      </c>
      <c r="R319" t="s">
        <v>4375</v>
      </c>
      <c r="S319" t="s">
        <v>1468</v>
      </c>
      <c r="T319" t="s">
        <v>42</v>
      </c>
      <c r="U319">
        <v>133</v>
      </c>
      <c r="V319">
        <v>361</v>
      </c>
      <c r="W319">
        <v>229</v>
      </c>
      <c r="X319" t="s">
        <v>248</v>
      </c>
      <c r="Y319" t="s">
        <v>4380</v>
      </c>
      <c r="Z319" t="s">
        <v>1291</v>
      </c>
      <c r="AA319" t="s">
        <v>4381</v>
      </c>
      <c r="AB319" t="s">
        <v>4382</v>
      </c>
      <c r="AC319" t="s">
        <v>316</v>
      </c>
      <c r="AD319" t="s">
        <v>101</v>
      </c>
      <c r="AE319">
        <v>5438</v>
      </c>
      <c r="AF319" t="s">
        <v>4383</v>
      </c>
    </row>
    <row r="320" spans="1:34" x14ac:dyDescent="0.75">
      <c r="A320" s="22" t="s">
        <v>6047</v>
      </c>
      <c r="B320" t="s">
        <v>4372</v>
      </c>
      <c r="C320" t="s">
        <v>34</v>
      </c>
      <c r="D320" t="s">
        <v>1454</v>
      </c>
      <c r="E320" t="s">
        <v>1455</v>
      </c>
      <c r="F320" t="s">
        <v>4373</v>
      </c>
      <c r="G320" s="1" t="str">
        <f>HYPERLINK("https://homd.org/jbrowse/?data=homd_V11.02_phage_1.2%2FGCA_024758905.1&amp;loc=GCA_024758905.1%7CCP103077.1%3A3061044..3068939&amp;tracks=prokka,prokka_ncrna,ncbi,ncbi_ncrna,panggolin,cenote,genomad&amp;highlight=","Open JBrowse")</f>
        <v>Open JBrowse</v>
      </c>
      <c r="H320">
        <v>3064044</v>
      </c>
      <c r="I320">
        <v>3065939</v>
      </c>
      <c r="J320" t="s">
        <v>4384</v>
      </c>
      <c r="K320" t="s">
        <v>109</v>
      </c>
      <c r="L320" t="s">
        <v>4385</v>
      </c>
      <c r="M320" t="s">
        <v>4386</v>
      </c>
      <c r="N320" t="s">
        <v>59</v>
      </c>
      <c r="O320">
        <v>2</v>
      </c>
      <c r="P320" t="s">
        <v>42</v>
      </c>
      <c r="Q320" t="s">
        <v>101</v>
      </c>
      <c r="R320" t="s">
        <v>4375</v>
      </c>
      <c r="S320" t="s">
        <v>4385</v>
      </c>
      <c r="T320" t="s">
        <v>42</v>
      </c>
      <c r="U320">
        <v>360</v>
      </c>
      <c r="V320">
        <v>609</v>
      </c>
      <c r="W320">
        <v>250</v>
      </c>
      <c r="X320" t="s">
        <v>4387</v>
      </c>
      <c r="Y320" t="s">
        <v>4388</v>
      </c>
      <c r="Z320" t="s">
        <v>2694</v>
      </c>
      <c r="AA320" t="s">
        <v>4389</v>
      </c>
      <c r="AB320" t="s">
        <v>4390</v>
      </c>
      <c r="AC320" t="s">
        <v>182</v>
      </c>
      <c r="AD320" t="s">
        <v>183</v>
      </c>
      <c r="AE320">
        <v>10990</v>
      </c>
      <c r="AF320" t="s">
        <v>4391</v>
      </c>
      <c r="AG320" t="s">
        <v>185</v>
      </c>
      <c r="AH320">
        <v>2</v>
      </c>
    </row>
    <row r="321" spans="1:34" x14ac:dyDescent="0.75">
      <c r="A321" s="22" t="s">
        <v>6047</v>
      </c>
      <c r="B321" t="s">
        <v>4372</v>
      </c>
      <c r="C321" t="s">
        <v>34</v>
      </c>
      <c r="D321" t="s">
        <v>1454</v>
      </c>
      <c r="E321" t="s">
        <v>1455</v>
      </c>
      <c r="F321" t="s">
        <v>4373</v>
      </c>
      <c r="G321" s="1" t="str">
        <f>HYPERLINK("https://homd.org/jbrowse/?data=homd_V11.02_phage_1.2%2FGCA_024758905.1&amp;loc=GCA_024758905.1%7CCP103077.1%3A3260841..3267683&amp;tracks=prokka,prokka_ncrna,ncbi,ncbi_ncrna,panggolin,cenote,genomad&amp;highlight=","Open JBrowse")</f>
        <v>Open JBrowse</v>
      </c>
      <c r="H321">
        <v>3263841</v>
      </c>
      <c r="I321">
        <v>3264683</v>
      </c>
      <c r="J321" t="s">
        <v>4392</v>
      </c>
      <c r="K321" t="s">
        <v>59</v>
      </c>
      <c r="L321" t="s">
        <v>59</v>
      </c>
      <c r="M321" t="s">
        <v>59</v>
      </c>
      <c r="N321" t="s">
        <v>42</v>
      </c>
      <c r="O321">
        <v>1</v>
      </c>
      <c r="P321" t="s">
        <v>59</v>
      </c>
      <c r="Q321" t="s">
        <v>59</v>
      </c>
      <c r="R321" t="s">
        <v>4375</v>
      </c>
      <c r="T321" t="s">
        <v>42</v>
      </c>
      <c r="X321" t="s">
        <v>59</v>
      </c>
    </row>
    <row r="322" spans="1:34" x14ac:dyDescent="0.75">
      <c r="A322" s="22" t="s">
        <v>6047</v>
      </c>
      <c r="B322" t="s">
        <v>4372</v>
      </c>
      <c r="C322" t="s">
        <v>34</v>
      </c>
      <c r="D322" t="s">
        <v>1454</v>
      </c>
      <c r="E322" t="s">
        <v>1455</v>
      </c>
      <c r="F322" t="s">
        <v>4373</v>
      </c>
      <c r="G322" s="1" t="str">
        <f>HYPERLINK("https://homd.org/jbrowse/?data=homd_V11.02_phage_1.2%2FGCA_024758905.1&amp;loc=GCA_024758905.1%7CCP103077.1%3A498121..506016&amp;tracks=prokka,prokka_ncrna,ncbi,ncbi_ncrna,panggolin,cenote,genomad&amp;highlight=","Open JBrowse")</f>
        <v>Open JBrowse</v>
      </c>
      <c r="H322">
        <v>501121</v>
      </c>
      <c r="I322">
        <v>503016</v>
      </c>
      <c r="J322" t="s">
        <v>4393</v>
      </c>
      <c r="K322" t="s">
        <v>627</v>
      </c>
      <c r="L322" t="s">
        <v>1479</v>
      </c>
      <c r="M322" t="s">
        <v>1480</v>
      </c>
      <c r="N322" t="s">
        <v>1481</v>
      </c>
      <c r="O322">
        <v>3</v>
      </c>
      <c r="P322" t="s">
        <v>1482</v>
      </c>
      <c r="Q322" t="s">
        <v>59</v>
      </c>
      <c r="R322" t="s">
        <v>4375</v>
      </c>
      <c r="S322" t="s">
        <v>1483</v>
      </c>
      <c r="T322" t="s">
        <v>42</v>
      </c>
      <c r="U322">
        <v>29</v>
      </c>
      <c r="V322">
        <v>280</v>
      </c>
      <c r="W322">
        <v>252</v>
      </c>
      <c r="X322" t="s">
        <v>1484</v>
      </c>
      <c r="Y322" t="s">
        <v>4394</v>
      </c>
      <c r="Z322" t="s">
        <v>336</v>
      </c>
      <c r="AA322" t="s">
        <v>4395</v>
      </c>
      <c r="AB322" t="s">
        <v>4396</v>
      </c>
      <c r="AC322" t="s">
        <v>1489</v>
      </c>
      <c r="AD322" t="s">
        <v>638</v>
      </c>
      <c r="AE322">
        <v>7466</v>
      </c>
      <c r="AF322" t="s">
        <v>4397</v>
      </c>
    </row>
    <row r="323" spans="1:34" x14ac:dyDescent="0.75">
      <c r="A323" s="22" t="s">
        <v>6047</v>
      </c>
      <c r="B323" t="s">
        <v>4398</v>
      </c>
      <c r="C323" t="s">
        <v>34</v>
      </c>
      <c r="D323" t="s">
        <v>1492</v>
      </c>
      <c r="E323" t="s">
        <v>1493</v>
      </c>
      <c r="F323" t="s">
        <v>4399</v>
      </c>
      <c r="G323" s="1" t="str">
        <f>HYPERLINK("https://homd.org/jbrowse/?data=homd_V11.02_phage_1.2%2FGCA_024758985.1&amp;loc=GCA_024758985.1%7CCP103080.1%3A1186613..1193428&amp;tracks=prokka,prokka_ncrna,ncbi,ncbi_ncrna,panggolin,cenote,genomad&amp;highlight=","Open JBrowse")</f>
        <v>Open JBrowse</v>
      </c>
      <c r="H323">
        <v>1189613</v>
      </c>
      <c r="I323">
        <v>1190428</v>
      </c>
      <c r="J323" t="s">
        <v>4400</v>
      </c>
      <c r="K323" t="s">
        <v>996</v>
      </c>
      <c r="L323" t="s">
        <v>343</v>
      </c>
      <c r="M323" t="s">
        <v>1502</v>
      </c>
      <c r="N323" t="s">
        <v>42</v>
      </c>
      <c r="O323">
        <v>3</v>
      </c>
      <c r="P323" t="s">
        <v>42</v>
      </c>
      <c r="Q323" t="s">
        <v>101</v>
      </c>
      <c r="R323" t="s">
        <v>4401</v>
      </c>
      <c r="S323" t="s">
        <v>343</v>
      </c>
      <c r="T323" t="s">
        <v>42</v>
      </c>
      <c r="U323">
        <v>38</v>
      </c>
      <c r="V323">
        <v>270</v>
      </c>
      <c r="W323">
        <v>233</v>
      </c>
      <c r="X323" t="s">
        <v>999</v>
      </c>
      <c r="Y323" t="s">
        <v>4402</v>
      </c>
      <c r="Z323" t="s">
        <v>904</v>
      </c>
      <c r="AA323" t="s">
        <v>4403</v>
      </c>
      <c r="AB323" t="s">
        <v>4404</v>
      </c>
      <c r="AC323" t="s">
        <v>1003</v>
      </c>
      <c r="AD323" t="s">
        <v>101</v>
      </c>
      <c r="AE323">
        <v>3082</v>
      </c>
      <c r="AF323" t="s">
        <v>4405</v>
      </c>
    </row>
    <row r="324" spans="1:34" x14ac:dyDescent="0.75">
      <c r="A324" s="22" t="s">
        <v>6047</v>
      </c>
      <c r="B324" t="s">
        <v>4398</v>
      </c>
      <c r="C324" t="s">
        <v>34</v>
      </c>
      <c r="D324" t="s">
        <v>1492</v>
      </c>
      <c r="E324" t="s">
        <v>1493</v>
      </c>
      <c r="F324" t="s">
        <v>4399</v>
      </c>
      <c r="G324" s="1" t="str">
        <f>HYPERLINK("https://homd.org/jbrowse/?data=homd_V11.02_phage_1.2%2FGCA_024758985.1&amp;loc=GCA_024758985.1%7CCP103080.1%3A481332..487778&amp;tracks=prokka,prokka_ncrna,ncbi,ncbi_ncrna,panggolin,cenote,genomad&amp;highlight=","Open JBrowse")</f>
        <v>Open JBrowse</v>
      </c>
      <c r="H324">
        <v>484332</v>
      </c>
      <c r="I324">
        <v>484778</v>
      </c>
      <c r="J324" t="s">
        <v>4406</v>
      </c>
      <c r="K324" t="s">
        <v>39</v>
      </c>
      <c r="L324" t="s">
        <v>4407</v>
      </c>
      <c r="M324" t="s">
        <v>4408</v>
      </c>
      <c r="N324" t="s">
        <v>59</v>
      </c>
      <c r="O324">
        <v>2</v>
      </c>
      <c r="P324" t="s">
        <v>42</v>
      </c>
      <c r="Q324" t="s">
        <v>43</v>
      </c>
      <c r="R324" t="s">
        <v>4401</v>
      </c>
      <c r="S324" t="s">
        <v>4407</v>
      </c>
      <c r="T324" t="s">
        <v>42</v>
      </c>
      <c r="U324">
        <v>17</v>
      </c>
      <c r="V324">
        <v>142</v>
      </c>
      <c r="W324">
        <v>126</v>
      </c>
      <c r="X324" t="s">
        <v>45</v>
      </c>
    </row>
    <row r="325" spans="1:34" x14ac:dyDescent="0.75">
      <c r="A325" s="22" t="s">
        <v>6047</v>
      </c>
      <c r="B325" t="s">
        <v>4398</v>
      </c>
      <c r="C325" t="s">
        <v>34</v>
      </c>
      <c r="D325" t="s">
        <v>1492</v>
      </c>
      <c r="E325" t="s">
        <v>1493</v>
      </c>
      <c r="F325" t="s">
        <v>4399</v>
      </c>
      <c r="G325" s="1" t="str">
        <f>HYPERLINK("https://homd.org/jbrowse/?data=homd_V11.02_phage_1.2%2FGCA_024758985.1&amp;loc=GCA_024758985.1%7CCP103080.1%3A5939147..5945986&amp;tracks=prokka,prokka_ncrna,ncbi,ncbi_ncrna,panggolin,cenote,genomad&amp;highlight=","Open JBrowse")</f>
        <v>Open JBrowse</v>
      </c>
      <c r="H325">
        <v>5942147</v>
      </c>
      <c r="I325">
        <v>5942986</v>
      </c>
      <c r="J325" t="s">
        <v>4409</v>
      </c>
      <c r="K325" t="s">
        <v>59</v>
      </c>
      <c r="L325" t="s">
        <v>59</v>
      </c>
      <c r="M325" t="s">
        <v>59</v>
      </c>
      <c r="N325" t="s">
        <v>42</v>
      </c>
      <c r="O325">
        <v>1</v>
      </c>
      <c r="P325" t="s">
        <v>59</v>
      </c>
      <c r="Q325" t="s">
        <v>59</v>
      </c>
      <c r="R325" t="s">
        <v>4401</v>
      </c>
      <c r="T325" t="s">
        <v>42</v>
      </c>
      <c r="X325" t="s">
        <v>59</v>
      </c>
    </row>
    <row r="326" spans="1:34" x14ac:dyDescent="0.75">
      <c r="A326" s="22" t="s">
        <v>6047</v>
      </c>
      <c r="B326" t="s">
        <v>4410</v>
      </c>
      <c r="C326" t="s">
        <v>34</v>
      </c>
      <c r="D326" t="s">
        <v>1745</v>
      </c>
      <c r="E326" t="s">
        <v>1746</v>
      </c>
      <c r="F326" t="s">
        <v>4411</v>
      </c>
      <c r="G326" s="1" t="str">
        <f>HYPERLINK("https://homd.org/jbrowse/?data=homd_V11.02_phage_1.2%2FGCA_024759085.1&amp;loc=GCA_024759085.1%7CCP103084.1%3A112648..119490&amp;tracks=prokka,prokka_ncrna,ncbi,ncbi_ncrna,panggolin,cenote,genomad&amp;highlight=","Open JBrowse")</f>
        <v>Open JBrowse</v>
      </c>
      <c r="H326">
        <v>115648</v>
      </c>
      <c r="I326">
        <v>116490</v>
      </c>
      <c r="J326" t="s">
        <v>4412</v>
      </c>
      <c r="K326" t="s">
        <v>77</v>
      </c>
      <c r="L326" t="s">
        <v>1763</v>
      </c>
      <c r="M326" t="s">
        <v>1764</v>
      </c>
      <c r="N326" t="s">
        <v>42</v>
      </c>
      <c r="O326">
        <v>3</v>
      </c>
      <c r="P326" t="s">
        <v>42</v>
      </c>
      <c r="Q326" t="s">
        <v>43</v>
      </c>
      <c r="R326" t="s">
        <v>4413</v>
      </c>
      <c r="S326" t="s">
        <v>1763</v>
      </c>
      <c r="T326" t="s">
        <v>42</v>
      </c>
      <c r="U326">
        <v>39</v>
      </c>
      <c r="V326">
        <v>270</v>
      </c>
      <c r="W326">
        <v>232</v>
      </c>
      <c r="X326" t="s">
        <v>1765</v>
      </c>
      <c r="Y326" t="s">
        <v>4414</v>
      </c>
      <c r="Z326" t="s">
        <v>645</v>
      </c>
      <c r="AA326" t="s">
        <v>4415</v>
      </c>
      <c r="AB326" t="s">
        <v>4416</v>
      </c>
      <c r="AC326" t="s">
        <v>984</v>
      </c>
      <c r="AD326" t="s">
        <v>985</v>
      </c>
      <c r="AE326">
        <v>921</v>
      </c>
      <c r="AF326" t="s">
        <v>986</v>
      </c>
      <c r="AG326" t="s">
        <v>185</v>
      </c>
      <c r="AH326">
        <v>2</v>
      </c>
    </row>
    <row r="327" spans="1:34" x14ac:dyDescent="0.75">
      <c r="A327" s="22" t="s">
        <v>6047</v>
      </c>
      <c r="B327" t="s">
        <v>4410</v>
      </c>
      <c r="C327" t="s">
        <v>34</v>
      </c>
      <c r="D327" t="s">
        <v>1745</v>
      </c>
      <c r="E327" t="s">
        <v>1746</v>
      </c>
      <c r="F327" t="s">
        <v>4411</v>
      </c>
      <c r="G327" s="1" t="str">
        <f>HYPERLINK("https://homd.org/jbrowse/?data=homd_V11.02_phage_1.2%2FGCA_024759085.1&amp;loc=GCA_024759085.1%7CCP103084.1%3A113693..120517&amp;tracks=prokka,prokka_ncrna,ncbi,ncbi_ncrna,panggolin,cenote,genomad&amp;highlight=","Open JBrowse")</f>
        <v>Open JBrowse</v>
      </c>
      <c r="H327">
        <v>116693</v>
      </c>
      <c r="I327">
        <v>117517</v>
      </c>
      <c r="J327" t="s">
        <v>4417</v>
      </c>
      <c r="K327" t="s">
        <v>1770</v>
      </c>
      <c r="L327" t="s">
        <v>1771</v>
      </c>
      <c r="M327" t="s">
        <v>1772</v>
      </c>
      <c r="N327" t="s">
        <v>42</v>
      </c>
      <c r="O327">
        <v>3</v>
      </c>
      <c r="P327" t="s">
        <v>42</v>
      </c>
      <c r="Q327" t="s">
        <v>43</v>
      </c>
      <c r="R327" t="s">
        <v>4413</v>
      </c>
      <c r="S327" t="s">
        <v>1771</v>
      </c>
      <c r="T327" t="s">
        <v>42</v>
      </c>
      <c r="U327">
        <v>48</v>
      </c>
      <c r="V327">
        <v>271</v>
      </c>
      <c r="W327">
        <v>224</v>
      </c>
      <c r="X327" t="s">
        <v>1773</v>
      </c>
      <c r="Y327" t="s">
        <v>4414</v>
      </c>
      <c r="Z327" t="s">
        <v>645</v>
      </c>
      <c r="AA327" t="s">
        <v>4415</v>
      </c>
      <c r="AB327" t="s">
        <v>4416</v>
      </c>
      <c r="AC327" t="s">
        <v>984</v>
      </c>
      <c r="AD327" t="s">
        <v>985</v>
      </c>
      <c r="AE327">
        <v>921</v>
      </c>
      <c r="AF327" t="s">
        <v>986</v>
      </c>
      <c r="AG327" t="s">
        <v>185</v>
      </c>
      <c r="AH327">
        <v>2</v>
      </c>
    </row>
    <row r="328" spans="1:34" x14ac:dyDescent="0.75">
      <c r="A328" s="22" t="s">
        <v>6047</v>
      </c>
      <c r="B328" t="s">
        <v>4410</v>
      </c>
      <c r="C328" t="s">
        <v>34</v>
      </c>
      <c r="D328" t="s">
        <v>1745</v>
      </c>
      <c r="E328" t="s">
        <v>1746</v>
      </c>
      <c r="F328" t="s">
        <v>4411</v>
      </c>
      <c r="G328" s="1" t="str">
        <f>HYPERLINK("https://homd.org/jbrowse/?data=homd_V11.02_phage_1.2%2FGCA_024759085.1&amp;loc=GCA_024759085.1%7CCP103084.1%3A1494612..1501709&amp;tracks=prokka,prokka_ncrna,ncbi,ncbi_ncrna,panggolin,cenote,genomad&amp;highlight=","Open JBrowse")</f>
        <v>Open JBrowse</v>
      </c>
      <c r="H328">
        <v>1497612</v>
      </c>
      <c r="I328">
        <v>1498709</v>
      </c>
      <c r="J328" t="s">
        <v>4418</v>
      </c>
      <c r="K328" t="s">
        <v>39</v>
      </c>
      <c r="L328" t="s">
        <v>4419</v>
      </c>
      <c r="M328" t="s">
        <v>4420</v>
      </c>
      <c r="N328" t="s">
        <v>42</v>
      </c>
      <c r="O328">
        <v>3</v>
      </c>
      <c r="P328" t="s">
        <v>42</v>
      </c>
      <c r="Q328" t="s">
        <v>43</v>
      </c>
      <c r="R328" t="s">
        <v>4413</v>
      </c>
      <c r="S328" t="s">
        <v>4419</v>
      </c>
      <c r="T328" t="s">
        <v>42</v>
      </c>
      <c r="U328">
        <v>130</v>
      </c>
      <c r="V328">
        <v>360</v>
      </c>
      <c r="W328">
        <v>231</v>
      </c>
      <c r="X328" t="s">
        <v>971</v>
      </c>
      <c r="Y328" t="s">
        <v>4421</v>
      </c>
      <c r="Z328" t="s">
        <v>824</v>
      </c>
      <c r="AA328" t="s">
        <v>4422</v>
      </c>
      <c r="AB328" t="s">
        <v>4423</v>
      </c>
      <c r="AC328" t="s">
        <v>984</v>
      </c>
      <c r="AD328" t="s">
        <v>985</v>
      </c>
      <c r="AE328">
        <v>2028</v>
      </c>
      <c r="AF328" t="s">
        <v>4424</v>
      </c>
    </row>
    <row r="329" spans="1:34" x14ac:dyDescent="0.75">
      <c r="A329" s="22" t="s">
        <v>6047</v>
      </c>
      <c r="B329" t="s">
        <v>4410</v>
      </c>
      <c r="C329" t="s">
        <v>34</v>
      </c>
      <c r="D329" t="s">
        <v>1745</v>
      </c>
      <c r="E329" t="s">
        <v>1746</v>
      </c>
      <c r="F329" t="s">
        <v>4411</v>
      </c>
      <c r="G329" s="1" t="str">
        <f>HYPERLINK("https://homd.org/jbrowse/?data=homd_V11.02_phage_1.2%2FGCA_024759085.1&amp;loc=GCA_024759085.1%7CCP103084.1%3A1748017..1754820&amp;tracks=prokka,prokka_ncrna,ncbi,ncbi_ncrna,panggolin,cenote,genomad&amp;highlight=","Open JBrowse")</f>
        <v>Open JBrowse</v>
      </c>
      <c r="H329">
        <v>1751017</v>
      </c>
      <c r="I329">
        <v>1751820</v>
      </c>
      <c r="J329" t="s">
        <v>4425</v>
      </c>
      <c r="K329" t="s">
        <v>39</v>
      </c>
      <c r="L329" t="s">
        <v>123</v>
      </c>
      <c r="M329" t="s">
        <v>124</v>
      </c>
      <c r="N329" t="s">
        <v>42</v>
      </c>
      <c r="O329">
        <v>3</v>
      </c>
      <c r="P329" t="s">
        <v>42</v>
      </c>
      <c r="Q329" t="s">
        <v>43</v>
      </c>
      <c r="R329" t="s">
        <v>4413</v>
      </c>
      <c r="S329" t="s">
        <v>123</v>
      </c>
      <c r="T329" t="s">
        <v>42</v>
      </c>
      <c r="U329">
        <v>35</v>
      </c>
      <c r="V329">
        <v>261</v>
      </c>
      <c r="W329">
        <v>227</v>
      </c>
      <c r="X329" t="s">
        <v>45</v>
      </c>
    </row>
    <row r="330" spans="1:34" x14ac:dyDescent="0.75">
      <c r="A330" s="22" t="s">
        <v>6047</v>
      </c>
      <c r="B330" t="s">
        <v>4410</v>
      </c>
      <c r="C330" t="s">
        <v>34</v>
      </c>
      <c r="D330" t="s">
        <v>1745</v>
      </c>
      <c r="E330" t="s">
        <v>1746</v>
      </c>
      <c r="F330" t="s">
        <v>4411</v>
      </c>
      <c r="G330" s="1" t="str">
        <f>HYPERLINK("https://homd.org/jbrowse/?data=homd_V11.02_phage_1.2%2FGCA_024759085.1&amp;loc=GCA_024759085.1%7CCP103084.1%3A295807..303714&amp;tracks=prokka,prokka_ncrna,ncbi,ncbi_ncrna,panggolin,cenote,genomad&amp;highlight=","Open JBrowse")</f>
        <v>Open JBrowse</v>
      </c>
      <c r="H330">
        <v>298807</v>
      </c>
      <c r="I330">
        <v>300714</v>
      </c>
      <c r="J330" t="s">
        <v>4426</v>
      </c>
      <c r="K330" t="s">
        <v>627</v>
      </c>
      <c r="L330" t="s">
        <v>1759</v>
      </c>
      <c r="M330" t="s">
        <v>1760</v>
      </c>
      <c r="N330" t="s">
        <v>1481</v>
      </c>
      <c r="O330">
        <v>3</v>
      </c>
      <c r="P330" t="s">
        <v>1482</v>
      </c>
      <c r="Q330" t="s">
        <v>59</v>
      </c>
      <c r="R330" t="s">
        <v>4413</v>
      </c>
      <c r="S330" t="s">
        <v>1761</v>
      </c>
      <c r="T330" t="s">
        <v>42</v>
      </c>
      <c r="U330">
        <v>32</v>
      </c>
      <c r="V330">
        <v>283</v>
      </c>
      <c r="W330">
        <v>252</v>
      </c>
      <c r="X330" t="s">
        <v>1484</v>
      </c>
      <c r="Y330" t="s">
        <v>4427</v>
      </c>
      <c r="Z330" t="s">
        <v>586</v>
      </c>
      <c r="AA330" t="s">
        <v>4428</v>
      </c>
      <c r="AB330" t="s">
        <v>4429</v>
      </c>
      <c r="AC330" t="s">
        <v>637</v>
      </c>
      <c r="AD330" t="s">
        <v>638</v>
      </c>
      <c r="AE330">
        <v>3824</v>
      </c>
      <c r="AF330" t="s">
        <v>4430</v>
      </c>
    </row>
    <row r="331" spans="1:34" x14ac:dyDescent="0.75">
      <c r="A331" s="22" t="s">
        <v>6047</v>
      </c>
      <c r="B331" t="s">
        <v>4410</v>
      </c>
      <c r="C331" t="s">
        <v>34</v>
      </c>
      <c r="D331" t="s">
        <v>1745</v>
      </c>
      <c r="E331" t="s">
        <v>1746</v>
      </c>
      <c r="F331" t="s">
        <v>4411</v>
      </c>
      <c r="G331" s="1" t="str">
        <f>HYPERLINK("https://homd.org/jbrowse/?data=homd_V11.02_phage_1.2%2FGCA_024759085.1&amp;loc=GCA_024759085.1%7CCP103084.1%3A297731..305266&amp;tracks=prokka,prokka_ncrna,ncbi,ncbi_ncrna,panggolin,cenote,genomad&amp;highlight=","Open JBrowse")</f>
        <v>Open JBrowse</v>
      </c>
      <c r="H331">
        <v>300731</v>
      </c>
      <c r="I331">
        <v>302266</v>
      </c>
      <c r="J331" t="s">
        <v>4431</v>
      </c>
      <c r="K331" t="s">
        <v>59</v>
      </c>
      <c r="L331" t="s">
        <v>1749</v>
      </c>
      <c r="M331" t="s">
        <v>1750</v>
      </c>
      <c r="N331" t="s">
        <v>42</v>
      </c>
      <c r="O331">
        <v>3</v>
      </c>
      <c r="P331" t="s">
        <v>42</v>
      </c>
      <c r="Q331" t="s">
        <v>59</v>
      </c>
      <c r="R331" t="s">
        <v>4413</v>
      </c>
      <c r="S331" t="s">
        <v>1749</v>
      </c>
      <c r="T331" t="s">
        <v>42</v>
      </c>
      <c r="U331">
        <v>230</v>
      </c>
      <c r="V331">
        <v>508</v>
      </c>
      <c r="W331">
        <v>279</v>
      </c>
      <c r="X331" t="s">
        <v>1752</v>
      </c>
      <c r="Y331" t="s">
        <v>4427</v>
      </c>
      <c r="Z331" t="s">
        <v>586</v>
      </c>
      <c r="AA331" t="s">
        <v>4428</v>
      </c>
      <c r="AB331" t="s">
        <v>4429</v>
      </c>
      <c r="AC331" t="s">
        <v>637</v>
      </c>
      <c r="AD331" t="s">
        <v>638</v>
      </c>
      <c r="AE331">
        <v>3824</v>
      </c>
      <c r="AF331" t="s">
        <v>4430</v>
      </c>
    </row>
    <row r="332" spans="1:34" x14ac:dyDescent="0.75">
      <c r="A332" s="22" t="s">
        <v>6047</v>
      </c>
      <c r="B332" t="s">
        <v>4410</v>
      </c>
      <c r="C332" t="s">
        <v>34</v>
      </c>
      <c r="D332" t="s">
        <v>1745</v>
      </c>
      <c r="E332" t="s">
        <v>1746</v>
      </c>
      <c r="F332" t="s">
        <v>4411</v>
      </c>
      <c r="G332" s="1" t="str">
        <f>HYPERLINK("https://homd.org/jbrowse/?data=homd_V11.02_phage_1.2%2FGCA_024759085.1&amp;loc=GCA_024759085.1%7CCP103084.1%3A4236199..4243047&amp;tracks=prokka,prokka_ncrna,ncbi,ncbi_ncrna,panggolin,cenote,genomad&amp;highlight=","Open JBrowse")</f>
        <v>Open JBrowse</v>
      </c>
      <c r="H332">
        <v>4239199</v>
      </c>
      <c r="I332">
        <v>4240047</v>
      </c>
      <c r="J332" t="s">
        <v>4432</v>
      </c>
      <c r="K332" t="s">
        <v>59</v>
      </c>
      <c r="L332" t="s">
        <v>59</v>
      </c>
      <c r="M332" t="s">
        <v>59</v>
      </c>
      <c r="N332" t="s">
        <v>42</v>
      </c>
      <c r="O332">
        <v>1</v>
      </c>
      <c r="P332" t="s">
        <v>59</v>
      </c>
      <c r="Q332" t="s">
        <v>59</v>
      </c>
      <c r="R332" t="s">
        <v>4413</v>
      </c>
      <c r="T332" t="s">
        <v>42</v>
      </c>
      <c r="X332" t="s">
        <v>59</v>
      </c>
      <c r="Y332" t="s">
        <v>4433</v>
      </c>
      <c r="Z332" t="s">
        <v>4434</v>
      </c>
      <c r="AA332" t="s">
        <v>4435</v>
      </c>
      <c r="AB332" t="s">
        <v>4436</v>
      </c>
      <c r="AC332" t="s">
        <v>1780</v>
      </c>
      <c r="AD332" t="s">
        <v>183</v>
      </c>
      <c r="AE332">
        <v>1750</v>
      </c>
      <c r="AF332" t="s">
        <v>1781</v>
      </c>
      <c r="AG332" t="s">
        <v>185</v>
      </c>
      <c r="AH332">
        <v>2</v>
      </c>
    </row>
    <row r="333" spans="1:34" x14ac:dyDescent="0.75">
      <c r="A333" s="22" t="s">
        <v>6047</v>
      </c>
      <c r="B333" t="s">
        <v>4410</v>
      </c>
      <c r="C333" t="s">
        <v>34</v>
      </c>
      <c r="D333" t="s">
        <v>1745</v>
      </c>
      <c r="E333" t="s">
        <v>1746</v>
      </c>
      <c r="F333" t="s">
        <v>4411</v>
      </c>
      <c r="G333" s="1" t="str">
        <f>HYPERLINK("https://homd.org/jbrowse/?data=homd_V11.02_phage_1.2%2FGCA_024759085.1&amp;loc=GCA_024759085.1%7CCP103084.1%3A437077..443937&amp;tracks=prokka,prokka_ncrna,ncbi,ncbi_ncrna,panggolin,cenote,genomad&amp;highlight=","Open JBrowse")</f>
        <v>Open JBrowse</v>
      </c>
      <c r="H333">
        <v>440077</v>
      </c>
      <c r="I333">
        <v>440937</v>
      </c>
      <c r="J333" t="s">
        <v>4437</v>
      </c>
      <c r="K333" t="s">
        <v>77</v>
      </c>
      <c r="L333" t="s">
        <v>3519</v>
      </c>
      <c r="M333" t="s">
        <v>3520</v>
      </c>
      <c r="N333" t="s">
        <v>398</v>
      </c>
      <c r="O333">
        <v>3</v>
      </c>
      <c r="P333" t="s">
        <v>42</v>
      </c>
      <c r="Q333" t="s">
        <v>43</v>
      </c>
      <c r="R333" t="s">
        <v>4413</v>
      </c>
      <c r="S333" t="s">
        <v>3519</v>
      </c>
      <c r="T333" t="s">
        <v>42</v>
      </c>
      <c r="U333">
        <v>41</v>
      </c>
      <c r="V333">
        <v>272</v>
      </c>
      <c r="W333">
        <v>232</v>
      </c>
      <c r="X333" t="s">
        <v>1765</v>
      </c>
      <c r="Y333" t="s">
        <v>4438</v>
      </c>
      <c r="Z333" t="s">
        <v>1463</v>
      </c>
      <c r="AA333" t="s">
        <v>4439</v>
      </c>
      <c r="AB333" t="s">
        <v>4440</v>
      </c>
      <c r="AC333" t="s">
        <v>4441</v>
      </c>
      <c r="AD333" t="s">
        <v>183</v>
      </c>
      <c r="AE333">
        <v>1289</v>
      </c>
      <c r="AF333" t="s">
        <v>4442</v>
      </c>
      <c r="AG333" t="s">
        <v>185</v>
      </c>
      <c r="AH333">
        <v>2</v>
      </c>
    </row>
    <row r="334" spans="1:34" x14ac:dyDescent="0.75">
      <c r="A334" s="22" t="s">
        <v>6047</v>
      </c>
      <c r="B334" t="s">
        <v>4410</v>
      </c>
      <c r="C334" t="s">
        <v>34</v>
      </c>
      <c r="D334" t="s">
        <v>1745</v>
      </c>
      <c r="E334" t="s">
        <v>1746</v>
      </c>
      <c r="F334" t="s">
        <v>4411</v>
      </c>
      <c r="G334" s="1" t="str">
        <f>HYPERLINK("https://homd.org/jbrowse/?data=homd_V11.02_phage_1.2%2FGCA_024759085.1&amp;loc=GCA_024759085.1%7CCP103084.1%3A440584..446985&amp;tracks=prokka,prokka_ncrna,ncbi,ncbi_ncrna,panggolin,cenote,genomad&amp;highlight=","Open JBrowse")</f>
        <v>Open JBrowse</v>
      </c>
      <c r="H334">
        <v>443584</v>
      </c>
      <c r="I334">
        <v>443985</v>
      </c>
      <c r="J334" t="s">
        <v>4443</v>
      </c>
      <c r="K334" t="s">
        <v>1770</v>
      </c>
      <c r="L334" t="s">
        <v>4444</v>
      </c>
      <c r="M334" t="s">
        <v>4445</v>
      </c>
      <c r="N334" t="s">
        <v>59</v>
      </c>
      <c r="O334">
        <v>2</v>
      </c>
      <c r="P334" t="s">
        <v>42</v>
      </c>
      <c r="Q334" t="s">
        <v>43</v>
      </c>
      <c r="R334" t="s">
        <v>4413</v>
      </c>
      <c r="S334" t="s">
        <v>4444</v>
      </c>
      <c r="T334" t="s">
        <v>42</v>
      </c>
      <c r="U334">
        <v>1</v>
      </c>
      <c r="V334">
        <v>130</v>
      </c>
      <c r="W334">
        <v>130</v>
      </c>
      <c r="X334" t="s">
        <v>1773</v>
      </c>
      <c r="Y334" t="s">
        <v>4438</v>
      </c>
      <c r="Z334" t="s">
        <v>1463</v>
      </c>
      <c r="AA334" t="s">
        <v>4439</v>
      </c>
      <c r="AB334" t="s">
        <v>4440</v>
      </c>
      <c r="AC334" t="s">
        <v>4441</v>
      </c>
      <c r="AD334" t="s">
        <v>183</v>
      </c>
      <c r="AE334">
        <v>1289</v>
      </c>
      <c r="AF334" t="s">
        <v>4442</v>
      </c>
      <c r="AG334" t="s">
        <v>185</v>
      </c>
      <c r="AH334">
        <v>2</v>
      </c>
    </row>
    <row r="335" spans="1:34" x14ac:dyDescent="0.75">
      <c r="A335" s="22" t="s">
        <v>6047</v>
      </c>
      <c r="B335" t="s">
        <v>4410</v>
      </c>
      <c r="C335" t="s">
        <v>34</v>
      </c>
      <c r="D335" t="s">
        <v>1745</v>
      </c>
      <c r="E335" t="s">
        <v>1746</v>
      </c>
      <c r="F335" t="s">
        <v>4411</v>
      </c>
      <c r="G335" s="1" t="str">
        <f>HYPERLINK("https://homd.org/jbrowse/?data=homd_V11.02_phage_1.2%2FGCA_024759085.1&amp;loc=GCA_024759085.1%7CCP103084.1%3A4766884..4773660&amp;tracks=prokka,prokka_ncrna,ncbi,ncbi_ncrna,panggolin,cenote,genomad&amp;highlight=","Open JBrowse")</f>
        <v>Open JBrowse</v>
      </c>
      <c r="H335">
        <v>4769884</v>
      </c>
      <c r="I335">
        <v>4770660</v>
      </c>
      <c r="J335" t="s">
        <v>4446</v>
      </c>
      <c r="K335" t="s">
        <v>39</v>
      </c>
      <c r="L335" t="s">
        <v>1608</v>
      </c>
      <c r="M335" t="s">
        <v>1609</v>
      </c>
      <c r="N335" t="s">
        <v>42</v>
      </c>
      <c r="O335">
        <v>3</v>
      </c>
      <c r="P335" t="s">
        <v>42</v>
      </c>
      <c r="Q335" t="s">
        <v>43</v>
      </c>
      <c r="R335" t="s">
        <v>4413</v>
      </c>
      <c r="S335" t="s">
        <v>1608</v>
      </c>
      <c r="T335" t="s">
        <v>42</v>
      </c>
      <c r="U335">
        <v>27</v>
      </c>
      <c r="V335">
        <v>255</v>
      </c>
      <c r="W335">
        <v>229</v>
      </c>
      <c r="X335" t="s">
        <v>45</v>
      </c>
      <c r="Y335" t="s">
        <v>4447</v>
      </c>
      <c r="Z335" t="s">
        <v>2726</v>
      </c>
      <c r="AA335" t="s">
        <v>1785</v>
      </c>
    </row>
    <row r="336" spans="1:34" x14ac:dyDescent="0.75">
      <c r="A336" s="22" t="s">
        <v>6047</v>
      </c>
      <c r="B336" t="s">
        <v>4410</v>
      </c>
      <c r="C336" t="s">
        <v>34</v>
      </c>
      <c r="D336" t="s">
        <v>1745</v>
      </c>
      <c r="E336" t="s">
        <v>1746</v>
      </c>
      <c r="F336" t="s">
        <v>4411</v>
      </c>
      <c r="G336" s="1" t="str">
        <f>HYPERLINK("https://homd.org/jbrowse/?data=homd_V11.02_phage_1.2%2FGCA_024759085.1&amp;loc=GCA_024759085.1%7CCP103084.1%3A978805..986196&amp;tracks=prokka,prokka_ncrna,ncbi,ncbi_ncrna,panggolin,cenote,genomad&amp;highlight=","Open JBrowse")</f>
        <v>Open JBrowse</v>
      </c>
      <c r="H336">
        <v>981805</v>
      </c>
      <c r="I336">
        <v>983196</v>
      </c>
      <c r="J336" t="s">
        <v>4448</v>
      </c>
      <c r="K336" t="s">
        <v>59</v>
      </c>
      <c r="L336" t="s">
        <v>59</v>
      </c>
      <c r="M336" t="s">
        <v>59</v>
      </c>
      <c r="N336" t="s">
        <v>42</v>
      </c>
      <c r="O336">
        <v>1</v>
      </c>
      <c r="P336" t="s">
        <v>59</v>
      </c>
      <c r="Q336" t="s">
        <v>59</v>
      </c>
      <c r="R336" t="s">
        <v>4413</v>
      </c>
      <c r="T336" t="s">
        <v>42</v>
      </c>
      <c r="X336" t="s">
        <v>59</v>
      </c>
    </row>
    <row r="337" spans="1:34" x14ac:dyDescent="0.75">
      <c r="A337" s="22" t="s">
        <v>6047</v>
      </c>
      <c r="B337" t="s">
        <v>4449</v>
      </c>
      <c r="C337" t="s">
        <v>34</v>
      </c>
      <c r="D337" t="s">
        <v>2352</v>
      </c>
      <c r="E337" t="s">
        <v>2353</v>
      </c>
      <c r="F337" t="s">
        <v>4450</v>
      </c>
      <c r="G337" s="1" t="str">
        <f>HYPERLINK("https://homd.org/jbrowse/?data=homd_V11.02_phage_1.2%2FGCA_024759125.1&amp;loc=GCA_024759125.1%7CCP103098.1%3A5959557..5966396&amp;tracks=prokka,prokka_ncrna,ncbi,ncbi_ncrna,panggolin,cenote,genomad&amp;highlight=","Open JBrowse")</f>
        <v>Open JBrowse</v>
      </c>
      <c r="H337">
        <v>5962557</v>
      </c>
      <c r="I337">
        <v>5963396</v>
      </c>
      <c r="J337" t="s">
        <v>4451</v>
      </c>
      <c r="K337" t="s">
        <v>59</v>
      </c>
      <c r="L337" t="s">
        <v>59</v>
      </c>
      <c r="M337" t="s">
        <v>59</v>
      </c>
      <c r="N337" t="s">
        <v>42</v>
      </c>
      <c r="O337">
        <v>1</v>
      </c>
      <c r="P337" t="s">
        <v>59</v>
      </c>
      <c r="Q337" t="s">
        <v>59</v>
      </c>
      <c r="R337" t="s">
        <v>4452</v>
      </c>
      <c r="T337" t="s">
        <v>42</v>
      </c>
      <c r="X337" t="s">
        <v>59</v>
      </c>
    </row>
    <row r="338" spans="1:34" x14ac:dyDescent="0.75">
      <c r="A338" s="22" t="s">
        <v>6047</v>
      </c>
      <c r="B338" t="s">
        <v>4449</v>
      </c>
      <c r="C338" t="s">
        <v>34</v>
      </c>
      <c r="D338" t="s">
        <v>2352</v>
      </c>
      <c r="E338" t="s">
        <v>2353</v>
      </c>
      <c r="F338" t="s">
        <v>4450</v>
      </c>
      <c r="G338" s="1" t="str">
        <f>HYPERLINK("https://homd.org/jbrowse/?data=homd_V11.02_phage_1.2%2FGCA_024759125.1&amp;loc=GCA_024759125.1%7CCP103098.1%3A1130385..1137200&amp;tracks=prokka,prokka_ncrna,ncbi,ncbi_ncrna,panggolin,cenote,genomad&amp;highlight=","Open JBrowse")</f>
        <v>Open JBrowse</v>
      </c>
      <c r="H338">
        <v>1133385</v>
      </c>
      <c r="I338">
        <v>1134200</v>
      </c>
      <c r="J338" t="s">
        <v>4453</v>
      </c>
      <c r="K338" t="s">
        <v>996</v>
      </c>
      <c r="L338" t="s">
        <v>343</v>
      </c>
      <c r="M338" t="s">
        <v>4454</v>
      </c>
      <c r="N338" t="s">
        <v>42</v>
      </c>
      <c r="O338">
        <v>3</v>
      </c>
      <c r="P338" t="s">
        <v>42</v>
      </c>
      <c r="Q338" t="s">
        <v>101</v>
      </c>
      <c r="R338" t="s">
        <v>4452</v>
      </c>
      <c r="S338" t="s">
        <v>343</v>
      </c>
      <c r="T338" t="s">
        <v>42</v>
      </c>
      <c r="U338">
        <v>38</v>
      </c>
      <c r="V338">
        <v>270</v>
      </c>
      <c r="W338">
        <v>233</v>
      </c>
      <c r="X338" t="s">
        <v>999</v>
      </c>
      <c r="Y338" t="s">
        <v>4455</v>
      </c>
      <c r="Z338" t="s">
        <v>458</v>
      </c>
      <c r="AA338" t="s">
        <v>4456</v>
      </c>
      <c r="AB338" t="s">
        <v>4457</v>
      </c>
      <c r="AC338" t="s">
        <v>1003</v>
      </c>
      <c r="AD338" t="s">
        <v>101</v>
      </c>
      <c r="AE338">
        <v>10350</v>
      </c>
      <c r="AF338" t="s">
        <v>2588</v>
      </c>
      <c r="AG338" t="s">
        <v>101</v>
      </c>
      <c r="AH338">
        <v>2</v>
      </c>
    </row>
    <row r="339" spans="1:34" x14ac:dyDescent="0.75">
      <c r="A339" s="22" t="s">
        <v>6047</v>
      </c>
      <c r="B339" t="s">
        <v>4458</v>
      </c>
      <c r="C339" t="s">
        <v>34</v>
      </c>
      <c r="D339" t="s">
        <v>1454</v>
      </c>
      <c r="E339" t="s">
        <v>1455</v>
      </c>
      <c r="F339" t="s">
        <v>4459</v>
      </c>
      <c r="G339" s="1" t="str">
        <f>HYPERLINK("https://homd.org/jbrowse/?data=homd_V11.02_phage_1.2%2FGCA_024759265.1&amp;loc=GCA_024759265.1%7CCP103214.1%3A2064990..2072885&amp;tracks=prokka,prokka_ncrna,ncbi,ncbi_ncrna,panggolin,cenote,genomad&amp;highlight=","Open JBrowse")</f>
        <v>Open JBrowse</v>
      </c>
      <c r="H339">
        <v>2067990</v>
      </c>
      <c r="I339">
        <v>2069885</v>
      </c>
      <c r="J339" t="s">
        <v>4460</v>
      </c>
      <c r="K339" t="s">
        <v>627</v>
      </c>
      <c r="L339" t="s">
        <v>1479</v>
      </c>
      <c r="M339" t="s">
        <v>1480</v>
      </c>
      <c r="N339" t="s">
        <v>1481</v>
      </c>
      <c r="O339">
        <v>3</v>
      </c>
      <c r="P339" t="s">
        <v>1482</v>
      </c>
      <c r="Q339" t="s">
        <v>59</v>
      </c>
      <c r="R339" t="s">
        <v>4461</v>
      </c>
      <c r="S339" t="s">
        <v>1483</v>
      </c>
      <c r="T339" t="s">
        <v>42</v>
      </c>
      <c r="U339">
        <v>29</v>
      </c>
      <c r="V339">
        <v>280</v>
      </c>
      <c r="W339">
        <v>252</v>
      </c>
      <c r="X339" t="s">
        <v>1484</v>
      </c>
      <c r="Y339" t="s">
        <v>4462</v>
      </c>
      <c r="Z339" t="s">
        <v>1291</v>
      </c>
      <c r="AA339" t="s">
        <v>4463</v>
      </c>
      <c r="AB339" t="s">
        <v>4464</v>
      </c>
      <c r="AC339" t="s">
        <v>1489</v>
      </c>
      <c r="AD339" t="s">
        <v>638</v>
      </c>
      <c r="AE339">
        <v>7430</v>
      </c>
      <c r="AF339" t="s">
        <v>4465</v>
      </c>
    </row>
    <row r="340" spans="1:34" x14ac:dyDescent="0.75">
      <c r="A340" s="22" t="s">
        <v>6047</v>
      </c>
      <c r="B340" t="s">
        <v>4458</v>
      </c>
      <c r="C340" t="s">
        <v>34</v>
      </c>
      <c r="D340" t="s">
        <v>1454</v>
      </c>
      <c r="E340" t="s">
        <v>1455</v>
      </c>
      <c r="F340" t="s">
        <v>4459</v>
      </c>
      <c r="G340" s="1" t="str">
        <f>HYPERLINK("https://homd.org/jbrowse/?data=homd_V11.02_phage_1.2%2FGCA_024759265.1&amp;loc=GCA_024759265.1%7CCP103214.1%3A413607..420413&amp;tracks=prokka,prokka_ncrna,ncbi,ncbi_ncrna,panggolin,cenote,genomad&amp;highlight=","Open JBrowse")</f>
        <v>Open JBrowse</v>
      </c>
      <c r="H340">
        <v>416607</v>
      </c>
      <c r="I340">
        <v>417413</v>
      </c>
      <c r="J340" t="s">
        <v>4466</v>
      </c>
      <c r="K340" t="s">
        <v>39</v>
      </c>
      <c r="L340" t="s">
        <v>1476</v>
      </c>
      <c r="M340" t="s">
        <v>1477</v>
      </c>
      <c r="N340" t="s">
        <v>42</v>
      </c>
      <c r="O340">
        <v>3</v>
      </c>
      <c r="P340" t="s">
        <v>42</v>
      </c>
      <c r="Q340" t="s">
        <v>43</v>
      </c>
      <c r="R340" t="s">
        <v>4461</v>
      </c>
      <c r="S340" t="s">
        <v>1476</v>
      </c>
      <c r="T340" t="s">
        <v>42</v>
      </c>
      <c r="U340">
        <v>36</v>
      </c>
      <c r="V340">
        <v>262</v>
      </c>
      <c r="W340">
        <v>227</v>
      </c>
      <c r="X340" t="s">
        <v>45</v>
      </c>
    </row>
    <row r="341" spans="1:34" x14ac:dyDescent="0.75">
      <c r="A341" s="22" t="s">
        <v>6047</v>
      </c>
      <c r="B341" t="s">
        <v>4458</v>
      </c>
      <c r="C341" t="s">
        <v>34</v>
      </c>
      <c r="D341" t="s">
        <v>1454</v>
      </c>
      <c r="E341" t="s">
        <v>1455</v>
      </c>
      <c r="F341" t="s">
        <v>4459</v>
      </c>
      <c r="G341" s="1" t="str">
        <f>HYPERLINK("https://homd.org/jbrowse/?data=homd_V11.02_phage_1.2%2FGCA_024759265.1&amp;loc=GCA_024759265.1%7CCP103214.1%3A5205881..5212723&amp;tracks=prokka,prokka_ncrna,ncbi,ncbi_ncrna,panggolin,cenote,genomad&amp;highlight=","Open JBrowse")</f>
        <v>Open JBrowse</v>
      </c>
      <c r="H341">
        <v>5208881</v>
      </c>
      <c r="I341">
        <v>5209723</v>
      </c>
      <c r="J341" t="s">
        <v>4467</v>
      </c>
      <c r="K341" t="s">
        <v>59</v>
      </c>
      <c r="L341" t="s">
        <v>59</v>
      </c>
      <c r="M341" t="s">
        <v>59</v>
      </c>
      <c r="N341" t="s">
        <v>42</v>
      </c>
      <c r="O341">
        <v>1</v>
      </c>
      <c r="P341" t="s">
        <v>59</v>
      </c>
      <c r="Q341" t="s">
        <v>59</v>
      </c>
      <c r="R341" t="s">
        <v>4461</v>
      </c>
      <c r="T341" t="s">
        <v>42</v>
      </c>
      <c r="X341" t="s">
        <v>59</v>
      </c>
    </row>
    <row r="342" spans="1:34" x14ac:dyDescent="0.75">
      <c r="A342" s="22" t="s">
        <v>6047</v>
      </c>
      <c r="B342" t="s">
        <v>4458</v>
      </c>
      <c r="C342" t="s">
        <v>34</v>
      </c>
      <c r="D342" t="s">
        <v>1454</v>
      </c>
      <c r="E342" t="s">
        <v>1455</v>
      </c>
      <c r="F342" t="s">
        <v>4459</v>
      </c>
      <c r="G342" s="1" t="str">
        <f>HYPERLINK("https://homd.org/jbrowse/?data=homd_V11.02_phage_1.2%2FGCA_024759265.1&amp;loc=GCA_024759265.1%7CCP103214.1%3A818309..825427&amp;tracks=prokka,prokka_ncrna,ncbi,ncbi_ncrna,panggolin,cenote,genomad&amp;highlight=","Open JBrowse")</f>
        <v>Open JBrowse</v>
      </c>
      <c r="H342">
        <v>821309</v>
      </c>
      <c r="I342">
        <v>822427</v>
      </c>
      <c r="J342" t="s">
        <v>4468</v>
      </c>
      <c r="K342" t="s">
        <v>39</v>
      </c>
      <c r="L342" t="s">
        <v>1460</v>
      </c>
      <c r="M342" t="s">
        <v>1461</v>
      </c>
      <c r="N342" t="s">
        <v>42</v>
      </c>
      <c r="O342">
        <v>3</v>
      </c>
      <c r="P342" t="s">
        <v>42</v>
      </c>
      <c r="Q342" t="s">
        <v>43</v>
      </c>
      <c r="R342" t="s">
        <v>4461</v>
      </c>
      <c r="S342" t="s">
        <v>1460</v>
      </c>
      <c r="T342" t="s">
        <v>42</v>
      </c>
      <c r="U342">
        <v>138</v>
      </c>
      <c r="V342">
        <v>367</v>
      </c>
      <c r="W342">
        <v>230</v>
      </c>
      <c r="X342" t="s">
        <v>971</v>
      </c>
      <c r="Y342" t="s">
        <v>4469</v>
      </c>
      <c r="Z342" t="s">
        <v>932</v>
      </c>
      <c r="AA342" t="s">
        <v>2850</v>
      </c>
      <c r="AB342" t="s">
        <v>4470</v>
      </c>
      <c r="AC342" t="s">
        <v>984</v>
      </c>
      <c r="AD342" t="s">
        <v>985</v>
      </c>
      <c r="AE342">
        <v>4020</v>
      </c>
      <c r="AF342" t="s">
        <v>2852</v>
      </c>
    </row>
    <row r="343" spans="1:34" x14ac:dyDescent="0.75">
      <c r="A343" s="22" t="s">
        <v>6047</v>
      </c>
      <c r="B343" t="s">
        <v>4471</v>
      </c>
      <c r="C343" t="s">
        <v>34</v>
      </c>
      <c r="D343" t="s">
        <v>1745</v>
      </c>
      <c r="E343" t="s">
        <v>1746</v>
      </c>
      <c r="F343" t="s">
        <v>4472</v>
      </c>
      <c r="G343" s="1" t="str">
        <f>HYPERLINK("https://homd.org/jbrowse/?data=homd_V11.02_phage_1.2%2FGCA_024759505.1&amp;loc=GCA_024759505.1%7CCP103166.1%3A115356..122198&amp;tracks=prokka,prokka_ncrna,ncbi,ncbi_ncrna,panggolin,cenote,genomad&amp;highlight=","Open JBrowse")</f>
        <v>Open JBrowse</v>
      </c>
      <c r="H343">
        <v>118356</v>
      </c>
      <c r="I343">
        <v>119198</v>
      </c>
      <c r="J343" t="s">
        <v>4473</v>
      </c>
      <c r="K343" t="s">
        <v>77</v>
      </c>
      <c r="L343" t="s">
        <v>1763</v>
      </c>
      <c r="M343" t="s">
        <v>1764</v>
      </c>
      <c r="N343" t="s">
        <v>398</v>
      </c>
      <c r="O343">
        <v>3</v>
      </c>
      <c r="P343" t="s">
        <v>42</v>
      </c>
      <c r="Q343" t="s">
        <v>43</v>
      </c>
      <c r="R343" t="s">
        <v>4474</v>
      </c>
      <c r="S343" t="s">
        <v>1763</v>
      </c>
      <c r="T343" t="s">
        <v>42</v>
      </c>
      <c r="U343">
        <v>39</v>
      </c>
      <c r="V343">
        <v>270</v>
      </c>
      <c r="W343">
        <v>232</v>
      </c>
      <c r="X343" t="s">
        <v>1765</v>
      </c>
      <c r="Y343" t="s">
        <v>4475</v>
      </c>
      <c r="Z343" t="s">
        <v>645</v>
      </c>
      <c r="AA343" t="s">
        <v>4476</v>
      </c>
      <c r="AB343" t="s">
        <v>4477</v>
      </c>
      <c r="AC343" t="s">
        <v>589</v>
      </c>
      <c r="AD343" t="s">
        <v>101</v>
      </c>
      <c r="AE343">
        <v>571.1</v>
      </c>
      <c r="AF343" t="s">
        <v>4478</v>
      </c>
      <c r="AG343" t="s">
        <v>185</v>
      </c>
      <c r="AH343">
        <v>2</v>
      </c>
    </row>
    <row r="344" spans="1:34" x14ac:dyDescent="0.75">
      <c r="A344" s="22" t="s">
        <v>6047</v>
      </c>
      <c r="B344" t="s">
        <v>4471</v>
      </c>
      <c r="C344" t="s">
        <v>34</v>
      </c>
      <c r="D344" t="s">
        <v>1745</v>
      </c>
      <c r="E344" t="s">
        <v>1746</v>
      </c>
      <c r="F344" t="s">
        <v>4472</v>
      </c>
      <c r="G344" s="1" t="str">
        <f>HYPERLINK("https://homd.org/jbrowse/?data=homd_V11.02_phage_1.2%2FGCA_024759505.1&amp;loc=GCA_024759505.1%7CCP103166.1%3A116400..123224&amp;tracks=prokka,prokka_ncrna,ncbi,ncbi_ncrna,panggolin,cenote,genomad&amp;highlight=","Open JBrowse")</f>
        <v>Open JBrowse</v>
      </c>
      <c r="H344">
        <v>119400</v>
      </c>
      <c r="I344">
        <v>120224</v>
      </c>
      <c r="J344" t="s">
        <v>4479</v>
      </c>
      <c r="K344" t="s">
        <v>1770</v>
      </c>
      <c r="L344" t="s">
        <v>1771</v>
      </c>
      <c r="M344" t="s">
        <v>1772</v>
      </c>
      <c r="N344" t="s">
        <v>42</v>
      </c>
      <c r="O344">
        <v>3</v>
      </c>
      <c r="P344" t="s">
        <v>42</v>
      </c>
      <c r="Q344" t="s">
        <v>43</v>
      </c>
      <c r="R344" t="s">
        <v>4474</v>
      </c>
      <c r="S344" t="s">
        <v>1771</v>
      </c>
      <c r="T344" t="s">
        <v>42</v>
      </c>
      <c r="U344">
        <v>48</v>
      </c>
      <c r="V344">
        <v>271</v>
      </c>
      <c r="W344">
        <v>224</v>
      </c>
      <c r="X344" t="s">
        <v>1773</v>
      </c>
      <c r="Y344" t="s">
        <v>4475</v>
      </c>
      <c r="Z344" t="s">
        <v>645</v>
      </c>
      <c r="AA344" t="s">
        <v>4476</v>
      </c>
      <c r="AB344" t="s">
        <v>4477</v>
      </c>
      <c r="AC344" t="s">
        <v>589</v>
      </c>
      <c r="AD344" t="s">
        <v>101</v>
      </c>
      <c r="AE344">
        <v>571.1</v>
      </c>
      <c r="AF344" t="s">
        <v>4478</v>
      </c>
      <c r="AG344" t="s">
        <v>185</v>
      </c>
      <c r="AH344">
        <v>2</v>
      </c>
    </row>
    <row r="345" spans="1:34" x14ac:dyDescent="0.75">
      <c r="A345" s="22" t="s">
        <v>6047</v>
      </c>
      <c r="B345" t="s">
        <v>4471</v>
      </c>
      <c r="C345" t="s">
        <v>34</v>
      </c>
      <c r="D345" t="s">
        <v>1745</v>
      </c>
      <c r="E345" t="s">
        <v>1746</v>
      </c>
      <c r="F345" t="s">
        <v>4472</v>
      </c>
      <c r="G345" s="1" t="str">
        <f>HYPERLINK("https://homd.org/jbrowse/?data=homd_V11.02_phage_1.2%2FGCA_024759505.1&amp;loc=GCA_024759505.1%7CCP103166.1%3A1502761..1510296&amp;tracks=prokka,prokka_ncrna,ncbi,ncbi_ncrna,panggolin,cenote,genomad&amp;highlight=","Open JBrowse")</f>
        <v>Open JBrowse</v>
      </c>
      <c r="H345">
        <v>1505761</v>
      </c>
      <c r="I345">
        <v>1507296</v>
      </c>
      <c r="J345" t="s">
        <v>4480</v>
      </c>
      <c r="K345" t="s">
        <v>59</v>
      </c>
      <c r="L345" t="s">
        <v>1749</v>
      </c>
      <c r="M345" t="s">
        <v>1750</v>
      </c>
      <c r="N345" t="s">
        <v>42</v>
      </c>
      <c r="O345">
        <v>3</v>
      </c>
      <c r="P345" t="s">
        <v>42</v>
      </c>
      <c r="Q345" t="s">
        <v>59</v>
      </c>
      <c r="R345" t="s">
        <v>4474</v>
      </c>
      <c r="S345" t="s">
        <v>1749</v>
      </c>
      <c r="T345" t="s">
        <v>42</v>
      </c>
      <c r="U345">
        <v>230</v>
      </c>
      <c r="V345">
        <v>508</v>
      </c>
      <c r="W345">
        <v>279</v>
      </c>
      <c r="X345" t="s">
        <v>1752</v>
      </c>
      <c r="Y345" t="s">
        <v>4481</v>
      </c>
      <c r="Z345" t="s">
        <v>1450</v>
      </c>
      <c r="AA345" t="s">
        <v>4482</v>
      </c>
      <c r="AB345" t="s">
        <v>4483</v>
      </c>
      <c r="AC345" t="s">
        <v>1489</v>
      </c>
      <c r="AD345" t="s">
        <v>638</v>
      </c>
      <c r="AE345">
        <v>2650.8</v>
      </c>
      <c r="AF345" t="s">
        <v>4484</v>
      </c>
    </row>
    <row r="346" spans="1:34" x14ac:dyDescent="0.75">
      <c r="A346" s="22" t="s">
        <v>6047</v>
      </c>
      <c r="B346" t="s">
        <v>4471</v>
      </c>
      <c r="C346" t="s">
        <v>34</v>
      </c>
      <c r="D346" t="s">
        <v>1745</v>
      </c>
      <c r="E346" t="s">
        <v>1746</v>
      </c>
      <c r="F346" t="s">
        <v>4472</v>
      </c>
      <c r="G346" s="1" t="str">
        <f>HYPERLINK("https://homd.org/jbrowse/?data=homd_V11.02_phage_1.2%2FGCA_024759505.1&amp;loc=GCA_024759505.1%7CCP103166.1%3A1504313..1512220&amp;tracks=prokka,prokka_ncrna,ncbi,ncbi_ncrna,panggolin,cenote,genomad&amp;highlight=","Open JBrowse")</f>
        <v>Open JBrowse</v>
      </c>
      <c r="H346">
        <v>1507313</v>
      </c>
      <c r="I346">
        <v>1509220</v>
      </c>
      <c r="J346" t="s">
        <v>4485</v>
      </c>
      <c r="K346" t="s">
        <v>627</v>
      </c>
      <c r="L346" t="s">
        <v>1759</v>
      </c>
      <c r="M346" t="s">
        <v>1760</v>
      </c>
      <c r="N346" t="s">
        <v>1481</v>
      </c>
      <c r="O346">
        <v>3</v>
      </c>
      <c r="P346" t="s">
        <v>1482</v>
      </c>
      <c r="Q346" t="s">
        <v>59</v>
      </c>
      <c r="R346" t="s">
        <v>4474</v>
      </c>
      <c r="S346" t="s">
        <v>1761</v>
      </c>
      <c r="T346" t="s">
        <v>42</v>
      </c>
      <c r="U346">
        <v>32</v>
      </c>
      <c r="V346">
        <v>283</v>
      </c>
      <c r="W346">
        <v>252</v>
      </c>
      <c r="X346" t="s">
        <v>1484</v>
      </c>
      <c r="Y346" t="s">
        <v>4481</v>
      </c>
      <c r="Z346" t="s">
        <v>1450</v>
      </c>
      <c r="AA346" t="s">
        <v>4482</v>
      </c>
      <c r="AB346" t="s">
        <v>4483</v>
      </c>
      <c r="AC346" t="s">
        <v>1489</v>
      </c>
      <c r="AD346" t="s">
        <v>638</v>
      </c>
      <c r="AE346">
        <v>2650.8</v>
      </c>
      <c r="AF346" t="s">
        <v>4484</v>
      </c>
    </row>
    <row r="347" spans="1:34" x14ac:dyDescent="0.75">
      <c r="A347" s="22" t="s">
        <v>6047</v>
      </c>
      <c r="B347" t="s">
        <v>4471</v>
      </c>
      <c r="C347" t="s">
        <v>34</v>
      </c>
      <c r="D347" t="s">
        <v>1745</v>
      </c>
      <c r="E347" t="s">
        <v>1746</v>
      </c>
      <c r="F347" t="s">
        <v>4472</v>
      </c>
      <c r="G347" s="1" t="str">
        <f>HYPERLINK("https://homd.org/jbrowse/?data=homd_V11.02_phage_1.2%2FGCA_024759505.1&amp;loc=GCA_024759505.1%7CCP103166.1%3A259849..266463&amp;tracks=prokka,prokka_ncrna,ncbi,ncbi_ncrna,panggolin,cenote,genomad&amp;highlight=","Open JBrowse")</f>
        <v>Open JBrowse</v>
      </c>
      <c r="H347">
        <v>262849</v>
      </c>
      <c r="I347">
        <v>263463</v>
      </c>
      <c r="J347" t="s">
        <v>4486</v>
      </c>
      <c r="K347" t="s">
        <v>39</v>
      </c>
      <c r="L347" t="s">
        <v>4487</v>
      </c>
      <c r="M347" t="s">
        <v>4488</v>
      </c>
      <c r="N347" t="s">
        <v>42</v>
      </c>
      <c r="O347">
        <v>3</v>
      </c>
      <c r="P347" t="s">
        <v>42</v>
      </c>
      <c r="Q347" t="s">
        <v>43</v>
      </c>
      <c r="R347" t="s">
        <v>4474</v>
      </c>
      <c r="S347" t="s">
        <v>4487</v>
      </c>
      <c r="T347" t="s">
        <v>42</v>
      </c>
      <c r="U347">
        <v>7</v>
      </c>
      <c r="V347">
        <v>198</v>
      </c>
      <c r="W347">
        <v>192</v>
      </c>
      <c r="X347" t="s">
        <v>45</v>
      </c>
    </row>
    <row r="348" spans="1:34" x14ac:dyDescent="0.75">
      <c r="A348" s="22" t="s">
        <v>6047</v>
      </c>
      <c r="B348" t="s">
        <v>4471</v>
      </c>
      <c r="C348" t="s">
        <v>34</v>
      </c>
      <c r="D348" t="s">
        <v>1745</v>
      </c>
      <c r="E348" t="s">
        <v>1746</v>
      </c>
      <c r="F348" t="s">
        <v>4472</v>
      </c>
      <c r="G348" s="1" t="str">
        <f>HYPERLINK("https://homd.org/jbrowse/?data=homd_V11.02_phage_1.2%2FGCA_024759505.1&amp;loc=GCA_024759505.1%7CCP103166.1%3A4327614..4334462&amp;tracks=prokka,prokka_ncrna,ncbi,ncbi_ncrna,panggolin,cenote,genomad&amp;highlight=","Open JBrowse")</f>
        <v>Open JBrowse</v>
      </c>
      <c r="H348">
        <v>4330614</v>
      </c>
      <c r="I348">
        <v>4331462</v>
      </c>
      <c r="J348" t="s">
        <v>4489</v>
      </c>
      <c r="K348" t="s">
        <v>59</v>
      </c>
      <c r="L348" t="s">
        <v>59</v>
      </c>
      <c r="M348" t="s">
        <v>59</v>
      </c>
      <c r="N348" t="s">
        <v>42</v>
      </c>
      <c r="O348">
        <v>1</v>
      </c>
      <c r="P348" t="s">
        <v>59</v>
      </c>
      <c r="Q348" t="s">
        <v>59</v>
      </c>
      <c r="R348" t="s">
        <v>4474</v>
      </c>
      <c r="T348" t="s">
        <v>42</v>
      </c>
      <c r="X348" t="s">
        <v>59</v>
      </c>
      <c r="Y348" t="s">
        <v>4490</v>
      </c>
      <c r="Z348" t="s">
        <v>4491</v>
      </c>
      <c r="AA348" t="s">
        <v>4492</v>
      </c>
    </row>
    <row r="349" spans="1:34" x14ac:dyDescent="0.75">
      <c r="A349" s="22" t="s">
        <v>6047</v>
      </c>
      <c r="B349" t="s">
        <v>4471</v>
      </c>
      <c r="C349" t="s">
        <v>34</v>
      </c>
      <c r="D349" t="s">
        <v>1745</v>
      </c>
      <c r="E349" t="s">
        <v>1746</v>
      </c>
      <c r="F349" t="s">
        <v>4472</v>
      </c>
      <c r="G349" s="1" t="str">
        <f>HYPERLINK("https://homd.org/jbrowse/?data=homd_V11.02_phage_1.2%2FGCA_024759505.1&amp;loc=GCA_024759505.1%7CCP103166.1%3A5040947..5047723&amp;tracks=prokka,prokka_ncrna,ncbi,ncbi_ncrna,panggolin,cenote,genomad&amp;highlight=","Open JBrowse")</f>
        <v>Open JBrowse</v>
      </c>
      <c r="H349">
        <v>5043947</v>
      </c>
      <c r="I349">
        <v>5044723</v>
      </c>
      <c r="J349" t="s">
        <v>4493</v>
      </c>
      <c r="K349" t="s">
        <v>39</v>
      </c>
      <c r="L349" t="s">
        <v>1608</v>
      </c>
      <c r="M349" t="s">
        <v>1609</v>
      </c>
      <c r="N349" t="s">
        <v>42</v>
      </c>
      <c r="O349">
        <v>3</v>
      </c>
      <c r="P349" t="s">
        <v>42</v>
      </c>
      <c r="Q349" t="s">
        <v>43</v>
      </c>
      <c r="R349" t="s">
        <v>4474</v>
      </c>
      <c r="S349" t="s">
        <v>1608</v>
      </c>
      <c r="T349" t="s">
        <v>42</v>
      </c>
      <c r="U349">
        <v>27</v>
      </c>
      <c r="V349">
        <v>255</v>
      </c>
      <c r="W349">
        <v>229</v>
      </c>
      <c r="X349" t="s">
        <v>45</v>
      </c>
      <c r="Y349" t="s">
        <v>4494</v>
      </c>
      <c r="Z349" t="s">
        <v>4495</v>
      </c>
      <c r="AA349" t="s">
        <v>1785</v>
      </c>
    </row>
    <row r="350" spans="1:34" x14ac:dyDescent="0.75">
      <c r="A350" s="22" t="s">
        <v>6047</v>
      </c>
      <c r="B350" t="s">
        <v>4496</v>
      </c>
      <c r="C350" t="s">
        <v>34</v>
      </c>
      <c r="D350" t="s">
        <v>35</v>
      </c>
      <c r="E350" t="s">
        <v>36</v>
      </c>
      <c r="F350" t="s">
        <v>4497</v>
      </c>
      <c r="G350" s="1" t="str">
        <f>HYPERLINK("https://homd.org/jbrowse/?data=homd_V11.02_phage_1.2%2FGCA_024759565.1&amp;loc=GCA_024759565.1%7CCP103197.1%3A53381..60172&amp;tracks=prokka,prokka_ncrna,ncbi,ncbi_ncrna,panggolin,cenote,genomad&amp;highlight=","Open JBrowse")</f>
        <v>Open JBrowse</v>
      </c>
      <c r="H350">
        <v>56381</v>
      </c>
      <c r="I350">
        <v>57172</v>
      </c>
      <c r="J350" t="s">
        <v>4498</v>
      </c>
      <c r="K350" t="s">
        <v>39</v>
      </c>
      <c r="L350" t="s">
        <v>40</v>
      </c>
      <c r="M350" t="s">
        <v>41</v>
      </c>
      <c r="N350" t="s">
        <v>42</v>
      </c>
      <c r="O350">
        <v>3</v>
      </c>
      <c r="P350" t="s">
        <v>42</v>
      </c>
      <c r="Q350" t="s">
        <v>43</v>
      </c>
      <c r="R350" t="s">
        <v>4499</v>
      </c>
      <c r="S350" t="s">
        <v>40</v>
      </c>
      <c r="T350" t="s">
        <v>42</v>
      </c>
      <c r="U350">
        <v>34</v>
      </c>
      <c r="V350">
        <v>260</v>
      </c>
      <c r="W350">
        <v>227</v>
      </c>
      <c r="X350" t="s">
        <v>45</v>
      </c>
      <c r="Y350" t="s">
        <v>4500</v>
      </c>
      <c r="Z350" t="s">
        <v>47</v>
      </c>
      <c r="AA350" t="s">
        <v>48</v>
      </c>
      <c r="AB350" t="s">
        <v>4501</v>
      </c>
      <c r="AC350" t="s">
        <v>50</v>
      </c>
      <c r="AD350" t="s">
        <v>51</v>
      </c>
      <c r="AE350">
        <v>6780</v>
      </c>
      <c r="AF350" t="s">
        <v>52</v>
      </c>
      <c r="AG350" t="s">
        <v>53</v>
      </c>
      <c r="AH350">
        <v>2</v>
      </c>
    </row>
    <row r="351" spans="1:34" x14ac:dyDescent="0.75">
      <c r="A351" s="22" t="s">
        <v>6047</v>
      </c>
      <c r="B351" t="s">
        <v>4502</v>
      </c>
      <c r="C351" t="s">
        <v>34</v>
      </c>
      <c r="D351" t="s">
        <v>2352</v>
      </c>
      <c r="E351" t="s">
        <v>2353</v>
      </c>
      <c r="F351" t="s">
        <v>4503</v>
      </c>
      <c r="G351" s="1" t="str">
        <f>HYPERLINK("https://homd.org/jbrowse/?data=homd_V11.02_phage_1.2%2FGCA_024759865.1&amp;loc=GCA_024759865.1%7CCP103206.1%3A1592112..1598927&amp;tracks=prokka,prokka_ncrna,ncbi,ncbi_ncrna,panggolin,cenote,genomad&amp;highlight=","Open JBrowse")</f>
        <v>Open JBrowse</v>
      </c>
      <c r="H351">
        <v>1595112</v>
      </c>
      <c r="I351">
        <v>1595927</v>
      </c>
      <c r="J351" t="s">
        <v>4504</v>
      </c>
      <c r="K351" t="s">
        <v>996</v>
      </c>
      <c r="L351" t="s">
        <v>343</v>
      </c>
      <c r="M351" t="s">
        <v>1502</v>
      </c>
      <c r="N351" t="s">
        <v>42</v>
      </c>
      <c r="O351">
        <v>3</v>
      </c>
      <c r="P351" t="s">
        <v>42</v>
      </c>
      <c r="Q351" t="s">
        <v>101</v>
      </c>
      <c r="R351" t="s">
        <v>4505</v>
      </c>
      <c r="S351" t="s">
        <v>343</v>
      </c>
      <c r="T351" t="s">
        <v>42</v>
      </c>
      <c r="U351">
        <v>38</v>
      </c>
      <c r="V351">
        <v>270</v>
      </c>
      <c r="W351">
        <v>233</v>
      </c>
      <c r="X351" t="s">
        <v>999</v>
      </c>
      <c r="Y351" t="s">
        <v>4506</v>
      </c>
      <c r="Z351" t="s">
        <v>1236</v>
      </c>
      <c r="AA351" t="s">
        <v>4507</v>
      </c>
      <c r="AB351" t="s">
        <v>4508</v>
      </c>
      <c r="AC351" t="s">
        <v>1003</v>
      </c>
      <c r="AD351" t="s">
        <v>101</v>
      </c>
      <c r="AE351">
        <v>3561</v>
      </c>
      <c r="AF351" t="s">
        <v>4509</v>
      </c>
    </row>
    <row r="352" spans="1:34" x14ac:dyDescent="0.75">
      <c r="A352" s="22" t="s">
        <v>6047</v>
      </c>
      <c r="B352" t="s">
        <v>4502</v>
      </c>
      <c r="C352" t="s">
        <v>34</v>
      </c>
      <c r="D352" t="s">
        <v>2352</v>
      </c>
      <c r="E352" t="s">
        <v>2353</v>
      </c>
      <c r="F352" t="s">
        <v>4503</v>
      </c>
      <c r="G352" s="1" t="str">
        <f>HYPERLINK("https://homd.org/jbrowse/?data=homd_V11.02_phage_1.2%2FGCA_024759865.1&amp;loc=GCA_024759865.1%7CCP103206.1%3A5752088..5758642&amp;tracks=prokka,prokka_ncrna,ncbi,ncbi_ncrna,panggolin,cenote,genomad&amp;highlight=","Open JBrowse")</f>
        <v>Open JBrowse</v>
      </c>
      <c r="H352">
        <v>5755088</v>
      </c>
      <c r="I352">
        <v>5755642</v>
      </c>
      <c r="J352" t="s">
        <v>4510</v>
      </c>
      <c r="K352" t="s">
        <v>59</v>
      </c>
      <c r="L352" t="s">
        <v>59</v>
      </c>
      <c r="M352" t="s">
        <v>59</v>
      </c>
      <c r="N352" t="s">
        <v>42</v>
      </c>
      <c r="O352">
        <v>1</v>
      </c>
      <c r="P352" t="s">
        <v>59</v>
      </c>
      <c r="Q352" t="s">
        <v>59</v>
      </c>
      <c r="R352" t="s">
        <v>4505</v>
      </c>
      <c r="T352" t="s">
        <v>42</v>
      </c>
      <c r="X352" t="s">
        <v>59</v>
      </c>
    </row>
    <row r="353" spans="1:34" x14ac:dyDescent="0.75">
      <c r="A353" s="22" t="s">
        <v>6047</v>
      </c>
      <c r="B353" t="s">
        <v>4511</v>
      </c>
      <c r="C353" t="s">
        <v>34</v>
      </c>
      <c r="D353" t="s">
        <v>1454</v>
      </c>
      <c r="E353" t="s">
        <v>1455</v>
      </c>
      <c r="F353" t="s">
        <v>4512</v>
      </c>
      <c r="G353" s="1" t="str">
        <f>HYPERLINK("https://homd.org/jbrowse/?data=homd_V11.02_phage_1.2%2FGCA_024787025.1&amp;loc=GCA_024787025.1%7CJANUSI010000001.1%3A1985000..1992931&amp;tracks=prokka,prokka_ncrna,ncbi,ncbi_ncrna,panggolin,cenote,genomad&amp;highlight=","Open JBrowse")</f>
        <v>Open JBrowse</v>
      </c>
      <c r="H353">
        <v>1988000</v>
      </c>
      <c r="I353">
        <v>1989931</v>
      </c>
      <c r="J353" t="s">
        <v>4513</v>
      </c>
      <c r="K353" t="s">
        <v>627</v>
      </c>
      <c r="L353" t="s">
        <v>4514</v>
      </c>
      <c r="M353" t="s">
        <v>4515</v>
      </c>
      <c r="N353" t="s">
        <v>1481</v>
      </c>
      <c r="O353">
        <v>3</v>
      </c>
      <c r="P353" t="s">
        <v>1482</v>
      </c>
      <c r="Q353" t="s">
        <v>59</v>
      </c>
      <c r="R353" t="s">
        <v>4516</v>
      </c>
      <c r="S353" t="s">
        <v>4044</v>
      </c>
      <c r="T353" t="s">
        <v>42</v>
      </c>
      <c r="U353">
        <v>41</v>
      </c>
      <c r="V353">
        <v>292</v>
      </c>
      <c r="W353">
        <v>252</v>
      </c>
      <c r="X353" t="s">
        <v>1484</v>
      </c>
      <c r="Y353" t="s">
        <v>4517</v>
      </c>
      <c r="Z353" t="s">
        <v>840</v>
      </c>
      <c r="AA353" t="s">
        <v>4518</v>
      </c>
      <c r="AB353" t="s">
        <v>4519</v>
      </c>
      <c r="AC353" t="s">
        <v>1489</v>
      </c>
      <c r="AD353" t="s">
        <v>638</v>
      </c>
      <c r="AE353">
        <v>4054</v>
      </c>
      <c r="AF353" t="s">
        <v>4520</v>
      </c>
    </row>
    <row r="354" spans="1:34" x14ac:dyDescent="0.75">
      <c r="A354" s="22" t="s">
        <v>6047</v>
      </c>
      <c r="B354" t="s">
        <v>4511</v>
      </c>
      <c r="C354" t="s">
        <v>34</v>
      </c>
      <c r="D354" t="s">
        <v>1454</v>
      </c>
      <c r="E354" t="s">
        <v>1455</v>
      </c>
      <c r="F354" t="s">
        <v>4512</v>
      </c>
      <c r="G354" s="1" t="str">
        <f>HYPERLINK("https://homd.org/jbrowse/?data=homd_V11.02_phage_1.2%2FGCA_024787025.1&amp;loc=GCA_024787025.1%7CJANUSI010000001.1%3A5231398..5238240&amp;tracks=prokka,prokka_ncrna,ncbi,ncbi_ncrna,panggolin,cenote,genomad&amp;highlight=","Open JBrowse")</f>
        <v>Open JBrowse</v>
      </c>
      <c r="H354">
        <v>5234398</v>
      </c>
      <c r="I354">
        <v>5235240</v>
      </c>
      <c r="J354" t="s">
        <v>4521</v>
      </c>
      <c r="K354" t="s">
        <v>59</v>
      </c>
      <c r="L354" t="s">
        <v>59</v>
      </c>
      <c r="M354" t="s">
        <v>59</v>
      </c>
      <c r="N354" t="s">
        <v>42</v>
      </c>
      <c r="O354">
        <v>1</v>
      </c>
      <c r="P354" t="s">
        <v>59</v>
      </c>
      <c r="Q354" t="s">
        <v>59</v>
      </c>
      <c r="R354" t="s">
        <v>4516</v>
      </c>
      <c r="T354" t="s">
        <v>42</v>
      </c>
      <c r="X354" t="s">
        <v>59</v>
      </c>
    </row>
    <row r="355" spans="1:34" x14ac:dyDescent="0.75">
      <c r="A355" s="22" t="s">
        <v>6047</v>
      </c>
      <c r="B355" t="s">
        <v>4511</v>
      </c>
      <c r="C355" t="s">
        <v>34</v>
      </c>
      <c r="D355" t="s">
        <v>1454</v>
      </c>
      <c r="E355" t="s">
        <v>1455</v>
      </c>
      <c r="F355" t="s">
        <v>4512</v>
      </c>
      <c r="G355" s="1" t="str">
        <f>HYPERLINK("https://homd.org/jbrowse/?data=homd_V11.02_phage_1.2%2FGCA_024787025.1&amp;loc=GCA_024787025.1%7CJANUSI010000001.1%3A538482..545288&amp;tracks=prokka,prokka_ncrna,ncbi,ncbi_ncrna,panggolin,cenote,genomad&amp;highlight=","Open JBrowse")</f>
        <v>Open JBrowse</v>
      </c>
      <c r="H355">
        <v>541482</v>
      </c>
      <c r="I355">
        <v>542288</v>
      </c>
      <c r="J355" t="s">
        <v>4522</v>
      </c>
      <c r="K355" t="s">
        <v>39</v>
      </c>
      <c r="L355" t="s">
        <v>1476</v>
      </c>
      <c r="M355" t="s">
        <v>1477</v>
      </c>
      <c r="N355" t="s">
        <v>42</v>
      </c>
      <c r="O355">
        <v>3</v>
      </c>
      <c r="P355" t="s">
        <v>42</v>
      </c>
      <c r="Q355" t="s">
        <v>43</v>
      </c>
      <c r="R355" t="s">
        <v>4516</v>
      </c>
      <c r="S355" t="s">
        <v>1476</v>
      </c>
      <c r="T355" t="s">
        <v>42</v>
      </c>
      <c r="U355">
        <v>36</v>
      </c>
      <c r="V355">
        <v>262</v>
      </c>
      <c r="W355">
        <v>227</v>
      </c>
      <c r="X355" t="s">
        <v>45</v>
      </c>
    </row>
    <row r="356" spans="1:34" x14ac:dyDescent="0.75">
      <c r="A356" s="22" t="s">
        <v>6047</v>
      </c>
      <c r="B356" t="s">
        <v>4511</v>
      </c>
      <c r="C356" t="s">
        <v>34</v>
      </c>
      <c r="D356" t="s">
        <v>1454</v>
      </c>
      <c r="E356" t="s">
        <v>1455</v>
      </c>
      <c r="F356" t="s">
        <v>4512</v>
      </c>
      <c r="G356" s="1" t="str">
        <f>HYPERLINK("https://homd.org/jbrowse/?data=homd_V11.02_phage_1.2%2FGCA_024787025.1&amp;loc=GCA_024787025.1%7CJANUSI010000001.1%3A769065..776183&amp;tracks=prokka,prokka_ncrna,ncbi,ncbi_ncrna,panggolin,cenote,genomad&amp;highlight=","Open JBrowse")</f>
        <v>Open JBrowse</v>
      </c>
      <c r="H356">
        <v>772065</v>
      </c>
      <c r="I356">
        <v>773183</v>
      </c>
      <c r="J356" t="s">
        <v>4523</v>
      </c>
      <c r="K356" t="s">
        <v>39</v>
      </c>
      <c r="L356" t="s">
        <v>1460</v>
      </c>
      <c r="M356" t="s">
        <v>1461</v>
      </c>
      <c r="N356" t="s">
        <v>42</v>
      </c>
      <c r="O356">
        <v>3</v>
      </c>
      <c r="P356" t="s">
        <v>42</v>
      </c>
      <c r="Q356" t="s">
        <v>43</v>
      </c>
      <c r="R356" t="s">
        <v>4516</v>
      </c>
      <c r="S356" t="s">
        <v>1460</v>
      </c>
      <c r="T356" t="s">
        <v>42</v>
      </c>
      <c r="U356">
        <v>138</v>
      </c>
      <c r="V356">
        <v>367</v>
      </c>
      <c r="W356">
        <v>230</v>
      </c>
      <c r="X356" t="s">
        <v>971</v>
      </c>
      <c r="Y356" t="s">
        <v>4524</v>
      </c>
      <c r="Z356" t="s">
        <v>302</v>
      </c>
      <c r="AA356" t="s">
        <v>2850</v>
      </c>
      <c r="AB356" t="s">
        <v>4525</v>
      </c>
      <c r="AC356" t="s">
        <v>984</v>
      </c>
      <c r="AD356" t="s">
        <v>985</v>
      </c>
      <c r="AE356">
        <v>3426</v>
      </c>
      <c r="AF356" t="s">
        <v>2852</v>
      </c>
    </row>
    <row r="357" spans="1:34" x14ac:dyDescent="0.75">
      <c r="A357" s="22" t="s">
        <v>6047</v>
      </c>
      <c r="B357" t="s">
        <v>4526</v>
      </c>
      <c r="C357" t="s">
        <v>34</v>
      </c>
      <c r="D357" t="s">
        <v>1745</v>
      </c>
      <c r="E357" t="s">
        <v>1746</v>
      </c>
      <c r="F357" t="s">
        <v>4527</v>
      </c>
      <c r="G357" s="1" t="str">
        <f>HYPERLINK("https://homd.org/jbrowse/?data=homd_V11.02_phage_1.2%2FGCA_024787725.1&amp;loc=GCA_024787725.1%7CJANUIE010000001.1%3A112648..119490&amp;tracks=prokka,prokka_ncrna,ncbi,ncbi_ncrna,panggolin,cenote,genomad&amp;highlight=","Open JBrowse")</f>
        <v>Open JBrowse</v>
      </c>
      <c r="H357">
        <v>115648</v>
      </c>
      <c r="I357">
        <v>116490</v>
      </c>
      <c r="J357" t="s">
        <v>4528</v>
      </c>
      <c r="K357" t="s">
        <v>77</v>
      </c>
      <c r="L357" t="s">
        <v>1763</v>
      </c>
      <c r="M357" t="s">
        <v>1764</v>
      </c>
      <c r="N357" t="s">
        <v>42</v>
      </c>
      <c r="O357">
        <v>3</v>
      </c>
      <c r="P357" t="s">
        <v>42</v>
      </c>
      <c r="Q357" t="s">
        <v>43</v>
      </c>
      <c r="R357" t="s">
        <v>4529</v>
      </c>
      <c r="S357" t="s">
        <v>1763</v>
      </c>
      <c r="T357" t="s">
        <v>42</v>
      </c>
      <c r="U357">
        <v>39</v>
      </c>
      <c r="V357">
        <v>270</v>
      </c>
      <c r="W357">
        <v>232</v>
      </c>
      <c r="X357" t="s">
        <v>1765</v>
      </c>
      <c r="Y357" t="s">
        <v>4530</v>
      </c>
      <c r="Z357" t="s">
        <v>645</v>
      </c>
      <c r="AA357" t="s">
        <v>4531</v>
      </c>
      <c r="AB357" t="s">
        <v>4532</v>
      </c>
      <c r="AC357" t="s">
        <v>589</v>
      </c>
      <c r="AD357" t="s">
        <v>101</v>
      </c>
      <c r="AE357">
        <v>555.6</v>
      </c>
      <c r="AF357" t="s">
        <v>4478</v>
      </c>
      <c r="AG357" t="s">
        <v>185</v>
      </c>
      <c r="AH357">
        <v>2</v>
      </c>
    </row>
    <row r="358" spans="1:34" x14ac:dyDescent="0.75">
      <c r="A358" s="22" t="s">
        <v>6047</v>
      </c>
      <c r="B358" t="s">
        <v>4526</v>
      </c>
      <c r="C358" t="s">
        <v>34</v>
      </c>
      <c r="D358" t="s">
        <v>1745</v>
      </c>
      <c r="E358" t="s">
        <v>1746</v>
      </c>
      <c r="F358" t="s">
        <v>4527</v>
      </c>
      <c r="G358" s="1" t="str">
        <f>HYPERLINK("https://homd.org/jbrowse/?data=homd_V11.02_phage_1.2%2FGCA_024787725.1&amp;loc=GCA_024787725.1%7CJANUIE010000001.1%3A113692..120516&amp;tracks=prokka,prokka_ncrna,ncbi,ncbi_ncrna,panggolin,cenote,genomad&amp;highlight=","Open JBrowse")</f>
        <v>Open JBrowse</v>
      </c>
      <c r="H358">
        <v>116692</v>
      </c>
      <c r="I358">
        <v>117516</v>
      </c>
      <c r="J358" t="s">
        <v>4533</v>
      </c>
      <c r="K358" t="s">
        <v>1770</v>
      </c>
      <c r="L358" t="s">
        <v>1771</v>
      </c>
      <c r="M358" t="s">
        <v>1772</v>
      </c>
      <c r="N358" t="s">
        <v>42</v>
      </c>
      <c r="O358">
        <v>3</v>
      </c>
      <c r="P358" t="s">
        <v>42</v>
      </c>
      <c r="Q358" t="s">
        <v>43</v>
      </c>
      <c r="R358" t="s">
        <v>4529</v>
      </c>
      <c r="S358" t="s">
        <v>1771</v>
      </c>
      <c r="T358" t="s">
        <v>42</v>
      </c>
      <c r="U358">
        <v>48</v>
      </c>
      <c r="V358">
        <v>271</v>
      </c>
      <c r="W358">
        <v>224</v>
      </c>
      <c r="X358" t="s">
        <v>1773</v>
      </c>
      <c r="Y358" t="s">
        <v>4530</v>
      </c>
      <c r="Z358" t="s">
        <v>645</v>
      </c>
      <c r="AA358" t="s">
        <v>4531</v>
      </c>
      <c r="AB358" t="s">
        <v>4532</v>
      </c>
      <c r="AC358" t="s">
        <v>589</v>
      </c>
      <c r="AD358" t="s">
        <v>101</v>
      </c>
      <c r="AE358">
        <v>555.6</v>
      </c>
      <c r="AF358" t="s">
        <v>4478</v>
      </c>
      <c r="AG358" t="s">
        <v>185</v>
      </c>
      <c r="AH358">
        <v>2</v>
      </c>
    </row>
    <row r="359" spans="1:34" x14ac:dyDescent="0.75">
      <c r="A359" s="22" t="s">
        <v>6047</v>
      </c>
      <c r="B359" t="s">
        <v>4526</v>
      </c>
      <c r="C359" t="s">
        <v>34</v>
      </c>
      <c r="D359" t="s">
        <v>1745</v>
      </c>
      <c r="E359" t="s">
        <v>1746</v>
      </c>
      <c r="F359" t="s">
        <v>4527</v>
      </c>
      <c r="G359" s="1" t="str">
        <f>HYPERLINK("https://homd.org/jbrowse/?data=homd_V11.02_phage_1.2%2FGCA_024787725.1&amp;loc=GCA_024787725.1%7CJANUIE010000001.1%3A1456398..1463933&amp;tracks=prokka,prokka_ncrna,ncbi,ncbi_ncrna,panggolin,cenote,genomad&amp;highlight=","Open JBrowse")</f>
        <v>Open JBrowse</v>
      </c>
      <c r="H359">
        <v>1459398</v>
      </c>
      <c r="I359">
        <v>1460933</v>
      </c>
      <c r="J359" t="s">
        <v>4534</v>
      </c>
      <c r="K359" t="s">
        <v>59</v>
      </c>
      <c r="L359" t="s">
        <v>1749</v>
      </c>
      <c r="M359" t="s">
        <v>1750</v>
      </c>
      <c r="N359" t="s">
        <v>42</v>
      </c>
      <c r="O359">
        <v>3</v>
      </c>
      <c r="P359" t="s">
        <v>42</v>
      </c>
      <c r="Q359" t="s">
        <v>59</v>
      </c>
      <c r="R359" t="s">
        <v>4529</v>
      </c>
      <c r="S359" t="s">
        <v>1749</v>
      </c>
      <c r="T359" t="s">
        <v>42</v>
      </c>
      <c r="U359">
        <v>230</v>
      </c>
      <c r="V359">
        <v>508</v>
      </c>
      <c r="W359">
        <v>279</v>
      </c>
      <c r="X359" t="s">
        <v>1752</v>
      </c>
      <c r="Y359" t="s">
        <v>4535</v>
      </c>
      <c r="Z359" t="s">
        <v>824</v>
      </c>
      <c r="AA359" t="s">
        <v>4536</v>
      </c>
      <c r="AB359" t="s">
        <v>4537</v>
      </c>
      <c r="AC359" t="s">
        <v>1489</v>
      </c>
      <c r="AD359" t="s">
        <v>638</v>
      </c>
      <c r="AE359">
        <v>2650.8</v>
      </c>
      <c r="AF359" t="s">
        <v>4484</v>
      </c>
    </row>
    <row r="360" spans="1:34" x14ac:dyDescent="0.75">
      <c r="A360" s="22" t="s">
        <v>6047</v>
      </c>
      <c r="B360" t="s">
        <v>4526</v>
      </c>
      <c r="C360" t="s">
        <v>34</v>
      </c>
      <c r="D360" t="s">
        <v>1745</v>
      </c>
      <c r="E360" t="s">
        <v>1746</v>
      </c>
      <c r="F360" t="s">
        <v>4527</v>
      </c>
      <c r="G360" s="1" t="str">
        <f>HYPERLINK("https://homd.org/jbrowse/?data=homd_V11.02_phage_1.2%2FGCA_024787725.1&amp;loc=GCA_024787725.1%7CJANUIE010000001.1%3A1457950..1465857&amp;tracks=prokka,prokka_ncrna,ncbi,ncbi_ncrna,panggolin,cenote,genomad&amp;highlight=","Open JBrowse")</f>
        <v>Open JBrowse</v>
      </c>
      <c r="H360">
        <v>1460950</v>
      </c>
      <c r="I360">
        <v>1462857</v>
      </c>
      <c r="J360" t="s">
        <v>4538</v>
      </c>
      <c r="K360" t="s">
        <v>627</v>
      </c>
      <c r="L360" t="s">
        <v>1759</v>
      </c>
      <c r="M360" t="s">
        <v>1760</v>
      </c>
      <c r="N360" t="s">
        <v>1481</v>
      </c>
      <c r="O360">
        <v>3</v>
      </c>
      <c r="P360" t="s">
        <v>1482</v>
      </c>
      <c r="Q360" t="s">
        <v>59</v>
      </c>
      <c r="R360" t="s">
        <v>4529</v>
      </c>
      <c r="S360" t="s">
        <v>1761</v>
      </c>
      <c r="T360" t="s">
        <v>42</v>
      </c>
      <c r="U360">
        <v>32</v>
      </c>
      <c r="V360">
        <v>283</v>
      </c>
      <c r="W360">
        <v>252</v>
      </c>
      <c r="X360" t="s">
        <v>1484</v>
      </c>
      <c r="Y360" t="s">
        <v>4535</v>
      </c>
      <c r="Z360" t="s">
        <v>824</v>
      </c>
      <c r="AA360" t="s">
        <v>4536</v>
      </c>
      <c r="AB360" t="s">
        <v>4537</v>
      </c>
      <c r="AC360" t="s">
        <v>1489</v>
      </c>
      <c r="AD360" t="s">
        <v>638</v>
      </c>
      <c r="AE360">
        <v>2650.8</v>
      </c>
      <c r="AF360" t="s">
        <v>4484</v>
      </c>
    </row>
    <row r="361" spans="1:34" x14ac:dyDescent="0.75">
      <c r="A361" s="22" t="s">
        <v>6047</v>
      </c>
      <c r="B361" t="s">
        <v>4526</v>
      </c>
      <c r="C361" t="s">
        <v>34</v>
      </c>
      <c r="D361" t="s">
        <v>1745</v>
      </c>
      <c r="E361" t="s">
        <v>1746</v>
      </c>
      <c r="F361" t="s">
        <v>4527</v>
      </c>
      <c r="G361" s="1" t="str">
        <f>HYPERLINK("https://homd.org/jbrowse/?data=homd_V11.02_phage_1.2%2FGCA_024787725.1&amp;loc=GCA_024787725.1%7CJANUIE010000001.1%3A255158..261961&amp;tracks=prokka,prokka_ncrna,ncbi,ncbi_ncrna,panggolin,cenote,genomad&amp;highlight=","Open JBrowse")</f>
        <v>Open JBrowse</v>
      </c>
      <c r="H361">
        <v>258158</v>
      </c>
      <c r="I361">
        <v>258961</v>
      </c>
      <c r="J361" t="s">
        <v>4539</v>
      </c>
      <c r="K361" t="s">
        <v>39</v>
      </c>
      <c r="L361" t="s">
        <v>123</v>
      </c>
      <c r="M361" t="s">
        <v>124</v>
      </c>
      <c r="N361" t="s">
        <v>42</v>
      </c>
      <c r="O361">
        <v>3</v>
      </c>
      <c r="P361" t="s">
        <v>42</v>
      </c>
      <c r="Q361" t="s">
        <v>43</v>
      </c>
      <c r="R361" t="s">
        <v>4529</v>
      </c>
      <c r="S361" t="s">
        <v>123</v>
      </c>
      <c r="T361" t="s">
        <v>42</v>
      </c>
      <c r="U361">
        <v>35</v>
      </c>
      <c r="V361">
        <v>261</v>
      </c>
      <c r="W361">
        <v>227</v>
      </c>
      <c r="X361" t="s">
        <v>45</v>
      </c>
    </row>
    <row r="362" spans="1:34" x14ac:dyDescent="0.75">
      <c r="A362" s="22" t="s">
        <v>6047</v>
      </c>
      <c r="B362" t="s">
        <v>4526</v>
      </c>
      <c r="C362" t="s">
        <v>34</v>
      </c>
      <c r="D362" t="s">
        <v>1745</v>
      </c>
      <c r="E362" t="s">
        <v>1746</v>
      </c>
      <c r="F362" t="s">
        <v>4527</v>
      </c>
      <c r="G362" s="1" t="str">
        <f>HYPERLINK("https://homd.org/jbrowse/?data=homd_V11.02_phage_1.2%2FGCA_024787725.1&amp;loc=GCA_024787725.1%7CJANUIE010000001.1%3A4288512..4295360&amp;tracks=prokka,prokka_ncrna,ncbi,ncbi_ncrna,panggolin,cenote,genomad&amp;highlight=","Open JBrowse")</f>
        <v>Open JBrowse</v>
      </c>
      <c r="H362">
        <v>4291512</v>
      </c>
      <c r="I362">
        <v>4292360</v>
      </c>
      <c r="J362" t="s">
        <v>4540</v>
      </c>
      <c r="K362" t="s">
        <v>59</v>
      </c>
      <c r="L362" t="s">
        <v>59</v>
      </c>
      <c r="M362" t="s">
        <v>59</v>
      </c>
      <c r="N362" t="s">
        <v>42</v>
      </c>
      <c r="O362">
        <v>1</v>
      </c>
      <c r="P362" t="s">
        <v>59</v>
      </c>
      <c r="Q362" t="s">
        <v>59</v>
      </c>
      <c r="R362" t="s">
        <v>4529</v>
      </c>
      <c r="T362" t="s">
        <v>42</v>
      </c>
      <c r="X362" t="s">
        <v>59</v>
      </c>
      <c r="Y362" t="s">
        <v>4541</v>
      </c>
      <c r="Z362" t="s">
        <v>2644</v>
      </c>
      <c r="AA362" t="s">
        <v>4542</v>
      </c>
    </row>
    <row r="363" spans="1:34" x14ac:dyDescent="0.75">
      <c r="A363" s="22" t="s">
        <v>6047</v>
      </c>
      <c r="B363" t="s">
        <v>4526</v>
      </c>
      <c r="C363" t="s">
        <v>34</v>
      </c>
      <c r="D363" t="s">
        <v>1745</v>
      </c>
      <c r="E363" t="s">
        <v>1746</v>
      </c>
      <c r="F363" t="s">
        <v>4527</v>
      </c>
      <c r="G363" s="1" t="str">
        <f>HYPERLINK("https://homd.org/jbrowse/?data=homd_V11.02_phage_1.2%2FGCA_024787725.1&amp;loc=GCA_024787725.1%7CJANUIE010000001.1%3A4925249..4932025&amp;tracks=prokka,prokka_ncrna,ncbi,ncbi_ncrna,panggolin,cenote,genomad&amp;highlight=","Open JBrowse")</f>
        <v>Open JBrowse</v>
      </c>
      <c r="H363">
        <v>4928249</v>
      </c>
      <c r="I363">
        <v>4929025</v>
      </c>
      <c r="J363" t="s">
        <v>4543</v>
      </c>
      <c r="K363" t="s">
        <v>39</v>
      </c>
      <c r="L363" t="s">
        <v>1608</v>
      </c>
      <c r="M363" t="s">
        <v>1609</v>
      </c>
      <c r="N363" t="s">
        <v>42</v>
      </c>
      <c r="O363">
        <v>3</v>
      </c>
      <c r="P363" t="s">
        <v>42</v>
      </c>
      <c r="Q363" t="s">
        <v>43</v>
      </c>
      <c r="R363" t="s">
        <v>4529</v>
      </c>
      <c r="S363" t="s">
        <v>1608</v>
      </c>
      <c r="T363" t="s">
        <v>42</v>
      </c>
      <c r="U363">
        <v>27</v>
      </c>
      <c r="V363">
        <v>255</v>
      </c>
      <c r="W363">
        <v>229</v>
      </c>
      <c r="X363" t="s">
        <v>45</v>
      </c>
      <c r="Y363" t="s">
        <v>4544</v>
      </c>
      <c r="Z363" t="s">
        <v>4545</v>
      </c>
      <c r="AA363" t="s">
        <v>4546</v>
      </c>
    </row>
    <row r="364" spans="1:34" x14ac:dyDescent="0.75">
      <c r="A364" s="22" t="s">
        <v>6047</v>
      </c>
      <c r="B364" t="s">
        <v>4526</v>
      </c>
      <c r="C364" t="s">
        <v>34</v>
      </c>
      <c r="D364" t="s">
        <v>1745</v>
      </c>
      <c r="E364" t="s">
        <v>1746</v>
      </c>
      <c r="F364" t="s">
        <v>4527</v>
      </c>
      <c r="G364" s="1" t="str">
        <f>HYPERLINK("https://homd.org/jbrowse/?data=homd_V11.02_phage_1.2%2FGCA_024787725.1&amp;loc=GCA_024787725.1%7CJANUIE010000001.1%3A559181..566170&amp;tracks=prokka,prokka_ncrna,ncbi,ncbi_ncrna,panggolin,cenote,genomad&amp;highlight=","Open JBrowse")</f>
        <v>Open JBrowse</v>
      </c>
      <c r="H364">
        <v>562181</v>
      </c>
      <c r="I364">
        <v>563170</v>
      </c>
      <c r="J364" t="s">
        <v>4547</v>
      </c>
      <c r="K364" t="s">
        <v>39</v>
      </c>
      <c r="L364" t="s">
        <v>4548</v>
      </c>
      <c r="M364" t="s">
        <v>4549</v>
      </c>
      <c r="N364" t="s">
        <v>42</v>
      </c>
      <c r="O364">
        <v>3</v>
      </c>
      <c r="P364" t="s">
        <v>42</v>
      </c>
      <c r="Q364" t="s">
        <v>43</v>
      </c>
      <c r="R364" t="s">
        <v>4529</v>
      </c>
      <c r="S364" t="s">
        <v>4548</v>
      </c>
      <c r="T364" t="s">
        <v>42</v>
      </c>
      <c r="U364">
        <v>94</v>
      </c>
      <c r="V364">
        <v>324</v>
      </c>
      <c r="W364">
        <v>231</v>
      </c>
      <c r="X364" t="s">
        <v>971</v>
      </c>
      <c r="Y364" t="s">
        <v>4550</v>
      </c>
      <c r="Z364" t="s">
        <v>302</v>
      </c>
      <c r="AA364" t="s">
        <v>1790</v>
      </c>
      <c r="AB364" t="s">
        <v>4551</v>
      </c>
      <c r="AC364" t="s">
        <v>984</v>
      </c>
      <c r="AD364" t="s">
        <v>985</v>
      </c>
      <c r="AE364">
        <v>2731</v>
      </c>
      <c r="AF364" t="s">
        <v>986</v>
      </c>
    </row>
    <row r="365" spans="1:34" x14ac:dyDescent="0.75">
      <c r="A365" s="22" t="s">
        <v>6047</v>
      </c>
      <c r="B365" t="s">
        <v>4552</v>
      </c>
      <c r="C365" t="s">
        <v>34</v>
      </c>
      <c r="D365" t="s">
        <v>2238</v>
      </c>
      <c r="E365" t="s">
        <v>2239</v>
      </c>
      <c r="F365" t="s">
        <v>4553</v>
      </c>
      <c r="G365" s="1" t="str">
        <f>HYPERLINK("https://homd.org/jbrowse/?data=homd_V11.02_phage_1.2%2FGCA_024788785.1&amp;loc=GCA_024788785.1%7CJANUSX010000001.1%3A2817001..2823558&amp;tracks=prokka,prokka_ncrna,ncbi,ncbi_ncrna,panggolin,cenote,genomad&amp;highlight=","Open JBrowse")</f>
        <v>Open JBrowse</v>
      </c>
      <c r="H365">
        <v>2820001</v>
      </c>
      <c r="I365">
        <v>2820558</v>
      </c>
      <c r="J365" t="s">
        <v>4554</v>
      </c>
      <c r="K365" t="s">
        <v>59</v>
      </c>
      <c r="L365" t="s">
        <v>59</v>
      </c>
      <c r="M365" t="s">
        <v>59</v>
      </c>
      <c r="N365" t="s">
        <v>42</v>
      </c>
      <c r="O365">
        <v>1</v>
      </c>
      <c r="P365" t="s">
        <v>59</v>
      </c>
      <c r="Q365" t="s">
        <v>59</v>
      </c>
      <c r="R365" t="s">
        <v>4555</v>
      </c>
      <c r="T365" t="s">
        <v>42</v>
      </c>
      <c r="X365" t="s">
        <v>59</v>
      </c>
    </row>
    <row r="366" spans="1:34" x14ac:dyDescent="0.75">
      <c r="A366" s="22" t="s">
        <v>6047</v>
      </c>
      <c r="B366" t="s">
        <v>4552</v>
      </c>
      <c r="C366" t="s">
        <v>34</v>
      </c>
      <c r="D366" t="s">
        <v>2238</v>
      </c>
      <c r="E366" t="s">
        <v>2239</v>
      </c>
      <c r="F366" t="s">
        <v>4553</v>
      </c>
      <c r="G366" s="1" t="str">
        <f>HYPERLINK("https://homd.org/jbrowse/?data=homd_V11.02_phage_1.2%2FGCA_024788785.1&amp;loc=GCA_024788785.1%7CJANUSX010000001.1%3A2817527..2824435&amp;tracks=prokka,prokka_ncrna,ncbi,ncbi_ncrna,panggolin,cenote,genomad&amp;highlight=","Open JBrowse")</f>
        <v>Open JBrowse</v>
      </c>
      <c r="H366">
        <v>2820527</v>
      </c>
      <c r="I366">
        <v>2821435</v>
      </c>
      <c r="J366" t="s">
        <v>4556</v>
      </c>
      <c r="K366" t="s">
        <v>109</v>
      </c>
      <c r="L366" t="s">
        <v>4557</v>
      </c>
      <c r="M366" t="s">
        <v>4558</v>
      </c>
      <c r="N366" t="s">
        <v>42</v>
      </c>
      <c r="O366">
        <v>3</v>
      </c>
      <c r="P366" t="s">
        <v>42</v>
      </c>
      <c r="Q366" t="s">
        <v>101</v>
      </c>
      <c r="R366" t="s">
        <v>4555</v>
      </c>
      <c r="S366" t="s">
        <v>4557</v>
      </c>
      <c r="T366" t="s">
        <v>42</v>
      </c>
      <c r="U366">
        <v>64</v>
      </c>
      <c r="V366">
        <v>299</v>
      </c>
      <c r="W366">
        <v>236</v>
      </c>
      <c r="X366" t="s">
        <v>248</v>
      </c>
      <c r="Y366" t="s">
        <v>4559</v>
      </c>
      <c r="Z366" t="s">
        <v>2675</v>
      </c>
      <c r="AA366" t="s">
        <v>4560</v>
      </c>
      <c r="AB366" t="s">
        <v>4561</v>
      </c>
      <c r="AC366" t="s">
        <v>2257</v>
      </c>
      <c r="AD366" t="s">
        <v>51</v>
      </c>
      <c r="AE366">
        <v>6632</v>
      </c>
      <c r="AF366" t="s">
        <v>4562</v>
      </c>
      <c r="AG366" t="s">
        <v>101</v>
      </c>
      <c r="AH366">
        <v>2</v>
      </c>
    </row>
    <row r="367" spans="1:34" x14ac:dyDescent="0.75">
      <c r="A367" s="22" t="s">
        <v>6047</v>
      </c>
      <c r="B367" t="s">
        <v>4552</v>
      </c>
      <c r="C367" t="s">
        <v>34</v>
      </c>
      <c r="D367" t="s">
        <v>2238</v>
      </c>
      <c r="E367" t="s">
        <v>2239</v>
      </c>
      <c r="F367" t="s">
        <v>4553</v>
      </c>
      <c r="G367" s="1" t="str">
        <f>HYPERLINK("https://homd.org/jbrowse/?data=homd_V11.02_phage_1.2%2FGCA_024788785.1&amp;loc=GCA_024788785.1%7CJANUSX010000001.1%3A2884499..2891341&amp;tracks=prokka,prokka_ncrna,ncbi,ncbi_ncrna,panggolin,cenote,genomad&amp;highlight=","Open JBrowse")</f>
        <v>Open JBrowse</v>
      </c>
      <c r="H367">
        <v>2887499</v>
      </c>
      <c r="I367">
        <v>2888341</v>
      </c>
      <c r="J367" t="s">
        <v>4563</v>
      </c>
      <c r="K367" t="s">
        <v>59</v>
      </c>
      <c r="L367" t="s">
        <v>59</v>
      </c>
      <c r="M367" t="s">
        <v>59</v>
      </c>
      <c r="N367" t="s">
        <v>42</v>
      </c>
      <c r="O367">
        <v>1</v>
      </c>
      <c r="P367" t="s">
        <v>59</v>
      </c>
      <c r="Q367" t="s">
        <v>59</v>
      </c>
      <c r="R367" t="s">
        <v>4555</v>
      </c>
      <c r="T367" t="s">
        <v>42</v>
      </c>
      <c r="X367" t="s">
        <v>59</v>
      </c>
    </row>
    <row r="368" spans="1:34" x14ac:dyDescent="0.75">
      <c r="A368" s="22" t="s">
        <v>6047</v>
      </c>
      <c r="B368" t="s">
        <v>4564</v>
      </c>
      <c r="C368" t="s">
        <v>34</v>
      </c>
      <c r="D368" t="s">
        <v>1454</v>
      </c>
      <c r="E368" t="s">
        <v>1455</v>
      </c>
      <c r="F368" t="s">
        <v>4565</v>
      </c>
      <c r="G368" s="1" t="str">
        <f>HYPERLINK("https://homd.org/jbrowse/?data=homd_V11.02_phage_1.2%2FGCA_024789025.1&amp;loc=GCA_024789025.1%7CJANUTA010000001.1%3A2152673..2160568&amp;tracks=prokka,prokka_ncrna,ncbi,ncbi_ncrna,panggolin,cenote,genomad&amp;highlight=","Open JBrowse")</f>
        <v>Open JBrowse</v>
      </c>
      <c r="H368">
        <v>2155673</v>
      </c>
      <c r="I368">
        <v>2157568</v>
      </c>
      <c r="J368" t="s">
        <v>4566</v>
      </c>
      <c r="K368" t="s">
        <v>627</v>
      </c>
      <c r="L368" t="s">
        <v>1479</v>
      </c>
      <c r="M368" t="s">
        <v>1480</v>
      </c>
      <c r="N368" t="s">
        <v>1481</v>
      </c>
      <c r="O368">
        <v>3</v>
      </c>
      <c r="P368" t="s">
        <v>1482</v>
      </c>
      <c r="Q368" t="s">
        <v>59</v>
      </c>
      <c r="R368" t="s">
        <v>4567</v>
      </c>
      <c r="S368" t="s">
        <v>1483</v>
      </c>
      <c r="T368" t="s">
        <v>42</v>
      </c>
      <c r="U368">
        <v>29</v>
      </c>
      <c r="V368">
        <v>280</v>
      </c>
      <c r="W368">
        <v>252</v>
      </c>
      <c r="X368" t="s">
        <v>1484</v>
      </c>
      <c r="Y368" t="s">
        <v>4568</v>
      </c>
      <c r="Z368" t="s">
        <v>193</v>
      </c>
      <c r="AA368" t="s">
        <v>4569</v>
      </c>
      <c r="AB368" t="s">
        <v>4570</v>
      </c>
      <c r="AC368" t="s">
        <v>1489</v>
      </c>
      <c r="AD368" t="s">
        <v>638</v>
      </c>
      <c r="AE368">
        <v>12595</v>
      </c>
      <c r="AF368" t="s">
        <v>4571</v>
      </c>
      <c r="AG368" t="s">
        <v>51</v>
      </c>
      <c r="AH368">
        <v>6</v>
      </c>
    </row>
    <row r="369" spans="1:34" x14ac:dyDescent="0.75">
      <c r="A369" s="22" t="s">
        <v>6047</v>
      </c>
      <c r="B369" t="s">
        <v>4564</v>
      </c>
      <c r="C369" t="s">
        <v>34</v>
      </c>
      <c r="D369" t="s">
        <v>1454</v>
      </c>
      <c r="E369" t="s">
        <v>1455</v>
      </c>
      <c r="F369" t="s">
        <v>4565</v>
      </c>
      <c r="G369" s="1" t="str">
        <f>HYPERLINK("https://homd.org/jbrowse/?data=homd_V11.02_phage_1.2%2FGCA_024789025.1&amp;loc=GCA_024789025.1%7CJANUTA010000001.1%3A436736..443542&amp;tracks=prokka,prokka_ncrna,ncbi,ncbi_ncrna,panggolin,cenote,genomad&amp;highlight=","Open JBrowse")</f>
        <v>Open JBrowse</v>
      </c>
      <c r="H369">
        <v>439736</v>
      </c>
      <c r="I369">
        <v>440542</v>
      </c>
      <c r="J369" t="s">
        <v>4572</v>
      </c>
      <c r="K369" t="s">
        <v>39</v>
      </c>
      <c r="L369" t="s">
        <v>1476</v>
      </c>
      <c r="M369" t="s">
        <v>1477</v>
      </c>
      <c r="N369" t="s">
        <v>42</v>
      </c>
      <c r="O369">
        <v>3</v>
      </c>
      <c r="P369" t="s">
        <v>42</v>
      </c>
      <c r="Q369" t="s">
        <v>43</v>
      </c>
      <c r="R369" t="s">
        <v>4567</v>
      </c>
      <c r="S369" t="s">
        <v>1476</v>
      </c>
      <c r="T369" t="s">
        <v>42</v>
      </c>
      <c r="U369">
        <v>36</v>
      </c>
      <c r="V369">
        <v>262</v>
      </c>
      <c r="W369">
        <v>227</v>
      </c>
      <c r="X369" t="s">
        <v>45</v>
      </c>
    </row>
    <row r="370" spans="1:34" x14ac:dyDescent="0.75">
      <c r="A370" s="22" t="s">
        <v>6047</v>
      </c>
      <c r="B370" t="s">
        <v>4564</v>
      </c>
      <c r="C370" t="s">
        <v>34</v>
      </c>
      <c r="D370" t="s">
        <v>1454</v>
      </c>
      <c r="E370" t="s">
        <v>1455</v>
      </c>
      <c r="F370" t="s">
        <v>4565</v>
      </c>
      <c r="G370" s="1" t="str">
        <f>HYPERLINK("https://homd.org/jbrowse/?data=homd_V11.02_phage_1.2%2FGCA_024789025.1&amp;loc=GCA_024789025.1%7CJANUTA010000001.1%3A5614630..5621472&amp;tracks=prokka,prokka_ncrna,ncbi,ncbi_ncrna,panggolin,cenote,genomad&amp;highlight=","Open JBrowse")</f>
        <v>Open JBrowse</v>
      </c>
      <c r="H370">
        <v>5617630</v>
      </c>
      <c r="I370">
        <v>5618472</v>
      </c>
      <c r="J370" t="s">
        <v>4573</v>
      </c>
      <c r="K370" t="s">
        <v>59</v>
      </c>
      <c r="L370" t="s">
        <v>59</v>
      </c>
      <c r="M370" t="s">
        <v>59</v>
      </c>
      <c r="N370" t="s">
        <v>42</v>
      </c>
      <c r="O370">
        <v>1</v>
      </c>
      <c r="P370" t="s">
        <v>59</v>
      </c>
      <c r="Q370" t="s">
        <v>59</v>
      </c>
      <c r="R370" t="s">
        <v>4567</v>
      </c>
      <c r="T370" t="s">
        <v>42</v>
      </c>
      <c r="X370" t="s">
        <v>59</v>
      </c>
    </row>
    <row r="371" spans="1:34" x14ac:dyDescent="0.75">
      <c r="A371" s="22" t="s">
        <v>6047</v>
      </c>
      <c r="B371" t="s">
        <v>4564</v>
      </c>
      <c r="C371" t="s">
        <v>34</v>
      </c>
      <c r="D371" t="s">
        <v>1454</v>
      </c>
      <c r="E371" t="s">
        <v>1455</v>
      </c>
      <c r="F371" t="s">
        <v>4565</v>
      </c>
      <c r="G371" s="1" t="str">
        <f>HYPERLINK("https://homd.org/jbrowse/?data=homd_V11.02_phage_1.2%2FGCA_024789025.1&amp;loc=GCA_024789025.1%7CJANUTA010000001.1%3A6573391..6580293&amp;tracks=prokka,prokka_ncrna,ncbi,ncbi_ncrna,panggolin,cenote,genomad&amp;highlight=","Open JBrowse")</f>
        <v>Open JBrowse</v>
      </c>
      <c r="H371">
        <v>6576391</v>
      </c>
      <c r="I371">
        <v>6577293</v>
      </c>
      <c r="J371" t="s">
        <v>4574</v>
      </c>
      <c r="K371" t="s">
        <v>59</v>
      </c>
      <c r="L371" t="s">
        <v>4575</v>
      </c>
      <c r="M371" t="s">
        <v>4576</v>
      </c>
      <c r="N371" t="s">
        <v>59</v>
      </c>
      <c r="O371">
        <v>2</v>
      </c>
      <c r="P371" t="s">
        <v>42</v>
      </c>
      <c r="Q371" t="s">
        <v>59</v>
      </c>
      <c r="R371" t="s">
        <v>4567</v>
      </c>
      <c r="S371" t="s">
        <v>4575</v>
      </c>
      <c r="T371" t="s">
        <v>42</v>
      </c>
      <c r="U371">
        <v>61</v>
      </c>
      <c r="V371">
        <v>295</v>
      </c>
      <c r="W371">
        <v>235</v>
      </c>
      <c r="X371" t="s">
        <v>4577</v>
      </c>
      <c r="Y371" t="s">
        <v>4578</v>
      </c>
      <c r="Z371" t="s">
        <v>4579</v>
      </c>
      <c r="AA371" t="s">
        <v>4580</v>
      </c>
      <c r="AB371" t="s">
        <v>4581</v>
      </c>
      <c r="AC371" t="s">
        <v>4582</v>
      </c>
      <c r="AD371" t="s">
        <v>4583</v>
      </c>
      <c r="AE371">
        <v>2357</v>
      </c>
      <c r="AF371" t="s">
        <v>4584</v>
      </c>
      <c r="AG371" t="s">
        <v>185</v>
      </c>
      <c r="AH371">
        <v>3</v>
      </c>
    </row>
    <row r="372" spans="1:34" x14ac:dyDescent="0.75">
      <c r="A372" s="22" t="s">
        <v>6047</v>
      </c>
      <c r="B372" t="s">
        <v>4564</v>
      </c>
      <c r="C372" t="s">
        <v>34</v>
      </c>
      <c r="D372" t="s">
        <v>1454</v>
      </c>
      <c r="E372" t="s">
        <v>1455</v>
      </c>
      <c r="F372" t="s">
        <v>4565</v>
      </c>
      <c r="G372" s="1" t="str">
        <f>HYPERLINK("https://homd.org/jbrowse/?data=homd_V11.02_phage_1.2%2FGCA_024789025.1&amp;loc=GCA_024789025.1%7CJANUTA010000001.1%3A655260..662057&amp;tracks=prokka,prokka_ncrna,ncbi,ncbi_ncrna,panggolin,cenote,genomad&amp;highlight=","Open JBrowse")</f>
        <v>Open JBrowse</v>
      </c>
      <c r="H372">
        <v>658260</v>
      </c>
      <c r="I372">
        <v>659057</v>
      </c>
      <c r="J372" t="s">
        <v>4585</v>
      </c>
      <c r="K372" t="s">
        <v>59</v>
      </c>
      <c r="L372" t="s">
        <v>4586</v>
      </c>
      <c r="M372" t="s">
        <v>4587</v>
      </c>
      <c r="N372" t="s">
        <v>42</v>
      </c>
      <c r="O372">
        <v>3</v>
      </c>
      <c r="P372" t="s">
        <v>42</v>
      </c>
      <c r="Q372" t="s">
        <v>59</v>
      </c>
      <c r="R372" t="s">
        <v>4567</v>
      </c>
      <c r="S372" t="s">
        <v>4586</v>
      </c>
      <c r="T372" t="s">
        <v>42</v>
      </c>
      <c r="U372">
        <v>30</v>
      </c>
      <c r="V372">
        <v>264</v>
      </c>
      <c r="W372">
        <v>235</v>
      </c>
      <c r="X372" t="s">
        <v>4588</v>
      </c>
      <c r="Y372" t="s">
        <v>4589</v>
      </c>
      <c r="Z372" t="s">
        <v>302</v>
      </c>
      <c r="AA372" t="s">
        <v>4590</v>
      </c>
    </row>
    <row r="373" spans="1:34" x14ac:dyDescent="0.75">
      <c r="A373" s="22" t="s">
        <v>6047</v>
      </c>
      <c r="B373" t="s">
        <v>4564</v>
      </c>
      <c r="C373" t="s">
        <v>34</v>
      </c>
      <c r="D373" t="s">
        <v>1454</v>
      </c>
      <c r="E373" t="s">
        <v>1455</v>
      </c>
      <c r="F373" t="s">
        <v>4565</v>
      </c>
      <c r="G373" s="1" t="str">
        <f>HYPERLINK("https://homd.org/jbrowse/?data=homd_V11.02_phage_1.2%2FGCA_024789025.1&amp;loc=GCA_024789025.1%7CJANUTA010000001.1%3A733481..740599&amp;tracks=prokka,prokka_ncrna,ncbi,ncbi_ncrna,panggolin,cenote,genomad&amp;highlight=","Open JBrowse")</f>
        <v>Open JBrowse</v>
      </c>
      <c r="H373">
        <v>736481</v>
      </c>
      <c r="I373">
        <v>737599</v>
      </c>
      <c r="J373" t="s">
        <v>4591</v>
      </c>
      <c r="K373" t="s">
        <v>39</v>
      </c>
      <c r="L373" t="s">
        <v>1460</v>
      </c>
      <c r="M373" t="s">
        <v>1461</v>
      </c>
      <c r="N373" t="s">
        <v>42</v>
      </c>
      <c r="O373">
        <v>3</v>
      </c>
      <c r="P373" t="s">
        <v>42</v>
      </c>
      <c r="Q373" t="s">
        <v>43</v>
      </c>
      <c r="R373" t="s">
        <v>4567</v>
      </c>
      <c r="S373" t="s">
        <v>1460</v>
      </c>
      <c r="T373" t="s">
        <v>42</v>
      </c>
      <c r="U373">
        <v>138</v>
      </c>
      <c r="V373">
        <v>367</v>
      </c>
      <c r="W373">
        <v>230</v>
      </c>
      <c r="X373" t="s">
        <v>971</v>
      </c>
      <c r="Y373" t="s">
        <v>4592</v>
      </c>
      <c r="Z373" t="s">
        <v>336</v>
      </c>
      <c r="AA373" t="s">
        <v>4593</v>
      </c>
      <c r="AB373" t="s">
        <v>4594</v>
      </c>
      <c r="AC373" t="s">
        <v>984</v>
      </c>
      <c r="AD373" t="s">
        <v>985</v>
      </c>
      <c r="AE373">
        <v>2989</v>
      </c>
      <c r="AF373" t="s">
        <v>4595</v>
      </c>
    </row>
    <row r="374" spans="1:34" x14ac:dyDescent="0.75">
      <c r="A374" s="22" t="s">
        <v>6047</v>
      </c>
      <c r="B374" t="s">
        <v>4596</v>
      </c>
      <c r="C374" t="s">
        <v>34</v>
      </c>
      <c r="D374" t="s">
        <v>35</v>
      </c>
      <c r="E374" t="s">
        <v>36</v>
      </c>
      <c r="F374" t="s">
        <v>4597</v>
      </c>
      <c r="G374" s="1" t="str">
        <f>HYPERLINK("https://homd.org/jbrowse/?data=homd_V11.02_phage_1.2%2FGCA_024790365.1&amp;loc=GCA_024790365.1%7CJANUTO010000001.1%3A719959..726753&amp;tracks=prokka,prokka_ncrna,ncbi,ncbi_ncrna,panggolin,cenote,genomad&amp;highlight=","Open JBrowse")</f>
        <v>Open JBrowse</v>
      </c>
      <c r="H374">
        <v>722959</v>
      </c>
      <c r="I374">
        <v>723753</v>
      </c>
      <c r="J374" t="s">
        <v>4598</v>
      </c>
      <c r="K374" t="s">
        <v>375</v>
      </c>
      <c r="L374" t="s">
        <v>4599</v>
      </c>
      <c r="M374" t="s">
        <v>4600</v>
      </c>
      <c r="N374" t="s">
        <v>398</v>
      </c>
      <c r="O374">
        <v>3</v>
      </c>
      <c r="P374" t="s">
        <v>42</v>
      </c>
      <c r="Q374" t="s">
        <v>101</v>
      </c>
      <c r="R374" t="s">
        <v>4601</v>
      </c>
      <c r="S374" t="s">
        <v>4599</v>
      </c>
      <c r="T374" t="s">
        <v>42</v>
      </c>
      <c r="U374">
        <v>33</v>
      </c>
      <c r="V374">
        <v>256</v>
      </c>
      <c r="W374">
        <v>224</v>
      </c>
      <c r="X374" t="s">
        <v>379</v>
      </c>
      <c r="Y374" t="s">
        <v>4602</v>
      </c>
      <c r="Z374" t="s">
        <v>90</v>
      </c>
      <c r="AA374" t="s">
        <v>4603</v>
      </c>
    </row>
    <row r="375" spans="1:34" x14ac:dyDescent="0.75">
      <c r="A375" s="22" t="s">
        <v>6047</v>
      </c>
      <c r="B375" t="s">
        <v>4596</v>
      </c>
      <c r="C375" t="s">
        <v>34</v>
      </c>
      <c r="D375" t="s">
        <v>35</v>
      </c>
      <c r="E375" t="s">
        <v>36</v>
      </c>
      <c r="F375" t="s">
        <v>4604</v>
      </c>
      <c r="G375" s="1" t="str">
        <f>HYPERLINK("https://homd.org/jbrowse/?data=homd_V11.02_phage_1.2%2FGCA_024790365.1&amp;loc=GCA_024790365.1%7CJANUTO010000002.1%3A63293..70084&amp;tracks=prokka,prokka_ncrna,ncbi,ncbi_ncrna,panggolin,cenote,genomad&amp;highlight=","Open JBrowse")</f>
        <v>Open JBrowse</v>
      </c>
      <c r="H375">
        <v>66293</v>
      </c>
      <c r="I375">
        <v>67084</v>
      </c>
      <c r="J375" t="s">
        <v>4605</v>
      </c>
      <c r="K375" t="s">
        <v>39</v>
      </c>
      <c r="L375" t="s">
        <v>40</v>
      </c>
      <c r="M375" t="s">
        <v>41</v>
      </c>
      <c r="N375" t="s">
        <v>42</v>
      </c>
      <c r="O375">
        <v>3</v>
      </c>
      <c r="P375" t="s">
        <v>42</v>
      </c>
      <c r="Q375" t="s">
        <v>43</v>
      </c>
      <c r="R375" t="s">
        <v>4601</v>
      </c>
      <c r="S375" t="s">
        <v>40</v>
      </c>
      <c r="T375" t="s">
        <v>42</v>
      </c>
      <c r="U375">
        <v>34</v>
      </c>
      <c r="V375">
        <v>260</v>
      </c>
      <c r="W375">
        <v>227</v>
      </c>
      <c r="X375" t="s">
        <v>45</v>
      </c>
      <c r="Y375" t="s">
        <v>4606</v>
      </c>
      <c r="Z375" t="s">
        <v>4434</v>
      </c>
      <c r="AA375" t="s">
        <v>4607</v>
      </c>
      <c r="AB375" t="s">
        <v>4608</v>
      </c>
      <c r="AC375" t="s">
        <v>50</v>
      </c>
      <c r="AD375" t="s">
        <v>51</v>
      </c>
      <c r="AE375">
        <v>5835</v>
      </c>
      <c r="AF375" t="s">
        <v>4609</v>
      </c>
      <c r="AG375" t="s">
        <v>53</v>
      </c>
      <c r="AH375">
        <v>2</v>
      </c>
    </row>
    <row r="376" spans="1:34" x14ac:dyDescent="0.75">
      <c r="A376" s="22" t="s">
        <v>6047</v>
      </c>
      <c r="B376" t="s">
        <v>4610</v>
      </c>
      <c r="C376" t="s">
        <v>34</v>
      </c>
      <c r="D376" t="s">
        <v>2146</v>
      </c>
      <c r="E376" t="s">
        <v>2147</v>
      </c>
      <c r="F376" t="s">
        <v>4611</v>
      </c>
      <c r="G376" s="1" t="str">
        <f>HYPERLINK("https://homd.org/jbrowse/?data=homd_V11.02_phage_1.2%2FGCA_024791515.1&amp;loc=GCA_024791515.1%7CJANUMK010000001.1%3A1861829..1868272&amp;tracks=prokka,prokka_ncrna,ncbi,ncbi_ncrna,panggolin,cenote,genomad&amp;highlight=","Open JBrowse")</f>
        <v>Open JBrowse</v>
      </c>
      <c r="H376">
        <v>1864829</v>
      </c>
      <c r="I376">
        <v>1865272</v>
      </c>
      <c r="J376" t="s">
        <v>4612</v>
      </c>
      <c r="K376" t="s">
        <v>59</v>
      </c>
      <c r="L376" t="s">
        <v>4613</v>
      </c>
      <c r="M376" t="s">
        <v>4614</v>
      </c>
      <c r="N376" t="s">
        <v>59</v>
      </c>
      <c r="O376">
        <v>2</v>
      </c>
      <c r="P376" t="s">
        <v>42</v>
      </c>
      <c r="Q376" t="s">
        <v>59</v>
      </c>
      <c r="R376" t="s">
        <v>4615</v>
      </c>
      <c r="S376" t="s">
        <v>4613</v>
      </c>
      <c r="T376" t="s">
        <v>42</v>
      </c>
      <c r="U376">
        <v>11</v>
      </c>
      <c r="V376">
        <v>143</v>
      </c>
      <c r="W376">
        <v>133</v>
      </c>
      <c r="X376" t="s">
        <v>1251</v>
      </c>
      <c r="Y376" t="s">
        <v>4616</v>
      </c>
      <c r="Z376" t="s">
        <v>811</v>
      </c>
      <c r="AA376" t="s">
        <v>4617</v>
      </c>
      <c r="AB376" t="s">
        <v>4618</v>
      </c>
      <c r="AC376" t="s">
        <v>50</v>
      </c>
      <c r="AD376" t="s">
        <v>51</v>
      </c>
      <c r="AE376">
        <v>417</v>
      </c>
      <c r="AF376" t="s">
        <v>4619</v>
      </c>
    </row>
    <row r="377" spans="1:34" x14ac:dyDescent="0.75">
      <c r="A377" s="22" t="s">
        <v>6047</v>
      </c>
      <c r="B377" t="s">
        <v>4620</v>
      </c>
      <c r="C377" t="s">
        <v>34</v>
      </c>
      <c r="D377" t="s">
        <v>35</v>
      </c>
      <c r="E377" t="s">
        <v>36</v>
      </c>
      <c r="F377" t="s">
        <v>4621</v>
      </c>
      <c r="G377" s="1" t="str">
        <f>HYPERLINK("https://homd.org/jbrowse/?data=homd_V11.02_phage_1.2%2FGCA_024792005.1&amp;loc=GCA_024792005.1%7CJANUUA010000002.1%3A2496848..2503639&amp;tracks=prokka,prokka_ncrna,ncbi,ncbi_ncrna,panggolin,cenote,genomad&amp;highlight=","Open JBrowse")</f>
        <v>Open JBrowse</v>
      </c>
      <c r="H377">
        <v>2499848</v>
      </c>
      <c r="I377">
        <v>2500639</v>
      </c>
      <c r="J377" t="s">
        <v>4622</v>
      </c>
      <c r="K377" t="s">
        <v>39</v>
      </c>
      <c r="L377" t="s">
        <v>40</v>
      </c>
      <c r="M377" t="s">
        <v>41</v>
      </c>
      <c r="N377" t="s">
        <v>42</v>
      </c>
      <c r="O377">
        <v>3</v>
      </c>
      <c r="P377" t="s">
        <v>42</v>
      </c>
      <c r="Q377" t="s">
        <v>43</v>
      </c>
      <c r="R377" t="s">
        <v>4623</v>
      </c>
      <c r="S377" t="s">
        <v>40</v>
      </c>
      <c r="T377" t="s">
        <v>42</v>
      </c>
      <c r="U377">
        <v>34</v>
      </c>
      <c r="V377">
        <v>260</v>
      </c>
      <c r="W377">
        <v>227</v>
      </c>
      <c r="X377" t="s">
        <v>45</v>
      </c>
      <c r="Y377" t="s">
        <v>4624</v>
      </c>
      <c r="Z377" t="s">
        <v>2583</v>
      </c>
      <c r="AA377" t="s">
        <v>4625</v>
      </c>
      <c r="AB377" t="s">
        <v>4626</v>
      </c>
      <c r="AC377" t="s">
        <v>50</v>
      </c>
      <c r="AD377" t="s">
        <v>51</v>
      </c>
      <c r="AE377">
        <v>5236.7</v>
      </c>
      <c r="AF377" t="s">
        <v>4627</v>
      </c>
      <c r="AG377" t="s">
        <v>4628</v>
      </c>
      <c r="AH377">
        <v>2</v>
      </c>
    </row>
    <row r="378" spans="1:34" x14ac:dyDescent="0.75">
      <c r="A378" s="22" t="s">
        <v>6047</v>
      </c>
      <c r="B378" t="s">
        <v>4620</v>
      </c>
      <c r="C378" t="s">
        <v>34</v>
      </c>
      <c r="D378" t="s">
        <v>35</v>
      </c>
      <c r="E378" t="s">
        <v>36</v>
      </c>
      <c r="F378" t="s">
        <v>4621</v>
      </c>
      <c r="G378" s="1" t="str">
        <f>HYPERLINK("https://homd.org/jbrowse/?data=homd_V11.02_phage_1.2%2FGCA_024792005.1&amp;loc=GCA_024792005.1%7CJANUUA010000002.1%3A4712477..4719271&amp;tracks=prokka,prokka_ncrna,ncbi,ncbi_ncrna,panggolin,cenote,genomad&amp;highlight=","Open JBrowse")</f>
        <v>Open JBrowse</v>
      </c>
      <c r="H378">
        <v>4715477</v>
      </c>
      <c r="I378">
        <v>4716271</v>
      </c>
      <c r="J378" t="s">
        <v>4629</v>
      </c>
      <c r="K378" t="s">
        <v>375</v>
      </c>
      <c r="L378" t="s">
        <v>4599</v>
      </c>
      <c r="M378" t="s">
        <v>4600</v>
      </c>
      <c r="N378" t="s">
        <v>398</v>
      </c>
      <c r="O378">
        <v>3</v>
      </c>
      <c r="P378" t="s">
        <v>42</v>
      </c>
      <c r="Q378" t="s">
        <v>101</v>
      </c>
      <c r="R378" t="s">
        <v>4623</v>
      </c>
      <c r="S378" t="s">
        <v>4599</v>
      </c>
      <c r="T378" t="s">
        <v>42</v>
      </c>
      <c r="U378">
        <v>33</v>
      </c>
      <c r="V378">
        <v>256</v>
      </c>
      <c r="W378">
        <v>224</v>
      </c>
      <c r="X378" t="s">
        <v>379</v>
      </c>
      <c r="Y378" t="s">
        <v>4630</v>
      </c>
      <c r="Z378" t="s">
        <v>1220</v>
      </c>
      <c r="AA378" t="s">
        <v>4631</v>
      </c>
    </row>
    <row r="379" spans="1:34" x14ac:dyDescent="0.75">
      <c r="A379" s="22" t="s">
        <v>6047</v>
      </c>
      <c r="B379" t="s">
        <v>4632</v>
      </c>
      <c r="C379" t="s">
        <v>34</v>
      </c>
      <c r="D379" t="s">
        <v>167</v>
      </c>
      <c r="E379" t="s">
        <v>168</v>
      </c>
      <c r="F379" t="s">
        <v>4633</v>
      </c>
      <c r="G379" s="1" t="str">
        <f>HYPERLINK("https://homd.org/jbrowse/?data=homd_V11.02_phage_1.2%2FGCA_024792395.1&amp;loc=GCA_024792395.1%7CJANUNG010000001.1%3A2007078..2015855&amp;tracks=prokka,prokka_ncrna,ncbi,ncbi_ncrna,panggolin,cenote,genomad&amp;highlight=","Open JBrowse")</f>
        <v>Open JBrowse</v>
      </c>
      <c r="H379">
        <v>2010078</v>
      </c>
      <c r="I379">
        <v>2012855</v>
      </c>
      <c r="J379" t="s">
        <v>4634</v>
      </c>
      <c r="K379" t="s">
        <v>171</v>
      </c>
      <c r="L379" t="s">
        <v>172</v>
      </c>
      <c r="M379" t="s">
        <v>173</v>
      </c>
      <c r="N379" t="s">
        <v>174</v>
      </c>
      <c r="O379">
        <v>3</v>
      </c>
      <c r="P379" t="s">
        <v>175</v>
      </c>
      <c r="Q379" t="s">
        <v>43</v>
      </c>
      <c r="R379" t="s">
        <v>4635</v>
      </c>
      <c r="S379" t="s">
        <v>177</v>
      </c>
      <c r="T379" t="s">
        <v>42</v>
      </c>
      <c r="U379">
        <v>691</v>
      </c>
      <c r="V379">
        <v>909</v>
      </c>
      <c r="W379">
        <v>219</v>
      </c>
      <c r="X379" t="s">
        <v>178</v>
      </c>
      <c r="Y379" t="s">
        <v>4636</v>
      </c>
      <c r="Z379" t="s">
        <v>1450</v>
      </c>
      <c r="AA379" t="s">
        <v>4637</v>
      </c>
      <c r="AB379" t="s">
        <v>4638</v>
      </c>
      <c r="AC379" t="s">
        <v>1929</v>
      </c>
      <c r="AD379" t="s">
        <v>1930</v>
      </c>
      <c r="AE379">
        <v>4837.6000000000004</v>
      </c>
      <c r="AF379" t="s">
        <v>4639</v>
      </c>
      <c r="AG379" t="s">
        <v>185</v>
      </c>
      <c r="AH379">
        <v>2</v>
      </c>
    </row>
    <row r="380" spans="1:34" x14ac:dyDescent="0.75">
      <c r="A380" s="22" t="s">
        <v>6047</v>
      </c>
      <c r="B380" t="s">
        <v>4632</v>
      </c>
      <c r="C380" t="s">
        <v>34</v>
      </c>
      <c r="D380" t="s">
        <v>167</v>
      </c>
      <c r="E380" t="s">
        <v>168</v>
      </c>
      <c r="F380" t="s">
        <v>4633</v>
      </c>
      <c r="G380" s="1" t="str">
        <f>HYPERLINK("https://homd.org/jbrowse/?data=homd_V11.02_phage_1.2%2FGCA_024792395.1&amp;loc=GCA_024792395.1%7CJANUNG010000001.1%3A2114988..2121839&amp;tracks=prokka,prokka_ncrna,ncbi,ncbi_ncrna,panggolin,cenote,genomad&amp;highlight=","Open JBrowse")</f>
        <v>Open JBrowse</v>
      </c>
      <c r="H380">
        <v>2117988</v>
      </c>
      <c r="I380">
        <v>2118839</v>
      </c>
      <c r="J380" t="s">
        <v>4640</v>
      </c>
      <c r="K380" t="s">
        <v>59</v>
      </c>
      <c r="L380" t="s">
        <v>59</v>
      </c>
      <c r="M380" t="s">
        <v>59</v>
      </c>
      <c r="N380" t="s">
        <v>42</v>
      </c>
      <c r="O380">
        <v>1</v>
      </c>
      <c r="P380" t="s">
        <v>59</v>
      </c>
      <c r="Q380" t="s">
        <v>59</v>
      </c>
      <c r="R380" t="s">
        <v>4635</v>
      </c>
      <c r="T380" t="s">
        <v>42</v>
      </c>
      <c r="X380" t="s">
        <v>59</v>
      </c>
    </row>
    <row r="381" spans="1:34" x14ac:dyDescent="0.75">
      <c r="A381" s="22" t="s">
        <v>6047</v>
      </c>
      <c r="B381" t="s">
        <v>4632</v>
      </c>
      <c r="C381" t="s">
        <v>34</v>
      </c>
      <c r="D381" t="s">
        <v>167</v>
      </c>
      <c r="E381" t="s">
        <v>168</v>
      </c>
      <c r="F381" t="s">
        <v>4633</v>
      </c>
      <c r="G381" s="1" t="str">
        <f>HYPERLINK("https://homd.org/jbrowse/?data=homd_V11.02_phage_1.2%2FGCA_024792395.1&amp;loc=GCA_024792395.1%7CJANUNG010000001.1%3A552001..558828&amp;tracks=prokka,prokka_ncrna,ncbi,ncbi_ncrna,panggolin,cenote,genomad&amp;highlight=","Open JBrowse")</f>
        <v>Open JBrowse</v>
      </c>
      <c r="H381">
        <v>555001</v>
      </c>
      <c r="I381">
        <v>555828</v>
      </c>
      <c r="J381" t="s">
        <v>4641</v>
      </c>
      <c r="K381" t="s">
        <v>996</v>
      </c>
      <c r="L381" t="s">
        <v>4642</v>
      </c>
      <c r="M381" t="s">
        <v>4643</v>
      </c>
      <c r="N381" t="s">
        <v>42</v>
      </c>
      <c r="O381">
        <v>3</v>
      </c>
      <c r="P381" t="s">
        <v>42</v>
      </c>
      <c r="Q381" t="s">
        <v>101</v>
      </c>
      <c r="R381" t="s">
        <v>4635</v>
      </c>
      <c r="S381" t="s">
        <v>4642</v>
      </c>
      <c r="T381" t="s">
        <v>42</v>
      </c>
      <c r="U381">
        <v>38</v>
      </c>
      <c r="V381">
        <v>275</v>
      </c>
      <c r="W381">
        <v>238</v>
      </c>
      <c r="X381" t="s">
        <v>999</v>
      </c>
      <c r="Y381" t="s">
        <v>4644</v>
      </c>
      <c r="Z381" t="s">
        <v>1463</v>
      </c>
      <c r="AA381" t="s">
        <v>4645</v>
      </c>
      <c r="AB381" t="s">
        <v>4646</v>
      </c>
      <c r="AC381" t="s">
        <v>1139</v>
      </c>
      <c r="AD381" t="s">
        <v>101</v>
      </c>
      <c r="AE381">
        <v>6048</v>
      </c>
      <c r="AF381" t="s">
        <v>4647</v>
      </c>
      <c r="AG381" t="s">
        <v>101</v>
      </c>
      <c r="AH381">
        <v>2</v>
      </c>
    </row>
    <row r="382" spans="1:34" x14ac:dyDescent="0.75">
      <c r="A382" s="22" t="s">
        <v>6047</v>
      </c>
      <c r="B382" t="s">
        <v>4632</v>
      </c>
      <c r="C382" t="s">
        <v>34</v>
      </c>
      <c r="D382" t="s">
        <v>167</v>
      </c>
      <c r="E382" t="s">
        <v>168</v>
      </c>
      <c r="F382" t="s">
        <v>4633</v>
      </c>
      <c r="G382" s="1" t="str">
        <f>HYPERLINK("https://homd.org/jbrowse/?data=homd_V11.02_phage_1.2%2FGCA_024792395.1&amp;loc=GCA_024792395.1%7CJANUNG010000001.1%3A1122095..1130044&amp;tracks=prokka,prokka_ncrna,ncbi,ncbi_ncrna,panggolin,cenote,genomad&amp;highlight=","Open JBrowse")</f>
        <v>Open JBrowse</v>
      </c>
      <c r="H382">
        <v>1125095</v>
      </c>
      <c r="I382">
        <v>1127044</v>
      </c>
      <c r="J382" t="s">
        <v>4648</v>
      </c>
      <c r="K382" t="s">
        <v>59</v>
      </c>
      <c r="L382" t="s">
        <v>2115</v>
      </c>
      <c r="M382" t="s">
        <v>59</v>
      </c>
      <c r="N382" t="s">
        <v>59</v>
      </c>
      <c r="O382">
        <v>1</v>
      </c>
      <c r="P382" t="s">
        <v>59</v>
      </c>
      <c r="Q382" t="s">
        <v>59</v>
      </c>
      <c r="R382" t="s">
        <v>4635</v>
      </c>
      <c r="S382" t="s">
        <v>2115</v>
      </c>
      <c r="T382" t="s">
        <v>42</v>
      </c>
      <c r="U382">
        <v>355</v>
      </c>
      <c r="V382">
        <v>630</v>
      </c>
      <c r="W382">
        <v>276</v>
      </c>
      <c r="X382" t="s">
        <v>59</v>
      </c>
    </row>
    <row r="383" spans="1:34" x14ac:dyDescent="0.75">
      <c r="A383" s="22" t="s">
        <v>6047</v>
      </c>
      <c r="B383" t="s">
        <v>4632</v>
      </c>
      <c r="C383" t="s">
        <v>34</v>
      </c>
      <c r="D383" t="s">
        <v>167</v>
      </c>
      <c r="E383" t="s">
        <v>168</v>
      </c>
      <c r="F383" t="s">
        <v>4633</v>
      </c>
      <c r="G383" s="1" t="str">
        <f>HYPERLINK("https://homd.org/jbrowse/?data=homd_V11.02_phage_1.2%2FGCA_024792395.1&amp;loc=GCA_024792395.1%7CJANUNG010000001.1%3A1132820..1141426&amp;tracks=prokka,prokka_ncrna,ncbi,ncbi_ncrna,panggolin,cenote,genomad&amp;highlight=","Open JBrowse")</f>
        <v>Open JBrowse</v>
      </c>
      <c r="H383">
        <v>1135820</v>
      </c>
      <c r="I383">
        <v>1138426</v>
      </c>
      <c r="J383" t="s">
        <v>4649</v>
      </c>
      <c r="K383" t="s">
        <v>171</v>
      </c>
      <c r="L383" t="s">
        <v>4650</v>
      </c>
      <c r="M383" t="s">
        <v>4651</v>
      </c>
      <c r="N383" t="s">
        <v>174</v>
      </c>
      <c r="O383">
        <v>3</v>
      </c>
      <c r="P383" t="s">
        <v>175</v>
      </c>
      <c r="Q383" t="s">
        <v>43</v>
      </c>
      <c r="R383" t="s">
        <v>4635</v>
      </c>
      <c r="S383" t="s">
        <v>4652</v>
      </c>
      <c r="T383" t="s">
        <v>42</v>
      </c>
      <c r="U383">
        <v>634</v>
      </c>
      <c r="V383">
        <v>852</v>
      </c>
      <c r="W383">
        <v>219</v>
      </c>
      <c r="X383" t="s">
        <v>178</v>
      </c>
      <c r="Y383" t="s">
        <v>4653</v>
      </c>
      <c r="Z383" t="s">
        <v>281</v>
      </c>
      <c r="AA383" t="s">
        <v>4654</v>
      </c>
      <c r="AB383" t="s">
        <v>4655</v>
      </c>
      <c r="AC383" t="s">
        <v>182</v>
      </c>
      <c r="AD383" t="s">
        <v>183</v>
      </c>
      <c r="AE383">
        <v>2949.1</v>
      </c>
      <c r="AF383" t="s">
        <v>4656</v>
      </c>
    </row>
    <row r="384" spans="1:34" x14ac:dyDescent="0.75">
      <c r="A384" s="22" t="s">
        <v>6047</v>
      </c>
      <c r="B384" t="s">
        <v>4657</v>
      </c>
      <c r="C384" t="s">
        <v>34</v>
      </c>
      <c r="D384" t="s">
        <v>35</v>
      </c>
      <c r="E384" t="s">
        <v>36</v>
      </c>
      <c r="F384" t="s">
        <v>4658</v>
      </c>
      <c r="G384" s="1" t="str">
        <f>HYPERLINK("https://homd.org/jbrowse/?data=homd_V11.02_phage_1.2%2FGCA_024792655.1&amp;loc=GCA_024792655.1%7CJANUUE010000001.1%3A2601936..2608700&amp;tracks=prokka,prokka_ncrna,ncbi,ncbi_ncrna,panggolin,cenote,genomad&amp;highlight=","Open JBrowse")</f>
        <v>Open JBrowse</v>
      </c>
      <c r="H384">
        <v>2604936</v>
      </c>
      <c r="I384">
        <v>2605700</v>
      </c>
      <c r="J384" t="s">
        <v>4659</v>
      </c>
      <c r="K384" t="s">
        <v>59</v>
      </c>
      <c r="L384" t="s">
        <v>2509</v>
      </c>
      <c r="M384" t="s">
        <v>2510</v>
      </c>
      <c r="N384" t="s">
        <v>42</v>
      </c>
      <c r="O384">
        <v>3</v>
      </c>
      <c r="P384" t="s">
        <v>42</v>
      </c>
      <c r="Q384" t="s">
        <v>59</v>
      </c>
      <c r="R384" t="s">
        <v>4660</v>
      </c>
      <c r="S384" t="s">
        <v>2509</v>
      </c>
      <c r="T384" t="s">
        <v>42</v>
      </c>
      <c r="U384">
        <v>29</v>
      </c>
      <c r="V384">
        <v>250</v>
      </c>
      <c r="W384">
        <v>222</v>
      </c>
      <c r="X384" t="s">
        <v>1985</v>
      </c>
      <c r="Y384" t="s">
        <v>4661</v>
      </c>
      <c r="Z384" t="s">
        <v>1357</v>
      </c>
      <c r="AA384" t="s">
        <v>4662</v>
      </c>
      <c r="AB384" t="s">
        <v>4663</v>
      </c>
      <c r="AC384" t="s">
        <v>1803</v>
      </c>
      <c r="AD384" t="s">
        <v>51</v>
      </c>
      <c r="AE384">
        <v>467</v>
      </c>
      <c r="AF384" t="s">
        <v>4664</v>
      </c>
    </row>
    <row r="385" spans="1:34" x14ac:dyDescent="0.75">
      <c r="A385" s="22" t="s">
        <v>6047</v>
      </c>
      <c r="B385" t="s">
        <v>4657</v>
      </c>
      <c r="C385" t="s">
        <v>34</v>
      </c>
      <c r="D385" t="s">
        <v>35</v>
      </c>
      <c r="E385" t="s">
        <v>36</v>
      </c>
      <c r="F385" t="s">
        <v>4658</v>
      </c>
      <c r="G385" s="1" t="str">
        <f>HYPERLINK("https://homd.org/jbrowse/?data=homd_V11.02_phage_1.2%2FGCA_024792655.1&amp;loc=GCA_024792655.1%7CJANUUE010000001.1%3A55413..62204&amp;tracks=prokka,prokka_ncrna,ncbi,ncbi_ncrna,panggolin,cenote,genomad&amp;highlight=","Open JBrowse")</f>
        <v>Open JBrowse</v>
      </c>
      <c r="H385">
        <v>58413</v>
      </c>
      <c r="I385">
        <v>59204</v>
      </c>
      <c r="J385" t="s">
        <v>4665</v>
      </c>
      <c r="K385" t="s">
        <v>39</v>
      </c>
      <c r="L385" t="s">
        <v>40</v>
      </c>
      <c r="M385" t="s">
        <v>41</v>
      </c>
      <c r="N385" t="s">
        <v>42</v>
      </c>
      <c r="O385">
        <v>3</v>
      </c>
      <c r="P385" t="s">
        <v>42</v>
      </c>
      <c r="Q385" t="s">
        <v>43</v>
      </c>
      <c r="R385" t="s">
        <v>4660</v>
      </c>
      <c r="S385" t="s">
        <v>40</v>
      </c>
      <c r="T385" t="s">
        <v>42</v>
      </c>
      <c r="U385">
        <v>34</v>
      </c>
      <c r="V385">
        <v>260</v>
      </c>
      <c r="W385">
        <v>227</v>
      </c>
      <c r="X385" t="s">
        <v>45</v>
      </c>
      <c r="Y385" t="s">
        <v>4666</v>
      </c>
      <c r="Z385" t="s">
        <v>47</v>
      </c>
      <c r="AA385" t="s">
        <v>48</v>
      </c>
      <c r="AB385" t="s">
        <v>4667</v>
      </c>
      <c r="AC385" t="s">
        <v>50</v>
      </c>
      <c r="AD385" t="s">
        <v>51</v>
      </c>
      <c r="AE385">
        <v>6782</v>
      </c>
      <c r="AF385" t="s">
        <v>52</v>
      </c>
      <c r="AG385" t="s">
        <v>53</v>
      </c>
      <c r="AH385">
        <v>2</v>
      </c>
    </row>
    <row r="386" spans="1:34" x14ac:dyDescent="0.75">
      <c r="A386" s="22" t="s">
        <v>6047</v>
      </c>
      <c r="B386" t="s">
        <v>4668</v>
      </c>
      <c r="C386" t="s">
        <v>34</v>
      </c>
      <c r="D386" t="s">
        <v>167</v>
      </c>
      <c r="E386" t="s">
        <v>168</v>
      </c>
      <c r="F386" t="s">
        <v>4669</v>
      </c>
      <c r="G386" s="1" t="str">
        <f>HYPERLINK("https://homd.org/jbrowse/?data=homd_V11.02_phage_1.2%2FGCA_024793125.1&amp;loc=GCA_024793125.1%7CJANUOJ010000003.1%3A1781270..1790047&amp;tracks=prokka,prokka_ncrna,ncbi,ncbi_ncrna,panggolin,cenote,genomad&amp;highlight=","Open JBrowse")</f>
        <v>Open JBrowse</v>
      </c>
      <c r="H386">
        <v>1784270</v>
      </c>
      <c r="I386">
        <v>1787047</v>
      </c>
      <c r="J386" t="s">
        <v>4670</v>
      </c>
      <c r="K386" t="s">
        <v>171</v>
      </c>
      <c r="L386" t="s">
        <v>172</v>
      </c>
      <c r="M386" t="s">
        <v>173</v>
      </c>
      <c r="N386" t="s">
        <v>174</v>
      </c>
      <c r="O386">
        <v>3</v>
      </c>
      <c r="P386" t="s">
        <v>175</v>
      </c>
      <c r="Q386" t="s">
        <v>43</v>
      </c>
      <c r="R386" t="s">
        <v>4671</v>
      </c>
      <c r="S386" t="s">
        <v>177</v>
      </c>
      <c r="T386" t="s">
        <v>42</v>
      </c>
      <c r="U386">
        <v>691</v>
      </c>
      <c r="V386">
        <v>909</v>
      </c>
      <c r="W386">
        <v>219</v>
      </c>
      <c r="X386" t="s">
        <v>178</v>
      </c>
      <c r="Y386" t="s">
        <v>4672</v>
      </c>
      <c r="Z386" t="s">
        <v>1450</v>
      </c>
      <c r="AA386" t="s">
        <v>4673</v>
      </c>
      <c r="AB386" t="s">
        <v>4674</v>
      </c>
      <c r="AC386" t="s">
        <v>182</v>
      </c>
      <c r="AD386" t="s">
        <v>183</v>
      </c>
      <c r="AE386">
        <v>3368</v>
      </c>
      <c r="AF386" t="s">
        <v>4675</v>
      </c>
      <c r="AG386" t="s">
        <v>185</v>
      </c>
      <c r="AH386">
        <v>2</v>
      </c>
    </row>
    <row r="387" spans="1:34" x14ac:dyDescent="0.75">
      <c r="A387" s="22" t="s">
        <v>6047</v>
      </c>
      <c r="B387" t="s">
        <v>4668</v>
      </c>
      <c r="C387" t="s">
        <v>34</v>
      </c>
      <c r="D387" t="s">
        <v>167</v>
      </c>
      <c r="E387" t="s">
        <v>168</v>
      </c>
      <c r="F387" t="s">
        <v>4669</v>
      </c>
      <c r="G387" s="1" t="str">
        <f>HYPERLINK("https://homd.org/jbrowse/?data=homd_V11.02_phage_1.2%2FGCA_024793125.1&amp;loc=GCA_024793125.1%7CJANUOJ010000003.1%3A1945613..1952464&amp;tracks=prokka,prokka_ncrna,ncbi,ncbi_ncrna,panggolin,cenote,genomad&amp;highlight=","Open JBrowse")</f>
        <v>Open JBrowse</v>
      </c>
      <c r="H387">
        <v>1948613</v>
      </c>
      <c r="I387">
        <v>1949464</v>
      </c>
      <c r="J387" t="s">
        <v>4676</v>
      </c>
      <c r="K387" t="s">
        <v>59</v>
      </c>
      <c r="L387" t="s">
        <v>59</v>
      </c>
      <c r="M387" t="s">
        <v>59</v>
      </c>
      <c r="N387" t="s">
        <v>42</v>
      </c>
      <c r="O387">
        <v>1</v>
      </c>
      <c r="P387" t="s">
        <v>59</v>
      </c>
      <c r="Q387" t="s">
        <v>59</v>
      </c>
      <c r="R387" t="s">
        <v>4671</v>
      </c>
      <c r="T387" t="s">
        <v>42</v>
      </c>
      <c r="X387" t="s">
        <v>59</v>
      </c>
    </row>
    <row r="388" spans="1:34" x14ac:dyDescent="0.75">
      <c r="A388" s="22" t="s">
        <v>6047</v>
      </c>
      <c r="B388" t="s">
        <v>4677</v>
      </c>
      <c r="C388" t="s">
        <v>34</v>
      </c>
      <c r="D388" t="s">
        <v>2352</v>
      </c>
      <c r="E388" t="s">
        <v>2353</v>
      </c>
      <c r="F388" t="s">
        <v>4678</v>
      </c>
      <c r="G388" s="1" t="str">
        <f>HYPERLINK("https://homd.org/jbrowse/?data=homd_V11.02_phage_1.2%2FGCA_024793755.1&amp;loc=GCA_024793755.1%7CJANUUQ010000001.1%3A5343279..5350118&amp;tracks=prokka,prokka_ncrna,ncbi,ncbi_ncrna,panggolin,cenote,genomad&amp;highlight=","Open JBrowse")</f>
        <v>Open JBrowse</v>
      </c>
      <c r="H388">
        <v>5346279</v>
      </c>
      <c r="I388">
        <v>5347118</v>
      </c>
      <c r="J388" t="s">
        <v>4679</v>
      </c>
      <c r="K388" t="s">
        <v>59</v>
      </c>
      <c r="L388" t="s">
        <v>59</v>
      </c>
      <c r="M388" t="s">
        <v>59</v>
      </c>
      <c r="N388" t="s">
        <v>42</v>
      </c>
      <c r="O388">
        <v>1</v>
      </c>
      <c r="P388" t="s">
        <v>59</v>
      </c>
      <c r="Q388" t="s">
        <v>59</v>
      </c>
      <c r="R388" t="s">
        <v>4680</v>
      </c>
      <c r="T388" t="s">
        <v>42</v>
      </c>
      <c r="X388" t="s">
        <v>59</v>
      </c>
    </row>
    <row r="389" spans="1:34" x14ac:dyDescent="0.75">
      <c r="A389" s="22" t="s">
        <v>6047</v>
      </c>
      <c r="B389" t="s">
        <v>4677</v>
      </c>
      <c r="C389" t="s">
        <v>34</v>
      </c>
      <c r="D389" t="s">
        <v>2352</v>
      </c>
      <c r="E389" t="s">
        <v>2353</v>
      </c>
      <c r="F389" t="s">
        <v>4678</v>
      </c>
      <c r="G389" s="1" t="str">
        <f>HYPERLINK("https://homd.org/jbrowse/?data=homd_V11.02_phage_1.2%2FGCA_024793755.1&amp;loc=GCA_024793755.1%7CJANUUQ010000001.1%3A734265..741551&amp;tracks=prokka,prokka_ncrna,ncbi,ncbi_ncrna,panggolin,cenote,genomad&amp;highlight=","Open JBrowse")</f>
        <v>Open JBrowse</v>
      </c>
      <c r="H389">
        <v>737265</v>
      </c>
      <c r="I389">
        <v>738551</v>
      </c>
      <c r="J389" t="s">
        <v>4681</v>
      </c>
      <c r="K389" t="s">
        <v>627</v>
      </c>
      <c r="L389" t="s">
        <v>3547</v>
      </c>
      <c r="M389" t="s">
        <v>3548</v>
      </c>
      <c r="N389" t="s">
        <v>398</v>
      </c>
      <c r="O389">
        <v>3</v>
      </c>
      <c r="P389" t="s">
        <v>3549</v>
      </c>
      <c r="Q389" t="s">
        <v>59</v>
      </c>
      <c r="R389" t="s">
        <v>4680</v>
      </c>
      <c r="S389" t="s">
        <v>3547</v>
      </c>
      <c r="T389" t="s">
        <v>42</v>
      </c>
      <c r="U389">
        <v>48</v>
      </c>
      <c r="V389">
        <v>163</v>
      </c>
      <c r="W389">
        <v>116</v>
      </c>
      <c r="X389" t="s">
        <v>258</v>
      </c>
      <c r="Y389" t="s">
        <v>4682</v>
      </c>
      <c r="Z389" t="s">
        <v>126</v>
      </c>
      <c r="AA389" t="s">
        <v>3552</v>
      </c>
      <c r="AB389" t="s">
        <v>4683</v>
      </c>
      <c r="AC389" t="s">
        <v>3554</v>
      </c>
      <c r="AD389" t="s">
        <v>2129</v>
      </c>
      <c r="AE389">
        <v>1170</v>
      </c>
      <c r="AF389" t="s">
        <v>165</v>
      </c>
    </row>
    <row r="390" spans="1:34" x14ac:dyDescent="0.75">
      <c r="A390" s="22" t="s">
        <v>6047</v>
      </c>
      <c r="B390" t="s">
        <v>4677</v>
      </c>
      <c r="C390" t="s">
        <v>34</v>
      </c>
      <c r="D390" t="s">
        <v>2352</v>
      </c>
      <c r="E390" t="s">
        <v>2353</v>
      </c>
      <c r="F390" t="s">
        <v>4678</v>
      </c>
      <c r="G390" s="1" t="str">
        <f>HYPERLINK("https://homd.org/jbrowse/?data=homd_V11.02_phage_1.2%2FGCA_024793755.1&amp;loc=GCA_024793755.1%7CJANUUQ010000001.1%3A1002458..1009273&amp;tracks=prokka,prokka_ncrna,ncbi,ncbi_ncrna,panggolin,cenote,genomad&amp;highlight=","Open JBrowse")</f>
        <v>Open JBrowse</v>
      </c>
      <c r="H390">
        <v>1005458</v>
      </c>
      <c r="I390">
        <v>1006273</v>
      </c>
      <c r="J390" t="s">
        <v>4684</v>
      </c>
      <c r="K390" t="s">
        <v>996</v>
      </c>
      <c r="L390" t="s">
        <v>343</v>
      </c>
      <c r="M390" t="s">
        <v>1502</v>
      </c>
      <c r="N390" t="s">
        <v>42</v>
      </c>
      <c r="O390">
        <v>3</v>
      </c>
      <c r="P390" t="s">
        <v>42</v>
      </c>
      <c r="Q390" t="s">
        <v>101</v>
      </c>
      <c r="R390" t="s">
        <v>4680</v>
      </c>
      <c r="S390" t="s">
        <v>343</v>
      </c>
      <c r="T390" t="s">
        <v>42</v>
      </c>
      <c r="U390">
        <v>38</v>
      </c>
      <c r="V390">
        <v>270</v>
      </c>
      <c r="W390">
        <v>233</v>
      </c>
      <c r="X390" t="s">
        <v>999</v>
      </c>
      <c r="Y390" t="s">
        <v>4685</v>
      </c>
      <c r="Z390" t="s">
        <v>346</v>
      </c>
      <c r="AA390" t="s">
        <v>2586</v>
      </c>
      <c r="AB390" t="s">
        <v>4686</v>
      </c>
      <c r="AC390" t="s">
        <v>1139</v>
      </c>
      <c r="AD390" t="s">
        <v>101</v>
      </c>
      <c r="AE390">
        <v>10368</v>
      </c>
      <c r="AF390" t="s">
        <v>2588</v>
      </c>
      <c r="AG390" t="s">
        <v>2589</v>
      </c>
      <c r="AH390">
        <v>2</v>
      </c>
    </row>
    <row r="391" spans="1:34" x14ac:dyDescent="0.75">
      <c r="A391" s="22" t="s">
        <v>6047</v>
      </c>
      <c r="B391" t="s">
        <v>4687</v>
      </c>
      <c r="C391" t="s">
        <v>34</v>
      </c>
      <c r="D391" t="s">
        <v>1745</v>
      </c>
      <c r="E391" t="s">
        <v>1746</v>
      </c>
      <c r="F391" t="s">
        <v>4688</v>
      </c>
      <c r="G391" s="1" t="str">
        <f>HYPERLINK("https://homd.org/jbrowse/?data=homd_V11.02_phage_1.2%2FGCA_025146315.1&amp;loc=GCA_025146315.1%7CCP102256.1%3A1382999..1390534&amp;tracks=prokka,prokka_ncrna,ncbi,ncbi_ncrna,panggolin,cenote,genomad&amp;highlight=","Open JBrowse")</f>
        <v>Open JBrowse</v>
      </c>
      <c r="H391">
        <v>1385999</v>
      </c>
      <c r="I391">
        <v>1387534</v>
      </c>
      <c r="J391" t="s">
        <v>4689</v>
      </c>
      <c r="K391" t="s">
        <v>59</v>
      </c>
      <c r="L391" t="s">
        <v>1749</v>
      </c>
      <c r="M391" t="s">
        <v>1750</v>
      </c>
      <c r="N391" t="s">
        <v>42</v>
      </c>
      <c r="O391">
        <v>3</v>
      </c>
      <c r="P391" t="s">
        <v>42</v>
      </c>
      <c r="Q391" t="s">
        <v>59</v>
      </c>
      <c r="R391" t="s">
        <v>4690</v>
      </c>
      <c r="S391" t="s">
        <v>1749</v>
      </c>
      <c r="T391" t="s">
        <v>42</v>
      </c>
      <c r="U391">
        <v>230</v>
      </c>
      <c r="V391">
        <v>508</v>
      </c>
      <c r="W391">
        <v>279</v>
      </c>
      <c r="X391" t="s">
        <v>1752</v>
      </c>
      <c r="Y391" t="s">
        <v>4691</v>
      </c>
      <c r="Z391" t="s">
        <v>410</v>
      </c>
      <c r="AA391" t="s">
        <v>1754</v>
      </c>
      <c r="AB391" t="s">
        <v>4692</v>
      </c>
      <c r="AC391" t="s">
        <v>637</v>
      </c>
      <c r="AD391" t="s">
        <v>638</v>
      </c>
      <c r="AE391">
        <v>7157</v>
      </c>
      <c r="AF391" t="s">
        <v>1756</v>
      </c>
      <c r="AG391" t="s">
        <v>1757</v>
      </c>
      <c r="AH391">
        <v>2</v>
      </c>
    </row>
    <row r="392" spans="1:34" x14ac:dyDescent="0.75">
      <c r="A392" s="22" t="s">
        <v>6047</v>
      </c>
      <c r="B392" t="s">
        <v>4687</v>
      </c>
      <c r="C392" t="s">
        <v>34</v>
      </c>
      <c r="D392" t="s">
        <v>1745</v>
      </c>
      <c r="E392" t="s">
        <v>1746</v>
      </c>
      <c r="F392" t="s">
        <v>4688</v>
      </c>
      <c r="G392" s="1" t="str">
        <f>HYPERLINK("https://homd.org/jbrowse/?data=homd_V11.02_phage_1.2%2FGCA_025146315.1&amp;loc=GCA_025146315.1%7CCP102256.1%3A1384551..1392458&amp;tracks=prokka,prokka_ncrna,ncbi,ncbi_ncrna,panggolin,cenote,genomad&amp;highlight=","Open JBrowse")</f>
        <v>Open JBrowse</v>
      </c>
      <c r="H392">
        <v>1387551</v>
      </c>
      <c r="I392">
        <v>1389458</v>
      </c>
      <c r="J392" t="s">
        <v>4693</v>
      </c>
      <c r="K392" t="s">
        <v>627</v>
      </c>
      <c r="L392" t="s">
        <v>1759</v>
      </c>
      <c r="M392" t="s">
        <v>1760</v>
      </c>
      <c r="N392" t="s">
        <v>1481</v>
      </c>
      <c r="O392">
        <v>3</v>
      </c>
      <c r="P392" t="s">
        <v>1482</v>
      </c>
      <c r="Q392" t="s">
        <v>59</v>
      </c>
      <c r="R392" t="s">
        <v>4690</v>
      </c>
      <c r="S392" t="s">
        <v>1761</v>
      </c>
      <c r="T392" t="s">
        <v>42</v>
      </c>
      <c r="U392">
        <v>32</v>
      </c>
      <c r="V392">
        <v>283</v>
      </c>
      <c r="W392">
        <v>252</v>
      </c>
      <c r="X392" t="s">
        <v>1484</v>
      </c>
      <c r="Y392" t="s">
        <v>4691</v>
      </c>
      <c r="Z392" t="s">
        <v>410</v>
      </c>
      <c r="AA392" t="s">
        <v>1754</v>
      </c>
      <c r="AB392" t="s">
        <v>4692</v>
      </c>
      <c r="AC392" t="s">
        <v>637</v>
      </c>
      <c r="AD392" t="s">
        <v>638</v>
      </c>
      <c r="AE392">
        <v>7157</v>
      </c>
      <c r="AF392" t="s">
        <v>1756</v>
      </c>
      <c r="AG392" t="s">
        <v>1757</v>
      </c>
      <c r="AH392">
        <v>2</v>
      </c>
    </row>
    <row r="393" spans="1:34" x14ac:dyDescent="0.75">
      <c r="A393" s="22" t="s">
        <v>6047</v>
      </c>
      <c r="B393" t="s">
        <v>4687</v>
      </c>
      <c r="C393" t="s">
        <v>34</v>
      </c>
      <c r="D393" t="s">
        <v>1745</v>
      </c>
      <c r="E393" t="s">
        <v>1746</v>
      </c>
      <c r="F393" t="s">
        <v>4688</v>
      </c>
      <c r="G393" s="1" t="str">
        <f>HYPERLINK("https://homd.org/jbrowse/?data=homd_V11.02_phage_1.2%2FGCA_025146315.1&amp;loc=GCA_025146315.1%7CCP102256.1%3A146069..152911&amp;tracks=prokka,prokka_ncrna,ncbi,ncbi_ncrna,panggolin,cenote,genomad&amp;highlight=","Open JBrowse")</f>
        <v>Open JBrowse</v>
      </c>
      <c r="H393">
        <v>149069</v>
      </c>
      <c r="I393">
        <v>149911</v>
      </c>
      <c r="J393" t="s">
        <v>4694</v>
      </c>
      <c r="K393" t="s">
        <v>77</v>
      </c>
      <c r="L393" t="s">
        <v>1763</v>
      </c>
      <c r="M393" t="s">
        <v>1764</v>
      </c>
      <c r="N393" t="s">
        <v>42</v>
      </c>
      <c r="O393">
        <v>3</v>
      </c>
      <c r="P393" t="s">
        <v>42</v>
      </c>
      <c r="Q393" t="s">
        <v>43</v>
      </c>
      <c r="R393" t="s">
        <v>4690</v>
      </c>
      <c r="S393" t="s">
        <v>1763</v>
      </c>
      <c r="T393" t="s">
        <v>42</v>
      </c>
      <c r="U393">
        <v>39</v>
      </c>
      <c r="V393">
        <v>270</v>
      </c>
      <c r="W393">
        <v>232</v>
      </c>
      <c r="X393" t="s">
        <v>1765</v>
      </c>
      <c r="Y393" t="s">
        <v>4695</v>
      </c>
      <c r="Z393" t="s">
        <v>645</v>
      </c>
      <c r="AA393" t="s">
        <v>1767</v>
      </c>
      <c r="AB393" t="s">
        <v>4696</v>
      </c>
      <c r="AC393" t="s">
        <v>984</v>
      </c>
      <c r="AD393" t="s">
        <v>985</v>
      </c>
      <c r="AE393">
        <v>920</v>
      </c>
      <c r="AF393" t="s">
        <v>986</v>
      </c>
      <c r="AG393" t="s">
        <v>185</v>
      </c>
      <c r="AH393">
        <v>2</v>
      </c>
    </row>
    <row r="394" spans="1:34" x14ac:dyDescent="0.75">
      <c r="A394" s="22" t="s">
        <v>6047</v>
      </c>
      <c r="B394" t="s">
        <v>4687</v>
      </c>
      <c r="C394" t="s">
        <v>34</v>
      </c>
      <c r="D394" t="s">
        <v>1745</v>
      </c>
      <c r="E394" t="s">
        <v>1746</v>
      </c>
      <c r="F394" t="s">
        <v>4688</v>
      </c>
      <c r="G394" s="1" t="str">
        <f>HYPERLINK("https://homd.org/jbrowse/?data=homd_V11.02_phage_1.2%2FGCA_025146315.1&amp;loc=GCA_025146315.1%7CCP102256.1%3A147113..153937&amp;tracks=prokka,prokka_ncrna,ncbi,ncbi_ncrna,panggolin,cenote,genomad&amp;highlight=","Open JBrowse")</f>
        <v>Open JBrowse</v>
      </c>
      <c r="H394">
        <v>150113</v>
      </c>
      <c r="I394">
        <v>150937</v>
      </c>
      <c r="J394" t="s">
        <v>4697</v>
      </c>
      <c r="K394" t="s">
        <v>1770</v>
      </c>
      <c r="L394" t="s">
        <v>1771</v>
      </c>
      <c r="M394" t="s">
        <v>1772</v>
      </c>
      <c r="N394" t="s">
        <v>42</v>
      </c>
      <c r="O394">
        <v>3</v>
      </c>
      <c r="P394" t="s">
        <v>42</v>
      </c>
      <c r="Q394" t="s">
        <v>43</v>
      </c>
      <c r="R394" t="s">
        <v>4690</v>
      </c>
      <c r="S394" t="s">
        <v>1771</v>
      </c>
      <c r="T394" t="s">
        <v>42</v>
      </c>
      <c r="U394">
        <v>48</v>
      </c>
      <c r="V394">
        <v>271</v>
      </c>
      <c r="W394">
        <v>224</v>
      </c>
      <c r="X394" t="s">
        <v>1773</v>
      </c>
      <c r="Y394" t="s">
        <v>4695</v>
      </c>
      <c r="Z394" t="s">
        <v>645</v>
      </c>
      <c r="AA394" t="s">
        <v>1767</v>
      </c>
      <c r="AB394" t="s">
        <v>4696</v>
      </c>
      <c r="AC394" t="s">
        <v>984</v>
      </c>
      <c r="AD394" t="s">
        <v>985</v>
      </c>
      <c r="AE394">
        <v>920</v>
      </c>
      <c r="AF394" t="s">
        <v>986</v>
      </c>
      <c r="AG394" t="s">
        <v>185</v>
      </c>
      <c r="AH394">
        <v>2</v>
      </c>
    </row>
    <row r="395" spans="1:34" x14ac:dyDescent="0.75">
      <c r="A395" s="22" t="s">
        <v>6047</v>
      </c>
      <c r="B395" t="s">
        <v>4687</v>
      </c>
      <c r="C395" t="s">
        <v>34</v>
      </c>
      <c r="D395" t="s">
        <v>1745</v>
      </c>
      <c r="E395" t="s">
        <v>1746</v>
      </c>
      <c r="F395" t="s">
        <v>4688</v>
      </c>
      <c r="G395" s="1" t="str">
        <f>HYPERLINK("https://homd.org/jbrowse/?data=homd_V11.02_phage_1.2%2FGCA_025146315.1&amp;loc=GCA_025146315.1%7CCP102256.1%3A311894..318697&amp;tracks=prokka,prokka_ncrna,ncbi,ncbi_ncrna,panggolin,cenote,genomad&amp;highlight=","Open JBrowse")</f>
        <v>Open JBrowse</v>
      </c>
      <c r="H395">
        <v>314894</v>
      </c>
      <c r="I395">
        <v>315697</v>
      </c>
      <c r="J395" t="s">
        <v>4698</v>
      </c>
      <c r="K395" t="s">
        <v>39</v>
      </c>
      <c r="L395" t="s">
        <v>123</v>
      </c>
      <c r="M395" t="s">
        <v>124</v>
      </c>
      <c r="N395" t="s">
        <v>42</v>
      </c>
      <c r="O395">
        <v>3</v>
      </c>
      <c r="P395" t="s">
        <v>42</v>
      </c>
      <c r="Q395" t="s">
        <v>43</v>
      </c>
      <c r="R395" t="s">
        <v>4690</v>
      </c>
      <c r="S395" t="s">
        <v>123</v>
      </c>
      <c r="T395" t="s">
        <v>42</v>
      </c>
      <c r="U395">
        <v>35</v>
      </c>
      <c r="V395">
        <v>261</v>
      </c>
      <c r="W395">
        <v>227</v>
      </c>
      <c r="X395" t="s">
        <v>45</v>
      </c>
    </row>
    <row r="396" spans="1:34" x14ac:dyDescent="0.75">
      <c r="A396" s="22" t="s">
        <v>6047</v>
      </c>
      <c r="B396" t="s">
        <v>4687</v>
      </c>
      <c r="C396" t="s">
        <v>34</v>
      </c>
      <c r="D396" t="s">
        <v>1745</v>
      </c>
      <c r="E396" t="s">
        <v>1746</v>
      </c>
      <c r="F396" t="s">
        <v>4688</v>
      </c>
      <c r="G396" s="1" t="str">
        <f>HYPERLINK("https://homd.org/jbrowse/?data=homd_V11.02_phage_1.2%2FGCA_025146315.1&amp;loc=GCA_025146315.1%7CCP102256.1%3A3805366..3812214&amp;tracks=prokka,prokka_ncrna,ncbi,ncbi_ncrna,panggolin,cenote,genomad&amp;highlight=","Open JBrowse")</f>
        <v>Open JBrowse</v>
      </c>
      <c r="H396">
        <v>3808366</v>
      </c>
      <c r="I396">
        <v>3809214</v>
      </c>
      <c r="J396" t="s">
        <v>4699</v>
      </c>
      <c r="K396" t="s">
        <v>59</v>
      </c>
      <c r="L396" t="s">
        <v>59</v>
      </c>
      <c r="M396" t="s">
        <v>59</v>
      </c>
      <c r="N396" t="s">
        <v>42</v>
      </c>
      <c r="O396">
        <v>1</v>
      </c>
      <c r="P396" t="s">
        <v>59</v>
      </c>
      <c r="Q396" t="s">
        <v>59</v>
      </c>
      <c r="R396" t="s">
        <v>4690</v>
      </c>
      <c r="T396" t="s">
        <v>42</v>
      </c>
      <c r="X396" t="s">
        <v>59</v>
      </c>
      <c r="Y396" t="s">
        <v>4700</v>
      </c>
      <c r="Z396" t="s">
        <v>1777</v>
      </c>
      <c r="AA396" t="s">
        <v>1778</v>
      </c>
      <c r="AB396" t="s">
        <v>4701</v>
      </c>
      <c r="AC396" t="s">
        <v>1780</v>
      </c>
      <c r="AD396" t="s">
        <v>183</v>
      </c>
      <c r="AE396">
        <v>1746</v>
      </c>
      <c r="AF396" t="s">
        <v>1781</v>
      </c>
      <c r="AG396" t="s">
        <v>185</v>
      </c>
      <c r="AH396">
        <v>2</v>
      </c>
    </row>
    <row r="397" spans="1:34" x14ac:dyDescent="0.75">
      <c r="A397" s="22" t="s">
        <v>6047</v>
      </c>
      <c r="B397" t="s">
        <v>4687</v>
      </c>
      <c r="C397" t="s">
        <v>34</v>
      </c>
      <c r="D397" t="s">
        <v>1745</v>
      </c>
      <c r="E397" t="s">
        <v>1746</v>
      </c>
      <c r="F397" t="s">
        <v>4688</v>
      </c>
      <c r="G397" s="1" t="str">
        <f>HYPERLINK("https://homd.org/jbrowse/?data=homd_V11.02_phage_1.2%2FGCA_025146315.1&amp;loc=GCA_025146315.1%7CCP102256.1%3A4312311..4319087&amp;tracks=prokka,prokka_ncrna,ncbi,ncbi_ncrna,panggolin,cenote,genomad&amp;highlight=","Open JBrowse")</f>
        <v>Open JBrowse</v>
      </c>
      <c r="H397">
        <v>4315311</v>
      </c>
      <c r="I397">
        <v>4316087</v>
      </c>
      <c r="J397" t="s">
        <v>4702</v>
      </c>
      <c r="K397" t="s">
        <v>39</v>
      </c>
      <c r="L397" t="s">
        <v>1608</v>
      </c>
      <c r="M397" t="s">
        <v>1609</v>
      </c>
      <c r="N397" t="s">
        <v>42</v>
      </c>
      <c r="O397">
        <v>3</v>
      </c>
      <c r="P397" t="s">
        <v>42</v>
      </c>
      <c r="Q397" t="s">
        <v>43</v>
      </c>
      <c r="R397" t="s">
        <v>4690</v>
      </c>
      <c r="S397" t="s">
        <v>1608</v>
      </c>
      <c r="T397" t="s">
        <v>42</v>
      </c>
      <c r="U397">
        <v>27</v>
      </c>
      <c r="V397">
        <v>255</v>
      </c>
      <c r="W397">
        <v>229</v>
      </c>
      <c r="X397" t="s">
        <v>45</v>
      </c>
      <c r="Y397" t="s">
        <v>4703</v>
      </c>
      <c r="Z397" t="s">
        <v>1784</v>
      </c>
      <c r="AA397" t="s">
        <v>1785</v>
      </c>
    </row>
    <row r="398" spans="1:34" x14ac:dyDescent="0.75">
      <c r="A398" s="22" t="s">
        <v>6047</v>
      </c>
      <c r="B398" t="s">
        <v>4687</v>
      </c>
      <c r="C398" t="s">
        <v>34</v>
      </c>
      <c r="D398" t="s">
        <v>1745</v>
      </c>
      <c r="E398" t="s">
        <v>1746</v>
      </c>
      <c r="F398" t="s">
        <v>4688</v>
      </c>
      <c r="G398" s="1" t="str">
        <f>HYPERLINK("https://homd.org/jbrowse/?data=homd_V11.02_phage_1.2%2FGCA_025146315.1&amp;loc=GCA_025146315.1%7CCP102256.1%3A595227..602351&amp;tracks=prokka,prokka_ncrna,ncbi,ncbi_ncrna,panggolin,cenote,genomad&amp;highlight=","Open JBrowse")</f>
        <v>Open JBrowse</v>
      </c>
      <c r="H398">
        <v>598227</v>
      </c>
      <c r="I398">
        <v>599351</v>
      </c>
      <c r="J398" t="s">
        <v>4704</v>
      </c>
      <c r="K398" t="s">
        <v>39</v>
      </c>
      <c r="L398" t="s">
        <v>1787</v>
      </c>
      <c r="M398" t="s">
        <v>1788</v>
      </c>
      <c r="N398" t="s">
        <v>42</v>
      </c>
      <c r="O398">
        <v>3</v>
      </c>
      <c r="P398" t="s">
        <v>42</v>
      </c>
      <c r="Q398" t="s">
        <v>43</v>
      </c>
      <c r="R398" t="s">
        <v>4690</v>
      </c>
      <c r="S398" t="s">
        <v>1787</v>
      </c>
      <c r="T398" t="s">
        <v>42</v>
      </c>
      <c r="U398">
        <v>139</v>
      </c>
      <c r="V398">
        <v>369</v>
      </c>
      <c r="W398">
        <v>231</v>
      </c>
      <c r="X398" t="s">
        <v>971</v>
      </c>
      <c r="Y398" t="s">
        <v>4705</v>
      </c>
      <c r="Z398" t="s">
        <v>336</v>
      </c>
      <c r="AA398" t="s">
        <v>1790</v>
      </c>
      <c r="AB398" t="s">
        <v>4706</v>
      </c>
      <c r="AC398" t="s">
        <v>984</v>
      </c>
      <c r="AD398" t="s">
        <v>985</v>
      </c>
      <c r="AE398">
        <v>2776</v>
      </c>
      <c r="AF398" t="s">
        <v>986</v>
      </c>
    </row>
    <row r="399" spans="1:34" x14ac:dyDescent="0.75">
      <c r="A399" s="22" t="s">
        <v>6047</v>
      </c>
      <c r="B399" t="s">
        <v>4687</v>
      </c>
      <c r="C399" t="s">
        <v>34</v>
      </c>
      <c r="D399" t="s">
        <v>1745</v>
      </c>
      <c r="E399" t="s">
        <v>1746</v>
      </c>
      <c r="F399" t="s">
        <v>4688</v>
      </c>
      <c r="G399" s="1" t="str">
        <f>HYPERLINK("https://homd.org/jbrowse/?data=homd_V11.02_phage_1.2%2FGCA_025146315.1&amp;loc=GCA_025146315.1%7CCP102256.1%3A906481..913872&amp;tracks=prokka,prokka_ncrna,ncbi,ncbi_ncrna,panggolin,cenote,genomad&amp;highlight=","Open JBrowse")</f>
        <v>Open JBrowse</v>
      </c>
      <c r="H399">
        <v>909481</v>
      </c>
      <c r="I399">
        <v>910872</v>
      </c>
      <c r="J399" t="s">
        <v>4707</v>
      </c>
      <c r="K399" t="s">
        <v>59</v>
      </c>
      <c r="L399" t="s">
        <v>59</v>
      </c>
      <c r="M399" t="s">
        <v>59</v>
      </c>
      <c r="N399" t="s">
        <v>42</v>
      </c>
      <c r="O399">
        <v>1</v>
      </c>
      <c r="P399" t="s">
        <v>59</v>
      </c>
      <c r="Q399" t="s">
        <v>59</v>
      </c>
      <c r="R399" t="s">
        <v>4690</v>
      </c>
      <c r="T399" t="s">
        <v>42</v>
      </c>
      <c r="X399" t="s">
        <v>59</v>
      </c>
    </row>
    <row r="400" spans="1:34" x14ac:dyDescent="0.75">
      <c r="A400" s="22" t="s">
        <v>6047</v>
      </c>
      <c r="B400" t="s">
        <v>4708</v>
      </c>
      <c r="C400" t="s">
        <v>34</v>
      </c>
      <c r="D400" t="s">
        <v>1604</v>
      </c>
      <c r="E400" t="s">
        <v>1605</v>
      </c>
      <c r="F400" t="s">
        <v>4709</v>
      </c>
      <c r="G400" s="1" t="str">
        <f>HYPERLINK("https://homd.org/jbrowse/?data=homd_V11.02_phage_1.2%2FGCA_025146415.1&amp;loc=GCA_025146415.1%7CCP102257.1%3A3161865..3168641&amp;tracks=prokka,prokka_ncrna,ncbi,ncbi_ncrna,panggolin,cenote,genomad&amp;highlight=","Open JBrowse")</f>
        <v>Open JBrowse</v>
      </c>
      <c r="H400">
        <v>3164865</v>
      </c>
      <c r="I400">
        <v>3165641</v>
      </c>
      <c r="J400" t="s">
        <v>4710</v>
      </c>
      <c r="K400" t="s">
        <v>39</v>
      </c>
      <c r="L400" t="s">
        <v>1608</v>
      </c>
      <c r="M400" t="s">
        <v>1609</v>
      </c>
      <c r="N400" t="s">
        <v>42</v>
      </c>
      <c r="O400">
        <v>3</v>
      </c>
      <c r="P400" t="s">
        <v>42</v>
      </c>
      <c r="Q400" t="s">
        <v>43</v>
      </c>
      <c r="R400" t="s">
        <v>4711</v>
      </c>
      <c r="S400" t="s">
        <v>1608</v>
      </c>
      <c r="T400" t="s">
        <v>42</v>
      </c>
      <c r="U400">
        <v>27</v>
      </c>
      <c r="V400">
        <v>255</v>
      </c>
      <c r="W400">
        <v>229</v>
      </c>
      <c r="X400" t="s">
        <v>45</v>
      </c>
      <c r="Y400" t="s">
        <v>4712</v>
      </c>
      <c r="Z400" t="s">
        <v>1612</v>
      </c>
      <c r="AA400" t="s">
        <v>1613</v>
      </c>
      <c r="AB400" t="s">
        <v>4713</v>
      </c>
      <c r="AC400" t="s">
        <v>1489</v>
      </c>
      <c r="AD400" t="s">
        <v>638</v>
      </c>
      <c r="AE400">
        <v>177.5</v>
      </c>
      <c r="AF400" t="s">
        <v>102</v>
      </c>
    </row>
    <row r="401" spans="1:34" x14ac:dyDescent="0.75">
      <c r="A401" s="22" t="s">
        <v>6047</v>
      </c>
      <c r="B401" t="s">
        <v>4708</v>
      </c>
      <c r="C401" t="s">
        <v>34</v>
      </c>
      <c r="D401" t="s">
        <v>1604</v>
      </c>
      <c r="E401" t="s">
        <v>1605</v>
      </c>
      <c r="F401" t="s">
        <v>4709</v>
      </c>
      <c r="G401" s="1" t="str">
        <f>HYPERLINK("https://homd.org/jbrowse/?data=homd_V11.02_phage_1.2%2FGCA_025146415.1&amp;loc=GCA_025146415.1%7CCP102257.1%3A54948..61739&amp;tracks=prokka,prokka_ncrna,ncbi,ncbi_ncrna,panggolin,cenote,genomad&amp;highlight=","Open JBrowse")</f>
        <v>Open JBrowse</v>
      </c>
      <c r="H401">
        <v>57948</v>
      </c>
      <c r="I401">
        <v>58739</v>
      </c>
      <c r="J401" t="s">
        <v>4714</v>
      </c>
      <c r="K401" t="s">
        <v>39</v>
      </c>
      <c r="L401" t="s">
        <v>40</v>
      </c>
      <c r="M401" t="s">
        <v>41</v>
      </c>
      <c r="N401" t="s">
        <v>42</v>
      </c>
      <c r="O401">
        <v>3</v>
      </c>
      <c r="P401" t="s">
        <v>42</v>
      </c>
      <c r="Q401" t="s">
        <v>43</v>
      </c>
      <c r="R401" t="s">
        <v>4711</v>
      </c>
      <c r="S401" t="s">
        <v>40</v>
      </c>
      <c r="T401" t="s">
        <v>42</v>
      </c>
      <c r="U401">
        <v>34</v>
      </c>
      <c r="V401">
        <v>260</v>
      </c>
      <c r="W401">
        <v>227</v>
      </c>
      <c r="X401" t="s">
        <v>45</v>
      </c>
      <c r="Y401" t="s">
        <v>4715</v>
      </c>
      <c r="Z401" t="s">
        <v>645</v>
      </c>
      <c r="AA401" t="s">
        <v>1617</v>
      </c>
      <c r="AB401" t="s">
        <v>4716</v>
      </c>
      <c r="AC401" t="s">
        <v>50</v>
      </c>
      <c r="AD401" t="s">
        <v>51</v>
      </c>
      <c r="AE401">
        <v>9888.5</v>
      </c>
      <c r="AF401" t="s">
        <v>1619</v>
      </c>
      <c r="AG401" t="s">
        <v>51</v>
      </c>
      <c r="AH401">
        <v>4</v>
      </c>
    </row>
    <row r="402" spans="1:34" x14ac:dyDescent="0.75">
      <c r="A402" s="22" t="s">
        <v>6047</v>
      </c>
      <c r="B402" t="s">
        <v>4717</v>
      </c>
      <c r="C402" t="s">
        <v>34</v>
      </c>
      <c r="D402" t="s">
        <v>1492</v>
      </c>
      <c r="E402" t="s">
        <v>1493</v>
      </c>
      <c r="F402" t="s">
        <v>4718</v>
      </c>
      <c r="G402" s="1" t="str">
        <f>HYPERLINK("https://homd.org/jbrowse/?data=homd_V11.02_phage_1.2%2FGCA_025146775.1&amp;loc=GCA_025146775.1%7CCP102259.1%3A5641598..5648437&amp;tracks=prokka,prokka_ncrna,ncbi,ncbi_ncrna,panggolin,cenote,genomad&amp;highlight=","Open JBrowse")</f>
        <v>Open JBrowse</v>
      </c>
      <c r="H402">
        <v>5644598</v>
      </c>
      <c r="I402">
        <v>5645437</v>
      </c>
      <c r="J402" t="s">
        <v>4719</v>
      </c>
      <c r="K402" t="s">
        <v>59</v>
      </c>
      <c r="L402" t="s">
        <v>59</v>
      </c>
      <c r="M402" t="s">
        <v>59</v>
      </c>
      <c r="N402" t="s">
        <v>42</v>
      </c>
      <c r="O402">
        <v>1</v>
      </c>
      <c r="P402" t="s">
        <v>59</v>
      </c>
      <c r="Q402" t="s">
        <v>59</v>
      </c>
      <c r="R402" t="s">
        <v>4720</v>
      </c>
      <c r="T402" t="s">
        <v>42</v>
      </c>
      <c r="X402" t="s">
        <v>59</v>
      </c>
    </row>
    <row r="403" spans="1:34" x14ac:dyDescent="0.75">
      <c r="A403" s="22" t="s">
        <v>6047</v>
      </c>
      <c r="B403" t="s">
        <v>4717</v>
      </c>
      <c r="C403" t="s">
        <v>34</v>
      </c>
      <c r="D403" t="s">
        <v>1492</v>
      </c>
      <c r="E403" t="s">
        <v>1493</v>
      </c>
      <c r="F403" t="s">
        <v>4718</v>
      </c>
      <c r="G403" s="1" t="str">
        <f>HYPERLINK("https://homd.org/jbrowse/?data=homd_V11.02_phage_1.2%2FGCA_025146775.1&amp;loc=GCA_025146775.1%7CCP102259.1%3A598687..605490&amp;tracks=prokka,prokka_ncrna,ncbi,ncbi_ncrna,panggolin,cenote,genomad&amp;highlight=","Open JBrowse")</f>
        <v>Open JBrowse</v>
      </c>
      <c r="H403">
        <v>601687</v>
      </c>
      <c r="I403">
        <v>602490</v>
      </c>
      <c r="J403" t="s">
        <v>4721</v>
      </c>
      <c r="K403" t="s">
        <v>39</v>
      </c>
      <c r="L403" t="s">
        <v>123</v>
      </c>
      <c r="M403" t="s">
        <v>124</v>
      </c>
      <c r="N403" t="s">
        <v>42</v>
      </c>
      <c r="O403">
        <v>3</v>
      </c>
      <c r="P403" t="s">
        <v>42</v>
      </c>
      <c r="Q403" t="s">
        <v>43</v>
      </c>
      <c r="R403" t="s">
        <v>4720</v>
      </c>
      <c r="S403" t="s">
        <v>123</v>
      </c>
      <c r="T403" t="s">
        <v>42</v>
      </c>
      <c r="U403">
        <v>35</v>
      </c>
      <c r="V403">
        <v>261</v>
      </c>
      <c r="W403">
        <v>227</v>
      </c>
      <c r="X403" t="s">
        <v>45</v>
      </c>
      <c r="Y403" t="s">
        <v>4722</v>
      </c>
      <c r="Z403" t="s">
        <v>932</v>
      </c>
      <c r="AA403" t="s">
        <v>1500</v>
      </c>
    </row>
    <row r="404" spans="1:34" x14ac:dyDescent="0.75">
      <c r="A404" s="22" t="s">
        <v>6047</v>
      </c>
      <c r="B404" t="s">
        <v>4717</v>
      </c>
      <c r="C404" t="s">
        <v>34</v>
      </c>
      <c r="D404" t="s">
        <v>1492</v>
      </c>
      <c r="E404" t="s">
        <v>1493</v>
      </c>
      <c r="F404" t="s">
        <v>4718</v>
      </c>
      <c r="G404" s="1" t="str">
        <f>HYPERLINK("https://homd.org/jbrowse/?data=homd_V11.02_phage_1.2%2FGCA_025146775.1&amp;loc=GCA_025146775.1%7CCP102259.1%3A1214790..1221605&amp;tracks=prokka,prokka_ncrna,ncbi,ncbi_ncrna,panggolin,cenote,genomad&amp;highlight=","Open JBrowse")</f>
        <v>Open JBrowse</v>
      </c>
      <c r="H404">
        <v>1217790</v>
      </c>
      <c r="I404">
        <v>1218605</v>
      </c>
      <c r="J404" t="s">
        <v>4723</v>
      </c>
      <c r="K404" t="s">
        <v>996</v>
      </c>
      <c r="L404" t="s">
        <v>343</v>
      </c>
      <c r="M404" t="s">
        <v>1502</v>
      </c>
      <c r="N404" t="s">
        <v>42</v>
      </c>
      <c r="O404">
        <v>3</v>
      </c>
      <c r="P404" t="s">
        <v>42</v>
      </c>
      <c r="Q404" t="s">
        <v>101</v>
      </c>
      <c r="R404" t="s">
        <v>4720</v>
      </c>
      <c r="S404" t="s">
        <v>343</v>
      </c>
      <c r="T404" t="s">
        <v>42</v>
      </c>
      <c r="U404">
        <v>38</v>
      </c>
      <c r="V404">
        <v>270</v>
      </c>
      <c r="W404">
        <v>233</v>
      </c>
      <c r="X404" t="s">
        <v>999</v>
      </c>
      <c r="Y404" t="s">
        <v>4724</v>
      </c>
      <c r="Z404" t="s">
        <v>118</v>
      </c>
      <c r="AA404" t="s">
        <v>1504</v>
      </c>
      <c r="AB404" t="s">
        <v>4725</v>
      </c>
      <c r="AC404" t="s">
        <v>1003</v>
      </c>
      <c r="AD404" t="s">
        <v>101</v>
      </c>
      <c r="AE404">
        <v>10479</v>
      </c>
      <c r="AF404" t="s">
        <v>1506</v>
      </c>
      <c r="AG404" t="s">
        <v>101</v>
      </c>
      <c r="AH404">
        <v>2</v>
      </c>
    </row>
    <row r="405" spans="1:34" x14ac:dyDescent="0.75">
      <c r="A405" s="22" t="s">
        <v>6047</v>
      </c>
      <c r="B405" t="s">
        <v>4726</v>
      </c>
      <c r="C405" t="s">
        <v>34</v>
      </c>
      <c r="D405" t="s">
        <v>167</v>
      </c>
      <c r="E405" t="s">
        <v>168</v>
      </c>
      <c r="F405" t="s">
        <v>4727</v>
      </c>
      <c r="G405" s="1" t="str">
        <f>HYPERLINK("https://homd.org/jbrowse/?data=homd_V11.02_phage_1.2%2FGCA_025147325.1&amp;loc=GCA_025147325.1%7CCP102262.1%3A1867824..1876601&amp;tracks=prokka,prokka_ncrna,ncbi,ncbi_ncrna,panggolin,cenote,genomad&amp;highlight=","Open JBrowse")</f>
        <v>Open JBrowse</v>
      </c>
      <c r="H405">
        <v>1870824</v>
      </c>
      <c r="I405">
        <v>1873601</v>
      </c>
      <c r="J405" t="s">
        <v>4728</v>
      </c>
      <c r="K405" t="s">
        <v>171</v>
      </c>
      <c r="L405" t="s">
        <v>172</v>
      </c>
      <c r="M405" t="s">
        <v>173</v>
      </c>
      <c r="N405" t="s">
        <v>174</v>
      </c>
      <c r="O405">
        <v>3</v>
      </c>
      <c r="P405" t="s">
        <v>175</v>
      </c>
      <c r="Q405" t="s">
        <v>43</v>
      </c>
      <c r="R405" t="s">
        <v>4729</v>
      </c>
      <c r="S405" t="s">
        <v>177</v>
      </c>
      <c r="T405" t="s">
        <v>42</v>
      </c>
      <c r="U405">
        <v>691</v>
      </c>
      <c r="V405">
        <v>909</v>
      </c>
      <c r="W405">
        <v>219</v>
      </c>
      <c r="X405" t="s">
        <v>178</v>
      </c>
      <c r="Y405" t="s">
        <v>4730</v>
      </c>
      <c r="Z405" t="s">
        <v>667</v>
      </c>
      <c r="AA405" t="s">
        <v>180</v>
      </c>
      <c r="AB405" t="s">
        <v>4731</v>
      </c>
      <c r="AC405" t="s">
        <v>182</v>
      </c>
      <c r="AD405" t="s">
        <v>183</v>
      </c>
      <c r="AE405">
        <v>4878</v>
      </c>
      <c r="AF405" t="s">
        <v>184</v>
      </c>
      <c r="AG405" t="s">
        <v>185</v>
      </c>
      <c r="AH405">
        <v>2</v>
      </c>
    </row>
    <row r="406" spans="1:34" x14ac:dyDescent="0.75">
      <c r="A406" s="22" t="s">
        <v>6047</v>
      </c>
      <c r="B406" t="s">
        <v>4726</v>
      </c>
      <c r="C406" t="s">
        <v>34</v>
      </c>
      <c r="D406" t="s">
        <v>167</v>
      </c>
      <c r="E406" t="s">
        <v>168</v>
      </c>
      <c r="F406" t="s">
        <v>4727</v>
      </c>
      <c r="G406" s="1" t="str">
        <f>HYPERLINK("https://homd.org/jbrowse/?data=homd_V11.02_phage_1.2%2FGCA_025147325.1&amp;loc=GCA_025147325.1%7CCP102262.1%3A1971687..1978538&amp;tracks=prokka,prokka_ncrna,ncbi,ncbi_ncrna,panggolin,cenote,genomad&amp;highlight=","Open JBrowse")</f>
        <v>Open JBrowse</v>
      </c>
      <c r="H406">
        <v>1974687</v>
      </c>
      <c r="I406">
        <v>1975538</v>
      </c>
      <c r="J406" t="s">
        <v>4732</v>
      </c>
      <c r="K406" t="s">
        <v>59</v>
      </c>
      <c r="L406" t="s">
        <v>59</v>
      </c>
      <c r="M406" t="s">
        <v>59</v>
      </c>
      <c r="N406" t="s">
        <v>42</v>
      </c>
      <c r="O406">
        <v>1</v>
      </c>
      <c r="P406" t="s">
        <v>59</v>
      </c>
      <c r="Q406" t="s">
        <v>59</v>
      </c>
      <c r="R406" t="s">
        <v>4729</v>
      </c>
      <c r="T406" t="s">
        <v>42</v>
      </c>
      <c r="X406" t="s">
        <v>59</v>
      </c>
    </row>
    <row r="407" spans="1:34" x14ac:dyDescent="0.75">
      <c r="A407" s="22" t="s">
        <v>6047</v>
      </c>
      <c r="B407" t="s">
        <v>4726</v>
      </c>
      <c r="C407" t="s">
        <v>34</v>
      </c>
      <c r="D407" t="s">
        <v>167</v>
      </c>
      <c r="E407" t="s">
        <v>168</v>
      </c>
      <c r="F407" t="s">
        <v>4727</v>
      </c>
      <c r="G407" s="1" t="str">
        <f>HYPERLINK("https://homd.org/jbrowse/?data=homd_V11.02_phage_1.2%2FGCA_025147325.1&amp;loc=GCA_025147325.1%7CCP102262.1%3A1015036..1023816&amp;tracks=prokka,prokka_ncrna,ncbi,ncbi_ncrna,panggolin,cenote,genomad&amp;highlight=","Open JBrowse")</f>
        <v>Open JBrowse</v>
      </c>
      <c r="H407">
        <v>1018036</v>
      </c>
      <c r="I407">
        <v>1020816</v>
      </c>
      <c r="J407" t="s">
        <v>4733</v>
      </c>
      <c r="K407" t="s">
        <v>171</v>
      </c>
      <c r="L407" t="s">
        <v>189</v>
      </c>
      <c r="M407" t="s">
        <v>190</v>
      </c>
      <c r="N407" t="s">
        <v>174</v>
      </c>
      <c r="O407">
        <v>3</v>
      </c>
      <c r="P407" t="s">
        <v>175</v>
      </c>
      <c r="Q407" t="s">
        <v>43</v>
      </c>
      <c r="R407" t="s">
        <v>4729</v>
      </c>
      <c r="S407" t="s">
        <v>191</v>
      </c>
      <c r="T407" t="s">
        <v>42</v>
      </c>
      <c r="U407">
        <v>692</v>
      </c>
      <c r="V407">
        <v>910</v>
      </c>
      <c r="W407">
        <v>219</v>
      </c>
      <c r="X407" t="s">
        <v>178</v>
      </c>
      <c r="Y407" t="s">
        <v>4734</v>
      </c>
      <c r="Z407" t="s">
        <v>126</v>
      </c>
      <c r="AA407" t="s">
        <v>194</v>
      </c>
      <c r="AB407" t="s">
        <v>4735</v>
      </c>
      <c r="AC407" t="s">
        <v>182</v>
      </c>
      <c r="AD407" t="s">
        <v>183</v>
      </c>
      <c r="AE407">
        <v>3679.6</v>
      </c>
      <c r="AF407" t="s">
        <v>196</v>
      </c>
    </row>
    <row r="408" spans="1:34" x14ac:dyDescent="0.75">
      <c r="A408" s="22" t="s">
        <v>6047</v>
      </c>
      <c r="B408" t="s">
        <v>4736</v>
      </c>
      <c r="C408" t="s">
        <v>34</v>
      </c>
      <c r="D408" t="s">
        <v>2238</v>
      </c>
      <c r="E408" t="s">
        <v>2239</v>
      </c>
      <c r="F408" t="s">
        <v>4737</v>
      </c>
      <c r="G408" s="1" t="str">
        <f>HYPERLINK("https://homd.org/jbrowse/?data=homd_V11.02_phage_1.2%2FGCA_025147485.1&amp;loc=GCA_025147485.1%7CCP102263.1%3A2709390..2716826&amp;tracks=prokka,prokka_ncrna,ncbi,ncbi_ncrna,panggolin,cenote,genomad&amp;highlight=","Open JBrowse")</f>
        <v>Open JBrowse</v>
      </c>
      <c r="H408">
        <v>2712390</v>
      </c>
      <c r="I408">
        <v>2713826</v>
      </c>
      <c r="J408" t="s">
        <v>4738</v>
      </c>
      <c r="K408" t="s">
        <v>109</v>
      </c>
      <c r="L408" t="s">
        <v>3120</v>
      </c>
      <c r="M408" t="s">
        <v>3121</v>
      </c>
      <c r="N408" t="s">
        <v>42</v>
      </c>
      <c r="O408">
        <v>3</v>
      </c>
      <c r="P408" t="s">
        <v>42</v>
      </c>
      <c r="Q408" t="s">
        <v>101</v>
      </c>
      <c r="R408" t="s">
        <v>4739</v>
      </c>
      <c r="S408" t="s">
        <v>3120</v>
      </c>
      <c r="T408" t="s">
        <v>42</v>
      </c>
      <c r="U408">
        <v>240</v>
      </c>
      <c r="V408">
        <v>475</v>
      </c>
      <c r="W408">
        <v>236</v>
      </c>
      <c r="X408" t="s">
        <v>248</v>
      </c>
      <c r="Y408" t="s">
        <v>4740</v>
      </c>
      <c r="Z408" t="s">
        <v>2694</v>
      </c>
      <c r="AA408" t="s">
        <v>4741</v>
      </c>
      <c r="AB408" t="s">
        <v>4742</v>
      </c>
      <c r="AC408" t="s">
        <v>2257</v>
      </c>
      <c r="AD408" t="s">
        <v>51</v>
      </c>
      <c r="AE408">
        <v>13618</v>
      </c>
      <c r="AF408" t="s">
        <v>4743</v>
      </c>
      <c r="AG408" t="s">
        <v>101</v>
      </c>
      <c r="AH408">
        <v>2</v>
      </c>
    </row>
    <row r="409" spans="1:34" x14ac:dyDescent="0.75">
      <c r="A409" s="22" t="s">
        <v>6047</v>
      </c>
      <c r="B409" t="s">
        <v>4736</v>
      </c>
      <c r="C409" t="s">
        <v>34</v>
      </c>
      <c r="D409" t="s">
        <v>2238</v>
      </c>
      <c r="E409" t="s">
        <v>2239</v>
      </c>
      <c r="F409" t="s">
        <v>4737</v>
      </c>
      <c r="G409" s="1" t="str">
        <f>HYPERLINK("https://homd.org/jbrowse/?data=homd_V11.02_phage_1.2%2FGCA_025147485.1&amp;loc=GCA_025147485.1%7CCP102263.1%3A2777049..2783891&amp;tracks=prokka,prokka_ncrna,ncbi,ncbi_ncrna,panggolin,cenote,genomad&amp;highlight=","Open JBrowse")</f>
        <v>Open JBrowse</v>
      </c>
      <c r="H409">
        <v>2780049</v>
      </c>
      <c r="I409">
        <v>2780891</v>
      </c>
      <c r="J409" t="s">
        <v>4744</v>
      </c>
      <c r="K409" t="s">
        <v>59</v>
      </c>
      <c r="L409" t="s">
        <v>59</v>
      </c>
      <c r="M409" t="s">
        <v>59</v>
      </c>
      <c r="N409" t="s">
        <v>42</v>
      </c>
      <c r="O409">
        <v>1</v>
      </c>
      <c r="P409" t="s">
        <v>59</v>
      </c>
      <c r="Q409" t="s">
        <v>59</v>
      </c>
      <c r="R409" t="s">
        <v>4739</v>
      </c>
      <c r="T409" t="s">
        <v>42</v>
      </c>
      <c r="X409" t="s">
        <v>59</v>
      </c>
    </row>
    <row r="410" spans="1:34" x14ac:dyDescent="0.75">
      <c r="A410" s="22" t="s">
        <v>6047</v>
      </c>
      <c r="B410" t="s">
        <v>4745</v>
      </c>
      <c r="C410" t="s">
        <v>34</v>
      </c>
      <c r="D410" t="s">
        <v>2146</v>
      </c>
      <c r="E410" t="s">
        <v>2147</v>
      </c>
      <c r="F410" t="s">
        <v>4746</v>
      </c>
      <c r="G410" s="1" t="str">
        <f>HYPERLINK("https://homd.org/jbrowse/?data=homd_V11.02_phage_1.2%2FGCA_025151215.1&amp;loc=GCA_025151215.1%7CCP102286.1%3A4141187..4147975&amp;tracks=prokka,prokka_ncrna,ncbi,ncbi_ncrna,panggolin,cenote,genomad&amp;highlight=","Open JBrowse")</f>
        <v>Open JBrowse</v>
      </c>
      <c r="H410">
        <v>4144187</v>
      </c>
      <c r="I410">
        <v>4144975</v>
      </c>
      <c r="J410" t="s">
        <v>4747</v>
      </c>
      <c r="K410" t="s">
        <v>59</v>
      </c>
      <c r="L410" t="s">
        <v>2150</v>
      </c>
      <c r="M410" t="s">
        <v>2151</v>
      </c>
      <c r="N410" t="s">
        <v>42</v>
      </c>
      <c r="O410">
        <v>3</v>
      </c>
      <c r="P410" t="s">
        <v>42</v>
      </c>
      <c r="Q410" t="s">
        <v>59</v>
      </c>
      <c r="R410" t="s">
        <v>4748</v>
      </c>
      <c r="S410" t="s">
        <v>2150</v>
      </c>
      <c r="T410" t="s">
        <v>42</v>
      </c>
      <c r="U410">
        <v>31</v>
      </c>
      <c r="V410">
        <v>258</v>
      </c>
      <c r="W410">
        <v>228</v>
      </c>
      <c r="X410" t="s">
        <v>1251</v>
      </c>
      <c r="Y410" t="s">
        <v>4749</v>
      </c>
      <c r="Z410" t="s">
        <v>4750</v>
      </c>
      <c r="AA410" t="s">
        <v>4010</v>
      </c>
      <c r="AB410" t="s">
        <v>4751</v>
      </c>
      <c r="AC410" t="s">
        <v>4012</v>
      </c>
      <c r="AD410" t="s">
        <v>1981</v>
      </c>
      <c r="AE410">
        <v>1635</v>
      </c>
      <c r="AF410" t="s">
        <v>4013</v>
      </c>
    </row>
    <row r="411" spans="1:34" x14ac:dyDescent="0.75">
      <c r="A411" s="22" t="s">
        <v>6047</v>
      </c>
      <c r="B411" t="s">
        <v>4814</v>
      </c>
      <c r="C411" t="s">
        <v>34</v>
      </c>
      <c r="D411" t="s">
        <v>863</v>
      </c>
      <c r="E411" t="s">
        <v>864</v>
      </c>
      <c r="F411" t="s">
        <v>4815</v>
      </c>
      <c r="G411" s="1" t="str">
        <f>HYPERLINK("https://homd.org/jbrowse/?data=homd_V11.02_phage_1.2%2FGCA_027662465.1&amp;loc=GCA_027662465.1%7CJAQDJQ010000003.1%3A37520..44311&amp;tracks=prokka,prokka_ncrna,ncbi,ncbi_ncrna,panggolin,cenote,genomad&amp;highlight=","Open JBrowse")</f>
        <v>Open JBrowse</v>
      </c>
      <c r="H411">
        <v>40520</v>
      </c>
      <c r="I411">
        <v>41311</v>
      </c>
      <c r="J411" t="s">
        <v>4816</v>
      </c>
      <c r="K411" t="s">
        <v>39</v>
      </c>
      <c r="L411" t="s">
        <v>40</v>
      </c>
      <c r="M411" t="s">
        <v>867</v>
      </c>
      <c r="N411" t="s">
        <v>42</v>
      </c>
      <c r="O411">
        <v>3</v>
      </c>
      <c r="P411" t="s">
        <v>42</v>
      </c>
      <c r="Q411" t="s">
        <v>43</v>
      </c>
      <c r="R411" t="s">
        <v>4817</v>
      </c>
      <c r="S411" t="s">
        <v>40</v>
      </c>
      <c r="T411" t="s">
        <v>42</v>
      </c>
      <c r="U411">
        <v>34</v>
      </c>
      <c r="V411">
        <v>260</v>
      </c>
      <c r="W411">
        <v>227</v>
      </c>
      <c r="X411" t="s">
        <v>45</v>
      </c>
      <c r="Y411" t="s">
        <v>4818</v>
      </c>
      <c r="Z411" t="s">
        <v>132</v>
      </c>
      <c r="AA411" t="s">
        <v>871</v>
      </c>
    </row>
    <row r="412" spans="1:34" x14ac:dyDescent="0.75">
      <c r="A412" s="22" t="s">
        <v>6047</v>
      </c>
      <c r="B412" t="s">
        <v>4838</v>
      </c>
      <c r="C412" t="s">
        <v>34</v>
      </c>
      <c r="D412" t="s">
        <v>863</v>
      </c>
      <c r="E412" t="s">
        <v>864</v>
      </c>
      <c r="F412" t="s">
        <v>4839</v>
      </c>
      <c r="G412" s="1" t="str">
        <f>HYPERLINK("https://homd.org/jbrowse/?data=homd_V11.02_phage_1.2%2FGCA_027683955.1&amp;loc=GCA_027683955.1%7CJAQCWT010000005.1%3A162103..168894&amp;tracks=prokka,prokka_ncrna,ncbi,ncbi_ncrna,panggolin,cenote,genomad&amp;highlight=","Open JBrowse")</f>
        <v>Open JBrowse</v>
      </c>
      <c r="H412">
        <v>165103</v>
      </c>
      <c r="I412">
        <v>165894</v>
      </c>
      <c r="J412" t="s">
        <v>4840</v>
      </c>
      <c r="K412" t="s">
        <v>39</v>
      </c>
      <c r="L412" t="s">
        <v>40</v>
      </c>
      <c r="M412" t="s">
        <v>867</v>
      </c>
      <c r="N412" t="s">
        <v>42</v>
      </c>
      <c r="O412">
        <v>3</v>
      </c>
      <c r="P412" t="s">
        <v>42</v>
      </c>
      <c r="Q412" t="s">
        <v>43</v>
      </c>
      <c r="R412" t="s">
        <v>4841</v>
      </c>
      <c r="S412" t="s">
        <v>40</v>
      </c>
      <c r="T412" t="s">
        <v>42</v>
      </c>
      <c r="U412">
        <v>34</v>
      </c>
      <c r="V412">
        <v>260</v>
      </c>
      <c r="W412">
        <v>227</v>
      </c>
      <c r="X412" t="s">
        <v>45</v>
      </c>
      <c r="Y412" t="s">
        <v>4842</v>
      </c>
      <c r="Z412" t="s">
        <v>530</v>
      </c>
      <c r="AA412" t="s">
        <v>913</v>
      </c>
    </row>
    <row r="413" spans="1:34" x14ac:dyDescent="0.75">
      <c r="A413" s="22" t="s">
        <v>6047</v>
      </c>
      <c r="B413" t="s">
        <v>4843</v>
      </c>
      <c r="C413" t="s">
        <v>34</v>
      </c>
      <c r="D413" t="s">
        <v>436</v>
      </c>
      <c r="E413" t="s">
        <v>437</v>
      </c>
      <c r="F413" t="s">
        <v>4844</v>
      </c>
      <c r="G413" s="1" t="str">
        <f>HYPERLINK("https://homd.org/jbrowse/?data=homd_V11.02_phage_1.2%2FGCA_027686135.1&amp;loc=GCA_027686135.1%7CJAQCTE010000008.1%3A19017..25826&amp;tracks=prokka,prokka_ncrna,ncbi,ncbi_ncrna,panggolin,cenote,genomad&amp;highlight=","Open JBrowse")</f>
        <v>Open JBrowse</v>
      </c>
      <c r="H413">
        <v>22017</v>
      </c>
      <c r="I413">
        <v>22826</v>
      </c>
      <c r="J413" t="s">
        <v>4845</v>
      </c>
      <c r="K413" t="s">
        <v>77</v>
      </c>
      <c r="L413" t="s">
        <v>2133</v>
      </c>
      <c r="M413" t="s">
        <v>2134</v>
      </c>
      <c r="N413" t="s">
        <v>398</v>
      </c>
      <c r="O413">
        <v>3</v>
      </c>
      <c r="P413" t="s">
        <v>42</v>
      </c>
      <c r="Q413" t="s">
        <v>43</v>
      </c>
      <c r="R413" t="s">
        <v>4846</v>
      </c>
      <c r="S413" t="s">
        <v>2133</v>
      </c>
      <c r="T413" t="s">
        <v>42</v>
      </c>
      <c r="U413">
        <v>35</v>
      </c>
      <c r="V413">
        <v>266</v>
      </c>
      <c r="W413">
        <v>232</v>
      </c>
      <c r="X413" t="s">
        <v>1765</v>
      </c>
      <c r="Y413" t="s">
        <v>4847</v>
      </c>
      <c r="Z413" t="s">
        <v>90</v>
      </c>
      <c r="AA413" t="s">
        <v>2137</v>
      </c>
      <c r="AB413" t="s">
        <v>4848</v>
      </c>
      <c r="AC413" t="s">
        <v>589</v>
      </c>
      <c r="AD413" t="s">
        <v>101</v>
      </c>
      <c r="AE413">
        <v>611.5</v>
      </c>
      <c r="AF413" t="s">
        <v>102</v>
      </c>
    </row>
    <row r="414" spans="1:34" x14ac:dyDescent="0.75">
      <c r="A414" s="22" t="s">
        <v>6047</v>
      </c>
      <c r="B414" t="s">
        <v>4843</v>
      </c>
      <c r="C414" t="s">
        <v>34</v>
      </c>
      <c r="D414" t="s">
        <v>436</v>
      </c>
      <c r="E414" t="s">
        <v>437</v>
      </c>
      <c r="F414" t="s">
        <v>4849</v>
      </c>
      <c r="G414" s="1" t="str">
        <f>HYPERLINK("https://homd.org/jbrowse/?data=homd_V11.02_phage_1.2%2FGCA_027686135.1&amp;loc=GCA_027686135.1%7CJAQCTE010000015.1%3A39156..46589&amp;tracks=prokka,prokka_ncrna,ncbi,ncbi_ncrna,panggolin,cenote,genomad&amp;highlight=","Open JBrowse")</f>
        <v>Open JBrowse</v>
      </c>
      <c r="H414">
        <v>42156</v>
      </c>
      <c r="I414">
        <v>43589</v>
      </c>
      <c r="J414" t="s">
        <v>4850</v>
      </c>
      <c r="K414" t="s">
        <v>59</v>
      </c>
      <c r="L414" t="s">
        <v>2166</v>
      </c>
      <c r="M414" t="s">
        <v>2167</v>
      </c>
      <c r="N414" t="s">
        <v>42</v>
      </c>
      <c r="O414">
        <v>3</v>
      </c>
      <c r="P414" t="s">
        <v>42</v>
      </c>
      <c r="Q414" t="s">
        <v>59</v>
      </c>
      <c r="R414" t="s">
        <v>4846</v>
      </c>
      <c r="S414" t="s">
        <v>2166</v>
      </c>
      <c r="T414" t="s">
        <v>42</v>
      </c>
      <c r="U414">
        <v>212</v>
      </c>
      <c r="V414">
        <v>473</v>
      </c>
      <c r="W414">
        <v>262</v>
      </c>
      <c r="X414" t="s">
        <v>1752</v>
      </c>
      <c r="Y414" t="s">
        <v>4851</v>
      </c>
      <c r="Z414" t="s">
        <v>892</v>
      </c>
      <c r="AA414" t="s">
        <v>4852</v>
      </c>
      <c r="AB414" t="s">
        <v>4853</v>
      </c>
      <c r="AC414" t="s">
        <v>4854</v>
      </c>
      <c r="AD414" t="s">
        <v>638</v>
      </c>
      <c r="AE414">
        <v>7997</v>
      </c>
      <c r="AF414" t="s">
        <v>4855</v>
      </c>
    </row>
    <row r="415" spans="1:34" x14ac:dyDescent="0.75">
      <c r="A415" s="22" t="s">
        <v>6047</v>
      </c>
      <c r="B415" t="s">
        <v>4843</v>
      </c>
      <c r="C415" t="s">
        <v>34</v>
      </c>
      <c r="D415" t="s">
        <v>436</v>
      </c>
      <c r="E415" t="s">
        <v>437</v>
      </c>
      <c r="F415" t="s">
        <v>4849</v>
      </c>
      <c r="G415" s="1" t="str">
        <f>HYPERLINK("https://homd.org/jbrowse/?data=homd_V11.02_phage_1.2%2FGCA_027686135.1&amp;loc=GCA_027686135.1%7CJAQCTE010000015.1%3A40625..47509&amp;tracks=prokka,prokka_ncrna,ncbi,ncbi_ncrna,panggolin,cenote,genomad&amp;highlight=","Open JBrowse")</f>
        <v>Open JBrowse</v>
      </c>
      <c r="H415">
        <v>43625</v>
      </c>
      <c r="I415">
        <v>44509</v>
      </c>
      <c r="J415" t="s">
        <v>4856</v>
      </c>
      <c r="K415" t="s">
        <v>59</v>
      </c>
      <c r="L415" t="s">
        <v>2174</v>
      </c>
      <c r="M415" t="s">
        <v>2175</v>
      </c>
      <c r="N415" t="s">
        <v>42</v>
      </c>
      <c r="O415">
        <v>3</v>
      </c>
      <c r="P415" t="s">
        <v>42</v>
      </c>
      <c r="Q415" t="s">
        <v>59</v>
      </c>
      <c r="R415" t="s">
        <v>4846</v>
      </c>
      <c r="S415" t="s">
        <v>2174</v>
      </c>
      <c r="T415" t="s">
        <v>42</v>
      </c>
      <c r="U415">
        <v>42</v>
      </c>
      <c r="V415">
        <v>292</v>
      </c>
      <c r="W415">
        <v>251</v>
      </c>
      <c r="X415" t="s">
        <v>1484</v>
      </c>
      <c r="Y415" t="s">
        <v>4851</v>
      </c>
      <c r="Z415" t="s">
        <v>892</v>
      </c>
      <c r="AA415" t="s">
        <v>4852</v>
      </c>
      <c r="AB415" t="s">
        <v>4853</v>
      </c>
      <c r="AC415" t="s">
        <v>4854</v>
      </c>
      <c r="AD415" t="s">
        <v>638</v>
      </c>
      <c r="AE415">
        <v>7997</v>
      </c>
      <c r="AF415" t="s">
        <v>4855</v>
      </c>
    </row>
    <row r="416" spans="1:34" x14ac:dyDescent="0.75">
      <c r="A416" s="22" t="s">
        <v>6047</v>
      </c>
      <c r="B416" t="s">
        <v>4857</v>
      </c>
      <c r="C416" t="s">
        <v>34</v>
      </c>
      <c r="D416" t="s">
        <v>167</v>
      </c>
      <c r="E416" t="s">
        <v>168</v>
      </c>
      <c r="F416" t="s">
        <v>4858</v>
      </c>
      <c r="G416" s="1" t="str">
        <f>HYPERLINK("https://homd.org/jbrowse/?data=homd_V11.02_phage_1.2%2FGCA_027686445.1&amp;loc=GCA_027686445.1%7CJAQCSR010000002.1%3A145903..153852&amp;tracks=prokka,prokka_ncrna,ncbi,ncbi_ncrna,panggolin,cenote,genomad&amp;highlight=","Open JBrowse")</f>
        <v>Open JBrowse</v>
      </c>
      <c r="H416">
        <v>148903</v>
      </c>
      <c r="I416">
        <v>150852</v>
      </c>
      <c r="J416" t="s">
        <v>4859</v>
      </c>
      <c r="K416" t="s">
        <v>59</v>
      </c>
      <c r="L416" t="s">
        <v>2115</v>
      </c>
      <c r="M416" t="s">
        <v>59</v>
      </c>
      <c r="N416" t="s">
        <v>59</v>
      </c>
      <c r="O416">
        <v>1</v>
      </c>
      <c r="P416" t="s">
        <v>59</v>
      </c>
      <c r="Q416" t="s">
        <v>59</v>
      </c>
      <c r="R416" t="s">
        <v>4860</v>
      </c>
      <c r="S416" t="s">
        <v>2115</v>
      </c>
      <c r="T416" t="s">
        <v>42</v>
      </c>
      <c r="U416">
        <v>355</v>
      </c>
      <c r="V416">
        <v>630</v>
      </c>
      <c r="W416">
        <v>276</v>
      </c>
      <c r="X416" t="s">
        <v>59</v>
      </c>
    </row>
    <row r="417" spans="1:34" x14ac:dyDescent="0.75">
      <c r="A417" s="22" t="s">
        <v>6047</v>
      </c>
      <c r="B417" t="s">
        <v>4857</v>
      </c>
      <c r="C417" t="s">
        <v>34</v>
      </c>
      <c r="D417" t="s">
        <v>167</v>
      </c>
      <c r="E417" t="s">
        <v>168</v>
      </c>
      <c r="F417" t="s">
        <v>4858</v>
      </c>
      <c r="G417" s="1" t="str">
        <f>HYPERLINK("https://homd.org/jbrowse/?data=homd_V11.02_phage_1.2%2FGCA_027686445.1&amp;loc=GCA_027686445.1%7CJAQCSR010000002.1%3A156454..165234&amp;tracks=prokka,prokka_ncrna,ncbi,ncbi_ncrna,panggolin,cenote,genomad&amp;highlight=","Open JBrowse")</f>
        <v>Open JBrowse</v>
      </c>
      <c r="H417">
        <v>159454</v>
      </c>
      <c r="I417">
        <v>162234</v>
      </c>
      <c r="J417" t="s">
        <v>4861</v>
      </c>
      <c r="K417" t="s">
        <v>171</v>
      </c>
      <c r="L417" t="s">
        <v>189</v>
      </c>
      <c r="M417" t="s">
        <v>190</v>
      </c>
      <c r="N417" t="s">
        <v>174</v>
      </c>
      <c r="O417">
        <v>3</v>
      </c>
      <c r="P417" t="s">
        <v>175</v>
      </c>
      <c r="Q417" t="s">
        <v>43</v>
      </c>
      <c r="R417" t="s">
        <v>4860</v>
      </c>
      <c r="S417" t="s">
        <v>191</v>
      </c>
      <c r="T417" t="s">
        <v>42</v>
      </c>
      <c r="U417">
        <v>692</v>
      </c>
      <c r="V417">
        <v>910</v>
      </c>
      <c r="W417">
        <v>219</v>
      </c>
      <c r="X417" t="s">
        <v>178</v>
      </c>
      <c r="Y417" t="s">
        <v>4862</v>
      </c>
      <c r="Z417" t="s">
        <v>90</v>
      </c>
      <c r="AA417" t="s">
        <v>194</v>
      </c>
      <c r="AB417" t="s">
        <v>4863</v>
      </c>
      <c r="AC417" t="s">
        <v>182</v>
      </c>
      <c r="AD417" t="s">
        <v>183</v>
      </c>
      <c r="AE417">
        <v>3674.6</v>
      </c>
      <c r="AF417" t="s">
        <v>196</v>
      </c>
    </row>
    <row r="418" spans="1:34" x14ac:dyDescent="0.75">
      <c r="A418" s="22" t="s">
        <v>6047</v>
      </c>
      <c r="B418" t="s">
        <v>4857</v>
      </c>
      <c r="C418" t="s">
        <v>34</v>
      </c>
      <c r="D418" t="s">
        <v>167</v>
      </c>
      <c r="E418" t="s">
        <v>168</v>
      </c>
      <c r="F418" t="s">
        <v>4864</v>
      </c>
      <c r="G418" s="1" t="str">
        <f>HYPERLINK("https://homd.org/jbrowse/?data=homd_V11.02_phage_1.2%2FGCA_027686445.1&amp;loc=GCA_027686445.1%7CJAQCSR010000012.1%3A120961..127812&amp;tracks=prokka,prokka_ncrna,ncbi,ncbi_ncrna,panggolin,cenote,genomad&amp;highlight=","Open JBrowse")</f>
        <v>Open JBrowse</v>
      </c>
      <c r="H418">
        <v>123961</v>
      </c>
      <c r="I418">
        <v>124812</v>
      </c>
      <c r="J418" t="s">
        <v>4865</v>
      </c>
      <c r="K418" t="s">
        <v>59</v>
      </c>
      <c r="L418" t="s">
        <v>59</v>
      </c>
      <c r="M418" t="s">
        <v>59</v>
      </c>
      <c r="N418" t="s">
        <v>42</v>
      </c>
      <c r="O418">
        <v>1</v>
      </c>
      <c r="P418" t="s">
        <v>59</v>
      </c>
      <c r="Q418" t="s">
        <v>59</v>
      </c>
      <c r="R418" t="s">
        <v>4860</v>
      </c>
      <c r="T418" t="s">
        <v>42</v>
      </c>
      <c r="X418" t="s">
        <v>59</v>
      </c>
    </row>
    <row r="419" spans="1:34" x14ac:dyDescent="0.75">
      <c r="A419" s="22" t="s">
        <v>6047</v>
      </c>
      <c r="B419" t="s">
        <v>4866</v>
      </c>
      <c r="C419" t="s">
        <v>34</v>
      </c>
      <c r="D419" t="s">
        <v>436</v>
      </c>
      <c r="E419" t="s">
        <v>437</v>
      </c>
      <c r="F419" t="s">
        <v>4867</v>
      </c>
      <c r="G419" s="1" t="str">
        <f>HYPERLINK("https://homd.org/jbrowse/?data=homd_V11.02_phage_1.2%2FGCA_027686485.1&amp;loc=GCA_027686485.1%7CJAQCSP010000007.1%3A19193..26002&amp;tracks=prokka,prokka_ncrna,ncbi,ncbi_ncrna,panggolin,cenote,genomad&amp;highlight=","Open JBrowse")</f>
        <v>Open JBrowse</v>
      </c>
      <c r="H419">
        <v>22193</v>
      </c>
      <c r="I419">
        <v>23002</v>
      </c>
      <c r="J419" t="s">
        <v>4868</v>
      </c>
      <c r="K419" t="s">
        <v>77</v>
      </c>
      <c r="L419" t="s">
        <v>2133</v>
      </c>
      <c r="M419" t="s">
        <v>2134</v>
      </c>
      <c r="N419" t="s">
        <v>398</v>
      </c>
      <c r="O419">
        <v>3</v>
      </c>
      <c r="P419" t="s">
        <v>42</v>
      </c>
      <c r="Q419" t="s">
        <v>43</v>
      </c>
      <c r="R419" t="s">
        <v>4869</v>
      </c>
      <c r="S419" t="s">
        <v>2133</v>
      </c>
      <c r="T419" t="s">
        <v>42</v>
      </c>
      <c r="U419">
        <v>35</v>
      </c>
      <c r="V419">
        <v>266</v>
      </c>
      <c r="W419">
        <v>232</v>
      </c>
      <c r="X419" t="s">
        <v>1765</v>
      </c>
      <c r="Y419" t="s">
        <v>4870</v>
      </c>
      <c r="Z419" t="s">
        <v>292</v>
      </c>
      <c r="AA419" t="s">
        <v>2137</v>
      </c>
      <c r="AB419" t="s">
        <v>4871</v>
      </c>
      <c r="AC419" t="s">
        <v>589</v>
      </c>
      <c r="AD419" t="s">
        <v>101</v>
      </c>
      <c r="AE419">
        <v>611.5</v>
      </c>
      <c r="AF419" t="s">
        <v>102</v>
      </c>
    </row>
    <row r="420" spans="1:34" x14ac:dyDescent="0.75">
      <c r="A420" s="22" t="s">
        <v>6047</v>
      </c>
      <c r="B420" t="s">
        <v>4866</v>
      </c>
      <c r="C420" t="s">
        <v>34</v>
      </c>
      <c r="D420" t="s">
        <v>436</v>
      </c>
      <c r="E420" t="s">
        <v>437</v>
      </c>
      <c r="F420" t="s">
        <v>4872</v>
      </c>
      <c r="G420" s="1" t="str">
        <f>HYPERLINK("https://homd.org/jbrowse/?data=homd_V11.02_phage_1.2%2FGCA_027686485.1&amp;loc=GCA_027686485.1%7CJAQCSP010000015.1%3A30949..37833&amp;tracks=prokka,prokka_ncrna,ncbi,ncbi_ncrna,panggolin,cenote,genomad&amp;highlight=","Open JBrowse")</f>
        <v>Open JBrowse</v>
      </c>
      <c r="H420">
        <v>33949</v>
      </c>
      <c r="I420">
        <v>34833</v>
      </c>
      <c r="J420" t="s">
        <v>4873</v>
      </c>
      <c r="K420" t="s">
        <v>59</v>
      </c>
      <c r="L420" t="s">
        <v>2174</v>
      </c>
      <c r="M420" t="s">
        <v>2175</v>
      </c>
      <c r="N420" t="s">
        <v>42</v>
      </c>
      <c r="O420">
        <v>3</v>
      </c>
      <c r="P420" t="s">
        <v>42</v>
      </c>
      <c r="Q420" t="s">
        <v>59</v>
      </c>
      <c r="R420" t="s">
        <v>4869</v>
      </c>
      <c r="S420" t="s">
        <v>2174</v>
      </c>
      <c r="T420" t="s">
        <v>42</v>
      </c>
      <c r="U420">
        <v>42</v>
      </c>
      <c r="V420">
        <v>292</v>
      </c>
      <c r="W420">
        <v>251</v>
      </c>
      <c r="X420" t="s">
        <v>1484</v>
      </c>
      <c r="Y420" t="s">
        <v>4874</v>
      </c>
      <c r="Z420" t="s">
        <v>97</v>
      </c>
      <c r="AA420" t="s">
        <v>4875</v>
      </c>
      <c r="AB420" t="s">
        <v>4876</v>
      </c>
      <c r="AC420" t="s">
        <v>4854</v>
      </c>
      <c r="AD420" t="s">
        <v>638</v>
      </c>
      <c r="AE420">
        <v>7997</v>
      </c>
      <c r="AF420" t="s">
        <v>4877</v>
      </c>
    </row>
    <row r="421" spans="1:34" x14ac:dyDescent="0.75">
      <c r="A421" s="22" t="s">
        <v>6047</v>
      </c>
      <c r="B421" t="s">
        <v>4866</v>
      </c>
      <c r="C421" t="s">
        <v>34</v>
      </c>
      <c r="D421" t="s">
        <v>436</v>
      </c>
      <c r="E421" t="s">
        <v>437</v>
      </c>
      <c r="F421" t="s">
        <v>4872</v>
      </c>
      <c r="G421" s="1" t="str">
        <f>HYPERLINK("https://homd.org/jbrowse/?data=homd_V11.02_phage_1.2%2FGCA_027686485.1&amp;loc=GCA_027686485.1%7CJAQCSP010000015.1%3A31869..39302&amp;tracks=prokka,prokka_ncrna,ncbi,ncbi_ncrna,panggolin,cenote,genomad&amp;highlight=","Open JBrowse")</f>
        <v>Open JBrowse</v>
      </c>
      <c r="H421">
        <v>34869</v>
      </c>
      <c r="I421">
        <v>36302</v>
      </c>
      <c r="J421" t="s">
        <v>4878</v>
      </c>
      <c r="K421" t="s">
        <v>59</v>
      </c>
      <c r="L421" t="s">
        <v>2166</v>
      </c>
      <c r="M421" t="s">
        <v>2167</v>
      </c>
      <c r="N421" t="s">
        <v>42</v>
      </c>
      <c r="O421">
        <v>3</v>
      </c>
      <c r="P421" t="s">
        <v>42</v>
      </c>
      <c r="Q421" t="s">
        <v>59</v>
      </c>
      <c r="R421" t="s">
        <v>4869</v>
      </c>
      <c r="S421" t="s">
        <v>2166</v>
      </c>
      <c r="T421" t="s">
        <v>42</v>
      </c>
      <c r="U421">
        <v>212</v>
      </c>
      <c r="V421">
        <v>473</v>
      </c>
      <c r="W421">
        <v>262</v>
      </c>
      <c r="X421" t="s">
        <v>1752</v>
      </c>
      <c r="Y421" t="s">
        <v>4874</v>
      </c>
      <c r="Z421" t="s">
        <v>97</v>
      </c>
      <c r="AA421" t="s">
        <v>4875</v>
      </c>
      <c r="AB421" t="s">
        <v>4876</v>
      </c>
      <c r="AC421" t="s">
        <v>4854</v>
      </c>
      <c r="AD421" t="s">
        <v>638</v>
      </c>
      <c r="AE421">
        <v>7997</v>
      </c>
      <c r="AF421" t="s">
        <v>4877</v>
      </c>
    </row>
    <row r="422" spans="1:34" x14ac:dyDescent="0.75">
      <c r="A422" s="22" t="s">
        <v>6047</v>
      </c>
      <c r="B422" t="s">
        <v>4879</v>
      </c>
      <c r="C422" t="s">
        <v>34</v>
      </c>
      <c r="D422" t="s">
        <v>436</v>
      </c>
      <c r="E422" t="s">
        <v>437</v>
      </c>
      <c r="F422" t="s">
        <v>4880</v>
      </c>
      <c r="G422" s="1" t="str">
        <f>HYPERLINK("https://homd.org/jbrowse/?data=homd_V11.02_phage_1.2%2FGCA_027693505.1&amp;loc=GCA_027693505.1%7CJAQEYB010000005.1%3A77829..84638&amp;tracks=prokka,prokka_ncrna,ncbi,ncbi_ncrna,panggolin,cenote,genomad&amp;highlight=","Open JBrowse")</f>
        <v>Open JBrowse</v>
      </c>
      <c r="H422">
        <v>80829</v>
      </c>
      <c r="I422">
        <v>81638</v>
      </c>
      <c r="J422" t="s">
        <v>4881</v>
      </c>
      <c r="K422" t="s">
        <v>77</v>
      </c>
      <c r="L422" t="s">
        <v>2133</v>
      </c>
      <c r="M422" t="s">
        <v>2134</v>
      </c>
      <c r="N422" t="s">
        <v>398</v>
      </c>
      <c r="O422">
        <v>3</v>
      </c>
      <c r="P422" t="s">
        <v>42</v>
      </c>
      <c r="Q422" t="s">
        <v>43</v>
      </c>
      <c r="R422" t="s">
        <v>4882</v>
      </c>
      <c r="S422" t="s">
        <v>2133</v>
      </c>
      <c r="T422" t="s">
        <v>42</v>
      </c>
      <c r="U422">
        <v>35</v>
      </c>
      <c r="V422">
        <v>266</v>
      </c>
      <c r="W422">
        <v>232</v>
      </c>
      <c r="X422" t="s">
        <v>1765</v>
      </c>
      <c r="Y422" t="s">
        <v>4883</v>
      </c>
      <c r="Z422" t="s">
        <v>302</v>
      </c>
      <c r="AA422" t="s">
        <v>4884</v>
      </c>
      <c r="AB422" t="s">
        <v>4885</v>
      </c>
      <c r="AC422" t="s">
        <v>589</v>
      </c>
      <c r="AD422" t="s">
        <v>101</v>
      </c>
      <c r="AE422">
        <v>582.5</v>
      </c>
      <c r="AF422" t="s">
        <v>386</v>
      </c>
    </row>
    <row r="423" spans="1:34" x14ac:dyDescent="0.75">
      <c r="A423" s="22" t="s">
        <v>6047</v>
      </c>
      <c r="B423" t="s">
        <v>4914</v>
      </c>
      <c r="C423" t="s">
        <v>34</v>
      </c>
      <c r="D423" t="s">
        <v>2117</v>
      </c>
      <c r="E423" t="s">
        <v>2118</v>
      </c>
      <c r="F423" t="s">
        <v>4915</v>
      </c>
      <c r="G423" s="1" t="str">
        <f>HYPERLINK("https://homd.org/jbrowse/?data=homd_V11.02_phage_1.2%2FGCA_028322385.1&amp;loc=GCA_028322385.1%7CJAQLYA010000004.1%3A278494..285399&amp;tracks=prokka,prokka_ncrna,ncbi,ncbi_ncrna,panggolin,cenote,genomad&amp;highlight=","Open JBrowse")</f>
        <v>Open JBrowse</v>
      </c>
      <c r="H423">
        <v>281494</v>
      </c>
      <c r="I423">
        <v>282399</v>
      </c>
      <c r="J423" t="s">
        <v>4916</v>
      </c>
      <c r="K423" t="s">
        <v>59</v>
      </c>
      <c r="L423" t="s">
        <v>3089</v>
      </c>
      <c r="M423" t="s">
        <v>3090</v>
      </c>
      <c r="N423" t="s">
        <v>3091</v>
      </c>
      <c r="O423">
        <v>3</v>
      </c>
      <c r="P423" t="s">
        <v>42</v>
      </c>
      <c r="Q423" t="s">
        <v>59</v>
      </c>
      <c r="R423" t="s">
        <v>4917</v>
      </c>
      <c r="S423" t="s">
        <v>3089</v>
      </c>
      <c r="T423" t="s">
        <v>42</v>
      </c>
      <c r="U423">
        <v>37</v>
      </c>
      <c r="V423">
        <v>281</v>
      </c>
      <c r="W423">
        <v>245</v>
      </c>
      <c r="X423" t="s">
        <v>2124</v>
      </c>
      <c r="Y423" t="s">
        <v>4918</v>
      </c>
      <c r="Z423" t="s">
        <v>458</v>
      </c>
      <c r="AA423" t="s">
        <v>3094</v>
      </c>
      <c r="AB423" t="s">
        <v>4919</v>
      </c>
      <c r="AC423" t="s">
        <v>3096</v>
      </c>
      <c r="AD423" t="s">
        <v>3097</v>
      </c>
      <c r="AE423">
        <v>674.9</v>
      </c>
      <c r="AF423" t="s">
        <v>3098</v>
      </c>
    </row>
    <row r="424" spans="1:34" x14ac:dyDescent="0.75">
      <c r="A424" s="22" t="s">
        <v>6047</v>
      </c>
      <c r="B424" t="s">
        <v>4920</v>
      </c>
      <c r="C424" t="s">
        <v>34</v>
      </c>
      <c r="D424" t="s">
        <v>2117</v>
      </c>
      <c r="E424" t="s">
        <v>2118</v>
      </c>
      <c r="F424" t="s">
        <v>4921</v>
      </c>
      <c r="G424" s="1" t="str">
        <f>HYPERLINK("https://homd.org/jbrowse/?data=homd_V11.02_phage_1.2%2FGCA_028322445.1&amp;loc=GCA_028322445.1%7CJAQLYB010000004.1%3A278494..285399&amp;tracks=prokka,prokka_ncrna,ncbi,ncbi_ncrna,panggolin,cenote,genomad&amp;highlight=","Open JBrowse")</f>
        <v>Open JBrowse</v>
      </c>
      <c r="H424">
        <v>281494</v>
      </c>
      <c r="I424">
        <v>282399</v>
      </c>
      <c r="J424" t="s">
        <v>4922</v>
      </c>
      <c r="K424" t="s">
        <v>59</v>
      </c>
      <c r="L424" t="s">
        <v>3089</v>
      </c>
      <c r="M424" t="s">
        <v>3090</v>
      </c>
      <c r="N424" t="s">
        <v>3091</v>
      </c>
      <c r="O424">
        <v>3</v>
      </c>
      <c r="P424" t="s">
        <v>42</v>
      </c>
      <c r="Q424" t="s">
        <v>59</v>
      </c>
      <c r="R424" t="s">
        <v>4923</v>
      </c>
      <c r="S424" t="s">
        <v>3089</v>
      </c>
      <c r="T424" t="s">
        <v>42</v>
      </c>
      <c r="U424">
        <v>37</v>
      </c>
      <c r="V424">
        <v>281</v>
      </c>
      <c r="W424">
        <v>245</v>
      </c>
      <c r="X424" t="s">
        <v>2124</v>
      </c>
      <c r="Y424" t="s">
        <v>4924</v>
      </c>
      <c r="Z424" t="s">
        <v>381</v>
      </c>
      <c r="AA424" t="s">
        <v>3094</v>
      </c>
      <c r="AB424" t="s">
        <v>4925</v>
      </c>
      <c r="AC424" t="s">
        <v>3096</v>
      </c>
      <c r="AD424" t="s">
        <v>3097</v>
      </c>
      <c r="AE424">
        <v>674.9</v>
      </c>
      <c r="AF424" t="s">
        <v>3098</v>
      </c>
    </row>
    <row r="425" spans="1:34" x14ac:dyDescent="0.75">
      <c r="A425" s="22" t="s">
        <v>6047</v>
      </c>
      <c r="B425" t="s">
        <v>4926</v>
      </c>
      <c r="C425" t="s">
        <v>34</v>
      </c>
      <c r="D425" t="s">
        <v>167</v>
      </c>
      <c r="E425" t="s">
        <v>168</v>
      </c>
      <c r="F425" t="s">
        <v>4927</v>
      </c>
      <c r="G425" s="1" t="str">
        <f>HYPERLINK("https://homd.org/jbrowse/?data=homd_V11.02_phage_1.2%2FGCA_028399565.1&amp;loc=GCA_028399565.1%7CJAQNVY010000002.1%3A73115..79966&amp;tracks=prokka,prokka_ncrna,ncbi,ncbi_ncrna,panggolin,cenote,genomad&amp;highlight=","Open JBrowse")</f>
        <v>Open JBrowse</v>
      </c>
      <c r="H425">
        <v>76115</v>
      </c>
      <c r="I425">
        <v>76966</v>
      </c>
      <c r="J425" t="s">
        <v>4928</v>
      </c>
      <c r="K425" t="s">
        <v>59</v>
      </c>
      <c r="L425" t="s">
        <v>59</v>
      </c>
      <c r="M425" t="s">
        <v>59</v>
      </c>
      <c r="N425" t="s">
        <v>42</v>
      </c>
      <c r="O425">
        <v>1</v>
      </c>
      <c r="P425" t="s">
        <v>59</v>
      </c>
      <c r="Q425" t="s">
        <v>59</v>
      </c>
      <c r="R425" t="s">
        <v>4929</v>
      </c>
      <c r="T425" t="s">
        <v>42</v>
      </c>
      <c r="X425" t="s">
        <v>59</v>
      </c>
    </row>
    <row r="426" spans="1:34" x14ac:dyDescent="0.75">
      <c r="A426" s="22" t="s">
        <v>6047</v>
      </c>
      <c r="B426" t="s">
        <v>4926</v>
      </c>
      <c r="C426" t="s">
        <v>34</v>
      </c>
      <c r="D426" t="s">
        <v>167</v>
      </c>
      <c r="E426" t="s">
        <v>168</v>
      </c>
      <c r="F426" t="s">
        <v>4930</v>
      </c>
      <c r="G426" s="1" t="str">
        <f>HYPERLINK("https://homd.org/jbrowse/?data=homd_V11.02_phage_1.2%2FGCA_028399565.1&amp;loc=GCA_028399565.1%7CJAQNVY010000005.1%3A146909..155689&amp;tracks=prokka,prokka_ncrna,ncbi,ncbi_ncrna,panggolin,cenote,genomad&amp;highlight=","Open JBrowse")</f>
        <v>Open JBrowse</v>
      </c>
      <c r="H426">
        <v>149909</v>
      </c>
      <c r="I426">
        <v>152689</v>
      </c>
      <c r="J426" t="s">
        <v>4931</v>
      </c>
      <c r="K426" t="s">
        <v>171</v>
      </c>
      <c r="L426" t="s">
        <v>189</v>
      </c>
      <c r="M426" t="s">
        <v>190</v>
      </c>
      <c r="N426" t="s">
        <v>174</v>
      </c>
      <c r="O426">
        <v>3</v>
      </c>
      <c r="P426" t="s">
        <v>175</v>
      </c>
      <c r="Q426" t="s">
        <v>43</v>
      </c>
      <c r="R426" t="s">
        <v>4929</v>
      </c>
      <c r="S426" t="s">
        <v>191</v>
      </c>
      <c r="T426" t="s">
        <v>42</v>
      </c>
      <c r="U426">
        <v>692</v>
      </c>
      <c r="V426">
        <v>910</v>
      </c>
      <c r="W426">
        <v>219</v>
      </c>
      <c r="X426" t="s">
        <v>178</v>
      </c>
      <c r="Y426" t="s">
        <v>4932</v>
      </c>
      <c r="Z426" t="s">
        <v>530</v>
      </c>
      <c r="AA426" t="s">
        <v>194</v>
      </c>
      <c r="AB426" t="s">
        <v>4933</v>
      </c>
      <c r="AC426" t="s">
        <v>182</v>
      </c>
      <c r="AD426" t="s">
        <v>183</v>
      </c>
      <c r="AE426">
        <v>3677.6</v>
      </c>
      <c r="AF426" t="s">
        <v>196</v>
      </c>
    </row>
    <row r="427" spans="1:34" x14ac:dyDescent="0.75">
      <c r="A427" s="22" t="s">
        <v>6047</v>
      </c>
      <c r="B427" t="s">
        <v>4934</v>
      </c>
      <c r="C427" t="s">
        <v>34</v>
      </c>
      <c r="D427" t="s">
        <v>2352</v>
      </c>
      <c r="E427" t="s">
        <v>2353</v>
      </c>
      <c r="F427" t="s">
        <v>4935</v>
      </c>
      <c r="G427" s="1" t="str">
        <f>HYPERLINK("https://homd.org/jbrowse/?data=homd_V11.02_phage_1.2%2FGCA_029369765.1&amp;loc=GCA_029369765.1%7CCP120351.1%3A2819868..2826683&amp;tracks=prokka,prokka_ncrna,ncbi,ncbi_ncrna,panggolin,cenote,genomad&amp;highlight=","Open JBrowse")</f>
        <v>Open JBrowse</v>
      </c>
      <c r="H427">
        <v>2822868</v>
      </c>
      <c r="I427">
        <v>2823683</v>
      </c>
      <c r="J427" t="s">
        <v>4936</v>
      </c>
      <c r="K427" t="s">
        <v>996</v>
      </c>
      <c r="L427" t="s">
        <v>343</v>
      </c>
      <c r="M427" t="s">
        <v>4454</v>
      </c>
      <c r="N427" t="s">
        <v>42</v>
      </c>
      <c r="O427">
        <v>3</v>
      </c>
      <c r="P427" t="s">
        <v>42</v>
      </c>
      <c r="Q427" t="s">
        <v>101</v>
      </c>
      <c r="R427" t="s">
        <v>4937</v>
      </c>
      <c r="S427" t="s">
        <v>343</v>
      </c>
      <c r="T427" t="s">
        <v>42</v>
      </c>
      <c r="U427">
        <v>38</v>
      </c>
      <c r="V427">
        <v>270</v>
      </c>
      <c r="W427">
        <v>233</v>
      </c>
      <c r="X427" t="s">
        <v>999</v>
      </c>
      <c r="Y427" t="s">
        <v>4938</v>
      </c>
      <c r="Z427" t="s">
        <v>2299</v>
      </c>
      <c r="AA427" t="s">
        <v>4939</v>
      </c>
      <c r="AB427" t="s">
        <v>4940</v>
      </c>
      <c r="AC427" t="s">
        <v>1003</v>
      </c>
      <c r="AD427" t="s">
        <v>101</v>
      </c>
      <c r="AE427">
        <v>9166</v>
      </c>
      <c r="AF427" t="s">
        <v>4941</v>
      </c>
      <c r="AG427" t="s">
        <v>101</v>
      </c>
      <c r="AH427">
        <v>2</v>
      </c>
    </row>
    <row r="428" spans="1:34" x14ac:dyDescent="0.75">
      <c r="A428" s="22" t="s">
        <v>6047</v>
      </c>
      <c r="B428" t="s">
        <v>4934</v>
      </c>
      <c r="C428" t="s">
        <v>34</v>
      </c>
      <c r="D428" t="s">
        <v>2352</v>
      </c>
      <c r="E428" t="s">
        <v>2353</v>
      </c>
      <c r="F428" t="s">
        <v>4935</v>
      </c>
      <c r="G428" s="1" t="str">
        <f>HYPERLINK("https://homd.org/jbrowse/?data=homd_V11.02_phage_1.2%2FGCA_029369765.1&amp;loc=GCA_029369765.1%7CCP120351.1%3A4821705..4828544&amp;tracks=prokka,prokka_ncrna,ncbi,ncbi_ncrna,panggolin,cenote,genomad&amp;highlight=","Open JBrowse")</f>
        <v>Open JBrowse</v>
      </c>
      <c r="H428">
        <v>4824705</v>
      </c>
      <c r="I428">
        <v>4825544</v>
      </c>
      <c r="J428" t="s">
        <v>4942</v>
      </c>
      <c r="K428" t="s">
        <v>59</v>
      </c>
      <c r="L428" t="s">
        <v>59</v>
      </c>
      <c r="M428" t="s">
        <v>59</v>
      </c>
      <c r="N428" t="s">
        <v>42</v>
      </c>
      <c r="O428">
        <v>1</v>
      </c>
      <c r="P428" t="s">
        <v>59</v>
      </c>
      <c r="Q428" t="s">
        <v>59</v>
      </c>
      <c r="R428" t="s">
        <v>4937</v>
      </c>
      <c r="T428" t="s">
        <v>42</v>
      </c>
      <c r="X428" t="s">
        <v>59</v>
      </c>
    </row>
    <row r="429" spans="1:34" x14ac:dyDescent="0.75">
      <c r="A429" s="22" t="s">
        <v>6047</v>
      </c>
      <c r="B429" t="s">
        <v>4951</v>
      </c>
      <c r="C429" t="s">
        <v>34</v>
      </c>
      <c r="D429" t="s">
        <v>1604</v>
      </c>
      <c r="E429" t="s">
        <v>1605</v>
      </c>
      <c r="F429" t="s">
        <v>4952</v>
      </c>
      <c r="G429" s="1" t="str">
        <f>HYPERLINK("https://homd.org/jbrowse/?data=homd_V11.02_phage_1.2%2FGCA_030122685.1&amp;loc=GCA_030122685.1%7CCP126064.1%3A1052383..1058760&amp;tracks=prokka,prokka_ncrna,ncbi,ncbi_ncrna,panggolin,cenote,genomad&amp;highlight=","Open JBrowse")</f>
        <v>Open JBrowse</v>
      </c>
      <c r="H429">
        <v>1055383</v>
      </c>
      <c r="I429">
        <v>1055760</v>
      </c>
      <c r="J429" t="s">
        <v>4953</v>
      </c>
      <c r="K429" t="s">
        <v>39</v>
      </c>
      <c r="L429" t="s">
        <v>4954</v>
      </c>
      <c r="M429" t="s">
        <v>4955</v>
      </c>
      <c r="N429" t="s">
        <v>59</v>
      </c>
      <c r="O429">
        <v>2</v>
      </c>
      <c r="P429" t="s">
        <v>42</v>
      </c>
      <c r="Q429" t="s">
        <v>43</v>
      </c>
      <c r="R429" t="s">
        <v>4956</v>
      </c>
      <c r="S429" t="s">
        <v>4954</v>
      </c>
      <c r="T429" t="s">
        <v>42</v>
      </c>
      <c r="U429">
        <v>2</v>
      </c>
      <c r="V429">
        <v>122</v>
      </c>
      <c r="W429">
        <v>121</v>
      </c>
      <c r="X429" t="s">
        <v>45</v>
      </c>
      <c r="Y429" t="s">
        <v>4957</v>
      </c>
      <c r="Z429" t="s">
        <v>118</v>
      </c>
      <c r="AA429" t="s">
        <v>4958</v>
      </c>
      <c r="AB429" t="s">
        <v>4959</v>
      </c>
      <c r="AC429" t="s">
        <v>50</v>
      </c>
      <c r="AD429" t="s">
        <v>51</v>
      </c>
      <c r="AE429">
        <v>243.5</v>
      </c>
      <c r="AF429" t="s">
        <v>4960</v>
      </c>
      <c r="AG429" t="s">
        <v>185</v>
      </c>
      <c r="AH429">
        <v>2</v>
      </c>
    </row>
    <row r="430" spans="1:34" x14ac:dyDescent="0.75">
      <c r="A430" s="22" t="s">
        <v>6047</v>
      </c>
      <c r="B430" t="s">
        <v>4951</v>
      </c>
      <c r="C430" t="s">
        <v>34</v>
      </c>
      <c r="D430" t="s">
        <v>1604</v>
      </c>
      <c r="E430" t="s">
        <v>1605</v>
      </c>
      <c r="F430" t="s">
        <v>4952</v>
      </c>
      <c r="G430" s="1" t="str">
        <f>HYPERLINK("https://homd.org/jbrowse/?data=homd_V11.02_phage_1.2%2FGCA_030122685.1&amp;loc=GCA_030122685.1%7CCP126064.1%3A3255768..3262172&amp;tracks=prokka,prokka_ncrna,ncbi,ncbi_ncrna,panggolin,cenote,genomad&amp;highlight=","Open JBrowse")</f>
        <v>Open JBrowse</v>
      </c>
      <c r="H430">
        <v>3258768</v>
      </c>
      <c r="I430">
        <v>3259172</v>
      </c>
      <c r="J430" t="s">
        <v>4961</v>
      </c>
      <c r="K430" t="s">
        <v>59</v>
      </c>
      <c r="L430" t="s">
        <v>4962</v>
      </c>
      <c r="M430" t="s">
        <v>4963</v>
      </c>
      <c r="N430" t="s">
        <v>59</v>
      </c>
      <c r="O430">
        <v>2</v>
      </c>
      <c r="P430" t="s">
        <v>42</v>
      </c>
      <c r="Q430" t="s">
        <v>59</v>
      </c>
      <c r="R430" t="s">
        <v>4956</v>
      </c>
      <c r="S430" t="s">
        <v>4962</v>
      </c>
      <c r="T430" t="s">
        <v>42</v>
      </c>
      <c r="U430">
        <v>1</v>
      </c>
      <c r="V430">
        <v>131</v>
      </c>
      <c r="W430">
        <v>131</v>
      </c>
      <c r="X430" t="s">
        <v>1251</v>
      </c>
      <c r="Y430" t="s">
        <v>4964</v>
      </c>
      <c r="Z430" t="s">
        <v>429</v>
      </c>
      <c r="AA430" t="s">
        <v>4965</v>
      </c>
      <c r="AB430" t="s">
        <v>4966</v>
      </c>
      <c r="AC430" t="s">
        <v>50</v>
      </c>
      <c r="AD430" t="s">
        <v>51</v>
      </c>
      <c r="AE430">
        <v>5022</v>
      </c>
      <c r="AF430" t="s">
        <v>4967</v>
      </c>
      <c r="AG430" t="s">
        <v>51</v>
      </c>
      <c r="AH430">
        <v>5</v>
      </c>
    </row>
    <row r="431" spans="1:34" x14ac:dyDescent="0.75">
      <c r="A431" s="22" t="s">
        <v>6047</v>
      </c>
      <c r="B431" t="s">
        <v>5016</v>
      </c>
      <c r="C431" t="s">
        <v>34</v>
      </c>
      <c r="D431" t="s">
        <v>73</v>
      </c>
      <c r="E431" t="s">
        <v>74</v>
      </c>
      <c r="F431" t="s">
        <v>5017</v>
      </c>
      <c r="G431" s="1" t="str">
        <f>HYPERLINK("https://homd.org/jbrowse/?data=homd_V11.02_phage_1.2%2FGCA_030848285.1&amp;loc=GCA_030848285.1%7CCP114597.1%3A2636384..2643280&amp;tracks=prokka,prokka_ncrna,ncbi,ncbi_ncrna,panggolin,cenote,genomad&amp;highlight=","Open JBrowse")</f>
        <v>Open JBrowse</v>
      </c>
      <c r="H431">
        <v>2639384</v>
      </c>
      <c r="I431">
        <v>2640280</v>
      </c>
      <c r="J431" t="s">
        <v>5018</v>
      </c>
      <c r="K431" t="s">
        <v>77</v>
      </c>
      <c r="L431" t="s">
        <v>78</v>
      </c>
      <c r="M431" t="s">
        <v>79</v>
      </c>
      <c r="N431" t="s">
        <v>398</v>
      </c>
      <c r="O431">
        <v>3</v>
      </c>
      <c r="P431" t="s">
        <v>42</v>
      </c>
      <c r="Q431" t="s">
        <v>43</v>
      </c>
      <c r="R431" t="s">
        <v>5019</v>
      </c>
      <c r="S431" t="s">
        <v>78</v>
      </c>
      <c r="T431" t="s">
        <v>42</v>
      </c>
      <c r="U431">
        <v>17</v>
      </c>
      <c r="V431">
        <v>266</v>
      </c>
      <c r="W431">
        <v>250</v>
      </c>
      <c r="X431" t="s">
        <v>81</v>
      </c>
      <c r="Y431" t="s">
        <v>5020</v>
      </c>
      <c r="Z431" t="s">
        <v>1357</v>
      </c>
      <c r="AA431" t="s">
        <v>5021</v>
      </c>
    </row>
    <row r="432" spans="1:34" x14ac:dyDescent="0.75">
      <c r="A432" s="22" t="s">
        <v>6047</v>
      </c>
      <c r="B432" t="s">
        <v>5016</v>
      </c>
      <c r="C432" t="s">
        <v>34</v>
      </c>
      <c r="D432" t="s">
        <v>73</v>
      </c>
      <c r="E432" t="s">
        <v>74</v>
      </c>
      <c r="F432" t="s">
        <v>5017</v>
      </c>
      <c r="G432" s="1" t="str">
        <f>HYPERLINK("https://homd.org/jbrowse/?data=homd_V11.02_phage_1.2%2FGCA_030848285.1&amp;loc=GCA_030848285.1%7CCP114597.1%3A893749..900663&amp;tracks=prokka,prokka_ncrna,ncbi,ncbi_ncrna,panggolin,cenote,genomad&amp;highlight=","Open JBrowse")</f>
        <v>Open JBrowse</v>
      </c>
      <c r="H432">
        <v>896749</v>
      </c>
      <c r="I432">
        <v>897663</v>
      </c>
      <c r="J432" t="s">
        <v>5022</v>
      </c>
      <c r="K432" t="s">
        <v>77</v>
      </c>
      <c r="L432" t="s">
        <v>86</v>
      </c>
      <c r="M432" t="s">
        <v>87</v>
      </c>
      <c r="N432" t="s">
        <v>42</v>
      </c>
      <c r="O432">
        <v>3</v>
      </c>
      <c r="P432" t="s">
        <v>42</v>
      </c>
      <c r="Q432" t="s">
        <v>43</v>
      </c>
      <c r="R432" t="s">
        <v>5019</v>
      </c>
      <c r="S432" t="s">
        <v>86</v>
      </c>
      <c r="T432" t="s">
        <v>42</v>
      </c>
      <c r="U432">
        <v>36</v>
      </c>
      <c r="V432">
        <v>282</v>
      </c>
      <c r="W432">
        <v>247</v>
      </c>
      <c r="X432" t="s">
        <v>88</v>
      </c>
      <c r="Y432" t="s">
        <v>5023</v>
      </c>
      <c r="Z432" t="s">
        <v>281</v>
      </c>
      <c r="AA432" t="s">
        <v>91</v>
      </c>
    </row>
    <row r="433" spans="1:34" x14ac:dyDescent="0.75">
      <c r="A433" s="22" t="s">
        <v>6047</v>
      </c>
      <c r="B433" t="s">
        <v>5016</v>
      </c>
      <c r="C433" t="s">
        <v>34</v>
      </c>
      <c r="D433" t="s">
        <v>73</v>
      </c>
      <c r="E433" t="s">
        <v>74</v>
      </c>
      <c r="F433" t="s">
        <v>5017</v>
      </c>
      <c r="G433" s="1" t="str">
        <f>HYPERLINK("https://homd.org/jbrowse/?data=homd_V11.02_phage_1.2%2FGCA_030848285.1&amp;loc=GCA_030848285.1%7CCP114597.1%3A1088692..1095633&amp;tracks=prokka,prokka_ncrna,ncbi,ncbi_ncrna,panggolin,cenote,genomad&amp;highlight=","Open JBrowse")</f>
        <v>Open JBrowse</v>
      </c>
      <c r="H433">
        <v>1091692</v>
      </c>
      <c r="I433">
        <v>1092633</v>
      </c>
      <c r="J433" t="s">
        <v>5024</v>
      </c>
      <c r="K433" t="s">
        <v>77</v>
      </c>
      <c r="L433" t="s">
        <v>93</v>
      </c>
      <c r="M433" t="s">
        <v>94</v>
      </c>
      <c r="N433" t="s">
        <v>42</v>
      </c>
      <c r="O433">
        <v>3</v>
      </c>
      <c r="P433" t="s">
        <v>42</v>
      </c>
      <c r="Q433" t="s">
        <v>43</v>
      </c>
      <c r="R433" t="s">
        <v>5019</v>
      </c>
      <c r="S433" t="s">
        <v>93</v>
      </c>
      <c r="T433" t="s">
        <v>42</v>
      </c>
      <c r="U433">
        <v>51</v>
      </c>
      <c r="V433">
        <v>296</v>
      </c>
      <c r="W433">
        <v>246</v>
      </c>
      <c r="X433" t="s">
        <v>95</v>
      </c>
      <c r="Y433" t="s">
        <v>5025</v>
      </c>
      <c r="Z433" t="s">
        <v>118</v>
      </c>
      <c r="AA433" t="s">
        <v>1644</v>
      </c>
      <c r="AB433" t="s">
        <v>5026</v>
      </c>
      <c r="AC433" t="s">
        <v>100</v>
      </c>
      <c r="AD433" t="s">
        <v>101</v>
      </c>
      <c r="AE433">
        <v>413</v>
      </c>
      <c r="AF433" t="s">
        <v>102</v>
      </c>
    </row>
    <row r="434" spans="1:34" x14ac:dyDescent="0.75">
      <c r="A434" s="22" t="s">
        <v>6047</v>
      </c>
      <c r="B434" t="s">
        <v>5027</v>
      </c>
      <c r="C434" t="s">
        <v>34</v>
      </c>
      <c r="D434" t="s">
        <v>55</v>
      </c>
      <c r="E434" t="s">
        <v>56</v>
      </c>
      <c r="F434" t="s">
        <v>5028</v>
      </c>
      <c r="G434" s="1" t="str">
        <f>HYPERLINK("https://homd.org/jbrowse/?data=homd_V11.02_phage_1.2%2FGCA_030875795.1&amp;loc=GCA_030875795.1%7CCP132899.1%3A4184808..4191638&amp;tracks=prokka,prokka_ncrna,ncbi,ncbi_ncrna,panggolin,cenote,genomad&amp;highlight=","Open JBrowse")</f>
        <v>Open JBrowse</v>
      </c>
      <c r="H434">
        <v>4187808</v>
      </c>
      <c r="I434">
        <v>4188638</v>
      </c>
      <c r="J434" t="s">
        <v>5029</v>
      </c>
      <c r="K434" t="s">
        <v>59</v>
      </c>
      <c r="L434" t="s">
        <v>60</v>
      </c>
      <c r="M434" t="s">
        <v>61</v>
      </c>
      <c r="N434" t="s">
        <v>42</v>
      </c>
      <c r="O434">
        <v>3</v>
      </c>
      <c r="P434" t="s">
        <v>42</v>
      </c>
      <c r="Q434" t="s">
        <v>59</v>
      </c>
      <c r="R434" t="s">
        <v>5030</v>
      </c>
      <c r="S434" t="s">
        <v>60</v>
      </c>
      <c r="T434" t="s">
        <v>42</v>
      </c>
      <c r="U434">
        <v>41</v>
      </c>
      <c r="V434">
        <v>274</v>
      </c>
      <c r="W434">
        <v>234</v>
      </c>
      <c r="X434" t="s">
        <v>63</v>
      </c>
      <c r="Y434" t="s">
        <v>5031</v>
      </c>
      <c r="Z434" t="s">
        <v>1784</v>
      </c>
      <c r="AA434" t="s">
        <v>66</v>
      </c>
      <c r="AB434" t="s">
        <v>5032</v>
      </c>
      <c r="AC434" t="s">
        <v>68</v>
      </c>
      <c r="AD434" t="s">
        <v>69</v>
      </c>
      <c r="AE434">
        <v>2915.2</v>
      </c>
      <c r="AF434" t="s">
        <v>2729</v>
      </c>
      <c r="AG434" t="s">
        <v>71</v>
      </c>
      <c r="AH434">
        <v>2</v>
      </c>
    </row>
    <row r="435" spans="1:34" x14ac:dyDescent="0.75">
      <c r="A435" s="22" t="s">
        <v>6047</v>
      </c>
      <c r="B435" t="s">
        <v>5052</v>
      </c>
      <c r="C435" t="s">
        <v>34</v>
      </c>
      <c r="D435" t="s">
        <v>1492</v>
      </c>
      <c r="E435" t="s">
        <v>1493</v>
      </c>
      <c r="F435" t="s">
        <v>5053</v>
      </c>
      <c r="G435" s="1" t="str">
        <f>HYPERLINK("https://homd.org/jbrowse/?data=homd_V11.02_phage_1.2%2FGCA_900095495.1&amp;loc=GCA_900095495.1%7CLT622246.1%3A5644508..5651347&amp;tracks=prokka,prokka_ncrna,ncbi,ncbi_ncrna,panggolin,cenote,genomad&amp;highlight=","Open JBrowse")</f>
        <v>Open JBrowse</v>
      </c>
      <c r="H435">
        <v>5647508</v>
      </c>
      <c r="I435">
        <v>5648347</v>
      </c>
      <c r="J435" t="s">
        <v>5054</v>
      </c>
      <c r="K435" t="s">
        <v>59</v>
      </c>
      <c r="L435" t="s">
        <v>59</v>
      </c>
      <c r="M435" t="s">
        <v>59</v>
      </c>
      <c r="N435" t="s">
        <v>42</v>
      </c>
      <c r="O435">
        <v>1</v>
      </c>
      <c r="P435" t="s">
        <v>59</v>
      </c>
      <c r="Q435" t="s">
        <v>59</v>
      </c>
      <c r="R435" t="s">
        <v>5055</v>
      </c>
      <c r="T435" t="s">
        <v>42</v>
      </c>
      <c r="X435" t="s">
        <v>59</v>
      </c>
    </row>
    <row r="436" spans="1:34" x14ac:dyDescent="0.75">
      <c r="A436" s="22" t="s">
        <v>6047</v>
      </c>
      <c r="B436" t="s">
        <v>5052</v>
      </c>
      <c r="C436" t="s">
        <v>34</v>
      </c>
      <c r="D436" t="s">
        <v>1492</v>
      </c>
      <c r="E436" t="s">
        <v>1493</v>
      </c>
      <c r="F436" t="s">
        <v>5053</v>
      </c>
      <c r="G436" s="1" t="str">
        <f>HYPERLINK("https://homd.org/jbrowse/?data=homd_V11.02_phage_1.2%2FGCA_900095495.1&amp;loc=GCA_900095495.1%7CLT622246.1%3A601448..608251&amp;tracks=prokka,prokka_ncrna,ncbi,ncbi_ncrna,panggolin,cenote,genomad&amp;highlight=","Open JBrowse")</f>
        <v>Open JBrowse</v>
      </c>
      <c r="H436">
        <v>604448</v>
      </c>
      <c r="I436">
        <v>605251</v>
      </c>
      <c r="J436" t="s">
        <v>5056</v>
      </c>
      <c r="K436" t="s">
        <v>39</v>
      </c>
      <c r="L436" t="s">
        <v>123</v>
      </c>
      <c r="M436" t="s">
        <v>124</v>
      </c>
      <c r="N436" t="s">
        <v>42</v>
      </c>
      <c r="O436">
        <v>3</v>
      </c>
      <c r="P436" t="s">
        <v>42</v>
      </c>
      <c r="Q436" t="s">
        <v>43</v>
      </c>
      <c r="R436" t="s">
        <v>5055</v>
      </c>
      <c r="S436" t="s">
        <v>123</v>
      </c>
      <c r="T436" t="s">
        <v>42</v>
      </c>
      <c r="U436">
        <v>35</v>
      </c>
      <c r="V436">
        <v>261</v>
      </c>
      <c r="W436">
        <v>227</v>
      </c>
      <c r="X436" t="s">
        <v>45</v>
      </c>
      <c r="Y436" t="s">
        <v>5057</v>
      </c>
      <c r="Z436" t="s">
        <v>2007</v>
      </c>
      <c r="AA436" t="s">
        <v>1500</v>
      </c>
    </row>
    <row r="437" spans="1:34" x14ac:dyDescent="0.75">
      <c r="A437" s="22" t="s">
        <v>6047</v>
      </c>
      <c r="B437" t="s">
        <v>5052</v>
      </c>
      <c r="C437" t="s">
        <v>34</v>
      </c>
      <c r="D437" t="s">
        <v>1492</v>
      </c>
      <c r="E437" t="s">
        <v>1493</v>
      </c>
      <c r="F437" t="s">
        <v>5053</v>
      </c>
      <c r="G437" s="1" t="str">
        <f>HYPERLINK("https://homd.org/jbrowse/?data=homd_V11.02_phage_1.2%2FGCA_900095495.1&amp;loc=GCA_900095495.1%7CLT622246.1%3A1217550..1224365&amp;tracks=prokka,prokka_ncrna,ncbi,ncbi_ncrna,panggolin,cenote,genomad&amp;highlight=","Open JBrowse")</f>
        <v>Open JBrowse</v>
      </c>
      <c r="H437">
        <v>1220550</v>
      </c>
      <c r="I437">
        <v>1221365</v>
      </c>
      <c r="J437" t="s">
        <v>5058</v>
      </c>
      <c r="K437" t="s">
        <v>996</v>
      </c>
      <c r="L437" t="s">
        <v>343</v>
      </c>
      <c r="M437" t="s">
        <v>1502</v>
      </c>
      <c r="N437" t="s">
        <v>42</v>
      </c>
      <c r="O437">
        <v>3</v>
      </c>
      <c r="P437" t="s">
        <v>42</v>
      </c>
      <c r="Q437" t="s">
        <v>101</v>
      </c>
      <c r="R437" t="s">
        <v>5055</v>
      </c>
      <c r="S437" t="s">
        <v>343</v>
      </c>
      <c r="T437" t="s">
        <v>42</v>
      </c>
      <c r="U437">
        <v>38</v>
      </c>
      <c r="V437">
        <v>270</v>
      </c>
      <c r="W437">
        <v>233</v>
      </c>
      <c r="X437" t="s">
        <v>999</v>
      </c>
      <c r="Y437" t="s">
        <v>5059</v>
      </c>
      <c r="Z437" t="s">
        <v>97</v>
      </c>
      <c r="AA437" t="s">
        <v>1504</v>
      </c>
      <c r="AB437" t="s">
        <v>5060</v>
      </c>
      <c r="AC437" t="s">
        <v>1003</v>
      </c>
      <c r="AD437" t="s">
        <v>101</v>
      </c>
      <c r="AE437">
        <v>10479</v>
      </c>
      <c r="AF437" t="s">
        <v>1506</v>
      </c>
      <c r="AG437" t="s">
        <v>101</v>
      </c>
      <c r="AH437">
        <v>2</v>
      </c>
    </row>
    <row r="438" spans="1:34" x14ac:dyDescent="0.75">
      <c r="A438" s="22" t="s">
        <v>6047</v>
      </c>
      <c r="B438" t="s">
        <v>5169</v>
      </c>
      <c r="C438" t="s">
        <v>34</v>
      </c>
      <c r="D438" t="s">
        <v>2146</v>
      </c>
      <c r="E438" t="s">
        <v>2147</v>
      </c>
      <c r="F438" t="s">
        <v>5170</v>
      </c>
      <c r="G438" s="1" t="str">
        <f>HYPERLINK("https://homd.org/jbrowse/?data=homd_V11.02_phage_1.2%2FGCA_900445495.1&amp;loc=GCA_900445495.1%7CUFTK01000001.1%3A1634660..1641448&amp;tracks=prokka,prokka_ncrna,ncbi,ncbi_ncrna,panggolin,cenote,genomad&amp;highlight=","Open JBrowse")</f>
        <v>Open JBrowse</v>
      </c>
      <c r="H438">
        <v>1637660</v>
      </c>
      <c r="I438">
        <v>1638448</v>
      </c>
      <c r="J438" t="s">
        <v>5171</v>
      </c>
      <c r="K438" t="s">
        <v>59</v>
      </c>
      <c r="L438" t="s">
        <v>2150</v>
      </c>
      <c r="M438" t="s">
        <v>2151</v>
      </c>
      <c r="N438" t="s">
        <v>42</v>
      </c>
      <c r="O438">
        <v>3</v>
      </c>
      <c r="P438" t="s">
        <v>42</v>
      </c>
      <c r="Q438" t="s">
        <v>59</v>
      </c>
      <c r="R438" t="s">
        <v>5172</v>
      </c>
      <c r="S438" t="s">
        <v>2150</v>
      </c>
      <c r="T438" t="s">
        <v>42</v>
      </c>
      <c r="U438">
        <v>31</v>
      </c>
      <c r="V438">
        <v>258</v>
      </c>
      <c r="W438">
        <v>228</v>
      </c>
      <c r="X438" t="s">
        <v>1251</v>
      </c>
      <c r="Y438" t="s">
        <v>5173</v>
      </c>
      <c r="Z438" t="s">
        <v>667</v>
      </c>
      <c r="AA438" t="s">
        <v>5174</v>
      </c>
      <c r="AB438" t="s">
        <v>5175</v>
      </c>
      <c r="AC438" t="s">
        <v>5176</v>
      </c>
      <c r="AD438" t="s">
        <v>985</v>
      </c>
      <c r="AE438">
        <v>1360</v>
      </c>
      <c r="AF438" t="s">
        <v>5177</v>
      </c>
    </row>
    <row r="439" spans="1:34" x14ac:dyDescent="0.75">
      <c r="A439" s="22" t="s">
        <v>6047</v>
      </c>
      <c r="B439" t="s">
        <v>5291</v>
      </c>
      <c r="C439" t="s">
        <v>34</v>
      </c>
      <c r="D439" t="s">
        <v>55</v>
      </c>
      <c r="E439" t="s">
        <v>56</v>
      </c>
      <c r="F439" t="s">
        <v>5292</v>
      </c>
      <c r="G439" s="1" t="str">
        <f>HYPERLINK("https://homd.org/jbrowse/?data=homd_V11.02_phage_1.2%2FGCA_900683725.1&amp;loc=GCA_900683725.1%7CLR215978.1%3A4033624..4040454&amp;tracks=prokka,prokka_ncrna,ncbi,ncbi_ncrna,panggolin,cenote,genomad&amp;highlight=","Open JBrowse")</f>
        <v>Open JBrowse</v>
      </c>
      <c r="H439">
        <v>4036624</v>
      </c>
      <c r="I439">
        <v>4037454</v>
      </c>
      <c r="J439" t="s">
        <v>5293</v>
      </c>
      <c r="K439" t="s">
        <v>59</v>
      </c>
      <c r="L439" t="s">
        <v>60</v>
      </c>
      <c r="M439" t="s">
        <v>61</v>
      </c>
      <c r="N439" t="s">
        <v>42</v>
      </c>
      <c r="O439">
        <v>3</v>
      </c>
      <c r="P439" t="s">
        <v>42</v>
      </c>
      <c r="Q439" t="s">
        <v>59</v>
      </c>
      <c r="R439" t="s">
        <v>5294</v>
      </c>
      <c r="S439" t="s">
        <v>60</v>
      </c>
      <c r="T439" t="s">
        <v>42</v>
      </c>
      <c r="U439">
        <v>41</v>
      </c>
      <c r="V439">
        <v>274</v>
      </c>
      <c r="W439">
        <v>234</v>
      </c>
      <c r="X439" t="s">
        <v>63</v>
      </c>
      <c r="Y439" t="s">
        <v>5295</v>
      </c>
      <c r="Z439" t="s">
        <v>2471</v>
      </c>
      <c r="AA439" t="s">
        <v>5296</v>
      </c>
      <c r="AB439" t="s">
        <v>5297</v>
      </c>
      <c r="AC439" t="s">
        <v>68</v>
      </c>
      <c r="AD439" t="s">
        <v>69</v>
      </c>
      <c r="AE439">
        <v>2318</v>
      </c>
      <c r="AF439" t="s">
        <v>5298</v>
      </c>
      <c r="AG439" t="s">
        <v>71</v>
      </c>
      <c r="AH439">
        <v>2</v>
      </c>
    </row>
    <row r="440" spans="1:34" x14ac:dyDescent="0.75">
      <c r="A440" s="22" t="s">
        <v>6047</v>
      </c>
      <c r="B440" t="s">
        <v>5316</v>
      </c>
      <c r="C440" t="s">
        <v>34</v>
      </c>
      <c r="D440" t="s">
        <v>863</v>
      </c>
      <c r="E440" t="s">
        <v>864</v>
      </c>
      <c r="F440" t="s">
        <v>5317</v>
      </c>
      <c r="G440" s="1" t="str">
        <f>HYPERLINK("https://homd.org/jbrowse/?data=homd_V11.02_phage_1.2%2FGCA_902364735.1&amp;loc=GCA_902364735.1%7CCABJEV010000004.1%3A151881..158672&amp;tracks=prokka,prokka_ncrna,ncbi,ncbi_ncrna,panggolin,cenote,genomad&amp;highlight=","Open JBrowse")</f>
        <v>Open JBrowse</v>
      </c>
      <c r="H440">
        <v>154881</v>
      </c>
      <c r="I440">
        <v>155672</v>
      </c>
      <c r="J440" t="s">
        <v>5318</v>
      </c>
      <c r="K440" t="s">
        <v>39</v>
      </c>
      <c r="L440" t="s">
        <v>40</v>
      </c>
      <c r="M440" t="s">
        <v>867</v>
      </c>
      <c r="N440" t="s">
        <v>42</v>
      </c>
      <c r="O440">
        <v>3</v>
      </c>
      <c r="P440" t="s">
        <v>42</v>
      </c>
      <c r="Q440" t="s">
        <v>43</v>
      </c>
      <c r="R440" t="s">
        <v>5319</v>
      </c>
      <c r="S440" t="s">
        <v>40</v>
      </c>
      <c r="T440" t="s">
        <v>42</v>
      </c>
      <c r="U440">
        <v>34</v>
      </c>
      <c r="V440">
        <v>260</v>
      </c>
      <c r="W440">
        <v>227</v>
      </c>
      <c r="X440" t="s">
        <v>45</v>
      </c>
      <c r="Y440" t="s">
        <v>5320</v>
      </c>
      <c r="Z440" t="s">
        <v>932</v>
      </c>
      <c r="AA440" t="s">
        <v>871</v>
      </c>
    </row>
    <row r="441" spans="1:34" x14ac:dyDescent="0.75">
      <c r="A441" s="22" t="s">
        <v>6047</v>
      </c>
      <c r="B441" t="s">
        <v>5321</v>
      </c>
      <c r="C441" t="s">
        <v>34</v>
      </c>
      <c r="D441" t="s">
        <v>436</v>
      </c>
      <c r="E441" t="s">
        <v>437</v>
      </c>
      <c r="F441" t="s">
        <v>5322</v>
      </c>
      <c r="G441" s="1" t="str">
        <f>HYPERLINK("https://homd.org/jbrowse/?data=homd_V11.02_phage_1.2%2FGCA_902374375.1&amp;loc=GCA_902374375.1%7CCABKPU010000002.1%3A659061..665897&amp;tracks=prokka,prokka_ncrna,ncbi,ncbi_ncrna,panggolin,cenote,genomad&amp;highlight=","Open JBrowse")</f>
        <v>Open JBrowse</v>
      </c>
      <c r="H441">
        <v>662061</v>
      </c>
      <c r="I441">
        <v>662897</v>
      </c>
      <c r="J441" t="s">
        <v>5323</v>
      </c>
      <c r="K441" t="s">
        <v>109</v>
      </c>
      <c r="L441" t="s">
        <v>440</v>
      </c>
      <c r="M441" t="s">
        <v>441</v>
      </c>
      <c r="N441" t="s">
        <v>42</v>
      </c>
      <c r="O441">
        <v>3</v>
      </c>
      <c r="P441" t="s">
        <v>42</v>
      </c>
      <c r="Q441" t="s">
        <v>101</v>
      </c>
      <c r="R441" t="s">
        <v>5324</v>
      </c>
      <c r="S441" t="s">
        <v>440</v>
      </c>
      <c r="T441" t="s">
        <v>42</v>
      </c>
      <c r="U441">
        <v>41</v>
      </c>
      <c r="V441">
        <v>276</v>
      </c>
      <c r="W441">
        <v>236</v>
      </c>
      <c r="X441" t="s">
        <v>248</v>
      </c>
      <c r="Y441" t="s">
        <v>5325</v>
      </c>
      <c r="Z441" t="s">
        <v>2007</v>
      </c>
      <c r="AA441" t="s">
        <v>445</v>
      </c>
      <c r="AB441" t="s">
        <v>5326</v>
      </c>
      <c r="AC441" t="s">
        <v>447</v>
      </c>
      <c r="AD441" t="s">
        <v>101</v>
      </c>
      <c r="AE441">
        <v>2866</v>
      </c>
      <c r="AF441" t="s">
        <v>448</v>
      </c>
    </row>
    <row r="442" spans="1:34" x14ac:dyDescent="0.75">
      <c r="A442" s="22" t="s">
        <v>6047</v>
      </c>
      <c r="B442" t="s">
        <v>5650</v>
      </c>
      <c r="C442" t="s">
        <v>34</v>
      </c>
      <c r="D442" t="s">
        <v>1492</v>
      </c>
      <c r="E442" t="s">
        <v>1493</v>
      </c>
      <c r="F442" t="s">
        <v>5651</v>
      </c>
      <c r="G442" s="1" t="str">
        <f>HYPERLINK("https://homd.org/jbrowse/?data=homd_V11.02_phage_1.2%2FGCA_918258265.1&amp;loc=GCA_918258265.1%7COU901070.1%3A4361153..4367992&amp;tracks=prokka,prokka_ncrna,ncbi,ncbi_ncrna,panggolin,cenote,genomad&amp;highlight=","Open JBrowse")</f>
        <v>Open JBrowse</v>
      </c>
      <c r="H442">
        <v>4364153</v>
      </c>
      <c r="I442">
        <v>4364992</v>
      </c>
      <c r="J442" t="s">
        <v>5652</v>
      </c>
      <c r="K442" t="s">
        <v>59</v>
      </c>
      <c r="L442" t="s">
        <v>59</v>
      </c>
      <c r="M442" t="s">
        <v>59</v>
      </c>
      <c r="N442" t="s">
        <v>42</v>
      </c>
      <c r="O442">
        <v>1</v>
      </c>
      <c r="P442" t="s">
        <v>59</v>
      </c>
      <c r="Q442" t="s">
        <v>59</v>
      </c>
      <c r="R442" t="s">
        <v>5653</v>
      </c>
      <c r="T442" t="s">
        <v>42</v>
      </c>
      <c r="X442" t="s">
        <v>59</v>
      </c>
    </row>
    <row r="443" spans="1:34" x14ac:dyDescent="0.75">
      <c r="A443" s="22" t="s">
        <v>6047</v>
      </c>
      <c r="B443" t="s">
        <v>5650</v>
      </c>
      <c r="C443" t="s">
        <v>34</v>
      </c>
      <c r="D443" t="s">
        <v>1492</v>
      </c>
      <c r="E443" t="s">
        <v>1493</v>
      </c>
      <c r="F443" t="s">
        <v>5651</v>
      </c>
      <c r="G443" s="1" t="str">
        <f>HYPERLINK("https://homd.org/jbrowse/?data=homd_V11.02_phage_1.2%2FGCA_918258265.1&amp;loc=GCA_918258265.1%7COU901070.1%3A5944928..5951731&amp;tracks=prokka,prokka_ncrna,ncbi,ncbi_ncrna,panggolin,cenote,genomad&amp;highlight=","Open JBrowse")</f>
        <v>Open JBrowse</v>
      </c>
      <c r="H443">
        <v>5947928</v>
      </c>
      <c r="I443">
        <v>5948731</v>
      </c>
      <c r="J443" t="s">
        <v>5654</v>
      </c>
      <c r="K443" t="s">
        <v>39</v>
      </c>
      <c r="L443" t="s">
        <v>123</v>
      </c>
      <c r="M443" t="s">
        <v>124</v>
      </c>
      <c r="N443" t="s">
        <v>42</v>
      </c>
      <c r="O443">
        <v>3</v>
      </c>
      <c r="P443" t="s">
        <v>42</v>
      </c>
      <c r="Q443" t="s">
        <v>43</v>
      </c>
      <c r="R443" t="s">
        <v>5653</v>
      </c>
      <c r="S443" t="s">
        <v>123</v>
      </c>
      <c r="T443" t="s">
        <v>42</v>
      </c>
      <c r="U443">
        <v>35</v>
      </c>
      <c r="V443">
        <v>261</v>
      </c>
      <c r="W443">
        <v>227</v>
      </c>
      <c r="X443" t="s">
        <v>45</v>
      </c>
      <c r="Y443" t="s">
        <v>5655</v>
      </c>
      <c r="Z443" t="s">
        <v>3888</v>
      </c>
      <c r="AA443" t="s">
        <v>1500</v>
      </c>
    </row>
    <row r="444" spans="1:34" x14ac:dyDescent="0.75">
      <c r="A444" s="22" t="s">
        <v>6047</v>
      </c>
      <c r="B444" t="s">
        <v>5650</v>
      </c>
      <c r="C444" t="s">
        <v>34</v>
      </c>
      <c r="D444" t="s">
        <v>1492</v>
      </c>
      <c r="E444" t="s">
        <v>1493</v>
      </c>
      <c r="F444" t="s">
        <v>5651</v>
      </c>
      <c r="G444" s="1" t="str">
        <f>HYPERLINK("https://homd.org/jbrowse/?data=homd_V11.02_phage_1.2%2FGCA_918258265.1&amp;loc=GCA_918258265.1%7COU901070.1%3A6593711..6600526&amp;tracks=prokka,prokka_ncrna,ncbi,ncbi_ncrna,panggolin,cenote,genomad&amp;highlight=","Open JBrowse")</f>
        <v>Open JBrowse</v>
      </c>
      <c r="H444">
        <v>6596711</v>
      </c>
      <c r="I444">
        <v>6597526</v>
      </c>
      <c r="J444" t="s">
        <v>5656</v>
      </c>
      <c r="K444" t="s">
        <v>996</v>
      </c>
      <c r="L444" t="s">
        <v>343</v>
      </c>
      <c r="M444" t="s">
        <v>1502</v>
      </c>
      <c r="N444" t="s">
        <v>42</v>
      </c>
      <c r="O444">
        <v>3</v>
      </c>
      <c r="P444" t="s">
        <v>42</v>
      </c>
      <c r="Q444" t="s">
        <v>101</v>
      </c>
      <c r="R444" t="s">
        <v>5653</v>
      </c>
      <c r="S444" t="s">
        <v>343</v>
      </c>
      <c r="T444" t="s">
        <v>42</v>
      </c>
      <c r="U444">
        <v>38</v>
      </c>
      <c r="V444">
        <v>270</v>
      </c>
      <c r="W444">
        <v>233</v>
      </c>
      <c r="X444" t="s">
        <v>999</v>
      </c>
      <c r="Y444" t="s">
        <v>5657</v>
      </c>
      <c r="Z444" t="s">
        <v>5658</v>
      </c>
      <c r="AA444" t="s">
        <v>5659</v>
      </c>
      <c r="AB444" t="s">
        <v>5660</v>
      </c>
      <c r="AC444" t="s">
        <v>1139</v>
      </c>
      <c r="AD444" t="s">
        <v>101</v>
      </c>
      <c r="AE444">
        <v>10456</v>
      </c>
      <c r="AF444" t="s">
        <v>5661</v>
      </c>
      <c r="AG444" t="s">
        <v>185</v>
      </c>
      <c r="AH444">
        <v>4</v>
      </c>
    </row>
    <row r="445" spans="1:34" x14ac:dyDescent="0.75">
      <c r="A445" s="22" t="s">
        <v>6047</v>
      </c>
      <c r="B445" t="s">
        <v>5650</v>
      </c>
      <c r="C445" t="s">
        <v>34</v>
      </c>
      <c r="D445" t="s">
        <v>1492</v>
      </c>
      <c r="E445" t="s">
        <v>1493</v>
      </c>
      <c r="F445" t="s">
        <v>5651</v>
      </c>
      <c r="G445" s="1" t="str">
        <f>HYPERLINK("https://homd.org/jbrowse/?data=homd_V11.02_phage_1.2%2FGCA_918258265.1&amp;loc=GCA_918258265.1%7COU901070.1%3A6667955..6676015&amp;tracks=prokka,prokka_ncrna,ncbi,ncbi_ncrna,panggolin,cenote,genomad&amp;highlight=","Open JBrowse")</f>
        <v>Open JBrowse</v>
      </c>
      <c r="H445">
        <v>6670955</v>
      </c>
      <c r="I445">
        <v>6673015</v>
      </c>
      <c r="J445" t="s">
        <v>5662</v>
      </c>
      <c r="K445" t="s">
        <v>59</v>
      </c>
      <c r="L445" t="s">
        <v>5663</v>
      </c>
      <c r="M445" t="s">
        <v>5664</v>
      </c>
      <c r="N445" t="s">
        <v>59</v>
      </c>
      <c r="O445">
        <v>2</v>
      </c>
      <c r="P445" t="s">
        <v>42</v>
      </c>
      <c r="Q445" t="s">
        <v>59</v>
      </c>
      <c r="R445" t="s">
        <v>5653</v>
      </c>
      <c r="S445" t="s">
        <v>5663</v>
      </c>
      <c r="T445" t="s">
        <v>42</v>
      </c>
      <c r="U445">
        <v>3</v>
      </c>
      <c r="V445">
        <v>236</v>
      </c>
      <c r="W445">
        <v>234</v>
      </c>
      <c r="X445" t="s">
        <v>980</v>
      </c>
      <c r="Y445" t="s">
        <v>5665</v>
      </c>
      <c r="Z445" t="s">
        <v>5666</v>
      </c>
      <c r="AA445" t="s">
        <v>5667</v>
      </c>
      <c r="AB445" t="s">
        <v>5668</v>
      </c>
      <c r="AC445" t="s">
        <v>5669</v>
      </c>
      <c r="AD445" t="s">
        <v>5670</v>
      </c>
      <c r="AE445">
        <v>6552</v>
      </c>
      <c r="AF445" t="s">
        <v>5671</v>
      </c>
    </row>
    <row r="446" spans="1:34" x14ac:dyDescent="0.75">
      <c r="A446" s="22" t="s">
        <v>6047</v>
      </c>
      <c r="B446" t="s">
        <v>5672</v>
      </c>
      <c r="C446" t="s">
        <v>34</v>
      </c>
      <c r="D446" t="s">
        <v>1492</v>
      </c>
      <c r="E446" t="s">
        <v>1493</v>
      </c>
      <c r="F446" t="s">
        <v>5673</v>
      </c>
      <c r="G446" s="1" t="str">
        <f>HYPERLINK("https://homd.org/jbrowse/?data=homd_V11.02_phage_1.2%2FGCA_918292745.1&amp;loc=GCA_918292745.1%7CCAKJZK010000001.1%3A2670534..2677373&amp;tracks=prokka,prokka_ncrna,ncbi,ncbi_ncrna,panggolin,cenote,genomad&amp;highlight=","Open JBrowse")</f>
        <v>Open JBrowse</v>
      </c>
      <c r="H446">
        <v>2673534</v>
      </c>
      <c r="I446">
        <v>2674373</v>
      </c>
      <c r="J446" t="s">
        <v>5674</v>
      </c>
      <c r="K446" t="s">
        <v>59</v>
      </c>
      <c r="L446" t="s">
        <v>59</v>
      </c>
      <c r="M446" t="s">
        <v>59</v>
      </c>
      <c r="N446" t="s">
        <v>42</v>
      </c>
      <c r="O446">
        <v>1</v>
      </c>
      <c r="P446" t="s">
        <v>59</v>
      </c>
      <c r="Q446" t="s">
        <v>59</v>
      </c>
      <c r="R446" t="s">
        <v>5675</v>
      </c>
      <c r="T446" t="s">
        <v>42</v>
      </c>
      <c r="X446" t="s">
        <v>59</v>
      </c>
    </row>
    <row r="447" spans="1:34" x14ac:dyDescent="0.75">
      <c r="A447" s="22" t="s">
        <v>6047</v>
      </c>
      <c r="B447" t="s">
        <v>5672</v>
      </c>
      <c r="C447" t="s">
        <v>34</v>
      </c>
      <c r="D447" t="s">
        <v>1492</v>
      </c>
      <c r="E447" t="s">
        <v>1493</v>
      </c>
      <c r="F447" t="s">
        <v>5673</v>
      </c>
      <c r="G447" s="1" t="str">
        <f>HYPERLINK("https://homd.org/jbrowse/?data=homd_V11.02_phage_1.2%2FGCA_918292745.1&amp;loc=GCA_918292745.1%7CCAKJZK010000001.1%3A657793..665973&amp;tracks=prokka,prokka_ncrna,ncbi,ncbi_ncrna,panggolin,cenote,genomad&amp;highlight=","Open JBrowse")</f>
        <v>Open JBrowse</v>
      </c>
      <c r="H447">
        <v>660793</v>
      </c>
      <c r="I447">
        <v>662973</v>
      </c>
      <c r="J447" t="s">
        <v>5676</v>
      </c>
      <c r="K447" t="s">
        <v>59</v>
      </c>
      <c r="L447" t="s">
        <v>5677</v>
      </c>
      <c r="M447" t="s">
        <v>5678</v>
      </c>
      <c r="N447" t="s">
        <v>59</v>
      </c>
      <c r="O447">
        <v>2</v>
      </c>
      <c r="P447" t="s">
        <v>42</v>
      </c>
      <c r="Q447" t="s">
        <v>59</v>
      </c>
      <c r="R447" t="s">
        <v>5675</v>
      </c>
      <c r="S447" t="s">
        <v>5677</v>
      </c>
      <c r="T447" t="s">
        <v>42</v>
      </c>
      <c r="U447">
        <v>43</v>
      </c>
      <c r="V447">
        <v>276</v>
      </c>
      <c r="W447">
        <v>234</v>
      </c>
      <c r="X447" t="s">
        <v>980</v>
      </c>
      <c r="Y447" t="s">
        <v>5679</v>
      </c>
      <c r="Z447" t="s">
        <v>292</v>
      </c>
      <c r="AA447" t="s">
        <v>5680</v>
      </c>
      <c r="AB447" t="s">
        <v>5681</v>
      </c>
      <c r="AC447" t="s">
        <v>5682</v>
      </c>
      <c r="AD447" t="s">
        <v>69</v>
      </c>
      <c r="AE447">
        <v>9339</v>
      </c>
      <c r="AF447" t="s">
        <v>5683</v>
      </c>
      <c r="AG447" t="s">
        <v>185</v>
      </c>
      <c r="AH447">
        <v>4</v>
      </c>
    </row>
    <row r="448" spans="1:34" x14ac:dyDescent="0.75">
      <c r="A448" s="22" t="s">
        <v>6047</v>
      </c>
      <c r="B448" t="s">
        <v>5672</v>
      </c>
      <c r="C448" t="s">
        <v>34</v>
      </c>
      <c r="D448" t="s">
        <v>1492</v>
      </c>
      <c r="E448" t="s">
        <v>1493</v>
      </c>
      <c r="F448" t="s">
        <v>5673</v>
      </c>
      <c r="G448" s="1" t="str">
        <f>HYPERLINK("https://homd.org/jbrowse/?data=homd_V11.02_phage_1.2%2FGCA_918292745.1&amp;loc=GCA_918292745.1%7CCAKJZK010000001.1%3A717941..724756&amp;tracks=prokka,prokka_ncrna,ncbi,ncbi_ncrna,panggolin,cenote,genomad&amp;highlight=","Open JBrowse")</f>
        <v>Open JBrowse</v>
      </c>
      <c r="H448">
        <v>720941</v>
      </c>
      <c r="I448">
        <v>721756</v>
      </c>
      <c r="J448" t="s">
        <v>5684</v>
      </c>
      <c r="K448" t="s">
        <v>996</v>
      </c>
      <c r="L448" t="s">
        <v>343</v>
      </c>
      <c r="M448" t="s">
        <v>1502</v>
      </c>
      <c r="N448" t="s">
        <v>42</v>
      </c>
      <c r="O448">
        <v>3</v>
      </c>
      <c r="P448" t="s">
        <v>42</v>
      </c>
      <c r="Q448" t="s">
        <v>101</v>
      </c>
      <c r="R448" t="s">
        <v>5675</v>
      </c>
      <c r="S448" t="s">
        <v>343</v>
      </c>
      <c r="T448" t="s">
        <v>42</v>
      </c>
      <c r="U448">
        <v>38</v>
      </c>
      <c r="V448">
        <v>270</v>
      </c>
      <c r="W448">
        <v>233</v>
      </c>
      <c r="X448" t="s">
        <v>999</v>
      </c>
      <c r="Y448" t="s">
        <v>5679</v>
      </c>
      <c r="Z448" t="s">
        <v>292</v>
      </c>
      <c r="AA448" t="s">
        <v>5680</v>
      </c>
      <c r="AB448" t="s">
        <v>5681</v>
      </c>
      <c r="AC448" t="s">
        <v>5682</v>
      </c>
      <c r="AD448" t="s">
        <v>69</v>
      </c>
      <c r="AE448">
        <v>9339</v>
      </c>
      <c r="AF448" t="s">
        <v>5683</v>
      </c>
      <c r="AG448" t="s">
        <v>185</v>
      </c>
      <c r="AH448">
        <v>4</v>
      </c>
    </row>
    <row r="449" spans="1:32" x14ac:dyDescent="0.75">
      <c r="A449" s="22" t="s">
        <v>6047</v>
      </c>
      <c r="B449" t="s">
        <v>5672</v>
      </c>
      <c r="C449" t="s">
        <v>34</v>
      </c>
      <c r="D449" t="s">
        <v>1492</v>
      </c>
      <c r="E449" t="s">
        <v>1493</v>
      </c>
      <c r="F449" t="s">
        <v>5673</v>
      </c>
      <c r="G449" s="1" t="str">
        <f>HYPERLINK("https://homd.org/jbrowse/?data=homd_V11.02_phage_1.2%2FGCA_918292745.1&amp;loc=GCA_918292745.1%7CCAKJZK010000001.1%3A1322993..1329796&amp;tracks=prokka,prokka_ncrna,ncbi,ncbi_ncrna,panggolin,cenote,genomad&amp;highlight=","Open JBrowse")</f>
        <v>Open JBrowse</v>
      </c>
      <c r="H449">
        <v>1325993</v>
      </c>
      <c r="I449">
        <v>1326796</v>
      </c>
      <c r="J449" t="s">
        <v>5685</v>
      </c>
      <c r="K449" t="s">
        <v>39</v>
      </c>
      <c r="L449" t="s">
        <v>123</v>
      </c>
      <c r="M449" t="s">
        <v>124</v>
      </c>
      <c r="N449" t="s">
        <v>42</v>
      </c>
      <c r="O449">
        <v>3</v>
      </c>
      <c r="P449" t="s">
        <v>42</v>
      </c>
      <c r="Q449" t="s">
        <v>43</v>
      </c>
      <c r="R449" t="s">
        <v>5675</v>
      </c>
      <c r="S449" t="s">
        <v>123</v>
      </c>
      <c r="T449" t="s">
        <v>42</v>
      </c>
      <c r="U449">
        <v>35</v>
      </c>
      <c r="V449">
        <v>261</v>
      </c>
      <c r="W449">
        <v>227</v>
      </c>
      <c r="X449" t="s">
        <v>45</v>
      </c>
      <c r="Y449" t="s">
        <v>5686</v>
      </c>
      <c r="Z449" t="s">
        <v>118</v>
      </c>
      <c r="AA449" t="s">
        <v>3973</v>
      </c>
    </row>
    <row r="450" spans="1:32" x14ac:dyDescent="0.75">
      <c r="A450" s="22" t="s">
        <v>6047</v>
      </c>
      <c r="B450" t="s">
        <v>1562</v>
      </c>
      <c r="C450" t="s">
        <v>1563</v>
      </c>
      <c r="D450" t="s">
        <v>1564</v>
      </c>
      <c r="E450" t="s">
        <v>1565</v>
      </c>
      <c r="F450" t="s">
        <v>1566</v>
      </c>
      <c r="G450" s="1" t="str">
        <f>HYPERLINK("https://homd.org/jbrowse/?data=homd_V11.02_phage_1.2%2FGCA_001570825.1&amp;loc=GCA_001570825.1%7CBCSK01000056.1%3A19626..26933&amp;tracks=prokka,prokka_ncrna,ncbi,ncbi_ncrna,panggolin,cenote,genomad&amp;highlight=","Open JBrowse")</f>
        <v>Open JBrowse</v>
      </c>
      <c r="H450">
        <v>22626</v>
      </c>
      <c r="I450">
        <v>23933</v>
      </c>
      <c r="J450" t="s">
        <v>1567</v>
      </c>
      <c r="K450" t="s">
        <v>1568</v>
      </c>
      <c r="L450" t="s">
        <v>1569</v>
      </c>
      <c r="M450" t="s">
        <v>1570</v>
      </c>
      <c r="N450" t="s">
        <v>205</v>
      </c>
      <c r="O450">
        <v>3</v>
      </c>
      <c r="P450" t="s">
        <v>1571</v>
      </c>
      <c r="Q450" t="s">
        <v>207</v>
      </c>
      <c r="R450" t="s">
        <v>1572</v>
      </c>
      <c r="S450" t="s">
        <v>1573</v>
      </c>
      <c r="T450" t="s">
        <v>42</v>
      </c>
      <c r="U450">
        <v>59</v>
      </c>
      <c r="V450">
        <v>290</v>
      </c>
      <c r="W450">
        <v>232</v>
      </c>
      <c r="X450" t="s">
        <v>720</v>
      </c>
      <c r="Y450" t="s">
        <v>1574</v>
      </c>
      <c r="Z450" t="s">
        <v>1159</v>
      </c>
      <c r="AA450" t="s">
        <v>1575</v>
      </c>
      <c r="AB450" t="s">
        <v>1576</v>
      </c>
      <c r="AC450" t="s">
        <v>697</v>
      </c>
      <c r="AD450" t="s">
        <v>101</v>
      </c>
      <c r="AE450">
        <v>231</v>
      </c>
      <c r="AF450" t="s">
        <v>1577</v>
      </c>
    </row>
    <row r="451" spans="1:32" x14ac:dyDescent="0.75">
      <c r="A451" s="22" t="s">
        <v>6047</v>
      </c>
      <c r="B451" t="s">
        <v>1905</v>
      </c>
      <c r="C451" t="s">
        <v>1563</v>
      </c>
      <c r="D451" t="s">
        <v>1906</v>
      </c>
      <c r="E451" t="s">
        <v>1907</v>
      </c>
      <c r="F451" t="s">
        <v>1908</v>
      </c>
      <c r="G451" s="1" t="str">
        <f>HYPERLINK("https://homd.org/jbrowse/?data=homd_V11.02_phage_1.2%2FGCA_002884635.1&amp;loc=GCA_002884635.1%7CPNGJ01000006.1%3A167886..174764&amp;tracks=prokka,prokka_ncrna,ncbi,ncbi_ncrna,panggolin,cenote,genomad&amp;highlight=","Open JBrowse")</f>
        <v>Open JBrowse</v>
      </c>
      <c r="H451">
        <v>170886</v>
      </c>
      <c r="I451">
        <v>171764</v>
      </c>
      <c r="J451" t="s">
        <v>1909</v>
      </c>
      <c r="K451" t="s">
        <v>109</v>
      </c>
      <c r="L451" t="s">
        <v>1910</v>
      </c>
      <c r="M451" t="s">
        <v>1911</v>
      </c>
      <c r="N451" t="s">
        <v>42</v>
      </c>
      <c r="O451">
        <v>3</v>
      </c>
      <c r="P451" t="s">
        <v>42</v>
      </c>
      <c r="Q451" t="s">
        <v>101</v>
      </c>
      <c r="R451" t="s">
        <v>1912</v>
      </c>
      <c r="S451" t="s">
        <v>1910</v>
      </c>
      <c r="T451" t="s">
        <v>42</v>
      </c>
      <c r="U451">
        <v>67</v>
      </c>
      <c r="V451">
        <v>289</v>
      </c>
      <c r="W451">
        <v>223</v>
      </c>
      <c r="X451" t="s">
        <v>248</v>
      </c>
      <c r="Y451" t="s">
        <v>1913</v>
      </c>
      <c r="Z451" t="s">
        <v>1236</v>
      </c>
      <c r="AA451" t="s">
        <v>1914</v>
      </c>
      <c r="AB451" t="s">
        <v>1915</v>
      </c>
      <c r="AC451" t="s">
        <v>1916</v>
      </c>
      <c r="AD451" t="s">
        <v>1224</v>
      </c>
      <c r="AE451">
        <v>1376</v>
      </c>
      <c r="AF451" t="s">
        <v>1917</v>
      </c>
    </row>
    <row r="452" spans="1:32" x14ac:dyDescent="0.75">
      <c r="A452" s="22" t="s">
        <v>6047</v>
      </c>
      <c r="B452" t="s">
        <v>2231</v>
      </c>
      <c r="C452" t="s">
        <v>1563</v>
      </c>
      <c r="D452" t="s">
        <v>1564</v>
      </c>
      <c r="E452" t="s">
        <v>1565</v>
      </c>
      <c r="F452" t="s">
        <v>2232</v>
      </c>
      <c r="G452" s="1" t="str">
        <f>HYPERLINK("https://homd.org/jbrowse/?data=homd_V11.02_phage_1.2%2FGCA_004114655.2&amp;loc=GCA_004114655.2%7CSDBQ02000004.1%3A99596..106903&amp;tracks=prokka,prokka_ncrna,ncbi,ncbi_ncrna,panggolin,cenote,genomad&amp;highlight=","Open JBrowse")</f>
        <v>Open JBrowse</v>
      </c>
      <c r="H452">
        <v>102596</v>
      </c>
      <c r="I452">
        <v>103903</v>
      </c>
      <c r="J452" t="s">
        <v>2233</v>
      </c>
      <c r="K452" t="s">
        <v>1568</v>
      </c>
      <c r="L452" t="s">
        <v>1569</v>
      </c>
      <c r="M452" t="s">
        <v>1570</v>
      </c>
      <c r="N452" t="s">
        <v>205</v>
      </c>
      <c r="O452">
        <v>3</v>
      </c>
      <c r="P452" t="s">
        <v>1571</v>
      </c>
      <c r="Q452" t="s">
        <v>207</v>
      </c>
      <c r="R452" t="s">
        <v>2234</v>
      </c>
      <c r="S452" t="s">
        <v>1573</v>
      </c>
      <c r="T452" t="s">
        <v>42</v>
      </c>
      <c r="U452">
        <v>59</v>
      </c>
      <c r="V452">
        <v>290</v>
      </c>
      <c r="W452">
        <v>232</v>
      </c>
      <c r="X452" t="s">
        <v>720</v>
      </c>
      <c r="Y452" t="s">
        <v>2235</v>
      </c>
      <c r="Z452" t="s">
        <v>458</v>
      </c>
      <c r="AA452" t="s">
        <v>1575</v>
      </c>
      <c r="AB452" t="s">
        <v>2236</v>
      </c>
      <c r="AC452" t="s">
        <v>697</v>
      </c>
      <c r="AD452" t="s">
        <v>101</v>
      </c>
      <c r="AE452">
        <v>231</v>
      </c>
      <c r="AF452" t="s">
        <v>1577</v>
      </c>
    </row>
    <row r="453" spans="1:32" x14ac:dyDescent="0.75">
      <c r="A453" s="22" t="s">
        <v>6047</v>
      </c>
      <c r="B453" t="s">
        <v>2271</v>
      </c>
      <c r="C453" t="s">
        <v>1563</v>
      </c>
      <c r="D453" t="s">
        <v>2272</v>
      </c>
      <c r="E453" t="s">
        <v>2273</v>
      </c>
      <c r="F453" t="s">
        <v>2274</v>
      </c>
      <c r="G453" s="1" t="str">
        <f>HYPERLINK("https://homd.org/jbrowse/?data=homd_V11.02_phage_1.2%2FGCA_004354345.1&amp;loc=GCA_004354345.1%7CCP037913.1%3A1124003..1130815&amp;tracks=prokka,prokka_ncrna,ncbi,ncbi_ncrna,panggolin,cenote,genomad&amp;highlight=","Open JBrowse")</f>
        <v>Open JBrowse</v>
      </c>
      <c r="H453">
        <v>1127003</v>
      </c>
      <c r="I453">
        <v>1127815</v>
      </c>
      <c r="J453" t="s">
        <v>2275</v>
      </c>
      <c r="K453" t="s">
        <v>59</v>
      </c>
      <c r="L453" t="s">
        <v>2276</v>
      </c>
      <c r="M453" t="s">
        <v>2277</v>
      </c>
      <c r="N453" t="s">
        <v>42</v>
      </c>
      <c r="O453">
        <v>3</v>
      </c>
      <c r="P453" t="s">
        <v>42</v>
      </c>
      <c r="Q453" t="s">
        <v>59</v>
      </c>
      <c r="R453" t="s">
        <v>2278</v>
      </c>
      <c r="S453" t="s">
        <v>2276</v>
      </c>
      <c r="T453" t="s">
        <v>42</v>
      </c>
      <c r="U453">
        <v>34</v>
      </c>
      <c r="V453">
        <v>267</v>
      </c>
      <c r="W453">
        <v>234</v>
      </c>
      <c r="X453" t="s">
        <v>2279</v>
      </c>
      <c r="Y453" t="s">
        <v>2280</v>
      </c>
      <c r="Z453" t="s">
        <v>132</v>
      </c>
      <c r="AA453" t="s">
        <v>2281</v>
      </c>
      <c r="AB453" t="s">
        <v>2282</v>
      </c>
      <c r="AC453" t="s">
        <v>1132</v>
      </c>
      <c r="AD453" t="s">
        <v>101</v>
      </c>
      <c r="AE453">
        <v>379</v>
      </c>
      <c r="AF453" t="s">
        <v>165</v>
      </c>
    </row>
    <row r="454" spans="1:32" x14ac:dyDescent="0.75">
      <c r="A454" s="22" t="s">
        <v>6047</v>
      </c>
      <c r="B454" t="s">
        <v>2283</v>
      </c>
      <c r="C454" t="s">
        <v>1563</v>
      </c>
      <c r="D454" t="s">
        <v>1564</v>
      </c>
      <c r="E454" t="s">
        <v>1565</v>
      </c>
      <c r="F454" t="s">
        <v>2284</v>
      </c>
      <c r="G454" s="1" t="str">
        <f>HYPERLINK("https://homd.org/jbrowse/?data=homd_V11.02_phage_1.2%2FGCA_004519295.1&amp;loc=GCA_004519295.1%7CSOZH01000001.1%3A296855..304162&amp;tracks=prokka,prokka_ncrna,ncbi,ncbi_ncrna,panggolin,cenote,genomad&amp;highlight=","Open JBrowse")</f>
        <v>Open JBrowse</v>
      </c>
      <c r="H454">
        <v>299855</v>
      </c>
      <c r="I454">
        <v>301162</v>
      </c>
      <c r="J454" t="s">
        <v>2285</v>
      </c>
      <c r="K454" t="s">
        <v>1568</v>
      </c>
      <c r="L454" t="s">
        <v>1569</v>
      </c>
      <c r="M454" t="s">
        <v>1570</v>
      </c>
      <c r="N454" t="s">
        <v>205</v>
      </c>
      <c r="O454">
        <v>3</v>
      </c>
      <c r="P454" t="s">
        <v>1571</v>
      </c>
      <c r="Q454" t="s">
        <v>207</v>
      </c>
      <c r="R454" t="s">
        <v>2286</v>
      </c>
      <c r="S454" t="s">
        <v>1573</v>
      </c>
      <c r="T454" t="s">
        <v>42</v>
      </c>
      <c r="U454">
        <v>59</v>
      </c>
      <c r="V454">
        <v>290</v>
      </c>
      <c r="W454">
        <v>232</v>
      </c>
      <c r="X454" t="s">
        <v>720</v>
      </c>
      <c r="Y454" t="s">
        <v>2287</v>
      </c>
      <c r="Z454" t="s">
        <v>547</v>
      </c>
      <c r="AA454" t="s">
        <v>2288</v>
      </c>
      <c r="AB454" t="s">
        <v>2289</v>
      </c>
      <c r="AC454" t="s">
        <v>697</v>
      </c>
      <c r="AD454" t="s">
        <v>101</v>
      </c>
      <c r="AE454">
        <v>231</v>
      </c>
      <c r="AF454" t="s">
        <v>2290</v>
      </c>
    </row>
    <row r="455" spans="1:32" x14ac:dyDescent="0.75">
      <c r="A455" s="22" t="s">
        <v>6047</v>
      </c>
      <c r="B455" t="s">
        <v>2342</v>
      </c>
      <c r="C455" t="s">
        <v>1563</v>
      </c>
      <c r="D455" t="s">
        <v>2272</v>
      </c>
      <c r="E455" t="s">
        <v>2273</v>
      </c>
      <c r="F455" t="s">
        <v>2343</v>
      </c>
      <c r="G455" s="1" t="str">
        <f>HYPERLINK("https://homd.org/jbrowse/?data=homd_V11.02_phage_1.2%2FGCA_006439055.1&amp;loc=GCA_006439055.1%7CRCZC01000001.1%3A595088..601900&amp;tracks=prokka,prokka_ncrna,ncbi,ncbi_ncrna,panggolin,cenote,genomad&amp;highlight=","Open JBrowse")</f>
        <v>Open JBrowse</v>
      </c>
      <c r="H455">
        <v>598088</v>
      </c>
      <c r="I455">
        <v>598900</v>
      </c>
      <c r="J455" t="s">
        <v>2344</v>
      </c>
      <c r="K455" t="s">
        <v>59</v>
      </c>
      <c r="L455" t="s">
        <v>2345</v>
      </c>
      <c r="M455" t="s">
        <v>2277</v>
      </c>
      <c r="N455" t="s">
        <v>42</v>
      </c>
      <c r="O455">
        <v>3</v>
      </c>
      <c r="P455" t="s">
        <v>42</v>
      </c>
      <c r="Q455" t="s">
        <v>59</v>
      </c>
      <c r="R455" t="s">
        <v>2346</v>
      </c>
      <c r="S455" t="s">
        <v>2345</v>
      </c>
      <c r="T455" t="s">
        <v>42</v>
      </c>
      <c r="U455">
        <v>35</v>
      </c>
      <c r="V455">
        <v>267</v>
      </c>
      <c r="W455">
        <v>233</v>
      </c>
      <c r="X455" t="s">
        <v>2279</v>
      </c>
      <c r="Y455" t="s">
        <v>2347</v>
      </c>
      <c r="Z455" t="s">
        <v>302</v>
      </c>
      <c r="AA455" t="s">
        <v>2348</v>
      </c>
      <c r="AB455" t="s">
        <v>2349</v>
      </c>
      <c r="AC455" t="s">
        <v>100</v>
      </c>
      <c r="AD455" t="s">
        <v>101</v>
      </c>
      <c r="AE455">
        <v>471.2</v>
      </c>
      <c r="AF455" t="s">
        <v>2350</v>
      </c>
    </row>
    <row r="456" spans="1:32" x14ac:dyDescent="0.75">
      <c r="A456" s="22" t="s">
        <v>6047</v>
      </c>
      <c r="B456" t="s">
        <v>2708</v>
      </c>
      <c r="C456" t="s">
        <v>1563</v>
      </c>
      <c r="D456" t="s">
        <v>1564</v>
      </c>
      <c r="E456" t="s">
        <v>1565</v>
      </c>
      <c r="F456" t="s">
        <v>2709</v>
      </c>
      <c r="G456" s="1" t="str">
        <f>HYPERLINK("https://homd.org/jbrowse/?data=homd_V11.02_phage_1.2%2FGCA_013127315.1&amp;loc=GCA_013127315.1%7CCP053419.1%3A4060121..4067428&amp;tracks=prokka,prokka_ncrna,ncbi,ncbi_ncrna,panggolin,cenote,genomad&amp;highlight=","Open JBrowse")</f>
        <v>Open JBrowse</v>
      </c>
      <c r="H456">
        <v>4063121</v>
      </c>
      <c r="I456">
        <v>4064428</v>
      </c>
      <c r="J456" t="s">
        <v>2710</v>
      </c>
      <c r="K456" t="s">
        <v>1568</v>
      </c>
      <c r="L456" t="s">
        <v>1569</v>
      </c>
      <c r="M456" t="s">
        <v>1570</v>
      </c>
      <c r="N456" t="s">
        <v>205</v>
      </c>
      <c r="O456">
        <v>3</v>
      </c>
      <c r="P456" t="s">
        <v>1571</v>
      </c>
      <c r="Q456" t="s">
        <v>207</v>
      </c>
      <c r="R456" t="s">
        <v>2711</v>
      </c>
      <c r="S456" t="s">
        <v>1573</v>
      </c>
      <c r="T456" t="s">
        <v>42</v>
      </c>
      <c r="U456">
        <v>59</v>
      </c>
      <c r="V456">
        <v>290</v>
      </c>
      <c r="W456">
        <v>232</v>
      </c>
      <c r="X456" t="s">
        <v>720</v>
      </c>
      <c r="Y456" t="s">
        <v>2712</v>
      </c>
      <c r="Z456" t="s">
        <v>2583</v>
      </c>
      <c r="AA456" t="s">
        <v>2713</v>
      </c>
    </row>
    <row r="457" spans="1:32" x14ac:dyDescent="0.75">
      <c r="A457" s="22" t="s">
        <v>6047</v>
      </c>
      <c r="B457" t="s">
        <v>2892</v>
      </c>
      <c r="C457" t="s">
        <v>1563</v>
      </c>
      <c r="D457" t="s">
        <v>2272</v>
      </c>
      <c r="E457" t="s">
        <v>2273</v>
      </c>
      <c r="F457" t="s">
        <v>2893</v>
      </c>
      <c r="G457" s="1" t="str">
        <f>HYPERLINK("https://homd.org/jbrowse/?data=homd_V11.02_phage_1.2%2FGCA_014653575.1&amp;loc=GCA_014653575.1%7CBNAQ01000006.1%3A134274..141086&amp;tracks=prokka,prokka_ncrna,ncbi,ncbi_ncrna,panggolin,cenote,genomad&amp;highlight=","Open JBrowse")</f>
        <v>Open JBrowse</v>
      </c>
      <c r="H457">
        <v>137274</v>
      </c>
      <c r="I457">
        <v>138086</v>
      </c>
      <c r="J457" t="s">
        <v>2894</v>
      </c>
      <c r="K457" t="s">
        <v>59</v>
      </c>
      <c r="L457" t="s">
        <v>2276</v>
      </c>
      <c r="M457" t="s">
        <v>2277</v>
      </c>
      <c r="N457" t="s">
        <v>42</v>
      </c>
      <c r="O457">
        <v>3</v>
      </c>
      <c r="P457" t="s">
        <v>42</v>
      </c>
      <c r="Q457" t="s">
        <v>59</v>
      </c>
      <c r="R457" t="s">
        <v>2895</v>
      </c>
      <c r="S457" t="s">
        <v>2276</v>
      </c>
      <c r="T457" t="s">
        <v>42</v>
      </c>
      <c r="U457">
        <v>34</v>
      </c>
      <c r="V457">
        <v>267</v>
      </c>
      <c r="W457">
        <v>234</v>
      </c>
      <c r="X457" t="s">
        <v>2279</v>
      </c>
      <c r="Y457" t="s">
        <v>2896</v>
      </c>
      <c r="Z457" t="s">
        <v>83</v>
      </c>
      <c r="AA457" t="s">
        <v>2897</v>
      </c>
      <c r="AB457" t="s">
        <v>2898</v>
      </c>
      <c r="AC457" t="s">
        <v>1132</v>
      </c>
      <c r="AD457" t="s">
        <v>101</v>
      </c>
      <c r="AE457">
        <v>381</v>
      </c>
      <c r="AF457" t="s">
        <v>165</v>
      </c>
    </row>
    <row r="458" spans="1:32" x14ac:dyDescent="0.75">
      <c r="A458" s="22" t="s">
        <v>6047</v>
      </c>
      <c r="B458" t="s">
        <v>3070</v>
      </c>
      <c r="C458" t="s">
        <v>1563</v>
      </c>
      <c r="D458" t="s">
        <v>1564</v>
      </c>
      <c r="E458" t="s">
        <v>1565</v>
      </c>
      <c r="F458" t="s">
        <v>3071</v>
      </c>
      <c r="G458" s="1" t="str">
        <f>HYPERLINK("https://homd.org/jbrowse/?data=homd_V11.02_phage_1.2%2FGCA_015327065.1&amp;loc=GCA_015327065.1%7CCP017660.1%3A3699897..3707213&amp;tracks=prokka,prokka_ncrna,ncbi,ncbi_ncrna,panggolin,cenote,genomad&amp;highlight=","Open JBrowse")</f>
        <v>Open JBrowse</v>
      </c>
      <c r="H458">
        <v>3702897</v>
      </c>
      <c r="I458">
        <v>3704213</v>
      </c>
      <c r="J458" t="s">
        <v>3072</v>
      </c>
      <c r="K458" t="s">
        <v>1568</v>
      </c>
      <c r="L458" t="s">
        <v>3073</v>
      </c>
      <c r="M458" t="s">
        <v>3074</v>
      </c>
      <c r="N458" t="s">
        <v>205</v>
      </c>
      <c r="O458">
        <v>3</v>
      </c>
      <c r="P458" t="s">
        <v>1571</v>
      </c>
      <c r="Q458" t="s">
        <v>207</v>
      </c>
      <c r="R458" t="s">
        <v>3075</v>
      </c>
      <c r="S458" t="s">
        <v>1573</v>
      </c>
      <c r="T458" t="s">
        <v>42</v>
      </c>
      <c r="U458">
        <v>59</v>
      </c>
      <c r="V458">
        <v>290</v>
      </c>
      <c r="W458">
        <v>232</v>
      </c>
      <c r="X458" t="s">
        <v>720</v>
      </c>
      <c r="Y458" t="s">
        <v>3076</v>
      </c>
      <c r="Z458" t="s">
        <v>594</v>
      </c>
      <c r="AA458" t="s">
        <v>3077</v>
      </c>
      <c r="AB458" t="s">
        <v>3078</v>
      </c>
      <c r="AC458" t="s">
        <v>697</v>
      </c>
      <c r="AD458" t="s">
        <v>101</v>
      </c>
      <c r="AE458">
        <v>230</v>
      </c>
      <c r="AF458" t="s">
        <v>1577</v>
      </c>
    </row>
    <row r="459" spans="1:32" x14ac:dyDescent="0.75">
      <c r="A459" s="22" t="s">
        <v>6047</v>
      </c>
      <c r="B459" t="s">
        <v>3464</v>
      </c>
      <c r="C459" t="s">
        <v>1563</v>
      </c>
      <c r="D459" t="s">
        <v>1564</v>
      </c>
      <c r="E459" t="s">
        <v>1565</v>
      </c>
      <c r="F459" t="s">
        <v>3465</v>
      </c>
      <c r="G459" s="1" t="str">
        <f>HYPERLINK("https://homd.org/jbrowse/?data=homd_V11.02_phage_1.2%2FGCA_018128265.1&amp;loc=GCA_018128265.1%7CCP072387.1%3A3696728..3704056&amp;tracks=prokka,prokka_ncrna,ncbi,ncbi_ncrna,panggolin,cenote,genomad&amp;highlight=","Open JBrowse")</f>
        <v>Open JBrowse</v>
      </c>
      <c r="H459">
        <v>3699728</v>
      </c>
      <c r="I459">
        <v>3701056</v>
      </c>
      <c r="J459" t="s">
        <v>3466</v>
      </c>
      <c r="K459" t="s">
        <v>1568</v>
      </c>
      <c r="L459" t="s">
        <v>3467</v>
      </c>
      <c r="M459" t="s">
        <v>3468</v>
      </c>
      <c r="N459" t="s">
        <v>205</v>
      </c>
      <c r="O459">
        <v>3</v>
      </c>
      <c r="P459" t="s">
        <v>1571</v>
      </c>
      <c r="Q459" t="s">
        <v>207</v>
      </c>
      <c r="R459" t="s">
        <v>3469</v>
      </c>
      <c r="S459" t="s">
        <v>3470</v>
      </c>
      <c r="T459" t="s">
        <v>42</v>
      </c>
      <c r="U459">
        <v>63</v>
      </c>
      <c r="V459">
        <v>294</v>
      </c>
      <c r="W459">
        <v>232</v>
      </c>
      <c r="X459" t="s">
        <v>720</v>
      </c>
      <c r="Y459" t="s">
        <v>3471</v>
      </c>
      <c r="Z459" t="s">
        <v>556</v>
      </c>
      <c r="AA459" t="s">
        <v>3472</v>
      </c>
    </row>
    <row r="460" spans="1:32" x14ac:dyDescent="0.75">
      <c r="A460" s="22" t="s">
        <v>6047</v>
      </c>
      <c r="B460" t="s">
        <v>3986</v>
      </c>
      <c r="C460" t="s">
        <v>1563</v>
      </c>
      <c r="D460" t="s">
        <v>1906</v>
      </c>
      <c r="E460" t="s">
        <v>1907</v>
      </c>
      <c r="F460" t="s">
        <v>3987</v>
      </c>
      <c r="G460" s="1" t="str">
        <f>HYPERLINK("https://homd.org/jbrowse/?data=homd_V11.02_phage_1.2%2FGCA_020555745.1&amp;loc=GCA_020555745.1%7CJAJCJI010000005.1%3A573..7451&amp;tracks=prokka,prokka_ncrna,ncbi,ncbi_ncrna,panggolin,cenote,genomad&amp;highlight=","Open JBrowse")</f>
        <v>Open JBrowse</v>
      </c>
      <c r="H460">
        <v>3573</v>
      </c>
      <c r="I460">
        <v>4451</v>
      </c>
      <c r="J460" t="s">
        <v>3988</v>
      </c>
      <c r="K460" t="s">
        <v>109</v>
      </c>
      <c r="L460" t="s">
        <v>1910</v>
      </c>
      <c r="M460" t="s">
        <v>1911</v>
      </c>
      <c r="N460" t="s">
        <v>42</v>
      </c>
      <c r="O460">
        <v>3</v>
      </c>
      <c r="P460" t="s">
        <v>42</v>
      </c>
      <c r="Q460" t="s">
        <v>101</v>
      </c>
      <c r="R460" t="s">
        <v>3989</v>
      </c>
      <c r="S460" t="s">
        <v>1910</v>
      </c>
      <c r="T460" t="s">
        <v>42</v>
      </c>
      <c r="U460">
        <v>67</v>
      </c>
      <c r="V460">
        <v>289</v>
      </c>
      <c r="W460">
        <v>223</v>
      </c>
      <c r="X460" t="s">
        <v>248</v>
      </c>
      <c r="Y460" t="s">
        <v>3990</v>
      </c>
      <c r="Z460" t="s">
        <v>336</v>
      </c>
      <c r="AA460" t="s">
        <v>3991</v>
      </c>
      <c r="AB460" t="s">
        <v>3992</v>
      </c>
      <c r="AC460" t="s">
        <v>3993</v>
      </c>
      <c r="AD460" t="s">
        <v>3994</v>
      </c>
      <c r="AE460">
        <v>1095</v>
      </c>
      <c r="AF460" t="s">
        <v>386</v>
      </c>
    </row>
    <row r="461" spans="1:32" x14ac:dyDescent="0.75">
      <c r="A461" s="22" t="s">
        <v>6047</v>
      </c>
      <c r="B461" t="s">
        <v>3995</v>
      </c>
      <c r="C461" t="s">
        <v>1563</v>
      </c>
      <c r="D461" t="s">
        <v>1906</v>
      </c>
      <c r="E461" t="s">
        <v>1907</v>
      </c>
      <c r="F461" t="s">
        <v>3996</v>
      </c>
      <c r="G461" s="1" t="str">
        <f>HYPERLINK("https://homd.org/jbrowse/?data=homd_V11.02_phage_1.2%2FGCA_020735565.1&amp;loc=GCA_020735565.1%7CCP085926.1%3A1842622..1849500&amp;tracks=prokka,prokka_ncrna,ncbi,ncbi_ncrna,panggolin,cenote,genomad&amp;highlight=","Open JBrowse")</f>
        <v>Open JBrowse</v>
      </c>
      <c r="H461">
        <v>1845622</v>
      </c>
      <c r="I461">
        <v>1846500</v>
      </c>
      <c r="J461" t="s">
        <v>3997</v>
      </c>
      <c r="K461" t="s">
        <v>109</v>
      </c>
      <c r="L461" t="s">
        <v>1910</v>
      </c>
      <c r="M461" t="s">
        <v>1911</v>
      </c>
      <c r="N461" t="s">
        <v>42</v>
      </c>
      <c r="O461">
        <v>3</v>
      </c>
      <c r="P461" t="s">
        <v>42</v>
      </c>
      <c r="Q461" t="s">
        <v>101</v>
      </c>
      <c r="R461" t="s">
        <v>3998</v>
      </c>
      <c r="S461" t="s">
        <v>1910</v>
      </c>
      <c r="T461" t="s">
        <v>42</v>
      </c>
      <c r="U461">
        <v>67</v>
      </c>
      <c r="V461">
        <v>289</v>
      </c>
      <c r="W461">
        <v>223</v>
      </c>
      <c r="X461" t="s">
        <v>248</v>
      </c>
      <c r="Y461" t="s">
        <v>3999</v>
      </c>
      <c r="Z461" t="s">
        <v>530</v>
      </c>
      <c r="AA461" t="s">
        <v>4000</v>
      </c>
      <c r="AB461" t="s">
        <v>4001</v>
      </c>
      <c r="AC461" t="s">
        <v>4002</v>
      </c>
      <c r="AD461" t="s">
        <v>4003</v>
      </c>
      <c r="AE461">
        <v>3591.5</v>
      </c>
      <c r="AF461" t="s">
        <v>4004</v>
      </c>
    </row>
    <row r="462" spans="1:32" x14ac:dyDescent="0.75">
      <c r="A462" s="22" t="s">
        <v>6047</v>
      </c>
      <c r="B462" t="s">
        <v>4752</v>
      </c>
      <c r="C462" t="s">
        <v>1563</v>
      </c>
      <c r="D462" t="s">
        <v>1906</v>
      </c>
      <c r="E462" t="s">
        <v>1907</v>
      </c>
      <c r="F462" t="s">
        <v>4753</v>
      </c>
      <c r="G462" s="1" t="str">
        <f>HYPERLINK("https://homd.org/jbrowse/?data=homd_V11.02_phage_1.2%2FGCA_025151385.1&amp;loc=GCA_025151385.1%7CCP102287.1%3A1710066..1716944&amp;tracks=prokka,prokka_ncrna,ncbi,ncbi_ncrna,panggolin,cenote,genomad&amp;highlight=","Open JBrowse")</f>
        <v>Open JBrowse</v>
      </c>
      <c r="H462">
        <v>1713066</v>
      </c>
      <c r="I462">
        <v>1713944</v>
      </c>
      <c r="J462" t="s">
        <v>4754</v>
      </c>
      <c r="K462" t="s">
        <v>109</v>
      </c>
      <c r="L462" t="s">
        <v>1910</v>
      </c>
      <c r="M462" t="s">
        <v>1911</v>
      </c>
      <c r="N462" t="s">
        <v>42</v>
      </c>
      <c r="O462">
        <v>3</v>
      </c>
      <c r="P462" t="s">
        <v>42</v>
      </c>
      <c r="Q462" t="s">
        <v>101</v>
      </c>
      <c r="R462" t="s">
        <v>4755</v>
      </c>
      <c r="S462" t="s">
        <v>1910</v>
      </c>
      <c r="T462" t="s">
        <v>42</v>
      </c>
      <c r="U462">
        <v>67</v>
      </c>
      <c r="V462">
        <v>289</v>
      </c>
      <c r="W462">
        <v>223</v>
      </c>
      <c r="X462" t="s">
        <v>248</v>
      </c>
      <c r="Y462" t="s">
        <v>4756</v>
      </c>
      <c r="Z462" t="s">
        <v>118</v>
      </c>
      <c r="AA462" t="s">
        <v>4757</v>
      </c>
      <c r="AB462" t="s">
        <v>4758</v>
      </c>
      <c r="AC462" t="s">
        <v>4002</v>
      </c>
      <c r="AD462" t="s">
        <v>4003</v>
      </c>
      <c r="AE462">
        <v>3591.5</v>
      </c>
      <c r="AF462" t="s">
        <v>4759</v>
      </c>
    </row>
    <row r="463" spans="1:32" x14ac:dyDescent="0.75">
      <c r="A463" s="22" t="s">
        <v>6047</v>
      </c>
      <c r="B463" t="s">
        <v>5145</v>
      </c>
      <c r="C463" t="s">
        <v>1563</v>
      </c>
      <c r="D463" t="s">
        <v>1564</v>
      </c>
      <c r="E463" t="s">
        <v>1565</v>
      </c>
      <c r="F463" t="s">
        <v>5146</v>
      </c>
      <c r="G463" s="1" t="str">
        <f>HYPERLINK("https://homd.org/jbrowse/?data=homd_V11.02_phage_1.2%2FGCA_900155925.1&amp;loc=GCA_900155925.1%7CFTMI01000002.1%3A283290..290621&amp;tracks=prokka,prokka_ncrna,ncbi,ncbi_ncrna,panggolin,cenote,genomad&amp;highlight=","Open JBrowse")</f>
        <v>Open JBrowse</v>
      </c>
      <c r="H463">
        <v>286290</v>
      </c>
      <c r="I463">
        <v>287621</v>
      </c>
      <c r="J463" t="s">
        <v>5147</v>
      </c>
      <c r="K463" t="s">
        <v>1568</v>
      </c>
      <c r="L463" t="s">
        <v>5148</v>
      </c>
      <c r="M463" t="s">
        <v>5149</v>
      </c>
      <c r="N463" t="s">
        <v>205</v>
      </c>
      <c r="O463">
        <v>3</v>
      </c>
      <c r="P463" t="s">
        <v>1571</v>
      </c>
      <c r="Q463" t="s">
        <v>207</v>
      </c>
      <c r="R463" t="s">
        <v>5150</v>
      </c>
      <c r="S463" t="s">
        <v>5151</v>
      </c>
      <c r="T463" t="s">
        <v>42</v>
      </c>
      <c r="U463">
        <v>67</v>
      </c>
      <c r="V463">
        <v>298</v>
      </c>
      <c r="W463">
        <v>232</v>
      </c>
      <c r="X463" t="s">
        <v>720</v>
      </c>
      <c r="Y463" t="s">
        <v>5152</v>
      </c>
      <c r="Z463" t="s">
        <v>281</v>
      </c>
      <c r="AA463" t="s">
        <v>5153</v>
      </c>
    </row>
    <row r="464" spans="1:32" x14ac:dyDescent="0.75">
      <c r="A464" s="22" t="s">
        <v>6047</v>
      </c>
      <c r="B464" t="s">
        <v>5356</v>
      </c>
      <c r="C464" t="s">
        <v>1563</v>
      </c>
      <c r="D464" t="s">
        <v>1906</v>
      </c>
      <c r="E464" t="s">
        <v>1907</v>
      </c>
      <c r="F464" t="s">
        <v>5357</v>
      </c>
      <c r="G464" s="1" t="str">
        <f>HYPERLINK("https://homd.org/jbrowse/?data=homd_V11.02_phage_1.2%2FGCA_902465605.1&amp;loc=GCA_902465605.1%7CCABQNT010000016.1%3A40209..46757&amp;tracks=prokka,prokka_ncrna,ncbi,ncbi_ncrna,panggolin,cenote,genomad&amp;highlight=","Open JBrowse")</f>
        <v>Open JBrowse</v>
      </c>
      <c r="H464">
        <v>43209</v>
      </c>
      <c r="I464">
        <v>43757</v>
      </c>
      <c r="J464" t="s">
        <v>5358</v>
      </c>
      <c r="K464" t="s">
        <v>59</v>
      </c>
      <c r="L464" t="s">
        <v>5359</v>
      </c>
      <c r="M464" t="s">
        <v>5360</v>
      </c>
      <c r="N464" t="s">
        <v>59</v>
      </c>
      <c r="O464">
        <v>2</v>
      </c>
      <c r="P464" t="s">
        <v>42</v>
      </c>
      <c r="Q464" t="s">
        <v>59</v>
      </c>
      <c r="R464" t="s">
        <v>5361</v>
      </c>
      <c r="S464" t="s">
        <v>5359</v>
      </c>
      <c r="T464" t="s">
        <v>42</v>
      </c>
      <c r="U464">
        <v>3</v>
      </c>
      <c r="V464">
        <v>170</v>
      </c>
      <c r="W464">
        <v>168</v>
      </c>
      <c r="X464" t="s">
        <v>160</v>
      </c>
      <c r="Y464" t="s">
        <v>5362</v>
      </c>
      <c r="Z464" t="s">
        <v>811</v>
      </c>
      <c r="AA464" t="s">
        <v>5363</v>
      </c>
    </row>
    <row r="465" spans="1:34" x14ac:dyDescent="0.75">
      <c r="A465" s="22" t="s">
        <v>6047</v>
      </c>
      <c r="B465" t="s">
        <v>5356</v>
      </c>
      <c r="C465" t="s">
        <v>1563</v>
      </c>
      <c r="D465" t="s">
        <v>1906</v>
      </c>
      <c r="E465" t="s">
        <v>1907</v>
      </c>
      <c r="F465" t="s">
        <v>5364</v>
      </c>
      <c r="G465" s="1" t="str">
        <f>HYPERLINK("https://homd.org/jbrowse/?data=homd_V11.02_phage_1.2%2FGCA_902465605.1&amp;loc=GCA_902465605.1%7CCABQNT010000023.1%3A10883..17521&amp;tracks=prokka,prokka_ncrna,ncbi,ncbi_ncrna,panggolin,cenote,genomad&amp;highlight=","Open JBrowse")</f>
        <v>Open JBrowse</v>
      </c>
      <c r="H465">
        <v>13883</v>
      </c>
      <c r="I465">
        <v>14521</v>
      </c>
      <c r="J465" t="s">
        <v>5365</v>
      </c>
      <c r="K465" t="s">
        <v>109</v>
      </c>
      <c r="L465" t="s">
        <v>5366</v>
      </c>
      <c r="M465" t="s">
        <v>5367</v>
      </c>
      <c r="N465" t="s">
        <v>42</v>
      </c>
      <c r="O465">
        <v>3</v>
      </c>
      <c r="P465" t="s">
        <v>42</v>
      </c>
      <c r="Q465" t="s">
        <v>101</v>
      </c>
      <c r="R465" t="s">
        <v>5361</v>
      </c>
      <c r="S465" t="s">
        <v>5366</v>
      </c>
      <c r="T465" t="s">
        <v>42</v>
      </c>
      <c r="U465">
        <v>4</v>
      </c>
      <c r="V465">
        <v>209</v>
      </c>
      <c r="W465">
        <v>206</v>
      </c>
      <c r="X465" t="s">
        <v>248</v>
      </c>
      <c r="Y465" t="s">
        <v>5368</v>
      </c>
      <c r="Z465" t="s">
        <v>773</v>
      </c>
      <c r="AA465" t="s">
        <v>5369</v>
      </c>
      <c r="AB465" t="s">
        <v>5370</v>
      </c>
      <c r="AC465" t="s">
        <v>4002</v>
      </c>
      <c r="AD465" t="s">
        <v>4003</v>
      </c>
      <c r="AE465">
        <v>5100.8</v>
      </c>
      <c r="AF465" t="s">
        <v>4004</v>
      </c>
    </row>
    <row r="466" spans="1:34" x14ac:dyDescent="0.75">
      <c r="A466" s="22" t="s">
        <v>6047</v>
      </c>
      <c r="B466" t="s">
        <v>962</v>
      </c>
      <c r="C466" t="s">
        <v>963</v>
      </c>
      <c r="D466" t="s">
        <v>964</v>
      </c>
      <c r="E466" t="s">
        <v>965</v>
      </c>
      <c r="F466" t="s">
        <v>966</v>
      </c>
      <c r="G466" s="1" t="str">
        <f>HYPERLINK("https://homd.org/jbrowse/?data=homd_V11.02_phage_1.2%2FGCA_000428105.1&amp;loc=GCA_000428105.1%7CATZH01000009.1%3A68702..75808&amp;tracks=prokka,prokka_ncrna,ncbi,ncbi_ncrna,panggolin,cenote,genomad&amp;highlight=","Open JBrowse")</f>
        <v>Open JBrowse</v>
      </c>
      <c r="H466">
        <v>71702</v>
      </c>
      <c r="I466">
        <v>72808</v>
      </c>
      <c r="J466" t="s">
        <v>967</v>
      </c>
      <c r="K466" t="s">
        <v>39</v>
      </c>
      <c r="L466" t="s">
        <v>968</v>
      </c>
      <c r="M466" t="s">
        <v>969</v>
      </c>
      <c r="N466" t="s">
        <v>42</v>
      </c>
      <c r="O466">
        <v>3</v>
      </c>
      <c r="P466" t="s">
        <v>42</v>
      </c>
      <c r="Q466" t="s">
        <v>43</v>
      </c>
      <c r="R466" t="s">
        <v>970</v>
      </c>
      <c r="S466" t="s">
        <v>968</v>
      </c>
      <c r="T466" t="s">
        <v>42</v>
      </c>
      <c r="U466">
        <v>134</v>
      </c>
      <c r="V466">
        <v>363</v>
      </c>
      <c r="W466">
        <v>230</v>
      </c>
      <c r="X466" t="s">
        <v>971</v>
      </c>
      <c r="Y466" t="s">
        <v>972</v>
      </c>
      <c r="Z466" t="s">
        <v>586</v>
      </c>
      <c r="AA466" t="s">
        <v>973</v>
      </c>
    </row>
    <row r="467" spans="1:34" x14ac:dyDescent="0.75">
      <c r="A467" s="22" t="s">
        <v>6047</v>
      </c>
      <c r="B467" t="s">
        <v>962</v>
      </c>
      <c r="C467" t="s">
        <v>963</v>
      </c>
      <c r="D467" t="s">
        <v>964</v>
      </c>
      <c r="E467" t="s">
        <v>965</v>
      </c>
      <c r="F467" t="s">
        <v>974</v>
      </c>
      <c r="G467" s="1" t="str">
        <f>HYPERLINK("https://homd.org/jbrowse/?data=homd_V11.02_phage_1.2%2FGCA_000428105.1&amp;loc=GCA_000428105.1%7CATZH01000023.1%3A5848..13149&amp;tracks=prokka,prokka_ncrna,ncbi,ncbi_ncrna,panggolin,cenote,genomad&amp;highlight=","Open JBrowse")</f>
        <v>Open JBrowse</v>
      </c>
      <c r="H467">
        <v>8848</v>
      </c>
      <c r="I467">
        <v>10149</v>
      </c>
      <c r="J467" t="s">
        <v>975</v>
      </c>
      <c r="K467" t="s">
        <v>627</v>
      </c>
      <c r="L467" t="s">
        <v>976</v>
      </c>
      <c r="M467" t="s">
        <v>977</v>
      </c>
      <c r="N467" t="s">
        <v>42</v>
      </c>
      <c r="O467">
        <v>3</v>
      </c>
      <c r="P467" t="s">
        <v>978</v>
      </c>
      <c r="Q467" t="s">
        <v>51</v>
      </c>
      <c r="R467" t="s">
        <v>970</v>
      </c>
      <c r="S467" t="s">
        <v>979</v>
      </c>
      <c r="T467" t="s">
        <v>42</v>
      </c>
      <c r="U467">
        <v>48</v>
      </c>
      <c r="V467">
        <v>278</v>
      </c>
      <c r="W467">
        <v>231</v>
      </c>
      <c r="X467" t="s">
        <v>980</v>
      </c>
      <c r="Y467" t="s">
        <v>981</v>
      </c>
      <c r="Z467" t="s">
        <v>904</v>
      </c>
      <c r="AA467" t="s">
        <v>982</v>
      </c>
      <c r="AB467" t="s">
        <v>983</v>
      </c>
      <c r="AC467" t="s">
        <v>984</v>
      </c>
      <c r="AD467" t="s">
        <v>985</v>
      </c>
      <c r="AE467">
        <v>1696</v>
      </c>
      <c r="AF467" t="s">
        <v>986</v>
      </c>
    </row>
    <row r="468" spans="1:34" x14ac:dyDescent="0.75">
      <c r="A468" s="22" t="s">
        <v>6047</v>
      </c>
      <c r="B468" t="s">
        <v>962</v>
      </c>
      <c r="C468" t="s">
        <v>963</v>
      </c>
      <c r="D468" t="s">
        <v>964</v>
      </c>
      <c r="E468" t="s">
        <v>965</v>
      </c>
      <c r="F468" t="s">
        <v>987</v>
      </c>
      <c r="G468" s="1" t="str">
        <f>HYPERLINK("https://homd.org/jbrowse/?data=homd_V11.02_phage_1.2%2FGCA_000428105.1&amp;loc=GCA_000428105.1%7CATZH01000047.1%3A16469..23638&amp;tracks=prokka,prokka_ncrna,ncbi,ncbi_ncrna,panggolin,cenote,genomad&amp;highlight=","Open JBrowse")</f>
        <v>Open JBrowse</v>
      </c>
      <c r="H468">
        <v>19469</v>
      </c>
      <c r="I468">
        <v>20638</v>
      </c>
      <c r="J468" t="s">
        <v>988</v>
      </c>
      <c r="K468" t="s">
        <v>109</v>
      </c>
      <c r="L468" t="s">
        <v>989</v>
      </c>
      <c r="M468" t="s">
        <v>990</v>
      </c>
      <c r="N468" t="s">
        <v>42</v>
      </c>
      <c r="O468">
        <v>3</v>
      </c>
      <c r="P468" t="s">
        <v>42</v>
      </c>
      <c r="Q468" t="s">
        <v>101</v>
      </c>
      <c r="R468" t="s">
        <v>970</v>
      </c>
      <c r="S468" t="s">
        <v>989</v>
      </c>
      <c r="T468" t="s">
        <v>42</v>
      </c>
      <c r="U468">
        <v>156</v>
      </c>
      <c r="V468">
        <v>386</v>
      </c>
      <c r="W468">
        <v>231</v>
      </c>
      <c r="X468" t="s">
        <v>248</v>
      </c>
      <c r="Y468" t="s">
        <v>991</v>
      </c>
      <c r="Z468" t="s">
        <v>811</v>
      </c>
      <c r="AA468" t="s">
        <v>992</v>
      </c>
      <c r="AB468" t="s">
        <v>993</v>
      </c>
      <c r="AC468" t="s">
        <v>316</v>
      </c>
      <c r="AD468" t="s">
        <v>101</v>
      </c>
      <c r="AE468">
        <v>3274</v>
      </c>
      <c r="AF468" t="s">
        <v>317</v>
      </c>
    </row>
    <row r="469" spans="1:34" x14ac:dyDescent="0.75">
      <c r="A469" s="22" t="s">
        <v>6047</v>
      </c>
      <c r="B469" t="s">
        <v>962</v>
      </c>
      <c r="C469" t="s">
        <v>963</v>
      </c>
      <c r="D469" t="s">
        <v>964</v>
      </c>
      <c r="E469" t="s">
        <v>965</v>
      </c>
      <c r="F469" t="s">
        <v>994</v>
      </c>
      <c r="G469" s="1" t="str">
        <f>HYPERLINK("https://homd.org/jbrowse/?data=homd_V11.02_phage_1.2%2FGCA_000428105.1&amp;loc=GCA_000428105.1%7CATZH01000055.1%3A5809..12627&amp;tracks=prokka,prokka_ncrna,ncbi,ncbi_ncrna,panggolin,cenote,genomad&amp;highlight=","Open JBrowse")</f>
        <v>Open JBrowse</v>
      </c>
      <c r="H469">
        <v>8809</v>
      </c>
      <c r="I469">
        <v>9627</v>
      </c>
      <c r="J469" t="s">
        <v>995</v>
      </c>
      <c r="K469" t="s">
        <v>996</v>
      </c>
      <c r="L469" t="s">
        <v>997</v>
      </c>
      <c r="M469" t="s">
        <v>998</v>
      </c>
      <c r="N469" t="s">
        <v>42</v>
      </c>
      <c r="O469">
        <v>3</v>
      </c>
      <c r="P469" t="s">
        <v>42</v>
      </c>
      <c r="Q469" t="s">
        <v>101</v>
      </c>
      <c r="R469" t="s">
        <v>970</v>
      </c>
      <c r="S469" t="s">
        <v>997</v>
      </c>
      <c r="T469" t="s">
        <v>42</v>
      </c>
      <c r="U469">
        <v>39</v>
      </c>
      <c r="V469">
        <v>271</v>
      </c>
      <c r="W469">
        <v>233</v>
      </c>
      <c r="X469" t="s">
        <v>999</v>
      </c>
      <c r="Y469" t="s">
        <v>1000</v>
      </c>
      <c r="Z469" t="s">
        <v>870</v>
      </c>
      <c r="AA469" t="s">
        <v>1001</v>
      </c>
      <c r="AB469" t="s">
        <v>1002</v>
      </c>
      <c r="AC469" t="s">
        <v>1003</v>
      </c>
      <c r="AD469" t="s">
        <v>101</v>
      </c>
      <c r="AE469">
        <v>6056</v>
      </c>
      <c r="AF469" t="s">
        <v>1004</v>
      </c>
      <c r="AG469" t="s">
        <v>101</v>
      </c>
      <c r="AH469">
        <v>2</v>
      </c>
    </row>
    <row r="470" spans="1:34" x14ac:dyDescent="0.75">
      <c r="A470" s="22" t="s">
        <v>6047</v>
      </c>
      <c r="B470" t="s">
        <v>962</v>
      </c>
      <c r="C470" t="s">
        <v>963</v>
      </c>
      <c r="D470" t="s">
        <v>964</v>
      </c>
      <c r="E470" t="s">
        <v>965</v>
      </c>
      <c r="F470" t="s">
        <v>1005</v>
      </c>
      <c r="G470" s="1" t="str">
        <f>HYPERLINK("https://homd.org/jbrowse/?data=homd_V11.02_phage_1.2%2FGCA_000428105.1&amp;loc=GCA_000428105.1%7CKE386623.1%3A17216..24079&amp;tracks=prokka,prokka_ncrna,ncbi,ncbi_ncrna,panggolin,cenote,genomad&amp;highlight=","Open JBrowse")</f>
        <v>Open JBrowse</v>
      </c>
      <c r="H470">
        <v>20216</v>
      </c>
      <c r="I470">
        <v>21079</v>
      </c>
      <c r="J470" t="s">
        <v>1006</v>
      </c>
      <c r="K470" t="s">
        <v>59</v>
      </c>
      <c r="L470" t="s">
        <v>59</v>
      </c>
      <c r="M470" t="s">
        <v>59</v>
      </c>
      <c r="N470" t="s">
        <v>42</v>
      </c>
      <c r="O470">
        <v>1</v>
      </c>
      <c r="P470" t="s">
        <v>59</v>
      </c>
      <c r="Q470" t="s">
        <v>59</v>
      </c>
      <c r="R470" t="s">
        <v>970</v>
      </c>
      <c r="T470" t="s">
        <v>42</v>
      </c>
      <c r="X470" t="s">
        <v>59</v>
      </c>
      <c r="Y470" t="s">
        <v>1007</v>
      </c>
      <c r="Z470" t="s">
        <v>1008</v>
      </c>
      <c r="AA470" t="s">
        <v>1009</v>
      </c>
    </row>
    <row r="471" spans="1:34" x14ac:dyDescent="0.75">
      <c r="A471" s="22" t="s">
        <v>6047</v>
      </c>
      <c r="B471" t="s">
        <v>1112</v>
      </c>
      <c r="C471" t="s">
        <v>963</v>
      </c>
      <c r="D471" t="s">
        <v>964</v>
      </c>
      <c r="E471" t="s">
        <v>965</v>
      </c>
      <c r="F471" t="s">
        <v>1113</v>
      </c>
      <c r="G471" s="1" t="str">
        <f>HYPERLINK("https://homd.org/jbrowse/?data=homd_V11.02_phage_1.2%2FGCA_000511735.1&amp;loc=GCA_000511735.1%7CBAIQ01000001.1%3A197555..204418&amp;tracks=prokka,prokka_ncrna,ncbi,ncbi_ncrna,panggolin,cenote,genomad&amp;highlight=","Open JBrowse")</f>
        <v>Open JBrowse</v>
      </c>
      <c r="H471">
        <v>200555</v>
      </c>
      <c r="I471">
        <v>201418</v>
      </c>
      <c r="J471" t="s">
        <v>1114</v>
      </c>
      <c r="K471" t="s">
        <v>59</v>
      </c>
      <c r="L471" t="s">
        <v>59</v>
      </c>
      <c r="M471" t="s">
        <v>59</v>
      </c>
      <c r="N471" t="s">
        <v>42</v>
      </c>
      <c r="O471">
        <v>1</v>
      </c>
      <c r="P471" t="s">
        <v>59</v>
      </c>
      <c r="Q471" t="s">
        <v>59</v>
      </c>
      <c r="R471" t="s">
        <v>1115</v>
      </c>
      <c r="T471" t="s">
        <v>42</v>
      </c>
      <c r="X471" t="s">
        <v>59</v>
      </c>
    </row>
    <row r="472" spans="1:34" x14ac:dyDescent="0.75">
      <c r="A472" s="22" t="s">
        <v>6047</v>
      </c>
      <c r="B472" t="s">
        <v>1112</v>
      </c>
      <c r="C472" t="s">
        <v>963</v>
      </c>
      <c r="D472" t="s">
        <v>964</v>
      </c>
      <c r="E472" t="s">
        <v>965</v>
      </c>
      <c r="F472" t="s">
        <v>1116</v>
      </c>
      <c r="G472" s="1" t="str">
        <f>HYPERLINK("https://homd.org/jbrowse/?data=homd_V11.02_phage_1.2%2FGCA_000511735.1&amp;loc=GCA_000511735.1%7CBAIQ01000002.1%3A68634..75500&amp;tracks=prokka,prokka_ncrna,ncbi,ncbi_ncrna,panggolin,cenote,genomad&amp;highlight=","Open JBrowse")</f>
        <v>Open JBrowse</v>
      </c>
      <c r="H472">
        <v>71634</v>
      </c>
      <c r="I472">
        <v>72500</v>
      </c>
      <c r="J472" t="s">
        <v>1117</v>
      </c>
      <c r="K472" t="s">
        <v>39</v>
      </c>
      <c r="L472" t="s">
        <v>1118</v>
      </c>
      <c r="M472" t="s">
        <v>1119</v>
      </c>
      <c r="N472" t="s">
        <v>42</v>
      </c>
      <c r="O472">
        <v>3</v>
      </c>
      <c r="P472" t="s">
        <v>42</v>
      </c>
      <c r="Q472" t="s">
        <v>43</v>
      </c>
      <c r="R472" t="s">
        <v>1115</v>
      </c>
      <c r="S472" t="s">
        <v>1118</v>
      </c>
      <c r="T472" t="s">
        <v>42</v>
      </c>
      <c r="U472">
        <v>54</v>
      </c>
      <c r="V472">
        <v>283</v>
      </c>
      <c r="W472">
        <v>230</v>
      </c>
      <c r="X472" t="s">
        <v>971</v>
      </c>
      <c r="Y472" t="s">
        <v>1120</v>
      </c>
      <c r="Z472" t="s">
        <v>547</v>
      </c>
      <c r="AA472" t="s">
        <v>1121</v>
      </c>
    </row>
    <row r="473" spans="1:34" x14ac:dyDescent="0.75">
      <c r="A473" s="22" t="s">
        <v>6047</v>
      </c>
      <c r="B473" t="s">
        <v>1112</v>
      </c>
      <c r="C473" t="s">
        <v>963</v>
      </c>
      <c r="D473" t="s">
        <v>964</v>
      </c>
      <c r="E473" t="s">
        <v>965</v>
      </c>
      <c r="F473" t="s">
        <v>1122</v>
      </c>
      <c r="G473" s="1" t="str">
        <f>HYPERLINK("https://homd.org/jbrowse/?data=homd_V11.02_phage_1.2%2FGCA_000511735.1&amp;loc=GCA_000511735.1%7CBAIQ01000039.1%3A5567..12868&amp;tracks=prokka,prokka_ncrna,ncbi,ncbi_ncrna,panggolin,cenote,genomad&amp;highlight=","Open JBrowse")</f>
        <v>Open JBrowse</v>
      </c>
      <c r="H473">
        <v>8567</v>
      </c>
      <c r="I473">
        <v>9868</v>
      </c>
      <c r="J473" t="s">
        <v>1123</v>
      </c>
      <c r="K473" t="s">
        <v>627</v>
      </c>
      <c r="L473" t="s">
        <v>976</v>
      </c>
      <c r="M473" t="s">
        <v>977</v>
      </c>
      <c r="N473" t="s">
        <v>42</v>
      </c>
      <c r="O473">
        <v>3</v>
      </c>
      <c r="P473" t="s">
        <v>978</v>
      </c>
      <c r="Q473" t="s">
        <v>51</v>
      </c>
      <c r="R473" t="s">
        <v>1115</v>
      </c>
      <c r="S473" t="s">
        <v>979</v>
      </c>
      <c r="T473" t="s">
        <v>42</v>
      </c>
      <c r="U473">
        <v>48</v>
      </c>
      <c r="V473">
        <v>278</v>
      </c>
      <c r="W473">
        <v>231</v>
      </c>
      <c r="X473" t="s">
        <v>980</v>
      </c>
      <c r="Y473" t="s">
        <v>1124</v>
      </c>
      <c r="Z473" t="s">
        <v>420</v>
      </c>
      <c r="AA473" t="s">
        <v>1125</v>
      </c>
      <c r="AB473" t="s">
        <v>1126</v>
      </c>
      <c r="AC473" t="s">
        <v>984</v>
      </c>
      <c r="AD473" t="s">
        <v>985</v>
      </c>
      <c r="AE473">
        <v>1696</v>
      </c>
      <c r="AF473" t="s">
        <v>986</v>
      </c>
    </row>
    <row r="474" spans="1:34" x14ac:dyDescent="0.75">
      <c r="A474" s="22" t="s">
        <v>6047</v>
      </c>
      <c r="B474" t="s">
        <v>1112</v>
      </c>
      <c r="C474" t="s">
        <v>963</v>
      </c>
      <c r="D474" t="s">
        <v>964</v>
      </c>
      <c r="E474" t="s">
        <v>965</v>
      </c>
      <c r="F474" t="s">
        <v>1127</v>
      </c>
      <c r="G474" s="1" t="str">
        <f>HYPERLINK("https://homd.org/jbrowse/?data=homd_V11.02_phage_1.2%2FGCA_000511735.1&amp;loc=GCA_000511735.1%7CBAIQ01000048.1%3A1..6505&amp;tracks=prokka,prokka_ncrna,ncbi,ncbi_ncrna,panggolin,cenote,genomad&amp;highlight=","Open JBrowse")</f>
        <v>Open JBrowse</v>
      </c>
      <c r="H474">
        <v>2336</v>
      </c>
      <c r="I474">
        <v>3505</v>
      </c>
      <c r="J474" t="s">
        <v>1128</v>
      </c>
      <c r="K474" t="s">
        <v>109</v>
      </c>
      <c r="L474" t="s">
        <v>989</v>
      </c>
      <c r="M474" t="s">
        <v>990</v>
      </c>
      <c r="N474" t="s">
        <v>42</v>
      </c>
      <c r="O474">
        <v>3</v>
      </c>
      <c r="P474" t="s">
        <v>42</v>
      </c>
      <c r="Q474" t="s">
        <v>101</v>
      </c>
      <c r="R474" t="s">
        <v>1115</v>
      </c>
      <c r="S474" t="s">
        <v>989</v>
      </c>
      <c r="T474" t="s">
        <v>42</v>
      </c>
      <c r="U474">
        <v>156</v>
      </c>
      <c r="V474">
        <v>386</v>
      </c>
      <c r="W474">
        <v>231</v>
      </c>
      <c r="X474" t="s">
        <v>248</v>
      </c>
      <c r="Y474" t="s">
        <v>1129</v>
      </c>
      <c r="Z474" t="s">
        <v>780</v>
      </c>
      <c r="AA474" t="s">
        <v>1130</v>
      </c>
      <c r="AB474" t="s">
        <v>1131</v>
      </c>
      <c r="AC474" t="s">
        <v>1132</v>
      </c>
      <c r="AD474" t="s">
        <v>101</v>
      </c>
      <c r="AE474">
        <v>2456</v>
      </c>
      <c r="AF474" t="s">
        <v>1133</v>
      </c>
    </row>
    <row r="475" spans="1:34" x14ac:dyDescent="0.75">
      <c r="A475" s="22" t="s">
        <v>6047</v>
      </c>
      <c r="B475" t="s">
        <v>1112</v>
      </c>
      <c r="C475" t="s">
        <v>963</v>
      </c>
      <c r="D475" t="s">
        <v>964</v>
      </c>
      <c r="E475" t="s">
        <v>965</v>
      </c>
      <c r="F475" t="s">
        <v>1134</v>
      </c>
      <c r="G475" s="1" t="str">
        <f>HYPERLINK("https://homd.org/jbrowse/?data=homd_V11.02_phage_1.2%2FGCA_000511735.1&amp;loc=GCA_000511735.1%7CBAIQ01000062.1%3A5540..12358&amp;tracks=prokka,prokka_ncrna,ncbi,ncbi_ncrna,panggolin,cenote,genomad&amp;highlight=","Open JBrowse")</f>
        <v>Open JBrowse</v>
      </c>
      <c r="H475">
        <v>8540</v>
      </c>
      <c r="I475">
        <v>9358</v>
      </c>
      <c r="J475" t="s">
        <v>1135</v>
      </c>
      <c r="K475" t="s">
        <v>996</v>
      </c>
      <c r="L475" t="s">
        <v>997</v>
      </c>
      <c r="M475" t="s">
        <v>998</v>
      </c>
      <c r="N475" t="s">
        <v>42</v>
      </c>
      <c r="O475">
        <v>3</v>
      </c>
      <c r="P475" t="s">
        <v>42</v>
      </c>
      <c r="Q475" t="s">
        <v>101</v>
      </c>
      <c r="R475" t="s">
        <v>1115</v>
      </c>
      <c r="S475" t="s">
        <v>997</v>
      </c>
      <c r="T475" t="s">
        <v>42</v>
      </c>
      <c r="U475">
        <v>39</v>
      </c>
      <c r="V475">
        <v>271</v>
      </c>
      <c r="W475">
        <v>233</v>
      </c>
      <c r="X475" t="s">
        <v>999</v>
      </c>
      <c r="Y475" t="s">
        <v>1136</v>
      </c>
      <c r="Z475" t="s">
        <v>260</v>
      </c>
      <c r="AA475" t="s">
        <v>1137</v>
      </c>
      <c r="AB475" t="s">
        <v>1138</v>
      </c>
      <c r="AC475" t="s">
        <v>1139</v>
      </c>
      <c r="AD475" t="s">
        <v>101</v>
      </c>
      <c r="AE475">
        <v>5339</v>
      </c>
      <c r="AF475" t="s">
        <v>1140</v>
      </c>
      <c r="AG475" t="s">
        <v>101</v>
      </c>
      <c r="AH475">
        <v>2</v>
      </c>
    </row>
    <row r="476" spans="1:34" x14ac:dyDescent="0.75">
      <c r="A476" s="22" t="s">
        <v>6047</v>
      </c>
      <c r="B476" t="s">
        <v>1141</v>
      </c>
      <c r="C476" t="s">
        <v>963</v>
      </c>
      <c r="D476" t="s">
        <v>964</v>
      </c>
      <c r="E476" t="s">
        <v>965</v>
      </c>
      <c r="F476" t="s">
        <v>1142</v>
      </c>
      <c r="G476" s="1" t="str">
        <f>HYPERLINK("https://homd.org/jbrowse/?data=homd_V11.02_phage_1.2%2FGCA_000511755.1&amp;loc=GCA_000511755.1%7CBAIR01000001.1%3A129..6992&amp;tracks=prokka,prokka_ncrna,ncbi,ncbi_ncrna,panggolin,cenote,genomad&amp;highlight=","Open JBrowse")</f>
        <v>Open JBrowse</v>
      </c>
      <c r="H476">
        <v>3129</v>
      </c>
      <c r="I476">
        <v>3992</v>
      </c>
      <c r="J476" t="s">
        <v>1143</v>
      </c>
      <c r="K476" t="s">
        <v>59</v>
      </c>
      <c r="L476" t="s">
        <v>59</v>
      </c>
      <c r="M476" t="s">
        <v>59</v>
      </c>
      <c r="N476" t="s">
        <v>42</v>
      </c>
      <c r="O476">
        <v>1</v>
      </c>
      <c r="P476" t="s">
        <v>59</v>
      </c>
      <c r="Q476" t="s">
        <v>59</v>
      </c>
      <c r="R476" t="s">
        <v>1144</v>
      </c>
      <c r="T476" t="s">
        <v>42</v>
      </c>
      <c r="X476" t="s">
        <v>59</v>
      </c>
      <c r="Y476" t="s">
        <v>1145</v>
      </c>
      <c r="Z476" t="s">
        <v>368</v>
      </c>
      <c r="AA476" t="s">
        <v>1009</v>
      </c>
    </row>
    <row r="477" spans="1:34" x14ac:dyDescent="0.75">
      <c r="A477" s="22" t="s">
        <v>6047</v>
      </c>
      <c r="B477" t="s">
        <v>1141</v>
      </c>
      <c r="C477" t="s">
        <v>963</v>
      </c>
      <c r="D477" t="s">
        <v>964</v>
      </c>
      <c r="E477" t="s">
        <v>965</v>
      </c>
      <c r="F477" t="s">
        <v>1146</v>
      </c>
      <c r="G477" s="1" t="str">
        <f>HYPERLINK("https://homd.org/jbrowse/?data=homd_V11.02_phage_1.2%2FGCA_000511755.1&amp;loc=GCA_000511755.1%7CBAIR01000004.1%3A55042..62148&amp;tracks=prokka,prokka_ncrna,ncbi,ncbi_ncrna,panggolin,cenote,genomad&amp;highlight=","Open JBrowse")</f>
        <v>Open JBrowse</v>
      </c>
      <c r="H477">
        <v>58042</v>
      </c>
      <c r="I477">
        <v>59148</v>
      </c>
      <c r="J477" t="s">
        <v>1147</v>
      </c>
      <c r="K477" t="s">
        <v>39</v>
      </c>
      <c r="L477" t="s">
        <v>968</v>
      </c>
      <c r="M477" t="s">
        <v>969</v>
      </c>
      <c r="N477" t="s">
        <v>42</v>
      </c>
      <c r="O477">
        <v>3</v>
      </c>
      <c r="P477" t="s">
        <v>42</v>
      </c>
      <c r="Q477" t="s">
        <v>43</v>
      </c>
      <c r="R477" t="s">
        <v>1144</v>
      </c>
      <c r="S477" t="s">
        <v>968</v>
      </c>
      <c r="T477" t="s">
        <v>42</v>
      </c>
      <c r="U477">
        <v>134</v>
      </c>
      <c r="V477">
        <v>363</v>
      </c>
      <c r="W477">
        <v>230</v>
      </c>
      <c r="X477" t="s">
        <v>971</v>
      </c>
      <c r="Y477" t="s">
        <v>1148</v>
      </c>
      <c r="Z477" t="s">
        <v>336</v>
      </c>
      <c r="AA477" t="s">
        <v>1149</v>
      </c>
    </row>
    <row r="478" spans="1:34" x14ac:dyDescent="0.75">
      <c r="A478" s="22" t="s">
        <v>6047</v>
      </c>
      <c r="B478" t="s">
        <v>1141</v>
      </c>
      <c r="C478" t="s">
        <v>963</v>
      </c>
      <c r="D478" t="s">
        <v>964</v>
      </c>
      <c r="E478" t="s">
        <v>965</v>
      </c>
      <c r="F478" t="s">
        <v>1150</v>
      </c>
      <c r="G478" s="1" t="str">
        <f>HYPERLINK("https://homd.org/jbrowse/?data=homd_V11.02_phage_1.2%2FGCA_000511755.1&amp;loc=GCA_000511755.1%7CBAIR01000017.1%3A5565..12866&amp;tracks=prokka,prokka_ncrna,ncbi,ncbi_ncrna,panggolin,cenote,genomad&amp;highlight=","Open JBrowse")</f>
        <v>Open JBrowse</v>
      </c>
      <c r="H478">
        <v>8565</v>
      </c>
      <c r="I478">
        <v>9866</v>
      </c>
      <c r="J478" t="s">
        <v>1151</v>
      </c>
      <c r="K478" t="s">
        <v>627</v>
      </c>
      <c r="L478" t="s">
        <v>976</v>
      </c>
      <c r="M478" t="s">
        <v>977</v>
      </c>
      <c r="N478" t="s">
        <v>42</v>
      </c>
      <c r="O478">
        <v>3</v>
      </c>
      <c r="P478" t="s">
        <v>978</v>
      </c>
      <c r="Q478" t="s">
        <v>51</v>
      </c>
      <c r="R478" t="s">
        <v>1144</v>
      </c>
      <c r="S478" t="s">
        <v>979</v>
      </c>
      <c r="T478" t="s">
        <v>42</v>
      </c>
      <c r="U478">
        <v>48</v>
      </c>
      <c r="V478">
        <v>278</v>
      </c>
      <c r="W478">
        <v>231</v>
      </c>
      <c r="X478" t="s">
        <v>980</v>
      </c>
      <c r="Y478" t="s">
        <v>1152</v>
      </c>
      <c r="Z478" t="s">
        <v>892</v>
      </c>
      <c r="AA478" t="s">
        <v>1153</v>
      </c>
      <c r="AB478" t="s">
        <v>1154</v>
      </c>
      <c r="AC478" t="s">
        <v>984</v>
      </c>
      <c r="AD478" t="s">
        <v>985</v>
      </c>
      <c r="AE478">
        <v>1439</v>
      </c>
      <c r="AF478" t="s">
        <v>1155</v>
      </c>
    </row>
    <row r="479" spans="1:34" x14ac:dyDescent="0.75">
      <c r="A479" s="22" t="s">
        <v>6047</v>
      </c>
      <c r="B479" t="s">
        <v>1141</v>
      </c>
      <c r="C479" t="s">
        <v>963</v>
      </c>
      <c r="D479" t="s">
        <v>964</v>
      </c>
      <c r="E479" t="s">
        <v>965</v>
      </c>
      <c r="F479" t="s">
        <v>1156</v>
      </c>
      <c r="G479" s="1" t="str">
        <f>HYPERLINK("https://homd.org/jbrowse/?data=homd_V11.02_phage_1.2%2FGCA_000511755.1&amp;loc=GCA_000511755.1%7CBAIR01000046.1%3A16187..23356&amp;tracks=prokka,prokka_ncrna,ncbi,ncbi_ncrna,panggolin,cenote,genomad&amp;highlight=","Open JBrowse")</f>
        <v>Open JBrowse</v>
      </c>
      <c r="H479">
        <v>19187</v>
      </c>
      <c r="I479">
        <v>20356</v>
      </c>
      <c r="J479" t="s">
        <v>1157</v>
      </c>
      <c r="K479" t="s">
        <v>109</v>
      </c>
      <c r="L479" t="s">
        <v>989</v>
      </c>
      <c r="M479" t="s">
        <v>990</v>
      </c>
      <c r="N479" t="s">
        <v>42</v>
      </c>
      <c r="O479">
        <v>3</v>
      </c>
      <c r="P479" t="s">
        <v>42</v>
      </c>
      <c r="Q479" t="s">
        <v>101</v>
      </c>
      <c r="R479" t="s">
        <v>1144</v>
      </c>
      <c r="S479" t="s">
        <v>989</v>
      </c>
      <c r="T479" t="s">
        <v>42</v>
      </c>
      <c r="U479">
        <v>156</v>
      </c>
      <c r="V479">
        <v>386</v>
      </c>
      <c r="W479">
        <v>231</v>
      </c>
      <c r="X479" t="s">
        <v>248</v>
      </c>
      <c r="Y479" t="s">
        <v>1158</v>
      </c>
      <c r="Z479" t="s">
        <v>1159</v>
      </c>
      <c r="AA479" t="s">
        <v>1160</v>
      </c>
      <c r="AB479" t="s">
        <v>1161</v>
      </c>
      <c r="AC479" t="s">
        <v>252</v>
      </c>
      <c r="AD479" t="s">
        <v>101</v>
      </c>
      <c r="AE479">
        <v>2908</v>
      </c>
      <c r="AF479" t="s">
        <v>1162</v>
      </c>
    </row>
    <row r="480" spans="1:34" x14ac:dyDescent="0.75">
      <c r="A480" s="22" t="s">
        <v>6047</v>
      </c>
      <c r="B480" t="s">
        <v>1141</v>
      </c>
      <c r="C480" t="s">
        <v>963</v>
      </c>
      <c r="D480" t="s">
        <v>964</v>
      </c>
      <c r="E480" t="s">
        <v>965</v>
      </c>
      <c r="F480" t="s">
        <v>1163</v>
      </c>
      <c r="G480" s="1" t="str">
        <f>HYPERLINK("https://homd.org/jbrowse/?data=homd_V11.02_phage_1.2%2FGCA_000511755.1&amp;loc=GCA_000511755.1%7CBAIR01000062.1%3A1..4213&amp;tracks=prokka,prokka_ncrna,ncbi,ncbi_ncrna,panggolin,cenote,genomad&amp;highlight=","Open JBrowse")</f>
        <v>Open JBrowse</v>
      </c>
      <c r="H480">
        <v>395</v>
      </c>
      <c r="I480">
        <v>1213</v>
      </c>
      <c r="J480" t="s">
        <v>1164</v>
      </c>
      <c r="K480" t="s">
        <v>996</v>
      </c>
      <c r="L480" t="s">
        <v>997</v>
      </c>
      <c r="M480" t="s">
        <v>998</v>
      </c>
      <c r="N480" t="s">
        <v>42</v>
      </c>
      <c r="O480">
        <v>3</v>
      </c>
      <c r="P480" t="s">
        <v>42</v>
      </c>
      <c r="Q480" t="s">
        <v>101</v>
      </c>
      <c r="R480" t="s">
        <v>1144</v>
      </c>
      <c r="S480" t="s">
        <v>997</v>
      </c>
      <c r="T480" t="s">
        <v>42</v>
      </c>
      <c r="U480">
        <v>39</v>
      </c>
      <c r="V480">
        <v>271</v>
      </c>
      <c r="W480">
        <v>233</v>
      </c>
      <c r="X480" t="s">
        <v>999</v>
      </c>
      <c r="Y480" t="s">
        <v>1165</v>
      </c>
      <c r="Z480" t="s">
        <v>1166</v>
      </c>
      <c r="AA480" t="s">
        <v>1167</v>
      </c>
      <c r="AB480" t="s">
        <v>1168</v>
      </c>
      <c r="AC480" t="s">
        <v>1003</v>
      </c>
      <c r="AD480" t="s">
        <v>101</v>
      </c>
      <c r="AE480">
        <v>1379</v>
      </c>
      <c r="AF480" t="s">
        <v>1169</v>
      </c>
    </row>
    <row r="481" spans="1:34" x14ac:dyDescent="0.75">
      <c r="A481" s="22" t="s">
        <v>6049</v>
      </c>
      <c r="B481" t="s">
        <v>1170</v>
      </c>
      <c r="C481" t="s">
        <v>963</v>
      </c>
      <c r="D481" t="s">
        <v>964</v>
      </c>
      <c r="E481" t="s">
        <v>965</v>
      </c>
      <c r="F481" t="s">
        <v>1171</v>
      </c>
      <c r="G481" s="1" t="str">
        <f>HYPERLINK("https://homd.org/jbrowse/?data=homd_V11.02_phage_1.2%2FGCA_000511775.1&amp;loc=GCA_000511775.1%7CBAIU01000001.1%3A127624..134499&amp;tracks=prokka,prokka_ncrna,ncbi,ncbi_ncrna,panggolin,cenote,genomad&amp;highlight=","Open JBrowse")</f>
        <v>Open JBrowse</v>
      </c>
      <c r="H481">
        <v>130624</v>
      </c>
      <c r="I481">
        <v>131499</v>
      </c>
      <c r="J481" t="s">
        <v>1172</v>
      </c>
      <c r="K481" t="s">
        <v>109</v>
      </c>
      <c r="L481" t="s">
        <v>1173</v>
      </c>
      <c r="M481" t="s">
        <v>1174</v>
      </c>
      <c r="N481" t="s">
        <v>59</v>
      </c>
      <c r="O481">
        <v>2</v>
      </c>
      <c r="P481" t="s">
        <v>42</v>
      </c>
      <c r="Q481" t="s">
        <v>101</v>
      </c>
      <c r="R481" t="s">
        <v>1175</v>
      </c>
      <c r="S481" t="s">
        <v>1173</v>
      </c>
      <c r="T481" t="s">
        <v>42</v>
      </c>
      <c r="U481">
        <v>156</v>
      </c>
      <c r="V481">
        <v>259</v>
      </c>
      <c r="W481">
        <v>104</v>
      </c>
      <c r="X481" t="s">
        <v>248</v>
      </c>
      <c r="Y481" t="s">
        <v>1176</v>
      </c>
      <c r="Z481" t="s">
        <v>47</v>
      </c>
      <c r="AA481" t="s">
        <v>1177</v>
      </c>
      <c r="AB481" t="s">
        <v>1178</v>
      </c>
      <c r="AC481" t="s">
        <v>316</v>
      </c>
      <c r="AD481" t="s">
        <v>101</v>
      </c>
      <c r="AE481">
        <v>2950</v>
      </c>
      <c r="AF481" t="s">
        <v>1179</v>
      </c>
      <c r="AG481" t="s">
        <v>101</v>
      </c>
      <c r="AH481">
        <v>2</v>
      </c>
    </row>
    <row r="482" spans="1:34" x14ac:dyDescent="0.75">
      <c r="A482" s="22" t="s">
        <v>6049</v>
      </c>
      <c r="B482" t="s">
        <v>1170</v>
      </c>
      <c r="C482" t="s">
        <v>963</v>
      </c>
      <c r="D482" t="s">
        <v>964</v>
      </c>
      <c r="E482" t="s">
        <v>965</v>
      </c>
      <c r="F482" t="s">
        <v>1171</v>
      </c>
      <c r="G482" s="1" t="str">
        <f>HYPERLINK("https://homd.org/jbrowse/?data=homd_V11.02_phage_1.2%2FGCA_000511775.1&amp;loc=GCA_000511775.1%7CBAIU01000001.1%3A128496..134792&amp;tracks=prokka,prokka_ncrna,ncbi,ncbi_ncrna,panggolin,cenote,genomad&amp;highlight=","Open JBrowse")</f>
        <v>Open JBrowse</v>
      </c>
      <c r="H482">
        <v>131496</v>
      </c>
      <c r="I482">
        <v>131792</v>
      </c>
      <c r="J482" t="s">
        <v>1180</v>
      </c>
      <c r="K482" t="s">
        <v>109</v>
      </c>
      <c r="L482" t="s">
        <v>1181</v>
      </c>
      <c r="M482" t="s">
        <v>1182</v>
      </c>
      <c r="N482" t="s">
        <v>59</v>
      </c>
      <c r="O482">
        <v>2</v>
      </c>
      <c r="P482" t="s">
        <v>42</v>
      </c>
      <c r="Q482" t="s">
        <v>101</v>
      </c>
      <c r="R482" t="s">
        <v>1175</v>
      </c>
      <c r="S482" t="s">
        <v>1181</v>
      </c>
      <c r="T482" t="s">
        <v>42</v>
      </c>
      <c r="U482">
        <v>6</v>
      </c>
      <c r="V482">
        <v>95</v>
      </c>
      <c r="W482">
        <v>90</v>
      </c>
      <c r="X482" t="s">
        <v>248</v>
      </c>
      <c r="Y482" t="s">
        <v>1176</v>
      </c>
      <c r="Z482" t="s">
        <v>47</v>
      </c>
      <c r="AA482" t="s">
        <v>1177</v>
      </c>
      <c r="AB482" t="s">
        <v>1178</v>
      </c>
      <c r="AC482" t="s">
        <v>316</v>
      </c>
      <c r="AD482" t="s">
        <v>101</v>
      </c>
      <c r="AE482">
        <v>2950</v>
      </c>
      <c r="AF482" t="s">
        <v>1179</v>
      </c>
      <c r="AG482" t="s">
        <v>101</v>
      </c>
      <c r="AH482">
        <v>2</v>
      </c>
    </row>
    <row r="483" spans="1:34" x14ac:dyDescent="0.75">
      <c r="A483" s="22" t="s">
        <v>6047</v>
      </c>
      <c r="B483" t="s">
        <v>1170</v>
      </c>
      <c r="C483" t="s">
        <v>963</v>
      </c>
      <c r="D483" t="s">
        <v>964</v>
      </c>
      <c r="E483" t="s">
        <v>965</v>
      </c>
      <c r="F483" t="s">
        <v>1183</v>
      </c>
      <c r="G483" s="1" t="str">
        <f>HYPERLINK("https://homd.org/jbrowse/?data=homd_V11.02_phage_1.2%2FGCA_000511775.1&amp;loc=GCA_000511775.1%7CBAIU01000014.1%3A33445..40551&amp;tracks=prokka,prokka_ncrna,ncbi,ncbi_ncrna,panggolin,cenote,genomad&amp;highlight=","Open JBrowse")</f>
        <v>Open JBrowse</v>
      </c>
      <c r="H483">
        <v>36445</v>
      </c>
      <c r="I483">
        <v>37551</v>
      </c>
      <c r="J483" t="s">
        <v>1184</v>
      </c>
      <c r="K483" t="s">
        <v>39</v>
      </c>
      <c r="L483" t="s">
        <v>968</v>
      </c>
      <c r="M483" t="s">
        <v>969</v>
      </c>
      <c r="N483" t="s">
        <v>42</v>
      </c>
      <c r="O483">
        <v>3</v>
      </c>
      <c r="P483" t="s">
        <v>42</v>
      </c>
      <c r="Q483" t="s">
        <v>43</v>
      </c>
      <c r="R483" t="s">
        <v>1175</v>
      </c>
      <c r="S483" t="s">
        <v>968</v>
      </c>
      <c r="T483" t="s">
        <v>42</v>
      </c>
      <c r="U483">
        <v>134</v>
      </c>
      <c r="V483">
        <v>363</v>
      </c>
      <c r="W483">
        <v>230</v>
      </c>
      <c r="X483" t="s">
        <v>971</v>
      </c>
    </row>
    <row r="484" spans="1:34" x14ac:dyDescent="0.75">
      <c r="A484" s="22" t="s">
        <v>6047</v>
      </c>
      <c r="B484" t="s">
        <v>1170</v>
      </c>
      <c r="C484" t="s">
        <v>963</v>
      </c>
      <c r="D484" t="s">
        <v>964</v>
      </c>
      <c r="E484" t="s">
        <v>965</v>
      </c>
      <c r="F484" t="s">
        <v>1185</v>
      </c>
      <c r="G484" s="1" t="str">
        <f>HYPERLINK("https://homd.org/jbrowse/?data=homd_V11.02_phage_1.2%2FGCA_000511775.1&amp;loc=GCA_000511775.1%7CBAIU01000028.1%3A1..6803&amp;tracks=prokka,prokka_ncrna,ncbi,ncbi_ncrna,panggolin,cenote,genomad&amp;highlight=","Open JBrowse")</f>
        <v>Open JBrowse</v>
      </c>
      <c r="H484">
        <v>2940</v>
      </c>
      <c r="I484">
        <v>3803</v>
      </c>
      <c r="J484" t="s">
        <v>1186</v>
      </c>
      <c r="K484" t="s">
        <v>59</v>
      </c>
      <c r="L484" t="s">
        <v>59</v>
      </c>
      <c r="M484" t="s">
        <v>59</v>
      </c>
      <c r="N484" t="s">
        <v>42</v>
      </c>
      <c r="O484">
        <v>1</v>
      </c>
      <c r="P484" t="s">
        <v>59</v>
      </c>
      <c r="Q484" t="s">
        <v>59</v>
      </c>
      <c r="R484" t="s">
        <v>1175</v>
      </c>
      <c r="T484" t="s">
        <v>42</v>
      </c>
      <c r="X484" t="s">
        <v>59</v>
      </c>
    </row>
    <row r="485" spans="1:34" x14ac:dyDescent="0.75">
      <c r="A485" s="22" t="s">
        <v>6047</v>
      </c>
      <c r="B485" t="s">
        <v>2483</v>
      </c>
      <c r="C485" t="s">
        <v>963</v>
      </c>
      <c r="D485" t="s">
        <v>964</v>
      </c>
      <c r="E485" t="s">
        <v>965</v>
      </c>
      <c r="F485" t="s">
        <v>2484</v>
      </c>
      <c r="G485" s="1" t="str">
        <f>HYPERLINK("https://homd.org/jbrowse/?data=homd_V11.02_phage_1.2%2FGCA_008121405.1&amp;loc=GCA_008121405.1%7CVKLY01000001.1%3A80195..87058&amp;tracks=prokka,prokka_ncrna,ncbi,ncbi_ncrna,panggolin,cenote,genomad&amp;highlight=","Open JBrowse")</f>
        <v>Open JBrowse</v>
      </c>
      <c r="H485">
        <v>83195</v>
      </c>
      <c r="I485">
        <v>84058</v>
      </c>
      <c r="J485" t="s">
        <v>2485</v>
      </c>
      <c r="K485" t="s">
        <v>59</v>
      </c>
      <c r="L485" t="s">
        <v>59</v>
      </c>
      <c r="M485" t="s">
        <v>59</v>
      </c>
      <c r="N485" t="s">
        <v>42</v>
      </c>
      <c r="O485">
        <v>1</v>
      </c>
      <c r="P485" t="s">
        <v>59</v>
      </c>
      <c r="Q485" t="s">
        <v>59</v>
      </c>
      <c r="R485" t="s">
        <v>2486</v>
      </c>
      <c r="T485" t="s">
        <v>42</v>
      </c>
      <c r="X485" t="s">
        <v>59</v>
      </c>
      <c r="Y485" t="s">
        <v>2487</v>
      </c>
      <c r="Z485" t="s">
        <v>368</v>
      </c>
      <c r="AA485" t="s">
        <v>1009</v>
      </c>
    </row>
    <row r="486" spans="1:34" x14ac:dyDescent="0.75">
      <c r="A486" s="22" t="s">
        <v>6047</v>
      </c>
      <c r="B486" t="s">
        <v>2483</v>
      </c>
      <c r="C486" t="s">
        <v>963</v>
      </c>
      <c r="D486" t="s">
        <v>964</v>
      </c>
      <c r="E486" t="s">
        <v>965</v>
      </c>
      <c r="F486" t="s">
        <v>2488</v>
      </c>
      <c r="G486" s="1" t="str">
        <f>HYPERLINK("https://homd.org/jbrowse/?data=homd_V11.02_phage_1.2%2FGCA_008121405.1&amp;loc=GCA_008121405.1%7CVKLY01000008.1%3A52700..60001&amp;tracks=prokka,prokka_ncrna,ncbi,ncbi_ncrna,panggolin,cenote,genomad&amp;highlight=","Open JBrowse")</f>
        <v>Open JBrowse</v>
      </c>
      <c r="H486">
        <v>55700</v>
      </c>
      <c r="I486">
        <v>57001</v>
      </c>
      <c r="J486" t="s">
        <v>2489</v>
      </c>
      <c r="K486" t="s">
        <v>627</v>
      </c>
      <c r="L486" t="s">
        <v>2490</v>
      </c>
      <c r="M486" t="s">
        <v>2491</v>
      </c>
      <c r="N486" t="s">
        <v>42</v>
      </c>
      <c r="O486">
        <v>3</v>
      </c>
      <c r="P486" t="s">
        <v>2492</v>
      </c>
      <c r="Q486" t="s">
        <v>51</v>
      </c>
      <c r="R486" t="s">
        <v>2486</v>
      </c>
      <c r="S486" t="s">
        <v>979</v>
      </c>
      <c r="T486" t="s">
        <v>42</v>
      </c>
      <c r="U486">
        <v>48</v>
      </c>
      <c r="V486">
        <v>278</v>
      </c>
      <c r="W486">
        <v>231</v>
      </c>
      <c r="X486" t="s">
        <v>980</v>
      </c>
      <c r="Y486" t="s">
        <v>2493</v>
      </c>
      <c r="Z486" t="s">
        <v>126</v>
      </c>
      <c r="AA486" t="s">
        <v>2494</v>
      </c>
      <c r="AB486" t="s">
        <v>2495</v>
      </c>
      <c r="AC486" t="s">
        <v>984</v>
      </c>
      <c r="AD486" t="s">
        <v>985</v>
      </c>
      <c r="AE486">
        <v>1700</v>
      </c>
      <c r="AF486" t="s">
        <v>1951</v>
      </c>
    </row>
    <row r="487" spans="1:34" x14ac:dyDescent="0.75">
      <c r="A487" s="22" t="s">
        <v>6047</v>
      </c>
      <c r="B487" t="s">
        <v>2483</v>
      </c>
      <c r="C487" t="s">
        <v>963</v>
      </c>
      <c r="D487" t="s">
        <v>964</v>
      </c>
      <c r="E487" t="s">
        <v>965</v>
      </c>
      <c r="F487" t="s">
        <v>2496</v>
      </c>
      <c r="G487" s="1" t="str">
        <f>HYPERLINK("https://homd.org/jbrowse/?data=homd_V11.02_phage_1.2%2FGCA_008121405.1&amp;loc=GCA_008121405.1%7CVKLY01000012.1%3A45170..52276&amp;tracks=prokka,prokka_ncrna,ncbi,ncbi_ncrna,panggolin,cenote,genomad&amp;highlight=","Open JBrowse")</f>
        <v>Open JBrowse</v>
      </c>
      <c r="H487">
        <v>48170</v>
      </c>
      <c r="I487">
        <v>49276</v>
      </c>
      <c r="J487" t="s">
        <v>2497</v>
      </c>
      <c r="K487" t="s">
        <v>39</v>
      </c>
      <c r="L487" t="s">
        <v>968</v>
      </c>
      <c r="M487" t="s">
        <v>969</v>
      </c>
      <c r="N487" t="s">
        <v>42</v>
      </c>
      <c r="O487">
        <v>3</v>
      </c>
      <c r="P487" t="s">
        <v>42</v>
      </c>
      <c r="Q487" t="s">
        <v>43</v>
      </c>
      <c r="R487" t="s">
        <v>2486</v>
      </c>
      <c r="S487" t="s">
        <v>968</v>
      </c>
      <c r="T487" t="s">
        <v>42</v>
      </c>
      <c r="U487">
        <v>134</v>
      </c>
      <c r="V487">
        <v>363</v>
      </c>
      <c r="W487">
        <v>230</v>
      </c>
      <c r="X487" t="s">
        <v>971</v>
      </c>
      <c r="Y487" t="s">
        <v>2498</v>
      </c>
      <c r="Z487" t="s">
        <v>458</v>
      </c>
      <c r="AA487" t="s">
        <v>973</v>
      </c>
    </row>
    <row r="488" spans="1:34" x14ac:dyDescent="0.75">
      <c r="A488" s="22" t="s">
        <v>6047</v>
      </c>
      <c r="B488" t="s">
        <v>2866</v>
      </c>
      <c r="C488" t="s">
        <v>963</v>
      </c>
      <c r="D488" t="s">
        <v>964</v>
      </c>
      <c r="E488" t="s">
        <v>965</v>
      </c>
      <c r="F488" t="s">
        <v>2867</v>
      </c>
      <c r="G488" s="1" t="str">
        <f>HYPERLINK("https://homd.org/jbrowse/?data=homd_V11.02_phage_1.2%2FGCA_014196225.1&amp;loc=GCA_014196225.1%7CJACIDI010000001.1%3A235637..242500&amp;tracks=prokka,prokka_ncrna,ncbi,ncbi_ncrna,panggolin,cenote,genomad&amp;highlight=","Open JBrowse")</f>
        <v>Open JBrowse</v>
      </c>
      <c r="H488">
        <v>238637</v>
      </c>
      <c r="I488">
        <v>239500</v>
      </c>
      <c r="J488" t="s">
        <v>2868</v>
      </c>
      <c r="K488" t="s">
        <v>59</v>
      </c>
      <c r="L488" t="s">
        <v>59</v>
      </c>
      <c r="M488" t="s">
        <v>59</v>
      </c>
      <c r="N488" t="s">
        <v>42</v>
      </c>
      <c r="O488">
        <v>1</v>
      </c>
      <c r="P488" t="s">
        <v>59</v>
      </c>
      <c r="Q488" t="s">
        <v>59</v>
      </c>
      <c r="R488" t="s">
        <v>2869</v>
      </c>
      <c r="T488" t="s">
        <v>42</v>
      </c>
      <c r="X488" t="s">
        <v>59</v>
      </c>
      <c r="Y488" t="s">
        <v>2870</v>
      </c>
      <c r="Z488" t="s">
        <v>1257</v>
      </c>
      <c r="AA488" t="s">
        <v>2871</v>
      </c>
    </row>
    <row r="489" spans="1:34" x14ac:dyDescent="0.75">
      <c r="A489" s="22" t="s">
        <v>6047</v>
      </c>
      <c r="B489" t="s">
        <v>2866</v>
      </c>
      <c r="C489" t="s">
        <v>963</v>
      </c>
      <c r="D489" t="s">
        <v>964</v>
      </c>
      <c r="E489" t="s">
        <v>965</v>
      </c>
      <c r="F489" t="s">
        <v>2872</v>
      </c>
      <c r="G489" s="1" t="str">
        <f>HYPERLINK("https://homd.org/jbrowse/?data=homd_V11.02_phage_1.2%2FGCA_014196225.1&amp;loc=GCA_014196225.1%7CJACIDI010000002.1%3A198189..205358&amp;tracks=prokka,prokka_ncrna,ncbi,ncbi_ncrna,panggolin,cenote,genomad&amp;highlight=","Open JBrowse")</f>
        <v>Open JBrowse</v>
      </c>
      <c r="H489">
        <v>201189</v>
      </c>
      <c r="I489">
        <v>202358</v>
      </c>
      <c r="J489" t="s">
        <v>2873</v>
      </c>
      <c r="K489" t="s">
        <v>109</v>
      </c>
      <c r="L489" t="s">
        <v>989</v>
      </c>
      <c r="M489" t="s">
        <v>990</v>
      </c>
      <c r="N489" t="s">
        <v>42</v>
      </c>
      <c r="O489">
        <v>3</v>
      </c>
      <c r="P489" t="s">
        <v>42</v>
      </c>
      <c r="Q489" t="s">
        <v>101</v>
      </c>
      <c r="R489" t="s">
        <v>2869</v>
      </c>
      <c r="S489" t="s">
        <v>989</v>
      </c>
      <c r="T489" t="s">
        <v>42</v>
      </c>
      <c r="U489">
        <v>156</v>
      </c>
      <c r="V489">
        <v>386</v>
      </c>
      <c r="W489">
        <v>231</v>
      </c>
      <c r="X489" t="s">
        <v>248</v>
      </c>
      <c r="Y489" t="s">
        <v>2874</v>
      </c>
      <c r="Z489" t="s">
        <v>357</v>
      </c>
      <c r="AA489" t="s">
        <v>250</v>
      </c>
      <c r="AB489" t="s">
        <v>2875</v>
      </c>
      <c r="AC489" t="s">
        <v>316</v>
      </c>
      <c r="AD489" t="s">
        <v>101</v>
      </c>
      <c r="AE489">
        <v>3267</v>
      </c>
      <c r="AF489" t="s">
        <v>895</v>
      </c>
    </row>
    <row r="490" spans="1:34" x14ac:dyDescent="0.75">
      <c r="A490" s="22" t="s">
        <v>6047</v>
      </c>
      <c r="B490" t="s">
        <v>2866</v>
      </c>
      <c r="C490" t="s">
        <v>963</v>
      </c>
      <c r="D490" t="s">
        <v>964</v>
      </c>
      <c r="E490" t="s">
        <v>965</v>
      </c>
      <c r="F490" t="s">
        <v>2876</v>
      </c>
      <c r="G490" s="1" t="str">
        <f>HYPERLINK("https://homd.org/jbrowse/?data=homd_V11.02_phage_1.2%2FGCA_014196225.1&amp;loc=GCA_014196225.1%7CJACIDI010000007.1%3A117894..125000&amp;tracks=prokka,prokka_ncrna,ncbi,ncbi_ncrna,panggolin,cenote,genomad&amp;highlight=","Open JBrowse")</f>
        <v>Open JBrowse</v>
      </c>
      <c r="H490">
        <v>120894</v>
      </c>
      <c r="I490">
        <v>122000</v>
      </c>
      <c r="J490" t="s">
        <v>2877</v>
      </c>
      <c r="K490" t="s">
        <v>39</v>
      </c>
      <c r="L490" t="s">
        <v>968</v>
      </c>
      <c r="M490" t="s">
        <v>969</v>
      </c>
      <c r="N490" t="s">
        <v>42</v>
      </c>
      <c r="O490">
        <v>3</v>
      </c>
      <c r="P490" t="s">
        <v>42</v>
      </c>
      <c r="Q490" t="s">
        <v>43</v>
      </c>
      <c r="R490" t="s">
        <v>2869</v>
      </c>
      <c r="S490" t="s">
        <v>968</v>
      </c>
      <c r="T490" t="s">
        <v>42</v>
      </c>
      <c r="U490">
        <v>134</v>
      </c>
      <c r="V490">
        <v>363</v>
      </c>
      <c r="W490">
        <v>230</v>
      </c>
      <c r="X490" t="s">
        <v>971</v>
      </c>
      <c r="Y490" t="s">
        <v>2878</v>
      </c>
      <c r="Z490" t="s">
        <v>743</v>
      </c>
      <c r="AA490" t="s">
        <v>1149</v>
      </c>
    </row>
    <row r="491" spans="1:34" x14ac:dyDescent="0.75">
      <c r="A491" s="22" t="s">
        <v>6047</v>
      </c>
      <c r="B491" t="s">
        <v>3482</v>
      </c>
      <c r="C491" t="s">
        <v>963</v>
      </c>
      <c r="D491" t="s">
        <v>964</v>
      </c>
      <c r="E491" t="s">
        <v>965</v>
      </c>
      <c r="F491" t="s">
        <v>3483</v>
      </c>
      <c r="G491" s="1" t="str">
        <f>HYPERLINK("https://homd.org/jbrowse/?data=homd_V11.02_phage_1.2%2FGCA_018206015.1&amp;loc=GCA_018206015.1%7CJADRGS010000003.1%3A85914..93215&amp;tracks=prokka,prokka_ncrna,ncbi,ncbi_ncrna,panggolin,cenote,genomad&amp;highlight=","Open JBrowse")</f>
        <v>Open JBrowse</v>
      </c>
      <c r="H491">
        <v>88914</v>
      </c>
      <c r="I491">
        <v>90215</v>
      </c>
      <c r="J491" t="s">
        <v>3484</v>
      </c>
      <c r="K491" t="s">
        <v>627</v>
      </c>
      <c r="L491" t="s">
        <v>2490</v>
      </c>
      <c r="M491" t="s">
        <v>2491</v>
      </c>
      <c r="N491" t="s">
        <v>42</v>
      </c>
      <c r="O491">
        <v>3</v>
      </c>
      <c r="P491" t="s">
        <v>2492</v>
      </c>
      <c r="Q491" t="s">
        <v>51</v>
      </c>
      <c r="R491" t="s">
        <v>3485</v>
      </c>
      <c r="S491" t="s">
        <v>979</v>
      </c>
      <c r="T491" t="s">
        <v>42</v>
      </c>
      <c r="U491">
        <v>48</v>
      </c>
      <c r="V491">
        <v>278</v>
      </c>
      <c r="W491">
        <v>231</v>
      </c>
      <c r="X491" t="s">
        <v>980</v>
      </c>
      <c r="Y491" t="s">
        <v>3486</v>
      </c>
      <c r="Z491" t="s">
        <v>1257</v>
      </c>
      <c r="AA491" t="s">
        <v>3487</v>
      </c>
      <c r="AB491" t="s">
        <v>3488</v>
      </c>
      <c r="AC491" t="s">
        <v>984</v>
      </c>
      <c r="AD491" t="s">
        <v>985</v>
      </c>
      <c r="AE491">
        <v>1699</v>
      </c>
      <c r="AF491" t="s">
        <v>1951</v>
      </c>
    </row>
    <row r="492" spans="1:34" x14ac:dyDescent="0.75">
      <c r="A492" s="22" t="s">
        <v>6047</v>
      </c>
      <c r="B492" t="s">
        <v>3482</v>
      </c>
      <c r="C492" t="s">
        <v>963</v>
      </c>
      <c r="D492" t="s">
        <v>964</v>
      </c>
      <c r="E492" t="s">
        <v>965</v>
      </c>
      <c r="F492" t="s">
        <v>3489</v>
      </c>
      <c r="G492" s="1" t="str">
        <f>HYPERLINK("https://homd.org/jbrowse/?data=homd_V11.02_phage_1.2%2FGCA_018206015.1&amp;loc=GCA_018206015.1%7CJADRGS010000009.1%3A63333..70196&amp;tracks=prokka,prokka_ncrna,ncbi,ncbi_ncrna,panggolin,cenote,genomad&amp;highlight=","Open JBrowse")</f>
        <v>Open JBrowse</v>
      </c>
      <c r="H492">
        <v>66333</v>
      </c>
      <c r="I492">
        <v>67196</v>
      </c>
      <c r="J492" t="s">
        <v>3490</v>
      </c>
      <c r="K492" t="s">
        <v>59</v>
      </c>
      <c r="L492" t="s">
        <v>59</v>
      </c>
      <c r="M492" t="s">
        <v>59</v>
      </c>
      <c r="N492" t="s">
        <v>42</v>
      </c>
      <c r="O492">
        <v>1</v>
      </c>
      <c r="P492" t="s">
        <v>59</v>
      </c>
      <c r="Q492" t="s">
        <v>59</v>
      </c>
      <c r="R492" t="s">
        <v>3485</v>
      </c>
      <c r="T492" t="s">
        <v>42</v>
      </c>
      <c r="X492" t="s">
        <v>59</v>
      </c>
      <c r="Y492" t="s">
        <v>3491</v>
      </c>
      <c r="Z492" t="s">
        <v>126</v>
      </c>
      <c r="AA492" t="s">
        <v>3492</v>
      </c>
    </row>
    <row r="493" spans="1:34" x14ac:dyDescent="0.75">
      <c r="A493" s="22" t="s">
        <v>6047</v>
      </c>
      <c r="B493" t="s">
        <v>3482</v>
      </c>
      <c r="C493" t="s">
        <v>963</v>
      </c>
      <c r="D493" t="s">
        <v>964</v>
      </c>
      <c r="E493" t="s">
        <v>965</v>
      </c>
      <c r="F493" t="s">
        <v>3493</v>
      </c>
      <c r="G493" s="1" t="str">
        <f>HYPERLINK("https://homd.org/jbrowse/?data=homd_V11.02_phage_1.2%2FGCA_018206015.1&amp;loc=GCA_018206015.1%7CJADRGS010000025.1%3A44858..51964&amp;tracks=prokka,prokka_ncrna,ncbi,ncbi_ncrna,panggolin,cenote,genomad&amp;highlight=","Open JBrowse")</f>
        <v>Open JBrowse</v>
      </c>
      <c r="H493">
        <v>47858</v>
      </c>
      <c r="I493">
        <v>48964</v>
      </c>
      <c r="J493" t="s">
        <v>3494</v>
      </c>
      <c r="K493" t="s">
        <v>39</v>
      </c>
      <c r="L493" t="s">
        <v>968</v>
      </c>
      <c r="M493" t="s">
        <v>969</v>
      </c>
      <c r="N493" t="s">
        <v>42</v>
      </c>
      <c r="O493">
        <v>3</v>
      </c>
      <c r="P493" t="s">
        <v>42</v>
      </c>
      <c r="Q493" t="s">
        <v>43</v>
      </c>
      <c r="R493" t="s">
        <v>3485</v>
      </c>
      <c r="S493" t="s">
        <v>968</v>
      </c>
      <c r="T493" t="s">
        <v>42</v>
      </c>
      <c r="U493">
        <v>134</v>
      </c>
      <c r="V493">
        <v>363</v>
      </c>
      <c r="W493">
        <v>230</v>
      </c>
      <c r="X493" t="s">
        <v>971</v>
      </c>
    </row>
    <row r="494" spans="1:34" x14ac:dyDescent="0.75">
      <c r="A494" s="22" t="s">
        <v>6047</v>
      </c>
      <c r="B494" t="s">
        <v>3495</v>
      </c>
      <c r="C494" t="s">
        <v>963</v>
      </c>
      <c r="D494" t="s">
        <v>964</v>
      </c>
      <c r="E494" t="s">
        <v>965</v>
      </c>
      <c r="F494" t="s">
        <v>3496</v>
      </c>
      <c r="G494" s="1" t="str">
        <f>HYPERLINK("https://homd.org/jbrowse/?data=homd_V11.02_phage_1.2%2FGCA_018206295.1&amp;loc=GCA_018206295.1%7CJADRGH010000003.1%3A36228..43529&amp;tracks=prokka,prokka_ncrna,ncbi,ncbi_ncrna,panggolin,cenote,genomad&amp;highlight=","Open JBrowse")</f>
        <v>Open JBrowse</v>
      </c>
      <c r="H494">
        <v>39228</v>
      </c>
      <c r="I494">
        <v>40529</v>
      </c>
      <c r="J494" t="s">
        <v>3497</v>
      </c>
      <c r="K494" t="s">
        <v>627</v>
      </c>
      <c r="L494" t="s">
        <v>2490</v>
      </c>
      <c r="M494" t="s">
        <v>2491</v>
      </c>
      <c r="N494" t="s">
        <v>42</v>
      </c>
      <c r="O494">
        <v>3</v>
      </c>
      <c r="P494" t="s">
        <v>2492</v>
      </c>
      <c r="Q494" t="s">
        <v>51</v>
      </c>
      <c r="R494" t="s">
        <v>3498</v>
      </c>
      <c r="S494" t="s">
        <v>979</v>
      </c>
      <c r="T494" t="s">
        <v>42</v>
      </c>
      <c r="U494">
        <v>48</v>
      </c>
      <c r="V494">
        <v>278</v>
      </c>
      <c r="W494">
        <v>231</v>
      </c>
      <c r="X494" t="s">
        <v>980</v>
      </c>
      <c r="Y494" t="s">
        <v>3499</v>
      </c>
      <c r="Z494" t="s">
        <v>1334</v>
      </c>
      <c r="AA494" t="s">
        <v>3500</v>
      </c>
      <c r="AB494" t="s">
        <v>3501</v>
      </c>
      <c r="AC494" t="s">
        <v>984</v>
      </c>
      <c r="AD494" t="s">
        <v>985</v>
      </c>
      <c r="AE494">
        <v>1699</v>
      </c>
      <c r="AF494" t="s">
        <v>986</v>
      </c>
    </row>
    <row r="495" spans="1:34" x14ac:dyDescent="0.75">
      <c r="A495" s="22" t="s">
        <v>6047</v>
      </c>
      <c r="B495" t="s">
        <v>3495</v>
      </c>
      <c r="C495" t="s">
        <v>963</v>
      </c>
      <c r="D495" t="s">
        <v>964</v>
      </c>
      <c r="E495" t="s">
        <v>965</v>
      </c>
      <c r="F495" t="s">
        <v>3502</v>
      </c>
      <c r="G495" s="1" t="str">
        <f>HYPERLINK("https://homd.org/jbrowse/?data=homd_V11.02_phage_1.2%2FGCA_018206295.1&amp;loc=GCA_018206295.1%7CJADRGH010000009.1%3A19880..26743&amp;tracks=prokka,prokka_ncrna,ncbi,ncbi_ncrna,panggolin,cenote,genomad&amp;highlight=","Open JBrowse")</f>
        <v>Open JBrowse</v>
      </c>
      <c r="H495">
        <v>22880</v>
      </c>
      <c r="I495">
        <v>23743</v>
      </c>
      <c r="J495" t="s">
        <v>3503</v>
      </c>
      <c r="K495" t="s">
        <v>59</v>
      </c>
      <c r="L495" t="s">
        <v>59</v>
      </c>
      <c r="M495" t="s">
        <v>59</v>
      </c>
      <c r="N495" t="s">
        <v>42</v>
      </c>
      <c r="O495">
        <v>1</v>
      </c>
      <c r="P495" t="s">
        <v>59</v>
      </c>
      <c r="Q495" t="s">
        <v>59</v>
      </c>
      <c r="R495" t="s">
        <v>3498</v>
      </c>
      <c r="T495" t="s">
        <v>42</v>
      </c>
      <c r="X495" t="s">
        <v>59</v>
      </c>
      <c r="Y495" t="s">
        <v>3504</v>
      </c>
      <c r="Z495" t="s">
        <v>932</v>
      </c>
      <c r="AA495" t="s">
        <v>1009</v>
      </c>
    </row>
    <row r="496" spans="1:34" x14ac:dyDescent="0.75">
      <c r="A496" s="22" t="s">
        <v>6047</v>
      </c>
      <c r="B496" t="s">
        <v>3495</v>
      </c>
      <c r="C496" t="s">
        <v>963</v>
      </c>
      <c r="D496" t="s">
        <v>964</v>
      </c>
      <c r="E496" t="s">
        <v>965</v>
      </c>
      <c r="F496" t="s">
        <v>3505</v>
      </c>
      <c r="G496" s="1" t="str">
        <f>HYPERLINK("https://homd.org/jbrowse/?data=homd_V11.02_phage_1.2%2FGCA_018206295.1&amp;loc=GCA_018206295.1%7CJADRGH010000025.1%3A44858..51964&amp;tracks=prokka,prokka_ncrna,ncbi,ncbi_ncrna,panggolin,cenote,genomad&amp;highlight=","Open JBrowse")</f>
        <v>Open JBrowse</v>
      </c>
      <c r="H496">
        <v>47858</v>
      </c>
      <c r="I496">
        <v>48964</v>
      </c>
      <c r="J496" t="s">
        <v>3506</v>
      </c>
      <c r="K496" t="s">
        <v>39</v>
      </c>
      <c r="L496" t="s">
        <v>968</v>
      </c>
      <c r="M496" t="s">
        <v>969</v>
      </c>
      <c r="N496" t="s">
        <v>42</v>
      </c>
      <c r="O496">
        <v>3</v>
      </c>
      <c r="P496" t="s">
        <v>42</v>
      </c>
      <c r="Q496" t="s">
        <v>43</v>
      </c>
      <c r="R496" t="s">
        <v>3498</v>
      </c>
      <c r="S496" t="s">
        <v>968</v>
      </c>
      <c r="T496" t="s">
        <v>42</v>
      </c>
      <c r="U496">
        <v>134</v>
      </c>
      <c r="V496">
        <v>363</v>
      </c>
      <c r="W496">
        <v>230</v>
      </c>
      <c r="X496" t="s">
        <v>971</v>
      </c>
    </row>
    <row r="497" spans="1:34" x14ac:dyDescent="0.75">
      <c r="A497" s="22" t="s">
        <v>6047</v>
      </c>
      <c r="B497" t="s">
        <v>4053</v>
      </c>
      <c r="C497" t="s">
        <v>963</v>
      </c>
      <c r="D497" t="s">
        <v>964</v>
      </c>
      <c r="E497" t="s">
        <v>965</v>
      </c>
      <c r="F497" t="s">
        <v>4054</v>
      </c>
      <c r="G497" s="1" t="str">
        <f>HYPERLINK("https://homd.org/jbrowse/?data=homd_V11.02_phage_1.2%2FGCA_021532155.1&amp;loc=GCA_021532155.1%7CJADYUW010000002.1%3A55354..62460&amp;tracks=prokka,prokka_ncrna,ncbi,ncbi_ncrna,panggolin,cenote,genomad&amp;highlight=","Open JBrowse")</f>
        <v>Open JBrowse</v>
      </c>
      <c r="H497">
        <v>58354</v>
      </c>
      <c r="I497">
        <v>59460</v>
      </c>
      <c r="J497" t="s">
        <v>4055</v>
      </c>
      <c r="K497" t="s">
        <v>39</v>
      </c>
      <c r="L497" t="s">
        <v>968</v>
      </c>
      <c r="M497" t="s">
        <v>969</v>
      </c>
      <c r="N497" t="s">
        <v>42</v>
      </c>
      <c r="O497">
        <v>3</v>
      </c>
      <c r="P497" t="s">
        <v>42</v>
      </c>
      <c r="Q497" t="s">
        <v>43</v>
      </c>
      <c r="R497" t="s">
        <v>4056</v>
      </c>
      <c r="S497" t="s">
        <v>968</v>
      </c>
      <c r="T497" t="s">
        <v>42</v>
      </c>
      <c r="U497">
        <v>134</v>
      </c>
      <c r="V497">
        <v>363</v>
      </c>
      <c r="W497">
        <v>230</v>
      </c>
      <c r="X497" t="s">
        <v>971</v>
      </c>
      <c r="Y497" t="s">
        <v>4057</v>
      </c>
      <c r="Z497" t="s">
        <v>47</v>
      </c>
      <c r="AA497" t="s">
        <v>973</v>
      </c>
    </row>
    <row r="498" spans="1:34" x14ac:dyDescent="0.75">
      <c r="A498" s="22" t="s">
        <v>6047</v>
      </c>
      <c r="B498" t="s">
        <v>4053</v>
      </c>
      <c r="C498" t="s">
        <v>963</v>
      </c>
      <c r="D498" t="s">
        <v>964</v>
      </c>
      <c r="E498" t="s">
        <v>965</v>
      </c>
      <c r="F498" t="s">
        <v>4058</v>
      </c>
      <c r="G498" s="1" t="str">
        <f>HYPERLINK("https://homd.org/jbrowse/?data=homd_V11.02_phage_1.2%2FGCA_021532155.1&amp;loc=GCA_021532155.1%7CJADYUW010000003.1%3A19544..26407&amp;tracks=prokka,prokka_ncrna,ncbi,ncbi_ncrna,panggolin,cenote,genomad&amp;highlight=","Open JBrowse")</f>
        <v>Open JBrowse</v>
      </c>
      <c r="H498">
        <v>22544</v>
      </c>
      <c r="I498">
        <v>23407</v>
      </c>
      <c r="J498" t="s">
        <v>4059</v>
      </c>
      <c r="K498" t="s">
        <v>59</v>
      </c>
      <c r="L498" t="s">
        <v>59</v>
      </c>
      <c r="M498" t="s">
        <v>59</v>
      </c>
      <c r="N498" t="s">
        <v>42</v>
      </c>
      <c r="O498">
        <v>1</v>
      </c>
      <c r="P498" t="s">
        <v>59</v>
      </c>
      <c r="Q498" t="s">
        <v>59</v>
      </c>
      <c r="R498" t="s">
        <v>4056</v>
      </c>
      <c r="T498" t="s">
        <v>42</v>
      </c>
      <c r="X498" t="s">
        <v>59</v>
      </c>
      <c r="Y498" t="s">
        <v>4060</v>
      </c>
      <c r="Z498" t="s">
        <v>1334</v>
      </c>
      <c r="AA498" t="s">
        <v>1009</v>
      </c>
    </row>
    <row r="499" spans="1:34" x14ac:dyDescent="0.75">
      <c r="A499" s="22" t="s">
        <v>6047</v>
      </c>
      <c r="B499" t="s">
        <v>4053</v>
      </c>
      <c r="C499" t="s">
        <v>963</v>
      </c>
      <c r="D499" t="s">
        <v>964</v>
      </c>
      <c r="E499" t="s">
        <v>965</v>
      </c>
      <c r="F499" t="s">
        <v>4061</v>
      </c>
      <c r="G499" s="1" t="str">
        <f>HYPERLINK("https://homd.org/jbrowse/?data=homd_V11.02_phage_1.2%2FGCA_021532155.1&amp;loc=GCA_021532155.1%7CJADYUW010000034.1%3A28933..36102&amp;tracks=prokka,prokka_ncrna,ncbi,ncbi_ncrna,panggolin,cenote,genomad&amp;highlight=","Open JBrowse")</f>
        <v>Open JBrowse</v>
      </c>
      <c r="H499">
        <v>31933</v>
      </c>
      <c r="I499">
        <v>33102</v>
      </c>
      <c r="J499" t="s">
        <v>4062</v>
      </c>
      <c r="K499" t="s">
        <v>109</v>
      </c>
      <c r="L499" t="s">
        <v>989</v>
      </c>
      <c r="M499" t="s">
        <v>990</v>
      </c>
      <c r="N499" t="s">
        <v>42</v>
      </c>
      <c r="O499">
        <v>3</v>
      </c>
      <c r="P499" t="s">
        <v>42</v>
      </c>
      <c r="Q499" t="s">
        <v>101</v>
      </c>
      <c r="R499" t="s">
        <v>4056</v>
      </c>
      <c r="S499" t="s">
        <v>989</v>
      </c>
      <c r="T499" t="s">
        <v>42</v>
      </c>
      <c r="U499">
        <v>156</v>
      </c>
      <c r="V499">
        <v>386</v>
      </c>
      <c r="W499">
        <v>231</v>
      </c>
      <c r="X499" t="s">
        <v>248</v>
      </c>
      <c r="Y499" t="s">
        <v>4063</v>
      </c>
      <c r="Z499" t="s">
        <v>420</v>
      </c>
      <c r="AA499" t="s">
        <v>992</v>
      </c>
      <c r="AB499" t="s">
        <v>4064</v>
      </c>
      <c r="AC499" t="s">
        <v>316</v>
      </c>
      <c r="AD499" t="s">
        <v>101</v>
      </c>
      <c r="AE499">
        <v>3273</v>
      </c>
      <c r="AF499" t="s">
        <v>317</v>
      </c>
    </row>
    <row r="500" spans="1:34" x14ac:dyDescent="0.75">
      <c r="A500" s="22" t="s">
        <v>6047</v>
      </c>
      <c r="B500" t="s">
        <v>4053</v>
      </c>
      <c r="C500" t="s">
        <v>963</v>
      </c>
      <c r="D500" t="s">
        <v>964</v>
      </c>
      <c r="E500" t="s">
        <v>965</v>
      </c>
      <c r="F500" t="s">
        <v>4065</v>
      </c>
      <c r="G500" s="1" t="str">
        <f>HYPERLINK("https://homd.org/jbrowse/?data=homd_V11.02_phage_1.2%2FGCA_021532155.1&amp;loc=GCA_021532155.1%7CJADYUW010000050.1%3A7107..14408&amp;tracks=prokka,prokka_ncrna,ncbi,ncbi_ncrna,panggolin,cenote,genomad&amp;highlight=","Open JBrowse")</f>
        <v>Open JBrowse</v>
      </c>
      <c r="H500">
        <v>10107</v>
      </c>
      <c r="I500">
        <v>11408</v>
      </c>
      <c r="J500" t="s">
        <v>4066</v>
      </c>
      <c r="K500" t="s">
        <v>627</v>
      </c>
      <c r="L500" t="s">
        <v>2490</v>
      </c>
      <c r="M500" t="s">
        <v>2491</v>
      </c>
      <c r="N500" t="s">
        <v>42</v>
      </c>
      <c r="O500">
        <v>3</v>
      </c>
      <c r="P500" t="s">
        <v>2492</v>
      </c>
      <c r="Q500" t="s">
        <v>51</v>
      </c>
      <c r="R500" t="s">
        <v>4056</v>
      </c>
      <c r="S500" t="s">
        <v>979</v>
      </c>
      <c r="T500" t="s">
        <v>42</v>
      </c>
      <c r="U500">
        <v>48</v>
      </c>
      <c r="V500">
        <v>278</v>
      </c>
      <c r="W500">
        <v>231</v>
      </c>
      <c r="X500" t="s">
        <v>980</v>
      </c>
      <c r="Y500" t="s">
        <v>4067</v>
      </c>
      <c r="Z500" t="s">
        <v>773</v>
      </c>
      <c r="AA500" t="s">
        <v>4068</v>
      </c>
      <c r="AB500" t="s">
        <v>4069</v>
      </c>
      <c r="AC500" t="s">
        <v>984</v>
      </c>
      <c r="AD500" t="s">
        <v>985</v>
      </c>
      <c r="AE500">
        <v>1700</v>
      </c>
      <c r="AF500" t="s">
        <v>986</v>
      </c>
    </row>
    <row r="501" spans="1:34" x14ac:dyDescent="0.75">
      <c r="A501" s="22" t="s">
        <v>6047</v>
      </c>
      <c r="B501" t="s">
        <v>5178</v>
      </c>
      <c r="C501" t="s">
        <v>963</v>
      </c>
      <c r="D501" t="s">
        <v>964</v>
      </c>
      <c r="E501" t="s">
        <v>965</v>
      </c>
      <c r="F501" t="s">
        <v>5179</v>
      </c>
      <c r="G501" s="1" t="str">
        <f>HYPERLINK("https://homd.org/jbrowse/?data=homd_V11.02_phage_1.2%2FGCA_900445575.1&amp;loc=GCA_900445575.1%7CUFTB01000001.1%3A1922544..1929407&amp;tracks=prokka,prokka_ncrna,ncbi,ncbi_ncrna,panggolin,cenote,genomad&amp;highlight=","Open JBrowse")</f>
        <v>Open JBrowse</v>
      </c>
      <c r="H501">
        <v>1925544</v>
      </c>
      <c r="I501">
        <v>1926407</v>
      </c>
      <c r="J501" t="s">
        <v>5180</v>
      </c>
      <c r="K501" t="s">
        <v>59</v>
      </c>
      <c r="L501" t="s">
        <v>59</v>
      </c>
      <c r="M501" t="s">
        <v>59</v>
      </c>
      <c r="N501" t="s">
        <v>42</v>
      </c>
      <c r="O501">
        <v>1</v>
      </c>
      <c r="P501" t="s">
        <v>59</v>
      </c>
      <c r="Q501" t="s">
        <v>59</v>
      </c>
      <c r="R501" t="s">
        <v>5181</v>
      </c>
      <c r="T501" t="s">
        <v>42</v>
      </c>
      <c r="X501" t="s">
        <v>59</v>
      </c>
      <c r="Y501" t="s">
        <v>5182</v>
      </c>
      <c r="Z501" t="s">
        <v>892</v>
      </c>
      <c r="AA501" t="s">
        <v>2871</v>
      </c>
    </row>
    <row r="502" spans="1:34" x14ac:dyDescent="0.75">
      <c r="A502" s="22" t="s">
        <v>6047</v>
      </c>
      <c r="B502" t="s">
        <v>5178</v>
      </c>
      <c r="C502" t="s">
        <v>963</v>
      </c>
      <c r="D502" t="s">
        <v>964</v>
      </c>
      <c r="E502" t="s">
        <v>965</v>
      </c>
      <c r="F502" t="s">
        <v>5179</v>
      </c>
      <c r="G502" s="1" t="str">
        <f>HYPERLINK("https://homd.org/jbrowse/?data=homd_V11.02_phage_1.2%2FGCA_900445575.1&amp;loc=GCA_900445575.1%7CUFTB01000001.1%3A639927..647096&amp;tracks=prokka,prokka_ncrna,ncbi,ncbi_ncrna,panggolin,cenote,genomad&amp;highlight=","Open JBrowse")</f>
        <v>Open JBrowse</v>
      </c>
      <c r="H502">
        <v>642927</v>
      </c>
      <c r="I502">
        <v>644096</v>
      </c>
      <c r="J502" t="s">
        <v>5183</v>
      </c>
      <c r="K502" t="s">
        <v>109</v>
      </c>
      <c r="L502" t="s">
        <v>989</v>
      </c>
      <c r="M502" t="s">
        <v>990</v>
      </c>
      <c r="N502" t="s">
        <v>42</v>
      </c>
      <c r="O502">
        <v>3</v>
      </c>
      <c r="P502" t="s">
        <v>42</v>
      </c>
      <c r="Q502" t="s">
        <v>101</v>
      </c>
      <c r="R502" t="s">
        <v>5181</v>
      </c>
      <c r="S502" t="s">
        <v>989</v>
      </c>
      <c r="T502" t="s">
        <v>42</v>
      </c>
      <c r="U502">
        <v>156</v>
      </c>
      <c r="V502">
        <v>386</v>
      </c>
      <c r="W502">
        <v>231</v>
      </c>
      <c r="X502" t="s">
        <v>248</v>
      </c>
      <c r="Y502" t="s">
        <v>5184</v>
      </c>
      <c r="Z502" t="s">
        <v>836</v>
      </c>
      <c r="AA502" t="s">
        <v>250</v>
      </c>
      <c r="AB502" t="s">
        <v>5185</v>
      </c>
      <c r="AC502" t="s">
        <v>316</v>
      </c>
      <c r="AD502" t="s">
        <v>101</v>
      </c>
      <c r="AE502">
        <v>3267</v>
      </c>
      <c r="AF502" t="s">
        <v>895</v>
      </c>
    </row>
    <row r="503" spans="1:34" x14ac:dyDescent="0.75">
      <c r="A503" s="22" t="s">
        <v>6047</v>
      </c>
      <c r="B503" t="s">
        <v>5178</v>
      </c>
      <c r="C503" t="s">
        <v>963</v>
      </c>
      <c r="D503" t="s">
        <v>964</v>
      </c>
      <c r="E503" t="s">
        <v>965</v>
      </c>
      <c r="F503" t="s">
        <v>5179</v>
      </c>
      <c r="G503" s="1" t="str">
        <f>HYPERLINK("https://homd.org/jbrowse/?data=homd_V11.02_phage_1.2%2FGCA_900445575.1&amp;loc=GCA_900445575.1%7CUFTB01000001.1%3A810297..817403&amp;tracks=prokka,prokka_ncrna,ncbi,ncbi_ncrna,panggolin,cenote,genomad&amp;highlight=","Open JBrowse")</f>
        <v>Open JBrowse</v>
      </c>
      <c r="H503">
        <v>813297</v>
      </c>
      <c r="I503">
        <v>814403</v>
      </c>
      <c r="J503" t="s">
        <v>5186</v>
      </c>
      <c r="K503" t="s">
        <v>39</v>
      </c>
      <c r="L503" t="s">
        <v>968</v>
      </c>
      <c r="M503" t="s">
        <v>969</v>
      </c>
      <c r="N503" t="s">
        <v>42</v>
      </c>
      <c r="O503">
        <v>3</v>
      </c>
      <c r="P503" t="s">
        <v>42</v>
      </c>
      <c r="Q503" t="s">
        <v>43</v>
      </c>
      <c r="R503" t="s">
        <v>5181</v>
      </c>
      <c r="S503" t="s">
        <v>968</v>
      </c>
      <c r="T503" t="s">
        <v>42</v>
      </c>
      <c r="U503">
        <v>134</v>
      </c>
      <c r="V503">
        <v>363</v>
      </c>
      <c r="W503">
        <v>230</v>
      </c>
      <c r="X503" t="s">
        <v>971</v>
      </c>
      <c r="Y503" t="s">
        <v>5187</v>
      </c>
      <c r="Z503" t="s">
        <v>932</v>
      </c>
      <c r="AA503" t="s">
        <v>5188</v>
      </c>
    </row>
    <row r="504" spans="1:34" x14ac:dyDescent="0.75">
      <c r="A504" s="22" t="s">
        <v>6051</v>
      </c>
      <c r="B504" t="s">
        <v>3695</v>
      </c>
      <c r="C504" t="s">
        <v>104</v>
      </c>
      <c r="D504" t="s">
        <v>559</v>
      </c>
      <c r="E504" t="s">
        <v>560</v>
      </c>
      <c r="F504" t="s">
        <v>3696</v>
      </c>
      <c r="G504" s="1" t="str">
        <f>HYPERLINK("https://homd.org/jbrowse/?data=homd_V11.02_phage_1.2%2FGCA_019375585.1&amp;loc=GCA_019375585.1%7CJAHXCF010000011.1%3A42596..49030&amp;tracks=prokka,prokka_ncrna,ncbi,ncbi_ncrna,panggolin,cenote,genomad&amp;highlight=","Open JBrowse")</f>
        <v>Open JBrowse</v>
      </c>
      <c r="H504">
        <v>45596</v>
      </c>
      <c r="I504">
        <v>46030</v>
      </c>
      <c r="J504" t="s">
        <v>3697</v>
      </c>
      <c r="K504" t="s">
        <v>59</v>
      </c>
      <c r="L504" t="s">
        <v>3698</v>
      </c>
      <c r="M504" t="s">
        <v>3699</v>
      </c>
      <c r="N504" t="s">
        <v>59</v>
      </c>
      <c r="O504">
        <v>2</v>
      </c>
      <c r="P504" t="s">
        <v>42</v>
      </c>
      <c r="Q504" t="s">
        <v>59</v>
      </c>
      <c r="R504" t="s">
        <v>3700</v>
      </c>
      <c r="S504" t="s">
        <v>3698</v>
      </c>
      <c r="T504" t="s">
        <v>42</v>
      </c>
      <c r="U504">
        <v>1</v>
      </c>
      <c r="V504">
        <v>129</v>
      </c>
      <c r="W504">
        <v>129</v>
      </c>
      <c r="X504" t="s">
        <v>160</v>
      </c>
    </row>
    <row r="505" spans="1:34" x14ac:dyDescent="0.75">
      <c r="A505" s="22" t="s">
        <v>6051</v>
      </c>
      <c r="B505" t="s">
        <v>3811</v>
      </c>
      <c r="C505" t="s">
        <v>104</v>
      </c>
      <c r="D505" t="s">
        <v>559</v>
      </c>
      <c r="E505" t="s">
        <v>560</v>
      </c>
      <c r="F505" t="s">
        <v>3812</v>
      </c>
      <c r="G505" s="1" t="str">
        <f>HYPERLINK("https://homd.org/jbrowse/?data=homd_V11.02_phage_1.2%2FGCA_019391885.1&amp;loc=GCA_019391885.1%7CJAHXRE010000011.1%3A41533..47967&amp;tracks=prokka,prokka_ncrna,ncbi,ncbi_ncrna,panggolin,cenote,genomad&amp;highlight=","Open JBrowse")</f>
        <v>Open JBrowse</v>
      </c>
      <c r="H505">
        <v>44533</v>
      </c>
      <c r="I505">
        <v>44967</v>
      </c>
      <c r="J505" t="s">
        <v>3813</v>
      </c>
      <c r="K505" t="s">
        <v>59</v>
      </c>
      <c r="L505" t="s">
        <v>3698</v>
      </c>
      <c r="M505" t="s">
        <v>3699</v>
      </c>
      <c r="N505" t="s">
        <v>59</v>
      </c>
      <c r="O505">
        <v>2</v>
      </c>
      <c r="P505" t="s">
        <v>42</v>
      </c>
      <c r="Q505" t="s">
        <v>59</v>
      </c>
      <c r="R505" t="s">
        <v>3814</v>
      </c>
      <c r="S505" t="s">
        <v>3698</v>
      </c>
      <c r="T505" t="s">
        <v>42</v>
      </c>
      <c r="U505">
        <v>1</v>
      </c>
      <c r="V505">
        <v>129</v>
      </c>
      <c r="W505">
        <v>129</v>
      </c>
      <c r="X505" t="s">
        <v>160</v>
      </c>
    </row>
    <row r="506" spans="1:34" x14ac:dyDescent="0.75">
      <c r="A506" s="22" t="s">
        <v>6051</v>
      </c>
      <c r="B506" t="s">
        <v>3815</v>
      </c>
      <c r="C506" t="s">
        <v>104</v>
      </c>
      <c r="D506" t="s">
        <v>559</v>
      </c>
      <c r="E506" t="s">
        <v>560</v>
      </c>
      <c r="F506" t="s">
        <v>3816</v>
      </c>
      <c r="G506" s="1" t="str">
        <f>HYPERLINK("https://homd.org/jbrowse/?data=homd_V11.02_phage_1.2%2FGCA_019391935.1&amp;loc=GCA_019391935.1%7CJAHXRH010000017.1%3A2034..8468&amp;tracks=prokka,prokka_ncrna,ncbi,ncbi_ncrna,panggolin,cenote,genomad&amp;highlight=","Open JBrowse")</f>
        <v>Open JBrowse</v>
      </c>
      <c r="H506">
        <v>5034</v>
      </c>
      <c r="I506">
        <v>5468</v>
      </c>
      <c r="J506" t="s">
        <v>3817</v>
      </c>
      <c r="K506" t="s">
        <v>59</v>
      </c>
      <c r="L506" t="s">
        <v>3698</v>
      </c>
      <c r="M506" t="s">
        <v>3699</v>
      </c>
      <c r="N506" t="s">
        <v>59</v>
      </c>
      <c r="O506">
        <v>2</v>
      </c>
      <c r="P506" t="s">
        <v>42</v>
      </c>
      <c r="Q506" t="s">
        <v>59</v>
      </c>
      <c r="R506" t="s">
        <v>3818</v>
      </c>
      <c r="S506" t="s">
        <v>3698</v>
      </c>
      <c r="T506" t="s">
        <v>42</v>
      </c>
      <c r="U506">
        <v>1</v>
      </c>
      <c r="V506">
        <v>129</v>
      </c>
      <c r="W506">
        <v>129</v>
      </c>
      <c r="X506" t="s">
        <v>160</v>
      </c>
    </row>
    <row r="507" spans="1:34" x14ac:dyDescent="0.75">
      <c r="A507" s="22" t="s">
        <v>6051</v>
      </c>
      <c r="B507" t="s">
        <v>283</v>
      </c>
      <c r="C507" t="s">
        <v>104</v>
      </c>
      <c r="D507" t="s">
        <v>284</v>
      </c>
      <c r="E507" t="s">
        <v>285</v>
      </c>
      <c r="F507" t="s">
        <v>286</v>
      </c>
      <c r="G507" s="1" t="str">
        <f>HYPERLINK("https://homd.org/jbrowse/?data=homd_V11.02_phage_1.2%2FGCA_000162955.1&amp;loc=GCA_000162955.1%7CGG700633.1%3A107802..114584&amp;tracks=prokka,prokka_ncrna,ncbi,ncbi_ncrna,panggolin,cenote,genomad&amp;highlight=","Open JBrowse")</f>
        <v>Open JBrowse</v>
      </c>
      <c r="H507">
        <v>110802</v>
      </c>
      <c r="I507">
        <v>111584</v>
      </c>
      <c r="J507" t="s">
        <v>287</v>
      </c>
      <c r="K507" t="s">
        <v>59</v>
      </c>
      <c r="L507" t="s">
        <v>288</v>
      </c>
      <c r="M507" t="s">
        <v>289</v>
      </c>
      <c r="N507" t="s">
        <v>42</v>
      </c>
      <c r="O507">
        <v>3</v>
      </c>
      <c r="P507" t="s">
        <v>42</v>
      </c>
      <c r="Q507" t="s">
        <v>59</v>
      </c>
      <c r="R507" t="s">
        <v>290</v>
      </c>
      <c r="S507" t="s">
        <v>288</v>
      </c>
      <c r="T507" t="s">
        <v>42</v>
      </c>
      <c r="U507">
        <v>2</v>
      </c>
      <c r="V507">
        <v>257</v>
      </c>
      <c r="W507">
        <v>256</v>
      </c>
      <c r="X507" t="s">
        <v>142</v>
      </c>
      <c r="Y507" t="s">
        <v>291</v>
      </c>
      <c r="Z507" t="s">
        <v>292</v>
      </c>
      <c r="AA507" t="s">
        <v>293</v>
      </c>
      <c r="AB507" t="s">
        <v>294</v>
      </c>
      <c r="AC507" t="s">
        <v>295</v>
      </c>
      <c r="AD507" t="s">
        <v>183</v>
      </c>
      <c r="AE507">
        <v>524.70000000000005</v>
      </c>
      <c r="AF507" t="s">
        <v>296</v>
      </c>
      <c r="AG507" t="s">
        <v>185</v>
      </c>
      <c r="AH507">
        <v>2</v>
      </c>
    </row>
    <row r="508" spans="1:34" x14ac:dyDescent="0.75">
      <c r="A508" s="22" t="s">
        <v>6051</v>
      </c>
      <c r="B508" t="s">
        <v>1240</v>
      </c>
      <c r="C508" t="s">
        <v>104</v>
      </c>
      <c r="D508" t="s">
        <v>948</v>
      </c>
      <c r="E508" t="s">
        <v>949</v>
      </c>
      <c r="F508" t="s">
        <v>1247</v>
      </c>
      <c r="G508" s="1" t="str">
        <f>HYPERLINK("https://homd.org/jbrowse/?data=homd_V11.02_phage_1.2%2FGCA_000613565.1&amp;loc=GCA_000613565.1%7CBAJF01000022.1%3A17040..23456&amp;tracks=prokka,prokka_ncrna,ncbi,ncbi_ncrna,panggolin,cenote,genomad&amp;highlight=","Open JBrowse")</f>
        <v>Open JBrowse</v>
      </c>
      <c r="H508">
        <v>20040</v>
      </c>
      <c r="I508">
        <v>20456</v>
      </c>
      <c r="J508" t="s">
        <v>1248</v>
      </c>
      <c r="K508" t="s">
        <v>59</v>
      </c>
      <c r="L508" t="s">
        <v>1249</v>
      </c>
      <c r="M508" t="s">
        <v>1250</v>
      </c>
      <c r="N508" t="s">
        <v>59</v>
      </c>
      <c r="O508">
        <v>2</v>
      </c>
      <c r="P508" t="s">
        <v>42</v>
      </c>
      <c r="Q508" t="s">
        <v>59</v>
      </c>
      <c r="R508" t="s">
        <v>1243</v>
      </c>
      <c r="S508" t="s">
        <v>1249</v>
      </c>
      <c r="T508" t="s">
        <v>42</v>
      </c>
      <c r="U508">
        <v>2</v>
      </c>
      <c r="V508">
        <v>130</v>
      </c>
      <c r="W508">
        <v>129</v>
      </c>
      <c r="X508" t="s">
        <v>1251</v>
      </c>
    </row>
    <row r="509" spans="1:34" x14ac:dyDescent="0.75">
      <c r="A509" s="22" t="s">
        <v>6051</v>
      </c>
      <c r="B509" t="s">
        <v>2774</v>
      </c>
      <c r="C509" t="s">
        <v>104</v>
      </c>
      <c r="D509" t="s">
        <v>2741</v>
      </c>
      <c r="E509" t="s">
        <v>2742</v>
      </c>
      <c r="F509" t="s">
        <v>2780</v>
      </c>
      <c r="G509" s="1" t="str">
        <f>HYPERLINK("https://homd.org/jbrowse/?data=homd_V11.02_phage_1.2%2FGCA_013333765.2&amp;loc=GCA_013333765.2%7CJABCOG020000121.1%3A60..6896&amp;tracks=prokka,prokka_ncrna,ncbi,ncbi_ncrna,panggolin,cenote,genomad&amp;highlight=","Open JBrowse")</f>
        <v>Open JBrowse</v>
      </c>
      <c r="H509">
        <v>3060</v>
      </c>
      <c r="I509">
        <v>3896</v>
      </c>
      <c r="J509" t="s">
        <v>2781</v>
      </c>
      <c r="K509" t="s">
        <v>59</v>
      </c>
      <c r="L509" t="s">
        <v>2782</v>
      </c>
      <c r="M509" t="s">
        <v>2783</v>
      </c>
      <c r="N509" t="s">
        <v>59</v>
      </c>
      <c r="O509">
        <v>2</v>
      </c>
      <c r="P509" t="s">
        <v>42</v>
      </c>
      <c r="Q509" t="s">
        <v>59</v>
      </c>
      <c r="R509" t="s">
        <v>2777</v>
      </c>
      <c r="S509" t="s">
        <v>2782</v>
      </c>
      <c r="T509" t="s">
        <v>42</v>
      </c>
      <c r="U509">
        <v>2</v>
      </c>
      <c r="V509">
        <v>190</v>
      </c>
      <c r="W509">
        <v>189</v>
      </c>
      <c r="X509" t="s">
        <v>1629</v>
      </c>
    </row>
    <row r="510" spans="1:34" x14ac:dyDescent="0.75">
      <c r="A510" s="22" t="s">
        <v>6051</v>
      </c>
      <c r="B510" t="s">
        <v>240</v>
      </c>
      <c r="C510" t="s">
        <v>104</v>
      </c>
      <c r="D510" t="s">
        <v>241</v>
      </c>
      <c r="E510" t="s">
        <v>242</v>
      </c>
      <c r="F510" t="s">
        <v>254</v>
      </c>
      <c r="G510" s="1" t="str">
        <f>HYPERLINK("https://homd.org/jbrowse/?data=homd_V11.02_phage_1.2%2FGCA_000162455.1&amp;loc=GCA_000162455.1%7CGG739939.1%3A4389..11051&amp;tracks=prokka,prokka_ncrna,ncbi,ncbi_ncrna,panggolin,cenote,genomad&amp;highlight=","Open JBrowse")</f>
        <v>Open JBrowse</v>
      </c>
      <c r="H510">
        <v>7389</v>
      </c>
      <c r="I510">
        <v>8051</v>
      </c>
      <c r="J510" t="s">
        <v>255</v>
      </c>
      <c r="K510" t="s">
        <v>59</v>
      </c>
      <c r="L510" t="s">
        <v>256</v>
      </c>
      <c r="M510" t="s">
        <v>257</v>
      </c>
      <c r="N510" t="s">
        <v>59</v>
      </c>
      <c r="O510">
        <v>2</v>
      </c>
      <c r="P510" t="s">
        <v>42</v>
      </c>
      <c r="Q510" t="s">
        <v>59</v>
      </c>
      <c r="R510" t="s">
        <v>247</v>
      </c>
      <c r="S510" t="s">
        <v>256</v>
      </c>
      <c r="T510" t="s">
        <v>42</v>
      </c>
      <c r="U510">
        <v>3</v>
      </c>
      <c r="V510">
        <v>214</v>
      </c>
      <c r="W510">
        <v>212</v>
      </c>
      <c r="X510" t="s">
        <v>258</v>
      </c>
      <c r="Y510" t="s">
        <v>259</v>
      </c>
      <c r="Z510" t="s">
        <v>260</v>
      </c>
      <c r="AA510" t="s">
        <v>261</v>
      </c>
      <c r="AB510" t="s">
        <v>262</v>
      </c>
      <c r="AG510" t="s">
        <v>263</v>
      </c>
      <c r="AH510">
        <v>2</v>
      </c>
    </row>
    <row r="511" spans="1:34" x14ac:dyDescent="0.75">
      <c r="A511" s="22" t="s">
        <v>6051</v>
      </c>
      <c r="B511" t="s">
        <v>424</v>
      </c>
      <c r="C511" t="s">
        <v>104</v>
      </c>
      <c r="D511" t="s">
        <v>241</v>
      </c>
      <c r="E511" t="s">
        <v>242</v>
      </c>
      <c r="F511" t="s">
        <v>425</v>
      </c>
      <c r="G511" s="1" t="str">
        <f>HYPERLINK("https://homd.org/jbrowse/?data=homd_V11.02_phage_1.2%2FGCA_000184945.1&amp;loc=GCA_000184945.1%7CGL586311.1%3A3151990..3158652&amp;tracks=prokka,prokka_ncrna,ncbi,ncbi_ncrna,panggolin,cenote,genomad&amp;highlight=","Open JBrowse")</f>
        <v>Open JBrowse</v>
      </c>
      <c r="H511">
        <v>3154990</v>
      </c>
      <c r="I511">
        <v>3155652</v>
      </c>
      <c r="J511" t="s">
        <v>426</v>
      </c>
      <c r="K511" t="s">
        <v>59</v>
      </c>
      <c r="L511" t="s">
        <v>256</v>
      </c>
      <c r="M511" t="s">
        <v>257</v>
      </c>
      <c r="N511" t="s">
        <v>59</v>
      </c>
      <c r="O511">
        <v>2</v>
      </c>
      <c r="P511" t="s">
        <v>42</v>
      </c>
      <c r="Q511" t="s">
        <v>59</v>
      </c>
      <c r="R511" t="s">
        <v>427</v>
      </c>
      <c r="S511" t="s">
        <v>256</v>
      </c>
      <c r="T511" t="s">
        <v>42</v>
      </c>
      <c r="U511">
        <v>3</v>
      </c>
      <c r="V511">
        <v>214</v>
      </c>
      <c r="W511">
        <v>212</v>
      </c>
      <c r="X511" t="s">
        <v>258</v>
      </c>
      <c r="Y511" t="s">
        <v>428</v>
      </c>
      <c r="Z511" t="s">
        <v>429</v>
      </c>
      <c r="AA511" t="s">
        <v>430</v>
      </c>
      <c r="AB511" t="s">
        <v>431</v>
      </c>
      <c r="AG511" t="s">
        <v>263</v>
      </c>
      <c r="AH511">
        <v>2</v>
      </c>
    </row>
    <row r="512" spans="1:34" x14ac:dyDescent="0.75">
      <c r="A512" s="22" t="s">
        <v>6051</v>
      </c>
      <c r="B512" t="s">
        <v>734</v>
      </c>
      <c r="C512" t="s">
        <v>104</v>
      </c>
      <c r="D512" t="s">
        <v>241</v>
      </c>
      <c r="E512" t="s">
        <v>242</v>
      </c>
      <c r="F512" t="s">
        <v>735</v>
      </c>
      <c r="G512" s="1" t="str">
        <f>HYPERLINK("https://homd.org/jbrowse/?data=homd_V11.02_phage_1.2%2FGCA_000287635.1&amp;loc=GCA_000287635.1%7CALJQ01000015.1%3A74245..80907&amp;tracks=prokka,prokka_ncrna,ncbi,ncbi_ncrna,panggolin,cenote,genomad&amp;highlight=","Open JBrowse")</f>
        <v>Open JBrowse</v>
      </c>
      <c r="H512">
        <v>77245</v>
      </c>
      <c r="I512">
        <v>77907</v>
      </c>
      <c r="J512" t="s">
        <v>736</v>
      </c>
      <c r="K512" t="s">
        <v>59</v>
      </c>
      <c r="L512" t="s">
        <v>256</v>
      </c>
      <c r="M512" t="s">
        <v>257</v>
      </c>
      <c r="N512" t="s">
        <v>59</v>
      </c>
      <c r="O512">
        <v>2</v>
      </c>
      <c r="P512" t="s">
        <v>42</v>
      </c>
      <c r="Q512" t="s">
        <v>59</v>
      </c>
      <c r="R512" t="s">
        <v>737</v>
      </c>
      <c r="S512" t="s">
        <v>256</v>
      </c>
      <c r="T512" t="s">
        <v>42</v>
      </c>
      <c r="U512">
        <v>3</v>
      </c>
      <c r="V512">
        <v>214</v>
      </c>
      <c r="W512">
        <v>212</v>
      </c>
      <c r="X512" t="s">
        <v>258</v>
      </c>
      <c r="Y512" t="s">
        <v>738</v>
      </c>
      <c r="Z512" t="s">
        <v>126</v>
      </c>
      <c r="AA512" t="s">
        <v>739</v>
      </c>
    </row>
    <row r="513" spans="1:34" x14ac:dyDescent="0.75">
      <c r="A513" s="22" t="s">
        <v>6051</v>
      </c>
      <c r="B513" t="s">
        <v>2809</v>
      </c>
      <c r="C513" t="s">
        <v>104</v>
      </c>
      <c r="D513" t="s">
        <v>105</v>
      </c>
      <c r="E513" t="s">
        <v>106</v>
      </c>
      <c r="F513" t="s">
        <v>2810</v>
      </c>
      <c r="G513" s="1" t="str">
        <f>HYPERLINK("https://homd.org/jbrowse/?data=homd_V11.02_phage_1.2%2FGCA_013394785.1&amp;loc=GCA_013394785.1%7CJABXYW010000002.1%3A681987..688583&amp;tracks=prokka,prokka_ncrna,ncbi,ncbi_ncrna,panggolin,cenote,genomad&amp;highlight=","Open JBrowse")</f>
        <v>Open JBrowse</v>
      </c>
      <c r="H513">
        <v>684987</v>
      </c>
      <c r="I513">
        <v>685583</v>
      </c>
      <c r="J513" t="s">
        <v>2819</v>
      </c>
      <c r="K513" t="s">
        <v>39</v>
      </c>
      <c r="L513" t="s">
        <v>2820</v>
      </c>
      <c r="M513" t="s">
        <v>2821</v>
      </c>
      <c r="N513" t="s">
        <v>42</v>
      </c>
      <c r="O513">
        <v>3</v>
      </c>
      <c r="P513" t="s">
        <v>42</v>
      </c>
      <c r="Q513" t="s">
        <v>43</v>
      </c>
      <c r="R513" t="s">
        <v>2812</v>
      </c>
      <c r="S513" t="s">
        <v>2820</v>
      </c>
      <c r="T513" t="s">
        <v>42</v>
      </c>
      <c r="U513">
        <v>3</v>
      </c>
      <c r="V513">
        <v>196</v>
      </c>
      <c r="W513">
        <v>194</v>
      </c>
      <c r="X513" t="s">
        <v>45</v>
      </c>
      <c r="Y513" t="s">
        <v>2822</v>
      </c>
      <c r="Z513" t="s">
        <v>132</v>
      </c>
      <c r="AA513" t="s">
        <v>919</v>
      </c>
    </row>
    <row r="514" spans="1:34" x14ac:dyDescent="0.75">
      <c r="A514" s="22" t="s">
        <v>6051</v>
      </c>
      <c r="B514" t="s">
        <v>3623</v>
      </c>
      <c r="C514" t="s">
        <v>104</v>
      </c>
      <c r="D514" t="s">
        <v>241</v>
      </c>
      <c r="E514" t="s">
        <v>242</v>
      </c>
      <c r="F514" t="s">
        <v>3624</v>
      </c>
      <c r="G514" s="1" t="str">
        <f>HYPERLINK("https://homd.org/jbrowse/?data=homd_V11.02_phage_1.2%2FGCA_018372275.1&amp;loc=GCA_018372275.1%7CJAHAJI010000002.1%3A125703..132365&amp;tracks=prokka,prokka_ncrna,ncbi,ncbi_ncrna,panggolin,cenote,genomad&amp;highlight=","Open JBrowse")</f>
        <v>Open JBrowse</v>
      </c>
      <c r="H514">
        <v>128703</v>
      </c>
      <c r="I514">
        <v>129365</v>
      </c>
      <c r="J514" t="s">
        <v>3625</v>
      </c>
      <c r="K514" t="s">
        <v>59</v>
      </c>
      <c r="L514" t="s">
        <v>256</v>
      </c>
      <c r="M514" t="s">
        <v>257</v>
      </c>
      <c r="N514" t="s">
        <v>59</v>
      </c>
      <c r="O514">
        <v>2</v>
      </c>
      <c r="P514" t="s">
        <v>42</v>
      </c>
      <c r="Q514" t="s">
        <v>59</v>
      </c>
      <c r="R514" t="s">
        <v>3626</v>
      </c>
      <c r="S514" t="s">
        <v>256</v>
      </c>
      <c r="T514" t="s">
        <v>42</v>
      </c>
      <c r="U514">
        <v>3</v>
      </c>
      <c r="V514">
        <v>214</v>
      </c>
      <c r="W514">
        <v>212</v>
      </c>
      <c r="X514" t="s">
        <v>258</v>
      </c>
      <c r="Y514" t="s">
        <v>3627</v>
      </c>
      <c r="Z514" t="s">
        <v>586</v>
      </c>
      <c r="AA514" t="s">
        <v>3628</v>
      </c>
      <c r="AB514" t="s">
        <v>3629</v>
      </c>
      <c r="AG514" t="s">
        <v>263</v>
      </c>
      <c r="AH514">
        <v>2</v>
      </c>
    </row>
    <row r="515" spans="1:34" x14ac:dyDescent="0.75">
      <c r="A515" s="22" t="s">
        <v>6051</v>
      </c>
      <c r="B515" t="s">
        <v>3783</v>
      </c>
      <c r="C515" t="s">
        <v>104</v>
      </c>
      <c r="D515" t="s">
        <v>241</v>
      </c>
      <c r="E515" t="s">
        <v>242</v>
      </c>
      <c r="F515" t="s">
        <v>3790</v>
      </c>
      <c r="G515" s="1" t="str">
        <f>HYPERLINK("https://homd.org/jbrowse/?data=homd_V11.02_phage_1.2%2FGCA_019391755.1&amp;loc=GCA_019391755.1%7CJAHXQX010000008.1%3A70470..77132&amp;tracks=prokka,prokka_ncrna,ncbi,ncbi_ncrna,panggolin,cenote,genomad&amp;highlight=","Open JBrowse")</f>
        <v>Open JBrowse</v>
      </c>
      <c r="H515">
        <v>73470</v>
      </c>
      <c r="I515">
        <v>74132</v>
      </c>
      <c r="J515" t="s">
        <v>3791</v>
      </c>
      <c r="K515" t="s">
        <v>59</v>
      </c>
      <c r="L515" t="s">
        <v>256</v>
      </c>
      <c r="M515" t="s">
        <v>257</v>
      </c>
      <c r="N515" t="s">
        <v>59</v>
      </c>
      <c r="O515">
        <v>2</v>
      </c>
      <c r="P515" t="s">
        <v>42</v>
      </c>
      <c r="Q515" t="s">
        <v>59</v>
      </c>
      <c r="R515" t="s">
        <v>3786</v>
      </c>
      <c r="S515" t="s">
        <v>256</v>
      </c>
      <c r="T515" t="s">
        <v>42</v>
      </c>
      <c r="U515">
        <v>3</v>
      </c>
      <c r="V515">
        <v>214</v>
      </c>
      <c r="W515">
        <v>212</v>
      </c>
      <c r="X515" t="s">
        <v>258</v>
      </c>
      <c r="Y515" t="s">
        <v>3792</v>
      </c>
      <c r="Z515" t="s">
        <v>1236</v>
      </c>
      <c r="AA515" t="s">
        <v>3793</v>
      </c>
      <c r="AB515" t="s">
        <v>3794</v>
      </c>
      <c r="AG515" t="s">
        <v>263</v>
      </c>
      <c r="AH515">
        <v>2</v>
      </c>
    </row>
    <row r="516" spans="1:34" x14ac:dyDescent="0.75">
      <c r="A516" s="22" t="s">
        <v>6051</v>
      </c>
      <c r="B516" t="s">
        <v>4794</v>
      </c>
      <c r="C516" t="s">
        <v>104</v>
      </c>
      <c r="D516" t="s">
        <v>105</v>
      </c>
      <c r="E516" t="s">
        <v>106</v>
      </c>
      <c r="F516" t="s">
        <v>4795</v>
      </c>
      <c r="G516" s="1" t="str">
        <f>HYPERLINK("https://homd.org/jbrowse/?data=homd_V11.02_phage_1.2%2FGCA_026013825.1&amp;loc=GCA_026013825.1%7CCP110230.1%3A1912943..1919539&amp;tracks=prokka,prokka_ncrna,ncbi,ncbi_ncrna,panggolin,cenote,genomad&amp;highlight=","Open JBrowse")</f>
        <v>Open JBrowse</v>
      </c>
      <c r="H516">
        <v>1915943</v>
      </c>
      <c r="I516">
        <v>1916539</v>
      </c>
      <c r="J516" t="s">
        <v>4802</v>
      </c>
      <c r="K516" t="s">
        <v>39</v>
      </c>
      <c r="L516" t="s">
        <v>2820</v>
      </c>
      <c r="M516" t="s">
        <v>2821</v>
      </c>
      <c r="N516" t="s">
        <v>42</v>
      </c>
      <c r="O516">
        <v>3</v>
      </c>
      <c r="P516" t="s">
        <v>42</v>
      </c>
      <c r="Q516" t="s">
        <v>43</v>
      </c>
      <c r="R516" t="s">
        <v>4797</v>
      </c>
      <c r="S516" t="s">
        <v>2820</v>
      </c>
      <c r="T516" t="s">
        <v>42</v>
      </c>
      <c r="U516">
        <v>3</v>
      </c>
      <c r="V516">
        <v>196</v>
      </c>
      <c r="W516">
        <v>194</v>
      </c>
      <c r="X516" t="s">
        <v>45</v>
      </c>
      <c r="Y516" t="s">
        <v>4803</v>
      </c>
      <c r="Z516" t="s">
        <v>410</v>
      </c>
      <c r="AA516" t="s">
        <v>417</v>
      </c>
    </row>
    <row r="517" spans="1:34" x14ac:dyDescent="0.75">
      <c r="A517" s="22" t="s">
        <v>6051</v>
      </c>
      <c r="B517" t="s">
        <v>4886</v>
      </c>
      <c r="C517" t="s">
        <v>104</v>
      </c>
      <c r="D517" t="s">
        <v>241</v>
      </c>
      <c r="E517" t="s">
        <v>242</v>
      </c>
      <c r="F517" t="s">
        <v>4892</v>
      </c>
      <c r="G517" s="1" t="str">
        <f>HYPERLINK("https://homd.org/jbrowse/?data=homd_V11.02_phage_1.2%2FGCA_027696905.1&amp;loc=GCA_027696905.1%7CJAQETB010000007.1%3A110914..117576&amp;tracks=prokka,prokka_ncrna,ncbi,ncbi_ncrna,panggolin,cenote,genomad&amp;highlight=","Open JBrowse")</f>
        <v>Open JBrowse</v>
      </c>
      <c r="H517">
        <v>113914</v>
      </c>
      <c r="I517">
        <v>114576</v>
      </c>
      <c r="J517" t="s">
        <v>4893</v>
      </c>
      <c r="K517" t="s">
        <v>59</v>
      </c>
      <c r="L517" t="s">
        <v>256</v>
      </c>
      <c r="M517" t="s">
        <v>257</v>
      </c>
      <c r="N517" t="s">
        <v>59</v>
      </c>
      <c r="O517">
        <v>2</v>
      </c>
      <c r="P517" t="s">
        <v>42</v>
      </c>
      <c r="Q517" t="s">
        <v>59</v>
      </c>
      <c r="R517" t="s">
        <v>4889</v>
      </c>
      <c r="S517" t="s">
        <v>256</v>
      </c>
      <c r="T517" t="s">
        <v>42</v>
      </c>
      <c r="U517">
        <v>3</v>
      </c>
      <c r="V517">
        <v>214</v>
      </c>
      <c r="W517">
        <v>212</v>
      </c>
      <c r="X517" t="s">
        <v>258</v>
      </c>
      <c r="Y517" t="s">
        <v>4894</v>
      </c>
      <c r="Z517" t="s">
        <v>1710</v>
      </c>
      <c r="AA517" t="s">
        <v>4895</v>
      </c>
      <c r="AB517" t="s">
        <v>4896</v>
      </c>
      <c r="AG517" t="s">
        <v>263</v>
      </c>
      <c r="AH517">
        <v>2</v>
      </c>
    </row>
    <row r="518" spans="1:34" x14ac:dyDescent="0.75">
      <c r="A518" s="22" t="s">
        <v>6051</v>
      </c>
      <c r="B518" t="s">
        <v>4897</v>
      </c>
      <c r="C518" t="s">
        <v>104</v>
      </c>
      <c r="D518" t="s">
        <v>241</v>
      </c>
      <c r="E518" t="s">
        <v>242</v>
      </c>
      <c r="F518" t="s">
        <v>4903</v>
      </c>
      <c r="G518" s="1" t="str">
        <f>HYPERLINK("https://homd.org/jbrowse/?data=homd_V11.02_phage_1.2%2FGCA_027696975.1&amp;loc=GCA_027696975.1%7CJAQETA010000007.1%3A57160..63822&amp;tracks=prokka,prokka_ncrna,ncbi,ncbi_ncrna,panggolin,cenote,genomad&amp;highlight=","Open JBrowse")</f>
        <v>Open JBrowse</v>
      </c>
      <c r="H518">
        <v>60160</v>
      </c>
      <c r="I518">
        <v>60822</v>
      </c>
      <c r="J518" t="s">
        <v>4904</v>
      </c>
      <c r="K518" t="s">
        <v>59</v>
      </c>
      <c r="L518" t="s">
        <v>256</v>
      </c>
      <c r="M518" t="s">
        <v>257</v>
      </c>
      <c r="N518" t="s">
        <v>59</v>
      </c>
      <c r="O518">
        <v>2</v>
      </c>
      <c r="P518" t="s">
        <v>42</v>
      </c>
      <c r="Q518" t="s">
        <v>59</v>
      </c>
      <c r="R518" t="s">
        <v>4900</v>
      </c>
      <c r="S518" t="s">
        <v>256</v>
      </c>
      <c r="T518" t="s">
        <v>42</v>
      </c>
      <c r="U518">
        <v>3</v>
      </c>
      <c r="V518">
        <v>214</v>
      </c>
      <c r="W518">
        <v>212</v>
      </c>
      <c r="X518" t="s">
        <v>258</v>
      </c>
      <c r="Y518" t="s">
        <v>4905</v>
      </c>
      <c r="Z518" t="s">
        <v>870</v>
      </c>
      <c r="AA518" t="s">
        <v>4906</v>
      </c>
    </row>
    <row r="519" spans="1:34" x14ac:dyDescent="0.75">
      <c r="A519" s="22" t="s">
        <v>6051</v>
      </c>
      <c r="B519" t="s">
        <v>5345</v>
      </c>
      <c r="C519" t="s">
        <v>104</v>
      </c>
      <c r="D519" t="s">
        <v>241</v>
      </c>
      <c r="E519" t="s">
        <v>242</v>
      </c>
      <c r="F519" t="s">
        <v>5346</v>
      </c>
      <c r="G519" s="1" t="str">
        <f>HYPERLINK("https://homd.org/jbrowse/?data=homd_V11.02_phage_1.2%2FGCA_902461075.1&amp;loc=GCA_902461075.1%7CCABPVU010000002.1%3A144208..150870&amp;tracks=prokka,prokka_ncrna,ncbi,ncbi_ncrna,panggolin,cenote,genomad&amp;highlight=","Open JBrowse")</f>
        <v>Open JBrowse</v>
      </c>
      <c r="H519">
        <v>147208</v>
      </c>
      <c r="I519">
        <v>147870</v>
      </c>
      <c r="J519" t="s">
        <v>5347</v>
      </c>
      <c r="K519" t="s">
        <v>59</v>
      </c>
      <c r="L519" t="s">
        <v>256</v>
      </c>
      <c r="M519" t="s">
        <v>257</v>
      </c>
      <c r="N519" t="s">
        <v>59</v>
      </c>
      <c r="O519">
        <v>2</v>
      </c>
      <c r="P519" t="s">
        <v>42</v>
      </c>
      <c r="Q519" t="s">
        <v>59</v>
      </c>
      <c r="R519" t="s">
        <v>5348</v>
      </c>
      <c r="S519" t="s">
        <v>256</v>
      </c>
      <c r="T519" t="s">
        <v>42</v>
      </c>
      <c r="U519">
        <v>3</v>
      </c>
      <c r="V519">
        <v>214</v>
      </c>
      <c r="W519">
        <v>212</v>
      </c>
      <c r="X519" t="s">
        <v>258</v>
      </c>
      <c r="Y519" t="s">
        <v>5349</v>
      </c>
      <c r="Z519" t="s">
        <v>586</v>
      </c>
      <c r="AA519" t="s">
        <v>5350</v>
      </c>
      <c r="AB519" t="s">
        <v>5351</v>
      </c>
      <c r="AG519" t="s">
        <v>263</v>
      </c>
      <c r="AH519">
        <v>2</v>
      </c>
    </row>
    <row r="520" spans="1:34" x14ac:dyDescent="0.75">
      <c r="A520" s="22" t="s">
        <v>6051</v>
      </c>
      <c r="B520" t="s">
        <v>5839</v>
      </c>
      <c r="C520" t="s">
        <v>104</v>
      </c>
      <c r="D520" t="s">
        <v>241</v>
      </c>
      <c r="E520" t="s">
        <v>242</v>
      </c>
      <c r="F520" t="s">
        <v>5840</v>
      </c>
      <c r="G520" s="1" t="str">
        <f>HYPERLINK("https://homd.org/jbrowse/?data=homd_V11.02_phage_1.2%2FGCA_938016215.1&amp;loc=GCA_938016215.1%7CCALLWX010000003.1%3A170392..177054&amp;tracks=prokka,prokka_ncrna,ncbi,ncbi_ncrna,panggolin,cenote,genomad&amp;highlight=","Open JBrowse")</f>
        <v>Open JBrowse</v>
      </c>
      <c r="H520">
        <v>173392</v>
      </c>
      <c r="I520">
        <v>174054</v>
      </c>
      <c r="J520" t="s">
        <v>5841</v>
      </c>
      <c r="K520" t="s">
        <v>59</v>
      </c>
      <c r="L520" t="s">
        <v>256</v>
      </c>
      <c r="M520" t="s">
        <v>257</v>
      </c>
      <c r="N520" t="s">
        <v>59</v>
      </c>
      <c r="O520">
        <v>2</v>
      </c>
      <c r="P520" t="s">
        <v>42</v>
      </c>
      <c r="Q520" t="s">
        <v>59</v>
      </c>
      <c r="R520" t="s">
        <v>5842</v>
      </c>
      <c r="S520" t="s">
        <v>256</v>
      </c>
      <c r="T520" t="s">
        <v>42</v>
      </c>
      <c r="U520">
        <v>3</v>
      </c>
      <c r="V520">
        <v>214</v>
      </c>
      <c r="W520">
        <v>212</v>
      </c>
      <c r="X520" t="s">
        <v>258</v>
      </c>
      <c r="Y520" t="s">
        <v>5843</v>
      </c>
      <c r="Z520" t="s">
        <v>1463</v>
      </c>
      <c r="AA520" t="s">
        <v>3628</v>
      </c>
      <c r="AB520" t="s">
        <v>5844</v>
      </c>
      <c r="AG520" t="s">
        <v>263</v>
      </c>
      <c r="AH520">
        <v>2</v>
      </c>
    </row>
    <row r="521" spans="1:34" x14ac:dyDescent="0.75">
      <c r="A521" s="22" t="s">
        <v>6051</v>
      </c>
      <c r="B521" t="s">
        <v>6035</v>
      </c>
      <c r="C521" t="s">
        <v>104</v>
      </c>
      <c r="D521" t="s">
        <v>241</v>
      </c>
      <c r="E521" t="s">
        <v>242</v>
      </c>
      <c r="F521" t="s">
        <v>6041</v>
      </c>
      <c r="G521" s="1" t="str">
        <f>HYPERLINK("https://homd.org/jbrowse/?data=homd_V11.02_phage_1.2%2FGCA_959023205.1&amp;loc=GCA_959023205.1%7CCAUFBI010000030.1%3A8187..14849&amp;tracks=prokka,prokka_ncrna,ncbi,ncbi_ncrna,panggolin,cenote,genomad&amp;highlight=","Open JBrowse")</f>
        <v>Open JBrowse</v>
      </c>
      <c r="H521">
        <v>11187</v>
      </c>
      <c r="I521">
        <v>11849</v>
      </c>
      <c r="J521" t="s">
        <v>6042</v>
      </c>
      <c r="K521" t="s">
        <v>59</v>
      </c>
      <c r="L521" t="s">
        <v>256</v>
      </c>
      <c r="M521" t="s">
        <v>257</v>
      </c>
      <c r="N521" t="s">
        <v>59</v>
      </c>
      <c r="O521">
        <v>2</v>
      </c>
      <c r="P521" t="s">
        <v>42</v>
      </c>
      <c r="Q521" t="s">
        <v>59</v>
      </c>
      <c r="R521" t="s">
        <v>6038</v>
      </c>
      <c r="S521" t="s">
        <v>256</v>
      </c>
      <c r="T521" t="s">
        <v>42</v>
      </c>
      <c r="U521">
        <v>3</v>
      </c>
      <c r="V521">
        <v>214</v>
      </c>
      <c r="W521">
        <v>212</v>
      </c>
      <c r="X521" t="s">
        <v>258</v>
      </c>
    </row>
    <row r="522" spans="1:34" x14ac:dyDescent="0.75">
      <c r="A522" s="22" t="s">
        <v>6051</v>
      </c>
      <c r="B522" t="s">
        <v>3640</v>
      </c>
      <c r="C522" t="s">
        <v>104</v>
      </c>
      <c r="D522" t="s">
        <v>2405</v>
      </c>
      <c r="E522" t="s">
        <v>1069</v>
      </c>
      <c r="F522" t="s">
        <v>3646</v>
      </c>
      <c r="G522" s="1" t="str">
        <f>HYPERLINK("https://homd.org/jbrowse/?data=homd_V11.02_phage_1.2%2FGCA_018373565.1&amp;loc=GCA_018373565.1%7CJAHAGV010000099.1%3A1..4679&amp;tracks=prokka,prokka_ncrna,ncbi,ncbi_ncrna,panggolin,cenote,genomad&amp;highlight=","Open JBrowse")</f>
        <v>Open JBrowse</v>
      </c>
      <c r="H522">
        <v>1002</v>
      </c>
      <c r="I522">
        <v>1679</v>
      </c>
      <c r="J522" t="s">
        <v>3647</v>
      </c>
      <c r="K522" t="s">
        <v>59</v>
      </c>
      <c r="L522" t="s">
        <v>3648</v>
      </c>
      <c r="M522" t="s">
        <v>3649</v>
      </c>
      <c r="N522" t="s">
        <v>42</v>
      </c>
      <c r="O522">
        <v>3</v>
      </c>
      <c r="P522" t="s">
        <v>42</v>
      </c>
      <c r="Q522" t="s">
        <v>59</v>
      </c>
      <c r="R522" t="s">
        <v>3643</v>
      </c>
      <c r="S522" t="s">
        <v>3648</v>
      </c>
      <c r="T522" t="s">
        <v>42</v>
      </c>
      <c r="U522">
        <v>7</v>
      </c>
      <c r="V522">
        <v>222</v>
      </c>
      <c r="W522">
        <v>216</v>
      </c>
      <c r="X522" t="s">
        <v>142</v>
      </c>
    </row>
    <row r="523" spans="1:34" x14ac:dyDescent="0.75">
      <c r="A523" s="22" t="s">
        <v>6051</v>
      </c>
      <c r="B523" t="s">
        <v>1646</v>
      </c>
      <c r="C523" t="s">
        <v>104</v>
      </c>
      <c r="D523" t="s">
        <v>1647</v>
      </c>
      <c r="E523" t="s">
        <v>1648</v>
      </c>
      <c r="F523" t="s">
        <v>1649</v>
      </c>
      <c r="G523" s="1" t="str">
        <f>HYPERLINK("https://homd.org/jbrowse/?data=homd_V11.02_phage_1.2%2FGCA_001717545.1&amp;loc=GCA_001717545.1%7CCP017039.1%3A2378282..2385073&amp;tracks=prokka,prokka_ncrna,ncbi,ncbi_ncrna,panggolin,cenote,genomad&amp;highlight=","Open JBrowse")</f>
        <v>Open JBrowse</v>
      </c>
      <c r="H523">
        <v>2381282</v>
      </c>
      <c r="I523">
        <v>2382073</v>
      </c>
      <c r="J523" t="s">
        <v>1650</v>
      </c>
      <c r="K523" t="s">
        <v>59</v>
      </c>
      <c r="L523" t="s">
        <v>1651</v>
      </c>
      <c r="M523" t="s">
        <v>1652</v>
      </c>
      <c r="N523" t="s">
        <v>42</v>
      </c>
      <c r="O523">
        <v>3</v>
      </c>
      <c r="P523" t="s">
        <v>42</v>
      </c>
      <c r="Q523" t="s">
        <v>59</v>
      </c>
      <c r="R523" t="s">
        <v>1653</v>
      </c>
      <c r="S523" t="s">
        <v>1651</v>
      </c>
      <c r="T523" t="s">
        <v>42</v>
      </c>
      <c r="U523">
        <v>11</v>
      </c>
      <c r="V523">
        <v>260</v>
      </c>
      <c r="W523">
        <v>250</v>
      </c>
      <c r="X523" t="s">
        <v>1654</v>
      </c>
      <c r="Y523" t="s">
        <v>1655</v>
      </c>
      <c r="Z523" t="s">
        <v>1236</v>
      </c>
      <c r="AA523" t="s">
        <v>1656</v>
      </c>
      <c r="AB523" t="s">
        <v>1657</v>
      </c>
      <c r="AC523" t="s">
        <v>1658</v>
      </c>
      <c r="AD523" t="s">
        <v>1659</v>
      </c>
      <c r="AE523">
        <v>262.2</v>
      </c>
      <c r="AF523" t="s">
        <v>1660</v>
      </c>
    </row>
    <row r="524" spans="1:34" x14ac:dyDescent="0.75">
      <c r="A524" s="22" t="s">
        <v>6051</v>
      </c>
      <c r="B524" t="s">
        <v>5444</v>
      </c>
      <c r="C524" t="s">
        <v>104</v>
      </c>
      <c r="D524" t="s">
        <v>1647</v>
      </c>
      <c r="E524" t="s">
        <v>1648</v>
      </c>
      <c r="F524" t="s">
        <v>5445</v>
      </c>
      <c r="G524" s="1" t="str">
        <f>HYPERLINK("https://homd.org/jbrowse/?data=homd_V11.02_phage_1.2%2FGCA_905372085.1&amp;loc=GCA_905372085.1%7CCAJPNW010000001.1%3A87773..94564&amp;tracks=prokka,prokka_ncrna,ncbi,ncbi_ncrna,panggolin,cenote,genomad&amp;highlight=","Open JBrowse")</f>
        <v>Open JBrowse</v>
      </c>
      <c r="H524">
        <v>90773</v>
      </c>
      <c r="I524">
        <v>91564</v>
      </c>
      <c r="J524" t="s">
        <v>5450</v>
      </c>
      <c r="K524" t="s">
        <v>59</v>
      </c>
      <c r="L524" t="s">
        <v>1651</v>
      </c>
      <c r="M524" t="s">
        <v>1652</v>
      </c>
      <c r="N524" t="s">
        <v>42</v>
      </c>
      <c r="O524">
        <v>3</v>
      </c>
      <c r="P524" t="s">
        <v>42</v>
      </c>
      <c r="Q524" t="s">
        <v>59</v>
      </c>
      <c r="R524" t="s">
        <v>5447</v>
      </c>
      <c r="S524" t="s">
        <v>1651</v>
      </c>
      <c r="T524" t="s">
        <v>42</v>
      </c>
      <c r="U524">
        <v>11</v>
      </c>
      <c r="V524">
        <v>260</v>
      </c>
      <c r="W524">
        <v>250</v>
      </c>
      <c r="X524" t="s">
        <v>1654</v>
      </c>
      <c r="Y524" t="s">
        <v>5448</v>
      </c>
      <c r="Z524" t="s">
        <v>47</v>
      </c>
      <c r="AA524" t="s">
        <v>5449</v>
      </c>
    </row>
    <row r="525" spans="1:34" x14ac:dyDescent="0.75">
      <c r="A525" s="22" t="s">
        <v>6051</v>
      </c>
      <c r="B525" t="s">
        <v>813</v>
      </c>
      <c r="C525" t="s">
        <v>104</v>
      </c>
      <c r="D525" t="s">
        <v>814</v>
      </c>
      <c r="E525" t="s">
        <v>815</v>
      </c>
      <c r="F525" t="s">
        <v>816</v>
      </c>
      <c r="G525" s="1" t="str">
        <f>HYPERLINK("https://homd.org/jbrowse/?data=homd_V11.02_phage_1.2%2FGCA_000318295.1&amp;loc=GCA_000318295.1%7CKB291387.1%3A29766..36548&amp;tracks=prokka,prokka_ncrna,ncbi,ncbi_ncrna,panggolin,cenote,genomad&amp;highlight=","Open JBrowse")</f>
        <v>Open JBrowse</v>
      </c>
      <c r="H525">
        <v>32766</v>
      </c>
      <c r="I525">
        <v>33548</v>
      </c>
      <c r="J525" t="s">
        <v>817</v>
      </c>
      <c r="K525" t="s">
        <v>39</v>
      </c>
      <c r="L525" t="s">
        <v>818</v>
      </c>
      <c r="M525" t="s">
        <v>819</v>
      </c>
      <c r="N525" t="s">
        <v>42</v>
      </c>
      <c r="O525">
        <v>3</v>
      </c>
      <c r="P525" t="s">
        <v>42</v>
      </c>
      <c r="Q525" t="s">
        <v>43</v>
      </c>
      <c r="R525" t="s">
        <v>820</v>
      </c>
      <c r="S525" t="s">
        <v>818</v>
      </c>
      <c r="T525" t="s">
        <v>42</v>
      </c>
      <c r="U525">
        <v>28</v>
      </c>
      <c r="V525">
        <v>256</v>
      </c>
      <c r="W525">
        <v>229</v>
      </c>
      <c r="X525" t="s">
        <v>45</v>
      </c>
    </row>
    <row r="526" spans="1:34" x14ac:dyDescent="0.75">
      <c r="A526" s="22" t="s">
        <v>6051</v>
      </c>
      <c r="B526" t="s">
        <v>1733</v>
      </c>
      <c r="C526" t="s">
        <v>104</v>
      </c>
      <c r="D526" t="s">
        <v>814</v>
      </c>
      <c r="E526" t="s">
        <v>815</v>
      </c>
      <c r="F526" t="s">
        <v>1734</v>
      </c>
      <c r="G526" s="1" t="str">
        <f>HYPERLINK("https://homd.org/jbrowse/?data=homd_V11.02_phage_1.2%2FGCA_002209445.1&amp;loc=GCA_002209445.1%7CCP022022.1%3A246332..253114&amp;tracks=prokka,prokka_ncrna,ncbi,ncbi_ncrna,panggolin,cenote,genomad&amp;highlight=","Open JBrowse")</f>
        <v>Open JBrowse</v>
      </c>
      <c r="H526">
        <v>249332</v>
      </c>
      <c r="I526">
        <v>250114</v>
      </c>
      <c r="J526" t="s">
        <v>1735</v>
      </c>
      <c r="K526" t="s">
        <v>39</v>
      </c>
      <c r="L526" t="s">
        <v>818</v>
      </c>
      <c r="M526" t="s">
        <v>819</v>
      </c>
      <c r="N526" t="s">
        <v>42</v>
      </c>
      <c r="O526">
        <v>3</v>
      </c>
      <c r="P526" t="s">
        <v>42</v>
      </c>
      <c r="Q526" t="s">
        <v>43</v>
      </c>
      <c r="R526" t="s">
        <v>1736</v>
      </c>
      <c r="S526" t="s">
        <v>818</v>
      </c>
      <c r="T526" t="s">
        <v>42</v>
      </c>
      <c r="U526">
        <v>28</v>
      </c>
      <c r="V526">
        <v>256</v>
      </c>
      <c r="W526">
        <v>229</v>
      </c>
      <c r="X526" t="s">
        <v>45</v>
      </c>
    </row>
    <row r="527" spans="1:34" x14ac:dyDescent="0.75">
      <c r="A527" s="22" t="s">
        <v>6051</v>
      </c>
      <c r="B527" t="s">
        <v>1836</v>
      </c>
      <c r="C527" t="s">
        <v>104</v>
      </c>
      <c r="D527" t="s">
        <v>329</v>
      </c>
      <c r="E527" t="s">
        <v>330</v>
      </c>
      <c r="F527" t="s">
        <v>1837</v>
      </c>
      <c r="G527" s="1" t="str">
        <f>HYPERLINK("https://homd.org/jbrowse/?data=homd_V11.02_phage_1.2%2FGCA_002302595.1&amp;loc=GCA_002302595.1%7CCP022383.1%3A2015830..2022612&amp;tracks=prokka,prokka_ncrna,ncbi,ncbi_ncrna,panggolin,cenote,genomad&amp;highlight=","Open JBrowse")</f>
        <v>Open JBrowse</v>
      </c>
      <c r="H527">
        <v>2018830</v>
      </c>
      <c r="I527">
        <v>2019612</v>
      </c>
      <c r="J527" t="s">
        <v>1838</v>
      </c>
      <c r="K527" t="s">
        <v>39</v>
      </c>
      <c r="L527" t="s">
        <v>818</v>
      </c>
      <c r="M527" t="s">
        <v>819</v>
      </c>
      <c r="N527" t="s">
        <v>42</v>
      </c>
      <c r="O527">
        <v>3</v>
      </c>
      <c r="P527" t="s">
        <v>42</v>
      </c>
      <c r="Q527" t="s">
        <v>43</v>
      </c>
      <c r="R527" t="s">
        <v>1839</v>
      </c>
      <c r="S527" t="s">
        <v>818</v>
      </c>
      <c r="T527" t="s">
        <v>42</v>
      </c>
      <c r="U527">
        <v>28</v>
      </c>
      <c r="V527">
        <v>256</v>
      </c>
      <c r="W527">
        <v>229</v>
      </c>
      <c r="X527" t="s">
        <v>45</v>
      </c>
    </row>
    <row r="528" spans="1:34" x14ac:dyDescent="0.75">
      <c r="A528" s="22" t="s">
        <v>6051</v>
      </c>
      <c r="B528" t="s">
        <v>3126</v>
      </c>
      <c r="C528" t="s">
        <v>104</v>
      </c>
      <c r="D528" t="s">
        <v>814</v>
      </c>
      <c r="E528" t="s">
        <v>815</v>
      </c>
      <c r="F528" t="s">
        <v>3127</v>
      </c>
      <c r="G528" s="1" t="str">
        <f>HYPERLINK("https://homd.org/jbrowse/?data=homd_V11.02_phage_1.2%2FGCA_016126015.1&amp;loc=GCA_016126015.1%7CJAEFDB010000002.1%3A137705..144487&amp;tracks=prokka,prokka_ncrna,ncbi,ncbi_ncrna,panggolin,cenote,genomad&amp;highlight=","Open JBrowse")</f>
        <v>Open JBrowse</v>
      </c>
      <c r="H528">
        <v>140705</v>
      </c>
      <c r="I528">
        <v>141487</v>
      </c>
      <c r="J528" t="s">
        <v>3128</v>
      </c>
      <c r="K528" t="s">
        <v>39</v>
      </c>
      <c r="L528" t="s">
        <v>818</v>
      </c>
      <c r="M528" t="s">
        <v>819</v>
      </c>
      <c r="N528" t="s">
        <v>42</v>
      </c>
      <c r="O528">
        <v>3</v>
      </c>
      <c r="P528" t="s">
        <v>42</v>
      </c>
      <c r="Q528" t="s">
        <v>43</v>
      </c>
      <c r="R528" t="s">
        <v>3129</v>
      </c>
      <c r="S528" t="s">
        <v>818</v>
      </c>
      <c r="T528" t="s">
        <v>42</v>
      </c>
      <c r="U528">
        <v>28</v>
      </c>
      <c r="V528">
        <v>256</v>
      </c>
      <c r="W528">
        <v>229</v>
      </c>
      <c r="X528" t="s">
        <v>45</v>
      </c>
      <c r="Y528" t="s">
        <v>3130</v>
      </c>
      <c r="Z528" t="s">
        <v>1948</v>
      </c>
      <c r="AA528" t="s">
        <v>3131</v>
      </c>
    </row>
    <row r="529" spans="1:27" x14ac:dyDescent="0.75">
      <c r="A529" s="22" t="s">
        <v>6051</v>
      </c>
      <c r="B529" t="s">
        <v>3140</v>
      </c>
      <c r="C529" t="s">
        <v>104</v>
      </c>
      <c r="D529" t="s">
        <v>814</v>
      </c>
      <c r="E529" t="s">
        <v>815</v>
      </c>
      <c r="F529" t="s">
        <v>3141</v>
      </c>
      <c r="G529" s="1" t="str">
        <f>HYPERLINK("https://homd.org/jbrowse/?data=homd_V11.02_phage_1.2%2FGCA_016126035.1&amp;loc=GCA_016126035.1%7CJAEFDC010000001.1%3A312919..319701&amp;tracks=prokka,prokka_ncrna,ncbi,ncbi_ncrna,panggolin,cenote,genomad&amp;highlight=","Open JBrowse")</f>
        <v>Open JBrowse</v>
      </c>
      <c r="H529">
        <v>315919</v>
      </c>
      <c r="I529">
        <v>316701</v>
      </c>
      <c r="J529" t="s">
        <v>3151</v>
      </c>
      <c r="K529" t="s">
        <v>39</v>
      </c>
      <c r="L529" t="s">
        <v>818</v>
      </c>
      <c r="M529" t="s">
        <v>819</v>
      </c>
      <c r="N529" t="s">
        <v>42</v>
      </c>
      <c r="O529">
        <v>3</v>
      </c>
      <c r="P529" t="s">
        <v>42</v>
      </c>
      <c r="Q529" t="s">
        <v>43</v>
      </c>
      <c r="R529" t="s">
        <v>3143</v>
      </c>
      <c r="S529" t="s">
        <v>818</v>
      </c>
      <c r="T529" t="s">
        <v>42</v>
      </c>
      <c r="U529">
        <v>28</v>
      </c>
      <c r="V529">
        <v>256</v>
      </c>
      <c r="W529">
        <v>229</v>
      </c>
      <c r="X529" t="s">
        <v>45</v>
      </c>
    </row>
    <row r="530" spans="1:27" x14ac:dyDescent="0.75">
      <c r="A530" s="22" t="s">
        <v>6051</v>
      </c>
      <c r="B530" t="s">
        <v>3202</v>
      </c>
      <c r="C530" t="s">
        <v>104</v>
      </c>
      <c r="D530" t="s">
        <v>814</v>
      </c>
      <c r="E530" t="s">
        <v>815</v>
      </c>
      <c r="F530" t="s">
        <v>3203</v>
      </c>
      <c r="G530" s="1" t="str">
        <f>HYPERLINK("https://homd.org/jbrowse/?data=homd_V11.02_phage_1.2%2FGCA_016806945.1&amp;loc=GCA_016806945.1%7CJAESPJ010000006.1%3A222428..229210&amp;tracks=prokka,prokka_ncrna,ncbi,ncbi_ncrna,panggolin,cenote,genomad&amp;highlight=","Open JBrowse")</f>
        <v>Open JBrowse</v>
      </c>
      <c r="H530">
        <v>225428</v>
      </c>
      <c r="I530">
        <v>226210</v>
      </c>
      <c r="J530" t="s">
        <v>3204</v>
      </c>
      <c r="K530" t="s">
        <v>39</v>
      </c>
      <c r="L530" t="s">
        <v>818</v>
      </c>
      <c r="M530" t="s">
        <v>819</v>
      </c>
      <c r="N530" t="s">
        <v>42</v>
      </c>
      <c r="O530">
        <v>3</v>
      </c>
      <c r="P530" t="s">
        <v>42</v>
      </c>
      <c r="Q530" t="s">
        <v>43</v>
      </c>
      <c r="R530" t="s">
        <v>3205</v>
      </c>
      <c r="S530" t="s">
        <v>818</v>
      </c>
      <c r="T530" t="s">
        <v>42</v>
      </c>
      <c r="U530">
        <v>28</v>
      </c>
      <c r="V530">
        <v>256</v>
      </c>
      <c r="W530">
        <v>229</v>
      </c>
      <c r="X530" t="s">
        <v>45</v>
      </c>
    </row>
    <row r="531" spans="1:27" x14ac:dyDescent="0.75">
      <c r="A531" s="22" t="s">
        <v>6051</v>
      </c>
      <c r="B531" t="s">
        <v>3215</v>
      </c>
      <c r="C531" t="s">
        <v>104</v>
      </c>
      <c r="D531" t="s">
        <v>814</v>
      </c>
      <c r="E531" t="s">
        <v>815</v>
      </c>
      <c r="F531" t="s">
        <v>3216</v>
      </c>
      <c r="G531" s="1" t="str">
        <f>HYPERLINK("https://homd.org/jbrowse/?data=homd_V11.02_phage_1.2%2FGCA_016806965.1&amp;loc=GCA_016806965.1%7CJAESPH010000002.1%3A203369..210151&amp;tracks=prokka,prokka_ncrna,ncbi,ncbi_ncrna,panggolin,cenote,genomad&amp;highlight=","Open JBrowse")</f>
        <v>Open JBrowse</v>
      </c>
      <c r="H531">
        <v>206369</v>
      </c>
      <c r="I531">
        <v>207151</v>
      </c>
      <c r="J531" t="s">
        <v>3217</v>
      </c>
      <c r="K531" t="s">
        <v>39</v>
      </c>
      <c r="L531" t="s">
        <v>818</v>
      </c>
      <c r="M531" t="s">
        <v>819</v>
      </c>
      <c r="N531" t="s">
        <v>42</v>
      </c>
      <c r="O531">
        <v>3</v>
      </c>
      <c r="P531" t="s">
        <v>42</v>
      </c>
      <c r="Q531" t="s">
        <v>43</v>
      </c>
      <c r="R531" t="s">
        <v>3218</v>
      </c>
      <c r="S531" t="s">
        <v>818</v>
      </c>
      <c r="T531" t="s">
        <v>42</v>
      </c>
      <c r="U531">
        <v>28</v>
      </c>
      <c r="V531">
        <v>256</v>
      </c>
      <c r="W531">
        <v>229</v>
      </c>
      <c r="X531" t="s">
        <v>45</v>
      </c>
    </row>
    <row r="532" spans="1:27" x14ac:dyDescent="0.75">
      <c r="A532" s="22" t="s">
        <v>6051</v>
      </c>
      <c r="B532" t="s">
        <v>3247</v>
      </c>
      <c r="C532" t="s">
        <v>104</v>
      </c>
      <c r="D532" t="s">
        <v>814</v>
      </c>
      <c r="E532" t="s">
        <v>815</v>
      </c>
      <c r="F532" t="s">
        <v>3252</v>
      </c>
      <c r="G532" s="1" t="str">
        <f>HYPERLINK("https://homd.org/jbrowse/?data=homd_V11.02_phage_1.2%2FGCA_016807025.1&amp;loc=GCA_016807025.1%7CJAEUAH010000004.1%3A3993..10775&amp;tracks=prokka,prokka_ncrna,ncbi,ncbi_ncrna,panggolin,cenote,genomad&amp;highlight=","Open JBrowse")</f>
        <v>Open JBrowse</v>
      </c>
      <c r="H532">
        <v>6993</v>
      </c>
      <c r="I532">
        <v>7775</v>
      </c>
      <c r="J532" t="s">
        <v>3253</v>
      </c>
      <c r="K532" t="s">
        <v>39</v>
      </c>
      <c r="L532" t="s">
        <v>818</v>
      </c>
      <c r="M532" t="s">
        <v>819</v>
      </c>
      <c r="N532" t="s">
        <v>42</v>
      </c>
      <c r="O532">
        <v>3</v>
      </c>
      <c r="P532" t="s">
        <v>42</v>
      </c>
      <c r="Q532" t="s">
        <v>43</v>
      </c>
      <c r="R532" t="s">
        <v>3250</v>
      </c>
      <c r="S532" t="s">
        <v>818</v>
      </c>
      <c r="T532" t="s">
        <v>42</v>
      </c>
      <c r="U532">
        <v>28</v>
      </c>
      <c r="V532">
        <v>256</v>
      </c>
      <c r="W532">
        <v>229</v>
      </c>
      <c r="X532" t="s">
        <v>45</v>
      </c>
    </row>
    <row r="533" spans="1:27" x14ac:dyDescent="0.75">
      <c r="A533" s="22" t="s">
        <v>6051</v>
      </c>
      <c r="B533" t="s">
        <v>5492</v>
      </c>
      <c r="C533" t="s">
        <v>104</v>
      </c>
      <c r="D533" t="s">
        <v>329</v>
      </c>
      <c r="E533" t="s">
        <v>330</v>
      </c>
      <c r="F533" t="s">
        <v>5498</v>
      </c>
      <c r="G533" s="1" t="str">
        <f>HYPERLINK("https://homd.org/jbrowse/?data=homd_V11.02_phage_1.2%2FGCA_905373265.1&amp;loc=GCA_905373265.1%7CCAJPRX010000004.1%3A76587..83369&amp;tracks=prokka,prokka_ncrna,ncbi,ncbi_ncrna,panggolin,cenote,genomad&amp;highlight=","Open JBrowse")</f>
        <v>Open JBrowse</v>
      </c>
      <c r="H533">
        <v>79587</v>
      </c>
      <c r="I533">
        <v>80369</v>
      </c>
      <c r="J533" t="s">
        <v>5499</v>
      </c>
      <c r="K533" t="s">
        <v>39</v>
      </c>
      <c r="L533" t="s">
        <v>818</v>
      </c>
      <c r="M533" t="s">
        <v>819</v>
      </c>
      <c r="N533" t="s">
        <v>42</v>
      </c>
      <c r="O533">
        <v>3</v>
      </c>
      <c r="P533" t="s">
        <v>42</v>
      </c>
      <c r="Q533" t="s">
        <v>43</v>
      </c>
      <c r="R533" t="s">
        <v>5495</v>
      </c>
      <c r="S533" t="s">
        <v>818</v>
      </c>
      <c r="T533" t="s">
        <v>42</v>
      </c>
      <c r="U533">
        <v>28</v>
      </c>
      <c r="V533">
        <v>256</v>
      </c>
      <c r="W533">
        <v>229</v>
      </c>
      <c r="X533" t="s">
        <v>45</v>
      </c>
      <c r="Y533" t="s">
        <v>5500</v>
      </c>
      <c r="Z533" t="s">
        <v>357</v>
      </c>
      <c r="AA533" t="s">
        <v>5501</v>
      </c>
    </row>
    <row r="534" spans="1:27" x14ac:dyDescent="0.75">
      <c r="A534" s="22" t="s">
        <v>6051</v>
      </c>
      <c r="B534" t="s">
        <v>5709</v>
      </c>
      <c r="C534" t="s">
        <v>104</v>
      </c>
      <c r="D534" t="s">
        <v>329</v>
      </c>
      <c r="E534" t="s">
        <v>330</v>
      </c>
      <c r="F534" t="s">
        <v>5710</v>
      </c>
      <c r="G534" s="1" t="str">
        <f>HYPERLINK("https://homd.org/jbrowse/?data=homd_V11.02_phage_1.2%2FGCA_937881025.1&amp;loc=GCA_937881025.1%7CCALGFZ010000002.1%3A164969..171748&amp;tracks=prokka,prokka_ncrna,ncbi,ncbi_ncrna,panggolin,cenote,genomad&amp;highlight=","Open JBrowse")</f>
        <v>Open JBrowse</v>
      </c>
      <c r="H534">
        <v>167969</v>
      </c>
      <c r="I534">
        <v>168748</v>
      </c>
      <c r="J534" t="s">
        <v>5711</v>
      </c>
      <c r="K534" t="s">
        <v>39</v>
      </c>
      <c r="L534" t="s">
        <v>818</v>
      </c>
      <c r="M534" t="s">
        <v>819</v>
      </c>
      <c r="N534" t="s">
        <v>42</v>
      </c>
      <c r="O534">
        <v>3</v>
      </c>
      <c r="P534" t="s">
        <v>42</v>
      </c>
      <c r="Q534" t="s">
        <v>43</v>
      </c>
      <c r="R534" t="s">
        <v>5712</v>
      </c>
      <c r="S534" t="s">
        <v>818</v>
      </c>
      <c r="T534" t="s">
        <v>42</v>
      </c>
      <c r="U534">
        <v>28</v>
      </c>
      <c r="V534">
        <v>256</v>
      </c>
      <c r="W534">
        <v>229</v>
      </c>
      <c r="X534" t="s">
        <v>45</v>
      </c>
    </row>
    <row r="535" spans="1:27" x14ac:dyDescent="0.75">
      <c r="A535" s="22" t="s">
        <v>6051</v>
      </c>
      <c r="B535" t="s">
        <v>5914</v>
      </c>
      <c r="C535" t="s">
        <v>104</v>
      </c>
      <c r="D535" t="s">
        <v>814</v>
      </c>
      <c r="E535" t="s">
        <v>815</v>
      </c>
      <c r="F535" t="s">
        <v>5924</v>
      </c>
      <c r="G535" s="1" t="str">
        <f>HYPERLINK("https://homd.org/jbrowse/?data=homd_V11.02_phage_1.2%2FGCA_938045645.1&amp;loc=GCA_938045645.1%7CCALIAT010000141.1%3A5392..12174&amp;tracks=prokka,prokka_ncrna,ncbi,ncbi_ncrna,panggolin,cenote,genomad&amp;highlight=","Open JBrowse")</f>
        <v>Open JBrowse</v>
      </c>
      <c r="H535">
        <v>8392</v>
      </c>
      <c r="I535">
        <v>9174</v>
      </c>
      <c r="J535" t="s">
        <v>5925</v>
      </c>
      <c r="K535" t="s">
        <v>39</v>
      </c>
      <c r="L535" t="s">
        <v>818</v>
      </c>
      <c r="M535" t="s">
        <v>819</v>
      </c>
      <c r="N535" t="s">
        <v>42</v>
      </c>
      <c r="O535">
        <v>3</v>
      </c>
      <c r="P535" t="s">
        <v>42</v>
      </c>
      <c r="Q535" t="s">
        <v>43</v>
      </c>
      <c r="R535" t="s">
        <v>5918</v>
      </c>
      <c r="S535" t="s">
        <v>818</v>
      </c>
      <c r="T535" t="s">
        <v>42</v>
      </c>
      <c r="U535">
        <v>28</v>
      </c>
      <c r="V535">
        <v>256</v>
      </c>
      <c r="W535">
        <v>229</v>
      </c>
      <c r="X535" t="s">
        <v>45</v>
      </c>
      <c r="Y535" t="s">
        <v>5926</v>
      </c>
      <c r="Z535" t="s">
        <v>1450</v>
      </c>
      <c r="AA535" t="s">
        <v>5927</v>
      </c>
    </row>
    <row r="536" spans="1:27" x14ac:dyDescent="0.75">
      <c r="A536" s="22" t="s">
        <v>6051</v>
      </c>
      <c r="B536" t="s">
        <v>318</v>
      </c>
      <c r="C536" t="s">
        <v>104</v>
      </c>
      <c r="D536" t="s">
        <v>319</v>
      </c>
      <c r="E536" t="s">
        <v>320</v>
      </c>
      <c r="F536" t="s">
        <v>321</v>
      </c>
      <c r="G536" s="1" t="str">
        <f>HYPERLINK("https://homd.org/jbrowse/?data=homd_V11.02_phage_1.2%2FGCA_000163695.1&amp;loc=GCA_000163695.1%7CGG774890.1%3A5481..12260&amp;tracks=prokka,prokka_ncrna,ncbi,ncbi_ncrna,panggolin,cenote,genomad&amp;highlight=","Open JBrowse")</f>
        <v>Open JBrowse</v>
      </c>
      <c r="H536">
        <v>8481</v>
      </c>
      <c r="I536">
        <v>9260</v>
      </c>
      <c r="J536" t="s">
        <v>322</v>
      </c>
      <c r="K536" t="s">
        <v>39</v>
      </c>
      <c r="L536" t="s">
        <v>323</v>
      </c>
      <c r="M536" t="s">
        <v>324</v>
      </c>
      <c r="N536" t="s">
        <v>42</v>
      </c>
      <c r="O536">
        <v>3</v>
      </c>
      <c r="P536" t="s">
        <v>42</v>
      </c>
      <c r="Q536" t="s">
        <v>43</v>
      </c>
      <c r="R536" t="s">
        <v>325</v>
      </c>
      <c r="S536" t="s">
        <v>323</v>
      </c>
      <c r="T536" t="s">
        <v>42</v>
      </c>
      <c r="U536">
        <v>29</v>
      </c>
      <c r="V536">
        <v>256</v>
      </c>
      <c r="W536">
        <v>228</v>
      </c>
      <c r="X536" t="s">
        <v>45</v>
      </c>
      <c r="Y536" t="s">
        <v>326</v>
      </c>
      <c r="Z536" t="s">
        <v>292</v>
      </c>
      <c r="AA536" t="s">
        <v>327</v>
      </c>
    </row>
    <row r="537" spans="1:27" x14ac:dyDescent="0.75">
      <c r="A537" s="22" t="s">
        <v>6051</v>
      </c>
      <c r="B537" t="s">
        <v>1854</v>
      </c>
      <c r="C537" t="s">
        <v>104</v>
      </c>
      <c r="D537" t="s">
        <v>329</v>
      </c>
      <c r="E537" t="s">
        <v>330</v>
      </c>
      <c r="F537" t="s">
        <v>1855</v>
      </c>
      <c r="G537" s="1" t="str">
        <f>HYPERLINK("https://homd.org/jbrowse/?data=homd_V11.02_phage_1.2%2FGCA_002312885.1&amp;loc=GCA_002312885.1%7CNIBW01000001.1%3A545300..552088&amp;tracks=prokka,prokka_ncrna,ncbi,ncbi_ncrna,panggolin,cenote,genomad&amp;highlight=","Open JBrowse")</f>
        <v>Open JBrowse</v>
      </c>
      <c r="H537">
        <v>548300</v>
      </c>
      <c r="I537">
        <v>549088</v>
      </c>
      <c r="J537" t="s">
        <v>1865</v>
      </c>
      <c r="K537" t="s">
        <v>39</v>
      </c>
      <c r="L537" t="s">
        <v>1866</v>
      </c>
      <c r="M537" t="s">
        <v>1867</v>
      </c>
      <c r="N537" t="s">
        <v>42</v>
      </c>
      <c r="O537">
        <v>3</v>
      </c>
      <c r="P537" t="s">
        <v>42</v>
      </c>
      <c r="Q537" t="s">
        <v>43</v>
      </c>
      <c r="R537" t="s">
        <v>1857</v>
      </c>
      <c r="S537" t="s">
        <v>1866</v>
      </c>
      <c r="T537" t="s">
        <v>42</v>
      </c>
      <c r="U537">
        <v>29</v>
      </c>
      <c r="V537">
        <v>257</v>
      </c>
      <c r="W537">
        <v>229</v>
      </c>
      <c r="X537" t="s">
        <v>45</v>
      </c>
    </row>
    <row r="538" spans="1:27" x14ac:dyDescent="0.75">
      <c r="A538" s="22" t="s">
        <v>6051</v>
      </c>
      <c r="B538" t="s">
        <v>2062</v>
      </c>
      <c r="C538" t="s">
        <v>104</v>
      </c>
      <c r="D538" t="s">
        <v>514</v>
      </c>
      <c r="E538" t="s">
        <v>515</v>
      </c>
      <c r="F538" t="s">
        <v>2063</v>
      </c>
      <c r="G538" s="1" t="str">
        <f>HYPERLINK("https://homd.org/jbrowse/?data=homd_V11.02_phage_1.2%2FGCA_003054025.1&amp;loc=GCA_003054025.1%7CQBKG01000008.1%3A22742..29536&amp;tracks=prokka,prokka_ncrna,ncbi,ncbi_ncrna,panggolin,cenote,genomad&amp;highlight=","Open JBrowse")</f>
        <v>Open JBrowse</v>
      </c>
      <c r="H538">
        <v>25742</v>
      </c>
      <c r="I538">
        <v>26536</v>
      </c>
      <c r="J538" t="s">
        <v>2064</v>
      </c>
      <c r="K538" t="s">
        <v>39</v>
      </c>
      <c r="L538" t="s">
        <v>2065</v>
      </c>
      <c r="M538" t="s">
        <v>2066</v>
      </c>
      <c r="N538" t="s">
        <v>42</v>
      </c>
      <c r="O538">
        <v>3</v>
      </c>
      <c r="P538" t="s">
        <v>42</v>
      </c>
      <c r="Q538" t="s">
        <v>43</v>
      </c>
      <c r="R538" t="s">
        <v>2067</v>
      </c>
      <c r="S538" t="s">
        <v>2065</v>
      </c>
      <c r="T538" t="s">
        <v>42</v>
      </c>
      <c r="U538">
        <v>29</v>
      </c>
      <c r="V538">
        <v>262</v>
      </c>
      <c r="W538">
        <v>234</v>
      </c>
      <c r="X538" t="s">
        <v>45</v>
      </c>
      <c r="Y538" t="s">
        <v>2068</v>
      </c>
      <c r="Z538" t="s">
        <v>381</v>
      </c>
      <c r="AA538" t="s">
        <v>2069</v>
      </c>
    </row>
    <row r="539" spans="1:27" x14ac:dyDescent="0.75">
      <c r="A539" s="22" t="s">
        <v>6051</v>
      </c>
      <c r="B539" t="s">
        <v>3226</v>
      </c>
      <c r="C539" t="s">
        <v>104</v>
      </c>
      <c r="D539" t="s">
        <v>814</v>
      </c>
      <c r="E539" t="s">
        <v>815</v>
      </c>
      <c r="F539" t="s">
        <v>3233</v>
      </c>
      <c r="G539" s="1" t="str">
        <f>HYPERLINK("https://homd.org/jbrowse/?data=homd_V11.02_phage_1.2%2FGCA_016806985.1&amp;loc=GCA_016806985.1%7CJAESPI010000055.1%3A3015..9800&amp;tracks=prokka,prokka_ncrna,ncbi,ncbi_ncrna,panggolin,cenote,genomad&amp;highlight=","Open JBrowse")</f>
        <v>Open JBrowse</v>
      </c>
      <c r="H539">
        <v>6015</v>
      </c>
      <c r="I539">
        <v>6800</v>
      </c>
      <c r="J539" t="s">
        <v>3234</v>
      </c>
      <c r="K539" t="s">
        <v>39</v>
      </c>
      <c r="L539" t="s">
        <v>1866</v>
      </c>
      <c r="M539" t="s">
        <v>1867</v>
      </c>
      <c r="N539" t="s">
        <v>42</v>
      </c>
      <c r="O539">
        <v>3</v>
      </c>
      <c r="P539" t="s">
        <v>42</v>
      </c>
      <c r="Q539" t="s">
        <v>43</v>
      </c>
      <c r="R539" t="s">
        <v>3229</v>
      </c>
      <c r="S539" t="s">
        <v>1866</v>
      </c>
      <c r="T539" t="s">
        <v>42</v>
      </c>
      <c r="U539">
        <v>29</v>
      </c>
      <c r="V539">
        <v>257</v>
      </c>
      <c r="W539">
        <v>229</v>
      </c>
      <c r="X539" t="s">
        <v>45</v>
      </c>
    </row>
    <row r="540" spans="1:27" x14ac:dyDescent="0.75">
      <c r="A540" s="22" t="s">
        <v>6051</v>
      </c>
      <c r="B540" t="s">
        <v>3235</v>
      </c>
      <c r="C540" t="s">
        <v>104</v>
      </c>
      <c r="D540" t="s">
        <v>814</v>
      </c>
      <c r="E540" t="s">
        <v>815</v>
      </c>
      <c r="F540" t="s">
        <v>3241</v>
      </c>
      <c r="G540" s="1" t="str">
        <f>HYPERLINK("https://homd.org/jbrowse/?data=homd_V11.02_phage_1.2%2FGCA_016806995.1&amp;loc=GCA_016806995.1%7CJAESPK010000025.1%3A1..4835&amp;tracks=prokka,prokka_ncrna,ncbi,ncbi_ncrna,panggolin,cenote,genomad&amp;highlight=","Open JBrowse")</f>
        <v>Open JBrowse</v>
      </c>
      <c r="H540">
        <v>1050</v>
      </c>
      <c r="I540">
        <v>1835</v>
      </c>
      <c r="J540" t="s">
        <v>3242</v>
      </c>
      <c r="K540" t="s">
        <v>39</v>
      </c>
      <c r="L540" t="s">
        <v>1866</v>
      </c>
      <c r="M540" t="s">
        <v>1867</v>
      </c>
      <c r="N540" t="s">
        <v>42</v>
      </c>
      <c r="O540">
        <v>3</v>
      </c>
      <c r="P540" t="s">
        <v>42</v>
      </c>
      <c r="Q540" t="s">
        <v>43</v>
      </c>
      <c r="R540" t="s">
        <v>3238</v>
      </c>
      <c r="S540" t="s">
        <v>1866</v>
      </c>
      <c r="T540" t="s">
        <v>42</v>
      </c>
      <c r="U540">
        <v>29</v>
      </c>
      <c r="V540">
        <v>257</v>
      </c>
      <c r="W540">
        <v>229</v>
      </c>
      <c r="X540" t="s">
        <v>45</v>
      </c>
    </row>
    <row r="541" spans="1:27" x14ac:dyDescent="0.75">
      <c r="A541" s="22" t="s">
        <v>6051</v>
      </c>
      <c r="B541" t="s">
        <v>5270</v>
      </c>
      <c r="C541" t="s">
        <v>104</v>
      </c>
      <c r="D541" t="s">
        <v>329</v>
      </c>
      <c r="E541" t="s">
        <v>330</v>
      </c>
      <c r="F541" t="s">
        <v>5271</v>
      </c>
      <c r="G541" s="1" t="str">
        <f>HYPERLINK("https://homd.org/jbrowse/?data=homd_V11.02_phage_1.2%2FGCA_900638125.1&amp;loc=GCA_900638125.1%7CLR134489.1%3A1897996..1904781&amp;tracks=prokka,prokka_ncrna,ncbi,ncbi_ncrna,panggolin,cenote,genomad&amp;highlight=","Open JBrowse")</f>
        <v>Open JBrowse</v>
      </c>
      <c r="H541">
        <v>1900996</v>
      </c>
      <c r="I541">
        <v>1901781</v>
      </c>
      <c r="J541" t="s">
        <v>5272</v>
      </c>
      <c r="K541" t="s">
        <v>39</v>
      </c>
      <c r="L541" t="s">
        <v>1866</v>
      </c>
      <c r="M541" t="s">
        <v>1867</v>
      </c>
      <c r="N541" t="s">
        <v>42</v>
      </c>
      <c r="O541">
        <v>3</v>
      </c>
      <c r="P541" t="s">
        <v>42</v>
      </c>
      <c r="Q541" t="s">
        <v>43</v>
      </c>
      <c r="R541" t="s">
        <v>5273</v>
      </c>
      <c r="S541" t="s">
        <v>1866</v>
      </c>
      <c r="T541" t="s">
        <v>42</v>
      </c>
      <c r="U541">
        <v>29</v>
      </c>
      <c r="V541">
        <v>257</v>
      </c>
      <c r="W541">
        <v>229</v>
      </c>
      <c r="X541" t="s">
        <v>45</v>
      </c>
    </row>
    <row r="542" spans="1:27" x14ac:dyDescent="0.75">
      <c r="A542" s="22" t="s">
        <v>6051</v>
      </c>
      <c r="B542" t="s">
        <v>5469</v>
      </c>
      <c r="C542" t="s">
        <v>104</v>
      </c>
      <c r="D542" t="s">
        <v>319</v>
      </c>
      <c r="E542" t="s">
        <v>320</v>
      </c>
      <c r="F542" t="s">
        <v>5470</v>
      </c>
      <c r="G542" s="1" t="str">
        <f>HYPERLINK("https://homd.org/jbrowse/?data=homd_V11.02_phage_1.2%2FGCA_905372485.1&amp;loc=GCA_905372485.1%7CCAJPPW010000023.1%3A6319..13098&amp;tracks=prokka,prokka_ncrna,ncbi,ncbi_ncrna,panggolin,cenote,genomad&amp;highlight=","Open JBrowse")</f>
        <v>Open JBrowse</v>
      </c>
      <c r="H542">
        <v>9319</v>
      </c>
      <c r="I542">
        <v>10098</v>
      </c>
      <c r="J542" t="s">
        <v>5471</v>
      </c>
      <c r="K542" t="s">
        <v>39</v>
      </c>
      <c r="L542" t="s">
        <v>323</v>
      </c>
      <c r="M542" t="s">
        <v>324</v>
      </c>
      <c r="N542" t="s">
        <v>42</v>
      </c>
      <c r="O542">
        <v>3</v>
      </c>
      <c r="P542" t="s">
        <v>42</v>
      </c>
      <c r="Q542" t="s">
        <v>43</v>
      </c>
      <c r="R542" t="s">
        <v>5472</v>
      </c>
      <c r="S542" t="s">
        <v>323</v>
      </c>
      <c r="T542" t="s">
        <v>42</v>
      </c>
      <c r="U542">
        <v>29</v>
      </c>
      <c r="V542">
        <v>256</v>
      </c>
      <c r="W542">
        <v>228</v>
      </c>
      <c r="X542" t="s">
        <v>45</v>
      </c>
      <c r="Y542" t="s">
        <v>5473</v>
      </c>
      <c r="Z542" t="s">
        <v>281</v>
      </c>
      <c r="AA542" t="s">
        <v>327</v>
      </c>
    </row>
    <row r="543" spans="1:27" x14ac:dyDescent="0.75">
      <c r="A543" s="22" t="s">
        <v>6051</v>
      </c>
      <c r="B543" t="s">
        <v>403</v>
      </c>
      <c r="C543" t="s">
        <v>104</v>
      </c>
      <c r="D543" t="s">
        <v>105</v>
      </c>
      <c r="E543" t="s">
        <v>106</v>
      </c>
      <c r="F543" t="s">
        <v>404</v>
      </c>
      <c r="G543" s="1" t="str">
        <f>HYPERLINK("https://homd.org/jbrowse/?data=homd_V11.02_phage_1.2%2FGCA_000183985.1&amp;loc=GCA_000183985.1%7CGL573160.1%3A1701107..1707892&amp;tracks=prokka,prokka_ncrna,ncbi,ncbi_ncrna,panggolin,cenote,genomad&amp;highlight=","Open JBrowse")</f>
        <v>Open JBrowse</v>
      </c>
      <c r="H543">
        <v>1704107</v>
      </c>
      <c r="I543">
        <v>1704892</v>
      </c>
      <c r="J543" t="s">
        <v>405</v>
      </c>
      <c r="K543" t="s">
        <v>39</v>
      </c>
      <c r="L543" t="s">
        <v>406</v>
      </c>
      <c r="M543" t="s">
        <v>407</v>
      </c>
      <c r="N543" t="s">
        <v>42</v>
      </c>
      <c r="O543">
        <v>3</v>
      </c>
      <c r="P543" t="s">
        <v>42</v>
      </c>
      <c r="Q543" t="s">
        <v>43</v>
      </c>
      <c r="R543" t="s">
        <v>408</v>
      </c>
      <c r="S543" t="s">
        <v>406</v>
      </c>
      <c r="T543" t="s">
        <v>42</v>
      </c>
      <c r="U543">
        <v>33</v>
      </c>
      <c r="V543">
        <v>259</v>
      </c>
      <c r="W543">
        <v>227</v>
      </c>
      <c r="X543" t="s">
        <v>45</v>
      </c>
      <c r="Y543" t="s">
        <v>409</v>
      </c>
      <c r="Z543" t="s">
        <v>410</v>
      </c>
      <c r="AA543" t="s">
        <v>411</v>
      </c>
    </row>
    <row r="544" spans="1:27" x14ac:dyDescent="0.75">
      <c r="A544" s="22" t="s">
        <v>6051</v>
      </c>
      <c r="B544" t="s">
        <v>657</v>
      </c>
      <c r="C544" t="s">
        <v>104</v>
      </c>
      <c r="D544" t="s">
        <v>105</v>
      </c>
      <c r="E544" t="s">
        <v>106</v>
      </c>
      <c r="F544" t="s">
        <v>664</v>
      </c>
      <c r="G544" s="1" t="str">
        <f>HYPERLINK("https://homd.org/jbrowse/?data=homd_V11.02_phage_1.2%2FGCA_000277585.1&amp;loc=GCA_000277585.1%7CAKFV01000025.1%3A19653..26438&amp;tracks=prokka,prokka_ncrna,ncbi,ncbi_ncrna,panggolin,cenote,genomad&amp;highlight=","Open JBrowse")</f>
        <v>Open JBrowse</v>
      </c>
      <c r="H544">
        <v>22653</v>
      </c>
      <c r="I544">
        <v>23438</v>
      </c>
      <c r="J544" t="s">
        <v>665</v>
      </c>
      <c r="K544" t="s">
        <v>39</v>
      </c>
      <c r="L544" t="s">
        <v>406</v>
      </c>
      <c r="M544" t="s">
        <v>407</v>
      </c>
      <c r="N544" t="s">
        <v>42</v>
      </c>
      <c r="O544">
        <v>3</v>
      </c>
      <c r="P544" t="s">
        <v>42</v>
      </c>
      <c r="Q544" t="s">
        <v>43</v>
      </c>
      <c r="R544" t="s">
        <v>660</v>
      </c>
      <c r="S544" t="s">
        <v>406</v>
      </c>
      <c r="T544" t="s">
        <v>42</v>
      </c>
      <c r="U544">
        <v>33</v>
      </c>
      <c r="V544">
        <v>259</v>
      </c>
      <c r="W544">
        <v>227</v>
      </c>
      <c r="X544" t="s">
        <v>45</v>
      </c>
      <c r="Y544" t="s">
        <v>666</v>
      </c>
      <c r="Z544" t="s">
        <v>667</v>
      </c>
      <c r="AA544" t="s">
        <v>411</v>
      </c>
    </row>
    <row r="545" spans="1:34" x14ac:dyDescent="0.75">
      <c r="A545" s="22" t="s">
        <v>6051</v>
      </c>
      <c r="B545" t="s">
        <v>914</v>
      </c>
      <c r="C545" t="s">
        <v>104</v>
      </c>
      <c r="D545" t="s">
        <v>105</v>
      </c>
      <c r="E545" t="s">
        <v>106</v>
      </c>
      <c r="F545" t="s">
        <v>924</v>
      </c>
      <c r="G545" s="1" t="str">
        <f>HYPERLINK("https://homd.org/jbrowse/?data=homd_V11.02_phage_1.2%2FGCA_000411575.1&amp;loc=GCA_000411575.1%7CKE150494.1%3A78484..85269&amp;tracks=prokka,prokka_ncrna,ncbi,ncbi_ncrna,panggolin,cenote,genomad&amp;highlight=","Open JBrowse")</f>
        <v>Open JBrowse</v>
      </c>
      <c r="H545">
        <v>81484</v>
      </c>
      <c r="I545">
        <v>82269</v>
      </c>
      <c r="J545" t="s">
        <v>925</v>
      </c>
      <c r="K545" t="s">
        <v>39</v>
      </c>
      <c r="L545" t="s">
        <v>406</v>
      </c>
      <c r="M545" t="s">
        <v>407</v>
      </c>
      <c r="N545" t="s">
        <v>42</v>
      </c>
      <c r="O545">
        <v>3</v>
      </c>
      <c r="P545" t="s">
        <v>42</v>
      </c>
      <c r="Q545" t="s">
        <v>43</v>
      </c>
      <c r="R545" t="s">
        <v>917</v>
      </c>
      <c r="S545" t="s">
        <v>406</v>
      </c>
      <c r="T545" t="s">
        <v>42</v>
      </c>
      <c r="U545">
        <v>33</v>
      </c>
      <c r="V545">
        <v>259</v>
      </c>
      <c r="W545">
        <v>227</v>
      </c>
      <c r="X545" t="s">
        <v>45</v>
      </c>
      <c r="Y545" t="s">
        <v>926</v>
      </c>
      <c r="Z545" t="s">
        <v>870</v>
      </c>
      <c r="AA545" t="s">
        <v>127</v>
      </c>
    </row>
    <row r="546" spans="1:34" x14ac:dyDescent="0.75">
      <c r="A546" s="22" t="s">
        <v>6051</v>
      </c>
      <c r="B546" t="s">
        <v>1439</v>
      </c>
      <c r="C546" t="s">
        <v>104</v>
      </c>
      <c r="D546" t="s">
        <v>105</v>
      </c>
      <c r="E546" t="s">
        <v>106</v>
      </c>
      <c r="F546" t="s">
        <v>1440</v>
      </c>
      <c r="G546" s="1" t="str">
        <f>HYPERLINK("https://homd.org/jbrowse/?data=homd_V11.02_phage_1.2%2FGCA_001278825.1&amp;loc=GCA_001278825.1%7CCP012589.1%3A1476877..1483662&amp;tracks=prokka,prokka_ncrna,ncbi,ncbi_ncrna,panggolin,cenote,genomad&amp;highlight=","Open JBrowse")</f>
        <v>Open JBrowse</v>
      </c>
      <c r="H546">
        <v>1479877</v>
      </c>
      <c r="I546">
        <v>1480662</v>
      </c>
      <c r="J546" t="s">
        <v>1441</v>
      </c>
      <c r="K546" t="s">
        <v>39</v>
      </c>
      <c r="L546" t="s">
        <v>406</v>
      </c>
      <c r="M546" t="s">
        <v>407</v>
      </c>
      <c r="N546" t="s">
        <v>42</v>
      </c>
      <c r="O546">
        <v>3</v>
      </c>
      <c r="P546" t="s">
        <v>42</v>
      </c>
      <c r="Q546" t="s">
        <v>43</v>
      </c>
      <c r="R546" t="s">
        <v>1442</v>
      </c>
      <c r="S546" t="s">
        <v>406</v>
      </c>
      <c r="T546" t="s">
        <v>42</v>
      </c>
      <c r="U546">
        <v>33</v>
      </c>
      <c r="V546">
        <v>259</v>
      </c>
      <c r="W546">
        <v>227</v>
      </c>
      <c r="X546" t="s">
        <v>45</v>
      </c>
      <c r="Y546" t="s">
        <v>1443</v>
      </c>
      <c r="Z546" t="s">
        <v>904</v>
      </c>
      <c r="AA546" t="s">
        <v>1444</v>
      </c>
    </row>
    <row r="547" spans="1:34" x14ac:dyDescent="0.75">
      <c r="A547" s="22" t="s">
        <v>6051</v>
      </c>
      <c r="B547" t="s">
        <v>2012</v>
      </c>
      <c r="C547" t="s">
        <v>104</v>
      </c>
      <c r="D547" t="s">
        <v>105</v>
      </c>
      <c r="E547" t="s">
        <v>106</v>
      </c>
      <c r="F547" t="s">
        <v>2013</v>
      </c>
      <c r="G547" s="1" t="str">
        <f>HYPERLINK("https://homd.org/jbrowse/?data=homd_V11.02_phage_1.2%2FGCA_002998835.1&amp;loc=GCA_002998835.1%7CCP027232.1%3A2178567..2185352&amp;tracks=prokka,prokka_ncrna,ncbi,ncbi_ncrna,panggolin,cenote,genomad&amp;highlight=","Open JBrowse")</f>
        <v>Open JBrowse</v>
      </c>
      <c r="H547">
        <v>2181567</v>
      </c>
      <c r="I547">
        <v>2182352</v>
      </c>
      <c r="J547" t="s">
        <v>2021</v>
      </c>
      <c r="K547" t="s">
        <v>39</v>
      </c>
      <c r="L547" t="s">
        <v>406</v>
      </c>
      <c r="M547" t="s">
        <v>407</v>
      </c>
      <c r="N547" t="s">
        <v>398</v>
      </c>
      <c r="O547">
        <v>3</v>
      </c>
      <c r="P547" t="s">
        <v>42</v>
      </c>
      <c r="Q547" t="s">
        <v>43</v>
      </c>
      <c r="R547" t="s">
        <v>2015</v>
      </c>
      <c r="S547" t="s">
        <v>406</v>
      </c>
      <c r="T547" t="s">
        <v>42</v>
      </c>
      <c r="U547">
        <v>33</v>
      </c>
      <c r="V547">
        <v>259</v>
      </c>
      <c r="W547">
        <v>227</v>
      </c>
      <c r="X547" t="s">
        <v>45</v>
      </c>
      <c r="Y547" t="s">
        <v>2022</v>
      </c>
      <c r="Z547" t="s">
        <v>1236</v>
      </c>
      <c r="AA547" t="s">
        <v>2023</v>
      </c>
    </row>
    <row r="548" spans="1:34" x14ac:dyDescent="0.75">
      <c r="A548" s="22" t="s">
        <v>6051</v>
      </c>
      <c r="B548" t="s">
        <v>2809</v>
      </c>
      <c r="C548" t="s">
        <v>104</v>
      </c>
      <c r="D548" t="s">
        <v>105</v>
      </c>
      <c r="E548" t="s">
        <v>106</v>
      </c>
      <c r="F548" t="s">
        <v>2810</v>
      </c>
      <c r="G548" s="1" t="str">
        <f>HYPERLINK("https://homd.org/jbrowse/?data=homd_V11.02_phage_1.2%2FGCA_013394785.1&amp;loc=GCA_013394785.1%7CJABXYW010000002.1%3A649684..656469&amp;tracks=prokka,prokka_ncrna,ncbi,ncbi_ncrna,panggolin,cenote,genomad&amp;highlight=","Open JBrowse")</f>
        <v>Open JBrowse</v>
      </c>
      <c r="H548">
        <v>652684</v>
      </c>
      <c r="I548">
        <v>653469</v>
      </c>
      <c r="J548" t="s">
        <v>2816</v>
      </c>
      <c r="K548" t="s">
        <v>39</v>
      </c>
      <c r="L548" t="s">
        <v>406</v>
      </c>
      <c r="M548" t="s">
        <v>407</v>
      </c>
      <c r="N548" t="s">
        <v>42</v>
      </c>
      <c r="O548">
        <v>3</v>
      </c>
      <c r="P548" t="s">
        <v>42</v>
      </c>
      <c r="Q548" t="s">
        <v>43</v>
      </c>
      <c r="R548" t="s">
        <v>2812</v>
      </c>
      <c r="S548" t="s">
        <v>406</v>
      </c>
      <c r="T548" t="s">
        <v>42</v>
      </c>
      <c r="U548">
        <v>33</v>
      </c>
      <c r="V548">
        <v>259</v>
      </c>
      <c r="W548">
        <v>227</v>
      </c>
      <c r="X548" t="s">
        <v>45</v>
      </c>
      <c r="Y548" t="s">
        <v>2817</v>
      </c>
      <c r="Z548" t="s">
        <v>126</v>
      </c>
      <c r="AA548" t="s">
        <v>2818</v>
      </c>
    </row>
    <row r="549" spans="1:34" x14ac:dyDescent="0.75">
      <c r="A549" s="22" t="s">
        <v>6051</v>
      </c>
      <c r="B549" t="s">
        <v>4026</v>
      </c>
      <c r="C549" t="s">
        <v>104</v>
      </c>
      <c r="D549" t="s">
        <v>105</v>
      </c>
      <c r="E549" t="s">
        <v>106</v>
      </c>
      <c r="F549" t="s">
        <v>4027</v>
      </c>
      <c r="G549" s="1" t="str">
        <f>HYPERLINK("https://homd.org/jbrowse/?data=homd_V11.02_phage_1.2%2FGCA_020736165.1&amp;loc=GCA_020736165.1%7CCP085961.1%3A1274089..1280874&amp;tracks=prokka,prokka_ncrna,ncbi,ncbi_ncrna,panggolin,cenote,genomad&amp;highlight=","Open JBrowse")</f>
        <v>Open JBrowse</v>
      </c>
      <c r="H549">
        <v>1277089</v>
      </c>
      <c r="I549">
        <v>1277874</v>
      </c>
      <c r="J549" t="s">
        <v>4028</v>
      </c>
      <c r="K549" t="s">
        <v>39</v>
      </c>
      <c r="L549" t="s">
        <v>406</v>
      </c>
      <c r="M549" t="s">
        <v>407</v>
      </c>
      <c r="N549" t="s">
        <v>42</v>
      </c>
      <c r="O549">
        <v>3</v>
      </c>
      <c r="P549" t="s">
        <v>42</v>
      </c>
      <c r="Q549" t="s">
        <v>43</v>
      </c>
      <c r="R549" t="s">
        <v>4029</v>
      </c>
      <c r="S549" t="s">
        <v>406</v>
      </c>
      <c r="T549" t="s">
        <v>42</v>
      </c>
      <c r="U549">
        <v>33</v>
      </c>
      <c r="V549">
        <v>259</v>
      </c>
      <c r="W549">
        <v>227</v>
      </c>
      <c r="X549" t="s">
        <v>45</v>
      </c>
      <c r="Y549" t="s">
        <v>4030</v>
      </c>
      <c r="Z549" t="s">
        <v>904</v>
      </c>
      <c r="AA549" t="s">
        <v>411</v>
      </c>
    </row>
    <row r="550" spans="1:34" x14ac:dyDescent="0.75">
      <c r="A550" s="22" t="s">
        <v>6051</v>
      </c>
      <c r="B550" t="s">
        <v>577</v>
      </c>
      <c r="C550" t="s">
        <v>104</v>
      </c>
      <c r="D550" t="s">
        <v>578</v>
      </c>
      <c r="E550" t="s">
        <v>579</v>
      </c>
      <c r="F550" t="s">
        <v>580</v>
      </c>
      <c r="G550" s="1" t="str">
        <f>HYPERLINK("https://homd.org/jbrowse/?data=homd_V11.02_phage_1.2%2FGCA_000238215.1&amp;loc=GCA_000238215.1%7CCP003191.1%3A2799394..2806185&amp;tracks=prokka,prokka_ncrna,ncbi,ncbi_ncrna,panggolin,cenote,genomad&amp;highlight=","Open JBrowse")</f>
        <v>Open JBrowse</v>
      </c>
      <c r="H550">
        <v>2802394</v>
      </c>
      <c r="I550">
        <v>2803185</v>
      </c>
      <c r="J550" t="s">
        <v>591</v>
      </c>
      <c r="K550" t="s">
        <v>39</v>
      </c>
      <c r="L550" t="s">
        <v>491</v>
      </c>
      <c r="M550" t="s">
        <v>592</v>
      </c>
      <c r="N550" t="s">
        <v>42</v>
      </c>
      <c r="O550">
        <v>3</v>
      </c>
      <c r="P550" t="s">
        <v>42</v>
      </c>
      <c r="Q550" t="s">
        <v>43</v>
      </c>
      <c r="R550" t="s">
        <v>584</v>
      </c>
      <c r="S550" t="s">
        <v>491</v>
      </c>
      <c r="T550" t="s">
        <v>42</v>
      </c>
      <c r="U550">
        <v>34</v>
      </c>
      <c r="V550">
        <v>259</v>
      </c>
      <c r="W550">
        <v>226</v>
      </c>
      <c r="X550" t="s">
        <v>45</v>
      </c>
      <c r="Y550" t="s">
        <v>593</v>
      </c>
      <c r="Z550" t="s">
        <v>594</v>
      </c>
      <c r="AA550" t="s">
        <v>595</v>
      </c>
    </row>
    <row r="551" spans="1:34" x14ac:dyDescent="0.75">
      <c r="A551" s="22" t="s">
        <v>6051</v>
      </c>
      <c r="B551" t="s">
        <v>755</v>
      </c>
      <c r="C551" t="s">
        <v>104</v>
      </c>
      <c r="D551" t="s">
        <v>756</v>
      </c>
      <c r="E551" t="s">
        <v>757</v>
      </c>
      <c r="F551" t="s">
        <v>758</v>
      </c>
      <c r="G551" s="1" t="str">
        <f>HYPERLINK("https://homd.org/jbrowse/?data=homd_V11.02_phage_1.2%2FGCA_000312445.1&amp;loc=GCA_000312445.1%7CHE997182.1%3A494815..501612&amp;tracks=prokka,prokka_ncrna,ncbi,ncbi_ncrna,panggolin,cenote,genomad&amp;highlight=","Open JBrowse")</f>
        <v>Open JBrowse</v>
      </c>
      <c r="H551">
        <v>497815</v>
      </c>
      <c r="I551">
        <v>498612</v>
      </c>
      <c r="J551" t="s">
        <v>759</v>
      </c>
      <c r="K551" t="s">
        <v>39</v>
      </c>
      <c r="L551" t="s">
        <v>491</v>
      </c>
      <c r="M551" t="s">
        <v>592</v>
      </c>
      <c r="N551" t="s">
        <v>42</v>
      </c>
      <c r="O551">
        <v>3</v>
      </c>
      <c r="P551" t="s">
        <v>42</v>
      </c>
      <c r="Q551" t="s">
        <v>43</v>
      </c>
      <c r="R551" t="s">
        <v>760</v>
      </c>
      <c r="S551" t="s">
        <v>491</v>
      </c>
      <c r="T551" t="s">
        <v>42</v>
      </c>
      <c r="U551">
        <v>34</v>
      </c>
      <c r="V551">
        <v>259</v>
      </c>
      <c r="W551">
        <v>226</v>
      </c>
      <c r="X551" t="s">
        <v>45</v>
      </c>
      <c r="Y551" t="s">
        <v>761</v>
      </c>
      <c r="Z551" t="s">
        <v>357</v>
      </c>
      <c r="AA551" t="s">
        <v>762</v>
      </c>
      <c r="AB551" t="s">
        <v>763</v>
      </c>
      <c r="AG551" t="s">
        <v>185</v>
      </c>
      <c r="AH551">
        <v>2</v>
      </c>
    </row>
    <row r="552" spans="1:34" x14ac:dyDescent="0.75">
      <c r="A552" s="22" t="s">
        <v>6051</v>
      </c>
      <c r="B552" t="s">
        <v>1028</v>
      </c>
      <c r="C552" t="s">
        <v>104</v>
      </c>
      <c r="D552" t="s">
        <v>756</v>
      </c>
      <c r="E552" t="s">
        <v>757</v>
      </c>
      <c r="F552" t="s">
        <v>1029</v>
      </c>
      <c r="G552" s="1" t="str">
        <f>HYPERLINK("https://homd.org/jbrowse/?data=homd_V11.02_phage_1.2%2FGCA_000442105.1&amp;loc=GCA_000442105.1%7CAUTU01000019.1%3A25655..32452&amp;tracks=prokka,prokka_ncrna,ncbi,ncbi_ncrna,panggolin,cenote,genomad&amp;highlight=","Open JBrowse")</f>
        <v>Open JBrowse</v>
      </c>
      <c r="H552">
        <v>28655</v>
      </c>
      <c r="I552">
        <v>29452</v>
      </c>
      <c r="J552" t="s">
        <v>1030</v>
      </c>
      <c r="K552" t="s">
        <v>39</v>
      </c>
      <c r="L552" t="s">
        <v>491</v>
      </c>
      <c r="M552" t="s">
        <v>592</v>
      </c>
      <c r="N552" t="s">
        <v>42</v>
      </c>
      <c r="O552">
        <v>3</v>
      </c>
      <c r="P552" t="s">
        <v>42</v>
      </c>
      <c r="Q552" t="s">
        <v>43</v>
      </c>
      <c r="R552" t="s">
        <v>1031</v>
      </c>
      <c r="S552" t="s">
        <v>491</v>
      </c>
      <c r="T552" t="s">
        <v>42</v>
      </c>
      <c r="U552">
        <v>34</v>
      </c>
      <c r="V552">
        <v>259</v>
      </c>
      <c r="W552">
        <v>226</v>
      </c>
      <c r="X552" t="s">
        <v>45</v>
      </c>
      <c r="Y552" t="s">
        <v>1032</v>
      </c>
      <c r="Z552" t="s">
        <v>892</v>
      </c>
      <c r="AA552" t="s">
        <v>1033</v>
      </c>
    </row>
    <row r="553" spans="1:34" x14ac:dyDescent="0.75">
      <c r="A553" s="22" t="s">
        <v>6051</v>
      </c>
      <c r="B553" t="s">
        <v>1359</v>
      </c>
      <c r="C553" t="s">
        <v>104</v>
      </c>
      <c r="D553" t="s">
        <v>578</v>
      </c>
      <c r="E553" t="s">
        <v>579</v>
      </c>
      <c r="F553" t="s">
        <v>1360</v>
      </c>
      <c r="G553" s="1" t="str">
        <f>HYPERLINK("https://homd.org/jbrowse/?data=homd_V11.02_phage_1.2%2FGCA_001006485.1&amp;loc=GCA_001006485.1%7CJUET01000076.1%3A89195..95986&amp;tracks=prokka,prokka_ncrna,ncbi,ncbi_ncrna,panggolin,cenote,genomad&amp;highlight=","Open JBrowse")</f>
        <v>Open JBrowse</v>
      </c>
      <c r="H553">
        <v>92195</v>
      </c>
      <c r="I553">
        <v>92986</v>
      </c>
      <c r="J553" t="s">
        <v>1361</v>
      </c>
      <c r="K553" t="s">
        <v>39</v>
      </c>
      <c r="L553" t="s">
        <v>491</v>
      </c>
      <c r="M553" t="s">
        <v>592</v>
      </c>
      <c r="N553" t="s">
        <v>42</v>
      </c>
      <c r="O553">
        <v>3</v>
      </c>
      <c r="P553" t="s">
        <v>42</v>
      </c>
      <c r="Q553" t="s">
        <v>43</v>
      </c>
      <c r="R553" t="s">
        <v>1362</v>
      </c>
      <c r="S553" t="s">
        <v>491</v>
      </c>
      <c r="T553" t="s">
        <v>42</v>
      </c>
      <c r="U553">
        <v>34</v>
      </c>
      <c r="V553">
        <v>259</v>
      </c>
      <c r="W553">
        <v>226</v>
      </c>
      <c r="X553" t="s">
        <v>45</v>
      </c>
      <c r="Y553" t="s">
        <v>1363</v>
      </c>
      <c r="Z553" t="s">
        <v>824</v>
      </c>
      <c r="AA553" t="s">
        <v>595</v>
      </c>
    </row>
    <row r="554" spans="1:34" x14ac:dyDescent="0.75">
      <c r="A554" s="22" t="s">
        <v>6051</v>
      </c>
      <c r="B554" t="s">
        <v>1507</v>
      </c>
      <c r="C554" t="s">
        <v>104</v>
      </c>
      <c r="D554" t="s">
        <v>578</v>
      </c>
      <c r="E554" t="s">
        <v>579</v>
      </c>
      <c r="F554" t="s">
        <v>1508</v>
      </c>
      <c r="G554" s="1" t="str">
        <f>HYPERLINK("https://homd.org/jbrowse/?data=homd_V11.02_phage_1.2%2FGCA_001547855.1&amp;loc=GCA_001547855.1%7CAP013045.1%3A2802574..2809365&amp;tracks=prokka,prokka_ncrna,ncbi,ncbi_ncrna,panggolin,cenote,genomad&amp;highlight=","Open JBrowse")</f>
        <v>Open JBrowse</v>
      </c>
      <c r="H554">
        <v>2805574</v>
      </c>
      <c r="I554">
        <v>2806365</v>
      </c>
      <c r="J554" t="s">
        <v>1515</v>
      </c>
      <c r="K554" t="s">
        <v>39</v>
      </c>
      <c r="L554" t="s">
        <v>491</v>
      </c>
      <c r="M554" t="s">
        <v>592</v>
      </c>
      <c r="N554" t="s">
        <v>42</v>
      </c>
      <c r="O554">
        <v>3</v>
      </c>
      <c r="P554" t="s">
        <v>42</v>
      </c>
      <c r="Q554" t="s">
        <v>43</v>
      </c>
      <c r="R554" t="s">
        <v>1511</v>
      </c>
      <c r="S554" t="s">
        <v>491</v>
      </c>
      <c r="T554" t="s">
        <v>42</v>
      </c>
      <c r="U554">
        <v>34</v>
      </c>
      <c r="V554">
        <v>259</v>
      </c>
      <c r="W554">
        <v>226</v>
      </c>
      <c r="X554" t="s">
        <v>45</v>
      </c>
      <c r="Y554" t="s">
        <v>1516</v>
      </c>
      <c r="Z554" t="s">
        <v>594</v>
      </c>
      <c r="AA554" t="s">
        <v>595</v>
      </c>
    </row>
    <row r="555" spans="1:34" x14ac:dyDescent="0.75">
      <c r="A555" s="22" t="s">
        <v>6051</v>
      </c>
      <c r="B555" t="s">
        <v>1517</v>
      </c>
      <c r="C555" t="s">
        <v>104</v>
      </c>
      <c r="D555" t="s">
        <v>578</v>
      </c>
      <c r="E555" t="s">
        <v>579</v>
      </c>
      <c r="F555" t="s">
        <v>1518</v>
      </c>
      <c r="G555" s="1" t="str">
        <f>HYPERLINK("https://homd.org/jbrowse/?data=homd_V11.02_phage_1.2%2FGCA_001547875.1&amp;loc=GCA_001547875.1%7CAP013044.1%3A2745720..2752517&amp;tracks=prokka,prokka_ncrna,ncbi,ncbi_ncrna,panggolin,cenote,genomad&amp;highlight=","Open JBrowse")</f>
        <v>Open JBrowse</v>
      </c>
      <c r="H555">
        <v>2748720</v>
      </c>
      <c r="I555">
        <v>2749517</v>
      </c>
      <c r="J555" t="s">
        <v>1523</v>
      </c>
      <c r="K555" t="s">
        <v>39</v>
      </c>
      <c r="L555" t="s">
        <v>491</v>
      </c>
      <c r="M555" t="s">
        <v>592</v>
      </c>
      <c r="N555" t="s">
        <v>42</v>
      </c>
      <c r="O555">
        <v>3</v>
      </c>
      <c r="P555" t="s">
        <v>42</v>
      </c>
      <c r="Q555" t="s">
        <v>43</v>
      </c>
      <c r="R555" t="s">
        <v>1520</v>
      </c>
      <c r="S555" t="s">
        <v>491</v>
      </c>
      <c r="T555" t="s">
        <v>42</v>
      </c>
      <c r="U555">
        <v>34</v>
      </c>
      <c r="V555">
        <v>259</v>
      </c>
      <c r="W555">
        <v>226</v>
      </c>
      <c r="X555" t="s">
        <v>45</v>
      </c>
      <c r="Y555" t="s">
        <v>1524</v>
      </c>
      <c r="Z555" t="s">
        <v>594</v>
      </c>
      <c r="AA555" t="s">
        <v>595</v>
      </c>
    </row>
    <row r="556" spans="1:34" x14ac:dyDescent="0.75">
      <c r="A556" s="22" t="s">
        <v>6051</v>
      </c>
      <c r="B556" t="s">
        <v>1693</v>
      </c>
      <c r="C556" t="s">
        <v>104</v>
      </c>
      <c r="D556" t="s">
        <v>578</v>
      </c>
      <c r="E556" t="s">
        <v>579</v>
      </c>
      <c r="F556" t="s">
        <v>1694</v>
      </c>
      <c r="G556" s="1" t="str">
        <f>HYPERLINK("https://homd.org/jbrowse/?data=homd_V11.02_phage_1.2%2FGCA_001938785.1&amp;loc=GCA_001938785.1%7CMEHX01000001.1%3A35053..41844&amp;tracks=prokka,prokka_ncrna,ncbi,ncbi_ncrna,panggolin,cenote,genomad&amp;highlight=","Open JBrowse")</f>
        <v>Open JBrowse</v>
      </c>
      <c r="H556">
        <v>38053</v>
      </c>
      <c r="I556">
        <v>38844</v>
      </c>
      <c r="J556" t="s">
        <v>1695</v>
      </c>
      <c r="K556" t="s">
        <v>39</v>
      </c>
      <c r="L556" t="s">
        <v>491</v>
      </c>
      <c r="M556" t="s">
        <v>592</v>
      </c>
      <c r="N556" t="s">
        <v>42</v>
      </c>
      <c r="O556">
        <v>3</v>
      </c>
      <c r="P556" t="s">
        <v>42</v>
      </c>
      <c r="Q556" t="s">
        <v>43</v>
      </c>
      <c r="R556" t="s">
        <v>1696</v>
      </c>
      <c r="S556" t="s">
        <v>491</v>
      </c>
      <c r="T556" t="s">
        <v>42</v>
      </c>
      <c r="U556">
        <v>34</v>
      </c>
      <c r="V556">
        <v>259</v>
      </c>
      <c r="W556">
        <v>226</v>
      </c>
      <c r="X556" t="s">
        <v>45</v>
      </c>
      <c r="Y556" t="s">
        <v>1697</v>
      </c>
      <c r="Z556" t="s">
        <v>645</v>
      </c>
      <c r="AA556" t="s">
        <v>595</v>
      </c>
    </row>
    <row r="557" spans="1:34" x14ac:dyDescent="0.75">
      <c r="A557" s="22" t="s">
        <v>6051</v>
      </c>
      <c r="B557" t="s">
        <v>1868</v>
      </c>
      <c r="C557" t="s">
        <v>104</v>
      </c>
      <c r="D557" t="s">
        <v>578</v>
      </c>
      <c r="E557" t="s">
        <v>579</v>
      </c>
      <c r="F557" t="s">
        <v>1869</v>
      </c>
      <c r="G557" s="1" t="str">
        <f>HYPERLINK("https://homd.org/jbrowse/?data=homd_V11.02_phage_1.2%2FGCA_002529085.1&amp;loc=GCA_002529085.1%7CNSLJ01000005.1%3A1..6618&amp;tracks=prokka,prokka_ncrna,ncbi,ncbi_ncrna,panggolin,cenote,genomad&amp;highlight=","Open JBrowse")</f>
        <v>Open JBrowse</v>
      </c>
      <c r="H557">
        <v>2827</v>
      </c>
      <c r="I557">
        <v>3618</v>
      </c>
      <c r="J557" t="s">
        <v>1870</v>
      </c>
      <c r="K557" t="s">
        <v>39</v>
      </c>
      <c r="L557" t="s">
        <v>491</v>
      </c>
      <c r="M557" t="s">
        <v>592</v>
      </c>
      <c r="N557" t="s">
        <v>42</v>
      </c>
      <c r="O557">
        <v>3</v>
      </c>
      <c r="P557" t="s">
        <v>42</v>
      </c>
      <c r="Q557" t="s">
        <v>43</v>
      </c>
      <c r="R557" t="s">
        <v>1871</v>
      </c>
      <c r="S557" t="s">
        <v>491</v>
      </c>
      <c r="T557" t="s">
        <v>42</v>
      </c>
      <c r="U557">
        <v>34</v>
      </c>
      <c r="V557">
        <v>259</v>
      </c>
      <c r="W557">
        <v>226</v>
      </c>
      <c r="X557" t="s">
        <v>45</v>
      </c>
      <c r="Y557" t="s">
        <v>1872</v>
      </c>
      <c r="Z557" t="s">
        <v>336</v>
      </c>
      <c r="AA557" t="s">
        <v>595</v>
      </c>
    </row>
    <row r="558" spans="1:34" x14ac:dyDescent="0.75">
      <c r="A558" s="22" t="s">
        <v>6051</v>
      </c>
      <c r="B558" t="s">
        <v>1877</v>
      </c>
      <c r="C558" t="s">
        <v>104</v>
      </c>
      <c r="D558" t="s">
        <v>578</v>
      </c>
      <c r="E558" t="s">
        <v>579</v>
      </c>
      <c r="F558" t="s">
        <v>1878</v>
      </c>
      <c r="G558" s="1" t="str">
        <f>HYPERLINK("https://homd.org/jbrowse/?data=homd_V11.02_phage_1.2%2FGCA_002529295.1&amp;loc=GCA_002529295.1%7CNSLK01000002.1%3A198458..205255&amp;tracks=prokka,prokka_ncrna,ncbi,ncbi_ncrna,panggolin,cenote,genomad&amp;highlight=","Open JBrowse")</f>
        <v>Open JBrowse</v>
      </c>
      <c r="H558">
        <v>201458</v>
      </c>
      <c r="I558">
        <v>202255</v>
      </c>
      <c r="J558" t="s">
        <v>1879</v>
      </c>
      <c r="K558" t="s">
        <v>39</v>
      </c>
      <c r="L558" t="s">
        <v>491</v>
      </c>
      <c r="M558" t="s">
        <v>592</v>
      </c>
      <c r="N558" t="s">
        <v>42</v>
      </c>
      <c r="O558">
        <v>3</v>
      </c>
      <c r="P558" t="s">
        <v>42</v>
      </c>
      <c r="Q558" t="s">
        <v>43</v>
      </c>
      <c r="R558" t="s">
        <v>1880</v>
      </c>
      <c r="S558" t="s">
        <v>491</v>
      </c>
      <c r="T558" t="s">
        <v>42</v>
      </c>
      <c r="U558">
        <v>34</v>
      </c>
      <c r="V558">
        <v>259</v>
      </c>
      <c r="W558">
        <v>226</v>
      </c>
      <c r="X558" t="s">
        <v>45</v>
      </c>
      <c r="Y558" t="s">
        <v>1881</v>
      </c>
      <c r="Z558" t="s">
        <v>302</v>
      </c>
      <c r="AA558" t="s">
        <v>1882</v>
      </c>
    </row>
    <row r="559" spans="1:34" x14ac:dyDescent="0.75">
      <c r="A559" s="22" t="s">
        <v>6051</v>
      </c>
      <c r="B559" t="s">
        <v>2334</v>
      </c>
      <c r="C559" t="s">
        <v>104</v>
      </c>
      <c r="D559" t="s">
        <v>578</v>
      </c>
      <c r="E559" t="s">
        <v>579</v>
      </c>
      <c r="F559" t="s">
        <v>2335</v>
      </c>
      <c r="G559" s="1" t="str">
        <f>HYPERLINK("https://homd.org/jbrowse/?data=homd_V11.02_phage_1.2%2FGCA_006385365.1&amp;loc=GCA_006385365.1%7CVFJI01000001.1%3A1405832..1412623&amp;tracks=prokka,prokka_ncrna,ncbi,ncbi_ncrna,panggolin,cenote,genomad&amp;highlight=","Open JBrowse")</f>
        <v>Open JBrowse</v>
      </c>
      <c r="H559">
        <v>1408832</v>
      </c>
      <c r="I559">
        <v>1409623</v>
      </c>
      <c r="J559" t="s">
        <v>2336</v>
      </c>
      <c r="K559" t="s">
        <v>39</v>
      </c>
      <c r="L559" t="s">
        <v>491</v>
      </c>
      <c r="M559" t="s">
        <v>592</v>
      </c>
      <c r="N559" t="s">
        <v>42</v>
      </c>
      <c r="O559">
        <v>3</v>
      </c>
      <c r="P559" t="s">
        <v>42</v>
      </c>
      <c r="Q559" t="s">
        <v>43</v>
      </c>
      <c r="R559" t="s">
        <v>2337</v>
      </c>
      <c r="S559" t="s">
        <v>491</v>
      </c>
      <c r="T559" t="s">
        <v>42</v>
      </c>
      <c r="U559">
        <v>34</v>
      </c>
      <c r="V559">
        <v>259</v>
      </c>
      <c r="W559">
        <v>226</v>
      </c>
      <c r="X559" t="s">
        <v>45</v>
      </c>
      <c r="Y559" t="s">
        <v>2338</v>
      </c>
      <c r="Z559" t="s">
        <v>653</v>
      </c>
      <c r="AA559" t="s">
        <v>595</v>
      </c>
    </row>
    <row r="560" spans="1:34" x14ac:dyDescent="0.75">
      <c r="A560" s="22" t="s">
        <v>6051</v>
      </c>
      <c r="B560" t="s">
        <v>5071</v>
      </c>
      <c r="C560" t="s">
        <v>104</v>
      </c>
      <c r="D560" t="s">
        <v>578</v>
      </c>
      <c r="E560" t="s">
        <v>579</v>
      </c>
      <c r="F560" t="s">
        <v>5077</v>
      </c>
      <c r="G560" s="1" t="str">
        <f>HYPERLINK("https://homd.org/jbrowse/?data=homd_V11.02_phage_1.2%2FGCA_900096715.1&amp;loc=GCA_900096715.1%7CFMML01000082.1%3A35157..41948&amp;tracks=prokka,prokka_ncrna,ncbi,ncbi_ncrna,panggolin,cenote,genomad&amp;highlight=","Open JBrowse")</f>
        <v>Open JBrowse</v>
      </c>
      <c r="H560">
        <v>38157</v>
      </c>
      <c r="I560">
        <v>38948</v>
      </c>
      <c r="J560" t="s">
        <v>5078</v>
      </c>
      <c r="K560" t="s">
        <v>39</v>
      </c>
      <c r="L560" t="s">
        <v>491</v>
      </c>
      <c r="M560" t="s">
        <v>592</v>
      </c>
      <c r="N560" t="s">
        <v>42</v>
      </c>
      <c r="O560">
        <v>3</v>
      </c>
      <c r="P560" t="s">
        <v>42</v>
      </c>
      <c r="Q560" t="s">
        <v>43</v>
      </c>
      <c r="R560" t="s">
        <v>5074</v>
      </c>
      <c r="S560" t="s">
        <v>491</v>
      </c>
      <c r="T560" t="s">
        <v>42</v>
      </c>
      <c r="U560">
        <v>34</v>
      </c>
      <c r="V560">
        <v>259</v>
      </c>
      <c r="W560">
        <v>226</v>
      </c>
      <c r="X560" t="s">
        <v>45</v>
      </c>
      <c r="Y560" t="s">
        <v>5079</v>
      </c>
      <c r="Z560" t="s">
        <v>594</v>
      </c>
      <c r="AA560" t="s">
        <v>595</v>
      </c>
    </row>
    <row r="561" spans="1:34" x14ac:dyDescent="0.75">
      <c r="A561" s="22" t="s">
        <v>6051</v>
      </c>
      <c r="B561" t="s">
        <v>5080</v>
      </c>
      <c r="C561" t="s">
        <v>104</v>
      </c>
      <c r="D561" t="s">
        <v>578</v>
      </c>
      <c r="E561" t="s">
        <v>579</v>
      </c>
      <c r="F561" t="s">
        <v>5086</v>
      </c>
      <c r="G561" s="1" t="str">
        <f>HYPERLINK("https://homd.org/jbrowse/?data=homd_V11.02_phage_1.2%2FGCA_900096725.1&amp;loc=GCA_900096725.1%7CFMMN01000061.1%3A111928..118719&amp;tracks=prokka,prokka_ncrna,ncbi,ncbi_ncrna,panggolin,cenote,genomad&amp;highlight=","Open JBrowse")</f>
        <v>Open JBrowse</v>
      </c>
      <c r="H561">
        <v>114928</v>
      </c>
      <c r="I561">
        <v>115719</v>
      </c>
      <c r="J561" t="s">
        <v>5087</v>
      </c>
      <c r="K561" t="s">
        <v>39</v>
      </c>
      <c r="L561" t="s">
        <v>491</v>
      </c>
      <c r="M561" t="s">
        <v>592</v>
      </c>
      <c r="N561" t="s">
        <v>42</v>
      </c>
      <c r="O561">
        <v>3</v>
      </c>
      <c r="P561" t="s">
        <v>42</v>
      </c>
      <c r="Q561" t="s">
        <v>43</v>
      </c>
      <c r="R561" t="s">
        <v>5083</v>
      </c>
      <c r="S561" t="s">
        <v>491</v>
      </c>
      <c r="T561" t="s">
        <v>42</v>
      </c>
      <c r="U561">
        <v>34</v>
      </c>
      <c r="V561">
        <v>259</v>
      </c>
      <c r="W561">
        <v>226</v>
      </c>
      <c r="X561" t="s">
        <v>45</v>
      </c>
      <c r="Y561" t="s">
        <v>5088</v>
      </c>
      <c r="Z561" t="s">
        <v>83</v>
      </c>
      <c r="AA561" t="s">
        <v>595</v>
      </c>
    </row>
    <row r="562" spans="1:34" x14ac:dyDescent="0.75">
      <c r="A562" s="22" t="s">
        <v>6051</v>
      </c>
      <c r="B562" t="s">
        <v>5089</v>
      </c>
      <c r="C562" t="s">
        <v>104</v>
      </c>
      <c r="D562" t="s">
        <v>578</v>
      </c>
      <c r="E562" t="s">
        <v>579</v>
      </c>
      <c r="F562" t="s">
        <v>5096</v>
      </c>
      <c r="G562" s="1" t="str">
        <f>HYPERLINK("https://homd.org/jbrowse/?data=homd_V11.02_phage_1.2%2FGCA_900096735.1&amp;loc=GCA_900096735.1%7CFMMM01000078.1%3A94338..101129&amp;tracks=prokka,prokka_ncrna,ncbi,ncbi_ncrna,panggolin,cenote,genomad&amp;highlight=","Open JBrowse")</f>
        <v>Open JBrowse</v>
      </c>
      <c r="H562">
        <v>97338</v>
      </c>
      <c r="I562">
        <v>98129</v>
      </c>
      <c r="J562" t="s">
        <v>5097</v>
      </c>
      <c r="K562" t="s">
        <v>39</v>
      </c>
      <c r="L562" t="s">
        <v>491</v>
      </c>
      <c r="M562" t="s">
        <v>592</v>
      </c>
      <c r="N562" t="s">
        <v>42</v>
      </c>
      <c r="O562">
        <v>3</v>
      </c>
      <c r="P562" t="s">
        <v>42</v>
      </c>
      <c r="Q562" t="s">
        <v>43</v>
      </c>
      <c r="R562" t="s">
        <v>5092</v>
      </c>
      <c r="S562" t="s">
        <v>491</v>
      </c>
      <c r="T562" t="s">
        <v>42</v>
      </c>
      <c r="U562">
        <v>34</v>
      </c>
      <c r="V562">
        <v>259</v>
      </c>
      <c r="W562">
        <v>226</v>
      </c>
      <c r="X562" t="s">
        <v>45</v>
      </c>
      <c r="Y562" t="s">
        <v>5098</v>
      </c>
      <c r="Z562" t="s">
        <v>5099</v>
      </c>
      <c r="AA562" t="s">
        <v>595</v>
      </c>
    </row>
    <row r="563" spans="1:34" x14ac:dyDescent="0.75">
      <c r="A563" s="22" t="s">
        <v>6051</v>
      </c>
      <c r="B563" t="s">
        <v>5536</v>
      </c>
      <c r="C563" t="s">
        <v>104</v>
      </c>
      <c r="D563" t="s">
        <v>578</v>
      </c>
      <c r="E563" t="s">
        <v>579</v>
      </c>
      <c r="F563" t="s">
        <v>5542</v>
      </c>
      <c r="G563" s="1" t="str">
        <f>HYPERLINK("https://homd.org/jbrowse/?data=homd_V11.02_phage_1.2%2FGCA_905373495.1&amp;loc=GCA_905373495.1%7CCAJPTF010000023.1%3A34943..41734&amp;tracks=prokka,prokka_ncrna,ncbi,ncbi_ncrna,panggolin,cenote,genomad&amp;highlight=","Open JBrowse")</f>
        <v>Open JBrowse</v>
      </c>
      <c r="H563">
        <v>37943</v>
      </c>
      <c r="I563">
        <v>38734</v>
      </c>
      <c r="J563" t="s">
        <v>5543</v>
      </c>
      <c r="K563" t="s">
        <v>39</v>
      </c>
      <c r="L563" t="s">
        <v>491</v>
      </c>
      <c r="M563" t="s">
        <v>592</v>
      </c>
      <c r="N563" t="s">
        <v>42</v>
      </c>
      <c r="O563">
        <v>3</v>
      </c>
      <c r="P563" t="s">
        <v>42</v>
      </c>
      <c r="Q563" t="s">
        <v>43</v>
      </c>
      <c r="R563" t="s">
        <v>5539</v>
      </c>
      <c r="S563" t="s">
        <v>491</v>
      </c>
      <c r="T563" t="s">
        <v>42</v>
      </c>
      <c r="U563">
        <v>34</v>
      </c>
      <c r="V563">
        <v>259</v>
      </c>
      <c r="W563">
        <v>226</v>
      </c>
      <c r="X563" t="s">
        <v>45</v>
      </c>
      <c r="Y563" t="s">
        <v>5544</v>
      </c>
      <c r="Z563" t="s">
        <v>667</v>
      </c>
      <c r="AA563" t="s">
        <v>595</v>
      </c>
    </row>
    <row r="564" spans="1:34" x14ac:dyDescent="0.75">
      <c r="A564" s="22" t="s">
        <v>6051</v>
      </c>
      <c r="B564" t="s">
        <v>5552</v>
      </c>
      <c r="C564" t="s">
        <v>104</v>
      </c>
      <c r="D564" t="s">
        <v>756</v>
      </c>
      <c r="E564" t="s">
        <v>757</v>
      </c>
      <c r="F564" t="s">
        <v>5553</v>
      </c>
      <c r="G564" s="1" t="str">
        <f>HYPERLINK("https://homd.org/jbrowse/?data=homd_V11.02_phage_1.2%2FGCA_905373595.1&amp;loc=GCA_905373595.1%7CCAJPTI010000012.1%3A7992..14789&amp;tracks=prokka,prokka_ncrna,ncbi,ncbi_ncrna,panggolin,cenote,genomad&amp;highlight=","Open JBrowse")</f>
        <v>Open JBrowse</v>
      </c>
      <c r="H564">
        <v>10992</v>
      </c>
      <c r="I564">
        <v>11789</v>
      </c>
      <c r="J564" t="s">
        <v>5554</v>
      </c>
      <c r="K564" t="s">
        <v>39</v>
      </c>
      <c r="L564" t="s">
        <v>491</v>
      </c>
      <c r="M564" t="s">
        <v>592</v>
      </c>
      <c r="N564" t="s">
        <v>42</v>
      </c>
      <c r="O564">
        <v>3</v>
      </c>
      <c r="P564" t="s">
        <v>42</v>
      </c>
      <c r="Q564" t="s">
        <v>43</v>
      </c>
      <c r="R564" t="s">
        <v>5555</v>
      </c>
      <c r="S564" t="s">
        <v>491</v>
      </c>
      <c r="T564" t="s">
        <v>42</v>
      </c>
      <c r="U564">
        <v>34</v>
      </c>
      <c r="V564">
        <v>259</v>
      </c>
      <c r="W564">
        <v>226</v>
      </c>
      <c r="X564" t="s">
        <v>45</v>
      </c>
      <c r="Y564" t="s">
        <v>5556</v>
      </c>
      <c r="Z564" t="s">
        <v>836</v>
      </c>
      <c r="AA564" t="s">
        <v>5557</v>
      </c>
      <c r="AB564" t="s">
        <v>5558</v>
      </c>
      <c r="AG564" t="s">
        <v>185</v>
      </c>
      <c r="AH564">
        <v>2</v>
      </c>
    </row>
    <row r="565" spans="1:34" x14ac:dyDescent="0.75">
      <c r="A565" s="22" t="s">
        <v>6051</v>
      </c>
      <c r="B565" t="s">
        <v>5876</v>
      </c>
      <c r="C565" t="s">
        <v>104</v>
      </c>
      <c r="D565" t="s">
        <v>578</v>
      </c>
      <c r="E565" t="s">
        <v>579</v>
      </c>
      <c r="F565" t="s">
        <v>5882</v>
      </c>
      <c r="G565" s="1" t="str">
        <f>HYPERLINK("https://homd.org/jbrowse/?data=homd_V11.02_phage_1.2%2FGCA_938034995.1&amp;loc=GCA_938034995.1%7CCALHNL010000052.1%3A51947..58738&amp;tracks=prokka,prokka_ncrna,ncbi,ncbi_ncrna,panggolin,cenote,genomad&amp;highlight=","Open JBrowse")</f>
        <v>Open JBrowse</v>
      </c>
      <c r="H565">
        <v>54947</v>
      </c>
      <c r="I565">
        <v>55738</v>
      </c>
      <c r="J565" t="s">
        <v>5883</v>
      </c>
      <c r="K565" t="s">
        <v>39</v>
      </c>
      <c r="L565" t="s">
        <v>491</v>
      </c>
      <c r="M565" t="s">
        <v>592</v>
      </c>
      <c r="N565" t="s">
        <v>42</v>
      </c>
      <c r="O565">
        <v>3</v>
      </c>
      <c r="P565" t="s">
        <v>42</v>
      </c>
      <c r="Q565" t="s">
        <v>43</v>
      </c>
      <c r="R565" t="s">
        <v>5879</v>
      </c>
      <c r="S565" t="s">
        <v>491</v>
      </c>
      <c r="T565" t="s">
        <v>42</v>
      </c>
      <c r="U565">
        <v>34</v>
      </c>
      <c r="V565">
        <v>259</v>
      </c>
      <c r="W565">
        <v>226</v>
      </c>
      <c r="X565" t="s">
        <v>45</v>
      </c>
      <c r="Y565" t="s">
        <v>5884</v>
      </c>
      <c r="Z565" t="s">
        <v>410</v>
      </c>
      <c r="AA565" t="s">
        <v>595</v>
      </c>
    </row>
    <row r="566" spans="1:34" x14ac:dyDescent="0.75">
      <c r="A566" s="22" t="s">
        <v>6051</v>
      </c>
      <c r="B566" t="s">
        <v>103</v>
      </c>
      <c r="C566" t="s">
        <v>104</v>
      </c>
      <c r="D566" t="s">
        <v>105</v>
      </c>
      <c r="E566" t="s">
        <v>106</v>
      </c>
      <c r="F566" t="s">
        <v>107</v>
      </c>
      <c r="G566" s="1" t="str">
        <f>HYPERLINK("https://homd.org/jbrowse/?data=homd_V11.02_phage_1.2%2FGCA_000023285.1&amp;loc=GCA_000023285.1%7CCP001632.1%3A699236..706027&amp;tracks=prokka,prokka_ncrna,ncbi,ncbi_ncrna,panggolin,cenote,genomad&amp;highlight=","Open JBrowse")</f>
        <v>Open JBrowse</v>
      </c>
      <c r="H566">
        <v>702236</v>
      </c>
      <c r="I566">
        <v>703027</v>
      </c>
      <c r="J566" t="s">
        <v>122</v>
      </c>
      <c r="K566" t="s">
        <v>39</v>
      </c>
      <c r="L566" t="s">
        <v>123</v>
      </c>
      <c r="M566" t="s">
        <v>124</v>
      </c>
      <c r="N566" t="s">
        <v>42</v>
      </c>
      <c r="O566">
        <v>3</v>
      </c>
      <c r="P566" t="s">
        <v>42</v>
      </c>
      <c r="Q566" t="s">
        <v>43</v>
      </c>
      <c r="R566" t="s">
        <v>114</v>
      </c>
      <c r="S566" t="s">
        <v>123</v>
      </c>
      <c r="T566" t="s">
        <v>42</v>
      </c>
      <c r="U566">
        <v>35</v>
      </c>
      <c r="V566">
        <v>261</v>
      </c>
      <c r="W566">
        <v>227</v>
      </c>
      <c r="X566" t="s">
        <v>45</v>
      </c>
      <c r="Y566" t="s">
        <v>125</v>
      </c>
      <c r="Z566" t="s">
        <v>126</v>
      </c>
      <c r="AA566" t="s">
        <v>127</v>
      </c>
    </row>
    <row r="567" spans="1:34" x14ac:dyDescent="0.75">
      <c r="A567" s="22" t="s">
        <v>6051</v>
      </c>
      <c r="B567" t="s">
        <v>640</v>
      </c>
      <c r="C567" t="s">
        <v>104</v>
      </c>
      <c r="D567" t="s">
        <v>105</v>
      </c>
      <c r="E567" t="s">
        <v>106</v>
      </c>
      <c r="F567" t="s">
        <v>641</v>
      </c>
      <c r="G567" s="1" t="str">
        <f>HYPERLINK("https://homd.org/jbrowse/?data=homd_V11.02_phage_1.2%2FGCA_000271925.1&amp;loc=GCA_000271925.1%7CAJZR01000002.1%3A38690..45481&amp;tracks=prokka,prokka_ncrna,ncbi,ncbi_ncrna,panggolin,cenote,genomad&amp;highlight=","Open JBrowse")</f>
        <v>Open JBrowse</v>
      </c>
      <c r="H567">
        <v>41690</v>
      </c>
      <c r="I567">
        <v>42481</v>
      </c>
      <c r="J567" t="s">
        <v>642</v>
      </c>
      <c r="K567" t="s">
        <v>39</v>
      </c>
      <c r="L567" t="s">
        <v>123</v>
      </c>
      <c r="M567" t="s">
        <v>124</v>
      </c>
      <c r="N567" t="s">
        <v>42</v>
      </c>
      <c r="O567">
        <v>3</v>
      </c>
      <c r="P567" t="s">
        <v>42</v>
      </c>
      <c r="Q567" t="s">
        <v>43</v>
      </c>
      <c r="R567" t="s">
        <v>643</v>
      </c>
      <c r="S567" t="s">
        <v>123</v>
      </c>
      <c r="T567" t="s">
        <v>42</v>
      </c>
      <c r="U567">
        <v>35</v>
      </c>
      <c r="V567">
        <v>261</v>
      </c>
      <c r="W567">
        <v>227</v>
      </c>
      <c r="X567" t="s">
        <v>45</v>
      </c>
      <c r="Y567" t="s">
        <v>644</v>
      </c>
      <c r="Z567" t="s">
        <v>645</v>
      </c>
      <c r="AA567" t="s">
        <v>127</v>
      </c>
    </row>
    <row r="568" spans="1:34" x14ac:dyDescent="0.75">
      <c r="A568" s="22" t="s">
        <v>6051</v>
      </c>
      <c r="B568" t="s">
        <v>670</v>
      </c>
      <c r="C568" t="s">
        <v>104</v>
      </c>
      <c r="D568" t="s">
        <v>105</v>
      </c>
      <c r="E568" t="s">
        <v>106</v>
      </c>
      <c r="F568" t="s">
        <v>671</v>
      </c>
      <c r="G568" s="1" t="str">
        <f>HYPERLINK("https://homd.org/jbrowse/?data=homd_V11.02_phage_1.2%2FGCA_000277665.1&amp;loc=GCA_000277665.1%7CAKFR01000012.1%3A10661..17452&amp;tracks=prokka,prokka_ncrna,ncbi,ncbi_ncrna,panggolin,cenote,genomad&amp;highlight=","Open JBrowse")</f>
        <v>Open JBrowse</v>
      </c>
      <c r="H568">
        <v>13661</v>
      </c>
      <c r="I568">
        <v>14452</v>
      </c>
      <c r="J568" t="s">
        <v>672</v>
      </c>
      <c r="K568" t="s">
        <v>39</v>
      </c>
      <c r="L568" t="s">
        <v>123</v>
      </c>
      <c r="M568" t="s">
        <v>124</v>
      </c>
      <c r="N568" t="s">
        <v>42</v>
      </c>
      <c r="O568">
        <v>3</v>
      </c>
      <c r="P568" t="s">
        <v>42</v>
      </c>
      <c r="Q568" t="s">
        <v>43</v>
      </c>
      <c r="R568" t="s">
        <v>673</v>
      </c>
      <c r="S568" t="s">
        <v>123</v>
      </c>
      <c r="T568" t="s">
        <v>42</v>
      </c>
      <c r="U568">
        <v>35</v>
      </c>
      <c r="V568">
        <v>261</v>
      </c>
      <c r="W568">
        <v>227</v>
      </c>
      <c r="X568" t="s">
        <v>45</v>
      </c>
      <c r="Y568" t="s">
        <v>674</v>
      </c>
      <c r="Z568" t="s">
        <v>357</v>
      </c>
      <c r="AA568" t="s">
        <v>675</v>
      </c>
    </row>
    <row r="569" spans="1:34" x14ac:dyDescent="0.75">
      <c r="A569" s="22" t="s">
        <v>6051</v>
      </c>
      <c r="B569" t="s">
        <v>797</v>
      </c>
      <c r="C569" t="s">
        <v>104</v>
      </c>
      <c r="D569" t="s">
        <v>105</v>
      </c>
      <c r="E569" t="s">
        <v>106</v>
      </c>
      <c r="F569" t="s">
        <v>808</v>
      </c>
      <c r="G569" s="1" t="str">
        <f>HYPERLINK("https://homd.org/jbrowse/?data=homd_V11.02_phage_1.2%2FGCA_000318255.2&amp;loc=GCA_000318255.2%7CKB291243.1%3A17786..24577&amp;tracks=prokka,prokka_ncrna,ncbi,ncbi_ncrna,panggolin,cenote,genomad&amp;highlight=","Open JBrowse")</f>
        <v>Open JBrowse</v>
      </c>
      <c r="H569">
        <v>20786</v>
      </c>
      <c r="I569">
        <v>21577</v>
      </c>
      <c r="J569" t="s">
        <v>809</v>
      </c>
      <c r="K569" t="s">
        <v>39</v>
      </c>
      <c r="L569" t="s">
        <v>123</v>
      </c>
      <c r="M569" t="s">
        <v>124</v>
      </c>
      <c r="N569" t="s">
        <v>42</v>
      </c>
      <c r="O569">
        <v>3</v>
      </c>
      <c r="P569" t="s">
        <v>42</v>
      </c>
      <c r="Q569" t="s">
        <v>43</v>
      </c>
      <c r="R569" t="s">
        <v>800</v>
      </c>
      <c r="S569" t="s">
        <v>123</v>
      </c>
      <c r="T569" t="s">
        <v>42</v>
      </c>
      <c r="U569">
        <v>35</v>
      </c>
      <c r="V569">
        <v>261</v>
      </c>
      <c r="W569">
        <v>227</v>
      </c>
      <c r="X569" t="s">
        <v>45</v>
      </c>
      <c r="Y569" t="s">
        <v>810</v>
      </c>
      <c r="Z569" t="s">
        <v>811</v>
      </c>
      <c r="AA569" t="s">
        <v>812</v>
      </c>
    </row>
    <row r="570" spans="1:34" x14ac:dyDescent="0.75">
      <c r="A570" s="22" t="s">
        <v>6051</v>
      </c>
      <c r="B570" t="s">
        <v>831</v>
      </c>
      <c r="C570" t="s">
        <v>104</v>
      </c>
      <c r="D570" t="s">
        <v>105</v>
      </c>
      <c r="E570" t="s">
        <v>106</v>
      </c>
      <c r="F570" t="s">
        <v>837</v>
      </c>
      <c r="G570" s="1" t="str">
        <f>HYPERLINK("https://homd.org/jbrowse/?data=homd_V11.02_phage_1.2%2FGCA_000318315.2&amp;loc=GCA_000318315.2%7CKB291531.1%3A14767..21558&amp;tracks=prokka,prokka_ncrna,ncbi,ncbi_ncrna,panggolin,cenote,genomad&amp;highlight=","Open JBrowse")</f>
        <v>Open JBrowse</v>
      </c>
      <c r="H570">
        <v>17767</v>
      </c>
      <c r="I570">
        <v>18558</v>
      </c>
      <c r="J570" t="s">
        <v>838</v>
      </c>
      <c r="K570" t="s">
        <v>39</v>
      </c>
      <c r="L570" t="s">
        <v>123</v>
      </c>
      <c r="M570" t="s">
        <v>124</v>
      </c>
      <c r="N570" t="s">
        <v>42</v>
      </c>
      <c r="O570">
        <v>3</v>
      </c>
      <c r="P570" t="s">
        <v>42</v>
      </c>
      <c r="Q570" t="s">
        <v>43</v>
      </c>
      <c r="R570" t="s">
        <v>834</v>
      </c>
      <c r="S570" t="s">
        <v>123</v>
      </c>
      <c r="T570" t="s">
        <v>42</v>
      </c>
      <c r="U570">
        <v>35</v>
      </c>
      <c r="V570">
        <v>261</v>
      </c>
      <c r="W570">
        <v>227</v>
      </c>
      <c r="X570" t="s">
        <v>45</v>
      </c>
      <c r="Y570" t="s">
        <v>839</v>
      </c>
      <c r="Z570" t="s">
        <v>840</v>
      </c>
      <c r="AA570" t="s">
        <v>841</v>
      </c>
    </row>
    <row r="571" spans="1:34" x14ac:dyDescent="0.75">
      <c r="A571" s="22" t="s">
        <v>6051</v>
      </c>
      <c r="B571" t="s">
        <v>947</v>
      </c>
      <c r="C571" t="s">
        <v>104</v>
      </c>
      <c r="D571" t="s">
        <v>948</v>
      </c>
      <c r="E571" t="s">
        <v>949</v>
      </c>
      <c r="F571" t="s">
        <v>958</v>
      </c>
      <c r="G571" s="1" t="str">
        <f>HYPERLINK("https://homd.org/jbrowse/?data=homd_V11.02_phage_1.2%2FGCA_000426585.1&amp;loc=GCA_000426585.1%7CAUFQ01000014.1%3A17002..23808&amp;tracks=prokka,prokka_ncrna,ncbi,ncbi_ncrna,panggolin,cenote,genomad&amp;highlight=","Open JBrowse")</f>
        <v>Open JBrowse</v>
      </c>
      <c r="H571">
        <v>20002</v>
      </c>
      <c r="I571">
        <v>20808</v>
      </c>
      <c r="J571" t="s">
        <v>959</v>
      </c>
      <c r="K571" t="s">
        <v>39</v>
      </c>
      <c r="L571" t="s">
        <v>960</v>
      </c>
      <c r="M571" t="s">
        <v>961</v>
      </c>
      <c r="N571" t="s">
        <v>42</v>
      </c>
      <c r="O571">
        <v>3</v>
      </c>
      <c r="P571" t="s">
        <v>42</v>
      </c>
      <c r="Q571" t="s">
        <v>43</v>
      </c>
      <c r="R571" t="s">
        <v>954</v>
      </c>
      <c r="S571" t="s">
        <v>960</v>
      </c>
      <c r="T571" t="s">
        <v>42</v>
      </c>
      <c r="U571">
        <v>35</v>
      </c>
      <c r="V571">
        <v>260</v>
      </c>
      <c r="W571">
        <v>226</v>
      </c>
      <c r="X571" t="s">
        <v>45</v>
      </c>
    </row>
    <row r="572" spans="1:34" x14ac:dyDescent="0.75">
      <c r="A572" s="22" t="s">
        <v>6051</v>
      </c>
      <c r="B572" t="s">
        <v>1059</v>
      </c>
      <c r="C572" t="s">
        <v>104</v>
      </c>
      <c r="D572" t="s">
        <v>948</v>
      </c>
      <c r="E572" t="s">
        <v>949</v>
      </c>
      <c r="F572" t="s">
        <v>1060</v>
      </c>
      <c r="G572" s="1" t="str">
        <f>HYPERLINK("https://homd.org/jbrowse/?data=homd_V11.02_phage_1.2%2FGCA_000468635.1&amp;loc=GCA_000468635.1%7CAWEY01000008.1%3A453240..460046&amp;tracks=prokka,prokka_ncrna,ncbi,ncbi_ncrna,panggolin,cenote,genomad&amp;highlight=","Open JBrowse")</f>
        <v>Open JBrowse</v>
      </c>
      <c r="H572">
        <v>456240</v>
      </c>
      <c r="I572">
        <v>457046</v>
      </c>
      <c r="J572" t="s">
        <v>1061</v>
      </c>
      <c r="K572" t="s">
        <v>39</v>
      </c>
      <c r="L572" t="s">
        <v>960</v>
      </c>
      <c r="M572" t="s">
        <v>961</v>
      </c>
      <c r="N572" t="s">
        <v>42</v>
      </c>
      <c r="O572">
        <v>3</v>
      </c>
      <c r="P572" t="s">
        <v>42</v>
      </c>
      <c r="Q572" t="s">
        <v>43</v>
      </c>
      <c r="R572" t="s">
        <v>1062</v>
      </c>
      <c r="S572" t="s">
        <v>960</v>
      </c>
      <c r="T572" t="s">
        <v>42</v>
      </c>
      <c r="U572">
        <v>35</v>
      </c>
      <c r="V572">
        <v>260</v>
      </c>
      <c r="W572">
        <v>226</v>
      </c>
      <c r="X572" t="s">
        <v>45</v>
      </c>
    </row>
    <row r="573" spans="1:34" x14ac:dyDescent="0.75">
      <c r="A573" s="22" t="s">
        <v>6051</v>
      </c>
      <c r="B573" t="s">
        <v>1376</v>
      </c>
      <c r="C573" t="s">
        <v>104</v>
      </c>
      <c r="D573" t="s">
        <v>105</v>
      </c>
      <c r="E573" t="s">
        <v>106</v>
      </c>
      <c r="F573" t="s">
        <v>1383</v>
      </c>
      <c r="G573" s="1" t="str">
        <f>HYPERLINK("https://homd.org/jbrowse/?data=homd_V11.02_phage_1.2%2FGCA_001057035.1&amp;loc=GCA_001057035.1%7CJVFB01000033.1%3A604..7395&amp;tracks=prokka,prokka_ncrna,ncbi,ncbi_ncrna,panggolin,cenote,genomad&amp;highlight=","Open JBrowse")</f>
        <v>Open JBrowse</v>
      </c>
      <c r="H573">
        <v>3604</v>
      </c>
      <c r="I573">
        <v>4395</v>
      </c>
      <c r="J573" t="s">
        <v>1384</v>
      </c>
      <c r="K573" t="s">
        <v>39</v>
      </c>
      <c r="L573" t="s">
        <v>123</v>
      </c>
      <c r="M573" t="s">
        <v>124</v>
      </c>
      <c r="N573" t="s">
        <v>42</v>
      </c>
      <c r="O573">
        <v>3</v>
      </c>
      <c r="P573" t="s">
        <v>42</v>
      </c>
      <c r="Q573" t="s">
        <v>43</v>
      </c>
      <c r="R573" t="s">
        <v>1381</v>
      </c>
      <c r="S573" t="s">
        <v>123</v>
      </c>
      <c r="T573" t="s">
        <v>42</v>
      </c>
      <c r="U573">
        <v>35</v>
      </c>
      <c r="V573">
        <v>261</v>
      </c>
      <c r="W573">
        <v>227</v>
      </c>
      <c r="X573" t="s">
        <v>45</v>
      </c>
      <c r="Y573" t="s">
        <v>1385</v>
      </c>
      <c r="Z573" t="s">
        <v>932</v>
      </c>
      <c r="AA573" t="s">
        <v>1386</v>
      </c>
    </row>
    <row r="574" spans="1:34" x14ac:dyDescent="0.75">
      <c r="A574" s="22" t="s">
        <v>6051</v>
      </c>
      <c r="B574" t="s">
        <v>2311</v>
      </c>
      <c r="C574" t="s">
        <v>104</v>
      </c>
      <c r="D574" t="s">
        <v>2312</v>
      </c>
      <c r="E574" t="s">
        <v>2313</v>
      </c>
      <c r="F574" t="s">
        <v>2314</v>
      </c>
      <c r="G574" s="1" t="str">
        <f>HYPERLINK("https://homd.org/jbrowse/?data=homd_V11.02_phage_1.2%2FGCA_005697565.1&amp;loc=GCA_005697565.1%7CCP040004.1%3A642432..651749&amp;tracks=prokka,prokka_ncrna,ncbi,ncbi_ncrna,panggolin,cenote,genomad&amp;highlight=","Open JBrowse")</f>
        <v>Open JBrowse</v>
      </c>
      <c r="H574">
        <v>645432</v>
      </c>
      <c r="I574">
        <v>648749</v>
      </c>
      <c r="J574" t="s">
        <v>2315</v>
      </c>
      <c r="K574" t="s">
        <v>59</v>
      </c>
      <c r="L574" t="s">
        <v>2316</v>
      </c>
      <c r="M574" t="s">
        <v>2317</v>
      </c>
      <c r="N574" t="s">
        <v>2318</v>
      </c>
      <c r="O574">
        <v>3</v>
      </c>
      <c r="P574" t="s">
        <v>42</v>
      </c>
      <c r="Q574" t="s">
        <v>59</v>
      </c>
      <c r="R574" t="s">
        <v>2319</v>
      </c>
      <c r="S574" t="s">
        <v>2316</v>
      </c>
      <c r="T574" t="s">
        <v>42</v>
      </c>
      <c r="U574">
        <v>35</v>
      </c>
      <c r="V574">
        <v>329</v>
      </c>
      <c r="W574">
        <v>295</v>
      </c>
      <c r="X574" t="s">
        <v>1629</v>
      </c>
      <c r="Y574" t="s">
        <v>2320</v>
      </c>
      <c r="Z574" t="s">
        <v>357</v>
      </c>
      <c r="AA574" t="s">
        <v>2321</v>
      </c>
    </row>
    <row r="575" spans="1:34" x14ac:dyDescent="0.75">
      <c r="A575" s="22" t="s">
        <v>6051</v>
      </c>
      <c r="B575" t="s">
        <v>2796</v>
      </c>
      <c r="C575" t="s">
        <v>104</v>
      </c>
      <c r="D575" t="s">
        <v>105</v>
      </c>
      <c r="E575" t="s">
        <v>106</v>
      </c>
      <c r="F575" t="s">
        <v>2797</v>
      </c>
      <c r="G575" s="1" t="str">
        <f>HYPERLINK("https://homd.org/jbrowse/?data=homd_V11.02_phage_1.2%2FGCA_013394735.1&amp;loc=GCA_013394735.1%7CCP058261.1%3A977935..984726&amp;tracks=prokka,prokka_ncrna,ncbi,ncbi_ncrna,panggolin,cenote,genomad&amp;highlight=","Open JBrowse")</f>
        <v>Open JBrowse</v>
      </c>
      <c r="H575">
        <v>980935</v>
      </c>
      <c r="I575">
        <v>981726</v>
      </c>
      <c r="J575" t="s">
        <v>2804</v>
      </c>
      <c r="K575" t="s">
        <v>39</v>
      </c>
      <c r="L575" t="s">
        <v>123</v>
      </c>
      <c r="M575" t="s">
        <v>124</v>
      </c>
      <c r="N575" t="s">
        <v>42</v>
      </c>
      <c r="O575">
        <v>3</v>
      </c>
      <c r="P575" t="s">
        <v>42</v>
      </c>
      <c r="Q575" t="s">
        <v>43</v>
      </c>
      <c r="R575" t="s">
        <v>2799</v>
      </c>
      <c r="S575" t="s">
        <v>123</v>
      </c>
      <c r="T575" t="s">
        <v>42</v>
      </c>
      <c r="U575">
        <v>35</v>
      </c>
      <c r="V575">
        <v>261</v>
      </c>
      <c r="W575">
        <v>227</v>
      </c>
      <c r="X575" t="s">
        <v>45</v>
      </c>
      <c r="Y575" t="s">
        <v>2805</v>
      </c>
      <c r="Z575" t="s">
        <v>281</v>
      </c>
      <c r="AA575" t="s">
        <v>2806</v>
      </c>
    </row>
    <row r="576" spans="1:34" x14ac:dyDescent="0.75">
      <c r="A576" s="22" t="s">
        <v>6051</v>
      </c>
      <c r="B576" t="s">
        <v>3894</v>
      </c>
      <c r="C576" t="s">
        <v>104</v>
      </c>
      <c r="D576" t="s">
        <v>105</v>
      </c>
      <c r="E576" t="s">
        <v>106</v>
      </c>
      <c r="F576" t="s">
        <v>3895</v>
      </c>
      <c r="G576" s="1" t="str">
        <f>HYPERLINK("https://homd.org/jbrowse/?data=homd_V11.02_phage_1.2%2FGCA_019930725.1&amp;loc=GCA_019930725.1%7CCP082870.1%3A2158417..2165208&amp;tracks=prokka,prokka_ncrna,ncbi,ncbi_ncrna,panggolin,cenote,genomad&amp;highlight=","Open JBrowse")</f>
        <v>Open JBrowse</v>
      </c>
      <c r="H576">
        <v>2161417</v>
      </c>
      <c r="I576">
        <v>2162208</v>
      </c>
      <c r="J576" t="s">
        <v>3900</v>
      </c>
      <c r="K576" t="s">
        <v>39</v>
      </c>
      <c r="L576" t="s">
        <v>123</v>
      </c>
      <c r="M576" t="s">
        <v>124</v>
      </c>
      <c r="N576" t="s">
        <v>42</v>
      </c>
      <c r="O576">
        <v>3</v>
      </c>
      <c r="P576" t="s">
        <v>42</v>
      </c>
      <c r="Q576" t="s">
        <v>43</v>
      </c>
      <c r="R576" t="s">
        <v>3897</v>
      </c>
      <c r="S576" t="s">
        <v>123</v>
      </c>
      <c r="T576" t="s">
        <v>42</v>
      </c>
      <c r="U576">
        <v>35</v>
      </c>
      <c r="V576">
        <v>261</v>
      </c>
      <c r="W576">
        <v>227</v>
      </c>
      <c r="X576" t="s">
        <v>45</v>
      </c>
      <c r="Y576" t="s">
        <v>3901</v>
      </c>
      <c r="Z576" t="s">
        <v>1236</v>
      </c>
      <c r="AA576" t="s">
        <v>127</v>
      </c>
    </row>
    <row r="577" spans="1:27" x14ac:dyDescent="0.75">
      <c r="A577" s="22" t="s">
        <v>6051</v>
      </c>
      <c r="B577" t="s">
        <v>4771</v>
      </c>
      <c r="C577" t="s">
        <v>104</v>
      </c>
      <c r="D577" t="s">
        <v>105</v>
      </c>
      <c r="E577" t="s">
        <v>106</v>
      </c>
      <c r="F577" t="s">
        <v>4772</v>
      </c>
      <c r="G577" s="1" t="str">
        <f>HYPERLINK("https://homd.org/jbrowse/?data=homd_V11.02_phage_1.2%2FGCA_026013785.1&amp;loc=GCA_026013785.1%7CCP110228.1%3A56298..63089&amp;tracks=prokka,prokka_ncrna,ncbi,ncbi_ncrna,panggolin,cenote,genomad&amp;highlight=","Open JBrowse")</f>
        <v>Open JBrowse</v>
      </c>
      <c r="H577">
        <v>59298</v>
      </c>
      <c r="I577">
        <v>60089</v>
      </c>
      <c r="J577" t="s">
        <v>4773</v>
      </c>
      <c r="K577" t="s">
        <v>39</v>
      </c>
      <c r="L577" t="s">
        <v>123</v>
      </c>
      <c r="M577" t="s">
        <v>124</v>
      </c>
      <c r="N577" t="s">
        <v>42</v>
      </c>
      <c r="O577">
        <v>3</v>
      </c>
      <c r="P577" t="s">
        <v>42</v>
      </c>
      <c r="Q577" t="s">
        <v>43</v>
      </c>
      <c r="R577" t="s">
        <v>4774</v>
      </c>
      <c r="S577" t="s">
        <v>123</v>
      </c>
      <c r="T577" t="s">
        <v>42</v>
      </c>
      <c r="U577">
        <v>35</v>
      </c>
      <c r="V577">
        <v>261</v>
      </c>
      <c r="W577">
        <v>227</v>
      </c>
      <c r="X577" t="s">
        <v>45</v>
      </c>
      <c r="Y577" t="s">
        <v>4775</v>
      </c>
      <c r="Z577" t="s">
        <v>645</v>
      </c>
      <c r="AA577" t="s">
        <v>4776</v>
      </c>
    </row>
    <row r="578" spans="1:27" x14ac:dyDescent="0.75">
      <c r="A578" s="22" t="s">
        <v>6051</v>
      </c>
      <c r="B578" t="s">
        <v>4783</v>
      </c>
      <c r="C578" t="s">
        <v>104</v>
      </c>
      <c r="D578" t="s">
        <v>105</v>
      </c>
      <c r="E578" t="s">
        <v>106</v>
      </c>
      <c r="F578" t="s">
        <v>4784</v>
      </c>
      <c r="G578" s="1" t="str">
        <f>HYPERLINK("https://homd.org/jbrowse/?data=homd_V11.02_phage_1.2%2FGCA_026013805.1&amp;loc=GCA_026013805.1%7CCP110229.1%3A756017..762808&amp;tracks=prokka,prokka_ncrna,ncbi,ncbi_ncrna,panggolin,cenote,genomad&amp;highlight=","Open JBrowse")</f>
        <v>Open JBrowse</v>
      </c>
      <c r="H578">
        <v>759017</v>
      </c>
      <c r="I578">
        <v>759808</v>
      </c>
      <c r="J578" t="s">
        <v>4792</v>
      </c>
      <c r="K578" t="s">
        <v>39</v>
      </c>
      <c r="L578" t="s">
        <v>123</v>
      </c>
      <c r="M578" t="s">
        <v>124</v>
      </c>
      <c r="N578" t="s">
        <v>398</v>
      </c>
      <c r="O578">
        <v>3</v>
      </c>
      <c r="P578" t="s">
        <v>42</v>
      </c>
      <c r="Q578" t="s">
        <v>43</v>
      </c>
      <c r="R578" t="s">
        <v>4786</v>
      </c>
      <c r="S578" t="s">
        <v>123</v>
      </c>
      <c r="T578" t="s">
        <v>42</v>
      </c>
      <c r="U578">
        <v>35</v>
      </c>
      <c r="V578">
        <v>261</v>
      </c>
      <c r="W578">
        <v>227</v>
      </c>
      <c r="X578" t="s">
        <v>45</v>
      </c>
      <c r="Y578" t="s">
        <v>4793</v>
      </c>
      <c r="Z578" t="s">
        <v>292</v>
      </c>
      <c r="AA578" t="s">
        <v>841</v>
      </c>
    </row>
    <row r="579" spans="1:27" x14ac:dyDescent="0.75">
      <c r="A579" s="22" t="s">
        <v>6051</v>
      </c>
      <c r="B579" t="s">
        <v>4794</v>
      </c>
      <c r="C579" t="s">
        <v>104</v>
      </c>
      <c r="D579" t="s">
        <v>105</v>
      </c>
      <c r="E579" t="s">
        <v>106</v>
      </c>
      <c r="F579" t="s">
        <v>4795</v>
      </c>
      <c r="G579" s="1" t="str">
        <f>HYPERLINK("https://homd.org/jbrowse/?data=homd_V11.02_phage_1.2%2FGCA_026013825.1&amp;loc=GCA_026013825.1%7CCP110230.1%3A1952110..1958901&amp;tracks=prokka,prokka_ncrna,ncbi,ncbi_ncrna,panggolin,cenote,genomad&amp;highlight=","Open JBrowse")</f>
        <v>Open JBrowse</v>
      </c>
      <c r="H579">
        <v>1955110</v>
      </c>
      <c r="I579">
        <v>1955901</v>
      </c>
      <c r="J579" t="s">
        <v>4804</v>
      </c>
      <c r="K579" t="s">
        <v>39</v>
      </c>
      <c r="L579" t="s">
        <v>123</v>
      </c>
      <c r="M579" t="s">
        <v>124</v>
      </c>
      <c r="N579" t="s">
        <v>42</v>
      </c>
      <c r="O579">
        <v>3</v>
      </c>
      <c r="P579" t="s">
        <v>42</v>
      </c>
      <c r="Q579" t="s">
        <v>43</v>
      </c>
      <c r="R579" t="s">
        <v>4797</v>
      </c>
      <c r="S579" t="s">
        <v>123</v>
      </c>
      <c r="T579" t="s">
        <v>42</v>
      </c>
      <c r="U579">
        <v>35</v>
      </c>
      <c r="V579">
        <v>261</v>
      </c>
      <c r="W579">
        <v>227</v>
      </c>
      <c r="X579" t="s">
        <v>45</v>
      </c>
      <c r="Y579" t="s">
        <v>4805</v>
      </c>
      <c r="Z579" t="s">
        <v>416</v>
      </c>
      <c r="AA579" t="s">
        <v>4806</v>
      </c>
    </row>
    <row r="580" spans="1:27" x14ac:dyDescent="0.75">
      <c r="A580" s="22" t="s">
        <v>6051</v>
      </c>
      <c r="B580" t="s">
        <v>5198</v>
      </c>
      <c r="C580" t="s">
        <v>104</v>
      </c>
      <c r="D580" t="s">
        <v>105</v>
      </c>
      <c r="E580" t="s">
        <v>106</v>
      </c>
      <c r="F580" t="s">
        <v>5199</v>
      </c>
      <c r="G580" s="1" t="str">
        <f>HYPERLINK("https://homd.org/jbrowse/?data=homd_V11.02_phage_1.2%2FGCA_900446705.1&amp;loc=GCA_900446705.1%7CUARG01000017.1%3A1064707..1071498&amp;tracks=prokka,prokka_ncrna,ncbi,ncbi_ncrna,panggolin,cenote,genomad&amp;highlight=","Open JBrowse")</f>
        <v>Open JBrowse</v>
      </c>
      <c r="H580">
        <v>1067707</v>
      </c>
      <c r="I580">
        <v>1068498</v>
      </c>
      <c r="J580" t="s">
        <v>5206</v>
      </c>
      <c r="K580" t="s">
        <v>39</v>
      </c>
      <c r="L580" t="s">
        <v>123</v>
      </c>
      <c r="M580" t="s">
        <v>124</v>
      </c>
      <c r="N580" t="s">
        <v>42</v>
      </c>
      <c r="O580">
        <v>3</v>
      </c>
      <c r="P580" t="s">
        <v>42</v>
      </c>
      <c r="Q580" t="s">
        <v>43</v>
      </c>
      <c r="R580" t="s">
        <v>5201</v>
      </c>
      <c r="S580" t="s">
        <v>123</v>
      </c>
      <c r="T580" t="s">
        <v>42</v>
      </c>
      <c r="U580">
        <v>35</v>
      </c>
      <c r="V580">
        <v>261</v>
      </c>
      <c r="W580">
        <v>227</v>
      </c>
      <c r="X580" t="s">
        <v>45</v>
      </c>
      <c r="Y580" t="s">
        <v>5207</v>
      </c>
      <c r="Z580" t="s">
        <v>126</v>
      </c>
      <c r="AA580" t="s">
        <v>2806</v>
      </c>
    </row>
    <row r="581" spans="1:27" x14ac:dyDescent="0.75">
      <c r="A581" s="22" t="s">
        <v>6051</v>
      </c>
      <c r="B581" t="s">
        <v>5227</v>
      </c>
      <c r="C581" t="s">
        <v>104</v>
      </c>
      <c r="D581" t="s">
        <v>105</v>
      </c>
      <c r="E581" t="s">
        <v>106</v>
      </c>
      <c r="F581" t="s">
        <v>5228</v>
      </c>
      <c r="G581" s="1" t="str">
        <f>HYPERLINK("https://homd.org/jbrowse/?data=homd_V11.02_phage_1.2%2FGCA_900460915.1&amp;loc=GCA_900460915.1%7CUAVS01000001.1%3A758901..765692&amp;tracks=prokka,prokka_ncrna,ncbi,ncbi_ncrna,panggolin,cenote,genomad&amp;highlight=","Open JBrowse")</f>
        <v>Open JBrowse</v>
      </c>
      <c r="H581">
        <v>761901</v>
      </c>
      <c r="I581">
        <v>762692</v>
      </c>
      <c r="J581" t="s">
        <v>5240</v>
      </c>
      <c r="K581" t="s">
        <v>39</v>
      </c>
      <c r="L581" t="s">
        <v>123</v>
      </c>
      <c r="M581" t="s">
        <v>41</v>
      </c>
      <c r="N581" t="s">
        <v>42</v>
      </c>
      <c r="O581">
        <v>3</v>
      </c>
      <c r="P581" t="s">
        <v>42</v>
      </c>
      <c r="Q581" t="s">
        <v>43</v>
      </c>
      <c r="R581" t="s">
        <v>5232</v>
      </c>
      <c r="S581" t="s">
        <v>123</v>
      </c>
      <c r="T581" t="s">
        <v>42</v>
      </c>
      <c r="U581">
        <v>35</v>
      </c>
      <c r="V581">
        <v>261</v>
      </c>
      <c r="W581">
        <v>227</v>
      </c>
      <c r="X581" t="s">
        <v>45</v>
      </c>
      <c r="Y581" t="s">
        <v>5241</v>
      </c>
      <c r="Z581" t="s">
        <v>336</v>
      </c>
      <c r="AA581" t="s">
        <v>5242</v>
      </c>
    </row>
    <row r="582" spans="1:27" x14ac:dyDescent="0.75">
      <c r="A582" s="22" t="s">
        <v>6051</v>
      </c>
      <c r="B582" t="s">
        <v>5251</v>
      </c>
      <c r="C582" t="s">
        <v>104</v>
      </c>
      <c r="D582" t="s">
        <v>105</v>
      </c>
      <c r="E582" t="s">
        <v>106</v>
      </c>
      <c r="F582" t="s">
        <v>5252</v>
      </c>
      <c r="G582" s="1" t="str">
        <f>HYPERLINK("https://homd.org/jbrowse/?data=homd_V11.02_phage_1.2%2FGCA_900618145.1&amp;loc=GCA_900618145.1%7CUYIQ01000001.1%3A1952183..1958974&amp;tracks=prokka,prokka_ncrna,ncbi,ncbi_ncrna,panggolin,cenote,genomad&amp;highlight=","Open JBrowse")</f>
        <v>Open JBrowse</v>
      </c>
      <c r="H582">
        <v>1955183</v>
      </c>
      <c r="I582">
        <v>1955974</v>
      </c>
      <c r="J582" t="s">
        <v>5258</v>
      </c>
      <c r="K582" t="s">
        <v>39</v>
      </c>
      <c r="L582" t="s">
        <v>123</v>
      </c>
      <c r="M582" t="s">
        <v>124</v>
      </c>
      <c r="N582" t="s">
        <v>42</v>
      </c>
      <c r="O582">
        <v>3</v>
      </c>
      <c r="P582" t="s">
        <v>42</v>
      </c>
      <c r="Q582" t="s">
        <v>43</v>
      </c>
      <c r="R582" t="s">
        <v>5254</v>
      </c>
      <c r="S582" t="s">
        <v>123</v>
      </c>
      <c r="T582" t="s">
        <v>42</v>
      </c>
      <c r="U582">
        <v>35</v>
      </c>
      <c r="V582">
        <v>261</v>
      </c>
      <c r="W582">
        <v>227</v>
      </c>
      <c r="X582" t="s">
        <v>45</v>
      </c>
      <c r="Y582" t="s">
        <v>5259</v>
      </c>
      <c r="Z582" t="s">
        <v>416</v>
      </c>
      <c r="AA582" t="s">
        <v>841</v>
      </c>
    </row>
    <row r="583" spans="1:27" x14ac:dyDescent="0.75">
      <c r="A583" s="22" t="s">
        <v>6051</v>
      </c>
      <c r="B583" t="s">
        <v>5383</v>
      </c>
      <c r="C583" t="s">
        <v>104</v>
      </c>
      <c r="D583" t="s">
        <v>105</v>
      </c>
      <c r="E583" t="s">
        <v>106</v>
      </c>
      <c r="F583" t="s">
        <v>5390</v>
      </c>
      <c r="G583" s="1" t="str">
        <f>HYPERLINK("https://homd.org/jbrowse/?data=homd_V11.02_phage_1.2%2FGCA_902482725.1&amp;loc=GCA_902482725.1%7CCABTAG010000070.1%3A5773..12564&amp;tracks=prokka,prokka_ncrna,ncbi,ncbi_ncrna,panggolin,cenote,genomad&amp;highlight=","Open JBrowse")</f>
        <v>Open JBrowse</v>
      </c>
      <c r="H583">
        <v>8773</v>
      </c>
      <c r="I583">
        <v>9564</v>
      </c>
      <c r="J583" t="s">
        <v>5391</v>
      </c>
      <c r="K583" t="s">
        <v>39</v>
      </c>
      <c r="L583" t="s">
        <v>123</v>
      </c>
      <c r="M583" t="s">
        <v>124</v>
      </c>
      <c r="N583" t="s">
        <v>42</v>
      </c>
      <c r="O583">
        <v>3</v>
      </c>
      <c r="P583" t="s">
        <v>42</v>
      </c>
      <c r="Q583" t="s">
        <v>43</v>
      </c>
      <c r="R583" t="s">
        <v>5386</v>
      </c>
      <c r="S583" t="s">
        <v>123</v>
      </c>
      <c r="T583" t="s">
        <v>42</v>
      </c>
      <c r="U583">
        <v>35</v>
      </c>
      <c r="V583">
        <v>261</v>
      </c>
      <c r="W583">
        <v>227</v>
      </c>
      <c r="X583" t="s">
        <v>45</v>
      </c>
      <c r="Y583" t="s">
        <v>5392</v>
      </c>
      <c r="Z583" t="s">
        <v>653</v>
      </c>
      <c r="AA583" t="s">
        <v>2806</v>
      </c>
    </row>
    <row r="584" spans="1:27" x14ac:dyDescent="0.75">
      <c r="A584" s="22" t="s">
        <v>6051</v>
      </c>
      <c r="B584" t="s">
        <v>5431</v>
      </c>
      <c r="C584" t="s">
        <v>104</v>
      </c>
      <c r="D584" t="s">
        <v>105</v>
      </c>
      <c r="E584" t="s">
        <v>106</v>
      </c>
      <c r="F584" t="s">
        <v>5441</v>
      </c>
      <c r="G584" s="1" t="str">
        <f>HYPERLINK("https://homd.org/jbrowse/?data=homd_V11.02_phage_1.2%2FGCA_905371985.1&amp;loc=GCA_905371985.1%7CCAJPNJ010000096.1%3A1946..8737&amp;tracks=prokka,prokka_ncrna,ncbi,ncbi_ncrna,panggolin,cenote,genomad&amp;highlight=","Open JBrowse")</f>
        <v>Open JBrowse</v>
      </c>
      <c r="H584">
        <v>4946</v>
      </c>
      <c r="I584">
        <v>5737</v>
      </c>
      <c r="J584" t="s">
        <v>5442</v>
      </c>
      <c r="K584" t="s">
        <v>39</v>
      </c>
      <c r="L584" t="s">
        <v>123</v>
      </c>
      <c r="M584" t="s">
        <v>124</v>
      </c>
      <c r="N584" t="s">
        <v>42</v>
      </c>
      <c r="O584">
        <v>3</v>
      </c>
      <c r="P584" t="s">
        <v>42</v>
      </c>
      <c r="Q584" t="s">
        <v>43</v>
      </c>
      <c r="R584" t="s">
        <v>5434</v>
      </c>
      <c r="S584" t="s">
        <v>123</v>
      </c>
      <c r="T584" t="s">
        <v>42</v>
      </c>
      <c r="U584">
        <v>35</v>
      </c>
      <c r="V584">
        <v>261</v>
      </c>
      <c r="W584">
        <v>227</v>
      </c>
      <c r="X584" t="s">
        <v>45</v>
      </c>
      <c r="Y584" t="s">
        <v>5443</v>
      </c>
      <c r="Z584" t="s">
        <v>470</v>
      </c>
      <c r="AA584" t="s">
        <v>2806</v>
      </c>
    </row>
    <row r="585" spans="1:27" x14ac:dyDescent="0.75">
      <c r="A585" s="22" t="s">
        <v>6051</v>
      </c>
      <c r="B585" t="s">
        <v>5770</v>
      </c>
      <c r="C585" t="s">
        <v>104</v>
      </c>
      <c r="D585" t="s">
        <v>105</v>
      </c>
      <c r="E585" t="s">
        <v>106</v>
      </c>
      <c r="F585" t="s">
        <v>5771</v>
      </c>
      <c r="G585" s="1" t="str">
        <f>HYPERLINK("https://homd.org/jbrowse/?data=homd_V11.02_phage_1.2%2FGCA_937926985.1&amp;loc=GCA_937926985.1%7CCALBCK010000091.1%3A1642..8433&amp;tracks=prokka,prokka_ncrna,ncbi,ncbi_ncrna,panggolin,cenote,genomad&amp;highlight=","Open JBrowse")</f>
        <v>Open JBrowse</v>
      </c>
      <c r="H585">
        <v>4642</v>
      </c>
      <c r="I585">
        <v>5433</v>
      </c>
      <c r="J585" t="s">
        <v>5772</v>
      </c>
      <c r="K585" t="s">
        <v>39</v>
      </c>
      <c r="L585" t="s">
        <v>123</v>
      </c>
      <c r="M585" t="s">
        <v>124</v>
      </c>
      <c r="N585" t="s">
        <v>42</v>
      </c>
      <c r="O585">
        <v>3</v>
      </c>
      <c r="P585" t="s">
        <v>42</v>
      </c>
      <c r="Q585" t="s">
        <v>43</v>
      </c>
      <c r="R585" t="s">
        <v>5773</v>
      </c>
      <c r="S585" t="s">
        <v>123</v>
      </c>
      <c r="T585" t="s">
        <v>42</v>
      </c>
      <c r="U585">
        <v>35</v>
      </c>
      <c r="V585">
        <v>261</v>
      </c>
      <c r="W585">
        <v>227</v>
      </c>
      <c r="X585" t="s">
        <v>45</v>
      </c>
      <c r="Y585" t="s">
        <v>5774</v>
      </c>
      <c r="Z585" t="s">
        <v>281</v>
      </c>
      <c r="AA585" t="s">
        <v>2806</v>
      </c>
    </row>
    <row r="586" spans="1:27" x14ac:dyDescent="0.75">
      <c r="A586" s="22" t="s">
        <v>6051</v>
      </c>
      <c r="B586" t="s">
        <v>2915</v>
      </c>
      <c r="C586" t="s">
        <v>104</v>
      </c>
      <c r="D586" t="s">
        <v>2741</v>
      </c>
      <c r="E586" t="s">
        <v>2742</v>
      </c>
      <c r="F586" t="s">
        <v>2916</v>
      </c>
      <c r="G586" s="1" t="str">
        <f>HYPERLINK("https://homd.org/jbrowse/?data=homd_V11.02_phage_1.2%2FGCA_015257665.1&amp;loc=GCA_015257665.1%7CJABZJS010000001.1%3A69443..78136&amp;tracks=prokka,prokka_ncrna,ncbi,ncbi_ncrna,panggolin,cenote,genomad&amp;highlight=","Open JBrowse")</f>
        <v>Open JBrowse</v>
      </c>
      <c r="H586">
        <v>72443</v>
      </c>
      <c r="I586">
        <v>75136</v>
      </c>
      <c r="J586" t="s">
        <v>2917</v>
      </c>
      <c r="K586" t="s">
        <v>59</v>
      </c>
      <c r="L586" t="s">
        <v>2918</v>
      </c>
      <c r="M586" t="s">
        <v>2919</v>
      </c>
      <c r="N586" t="s">
        <v>2318</v>
      </c>
      <c r="O586">
        <v>3</v>
      </c>
      <c r="P586" t="s">
        <v>42</v>
      </c>
      <c r="Q586" t="s">
        <v>59</v>
      </c>
      <c r="R586" t="s">
        <v>2920</v>
      </c>
      <c r="S586" t="s">
        <v>2918</v>
      </c>
      <c r="T586" t="s">
        <v>42</v>
      </c>
      <c r="U586">
        <v>36</v>
      </c>
      <c r="V586">
        <v>331</v>
      </c>
      <c r="W586">
        <v>296</v>
      </c>
      <c r="X586" t="s">
        <v>1629</v>
      </c>
      <c r="Y586" t="s">
        <v>2921</v>
      </c>
      <c r="Z586" t="s">
        <v>368</v>
      </c>
      <c r="AA586" t="s">
        <v>2922</v>
      </c>
    </row>
    <row r="587" spans="1:27" x14ac:dyDescent="0.75">
      <c r="A587" s="22" t="s">
        <v>6051</v>
      </c>
      <c r="B587" t="s">
        <v>3140</v>
      </c>
      <c r="C587" t="s">
        <v>104</v>
      </c>
      <c r="D587" t="s">
        <v>814</v>
      </c>
      <c r="E587" t="s">
        <v>815</v>
      </c>
      <c r="F587" t="s">
        <v>3141</v>
      </c>
      <c r="G587" s="1" t="str">
        <f>HYPERLINK("https://homd.org/jbrowse/?data=homd_V11.02_phage_1.2%2FGCA_016126035.1&amp;loc=GCA_016126035.1%7CJAEFDC010000001.1%3A12613..19425&amp;tracks=prokka,prokka_ncrna,ncbi,ncbi_ncrna,panggolin,cenote,genomad&amp;highlight=","Open JBrowse")</f>
        <v>Open JBrowse</v>
      </c>
      <c r="H587">
        <v>15613</v>
      </c>
      <c r="I587">
        <v>16425</v>
      </c>
      <c r="J587" t="s">
        <v>3146</v>
      </c>
      <c r="K587" t="s">
        <v>39</v>
      </c>
      <c r="L587" t="s">
        <v>3147</v>
      </c>
      <c r="M587" t="s">
        <v>3148</v>
      </c>
      <c r="N587" t="s">
        <v>42</v>
      </c>
      <c r="O587">
        <v>3</v>
      </c>
      <c r="P587" t="s">
        <v>42</v>
      </c>
      <c r="Q587" t="s">
        <v>43</v>
      </c>
      <c r="R587" t="s">
        <v>3143</v>
      </c>
      <c r="S587" t="s">
        <v>3147</v>
      </c>
      <c r="T587" t="s">
        <v>42</v>
      </c>
      <c r="U587">
        <v>36</v>
      </c>
      <c r="V587">
        <v>268</v>
      </c>
      <c r="W587">
        <v>233</v>
      </c>
      <c r="X587" t="s">
        <v>45</v>
      </c>
      <c r="Y587" t="s">
        <v>3149</v>
      </c>
      <c r="Z587" t="s">
        <v>368</v>
      </c>
      <c r="AA587" t="s">
        <v>3150</v>
      </c>
    </row>
    <row r="588" spans="1:27" x14ac:dyDescent="0.75">
      <c r="A588" s="22" t="s">
        <v>6051</v>
      </c>
      <c r="B588" t="s">
        <v>3235</v>
      </c>
      <c r="C588" t="s">
        <v>104</v>
      </c>
      <c r="D588" t="s">
        <v>814</v>
      </c>
      <c r="E588" t="s">
        <v>815</v>
      </c>
      <c r="F588" t="s">
        <v>3243</v>
      </c>
      <c r="G588" s="1" t="str">
        <f>HYPERLINK("https://homd.org/jbrowse/?data=homd_V11.02_phage_1.2%2FGCA_016806995.1&amp;loc=GCA_016806995.1%7CJAESPK010000027.1%3A6178..12993&amp;tracks=prokka,prokka_ncrna,ncbi,ncbi_ncrna,panggolin,cenote,genomad&amp;highlight=","Open JBrowse")</f>
        <v>Open JBrowse</v>
      </c>
      <c r="H588">
        <v>9178</v>
      </c>
      <c r="I588">
        <v>9993</v>
      </c>
      <c r="J588" t="s">
        <v>3244</v>
      </c>
      <c r="K588" t="s">
        <v>39</v>
      </c>
      <c r="L588" t="s">
        <v>3147</v>
      </c>
      <c r="M588" t="s">
        <v>3148</v>
      </c>
      <c r="N588" t="s">
        <v>42</v>
      </c>
      <c r="O588">
        <v>3</v>
      </c>
      <c r="P588" t="s">
        <v>42</v>
      </c>
      <c r="Q588" t="s">
        <v>43</v>
      </c>
      <c r="R588" t="s">
        <v>3238</v>
      </c>
      <c r="S588" t="s">
        <v>3147</v>
      </c>
      <c r="T588" t="s">
        <v>42</v>
      </c>
      <c r="U588">
        <v>36</v>
      </c>
      <c r="V588">
        <v>268</v>
      </c>
      <c r="W588">
        <v>233</v>
      </c>
      <c r="X588" t="s">
        <v>45</v>
      </c>
      <c r="Y588" t="s">
        <v>3245</v>
      </c>
      <c r="Z588" t="s">
        <v>530</v>
      </c>
      <c r="AA588" t="s">
        <v>3246</v>
      </c>
    </row>
    <row r="589" spans="1:27" x14ac:dyDescent="0.75">
      <c r="A589" s="22" t="s">
        <v>6051</v>
      </c>
      <c r="B589" t="s">
        <v>5709</v>
      </c>
      <c r="C589" t="s">
        <v>104</v>
      </c>
      <c r="D589" t="s">
        <v>329</v>
      </c>
      <c r="E589" t="s">
        <v>330</v>
      </c>
      <c r="F589" t="s">
        <v>5717</v>
      </c>
      <c r="G589" s="1" t="str">
        <f>HYPERLINK("https://homd.org/jbrowse/?data=homd_V11.02_phage_1.2%2FGCA_937881025.1&amp;loc=GCA_937881025.1%7CCALGFZ010000014.1%3A1..3971&amp;tracks=prokka,prokka_ncrna,ncbi,ncbi_ncrna,panggolin,cenote,genomad&amp;highlight=","Open JBrowse")</f>
        <v>Open JBrowse</v>
      </c>
      <c r="H589">
        <v>150</v>
      </c>
      <c r="I589">
        <v>971</v>
      </c>
      <c r="J589" t="s">
        <v>5718</v>
      </c>
      <c r="K589" t="s">
        <v>39</v>
      </c>
      <c r="L589" t="s">
        <v>3147</v>
      </c>
      <c r="M589" t="s">
        <v>5719</v>
      </c>
      <c r="N589" t="s">
        <v>42</v>
      </c>
      <c r="O589">
        <v>3</v>
      </c>
      <c r="P589" t="s">
        <v>42</v>
      </c>
      <c r="Q589" t="s">
        <v>43</v>
      </c>
      <c r="R589" t="s">
        <v>5712</v>
      </c>
      <c r="S589" t="s">
        <v>3147</v>
      </c>
      <c r="T589" t="s">
        <v>42</v>
      </c>
      <c r="U589">
        <v>36</v>
      </c>
      <c r="V589">
        <v>268</v>
      </c>
      <c r="W589">
        <v>233</v>
      </c>
      <c r="X589" t="s">
        <v>45</v>
      </c>
      <c r="Y589" t="s">
        <v>5720</v>
      </c>
      <c r="Z589" t="s">
        <v>836</v>
      </c>
      <c r="AA589" t="s">
        <v>5721</v>
      </c>
    </row>
    <row r="590" spans="1:27" x14ac:dyDescent="0.75">
      <c r="A590" s="22" t="s">
        <v>6051</v>
      </c>
      <c r="B590" t="s">
        <v>348</v>
      </c>
      <c r="C590" t="s">
        <v>104</v>
      </c>
      <c r="D590" t="s">
        <v>349</v>
      </c>
      <c r="E590" t="s">
        <v>350</v>
      </c>
      <c r="F590" t="s">
        <v>351</v>
      </c>
      <c r="G590" s="1" t="str">
        <f>HYPERLINK("https://homd.org/jbrowse/?data=homd_V11.02_phage_1.2%2FGCA_000174755.1&amp;loc=GCA_000174755.1%7CACLQ01000010.1%3A81431..88249&amp;tracks=prokka,prokka_ncrna,ncbi,ncbi_ncrna,panggolin,cenote,genomad&amp;highlight=","Open JBrowse")</f>
        <v>Open JBrowse</v>
      </c>
      <c r="H590">
        <v>84431</v>
      </c>
      <c r="I590">
        <v>85249</v>
      </c>
      <c r="J590" t="s">
        <v>352</v>
      </c>
      <c r="K590" t="s">
        <v>39</v>
      </c>
      <c r="L590" t="s">
        <v>353</v>
      </c>
      <c r="M590" t="s">
        <v>354</v>
      </c>
      <c r="N590" t="s">
        <v>42</v>
      </c>
      <c r="O590">
        <v>3</v>
      </c>
      <c r="P590" t="s">
        <v>42</v>
      </c>
      <c r="Q590" t="s">
        <v>43</v>
      </c>
      <c r="R590" t="s">
        <v>355</v>
      </c>
      <c r="S590" t="s">
        <v>353</v>
      </c>
      <c r="T590" t="s">
        <v>42</v>
      </c>
      <c r="U590">
        <v>37</v>
      </c>
      <c r="V590">
        <v>269</v>
      </c>
      <c r="W590">
        <v>233</v>
      </c>
      <c r="X590" t="s">
        <v>45</v>
      </c>
      <c r="Y590" t="s">
        <v>356</v>
      </c>
      <c r="Z590" t="s">
        <v>357</v>
      </c>
      <c r="AA590" t="s">
        <v>358</v>
      </c>
    </row>
    <row r="591" spans="1:27" x14ac:dyDescent="0.75">
      <c r="A591" s="22" t="s">
        <v>6051</v>
      </c>
      <c r="B591" t="s">
        <v>1821</v>
      </c>
      <c r="C591" t="s">
        <v>104</v>
      </c>
      <c r="D591" t="s">
        <v>349</v>
      </c>
      <c r="E591" t="s">
        <v>350</v>
      </c>
      <c r="F591" t="s">
        <v>1822</v>
      </c>
      <c r="G591" s="1" t="str">
        <f>HYPERLINK("https://homd.org/jbrowse/?data=homd_V11.02_phage_1.2%2FGCA_002302415.1&amp;loc=GCA_002302415.1%7CCP022386.1%3A1572288..1579106&amp;tracks=prokka,prokka_ncrna,ncbi,ncbi_ncrna,panggolin,cenote,genomad&amp;highlight=","Open JBrowse")</f>
        <v>Open JBrowse</v>
      </c>
      <c r="H591">
        <v>1575288</v>
      </c>
      <c r="I591">
        <v>1576106</v>
      </c>
      <c r="J591" t="s">
        <v>1823</v>
      </c>
      <c r="K591" t="s">
        <v>39</v>
      </c>
      <c r="L591" t="s">
        <v>353</v>
      </c>
      <c r="M591" t="s">
        <v>354</v>
      </c>
      <c r="N591" t="s">
        <v>42</v>
      </c>
      <c r="O591">
        <v>3</v>
      </c>
      <c r="P591" t="s">
        <v>42</v>
      </c>
      <c r="Q591" t="s">
        <v>43</v>
      </c>
      <c r="R591" t="s">
        <v>1824</v>
      </c>
      <c r="S591" t="s">
        <v>353</v>
      </c>
      <c r="T591" t="s">
        <v>42</v>
      </c>
      <c r="U591">
        <v>37</v>
      </c>
      <c r="V591">
        <v>269</v>
      </c>
      <c r="W591">
        <v>233</v>
      </c>
      <c r="X591" t="s">
        <v>45</v>
      </c>
    </row>
    <row r="592" spans="1:27" x14ac:dyDescent="0.75">
      <c r="A592" s="22" t="s">
        <v>6051</v>
      </c>
      <c r="B592" t="s">
        <v>2915</v>
      </c>
      <c r="C592" t="s">
        <v>104</v>
      </c>
      <c r="D592" t="s">
        <v>2741</v>
      </c>
      <c r="E592" t="s">
        <v>2742</v>
      </c>
      <c r="F592" t="s">
        <v>2928</v>
      </c>
      <c r="G592" s="1" t="str">
        <f>HYPERLINK("https://homd.org/jbrowse/?data=homd_V11.02_phage_1.2%2FGCA_015257665.1&amp;loc=GCA_015257665.1%7CJABZJS010000025.1%3A1..7290&amp;tracks=prokka,prokka_ncrna,ncbi,ncbi_ncrna,panggolin,cenote,genomad&amp;highlight=","Open JBrowse")</f>
        <v>Open JBrowse</v>
      </c>
      <c r="H592">
        <v>2839</v>
      </c>
      <c r="I592">
        <v>4290</v>
      </c>
      <c r="J592" t="s">
        <v>2929</v>
      </c>
      <c r="K592" t="s">
        <v>59</v>
      </c>
      <c r="L592" t="s">
        <v>2930</v>
      </c>
      <c r="M592" t="s">
        <v>2931</v>
      </c>
      <c r="N592" t="s">
        <v>2318</v>
      </c>
      <c r="O592">
        <v>3</v>
      </c>
      <c r="P592" t="s">
        <v>42</v>
      </c>
      <c r="Q592" t="s">
        <v>59</v>
      </c>
      <c r="R592" t="s">
        <v>2920</v>
      </c>
      <c r="S592" t="s">
        <v>2930</v>
      </c>
      <c r="T592" t="s">
        <v>42</v>
      </c>
      <c r="U592">
        <v>37</v>
      </c>
      <c r="V592">
        <v>331</v>
      </c>
      <c r="W592">
        <v>295</v>
      </c>
      <c r="X592" t="s">
        <v>1629</v>
      </c>
      <c r="Y592" t="s">
        <v>2932</v>
      </c>
      <c r="Z592" t="s">
        <v>932</v>
      </c>
      <c r="AA592" t="s">
        <v>2933</v>
      </c>
    </row>
    <row r="593" spans="1:27" x14ac:dyDescent="0.75">
      <c r="A593" s="22" t="s">
        <v>6051</v>
      </c>
      <c r="B593" t="s">
        <v>5478</v>
      </c>
      <c r="C593" t="s">
        <v>104</v>
      </c>
      <c r="D593" t="s">
        <v>349</v>
      </c>
      <c r="E593" t="s">
        <v>350</v>
      </c>
      <c r="F593" t="s">
        <v>5479</v>
      </c>
      <c r="G593" s="1" t="str">
        <f>HYPERLINK("https://homd.org/jbrowse/?data=homd_V11.02_phage_1.2%2FGCA_905372655.1&amp;loc=GCA_905372655.1%7CCAJPPZ010000009.1%3A13937..20755&amp;tracks=prokka,prokka_ncrna,ncbi,ncbi_ncrna,panggolin,cenote,genomad&amp;highlight=","Open JBrowse")</f>
        <v>Open JBrowse</v>
      </c>
      <c r="H593">
        <v>16937</v>
      </c>
      <c r="I593">
        <v>17755</v>
      </c>
      <c r="J593" t="s">
        <v>5480</v>
      </c>
      <c r="K593" t="s">
        <v>39</v>
      </c>
      <c r="L593" t="s">
        <v>353</v>
      </c>
      <c r="M593" t="s">
        <v>354</v>
      </c>
      <c r="N593" t="s">
        <v>42</v>
      </c>
      <c r="O593">
        <v>3</v>
      </c>
      <c r="P593" t="s">
        <v>42</v>
      </c>
      <c r="Q593" t="s">
        <v>43</v>
      </c>
      <c r="R593" t="s">
        <v>5481</v>
      </c>
      <c r="S593" t="s">
        <v>353</v>
      </c>
      <c r="T593" t="s">
        <v>42</v>
      </c>
      <c r="U593">
        <v>37</v>
      </c>
      <c r="V593">
        <v>269</v>
      </c>
      <c r="W593">
        <v>233</v>
      </c>
      <c r="X593" t="s">
        <v>45</v>
      </c>
    </row>
    <row r="594" spans="1:27" x14ac:dyDescent="0.75">
      <c r="A594" s="22" t="s">
        <v>6051</v>
      </c>
      <c r="B594" t="s">
        <v>5989</v>
      </c>
      <c r="C594" t="s">
        <v>104</v>
      </c>
      <c r="D594" t="s">
        <v>349</v>
      </c>
      <c r="E594" t="s">
        <v>350</v>
      </c>
      <c r="F594" t="s">
        <v>5990</v>
      </c>
      <c r="G594" s="1" t="str">
        <f>HYPERLINK("https://homd.org/jbrowse/?data=homd_V11.02_phage_1.2%2FGCA_947096245.1&amp;loc=GCA_947096245.1%7CCAMUQP010000005.1%3A30712..37527&amp;tracks=prokka,prokka_ncrna,ncbi,ncbi_ncrna,panggolin,cenote,genomad&amp;highlight=","Open JBrowse")</f>
        <v>Open JBrowse</v>
      </c>
      <c r="H594">
        <v>33712</v>
      </c>
      <c r="I594">
        <v>34527</v>
      </c>
      <c r="J594" t="s">
        <v>5991</v>
      </c>
      <c r="K594" t="s">
        <v>39</v>
      </c>
      <c r="L594" t="s">
        <v>353</v>
      </c>
      <c r="M594" t="s">
        <v>354</v>
      </c>
      <c r="N594" t="s">
        <v>42</v>
      </c>
      <c r="O594">
        <v>3</v>
      </c>
      <c r="P594" t="s">
        <v>42</v>
      </c>
      <c r="Q594" t="s">
        <v>43</v>
      </c>
      <c r="R594" t="s">
        <v>5992</v>
      </c>
      <c r="S594" t="s">
        <v>353</v>
      </c>
      <c r="T594" t="s">
        <v>42</v>
      </c>
      <c r="U594">
        <v>37</v>
      </c>
      <c r="V594">
        <v>269</v>
      </c>
      <c r="W594">
        <v>233</v>
      </c>
      <c r="X594" t="s">
        <v>45</v>
      </c>
    </row>
    <row r="595" spans="1:27" x14ac:dyDescent="0.75">
      <c r="A595" s="22" t="s">
        <v>6051</v>
      </c>
      <c r="B595" t="s">
        <v>328</v>
      </c>
      <c r="C595" t="s">
        <v>104</v>
      </c>
      <c r="D595" t="s">
        <v>329</v>
      </c>
      <c r="E595" t="s">
        <v>330</v>
      </c>
      <c r="F595" t="s">
        <v>341</v>
      </c>
      <c r="G595" s="1" t="str">
        <f>HYPERLINK("https://homd.org/jbrowse/?data=homd_V11.02_phage_1.2%2FGCA_000173675.1&amp;loc=GCA_000173675.1%7CABZV01000007.1%3A129072..135899&amp;tracks=prokka,prokka_ncrna,ncbi,ncbi_ncrna,panggolin,cenote,genomad&amp;highlight=","Open JBrowse")</f>
        <v>Open JBrowse</v>
      </c>
      <c r="H595">
        <v>132072</v>
      </c>
      <c r="I595">
        <v>132899</v>
      </c>
      <c r="J595" t="s">
        <v>342</v>
      </c>
      <c r="K595" t="s">
        <v>39</v>
      </c>
      <c r="L595" t="s">
        <v>343</v>
      </c>
      <c r="M595" t="s">
        <v>344</v>
      </c>
      <c r="N595" t="s">
        <v>42</v>
      </c>
      <c r="O595">
        <v>3</v>
      </c>
      <c r="P595" t="s">
        <v>42</v>
      </c>
      <c r="Q595" t="s">
        <v>43</v>
      </c>
      <c r="R595" t="s">
        <v>334</v>
      </c>
      <c r="S595" t="s">
        <v>343</v>
      </c>
      <c r="T595" t="s">
        <v>42</v>
      </c>
      <c r="U595">
        <v>38</v>
      </c>
      <c r="V595">
        <v>270</v>
      </c>
      <c r="W595">
        <v>233</v>
      </c>
      <c r="X595" t="s">
        <v>45</v>
      </c>
      <c r="Y595" t="s">
        <v>345</v>
      </c>
      <c r="Z595" t="s">
        <v>346</v>
      </c>
      <c r="AA595" t="s">
        <v>347</v>
      </c>
    </row>
    <row r="596" spans="1:27" x14ac:dyDescent="0.75">
      <c r="A596" s="22" t="s">
        <v>6051</v>
      </c>
      <c r="B596" t="s">
        <v>813</v>
      </c>
      <c r="C596" t="s">
        <v>104</v>
      </c>
      <c r="D596" t="s">
        <v>814</v>
      </c>
      <c r="E596" t="s">
        <v>815</v>
      </c>
      <c r="F596" t="s">
        <v>821</v>
      </c>
      <c r="G596" s="1" t="str">
        <f>HYPERLINK("https://homd.org/jbrowse/?data=homd_V11.02_phage_1.2%2FGCA_000318295.1&amp;loc=GCA_000318295.1%7CKB291425.1%3A7157..13984&amp;tracks=prokka,prokka_ncrna,ncbi,ncbi_ncrna,panggolin,cenote,genomad&amp;highlight=","Open JBrowse")</f>
        <v>Open JBrowse</v>
      </c>
      <c r="H596">
        <v>10157</v>
      </c>
      <c r="I596">
        <v>10984</v>
      </c>
      <c r="J596" t="s">
        <v>822</v>
      </c>
      <c r="K596" t="s">
        <v>39</v>
      </c>
      <c r="L596" t="s">
        <v>343</v>
      </c>
      <c r="M596" t="s">
        <v>344</v>
      </c>
      <c r="N596" t="s">
        <v>42</v>
      </c>
      <c r="O596">
        <v>3</v>
      </c>
      <c r="P596" t="s">
        <v>42</v>
      </c>
      <c r="Q596" t="s">
        <v>43</v>
      </c>
      <c r="R596" t="s">
        <v>820</v>
      </c>
      <c r="S596" t="s">
        <v>343</v>
      </c>
      <c r="T596" t="s">
        <v>42</v>
      </c>
      <c r="U596">
        <v>38</v>
      </c>
      <c r="V596">
        <v>270</v>
      </c>
      <c r="W596">
        <v>233</v>
      </c>
      <c r="X596" t="s">
        <v>45</v>
      </c>
      <c r="Y596" t="s">
        <v>823</v>
      </c>
      <c r="Z596" t="s">
        <v>824</v>
      </c>
      <c r="AA596" t="s">
        <v>825</v>
      </c>
    </row>
    <row r="597" spans="1:27" x14ac:dyDescent="0.75">
      <c r="A597" s="22" t="s">
        <v>6051</v>
      </c>
      <c r="B597" t="s">
        <v>1733</v>
      </c>
      <c r="C597" t="s">
        <v>104</v>
      </c>
      <c r="D597" t="s">
        <v>814</v>
      </c>
      <c r="E597" t="s">
        <v>815</v>
      </c>
      <c r="F597" t="s">
        <v>1734</v>
      </c>
      <c r="G597" s="1" t="str">
        <f>HYPERLINK("https://homd.org/jbrowse/?data=homd_V11.02_phage_1.2%2FGCA_002209445.1&amp;loc=GCA_002209445.1%7CCP022022.1%3A3341368..3348195&amp;tracks=prokka,prokka_ncrna,ncbi,ncbi_ncrna,panggolin,cenote,genomad&amp;highlight=","Open JBrowse")</f>
        <v>Open JBrowse</v>
      </c>
      <c r="H597">
        <v>3344368</v>
      </c>
      <c r="I597">
        <v>3345195</v>
      </c>
      <c r="J597" t="s">
        <v>1737</v>
      </c>
      <c r="K597" t="s">
        <v>39</v>
      </c>
      <c r="L597" t="s">
        <v>343</v>
      </c>
      <c r="M597" t="s">
        <v>344</v>
      </c>
      <c r="N597" t="s">
        <v>42</v>
      </c>
      <c r="O597">
        <v>3</v>
      </c>
      <c r="P597" t="s">
        <v>42</v>
      </c>
      <c r="Q597" t="s">
        <v>43</v>
      </c>
      <c r="R597" t="s">
        <v>1736</v>
      </c>
      <c r="S597" t="s">
        <v>343</v>
      </c>
      <c r="T597" t="s">
        <v>42</v>
      </c>
      <c r="U597">
        <v>38</v>
      </c>
      <c r="V597">
        <v>270</v>
      </c>
      <c r="W597">
        <v>233</v>
      </c>
      <c r="X597" t="s">
        <v>45</v>
      </c>
      <c r="Y597" t="s">
        <v>1738</v>
      </c>
      <c r="Z597" t="s">
        <v>780</v>
      </c>
      <c r="AA597" t="s">
        <v>1739</v>
      </c>
    </row>
    <row r="598" spans="1:27" x14ac:dyDescent="0.75">
      <c r="A598" s="22" t="s">
        <v>6051</v>
      </c>
      <c r="B598" t="s">
        <v>1812</v>
      </c>
      <c r="C598" t="s">
        <v>104</v>
      </c>
      <c r="D598" t="s">
        <v>329</v>
      </c>
      <c r="E598" t="s">
        <v>330</v>
      </c>
      <c r="F598" t="s">
        <v>1813</v>
      </c>
      <c r="G598" s="1" t="str">
        <f>HYPERLINK("https://homd.org/jbrowse/?data=homd_V11.02_phage_1.2%2FGCA_002302395.1&amp;loc=GCA_002302395.1%7CCP022385.1%3A2004306..2011133&amp;tracks=prokka,prokka_ncrna,ncbi,ncbi_ncrna,panggolin,cenote,genomad&amp;highlight=","Open JBrowse")</f>
        <v>Open JBrowse</v>
      </c>
      <c r="H598">
        <v>2007306</v>
      </c>
      <c r="I598">
        <v>2008133</v>
      </c>
      <c r="J598" t="s">
        <v>1818</v>
      </c>
      <c r="K598" t="s">
        <v>39</v>
      </c>
      <c r="L598" t="s">
        <v>343</v>
      </c>
      <c r="M598" t="s">
        <v>344</v>
      </c>
      <c r="N598" t="s">
        <v>42</v>
      </c>
      <c r="O598">
        <v>3</v>
      </c>
      <c r="P598" t="s">
        <v>42</v>
      </c>
      <c r="Q598" t="s">
        <v>43</v>
      </c>
      <c r="R598" t="s">
        <v>1815</v>
      </c>
      <c r="S598" t="s">
        <v>343</v>
      </c>
      <c r="T598" t="s">
        <v>42</v>
      </c>
      <c r="U598">
        <v>38</v>
      </c>
      <c r="V598">
        <v>270</v>
      </c>
      <c r="W598">
        <v>233</v>
      </c>
      <c r="X598" t="s">
        <v>45</v>
      </c>
      <c r="Y598" t="s">
        <v>1819</v>
      </c>
      <c r="Z598" t="s">
        <v>667</v>
      </c>
      <c r="AA598" t="s">
        <v>1820</v>
      </c>
    </row>
    <row r="599" spans="1:27" x14ac:dyDescent="0.75">
      <c r="A599" s="22" t="s">
        <v>6051</v>
      </c>
      <c r="B599" t="s">
        <v>1825</v>
      </c>
      <c r="C599" t="s">
        <v>104</v>
      </c>
      <c r="D599" t="s">
        <v>329</v>
      </c>
      <c r="E599" t="s">
        <v>330</v>
      </c>
      <c r="F599" t="s">
        <v>1826</v>
      </c>
      <c r="G599" s="1" t="str">
        <f>HYPERLINK("https://homd.org/jbrowse/?data=homd_V11.02_phage_1.2%2FGCA_002302495.1&amp;loc=GCA_002302495.1%7CCP022379.1%3A2014589..2021410&amp;tracks=prokka,prokka_ncrna,ncbi,ncbi_ncrna,panggolin,cenote,genomad&amp;highlight=","Open JBrowse")</f>
        <v>Open JBrowse</v>
      </c>
      <c r="H599">
        <v>2017589</v>
      </c>
      <c r="I599">
        <v>2018410</v>
      </c>
      <c r="J599" t="s">
        <v>1832</v>
      </c>
      <c r="K599" t="s">
        <v>39</v>
      </c>
      <c r="L599" t="s">
        <v>343</v>
      </c>
      <c r="M599" t="s">
        <v>1833</v>
      </c>
      <c r="N599" t="s">
        <v>42</v>
      </c>
      <c r="O599">
        <v>3</v>
      </c>
      <c r="P599" t="s">
        <v>42</v>
      </c>
      <c r="Q599" t="s">
        <v>43</v>
      </c>
      <c r="R599" t="s">
        <v>1828</v>
      </c>
      <c r="S599" t="s">
        <v>343</v>
      </c>
      <c r="T599" t="s">
        <v>42</v>
      </c>
      <c r="U599">
        <v>38</v>
      </c>
      <c r="V599">
        <v>270</v>
      </c>
      <c r="W599">
        <v>233</v>
      </c>
      <c r="X599" t="s">
        <v>45</v>
      </c>
      <c r="Y599" t="s">
        <v>1834</v>
      </c>
      <c r="Z599" t="s">
        <v>667</v>
      </c>
      <c r="AA599" t="s">
        <v>1835</v>
      </c>
    </row>
    <row r="600" spans="1:27" x14ac:dyDescent="0.75">
      <c r="A600" s="22" t="s">
        <v>6051</v>
      </c>
      <c r="B600" t="s">
        <v>1836</v>
      </c>
      <c r="C600" t="s">
        <v>104</v>
      </c>
      <c r="D600" t="s">
        <v>329</v>
      </c>
      <c r="E600" t="s">
        <v>330</v>
      </c>
      <c r="F600" t="s">
        <v>1837</v>
      </c>
      <c r="G600" s="1" t="str">
        <f>HYPERLINK("https://homd.org/jbrowse/?data=homd_V11.02_phage_1.2%2FGCA_002302595.1&amp;loc=GCA_002302595.1%7CCP022383.1%3A2227130..2233957&amp;tracks=prokka,prokka_ncrna,ncbi,ncbi_ncrna,panggolin,cenote,genomad&amp;highlight=","Open JBrowse")</f>
        <v>Open JBrowse</v>
      </c>
      <c r="H600">
        <v>2230130</v>
      </c>
      <c r="I600">
        <v>2230957</v>
      </c>
      <c r="J600" t="s">
        <v>1844</v>
      </c>
      <c r="K600" t="s">
        <v>39</v>
      </c>
      <c r="L600" t="s">
        <v>343</v>
      </c>
      <c r="M600" t="s">
        <v>344</v>
      </c>
      <c r="N600" t="s">
        <v>42</v>
      </c>
      <c r="O600">
        <v>3</v>
      </c>
      <c r="P600" t="s">
        <v>42</v>
      </c>
      <c r="Q600" t="s">
        <v>43</v>
      </c>
      <c r="R600" t="s">
        <v>1839</v>
      </c>
      <c r="S600" t="s">
        <v>343</v>
      </c>
      <c r="T600" t="s">
        <v>42</v>
      </c>
      <c r="U600">
        <v>38</v>
      </c>
      <c r="V600">
        <v>270</v>
      </c>
      <c r="W600">
        <v>233</v>
      </c>
      <c r="X600" t="s">
        <v>45</v>
      </c>
      <c r="Y600" t="s">
        <v>1845</v>
      </c>
      <c r="Z600" t="s">
        <v>653</v>
      </c>
      <c r="AA600" t="s">
        <v>1846</v>
      </c>
    </row>
    <row r="601" spans="1:27" x14ac:dyDescent="0.75">
      <c r="A601" s="22" t="s">
        <v>6051</v>
      </c>
      <c r="B601" t="s">
        <v>1854</v>
      </c>
      <c r="C601" t="s">
        <v>104</v>
      </c>
      <c r="D601" t="s">
        <v>329</v>
      </c>
      <c r="E601" t="s">
        <v>330</v>
      </c>
      <c r="F601" t="s">
        <v>1855</v>
      </c>
      <c r="G601" s="1" t="str">
        <f>HYPERLINK("https://homd.org/jbrowse/?data=homd_V11.02_phage_1.2%2FGCA_002312885.1&amp;loc=GCA_002312885.1%7CNIBW01000001.1%3A334268..341089&amp;tracks=prokka,prokka_ncrna,ncbi,ncbi_ncrna,panggolin,cenote,genomad&amp;highlight=","Open JBrowse")</f>
        <v>Open JBrowse</v>
      </c>
      <c r="H601">
        <v>337268</v>
      </c>
      <c r="I601">
        <v>338089</v>
      </c>
      <c r="J601" t="s">
        <v>1856</v>
      </c>
      <c r="K601" t="s">
        <v>39</v>
      </c>
      <c r="L601" t="s">
        <v>343</v>
      </c>
      <c r="M601" t="s">
        <v>1833</v>
      </c>
      <c r="N601" t="s">
        <v>42</v>
      </c>
      <c r="O601">
        <v>3</v>
      </c>
      <c r="P601" t="s">
        <v>42</v>
      </c>
      <c r="Q601" t="s">
        <v>43</v>
      </c>
      <c r="R601" t="s">
        <v>1857</v>
      </c>
      <c r="S601" t="s">
        <v>343</v>
      </c>
      <c r="T601" t="s">
        <v>42</v>
      </c>
      <c r="U601">
        <v>38</v>
      </c>
      <c r="V601">
        <v>270</v>
      </c>
      <c r="W601">
        <v>233</v>
      </c>
      <c r="X601" t="s">
        <v>45</v>
      </c>
      <c r="Y601" t="s">
        <v>1858</v>
      </c>
      <c r="Z601" t="s">
        <v>1334</v>
      </c>
      <c r="AA601" t="s">
        <v>1859</v>
      </c>
    </row>
    <row r="602" spans="1:27" x14ac:dyDescent="0.75">
      <c r="A602" s="22" t="s">
        <v>6051</v>
      </c>
      <c r="B602" t="s">
        <v>3126</v>
      </c>
      <c r="C602" t="s">
        <v>104</v>
      </c>
      <c r="D602" t="s">
        <v>814</v>
      </c>
      <c r="E602" t="s">
        <v>815</v>
      </c>
      <c r="F602" t="s">
        <v>3136</v>
      </c>
      <c r="G602" s="1" t="str">
        <f>HYPERLINK("https://homd.org/jbrowse/?data=homd_V11.02_phage_1.2%2FGCA_016126015.1&amp;loc=GCA_016126015.1%7CJAEFDB010000003.1%3A57257..64078&amp;tracks=prokka,prokka_ncrna,ncbi,ncbi_ncrna,panggolin,cenote,genomad&amp;highlight=","Open JBrowse")</f>
        <v>Open JBrowse</v>
      </c>
      <c r="H602">
        <v>60257</v>
      </c>
      <c r="I602">
        <v>61078</v>
      </c>
      <c r="J602" t="s">
        <v>3137</v>
      </c>
      <c r="K602" t="s">
        <v>39</v>
      </c>
      <c r="L602" t="s">
        <v>343</v>
      </c>
      <c r="M602" t="s">
        <v>344</v>
      </c>
      <c r="N602" t="s">
        <v>42</v>
      </c>
      <c r="O602">
        <v>3</v>
      </c>
      <c r="P602" t="s">
        <v>42</v>
      </c>
      <c r="Q602" t="s">
        <v>43</v>
      </c>
      <c r="R602" t="s">
        <v>3129</v>
      </c>
      <c r="S602" t="s">
        <v>343</v>
      </c>
      <c r="T602" t="s">
        <v>42</v>
      </c>
      <c r="U602">
        <v>38</v>
      </c>
      <c r="V602">
        <v>270</v>
      </c>
      <c r="W602">
        <v>233</v>
      </c>
      <c r="X602" t="s">
        <v>45</v>
      </c>
      <c r="Y602" t="s">
        <v>3138</v>
      </c>
      <c r="Z602" t="s">
        <v>458</v>
      </c>
      <c r="AA602" t="s">
        <v>3139</v>
      </c>
    </row>
    <row r="603" spans="1:27" x14ac:dyDescent="0.75">
      <c r="A603" s="22" t="s">
        <v>6051</v>
      </c>
      <c r="B603" t="s">
        <v>3202</v>
      </c>
      <c r="C603" t="s">
        <v>104</v>
      </c>
      <c r="D603" t="s">
        <v>814</v>
      </c>
      <c r="E603" t="s">
        <v>815</v>
      </c>
      <c r="F603" t="s">
        <v>3206</v>
      </c>
      <c r="G603" s="1" t="str">
        <f>HYPERLINK("https://homd.org/jbrowse/?data=homd_V11.02_phage_1.2%2FGCA_016806945.1&amp;loc=GCA_016806945.1%7CJAESPJ010000026.1%3A45737..52555&amp;tracks=prokka,prokka_ncrna,ncbi,ncbi_ncrna,panggolin,cenote,genomad&amp;highlight=","Open JBrowse")</f>
        <v>Open JBrowse</v>
      </c>
      <c r="H603">
        <v>48737</v>
      </c>
      <c r="I603">
        <v>49555</v>
      </c>
      <c r="J603" t="s">
        <v>3207</v>
      </c>
      <c r="K603" t="s">
        <v>39</v>
      </c>
      <c r="L603" t="s">
        <v>343</v>
      </c>
      <c r="M603" t="s">
        <v>1833</v>
      </c>
      <c r="N603" t="s">
        <v>42</v>
      </c>
      <c r="O603">
        <v>3</v>
      </c>
      <c r="P603" t="s">
        <v>42</v>
      </c>
      <c r="Q603" t="s">
        <v>43</v>
      </c>
      <c r="R603" t="s">
        <v>3205</v>
      </c>
      <c r="S603" t="s">
        <v>343</v>
      </c>
      <c r="T603" t="s">
        <v>42</v>
      </c>
      <c r="U603">
        <v>38</v>
      </c>
      <c r="V603">
        <v>270</v>
      </c>
      <c r="W603">
        <v>233</v>
      </c>
      <c r="X603" t="s">
        <v>45</v>
      </c>
      <c r="Y603" t="s">
        <v>3208</v>
      </c>
      <c r="Z603" t="s">
        <v>653</v>
      </c>
      <c r="AA603" t="s">
        <v>3209</v>
      </c>
    </row>
    <row r="604" spans="1:27" x14ac:dyDescent="0.75">
      <c r="A604" s="22" t="s">
        <v>6051</v>
      </c>
      <c r="B604" t="s">
        <v>3215</v>
      </c>
      <c r="C604" t="s">
        <v>104</v>
      </c>
      <c r="D604" t="s">
        <v>814</v>
      </c>
      <c r="E604" t="s">
        <v>815</v>
      </c>
      <c r="F604" t="s">
        <v>3222</v>
      </c>
      <c r="G604" s="1" t="str">
        <f>HYPERLINK("https://homd.org/jbrowse/?data=homd_V11.02_phage_1.2%2FGCA_016806965.1&amp;loc=GCA_016806965.1%7CJAESPH010000003.1%3A413714..420535&amp;tracks=prokka,prokka_ncrna,ncbi,ncbi_ncrna,panggolin,cenote,genomad&amp;highlight=","Open JBrowse")</f>
        <v>Open JBrowse</v>
      </c>
      <c r="H604">
        <v>416714</v>
      </c>
      <c r="I604">
        <v>417535</v>
      </c>
      <c r="J604" t="s">
        <v>3223</v>
      </c>
      <c r="K604" t="s">
        <v>39</v>
      </c>
      <c r="L604" t="s">
        <v>343</v>
      </c>
      <c r="M604" t="s">
        <v>1833</v>
      </c>
      <c r="N604" t="s">
        <v>42</v>
      </c>
      <c r="O604">
        <v>3</v>
      </c>
      <c r="P604" t="s">
        <v>42</v>
      </c>
      <c r="Q604" t="s">
        <v>43</v>
      </c>
      <c r="R604" t="s">
        <v>3218</v>
      </c>
      <c r="S604" t="s">
        <v>343</v>
      </c>
      <c r="T604" t="s">
        <v>42</v>
      </c>
      <c r="U604">
        <v>38</v>
      </c>
      <c r="V604">
        <v>270</v>
      </c>
      <c r="W604">
        <v>233</v>
      </c>
      <c r="X604" t="s">
        <v>45</v>
      </c>
      <c r="Y604" t="s">
        <v>3224</v>
      </c>
      <c r="Z604" t="s">
        <v>132</v>
      </c>
      <c r="AA604" t="s">
        <v>3225</v>
      </c>
    </row>
    <row r="605" spans="1:27" x14ac:dyDescent="0.75">
      <c r="A605" s="22" t="s">
        <v>6051</v>
      </c>
      <c r="B605" t="s">
        <v>3247</v>
      </c>
      <c r="C605" t="s">
        <v>104</v>
      </c>
      <c r="D605" t="s">
        <v>814</v>
      </c>
      <c r="E605" t="s">
        <v>815</v>
      </c>
      <c r="F605" t="s">
        <v>3248</v>
      </c>
      <c r="G605" s="1" t="str">
        <f>HYPERLINK("https://homd.org/jbrowse/?data=homd_V11.02_phage_1.2%2FGCA_016807025.1&amp;loc=GCA_016807025.1%7CJAEUAH010000001.1%3A44129..50950&amp;tracks=prokka,prokka_ncrna,ncbi,ncbi_ncrna,panggolin,cenote,genomad&amp;highlight=","Open JBrowse")</f>
        <v>Open JBrowse</v>
      </c>
      <c r="H605">
        <v>47129</v>
      </c>
      <c r="I605">
        <v>47950</v>
      </c>
      <c r="J605" t="s">
        <v>3249</v>
      </c>
      <c r="K605" t="s">
        <v>39</v>
      </c>
      <c r="L605" t="s">
        <v>343</v>
      </c>
      <c r="M605" t="s">
        <v>1833</v>
      </c>
      <c r="N605" t="s">
        <v>42</v>
      </c>
      <c r="O605">
        <v>3</v>
      </c>
      <c r="P605" t="s">
        <v>42</v>
      </c>
      <c r="Q605" t="s">
        <v>43</v>
      </c>
      <c r="R605" t="s">
        <v>3250</v>
      </c>
      <c r="S605" t="s">
        <v>343</v>
      </c>
      <c r="T605" t="s">
        <v>42</v>
      </c>
      <c r="U605">
        <v>38</v>
      </c>
      <c r="V605">
        <v>270</v>
      </c>
      <c r="W605">
        <v>233</v>
      </c>
      <c r="X605" t="s">
        <v>45</v>
      </c>
      <c r="Y605" t="s">
        <v>3251</v>
      </c>
      <c r="Z605" t="s">
        <v>368</v>
      </c>
      <c r="AA605" t="s">
        <v>825</v>
      </c>
    </row>
    <row r="606" spans="1:27" x14ac:dyDescent="0.75">
      <c r="A606" s="22" t="s">
        <v>6051</v>
      </c>
      <c r="B606" t="s">
        <v>5189</v>
      </c>
      <c r="C606" t="s">
        <v>104</v>
      </c>
      <c r="D606" t="s">
        <v>329</v>
      </c>
      <c r="E606" t="s">
        <v>330</v>
      </c>
      <c r="F606" t="s">
        <v>5190</v>
      </c>
      <c r="G606" s="1" t="str">
        <f>HYPERLINK("https://homd.org/jbrowse/?data=homd_V11.02_phage_1.2%2FGCA_900446695.1&amp;loc=GCA_900446695.1%7CUAVP01000008.1%3A130384..137211&amp;tracks=prokka,prokka_ncrna,ncbi,ncbi_ncrna,panggolin,cenote,genomad&amp;highlight=","Open JBrowse")</f>
        <v>Open JBrowse</v>
      </c>
      <c r="H606">
        <v>133384</v>
      </c>
      <c r="I606">
        <v>134211</v>
      </c>
      <c r="J606" t="s">
        <v>5191</v>
      </c>
      <c r="K606" t="s">
        <v>39</v>
      </c>
      <c r="L606" t="s">
        <v>343</v>
      </c>
      <c r="M606" t="s">
        <v>344</v>
      </c>
      <c r="N606" t="s">
        <v>42</v>
      </c>
      <c r="O606">
        <v>3</v>
      </c>
      <c r="P606" t="s">
        <v>42</v>
      </c>
      <c r="Q606" t="s">
        <v>43</v>
      </c>
      <c r="R606" t="s">
        <v>5192</v>
      </c>
      <c r="S606" t="s">
        <v>343</v>
      </c>
      <c r="T606" t="s">
        <v>42</v>
      </c>
      <c r="U606">
        <v>38</v>
      </c>
      <c r="V606">
        <v>270</v>
      </c>
      <c r="W606">
        <v>233</v>
      </c>
      <c r="X606" t="s">
        <v>45</v>
      </c>
      <c r="Y606" t="s">
        <v>5193</v>
      </c>
      <c r="Z606" t="s">
        <v>743</v>
      </c>
      <c r="AA606" t="s">
        <v>347</v>
      </c>
    </row>
    <row r="607" spans="1:27" x14ac:dyDescent="0.75">
      <c r="A607" s="22" t="s">
        <v>6051</v>
      </c>
      <c r="B607" t="s">
        <v>5270</v>
      </c>
      <c r="C607" t="s">
        <v>104</v>
      </c>
      <c r="D607" t="s">
        <v>329</v>
      </c>
      <c r="E607" t="s">
        <v>330</v>
      </c>
      <c r="F607" t="s">
        <v>5271</v>
      </c>
      <c r="G607" s="1" t="str">
        <f>HYPERLINK("https://homd.org/jbrowse/?data=homd_V11.02_phage_1.2%2FGCA_900638125.1&amp;loc=GCA_900638125.1%7CLR134489.1%3A2097745..2104566&amp;tracks=prokka,prokka_ncrna,ncbi,ncbi_ncrna,panggolin,cenote,genomad&amp;highlight=","Open JBrowse")</f>
        <v>Open JBrowse</v>
      </c>
      <c r="H607">
        <v>2100745</v>
      </c>
      <c r="I607">
        <v>2101566</v>
      </c>
      <c r="J607" t="s">
        <v>5279</v>
      </c>
      <c r="K607" t="s">
        <v>39</v>
      </c>
      <c r="L607" t="s">
        <v>343</v>
      </c>
      <c r="M607" t="s">
        <v>1833</v>
      </c>
      <c r="N607" t="s">
        <v>42</v>
      </c>
      <c r="O607">
        <v>3</v>
      </c>
      <c r="P607" t="s">
        <v>42</v>
      </c>
      <c r="Q607" t="s">
        <v>43</v>
      </c>
      <c r="R607" t="s">
        <v>5273</v>
      </c>
      <c r="S607" t="s">
        <v>343</v>
      </c>
      <c r="T607" t="s">
        <v>42</v>
      </c>
      <c r="U607">
        <v>38</v>
      </c>
      <c r="V607">
        <v>270</v>
      </c>
      <c r="W607">
        <v>233</v>
      </c>
      <c r="X607" t="s">
        <v>45</v>
      </c>
      <c r="Y607" t="s">
        <v>5280</v>
      </c>
      <c r="Z607" t="s">
        <v>667</v>
      </c>
      <c r="AA607" t="s">
        <v>5281</v>
      </c>
    </row>
    <row r="608" spans="1:27" x14ac:dyDescent="0.75">
      <c r="A608" s="22" t="s">
        <v>6051</v>
      </c>
      <c r="B608" t="s">
        <v>5492</v>
      </c>
      <c r="C608" t="s">
        <v>104</v>
      </c>
      <c r="D608" t="s">
        <v>329</v>
      </c>
      <c r="E608" t="s">
        <v>330</v>
      </c>
      <c r="F608" t="s">
        <v>5493</v>
      </c>
      <c r="G608" s="1" t="str">
        <f>HYPERLINK("https://homd.org/jbrowse/?data=homd_V11.02_phage_1.2%2FGCA_905373265.1&amp;loc=GCA_905373265.1%7CCAJPRX010000003.1%3A15770..22591&amp;tracks=prokka,prokka_ncrna,ncbi,ncbi_ncrna,panggolin,cenote,genomad&amp;highlight=","Open JBrowse")</f>
        <v>Open JBrowse</v>
      </c>
      <c r="H608">
        <v>18770</v>
      </c>
      <c r="I608">
        <v>19591</v>
      </c>
      <c r="J608" t="s">
        <v>5494</v>
      </c>
      <c r="K608" t="s">
        <v>39</v>
      </c>
      <c r="L608" t="s">
        <v>343</v>
      </c>
      <c r="M608" t="s">
        <v>1833</v>
      </c>
      <c r="N608" t="s">
        <v>42</v>
      </c>
      <c r="O608">
        <v>3</v>
      </c>
      <c r="P608" t="s">
        <v>42</v>
      </c>
      <c r="Q608" t="s">
        <v>43</v>
      </c>
      <c r="R608" t="s">
        <v>5495</v>
      </c>
      <c r="S608" t="s">
        <v>343</v>
      </c>
      <c r="T608" t="s">
        <v>42</v>
      </c>
      <c r="U608">
        <v>38</v>
      </c>
      <c r="V608">
        <v>270</v>
      </c>
      <c r="W608">
        <v>233</v>
      </c>
      <c r="X608" t="s">
        <v>45</v>
      </c>
      <c r="Y608" t="s">
        <v>5496</v>
      </c>
      <c r="Z608" t="s">
        <v>1257</v>
      </c>
      <c r="AA608" t="s">
        <v>5497</v>
      </c>
    </row>
    <row r="609" spans="1:34" x14ac:dyDescent="0.75">
      <c r="A609" s="22" t="s">
        <v>6051</v>
      </c>
      <c r="B609" t="s">
        <v>5914</v>
      </c>
      <c r="C609" t="s">
        <v>104</v>
      </c>
      <c r="D609" t="s">
        <v>814</v>
      </c>
      <c r="E609" t="s">
        <v>815</v>
      </c>
      <c r="F609" t="s">
        <v>5915</v>
      </c>
      <c r="G609" s="1" t="str">
        <f>HYPERLINK("https://homd.org/jbrowse/?data=homd_V11.02_phage_1.2%2FGCA_938045645.1&amp;loc=GCA_938045645.1%7CCALIAT010000024.1%3A5215..12039&amp;tracks=prokka,prokka_ncrna,ncbi,ncbi_ncrna,panggolin,cenote,genomad&amp;highlight=","Open JBrowse")</f>
        <v>Open JBrowse</v>
      </c>
      <c r="H609">
        <v>8215</v>
      </c>
      <c r="I609">
        <v>9039</v>
      </c>
      <c r="J609" t="s">
        <v>5916</v>
      </c>
      <c r="K609" t="s">
        <v>39</v>
      </c>
      <c r="L609" t="s">
        <v>997</v>
      </c>
      <c r="M609" t="s">
        <v>5917</v>
      </c>
      <c r="N609" t="s">
        <v>42</v>
      </c>
      <c r="O609">
        <v>3</v>
      </c>
      <c r="P609" t="s">
        <v>42</v>
      </c>
      <c r="Q609" t="s">
        <v>43</v>
      </c>
      <c r="R609" t="s">
        <v>5918</v>
      </c>
      <c r="S609" t="s">
        <v>997</v>
      </c>
      <c r="T609" t="s">
        <v>42</v>
      </c>
      <c r="U609">
        <v>39</v>
      </c>
      <c r="V609">
        <v>271</v>
      </c>
      <c r="W609">
        <v>233</v>
      </c>
      <c r="X609" t="s">
        <v>45</v>
      </c>
    </row>
    <row r="610" spans="1:34" x14ac:dyDescent="0.75">
      <c r="A610" s="22" t="s">
        <v>6051</v>
      </c>
      <c r="B610" t="s">
        <v>5936</v>
      </c>
      <c r="C610" t="s">
        <v>104</v>
      </c>
      <c r="D610" t="s">
        <v>1998</v>
      </c>
      <c r="E610" t="s">
        <v>1999</v>
      </c>
      <c r="F610" t="s">
        <v>5945</v>
      </c>
      <c r="G610" s="1" t="str">
        <f>HYPERLINK("https://homd.org/jbrowse/?data=homd_V11.02_phage_1.2%2FGCA_945829905.1&amp;loc=GCA_945829905.1%7CCALZWP010000066.1%3A1..4257&amp;tracks=prokka,prokka_ncrna,ncbi,ncbi_ncrna,panggolin,cenote,genomad&amp;highlight=","Open JBrowse")</f>
        <v>Open JBrowse</v>
      </c>
      <c r="H610">
        <v>439</v>
      </c>
      <c r="I610">
        <v>1257</v>
      </c>
      <c r="J610" t="s">
        <v>5946</v>
      </c>
      <c r="K610" t="s">
        <v>996</v>
      </c>
      <c r="L610" t="s">
        <v>997</v>
      </c>
      <c r="M610" t="s">
        <v>998</v>
      </c>
      <c r="N610" t="s">
        <v>42</v>
      </c>
      <c r="O610">
        <v>3</v>
      </c>
      <c r="P610" t="s">
        <v>42</v>
      </c>
      <c r="Q610" t="s">
        <v>101</v>
      </c>
      <c r="R610" t="s">
        <v>5939</v>
      </c>
      <c r="S610" t="s">
        <v>997</v>
      </c>
      <c r="T610" t="s">
        <v>42</v>
      </c>
      <c r="U610">
        <v>39</v>
      </c>
      <c r="V610">
        <v>271</v>
      </c>
      <c r="W610">
        <v>233</v>
      </c>
      <c r="X610" t="s">
        <v>999</v>
      </c>
      <c r="Y610" t="s">
        <v>5947</v>
      </c>
      <c r="Z610" t="s">
        <v>503</v>
      </c>
      <c r="AA610" t="s">
        <v>5948</v>
      </c>
      <c r="AB610" t="s">
        <v>5949</v>
      </c>
      <c r="AC610" t="s">
        <v>1003</v>
      </c>
      <c r="AD610" t="s">
        <v>101</v>
      </c>
      <c r="AE610">
        <v>6058</v>
      </c>
      <c r="AF610" t="s">
        <v>5950</v>
      </c>
      <c r="AG610" t="s">
        <v>101</v>
      </c>
      <c r="AH610">
        <v>2</v>
      </c>
    </row>
    <row r="611" spans="1:34" x14ac:dyDescent="0.75">
      <c r="A611" s="22" t="s">
        <v>6051</v>
      </c>
      <c r="B611" t="s">
        <v>2024</v>
      </c>
      <c r="C611" t="s">
        <v>104</v>
      </c>
      <c r="D611" t="s">
        <v>2025</v>
      </c>
      <c r="E611" t="s">
        <v>474</v>
      </c>
      <c r="F611" t="s">
        <v>2026</v>
      </c>
      <c r="G611" s="1" t="str">
        <f>HYPERLINK("https://homd.org/jbrowse/?data=homd_V11.02_phage_1.2%2FGCA_002999135.1&amp;loc=GCA_002999135.1%7CCP027229.1%3A1685289..1692095&amp;tracks=prokka,prokka_ncrna,ncbi,ncbi_ncrna,panggolin,cenote,genomad&amp;highlight=","Open JBrowse")</f>
        <v>Open JBrowse</v>
      </c>
      <c r="H611">
        <v>1688289</v>
      </c>
      <c r="I611">
        <v>1689095</v>
      </c>
      <c r="J611" t="s">
        <v>2027</v>
      </c>
      <c r="K611" t="s">
        <v>39</v>
      </c>
      <c r="L611" t="s">
        <v>2028</v>
      </c>
      <c r="M611" t="s">
        <v>2029</v>
      </c>
      <c r="N611" t="s">
        <v>42</v>
      </c>
      <c r="O611">
        <v>3</v>
      </c>
      <c r="P611" t="s">
        <v>42</v>
      </c>
      <c r="Q611" t="s">
        <v>43</v>
      </c>
      <c r="R611" t="s">
        <v>2030</v>
      </c>
      <c r="S611" t="s">
        <v>2028</v>
      </c>
      <c r="T611" t="s">
        <v>42</v>
      </c>
      <c r="U611">
        <v>40</v>
      </c>
      <c r="V611">
        <v>266</v>
      </c>
      <c r="W611">
        <v>227</v>
      </c>
      <c r="X611" t="s">
        <v>45</v>
      </c>
      <c r="Y611" t="s">
        <v>2031</v>
      </c>
      <c r="Z611" t="s">
        <v>346</v>
      </c>
      <c r="AA611" t="s">
        <v>2032</v>
      </c>
      <c r="AB611" t="s">
        <v>2033</v>
      </c>
      <c r="AC611" t="s">
        <v>2034</v>
      </c>
      <c r="AD611" t="s">
        <v>1213</v>
      </c>
      <c r="AE611">
        <v>249.2</v>
      </c>
      <c r="AF611" t="s">
        <v>2035</v>
      </c>
    </row>
    <row r="612" spans="1:34" x14ac:dyDescent="0.75">
      <c r="A612" s="22" t="s">
        <v>6051</v>
      </c>
      <c r="B612" t="s">
        <v>461</v>
      </c>
      <c r="C612" t="s">
        <v>104</v>
      </c>
      <c r="D612" t="s">
        <v>462</v>
      </c>
      <c r="E612" t="s">
        <v>463</v>
      </c>
      <c r="F612" t="s">
        <v>464</v>
      </c>
      <c r="G612" s="1" t="str">
        <f>HYPERLINK("https://homd.org/jbrowse/?data=homd_V11.02_phage_1.2%2FGCA_000191765.2&amp;loc=GCA_000191765.2%7CAEXO01000095.1%3A83136..90095&amp;tracks=prokka,prokka_ncrna,ncbi,ncbi_ncrna,panggolin,cenote,genomad&amp;highlight=","Open JBrowse")</f>
        <v>Open JBrowse</v>
      </c>
      <c r="H612">
        <v>86136</v>
      </c>
      <c r="I612">
        <v>87095</v>
      </c>
      <c r="J612" t="s">
        <v>465</v>
      </c>
      <c r="K612" t="s">
        <v>59</v>
      </c>
      <c r="L612" t="s">
        <v>466</v>
      </c>
      <c r="M612" t="s">
        <v>467</v>
      </c>
      <c r="N612" t="s">
        <v>398</v>
      </c>
      <c r="O612">
        <v>3</v>
      </c>
      <c r="P612" t="s">
        <v>42</v>
      </c>
      <c r="Q612" t="s">
        <v>59</v>
      </c>
      <c r="R612" t="s">
        <v>468</v>
      </c>
      <c r="S612" t="s">
        <v>466</v>
      </c>
      <c r="T612" t="s">
        <v>42</v>
      </c>
      <c r="U612">
        <v>41</v>
      </c>
      <c r="V612">
        <v>267</v>
      </c>
      <c r="W612">
        <v>227</v>
      </c>
      <c r="X612" t="s">
        <v>160</v>
      </c>
      <c r="Y612" t="s">
        <v>469</v>
      </c>
      <c r="Z612" t="s">
        <v>470</v>
      </c>
      <c r="AA612" t="s">
        <v>471</v>
      </c>
    </row>
    <row r="613" spans="1:34" x14ac:dyDescent="0.75">
      <c r="A613" s="22" t="s">
        <v>6051</v>
      </c>
      <c r="B613" t="s">
        <v>480</v>
      </c>
      <c r="C613" t="s">
        <v>104</v>
      </c>
      <c r="D613" t="s">
        <v>462</v>
      </c>
      <c r="E613" t="s">
        <v>463</v>
      </c>
      <c r="F613" t="s">
        <v>481</v>
      </c>
      <c r="G613" s="1" t="str">
        <f>HYPERLINK("https://homd.org/jbrowse/?data=homd_V11.02_phage_1.2%2FGCA_000193395.1&amp;loc=GCA_000193395.1%7CCP002589.1%3A620540..627499&amp;tracks=prokka,prokka_ncrna,ncbi,ncbi_ncrna,panggolin,cenote,genomad&amp;highlight=","Open JBrowse")</f>
        <v>Open JBrowse</v>
      </c>
      <c r="H613">
        <v>623540</v>
      </c>
      <c r="I613">
        <v>624499</v>
      </c>
      <c r="J613" t="s">
        <v>482</v>
      </c>
      <c r="K613" t="s">
        <v>59</v>
      </c>
      <c r="L613" t="s">
        <v>466</v>
      </c>
      <c r="M613" t="s">
        <v>467</v>
      </c>
      <c r="N613" t="s">
        <v>398</v>
      </c>
      <c r="O613">
        <v>3</v>
      </c>
      <c r="P613" t="s">
        <v>42</v>
      </c>
      <c r="Q613" t="s">
        <v>59</v>
      </c>
      <c r="R613" t="s">
        <v>483</v>
      </c>
      <c r="S613" t="s">
        <v>466</v>
      </c>
      <c r="T613" t="s">
        <v>42</v>
      </c>
      <c r="U613">
        <v>41</v>
      </c>
      <c r="V613">
        <v>267</v>
      </c>
      <c r="W613">
        <v>227</v>
      </c>
      <c r="X613" t="s">
        <v>160</v>
      </c>
      <c r="Y613" t="s">
        <v>484</v>
      </c>
      <c r="Z613" t="s">
        <v>336</v>
      </c>
      <c r="AA613" t="s">
        <v>471</v>
      </c>
    </row>
    <row r="614" spans="1:34" x14ac:dyDescent="0.75">
      <c r="A614" s="22" t="s">
        <v>6051</v>
      </c>
      <c r="B614" t="s">
        <v>942</v>
      </c>
      <c r="C614" t="s">
        <v>104</v>
      </c>
      <c r="D614" t="s">
        <v>462</v>
      </c>
      <c r="E614" t="s">
        <v>463</v>
      </c>
      <c r="F614" t="s">
        <v>943</v>
      </c>
      <c r="G614" s="1" t="str">
        <f>HYPERLINK("https://homd.org/jbrowse/?data=homd_V11.02_phage_1.2%2FGCA_000421205.1&amp;loc=GCA_000421205.1%7CATWK01000006.1%3A88736..95695&amp;tracks=prokka,prokka_ncrna,ncbi,ncbi_ncrna,panggolin,cenote,genomad&amp;highlight=","Open JBrowse")</f>
        <v>Open JBrowse</v>
      </c>
      <c r="H614">
        <v>91736</v>
      </c>
      <c r="I614">
        <v>92695</v>
      </c>
      <c r="J614" t="s">
        <v>944</v>
      </c>
      <c r="K614" t="s">
        <v>59</v>
      </c>
      <c r="L614" t="s">
        <v>466</v>
      </c>
      <c r="M614" t="s">
        <v>467</v>
      </c>
      <c r="N614" t="s">
        <v>398</v>
      </c>
      <c r="O614">
        <v>3</v>
      </c>
      <c r="P614" t="s">
        <v>42</v>
      </c>
      <c r="Q614" t="s">
        <v>59</v>
      </c>
      <c r="R614" t="s">
        <v>945</v>
      </c>
      <c r="S614" t="s">
        <v>466</v>
      </c>
      <c r="T614" t="s">
        <v>42</v>
      </c>
      <c r="U614">
        <v>41</v>
      </c>
      <c r="V614">
        <v>267</v>
      </c>
      <c r="W614">
        <v>227</v>
      </c>
      <c r="X614" t="s">
        <v>160</v>
      </c>
      <c r="Y614" t="s">
        <v>946</v>
      </c>
      <c r="Z614" t="s">
        <v>281</v>
      </c>
      <c r="AA614" t="s">
        <v>471</v>
      </c>
    </row>
    <row r="615" spans="1:34" x14ac:dyDescent="0.75">
      <c r="A615" s="22" t="s">
        <v>6051</v>
      </c>
      <c r="B615" t="s">
        <v>1252</v>
      </c>
      <c r="C615" t="s">
        <v>104</v>
      </c>
      <c r="D615" t="s">
        <v>462</v>
      </c>
      <c r="E615" t="s">
        <v>463</v>
      </c>
      <c r="F615" t="s">
        <v>1253</v>
      </c>
      <c r="G615" s="1" t="str">
        <f>HYPERLINK("https://homd.org/jbrowse/?data=homd_V11.02_phage_1.2%2FGCA_000613585.1&amp;loc=GCA_000613585.1%7CBAJG01000001.1%3A88845..95804&amp;tracks=prokka,prokka_ncrna,ncbi,ncbi_ncrna,panggolin,cenote,genomad&amp;highlight=","Open JBrowse")</f>
        <v>Open JBrowse</v>
      </c>
      <c r="H615">
        <v>91845</v>
      </c>
      <c r="I615">
        <v>92804</v>
      </c>
      <c r="J615" t="s">
        <v>1254</v>
      </c>
      <c r="K615" t="s">
        <v>59</v>
      </c>
      <c r="L615" t="s">
        <v>466</v>
      </c>
      <c r="M615" t="s">
        <v>467</v>
      </c>
      <c r="N615" t="s">
        <v>398</v>
      </c>
      <c r="O615">
        <v>3</v>
      </c>
      <c r="P615" t="s">
        <v>42</v>
      </c>
      <c r="Q615" t="s">
        <v>59</v>
      </c>
      <c r="R615" t="s">
        <v>1255</v>
      </c>
      <c r="S615" t="s">
        <v>466</v>
      </c>
      <c r="T615" t="s">
        <v>42</v>
      </c>
      <c r="U615">
        <v>41</v>
      </c>
      <c r="V615">
        <v>267</v>
      </c>
      <c r="W615">
        <v>227</v>
      </c>
      <c r="X615" t="s">
        <v>160</v>
      </c>
      <c r="Y615" t="s">
        <v>1256</v>
      </c>
      <c r="Z615" t="s">
        <v>1257</v>
      </c>
      <c r="AA615" t="s">
        <v>471</v>
      </c>
    </row>
    <row r="616" spans="1:34" x14ac:dyDescent="0.75">
      <c r="A616" s="22" t="s">
        <v>6051</v>
      </c>
      <c r="B616" t="s">
        <v>1329</v>
      </c>
      <c r="C616" t="s">
        <v>104</v>
      </c>
      <c r="D616" t="s">
        <v>462</v>
      </c>
      <c r="E616" t="s">
        <v>463</v>
      </c>
      <c r="F616" t="s">
        <v>1330</v>
      </c>
      <c r="G616" s="1" t="str">
        <f>HYPERLINK("https://homd.org/jbrowse/?data=homd_V11.02_phage_1.2%2FGCA_000759205.1&amp;loc=GCA_000759205.1%7CJRNO01000001.1%3A204082..211026&amp;tracks=prokka,prokka_ncrna,ncbi,ncbi_ncrna,panggolin,cenote,genomad&amp;highlight=","Open JBrowse")</f>
        <v>Open JBrowse</v>
      </c>
      <c r="H616">
        <v>207082</v>
      </c>
      <c r="I616">
        <v>208026</v>
      </c>
      <c r="J616" t="s">
        <v>1331</v>
      </c>
      <c r="K616" t="s">
        <v>59</v>
      </c>
      <c r="L616" t="s">
        <v>466</v>
      </c>
      <c r="M616" t="s">
        <v>467</v>
      </c>
      <c r="N616" t="s">
        <v>398</v>
      </c>
      <c r="O616">
        <v>3</v>
      </c>
      <c r="P616" t="s">
        <v>42</v>
      </c>
      <c r="Q616" t="s">
        <v>59</v>
      </c>
      <c r="R616" t="s">
        <v>1332</v>
      </c>
      <c r="S616" t="s">
        <v>466</v>
      </c>
      <c r="T616" t="s">
        <v>42</v>
      </c>
      <c r="U616">
        <v>41</v>
      </c>
      <c r="V616">
        <v>267</v>
      </c>
      <c r="W616">
        <v>227</v>
      </c>
      <c r="X616" t="s">
        <v>160</v>
      </c>
      <c r="Y616" t="s">
        <v>1333</v>
      </c>
      <c r="Z616" t="s">
        <v>1334</v>
      </c>
      <c r="AA616" t="s">
        <v>1335</v>
      </c>
    </row>
    <row r="617" spans="1:34" x14ac:dyDescent="0.75">
      <c r="A617" s="22" t="s">
        <v>6051</v>
      </c>
      <c r="B617" t="s">
        <v>2183</v>
      </c>
      <c r="C617" t="s">
        <v>104</v>
      </c>
      <c r="D617" t="s">
        <v>462</v>
      </c>
      <c r="E617" t="s">
        <v>463</v>
      </c>
      <c r="F617" t="s">
        <v>2184</v>
      </c>
      <c r="G617" s="1" t="str">
        <f>HYPERLINK("https://homd.org/jbrowse/?data=homd_V11.02_phage_1.2%2FGCA_003515045.1&amp;loc=GCA_003515045.1%7CCP032056.1%3A1170109..1177068&amp;tracks=prokka,prokka_ncrna,ncbi,ncbi_ncrna,panggolin,cenote,genomad&amp;highlight=","Open JBrowse")</f>
        <v>Open JBrowse</v>
      </c>
      <c r="H617">
        <v>1173109</v>
      </c>
      <c r="I617">
        <v>1174068</v>
      </c>
      <c r="J617" t="s">
        <v>2185</v>
      </c>
      <c r="K617" t="s">
        <v>59</v>
      </c>
      <c r="L617" t="s">
        <v>466</v>
      </c>
      <c r="M617" t="s">
        <v>467</v>
      </c>
      <c r="N617" t="s">
        <v>398</v>
      </c>
      <c r="O617">
        <v>3</v>
      </c>
      <c r="P617" t="s">
        <v>42</v>
      </c>
      <c r="Q617" t="s">
        <v>59</v>
      </c>
      <c r="R617" t="s">
        <v>2186</v>
      </c>
      <c r="S617" t="s">
        <v>466</v>
      </c>
      <c r="T617" t="s">
        <v>42</v>
      </c>
      <c r="U617">
        <v>41</v>
      </c>
      <c r="V617">
        <v>267</v>
      </c>
      <c r="W617">
        <v>227</v>
      </c>
      <c r="X617" t="s">
        <v>160</v>
      </c>
      <c r="Y617" t="s">
        <v>2187</v>
      </c>
      <c r="Z617" t="s">
        <v>281</v>
      </c>
      <c r="AA617" t="s">
        <v>471</v>
      </c>
    </row>
    <row r="618" spans="1:34" x14ac:dyDescent="0.75">
      <c r="A618" s="22" t="s">
        <v>6051</v>
      </c>
      <c r="B618" t="s">
        <v>3041</v>
      </c>
      <c r="C618" t="s">
        <v>104</v>
      </c>
      <c r="D618" t="s">
        <v>559</v>
      </c>
      <c r="E618" t="s">
        <v>560</v>
      </c>
      <c r="F618" t="s">
        <v>3042</v>
      </c>
      <c r="G618" s="1" t="str">
        <f>HYPERLINK("https://homd.org/jbrowse/?data=homd_V11.02_phage_1.2%2FGCA_015262435.1&amp;loc=GCA_015262435.1%7CJABZSV010000019.1%3A15946..22794&amp;tracks=prokka,prokka_ncrna,ncbi,ncbi_ncrna,panggolin,cenote,genomad&amp;highlight=","Open JBrowse")</f>
        <v>Open JBrowse</v>
      </c>
      <c r="H618">
        <v>18946</v>
      </c>
      <c r="I618">
        <v>19794</v>
      </c>
      <c r="J618" t="s">
        <v>3043</v>
      </c>
      <c r="K618" t="s">
        <v>59</v>
      </c>
      <c r="L618" t="s">
        <v>466</v>
      </c>
      <c r="M618" t="s">
        <v>467</v>
      </c>
      <c r="N618" t="s">
        <v>42</v>
      </c>
      <c r="O618">
        <v>3</v>
      </c>
      <c r="P618" t="s">
        <v>42</v>
      </c>
      <c r="Q618" t="s">
        <v>59</v>
      </c>
      <c r="R618" t="s">
        <v>3044</v>
      </c>
      <c r="S618" t="s">
        <v>466</v>
      </c>
      <c r="T618" t="s">
        <v>42</v>
      </c>
      <c r="U618">
        <v>41</v>
      </c>
      <c r="V618">
        <v>267</v>
      </c>
      <c r="W618">
        <v>227</v>
      </c>
      <c r="X618" t="s">
        <v>160</v>
      </c>
      <c r="Y618" t="s">
        <v>3045</v>
      </c>
      <c r="Z618" t="s">
        <v>1291</v>
      </c>
      <c r="AA618" t="s">
        <v>3046</v>
      </c>
    </row>
    <row r="619" spans="1:34" x14ac:dyDescent="0.75">
      <c r="A619" s="22" t="s">
        <v>6051</v>
      </c>
      <c r="B619" t="s">
        <v>3047</v>
      </c>
      <c r="C619" t="s">
        <v>104</v>
      </c>
      <c r="D619" t="s">
        <v>559</v>
      </c>
      <c r="E619" t="s">
        <v>560</v>
      </c>
      <c r="F619" t="s">
        <v>3048</v>
      </c>
      <c r="G619" s="1" t="str">
        <f>HYPERLINK("https://homd.org/jbrowse/?data=homd_V11.02_phage_1.2%2FGCA_015262445.1&amp;loc=GCA_015262445.1%7CJABZST010000031.1%3A975..7823&amp;tracks=prokka,prokka_ncrna,ncbi,ncbi_ncrna,panggolin,cenote,genomad&amp;highlight=","Open JBrowse")</f>
        <v>Open JBrowse</v>
      </c>
      <c r="H619">
        <v>3975</v>
      </c>
      <c r="I619">
        <v>4823</v>
      </c>
      <c r="J619" t="s">
        <v>3049</v>
      </c>
      <c r="K619" t="s">
        <v>59</v>
      </c>
      <c r="L619" t="s">
        <v>466</v>
      </c>
      <c r="M619" t="s">
        <v>467</v>
      </c>
      <c r="N619" t="s">
        <v>42</v>
      </c>
      <c r="O619">
        <v>3</v>
      </c>
      <c r="P619" t="s">
        <v>42</v>
      </c>
      <c r="Q619" t="s">
        <v>59</v>
      </c>
      <c r="R619" t="s">
        <v>3050</v>
      </c>
      <c r="S619" t="s">
        <v>466</v>
      </c>
      <c r="T619" t="s">
        <v>42</v>
      </c>
      <c r="U619">
        <v>41</v>
      </c>
      <c r="V619">
        <v>267</v>
      </c>
      <c r="W619">
        <v>227</v>
      </c>
      <c r="X619" t="s">
        <v>160</v>
      </c>
    </row>
    <row r="620" spans="1:34" x14ac:dyDescent="0.75">
      <c r="A620" s="22" t="s">
        <v>6051</v>
      </c>
      <c r="B620" t="s">
        <v>3061</v>
      </c>
      <c r="C620" t="s">
        <v>104</v>
      </c>
      <c r="D620" t="s">
        <v>559</v>
      </c>
      <c r="E620" t="s">
        <v>560</v>
      </c>
      <c r="F620" t="s">
        <v>3062</v>
      </c>
      <c r="G620" s="1" t="str">
        <f>HYPERLINK("https://homd.org/jbrowse/?data=homd_V11.02_phage_1.2%2FGCA_015262625.1&amp;loc=GCA_015262625.1%7CJABZSL010000001.1%3A312043..318891&amp;tracks=prokka,prokka_ncrna,ncbi,ncbi_ncrna,panggolin,cenote,genomad&amp;highlight=","Open JBrowse")</f>
        <v>Open JBrowse</v>
      </c>
      <c r="H620">
        <v>315043</v>
      </c>
      <c r="I620">
        <v>315891</v>
      </c>
      <c r="J620" t="s">
        <v>3063</v>
      </c>
      <c r="K620" t="s">
        <v>59</v>
      </c>
      <c r="L620" t="s">
        <v>466</v>
      </c>
      <c r="M620" t="s">
        <v>467</v>
      </c>
      <c r="N620" t="s">
        <v>42</v>
      </c>
      <c r="O620">
        <v>3</v>
      </c>
      <c r="P620" t="s">
        <v>42</v>
      </c>
      <c r="Q620" t="s">
        <v>59</v>
      </c>
      <c r="R620" t="s">
        <v>3064</v>
      </c>
      <c r="S620" t="s">
        <v>466</v>
      </c>
      <c r="T620" t="s">
        <v>42</v>
      </c>
      <c r="U620">
        <v>41</v>
      </c>
      <c r="V620">
        <v>267</v>
      </c>
      <c r="W620">
        <v>227</v>
      </c>
      <c r="X620" t="s">
        <v>160</v>
      </c>
    </row>
    <row r="621" spans="1:34" x14ac:dyDescent="0.75">
      <c r="A621" s="22" t="s">
        <v>6051</v>
      </c>
      <c r="B621" t="s">
        <v>3065</v>
      </c>
      <c r="C621" t="s">
        <v>104</v>
      </c>
      <c r="D621" t="s">
        <v>462</v>
      </c>
      <c r="E621" t="s">
        <v>463</v>
      </c>
      <c r="F621" t="s">
        <v>3066</v>
      </c>
      <c r="G621" s="1" t="str">
        <f>HYPERLINK("https://homd.org/jbrowse/?data=homd_V11.02_phage_1.2%2FGCA_015262675.1&amp;loc=GCA_015262675.1%7CJABZSK010000002.1%3A53871..60830&amp;tracks=prokka,prokka_ncrna,ncbi,ncbi_ncrna,panggolin,cenote,genomad&amp;highlight=","Open JBrowse")</f>
        <v>Open JBrowse</v>
      </c>
      <c r="H621">
        <v>56871</v>
      </c>
      <c r="I621">
        <v>57830</v>
      </c>
      <c r="J621" t="s">
        <v>3067</v>
      </c>
      <c r="K621" t="s">
        <v>59</v>
      </c>
      <c r="L621" t="s">
        <v>466</v>
      </c>
      <c r="M621" t="s">
        <v>467</v>
      </c>
      <c r="N621" t="s">
        <v>398</v>
      </c>
      <c r="O621">
        <v>3</v>
      </c>
      <c r="P621" t="s">
        <v>42</v>
      </c>
      <c r="Q621" t="s">
        <v>59</v>
      </c>
      <c r="R621" t="s">
        <v>3068</v>
      </c>
      <c r="S621" t="s">
        <v>466</v>
      </c>
      <c r="T621" t="s">
        <v>42</v>
      </c>
      <c r="U621">
        <v>41</v>
      </c>
      <c r="V621">
        <v>267</v>
      </c>
      <c r="W621">
        <v>227</v>
      </c>
      <c r="X621" t="s">
        <v>160</v>
      </c>
      <c r="Y621" t="s">
        <v>3069</v>
      </c>
      <c r="Z621" t="s">
        <v>547</v>
      </c>
      <c r="AA621" t="s">
        <v>1335</v>
      </c>
    </row>
    <row r="622" spans="1:34" x14ac:dyDescent="0.75">
      <c r="A622" s="22" t="s">
        <v>6051</v>
      </c>
      <c r="B622" t="s">
        <v>3430</v>
      </c>
      <c r="C622" t="s">
        <v>104</v>
      </c>
      <c r="D622" t="s">
        <v>462</v>
      </c>
      <c r="E622" t="s">
        <v>463</v>
      </c>
      <c r="F622" t="s">
        <v>3431</v>
      </c>
      <c r="G622" s="1" t="str">
        <f>HYPERLINK("https://homd.org/jbrowse/?data=homd_V11.02_phage_1.2%2FGCA_018128165.1&amp;loc=GCA_018128165.1%7CCP072371.1%3A1708593..1715552&amp;tracks=prokka,prokka_ncrna,ncbi,ncbi_ncrna,panggolin,cenote,genomad&amp;highlight=","Open JBrowse")</f>
        <v>Open JBrowse</v>
      </c>
      <c r="H622">
        <v>1711593</v>
      </c>
      <c r="I622">
        <v>1712552</v>
      </c>
      <c r="J622" t="s">
        <v>3432</v>
      </c>
      <c r="K622" t="s">
        <v>59</v>
      </c>
      <c r="L622" t="s">
        <v>466</v>
      </c>
      <c r="M622" t="s">
        <v>467</v>
      </c>
      <c r="N622" t="s">
        <v>398</v>
      </c>
      <c r="O622">
        <v>3</v>
      </c>
      <c r="P622" t="s">
        <v>42</v>
      </c>
      <c r="Q622" t="s">
        <v>59</v>
      </c>
      <c r="R622" t="s">
        <v>3433</v>
      </c>
      <c r="S622" t="s">
        <v>466</v>
      </c>
      <c r="T622" t="s">
        <v>42</v>
      </c>
      <c r="U622">
        <v>41</v>
      </c>
      <c r="V622">
        <v>267</v>
      </c>
      <c r="W622">
        <v>227</v>
      </c>
      <c r="X622" t="s">
        <v>160</v>
      </c>
      <c r="Y622" t="s">
        <v>3434</v>
      </c>
      <c r="Z622" t="s">
        <v>743</v>
      </c>
      <c r="AA622" t="s">
        <v>471</v>
      </c>
    </row>
    <row r="623" spans="1:34" x14ac:dyDescent="0.75">
      <c r="A623" s="22" t="s">
        <v>6051</v>
      </c>
      <c r="B623" t="s">
        <v>3435</v>
      </c>
      <c r="C623" t="s">
        <v>104</v>
      </c>
      <c r="D623" t="s">
        <v>462</v>
      </c>
      <c r="E623" t="s">
        <v>463</v>
      </c>
      <c r="F623" t="s">
        <v>3436</v>
      </c>
      <c r="G623" s="1" t="str">
        <f>HYPERLINK("https://homd.org/jbrowse/?data=homd_V11.02_phage_1.2%2FGCA_018128185.1&amp;loc=GCA_018128185.1%7CCP072373.1%3A1091..8071&amp;tracks=prokka,prokka_ncrna,ncbi,ncbi_ncrna,panggolin,cenote,genomad&amp;highlight=","Open JBrowse")</f>
        <v>Open JBrowse</v>
      </c>
      <c r="H623">
        <v>4091</v>
      </c>
      <c r="I623">
        <v>5071</v>
      </c>
      <c r="J623" t="s">
        <v>3437</v>
      </c>
      <c r="K623" t="s">
        <v>59</v>
      </c>
      <c r="L623" t="s">
        <v>466</v>
      </c>
      <c r="M623" t="s">
        <v>467</v>
      </c>
      <c r="N623" t="s">
        <v>398</v>
      </c>
      <c r="O623">
        <v>3</v>
      </c>
      <c r="P623" t="s">
        <v>42</v>
      </c>
      <c r="Q623" t="s">
        <v>59</v>
      </c>
      <c r="R623" t="s">
        <v>3438</v>
      </c>
      <c r="S623" t="s">
        <v>466</v>
      </c>
      <c r="T623" t="s">
        <v>42</v>
      </c>
      <c r="U623">
        <v>41</v>
      </c>
      <c r="V623">
        <v>267</v>
      </c>
      <c r="W623">
        <v>227</v>
      </c>
      <c r="X623" t="s">
        <v>160</v>
      </c>
      <c r="Y623" t="s">
        <v>3439</v>
      </c>
      <c r="Z623" t="s">
        <v>368</v>
      </c>
      <c r="AA623" t="s">
        <v>3440</v>
      </c>
    </row>
    <row r="624" spans="1:34" x14ac:dyDescent="0.75">
      <c r="A624" s="22" t="s">
        <v>6051</v>
      </c>
      <c r="B624" t="s">
        <v>3441</v>
      </c>
      <c r="C624" t="s">
        <v>104</v>
      </c>
      <c r="D624" t="s">
        <v>462</v>
      </c>
      <c r="E624" t="s">
        <v>463</v>
      </c>
      <c r="F624" t="s">
        <v>3442</v>
      </c>
      <c r="G624" s="1" t="str">
        <f>HYPERLINK("https://homd.org/jbrowse/?data=homd_V11.02_phage_1.2%2FGCA_018128205.1&amp;loc=GCA_018128205.1%7CCP072374.1%3A1814979..1821938&amp;tracks=prokka,prokka_ncrna,ncbi,ncbi_ncrna,panggolin,cenote,genomad&amp;highlight=","Open JBrowse")</f>
        <v>Open JBrowse</v>
      </c>
      <c r="H624">
        <v>1817979</v>
      </c>
      <c r="I624">
        <v>1818938</v>
      </c>
      <c r="J624" t="s">
        <v>3443</v>
      </c>
      <c r="K624" t="s">
        <v>59</v>
      </c>
      <c r="L624" t="s">
        <v>466</v>
      </c>
      <c r="M624" t="s">
        <v>467</v>
      </c>
      <c r="N624" t="s">
        <v>398</v>
      </c>
      <c r="O624">
        <v>3</v>
      </c>
      <c r="P624" t="s">
        <v>42</v>
      </c>
      <c r="Q624" t="s">
        <v>59</v>
      </c>
      <c r="R624" t="s">
        <v>3444</v>
      </c>
      <c r="S624" t="s">
        <v>466</v>
      </c>
      <c r="T624" t="s">
        <v>42</v>
      </c>
      <c r="U624">
        <v>41</v>
      </c>
      <c r="V624">
        <v>267</v>
      </c>
      <c r="W624">
        <v>227</v>
      </c>
      <c r="X624" t="s">
        <v>160</v>
      </c>
      <c r="Y624" t="s">
        <v>3445</v>
      </c>
      <c r="Z624" t="s">
        <v>118</v>
      </c>
      <c r="AA624" t="s">
        <v>1335</v>
      </c>
    </row>
    <row r="625" spans="1:32" x14ac:dyDescent="0.75">
      <c r="A625" s="22" t="s">
        <v>6051</v>
      </c>
      <c r="B625" t="s">
        <v>3477</v>
      </c>
      <c r="C625" t="s">
        <v>104</v>
      </c>
      <c r="D625" t="s">
        <v>462</v>
      </c>
      <c r="E625" t="s">
        <v>463</v>
      </c>
      <c r="F625" t="s">
        <v>3478</v>
      </c>
      <c r="G625" s="1" t="str">
        <f>HYPERLINK("https://homd.org/jbrowse/?data=homd_V11.02_phage_1.2%2FGCA_018141825.1&amp;loc=GCA_018141825.1%7CCP073339.1%3A316587..323531&amp;tracks=prokka,prokka_ncrna,ncbi,ncbi_ncrna,panggolin,cenote,genomad&amp;highlight=","Open JBrowse")</f>
        <v>Open JBrowse</v>
      </c>
      <c r="H625">
        <v>319587</v>
      </c>
      <c r="I625">
        <v>320531</v>
      </c>
      <c r="J625" t="s">
        <v>3479</v>
      </c>
      <c r="K625" t="s">
        <v>59</v>
      </c>
      <c r="L625" t="s">
        <v>466</v>
      </c>
      <c r="M625" t="s">
        <v>467</v>
      </c>
      <c r="N625" t="s">
        <v>398</v>
      </c>
      <c r="O625">
        <v>3</v>
      </c>
      <c r="P625" t="s">
        <v>42</v>
      </c>
      <c r="Q625" t="s">
        <v>59</v>
      </c>
      <c r="R625" t="s">
        <v>3480</v>
      </c>
      <c r="S625" t="s">
        <v>466</v>
      </c>
      <c r="T625" t="s">
        <v>42</v>
      </c>
      <c r="U625">
        <v>41</v>
      </c>
      <c r="V625">
        <v>267</v>
      </c>
      <c r="W625">
        <v>227</v>
      </c>
      <c r="X625" t="s">
        <v>160</v>
      </c>
      <c r="Y625" t="s">
        <v>3481</v>
      </c>
      <c r="Z625" t="s">
        <v>1463</v>
      </c>
      <c r="AA625" t="s">
        <v>471</v>
      </c>
    </row>
    <row r="626" spans="1:32" x14ac:dyDescent="0.75">
      <c r="A626" s="22" t="s">
        <v>6051</v>
      </c>
      <c r="B626" t="s">
        <v>3710</v>
      </c>
      <c r="C626" t="s">
        <v>104</v>
      </c>
      <c r="D626" t="s">
        <v>462</v>
      </c>
      <c r="E626" t="s">
        <v>463</v>
      </c>
      <c r="F626" t="s">
        <v>3711</v>
      </c>
      <c r="G626" s="1" t="str">
        <f>HYPERLINK("https://homd.org/jbrowse/?data=homd_V11.02_phage_1.2%2FGCA_019375675.1&amp;loc=GCA_019375675.1%7CJAHXCL010000001.1%3A176918..183877&amp;tracks=prokka,prokka_ncrna,ncbi,ncbi_ncrna,panggolin,cenote,genomad&amp;highlight=","Open JBrowse")</f>
        <v>Open JBrowse</v>
      </c>
      <c r="H626">
        <v>179918</v>
      </c>
      <c r="I626">
        <v>180877</v>
      </c>
      <c r="J626" t="s">
        <v>3712</v>
      </c>
      <c r="K626" t="s">
        <v>59</v>
      </c>
      <c r="L626" t="s">
        <v>466</v>
      </c>
      <c r="M626" t="s">
        <v>467</v>
      </c>
      <c r="N626" t="s">
        <v>398</v>
      </c>
      <c r="O626">
        <v>3</v>
      </c>
      <c r="P626" t="s">
        <v>42</v>
      </c>
      <c r="Q626" t="s">
        <v>59</v>
      </c>
      <c r="R626" t="s">
        <v>3713</v>
      </c>
      <c r="S626" t="s">
        <v>466</v>
      </c>
      <c r="T626" t="s">
        <v>42</v>
      </c>
      <c r="U626">
        <v>41</v>
      </c>
      <c r="V626">
        <v>267</v>
      </c>
      <c r="W626">
        <v>227</v>
      </c>
      <c r="X626" t="s">
        <v>160</v>
      </c>
      <c r="Y626" t="s">
        <v>3714</v>
      </c>
      <c r="Z626" t="s">
        <v>1334</v>
      </c>
      <c r="AA626" t="s">
        <v>1335</v>
      </c>
    </row>
    <row r="627" spans="1:32" x14ac:dyDescent="0.75">
      <c r="A627" s="22" t="s">
        <v>6051</v>
      </c>
      <c r="B627" t="s">
        <v>3724</v>
      </c>
      <c r="C627" t="s">
        <v>104</v>
      </c>
      <c r="D627" t="s">
        <v>462</v>
      </c>
      <c r="E627" t="s">
        <v>463</v>
      </c>
      <c r="F627" t="s">
        <v>3725</v>
      </c>
      <c r="G627" s="1" t="str">
        <f>HYPERLINK("https://homd.org/jbrowse/?data=homd_V11.02_phage_1.2%2FGCA_019375725.1&amp;loc=GCA_019375725.1%7CJAHXCJ010000001.1%3A176906..183865&amp;tracks=prokka,prokka_ncrna,ncbi,ncbi_ncrna,panggolin,cenote,genomad&amp;highlight=","Open JBrowse")</f>
        <v>Open JBrowse</v>
      </c>
      <c r="H627">
        <v>179906</v>
      </c>
      <c r="I627">
        <v>180865</v>
      </c>
      <c r="J627" t="s">
        <v>3726</v>
      </c>
      <c r="K627" t="s">
        <v>59</v>
      </c>
      <c r="L627" t="s">
        <v>466</v>
      </c>
      <c r="M627" t="s">
        <v>467</v>
      </c>
      <c r="N627" t="s">
        <v>398</v>
      </c>
      <c r="O627">
        <v>3</v>
      </c>
      <c r="P627" t="s">
        <v>42</v>
      </c>
      <c r="Q627" t="s">
        <v>59</v>
      </c>
      <c r="R627" t="s">
        <v>3727</v>
      </c>
      <c r="S627" t="s">
        <v>466</v>
      </c>
      <c r="T627" t="s">
        <v>42</v>
      </c>
      <c r="U627">
        <v>41</v>
      </c>
      <c r="V627">
        <v>267</v>
      </c>
      <c r="W627">
        <v>227</v>
      </c>
      <c r="X627" t="s">
        <v>160</v>
      </c>
      <c r="Y627" t="s">
        <v>3728</v>
      </c>
      <c r="Z627" t="s">
        <v>1334</v>
      </c>
      <c r="AA627" t="s">
        <v>1335</v>
      </c>
    </row>
    <row r="628" spans="1:32" x14ac:dyDescent="0.75">
      <c r="A628" s="22" t="s">
        <v>6051</v>
      </c>
      <c r="B628" t="s">
        <v>3757</v>
      </c>
      <c r="C628" t="s">
        <v>104</v>
      </c>
      <c r="D628" t="s">
        <v>462</v>
      </c>
      <c r="E628" t="s">
        <v>463</v>
      </c>
      <c r="F628" t="s">
        <v>3758</v>
      </c>
      <c r="G628" s="1" t="str">
        <f>HYPERLINK("https://homd.org/jbrowse/?data=homd_V11.02_phage_1.2%2FGCA_019375865.1&amp;loc=GCA_019375865.1%7CJAHXCQ010000002.1%3A93046..100026&amp;tracks=prokka,prokka_ncrna,ncbi,ncbi_ncrna,panggolin,cenote,genomad&amp;highlight=","Open JBrowse")</f>
        <v>Open JBrowse</v>
      </c>
      <c r="H628">
        <v>96046</v>
      </c>
      <c r="I628">
        <v>97026</v>
      </c>
      <c r="J628" t="s">
        <v>3759</v>
      </c>
      <c r="K628" t="s">
        <v>59</v>
      </c>
      <c r="L628" t="s">
        <v>466</v>
      </c>
      <c r="M628" t="s">
        <v>467</v>
      </c>
      <c r="N628" t="s">
        <v>398</v>
      </c>
      <c r="O628">
        <v>3</v>
      </c>
      <c r="P628" t="s">
        <v>42</v>
      </c>
      <c r="Q628" t="s">
        <v>59</v>
      </c>
      <c r="R628" t="s">
        <v>3760</v>
      </c>
      <c r="S628" t="s">
        <v>466</v>
      </c>
      <c r="T628" t="s">
        <v>42</v>
      </c>
      <c r="U628">
        <v>41</v>
      </c>
      <c r="V628">
        <v>267</v>
      </c>
      <c r="W628">
        <v>227</v>
      </c>
      <c r="X628" t="s">
        <v>160</v>
      </c>
    </row>
    <row r="629" spans="1:32" x14ac:dyDescent="0.75">
      <c r="A629" s="22" t="s">
        <v>6051</v>
      </c>
      <c r="B629" t="s">
        <v>3761</v>
      </c>
      <c r="C629" t="s">
        <v>104</v>
      </c>
      <c r="D629" t="s">
        <v>559</v>
      </c>
      <c r="E629" t="s">
        <v>560</v>
      </c>
      <c r="F629" t="s">
        <v>3762</v>
      </c>
      <c r="G629" s="1" t="str">
        <f>HYPERLINK("https://homd.org/jbrowse/?data=homd_V11.02_phage_1.2%2FGCA_019375895.1&amp;loc=GCA_019375895.1%7CJAHXCV010000001.1%3A45346..52194&amp;tracks=prokka,prokka_ncrna,ncbi,ncbi_ncrna,panggolin,cenote,genomad&amp;highlight=","Open JBrowse")</f>
        <v>Open JBrowse</v>
      </c>
      <c r="H629">
        <v>48346</v>
      </c>
      <c r="I629">
        <v>49194</v>
      </c>
      <c r="J629" t="s">
        <v>3763</v>
      </c>
      <c r="K629" t="s">
        <v>59</v>
      </c>
      <c r="L629" t="s">
        <v>466</v>
      </c>
      <c r="M629" t="s">
        <v>467</v>
      </c>
      <c r="N629" t="s">
        <v>42</v>
      </c>
      <c r="O629">
        <v>3</v>
      </c>
      <c r="P629" t="s">
        <v>42</v>
      </c>
      <c r="Q629" t="s">
        <v>59</v>
      </c>
      <c r="R629" t="s">
        <v>3764</v>
      </c>
      <c r="S629" t="s">
        <v>466</v>
      </c>
      <c r="T629" t="s">
        <v>42</v>
      </c>
      <c r="U629">
        <v>41</v>
      </c>
      <c r="V629">
        <v>267</v>
      </c>
      <c r="W629">
        <v>227</v>
      </c>
      <c r="X629" t="s">
        <v>160</v>
      </c>
      <c r="Y629" t="s">
        <v>3765</v>
      </c>
      <c r="Z629" t="s">
        <v>368</v>
      </c>
      <c r="AA629" t="s">
        <v>3046</v>
      </c>
    </row>
    <row r="630" spans="1:32" x14ac:dyDescent="0.75">
      <c r="A630" s="22" t="s">
        <v>6051</v>
      </c>
      <c r="B630" t="s">
        <v>3806</v>
      </c>
      <c r="C630" t="s">
        <v>104</v>
      </c>
      <c r="D630" t="s">
        <v>462</v>
      </c>
      <c r="E630" t="s">
        <v>463</v>
      </c>
      <c r="F630" t="s">
        <v>3807</v>
      </c>
      <c r="G630" s="1" t="str">
        <f>HYPERLINK("https://homd.org/jbrowse/?data=homd_V11.02_phage_1.2%2FGCA_019391855.1&amp;loc=GCA_019391855.1%7CJAHXRC010000002.1%3A131367..138326&amp;tracks=prokka,prokka_ncrna,ncbi,ncbi_ncrna,panggolin,cenote,genomad&amp;highlight=","Open JBrowse")</f>
        <v>Open JBrowse</v>
      </c>
      <c r="H630">
        <v>134367</v>
      </c>
      <c r="I630">
        <v>135326</v>
      </c>
      <c r="J630" t="s">
        <v>3808</v>
      </c>
      <c r="K630" t="s">
        <v>59</v>
      </c>
      <c r="L630" t="s">
        <v>466</v>
      </c>
      <c r="M630" t="s">
        <v>467</v>
      </c>
      <c r="N630" t="s">
        <v>398</v>
      </c>
      <c r="O630">
        <v>3</v>
      </c>
      <c r="P630" t="s">
        <v>42</v>
      </c>
      <c r="Q630" t="s">
        <v>59</v>
      </c>
      <c r="R630" t="s">
        <v>3809</v>
      </c>
      <c r="S630" t="s">
        <v>466</v>
      </c>
      <c r="T630" t="s">
        <v>42</v>
      </c>
      <c r="U630">
        <v>41</v>
      </c>
      <c r="V630">
        <v>267</v>
      </c>
      <c r="W630">
        <v>227</v>
      </c>
      <c r="X630" t="s">
        <v>160</v>
      </c>
      <c r="Y630" t="s">
        <v>3810</v>
      </c>
      <c r="Z630" t="s">
        <v>357</v>
      </c>
      <c r="AA630" t="s">
        <v>1335</v>
      </c>
    </row>
    <row r="631" spans="1:32" x14ac:dyDescent="0.75">
      <c r="A631" s="22" t="s">
        <v>6051</v>
      </c>
      <c r="B631" t="s">
        <v>4041</v>
      </c>
      <c r="C631" t="s">
        <v>104</v>
      </c>
      <c r="D631" t="s">
        <v>2376</v>
      </c>
      <c r="E631" t="s">
        <v>2377</v>
      </c>
      <c r="F631" t="s">
        <v>4042</v>
      </c>
      <c r="G631" s="1" t="str">
        <f>HYPERLINK("https://homd.org/jbrowse/?data=homd_V11.02_phage_1.2%2FGCA_021222645.1&amp;loc=GCA_021222645.1%7CCP089520.1%3A591775..598968&amp;tracks=prokka,prokka_ncrna,ncbi,ncbi_ncrna,panggolin,cenote,genomad&amp;highlight=","Open JBrowse")</f>
        <v>Open JBrowse</v>
      </c>
      <c r="H631">
        <v>594775</v>
      </c>
      <c r="I631">
        <v>595968</v>
      </c>
      <c r="J631" t="s">
        <v>4043</v>
      </c>
      <c r="K631" t="s">
        <v>59</v>
      </c>
      <c r="L631" t="s">
        <v>4044</v>
      </c>
      <c r="M631" t="s">
        <v>4045</v>
      </c>
      <c r="N631" t="s">
        <v>42</v>
      </c>
      <c r="O631">
        <v>3</v>
      </c>
      <c r="P631" t="s">
        <v>42</v>
      </c>
      <c r="Q631" t="s">
        <v>59</v>
      </c>
      <c r="R631" t="s">
        <v>4046</v>
      </c>
      <c r="S631" t="s">
        <v>4044</v>
      </c>
      <c r="T631" t="s">
        <v>42</v>
      </c>
      <c r="U631">
        <v>41</v>
      </c>
      <c r="V631">
        <v>292</v>
      </c>
      <c r="W631">
        <v>252</v>
      </c>
      <c r="X631" t="s">
        <v>237</v>
      </c>
      <c r="Y631" t="s">
        <v>4047</v>
      </c>
      <c r="Z631" t="s">
        <v>302</v>
      </c>
      <c r="AA631" t="s">
        <v>4048</v>
      </c>
      <c r="AB631" t="s">
        <v>4049</v>
      </c>
      <c r="AC631" t="s">
        <v>506</v>
      </c>
      <c r="AD631" t="s">
        <v>507</v>
      </c>
      <c r="AE631">
        <v>259</v>
      </c>
      <c r="AF631" t="s">
        <v>725</v>
      </c>
    </row>
    <row r="632" spans="1:32" x14ac:dyDescent="0.75">
      <c r="A632" s="22" t="s">
        <v>6051</v>
      </c>
      <c r="B632" t="s">
        <v>4082</v>
      </c>
      <c r="C632" t="s">
        <v>104</v>
      </c>
      <c r="D632" t="s">
        <v>2376</v>
      </c>
      <c r="E632" t="s">
        <v>2377</v>
      </c>
      <c r="F632" t="s">
        <v>4083</v>
      </c>
      <c r="G632" s="1" t="str">
        <f>HYPERLINK("https://homd.org/jbrowse/?data=homd_V11.02_phage_1.2%2FGCA_022819365.1&amp;loc=GCA_022819365.1%7CCP089289.1%3A18088..25281&amp;tracks=prokka,prokka_ncrna,ncbi,ncbi_ncrna,panggolin,cenote,genomad&amp;highlight=","Open JBrowse")</f>
        <v>Open JBrowse</v>
      </c>
      <c r="H632">
        <v>21088</v>
      </c>
      <c r="I632">
        <v>22281</v>
      </c>
      <c r="J632" t="s">
        <v>4089</v>
      </c>
      <c r="K632" t="s">
        <v>59</v>
      </c>
      <c r="L632" t="s">
        <v>4044</v>
      </c>
      <c r="M632" t="s">
        <v>4045</v>
      </c>
      <c r="N632" t="s">
        <v>42</v>
      </c>
      <c r="O632">
        <v>3</v>
      </c>
      <c r="P632" t="s">
        <v>42</v>
      </c>
      <c r="Q632" t="s">
        <v>59</v>
      </c>
      <c r="R632" t="s">
        <v>4085</v>
      </c>
      <c r="S632" t="s">
        <v>4044</v>
      </c>
      <c r="T632" t="s">
        <v>42</v>
      </c>
      <c r="U632">
        <v>41</v>
      </c>
      <c r="V632">
        <v>292</v>
      </c>
      <c r="W632">
        <v>252</v>
      </c>
      <c r="X632" t="s">
        <v>237</v>
      </c>
      <c r="Y632" t="s">
        <v>4086</v>
      </c>
      <c r="Z632" t="s">
        <v>368</v>
      </c>
      <c r="AA632" t="s">
        <v>4087</v>
      </c>
      <c r="AB632" t="s">
        <v>4088</v>
      </c>
      <c r="AC632" t="s">
        <v>506</v>
      </c>
      <c r="AD632" t="s">
        <v>507</v>
      </c>
      <c r="AE632">
        <v>245</v>
      </c>
      <c r="AF632" t="s">
        <v>725</v>
      </c>
    </row>
    <row r="633" spans="1:32" x14ac:dyDescent="0.75">
      <c r="A633" s="22" t="s">
        <v>6051</v>
      </c>
      <c r="B633" t="s">
        <v>4090</v>
      </c>
      <c r="C633" t="s">
        <v>104</v>
      </c>
      <c r="D633" t="s">
        <v>2376</v>
      </c>
      <c r="E633" t="s">
        <v>2377</v>
      </c>
      <c r="F633" t="s">
        <v>4091</v>
      </c>
      <c r="G633" s="1" t="str">
        <f>HYPERLINK("https://homd.org/jbrowse/?data=homd_V11.02_phage_1.2%2FGCA_022819385.1&amp;loc=GCA_022819385.1%7CCP089290.1%3A86211..93404&amp;tracks=prokka,prokka_ncrna,ncbi,ncbi_ncrna,panggolin,cenote,genomad&amp;highlight=","Open JBrowse")</f>
        <v>Open JBrowse</v>
      </c>
      <c r="H633">
        <v>89211</v>
      </c>
      <c r="I633">
        <v>90404</v>
      </c>
      <c r="J633" t="s">
        <v>4092</v>
      </c>
      <c r="K633" t="s">
        <v>59</v>
      </c>
      <c r="L633" t="s">
        <v>4044</v>
      </c>
      <c r="M633" t="s">
        <v>4045</v>
      </c>
      <c r="N633" t="s">
        <v>42</v>
      </c>
      <c r="O633">
        <v>3</v>
      </c>
      <c r="P633" t="s">
        <v>42</v>
      </c>
      <c r="Q633" t="s">
        <v>59</v>
      </c>
      <c r="R633" t="s">
        <v>4093</v>
      </c>
      <c r="S633" t="s">
        <v>4044</v>
      </c>
      <c r="T633" t="s">
        <v>42</v>
      </c>
      <c r="U633">
        <v>41</v>
      </c>
      <c r="V633">
        <v>292</v>
      </c>
      <c r="W633">
        <v>252</v>
      </c>
      <c r="X633" t="s">
        <v>237</v>
      </c>
      <c r="Y633" t="s">
        <v>4094</v>
      </c>
      <c r="Z633" t="s">
        <v>645</v>
      </c>
      <c r="AA633" t="s">
        <v>4095</v>
      </c>
      <c r="AB633" t="s">
        <v>4096</v>
      </c>
      <c r="AC633" t="s">
        <v>506</v>
      </c>
      <c r="AD633" t="s">
        <v>507</v>
      </c>
      <c r="AE633">
        <v>262</v>
      </c>
      <c r="AF633" t="s">
        <v>725</v>
      </c>
    </row>
    <row r="634" spans="1:32" x14ac:dyDescent="0.75">
      <c r="A634" s="22" t="s">
        <v>6051</v>
      </c>
      <c r="B634" t="s">
        <v>4148</v>
      </c>
      <c r="C634" t="s">
        <v>104</v>
      </c>
      <c r="D634" t="s">
        <v>2376</v>
      </c>
      <c r="E634" t="s">
        <v>2377</v>
      </c>
      <c r="F634" t="s">
        <v>4149</v>
      </c>
      <c r="G634" s="1" t="str">
        <f>HYPERLINK("https://homd.org/jbrowse/?data=homd_V11.02_phage_1.2%2FGCA_022828375.1&amp;loc=GCA_022828375.1%7CJAJQJX010000001.1%3A487691..494884&amp;tracks=prokka,prokka_ncrna,ncbi,ncbi_ncrna,panggolin,cenote,genomad&amp;highlight=","Open JBrowse")</f>
        <v>Open JBrowse</v>
      </c>
      <c r="H634">
        <v>490691</v>
      </c>
      <c r="I634">
        <v>491884</v>
      </c>
      <c r="J634" t="s">
        <v>4155</v>
      </c>
      <c r="K634" t="s">
        <v>59</v>
      </c>
      <c r="L634" t="s">
        <v>4044</v>
      </c>
      <c r="M634" t="s">
        <v>4045</v>
      </c>
      <c r="N634" t="s">
        <v>42</v>
      </c>
      <c r="O634">
        <v>3</v>
      </c>
      <c r="P634" t="s">
        <v>42</v>
      </c>
      <c r="Q634" t="s">
        <v>59</v>
      </c>
      <c r="R634" t="s">
        <v>4151</v>
      </c>
      <c r="S634" t="s">
        <v>4044</v>
      </c>
      <c r="T634" t="s">
        <v>42</v>
      </c>
      <c r="U634">
        <v>41</v>
      </c>
      <c r="V634">
        <v>292</v>
      </c>
      <c r="W634">
        <v>252</v>
      </c>
      <c r="X634" t="s">
        <v>237</v>
      </c>
      <c r="Y634" t="s">
        <v>4152</v>
      </c>
      <c r="Z634" t="s">
        <v>357</v>
      </c>
      <c r="AA634" t="s">
        <v>4153</v>
      </c>
      <c r="AB634" t="s">
        <v>4154</v>
      </c>
      <c r="AC634" t="s">
        <v>506</v>
      </c>
      <c r="AD634" t="s">
        <v>507</v>
      </c>
      <c r="AE634">
        <v>244</v>
      </c>
      <c r="AF634" t="s">
        <v>725</v>
      </c>
    </row>
    <row r="635" spans="1:32" x14ac:dyDescent="0.75">
      <c r="A635" s="22" t="s">
        <v>6051</v>
      </c>
      <c r="B635" t="s">
        <v>4833</v>
      </c>
      <c r="C635" t="s">
        <v>104</v>
      </c>
      <c r="D635" t="s">
        <v>462</v>
      </c>
      <c r="E635" t="s">
        <v>463</v>
      </c>
      <c r="F635" t="s">
        <v>4834</v>
      </c>
      <c r="G635" s="1" t="str">
        <f>HYPERLINK("https://homd.org/jbrowse/?data=homd_V11.02_phage_1.2%2FGCA_027682715.1&amp;loc=GCA_027682715.1%7CJAQCZE010000007.1%3A84176..91135&amp;tracks=prokka,prokka_ncrna,ncbi,ncbi_ncrna,panggolin,cenote,genomad&amp;highlight=","Open JBrowse")</f>
        <v>Open JBrowse</v>
      </c>
      <c r="H635">
        <v>87176</v>
      </c>
      <c r="I635">
        <v>88135</v>
      </c>
      <c r="J635" t="s">
        <v>4835</v>
      </c>
      <c r="K635" t="s">
        <v>59</v>
      </c>
      <c r="L635" t="s">
        <v>466</v>
      </c>
      <c r="M635" t="s">
        <v>467</v>
      </c>
      <c r="N635" t="s">
        <v>398</v>
      </c>
      <c r="O635">
        <v>3</v>
      </c>
      <c r="P635" t="s">
        <v>42</v>
      </c>
      <c r="Q635" t="s">
        <v>59</v>
      </c>
      <c r="R635" t="s">
        <v>4836</v>
      </c>
      <c r="S635" t="s">
        <v>466</v>
      </c>
      <c r="T635" t="s">
        <v>42</v>
      </c>
      <c r="U635">
        <v>41</v>
      </c>
      <c r="V635">
        <v>267</v>
      </c>
      <c r="W635">
        <v>227</v>
      </c>
      <c r="X635" t="s">
        <v>160</v>
      </c>
      <c r="Y635" t="s">
        <v>4837</v>
      </c>
      <c r="Z635" t="s">
        <v>824</v>
      </c>
      <c r="AA635" t="s">
        <v>471</v>
      </c>
    </row>
    <row r="636" spans="1:32" x14ac:dyDescent="0.75">
      <c r="A636" s="22" t="s">
        <v>6051</v>
      </c>
      <c r="B636" t="s">
        <v>5216</v>
      </c>
      <c r="C636" t="s">
        <v>104</v>
      </c>
      <c r="D636" t="s">
        <v>462</v>
      </c>
      <c r="E636" t="s">
        <v>463</v>
      </c>
      <c r="F636" t="s">
        <v>5217</v>
      </c>
      <c r="G636" s="1" t="str">
        <f>HYPERLINK("https://homd.org/jbrowse/?data=homd_V11.02_phage_1.2%2FGCA_900454835.1&amp;loc=GCA_900454835.1%7CUGTM01000001.1%3A1907624..1914583&amp;tracks=prokka,prokka_ncrna,ncbi,ncbi_ncrna,panggolin,cenote,genomad&amp;highlight=","Open JBrowse")</f>
        <v>Open JBrowse</v>
      </c>
      <c r="H636">
        <v>1910624</v>
      </c>
      <c r="I636">
        <v>1911583</v>
      </c>
      <c r="J636" t="s">
        <v>5218</v>
      </c>
      <c r="K636" t="s">
        <v>59</v>
      </c>
      <c r="L636" t="s">
        <v>466</v>
      </c>
      <c r="M636" t="s">
        <v>467</v>
      </c>
      <c r="N636" t="s">
        <v>398</v>
      </c>
      <c r="O636">
        <v>3</v>
      </c>
      <c r="P636" t="s">
        <v>42</v>
      </c>
      <c r="Q636" t="s">
        <v>59</v>
      </c>
      <c r="R636" t="s">
        <v>5219</v>
      </c>
      <c r="S636" t="s">
        <v>466</v>
      </c>
      <c r="T636" t="s">
        <v>42</v>
      </c>
      <c r="U636">
        <v>41</v>
      </c>
      <c r="V636">
        <v>267</v>
      </c>
      <c r="W636">
        <v>227</v>
      </c>
      <c r="X636" t="s">
        <v>160</v>
      </c>
      <c r="Y636" t="s">
        <v>5220</v>
      </c>
      <c r="Z636" t="s">
        <v>530</v>
      </c>
      <c r="AA636" t="s">
        <v>1335</v>
      </c>
    </row>
    <row r="637" spans="1:32" x14ac:dyDescent="0.75">
      <c r="A637" s="22" t="s">
        <v>6051</v>
      </c>
      <c r="B637" t="s">
        <v>5396</v>
      </c>
      <c r="C637" t="s">
        <v>104</v>
      </c>
      <c r="D637" t="s">
        <v>462</v>
      </c>
      <c r="E637" t="s">
        <v>463</v>
      </c>
      <c r="F637" t="s">
        <v>5397</v>
      </c>
      <c r="G637" s="1" t="str">
        <f>HYPERLINK("https://homd.org/jbrowse/?data=homd_V11.02_phage_1.2%2FGCA_902483045.1&amp;loc=GCA_902483045.1%7CCABTBH010000007.1%3A45537..52517&amp;tracks=prokka,prokka_ncrna,ncbi,ncbi_ncrna,panggolin,cenote,genomad&amp;highlight=","Open JBrowse")</f>
        <v>Open JBrowse</v>
      </c>
      <c r="H637">
        <v>48537</v>
      </c>
      <c r="I637">
        <v>49517</v>
      </c>
      <c r="J637" t="s">
        <v>5398</v>
      </c>
      <c r="K637" t="s">
        <v>59</v>
      </c>
      <c r="L637" t="s">
        <v>466</v>
      </c>
      <c r="M637" t="s">
        <v>467</v>
      </c>
      <c r="N637" t="s">
        <v>398</v>
      </c>
      <c r="O637">
        <v>3</v>
      </c>
      <c r="P637" t="s">
        <v>42</v>
      </c>
      <c r="Q637" t="s">
        <v>59</v>
      </c>
      <c r="R637" t="s">
        <v>5399</v>
      </c>
      <c r="S637" t="s">
        <v>466</v>
      </c>
      <c r="T637" t="s">
        <v>42</v>
      </c>
      <c r="U637">
        <v>41</v>
      </c>
      <c r="V637">
        <v>267</v>
      </c>
      <c r="W637">
        <v>227</v>
      </c>
      <c r="X637" t="s">
        <v>160</v>
      </c>
    </row>
    <row r="638" spans="1:32" x14ac:dyDescent="0.75">
      <c r="A638" s="22" t="s">
        <v>6051</v>
      </c>
      <c r="B638" t="s">
        <v>5451</v>
      </c>
      <c r="C638" t="s">
        <v>104</v>
      </c>
      <c r="D638" t="s">
        <v>462</v>
      </c>
      <c r="E638" t="s">
        <v>463</v>
      </c>
      <c r="F638" t="s">
        <v>5452</v>
      </c>
      <c r="G638" s="1" t="str">
        <f>HYPERLINK("https://homd.org/jbrowse/?data=homd_V11.02_phage_1.2%2FGCA_905372245.1&amp;loc=GCA_905372245.1%7CCAJPOG010000107.1%3A1..5905&amp;tracks=prokka,prokka_ncrna,ncbi,ncbi_ncrna,panggolin,cenote,genomad&amp;highlight=","Open JBrowse")</f>
        <v>Open JBrowse</v>
      </c>
      <c r="H638">
        <v>1946</v>
      </c>
      <c r="I638">
        <v>2905</v>
      </c>
      <c r="J638" t="s">
        <v>5453</v>
      </c>
      <c r="K638" t="s">
        <v>59</v>
      </c>
      <c r="L638" t="s">
        <v>466</v>
      </c>
      <c r="M638" t="s">
        <v>467</v>
      </c>
      <c r="N638" t="s">
        <v>398</v>
      </c>
      <c r="O638">
        <v>3</v>
      </c>
      <c r="P638" t="s">
        <v>42</v>
      </c>
      <c r="Q638" t="s">
        <v>59</v>
      </c>
      <c r="R638" t="s">
        <v>5454</v>
      </c>
      <c r="S638" t="s">
        <v>466</v>
      </c>
      <c r="T638" t="s">
        <v>42</v>
      </c>
      <c r="U638">
        <v>41</v>
      </c>
      <c r="V638">
        <v>267</v>
      </c>
      <c r="W638">
        <v>227</v>
      </c>
      <c r="X638" t="s">
        <v>160</v>
      </c>
    </row>
    <row r="639" spans="1:32" x14ac:dyDescent="0.75">
      <c r="A639" s="22" t="s">
        <v>6051</v>
      </c>
      <c r="B639" t="s">
        <v>5513</v>
      </c>
      <c r="C639" t="s">
        <v>104</v>
      </c>
      <c r="D639" t="s">
        <v>462</v>
      </c>
      <c r="E639" t="s">
        <v>463</v>
      </c>
      <c r="F639" t="s">
        <v>5514</v>
      </c>
      <c r="G639" s="1" t="str">
        <f>HYPERLINK("https://homd.org/jbrowse/?data=homd_V11.02_phage_1.2%2FGCA_905373395.1&amp;loc=GCA_905373395.1%7CCAJPSO010000005.1%3A87358..94317&amp;tracks=prokka,prokka_ncrna,ncbi,ncbi_ncrna,panggolin,cenote,genomad&amp;highlight=","Open JBrowse")</f>
        <v>Open JBrowse</v>
      </c>
      <c r="H639">
        <v>90358</v>
      </c>
      <c r="I639">
        <v>91317</v>
      </c>
      <c r="J639" t="s">
        <v>5515</v>
      </c>
      <c r="K639" t="s">
        <v>59</v>
      </c>
      <c r="L639" t="s">
        <v>466</v>
      </c>
      <c r="M639" t="s">
        <v>467</v>
      </c>
      <c r="N639" t="s">
        <v>398</v>
      </c>
      <c r="O639">
        <v>3</v>
      </c>
      <c r="P639" t="s">
        <v>42</v>
      </c>
      <c r="Q639" t="s">
        <v>59</v>
      </c>
      <c r="R639" t="s">
        <v>5516</v>
      </c>
      <c r="S639" t="s">
        <v>466</v>
      </c>
      <c r="T639" t="s">
        <v>42</v>
      </c>
      <c r="U639">
        <v>41</v>
      </c>
      <c r="V639">
        <v>267</v>
      </c>
      <c r="W639">
        <v>227</v>
      </c>
      <c r="X639" t="s">
        <v>160</v>
      </c>
      <c r="Y639" t="s">
        <v>5517</v>
      </c>
      <c r="Z639" t="s">
        <v>281</v>
      </c>
      <c r="AA639" t="s">
        <v>1335</v>
      </c>
    </row>
    <row r="640" spans="1:32" x14ac:dyDescent="0.75">
      <c r="A640" s="22" t="s">
        <v>6051</v>
      </c>
      <c r="B640" t="s">
        <v>5806</v>
      </c>
      <c r="C640" t="s">
        <v>104</v>
      </c>
      <c r="D640" t="s">
        <v>462</v>
      </c>
      <c r="E640" t="s">
        <v>463</v>
      </c>
      <c r="F640" t="s">
        <v>5807</v>
      </c>
      <c r="G640" s="1" t="str">
        <f>HYPERLINK("https://homd.org/jbrowse/?data=homd_V11.02_phage_1.2%2FGCA_937990705.1&amp;loc=GCA_937990705.1%7CCALKRA010000061.1%3A84138..91097&amp;tracks=prokka,prokka_ncrna,ncbi,ncbi_ncrna,panggolin,cenote,genomad&amp;highlight=","Open JBrowse")</f>
        <v>Open JBrowse</v>
      </c>
      <c r="H640">
        <v>87138</v>
      </c>
      <c r="I640">
        <v>88097</v>
      </c>
      <c r="J640" t="s">
        <v>5808</v>
      </c>
      <c r="K640" t="s">
        <v>59</v>
      </c>
      <c r="L640" t="s">
        <v>466</v>
      </c>
      <c r="M640" t="s">
        <v>467</v>
      </c>
      <c r="N640" t="s">
        <v>398</v>
      </c>
      <c r="O640">
        <v>3</v>
      </c>
      <c r="P640" t="s">
        <v>42</v>
      </c>
      <c r="Q640" t="s">
        <v>59</v>
      </c>
      <c r="R640" t="s">
        <v>5809</v>
      </c>
      <c r="S640" t="s">
        <v>466</v>
      </c>
      <c r="T640" t="s">
        <v>42</v>
      </c>
      <c r="U640">
        <v>41</v>
      </c>
      <c r="V640">
        <v>267</v>
      </c>
      <c r="W640">
        <v>227</v>
      </c>
      <c r="X640" t="s">
        <v>160</v>
      </c>
    </row>
    <row r="641" spans="1:27" x14ac:dyDescent="0.75">
      <c r="A641" s="22" t="s">
        <v>6051</v>
      </c>
      <c r="B641" t="s">
        <v>5824</v>
      </c>
      <c r="C641" t="s">
        <v>104</v>
      </c>
      <c r="D641" t="s">
        <v>559</v>
      </c>
      <c r="E641" t="s">
        <v>560</v>
      </c>
      <c r="F641" t="s">
        <v>5825</v>
      </c>
      <c r="G641" s="1" t="str">
        <f>HYPERLINK("https://homd.org/jbrowse/?data=homd_V11.02_phage_1.2%2FGCA_938014195.1&amp;loc=GCA_938014195.1%7CCALLSE010000030.1%3A24998..31846&amp;tracks=prokka,prokka_ncrna,ncbi,ncbi_ncrna,panggolin,cenote,genomad&amp;highlight=","Open JBrowse")</f>
        <v>Open JBrowse</v>
      </c>
      <c r="H641">
        <v>27998</v>
      </c>
      <c r="I641">
        <v>28846</v>
      </c>
      <c r="J641" t="s">
        <v>5826</v>
      </c>
      <c r="K641" t="s">
        <v>59</v>
      </c>
      <c r="L641" t="s">
        <v>466</v>
      </c>
      <c r="M641" t="s">
        <v>467</v>
      </c>
      <c r="N641" t="s">
        <v>42</v>
      </c>
      <c r="O641">
        <v>3</v>
      </c>
      <c r="P641" t="s">
        <v>42</v>
      </c>
      <c r="Q641" t="s">
        <v>59</v>
      </c>
      <c r="R641" t="s">
        <v>5827</v>
      </c>
      <c r="S641" t="s">
        <v>466</v>
      </c>
      <c r="T641" t="s">
        <v>42</v>
      </c>
      <c r="U641">
        <v>41</v>
      </c>
      <c r="V641">
        <v>267</v>
      </c>
      <c r="W641">
        <v>227</v>
      </c>
      <c r="X641" t="s">
        <v>160</v>
      </c>
    </row>
    <row r="642" spans="1:27" x14ac:dyDescent="0.75">
      <c r="A642" s="22" t="s">
        <v>6051</v>
      </c>
      <c r="B642" t="s">
        <v>103</v>
      </c>
      <c r="C642" t="s">
        <v>104</v>
      </c>
      <c r="D642" t="s">
        <v>105</v>
      </c>
      <c r="E642" t="s">
        <v>106</v>
      </c>
      <c r="F642" t="s">
        <v>107</v>
      </c>
      <c r="G642" s="1" t="str">
        <f>HYPERLINK("https://homd.org/jbrowse/?data=homd_V11.02_phage_1.2%2FGCA_000023285.1&amp;loc=GCA_000023285.1%7CCP001632.1%3A731769..738602&amp;tracks=prokka,prokka_ncrna,ncbi,ncbi_ncrna,panggolin,cenote,genomad&amp;highlight=","Open JBrowse")</f>
        <v>Open JBrowse</v>
      </c>
      <c r="H642">
        <v>734769</v>
      </c>
      <c r="I642">
        <v>735602</v>
      </c>
      <c r="J642" t="s">
        <v>128</v>
      </c>
      <c r="K642" t="s">
        <v>39</v>
      </c>
      <c r="L642" t="s">
        <v>129</v>
      </c>
      <c r="M642" t="s">
        <v>130</v>
      </c>
      <c r="N642" t="s">
        <v>42</v>
      </c>
      <c r="O642">
        <v>3</v>
      </c>
      <c r="P642" t="s">
        <v>42</v>
      </c>
      <c r="Q642" t="s">
        <v>43</v>
      </c>
      <c r="R642" t="s">
        <v>114</v>
      </c>
      <c r="S642" t="s">
        <v>129</v>
      </c>
      <c r="T642" t="s">
        <v>42</v>
      </c>
      <c r="U642">
        <v>43</v>
      </c>
      <c r="V642">
        <v>275</v>
      </c>
      <c r="W642">
        <v>233</v>
      </c>
      <c r="X642" t="s">
        <v>45</v>
      </c>
      <c r="Y642" t="s">
        <v>131</v>
      </c>
      <c r="Z642" t="s">
        <v>132</v>
      </c>
      <c r="AA642" t="s">
        <v>133</v>
      </c>
    </row>
    <row r="643" spans="1:27" x14ac:dyDescent="0.75">
      <c r="A643" s="22" t="s">
        <v>6051</v>
      </c>
      <c r="B643" t="s">
        <v>403</v>
      </c>
      <c r="C643" t="s">
        <v>104</v>
      </c>
      <c r="D643" t="s">
        <v>105</v>
      </c>
      <c r="E643" t="s">
        <v>106</v>
      </c>
      <c r="F643" t="s">
        <v>404</v>
      </c>
      <c r="G643" s="1" t="str">
        <f>HYPERLINK("https://homd.org/jbrowse/?data=homd_V11.02_phage_1.2%2FGCA_000183985.1&amp;loc=GCA_000183985.1%7CGL573160.1%3A1705585..1712412&amp;tracks=prokka,prokka_ncrna,ncbi,ncbi_ncrna,panggolin,cenote,genomad&amp;highlight=","Open JBrowse")</f>
        <v>Open JBrowse</v>
      </c>
      <c r="H643">
        <v>1708585</v>
      </c>
      <c r="I643">
        <v>1709412</v>
      </c>
      <c r="J643" t="s">
        <v>412</v>
      </c>
      <c r="K643" t="s">
        <v>39</v>
      </c>
      <c r="L643" t="s">
        <v>413</v>
      </c>
      <c r="M643" t="s">
        <v>414</v>
      </c>
      <c r="N643" t="s">
        <v>42</v>
      </c>
      <c r="O643">
        <v>3</v>
      </c>
      <c r="P643" t="s">
        <v>42</v>
      </c>
      <c r="Q643" t="s">
        <v>43</v>
      </c>
      <c r="R643" t="s">
        <v>408</v>
      </c>
      <c r="S643" t="s">
        <v>413</v>
      </c>
      <c r="T643" t="s">
        <v>42</v>
      </c>
      <c r="U643">
        <v>43</v>
      </c>
      <c r="V643">
        <v>273</v>
      </c>
      <c r="W643">
        <v>231</v>
      </c>
      <c r="X643" t="s">
        <v>45</v>
      </c>
      <c r="Y643" t="s">
        <v>415</v>
      </c>
      <c r="Z643" t="s">
        <v>416</v>
      </c>
      <c r="AA643" t="s">
        <v>417</v>
      </c>
    </row>
    <row r="644" spans="1:27" x14ac:dyDescent="0.75">
      <c r="A644" s="22" t="s">
        <v>6051</v>
      </c>
      <c r="B644" t="s">
        <v>472</v>
      </c>
      <c r="C644" t="s">
        <v>104</v>
      </c>
      <c r="D644" t="s">
        <v>473</v>
      </c>
      <c r="E644" t="s">
        <v>474</v>
      </c>
      <c r="F644" t="s">
        <v>475</v>
      </c>
      <c r="G644" s="1" t="str">
        <f>HYPERLINK("https://homd.org/jbrowse/?data=homd_V11.02_phage_1.2%2FGCA_000192225.1&amp;loc=GCA_000192225.1%7CGL872413.1%3A245474..252307&amp;tracks=prokka,prokka_ncrna,ncbi,ncbi_ncrna,panggolin,cenote,genomad&amp;highlight=","Open JBrowse")</f>
        <v>Open JBrowse</v>
      </c>
      <c r="H644">
        <v>248474</v>
      </c>
      <c r="I644">
        <v>249307</v>
      </c>
      <c r="J644" t="s">
        <v>476</v>
      </c>
      <c r="K644" t="s">
        <v>39</v>
      </c>
      <c r="L644" t="s">
        <v>129</v>
      </c>
      <c r="M644" t="s">
        <v>130</v>
      </c>
      <c r="N644" t="s">
        <v>42</v>
      </c>
      <c r="O644">
        <v>3</v>
      </c>
      <c r="P644" t="s">
        <v>42</v>
      </c>
      <c r="Q644" t="s">
        <v>43</v>
      </c>
      <c r="R644" t="s">
        <v>477</v>
      </c>
      <c r="S644" t="s">
        <v>129</v>
      </c>
      <c r="T644" t="s">
        <v>42</v>
      </c>
      <c r="U644">
        <v>43</v>
      </c>
      <c r="V644">
        <v>275</v>
      </c>
      <c r="W644">
        <v>233</v>
      </c>
      <c r="X644" t="s">
        <v>45</v>
      </c>
      <c r="Y644" t="s">
        <v>478</v>
      </c>
      <c r="Z644" t="s">
        <v>47</v>
      </c>
      <c r="AA644" t="s">
        <v>479</v>
      </c>
    </row>
    <row r="645" spans="1:27" x14ac:dyDescent="0.75">
      <c r="A645" s="22" t="s">
        <v>6051</v>
      </c>
      <c r="B645" t="s">
        <v>640</v>
      </c>
      <c r="C645" t="s">
        <v>104</v>
      </c>
      <c r="D645" t="s">
        <v>105</v>
      </c>
      <c r="E645" t="s">
        <v>106</v>
      </c>
      <c r="F645" t="s">
        <v>646</v>
      </c>
      <c r="G645" s="1" t="str">
        <f>HYPERLINK("https://homd.org/jbrowse/?data=homd_V11.02_phage_1.2%2FGCA_000271925.1&amp;loc=GCA_000271925.1%7CAJZR01000023.1%3A1..4259&amp;tracks=prokka,prokka_ncrna,ncbi,ncbi_ncrna,panggolin,cenote,genomad&amp;highlight=","Open JBrowse")</f>
        <v>Open JBrowse</v>
      </c>
      <c r="H645">
        <v>426</v>
      </c>
      <c r="I645">
        <v>1259</v>
      </c>
      <c r="J645" t="s">
        <v>647</v>
      </c>
      <c r="K645" t="s">
        <v>39</v>
      </c>
      <c r="L645" t="s">
        <v>129</v>
      </c>
      <c r="M645" t="s">
        <v>130</v>
      </c>
      <c r="N645" t="s">
        <v>42</v>
      </c>
      <c r="O645">
        <v>3</v>
      </c>
      <c r="P645" t="s">
        <v>42</v>
      </c>
      <c r="Q645" t="s">
        <v>43</v>
      </c>
      <c r="R645" t="s">
        <v>643</v>
      </c>
      <c r="S645" t="s">
        <v>129</v>
      </c>
      <c r="T645" t="s">
        <v>42</v>
      </c>
      <c r="U645">
        <v>43</v>
      </c>
      <c r="V645">
        <v>275</v>
      </c>
      <c r="W645">
        <v>233</v>
      </c>
      <c r="X645" t="s">
        <v>45</v>
      </c>
      <c r="Y645" t="s">
        <v>648</v>
      </c>
      <c r="Z645" t="s">
        <v>346</v>
      </c>
      <c r="AA645" t="s">
        <v>417</v>
      </c>
    </row>
    <row r="646" spans="1:27" x14ac:dyDescent="0.75">
      <c r="A646" s="22" t="s">
        <v>6051</v>
      </c>
      <c r="B646" t="s">
        <v>657</v>
      </c>
      <c r="C646" t="s">
        <v>104</v>
      </c>
      <c r="D646" t="s">
        <v>105</v>
      </c>
      <c r="E646" t="s">
        <v>106</v>
      </c>
      <c r="F646" t="s">
        <v>664</v>
      </c>
      <c r="G646" s="1" t="str">
        <f>HYPERLINK("https://homd.org/jbrowse/?data=homd_V11.02_phage_1.2%2FGCA_000277585.1&amp;loc=GCA_000277585.1%7CAKFV01000025.1%3A24131..30958&amp;tracks=prokka,prokka_ncrna,ncbi,ncbi_ncrna,panggolin,cenote,genomad&amp;highlight=","Open JBrowse")</f>
        <v>Open JBrowse</v>
      </c>
      <c r="H646">
        <v>27131</v>
      </c>
      <c r="I646">
        <v>27958</v>
      </c>
      <c r="J646" t="s">
        <v>668</v>
      </c>
      <c r="K646" t="s">
        <v>39</v>
      </c>
      <c r="L646" t="s">
        <v>413</v>
      </c>
      <c r="M646" t="s">
        <v>414</v>
      </c>
      <c r="N646" t="s">
        <v>42</v>
      </c>
      <c r="O646">
        <v>3</v>
      </c>
      <c r="P646" t="s">
        <v>42</v>
      </c>
      <c r="Q646" t="s">
        <v>43</v>
      </c>
      <c r="R646" t="s">
        <v>660</v>
      </c>
      <c r="S646" t="s">
        <v>413</v>
      </c>
      <c r="T646" t="s">
        <v>42</v>
      </c>
      <c r="U646">
        <v>43</v>
      </c>
      <c r="V646">
        <v>273</v>
      </c>
      <c r="W646">
        <v>231</v>
      </c>
      <c r="X646" t="s">
        <v>45</v>
      </c>
      <c r="Y646" t="s">
        <v>669</v>
      </c>
      <c r="Z646" t="s">
        <v>653</v>
      </c>
      <c r="AA646" t="s">
        <v>417</v>
      </c>
    </row>
    <row r="647" spans="1:27" x14ac:dyDescent="0.75">
      <c r="A647" s="22" t="s">
        <v>6051</v>
      </c>
      <c r="B647" t="s">
        <v>670</v>
      </c>
      <c r="C647" t="s">
        <v>104</v>
      </c>
      <c r="D647" t="s">
        <v>105</v>
      </c>
      <c r="E647" t="s">
        <v>106</v>
      </c>
      <c r="F647" t="s">
        <v>682</v>
      </c>
      <c r="G647" s="1" t="str">
        <f>HYPERLINK("https://homd.org/jbrowse/?data=homd_V11.02_phage_1.2%2FGCA_000277665.1&amp;loc=GCA_000277665.1%7CAKFR01000037.1%3A72142..78975&amp;tracks=prokka,prokka_ncrna,ncbi,ncbi_ncrna,panggolin,cenote,genomad&amp;highlight=","Open JBrowse")</f>
        <v>Open JBrowse</v>
      </c>
      <c r="H647">
        <v>75142</v>
      </c>
      <c r="I647">
        <v>75975</v>
      </c>
      <c r="J647" t="s">
        <v>683</v>
      </c>
      <c r="K647" t="s">
        <v>39</v>
      </c>
      <c r="L647" t="s">
        <v>129</v>
      </c>
      <c r="M647" t="s">
        <v>130</v>
      </c>
      <c r="N647" t="s">
        <v>42</v>
      </c>
      <c r="O647">
        <v>3</v>
      </c>
      <c r="P647" t="s">
        <v>42</v>
      </c>
      <c r="Q647" t="s">
        <v>43</v>
      </c>
      <c r="R647" t="s">
        <v>673</v>
      </c>
      <c r="S647" t="s">
        <v>129</v>
      </c>
      <c r="T647" t="s">
        <v>42</v>
      </c>
      <c r="U647">
        <v>43</v>
      </c>
      <c r="V647">
        <v>275</v>
      </c>
      <c r="W647">
        <v>233</v>
      </c>
      <c r="X647" t="s">
        <v>45</v>
      </c>
      <c r="Y647" t="s">
        <v>684</v>
      </c>
      <c r="Z647" t="s">
        <v>420</v>
      </c>
      <c r="AA647" t="s">
        <v>417</v>
      </c>
    </row>
    <row r="648" spans="1:27" x14ac:dyDescent="0.75">
      <c r="A648" s="22" t="s">
        <v>6051</v>
      </c>
      <c r="B648" t="s">
        <v>797</v>
      </c>
      <c r="C648" t="s">
        <v>104</v>
      </c>
      <c r="D648" t="s">
        <v>105</v>
      </c>
      <c r="E648" t="s">
        <v>106</v>
      </c>
      <c r="F648" t="s">
        <v>805</v>
      </c>
      <c r="G648" s="1" t="str">
        <f>HYPERLINK("https://homd.org/jbrowse/?data=homd_V11.02_phage_1.2%2FGCA_000318255.2&amp;loc=GCA_000318255.2%7CKB291225.1%3A1..3993&amp;tracks=prokka,prokka_ncrna,ncbi,ncbi_ncrna,panggolin,cenote,genomad&amp;highlight=","Open JBrowse")</f>
        <v>Open JBrowse</v>
      </c>
      <c r="H648">
        <v>160</v>
      </c>
      <c r="I648">
        <v>993</v>
      </c>
      <c r="J648" t="s">
        <v>806</v>
      </c>
      <c r="K648" t="s">
        <v>39</v>
      </c>
      <c r="L648" t="s">
        <v>129</v>
      </c>
      <c r="M648" t="s">
        <v>130</v>
      </c>
      <c r="N648" t="s">
        <v>42</v>
      </c>
      <c r="O648">
        <v>3</v>
      </c>
      <c r="P648" t="s">
        <v>42</v>
      </c>
      <c r="Q648" t="s">
        <v>43</v>
      </c>
      <c r="R648" t="s">
        <v>800</v>
      </c>
      <c r="S648" t="s">
        <v>129</v>
      </c>
      <c r="T648" t="s">
        <v>42</v>
      </c>
      <c r="U648">
        <v>43</v>
      </c>
      <c r="V648">
        <v>275</v>
      </c>
      <c r="W648">
        <v>233</v>
      </c>
      <c r="X648" t="s">
        <v>45</v>
      </c>
      <c r="Y648" t="s">
        <v>807</v>
      </c>
      <c r="Z648" t="s">
        <v>410</v>
      </c>
      <c r="AA648" t="s">
        <v>417</v>
      </c>
    </row>
    <row r="649" spans="1:27" x14ac:dyDescent="0.75">
      <c r="A649" s="22" t="s">
        <v>6051</v>
      </c>
      <c r="B649" t="s">
        <v>831</v>
      </c>
      <c r="C649" t="s">
        <v>104</v>
      </c>
      <c r="D649" t="s">
        <v>105</v>
      </c>
      <c r="E649" t="s">
        <v>106</v>
      </c>
      <c r="F649" t="s">
        <v>832</v>
      </c>
      <c r="G649" s="1" t="str">
        <f>HYPERLINK("https://homd.org/jbrowse/?data=homd_V11.02_phage_1.2%2FGCA_000318315.2&amp;loc=GCA_000318315.2%7CKB291492.1%3A8441..15274&amp;tracks=prokka,prokka_ncrna,ncbi,ncbi_ncrna,panggolin,cenote,genomad&amp;highlight=","Open JBrowse")</f>
        <v>Open JBrowse</v>
      </c>
      <c r="H649">
        <v>11441</v>
      </c>
      <c r="I649">
        <v>12274</v>
      </c>
      <c r="J649" t="s">
        <v>833</v>
      </c>
      <c r="K649" t="s">
        <v>39</v>
      </c>
      <c r="L649" t="s">
        <v>129</v>
      </c>
      <c r="M649" t="s">
        <v>130</v>
      </c>
      <c r="N649" t="s">
        <v>42</v>
      </c>
      <c r="O649">
        <v>3</v>
      </c>
      <c r="P649" t="s">
        <v>42</v>
      </c>
      <c r="Q649" t="s">
        <v>43</v>
      </c>
      <c r="R649" t="s">
        <v>834</v>
      </c>
      <c r="S649" t="s">
        <v>129</v>
      </c>
      <c r="T649" t="s">
        <v>42</v>
      </c>
      <c r="U649">
        <v>43</v>
      </c>
      <c r="V649">
        <v>275</v>
      </c>
      <c r="W649">
        <v>233</v>
      </c>
      <c r="X649" t="s">
        <v>45</v>
      </c>
      <c r="Y649" t="s">
        <v>835</v>
      </c>
      <c r="Z649" t="s">
        <v>836</v>
      </c>
      <c r="AA649" t="s">
        <v>133</v>
      </c>
    </row>
    <row r="650" spans="1:27" x14ac:dyDescent="0.75">
      <c r="A650" s="22" t="s">
        <v>6051</v>
      </c>
      <c r="B650" t="s">
        <v>914</v>
      </c>
      <c r="C650" t="s">
        <v>104</v>
      </c>
      <c r="D650" t="s">
        <v>105</v>
      </c>
      <c r="E650" t="s">
        <v>106</v>
      </c>
      <c r="F650" t="s">
        <v>915</v>
      </c>
      <c r="G650" s="1" t="str">
        <f>HYPERLINK("https://homd.org/jbrowse/?data=homd_V11.02_phage_1.2%2FGCA_000411575.1&amp;loc=GCA_000411575.1%7CKE150488.1%3A13767..20594&amp;tracks=prokka,prokka_ncrna,ncbi,ncbi_ncrna,panggolin,cenote,genomad&amp;highlight=","Open JBrowse")</f>
        <v>Open JBrowse</v>
      </c>
      <c r="H650">
        <v>16767</v>
      </c>
      <c r="I650">
        <v>17594</v>
      </c>
      <c r="J650" t="s">
        <v>916</v>
      </c>
      <c r="K650" t="s">
        <v>39</v>
      </c>
      <c r="L650" t="s">
        <v>413</v>
      </c>
      <c r="M650" t="s">
        <v>414</v>
      </c>
      <c r="N650" t="s">
        <v>42</v>
      </c>
      <c r="O650">
        <v>3</v>
      </c>
      <c r="P650" t="s">
        <v>42</v>
      </c>
      <c r="Q650" t="s">
        <v>43</v>
      </c>
      <c r="R650" t="s">
        <v>917</v>
      </c>
      <c r="S650" t="s">
        <v>413</v>
      </c>
      <c r="T650" t="s">
        <v>42</v>
      </c>
      <c r="U650">
        <v>43</v>
      </c>
      <c r="V650">
        <v>273</v>
      </c>
      <c r="W650">
        <v>231</v>
      </c>
      <c r="X650" t="s">
        <v>45</v>
      </c>
      <c r="Y650" t="s">
        <v>918</v>
      </c>
      <c r="Z650" t="s">
        <v>368</v>
      </c>
      <c r="AA650" t="s">
        <v>919</v>
      </c>
    </row>
    <row r="651" spans="1:27" x14ac:dyDescent="0.75">
      <c r="A651" s="22" t="s">
        <v>6051</v>
      </c>
      <c r="B651" t="s">
        <v>1376</v>
      </c>
      <c r="C651" t="s">
        <v>104</v>
      </c>
      <c r="D651" t="s">
        <v>105</v>
      </c>
      <c r="E651" t="s">
        <v>106</v>
      </c>
      <c r="F651" t="s">
        <v>1377</v>
      </c>
      <c r="G651" s="1" t="str">
        <f>HYPERLINK("https://homd.org/jbrowse/?data=homd_V11.02_phage_1.2%2FGCA_001057035.1&amp;loc=GCA_001057035.1%7CJVFB01000004.1%3A1..3963&amp;tracks=prokka,prokka_ncrna,ncbi,ncbi_ncrna,panggolin,cenote,genomad&amp;highlight=","Open JBrowse")</f>
        <v>Open JBrowse</v>
      </c>
      <c r="H651">
        <v>145</v>
      </c>
      <c r="I651">
        <v>963</v>
      </c>
      <c r="J651" t="s">
        <v>1378</v>
      </c>
      <c r="K651" t="s">
        <v>39</v>
      </c>
      <c r="L651" t="s">
        <v>1379</v>
      </c>
      <c r="M651" t="s">
        <v>1380</v>
      </c>
      <c r="N651" t="s">
        <v>42</v>
      </c>
      <c r="O651">
        <v>3</v>
      </c>
      <c r="P651" t="s">
        <v>42</v>
      </c>
      <c r="Q651" t="s">
        <v>43</v>
      </c>
      <c r="R651" t="s">
        <v>1381</v>
      </c>
      <c r="S651" t="s">
        <v>1379</v>
      </c>
      <c r="T651" t="s">
        <v>42</v>
      </c>
      <c r="U651">
        <v>43</v>
      </c>
      <c r="V651">
        <v>270</v>
      </c>
      <c r="W651">
        <v>228</v>
      </c>
      <c r="X651" t="s">
        <v>45</v>
      </c>
      <c r="Y651" t="s">
        <v>1382</v>
      </c>
      <c r="Z651" t="s">
        <v>645</v>
      </c>
      <c r="AA651" t="s">
        <v>417</v>
      </c>
    </row>
    <row r="652" spans="1:27" x14ac:dyDescent="0.75">
      <c r="A652" s="22" t="s">
        <v>6051</v>
      </c>
      <c r="B652" t="s">
        <v>1439</v>
      </c>
      <c r="C652" t="s">
        <v>104</v>
      </c>
      <c r="D652" t="s">
        <v>105</v>
      </c>
      <c r="E652" t="s">
        <v>106</v>
      </c>
      <c r="F652" t="s">
        <v>1440</v>
      </c>
      <c r="G652" s="1" t="str">
        <f>HYPERLINK("https://homd.org/jbrowse/?data=homd_V11.02_phage_1.2%2FGCA_001278825.1&amp;loc=GCA_001278825.1%7CCP012589.1%3A1510658..1517476&amp;tracks=prokka,prokka_ncrna,ncbi,ncbi_ncrna,panggolin,cenote,genomad&amp;highlight=","Open JBrowse")</f>
        <v>Open JBrowse</v>
      </c>
      <c r="H652">
        <v>1513658</v>
      </c>
      <c r="I652">
        <v>1514476</v>
      </c>
      <c r="J652" t="s">
        <v>1445</v>
      </c>
      <c r="K652" t="s">
        <v>39</v>
      </c>
      <c r="L652" t="s">
        <v>1379</v>
      </c>
      <c r="M652" t="s">
        <v>1380</v>
      </c>
      <c r="N652" t="s">
        <v>42</v>
      </c>
      <c r="O652">
        <v>3</v>
      </c>
      <c r="P652" t="s">
        <v>42</v>
      </c>
      <c r="Q652" t="s">
        <v>43</v>
      </c>
      <c r="R652" t="s">
        <v>1442</v>
      </c>
      <c r="S652" t="s">
        <v>1379</v>
      </c>
      <c r="T652" t="s">
        <v>42</v>
      </c>
      <c r="U652">
        <v>43</v>
      </c>
      <c r="V652">
        <v>270</v>
      </c>
      <c r="W652">
        <v>228</v>
      </c>
      <c r="X652" t="s">
        <v>45</v>
      </c>
      <c r="Y652" t="s">
        <v>1446</v>
      </c>
      <c r="Z652" t="s">
        <v>97</v>
      </c>
      <c r="AA652" t="s">
        <v>1447</v>
      </c>
    </row>
    <row r="653" spans="1:27" x14ac:dyDescent="0.75">
      <c r="A653" s="22" t="s">
        <v>6051</v>
      </c>
      <c r="B653" t="s">
        <v>2012</v>
      </c>
      <c r="C653" t="s">
        <v>104</v>
      </c>
      <c r="D653" t="s">
        <v>105</v>
      </c>
      <c r="E653" t="s">
        <v>106</v>
      </c>
      <c r="F653" t="s">
        <v>2013</v>
      </c>
      <c r="G653" s="1" t="str">
        <f>HYPERLINK("https://homd.org/jbrowse/?data=homd_V11.02_phage_1.2%2FGCA_002998835.1&amp;loc=GCA_002998835.1%7CCP027232.1%3A2149800..2156633&amp;tracks=prokka,prokka_ncrna,ncbi,ncbi_ncrna,panggolin,cenote,genomad&amp;highlight=","Open JBrowse")</f>
        <v>Open JBrowse</v>
      </c>
      <c r="H653">
        <v>2152800</v>
      </c>
      <c r="I653">
        <v>2153633</v>
      </c>
      <c r="J653" t="s">
        <v>2019</v>
      </c>
      <c r="K653" t="s">
        <v>39</v>
      </c>
      <c r="L653" t="s">
        <v>129</v>
      </c>
      <c r="M653" t="s">
        <v>130</v>
      </c>
      <c r="N653" t="s">
        <v>42</v>
      </c>
      <c r="O653">
        <v>3</v>
      </c>
      <c r="P653" t="s">
        <v>42</v>
      </c>
      <c r="Q653" t="s">
        <v>43</v>
      </c>
      <c r="R653" t="s">
        <v>2015</v>
      </c>
      <c r="S653" t="s">
        <v>129</v>
      </c>
      <c r="T653" t="s">
        <v>42</v>
      </c>
      <c r="U653">
        <v>43</v>
      </c>
      <c r="V653">
        <v>275</v>
      </c>
      <c r="W653">
        <v>233</v>
      </c>
      <c r="X653" t="s">
        <v>45</v>
      </c>
      <c r="Y653" t="s">
        <v>2020</v>
      </c>
      <c r="Z653" t="s">
        <v>470</v>
      </c>
      <c r="AA653" t="s">
        <v>417</v>
      </c>
    </row>
    <row r="654" spans="1:27" x14ac:dyDescent="0.75">
      <c r="A654" s="22" t="s">
        <v>6051</v>
      </c>
      <c r="B654" t="s">
        <v>2796</v>
      </c>
      <c r="C654" t="s">
        <v>104</v>
      </c>
      <c r="D654" t="s">
        <v>105</v>
      </c>
      <c r="E654" t="s">
        <v>106</v>
      </c>
      <c r="F654" t="s">
        <v>2797</v>
      </c>
      <c r="G654" s="1" t="str">
        <f>HYPERLINK("https://homd.org/jbrowse/?data=homd_V11.02_phage_1.2%2FGCA_013394735.1&amp;loc=GCA_013394735.1%7CCP058261.1%3A1020362..1027180&amp;tracks=prokka,prokka_ncrna,ncbi,ncbi_ncrna,panggolin,cenote,genomad&amp;highlight=","Open JBrowse")</f>
        <v>Open JBrowse</v>
      </c>
      <c r="H654">
        <v>1023362</v>
      </c>
      <c r="I654">
        <v>1024180</v>
      </c>
      <c r="J654" t="s">
        <v>2807</v>
      </c>
      <c r="K654" t="s">
        <v>39</v>
      </c>
      <c r="L654" t="s">
        <v>1379</v>
      </c>
      <c r="M654" t="s">
        <v>1380</v>
      </c>
      <c r="N654" t="s">
        <v>42</v>
      </c>
      <c r="O654">
        <v>3</v>
      </c>
      <c r="P654" t="s">
        <v>42</v>
      </c>
      <c r="Q654" t="s">
        <v>43</v>
      </c>
      <c r="R654" t="s">
        <v>2799</v>
      </c>
      <c r="S654" t="s">
        <v>1379</v>
      </c>
      <c r="T654" t="s">
        <v>42</v>
      </c>
      <c r="U654">
        <v>43</v>
      </c>
      <c r="V654">
        <v>270</v>
      </c>
      <c r="W654">
        <v>228</v>
      </c>
      <c r="X654" t="s">
        <v>45</v>
      </c>
      <c r="Y654" t="s">
        <v>2808</v>
      </c>
      <c r="Z654" t="s">
        <v>1327</v>
      </c>
      <c r="AA654" t="s">
        <v>133</v>
      </c>
    </row>
    <row r="655" spans="1:27" x14ac:dyDescent="0.75">
      <c r="A655" s="22" t="s">
        <v>6051</v>
      </c>
      <c r="B655" t="s">
        <v>3894</v>
      </c>
      <c r="C655" t="s">
        <v>104</v>
      </c>
      <c r="D655" t="s">
        <v>105</v>
      </c>
      <c r="E655" t="s">
        <v>106</v>
      </c>
      <c r="F655" t="s">
        <v>3895</v>
      </c>
      <c r="G655" s="1" t="str">
        <f>HYPERLINK("https://homd.org/jbrowse/?data=homd_V11.02_phage_1.2%2FGCA_019930725.1&amp;loc=GCA_019930725.1%7CCP082870.1%3A2190950..2197783&amp;tracks=prokka,prokka_ncrna,ncbi,ncbi_ncrna,panggolin,cenote,genomad&amp;highlight=","Open JBrowse")</f>
        <v>Open JBrowse</v>
      </c>
      <c r="H655">
        <v>2193950</v>
      </c>
      <c r="I655">
        <v>2194783</v>
      </c>
      <c r="J655" t="s">
        <v>3902</v>
      </c>
      <c r="K655" t="s">
        <v>39</v>
      </c>
      <c r="L655" t="s">
        <v>129</v>
      </c>
      <c r="M655" t="s">
        <v>130</v>
      </c>
      <c r="N655" t="s">
        <v>42</v>
      </c>
      <c r="O655">
        <v>3</v>
      </c>
      <c r="P655" t="s">
        <v>42</v>
      </c>
      <c r="Q655" t="s">
        <v>43</v>
      </c>
      <c r="R655" t="s">
        <v>3897</v>
      </c>
      <c r="S655" t="s">
        <v>129</v>
      </c>
      <c r="T655" t="s">
        <v>42</v>
      </c>
      <c r="U655">
        <v>43</v>
      </c>
      <c r="V655">
        <v>275</v>
      </c>
      <c r="W655">
        <v>233</v>
      </c>
      <c r="X655" t="s">
        <v>45</v>
      </c>
      <c r="Y655" t="s">
        <v>3903</v>
      </c>
      <c r="Z655" t="s">
        <v>840</v>
      </c>
      <c r="AA655" t="s">
        <v>133</v>
      </c>
    </row>
    <row r="656" spans="1:27" x14ac:dyDescent="0.75">
      <c r="A656" s="22" t="s">
        <v>6051</v>
      </c>
      <c r="B656" t="s">
        <v>4026</v>
      </c>
      <c r="C656" t="s">
        <v>104</v>
      </c>
      <c r="D656" t="s">
        <v>105</v>
      </c>
      <c r="E656" t="s">
        <v>106</v>
      </c>
      <c r="F656" t="s">
        <v>4027</v>
      </c>
      <c r="G656" s="1" t="str">
        <f>HYPERLINK("https://homd.org/jbrowse/?data=homd_V11.02_phage_1.2%2FGCA_020736165.1&amp;loc=GCA_020736165.1%7CCP085961.1%3A1278567..1285394&amp;tracks=prokka,prokka_ncrna,ncbi,ncbi_ncrna,panggolin,cenote,genomad&amp;highlight=","Open JBrowse")</f>
        <v>Open JBrowse</v>
      </c>
      <c r="H656">
        <v>1281567</v>
      </c>
      <c r="I656">
        <v>1282394</v>
      </c>
      <c r="J656" t="s">
        <v>4031</v>
      </c>
      <c r="K656" t="s">
        <v>39</v>
      </c>
      <c r="L656" t="s">
        <v>413</v>
      </c>
      <c r="M656" t="s">
        <v>414</v>
      </c>
      <c r="N656" t="s">
        <v>42</v>
      </c>
      <c r="O656">
        <v>3</v>
      </c>
      <c r="P656" t="s">
        <v>42</v>
      </c>
      <c r="Q656" t="s">
        <v>43</v>
      </c>
      <c r="R656" t="s">
        <v>4029</v>
      </c>
      <c r="S656" t="s">
        <v>413</v>
      </c>
      <c r="T656" t="s">
        <v>42</v>
      </c>
      <c r="U656">
        <v>43</v>
      </c>
      <c r="V656">
        <v>273</v>
      </c>
      <c r="W656">
        <v>231</v>
      </c>
      <c r="X656" t="s">
        <v>45</v>
      </c>
      <c r="Y656" t="s">
        <v>4032</v>
      </c>
      <c r="Z656" t="s">
        <v>97</v>
      </c>
      <c r="AA656" t="s">
        <v>417</v>
      </c>
    </row>
    <row r="657" spans="1:32" x14ac:dyDescent="0.75">
      <c r="A657" s="22" t="s">
        <v>6051</v>
      </c>
      <c r="B657" t="s">
        <v>4771</v>
      </c>
      <c r="C657" t="s">
        <v>104</v>
      </c>
      <c r="D657" t="s">
        <v>105</v>
      </c>
      <c r="E657" t="s">
        <v>106</v>
      </c>
      <c r="F657" t="s">
        <v>4772</v>
      </c>
      <c r="G657" s="1" t="str">
        <f>HYPERLINK("https://homd.org/jbrowse/?data=homd_V11.02_phage_1.2%2FGCA_026013785.1&amp;loc=GCA_026013785.1%7CCP110228.1%3A91436..98269&amp;tracks=prokka,prokka_ncrna,ncbi,ncbi_ncrna,panggolin,cenote,genomad&amp;highlight=","Open JBrowse")</f>
        <v>Open JBrowse</v>
      </c>
      <c r="H657">
        <v>94436</v>
      </c>
      <c r="I657">
        <v>95269</v>
      </c>
      <c r="J657" t="s">
        <v>4781</v>
      </c>
      <c r="K657" t="s">
        <v>39</v>
      </c>
      <c r="L657" t="s">
        <v>129</v>
      </c>
      <c r="M657" t="s">
        <v>130</v>
      </c>
      <c r="N657" t="s">
        <v>42</v>
      </c>
      <c r="O657">
        <v>3</v>
      </c>
      <c r="P657" t="s">
        <v>42</v>
      </c>
      <c r="Q657" t="s">
        <v>43</v>
      </c>
      <c r="R657" t="s">
        <v>4774</v>
      </c>
      <c r="S657" t="s">
        <v>129</v>
      </c>
      <c r="T657" t="s">
        <v>42</v>
      </c>
      <c r="U657">
        <v>43</v>
      </c>
      <c r="V657">
        <v>275</v>
      </c>
      <c r="W657">
        <v>233</v>
      </c>
      <c r="X657" t="s">
        <v>45</v>
      </c>
      <c r="Y657" t="s">
        <v>4782</v>
      </c>
      <c r="Z657" t="s">
        <v>47</v>
      </c>
      <c r="AA657" t="s">
        <v>133</v>
      </c>
    </row>
    <row r="658" spans="1:32" x14ac:dyDescent="0.75">
      <c r="A658" s="22" t="s">
        <v>6051</v>
      </c>
      <c r="B658" t="s">
        <v>4783</v>
      </c>
      <c r="C658" t="s">
        <v>104</v>
      </c>
      <c r="D658" t="s">
        <v>105</v>
      </c>
      <c r="E658" t="s">
        <v>106</v>
      </c>
      <c r="F658" t="s">
        <v>4784</v>
      </c>
      <c r="G658" s="1" t="str">
        <f>HYPERLINK("https://homd.org/jbrowse/?data=homd_V11.02_phage_1.2%2FGCA_026013805.1&amp;loc=GCA_026013805.1%7CCP110229.1%3A723591..730424&amp;tracks=prokka,prokka_ncrna,ncbi,ncbi_ncrna,panggolin,cenote,genomad&amp;highlight=","Open JBrowse")</f>
        <v>Open JBrowse</v>
      </c>
      <c r="H658">
        <v>726591</v>
      </c>
      <c r="I658">
        <v>727424</v>
      </c>
      <c r="J658" t="s">
        <v>4790</v>
      </c>
      <c r="K658" t="s">
        <v>39</v>
      </c>
      <c r="L658" t="s">
        <v>129</v>
      </c>
      <c r="M658" t="s">
        <v>130</v>
      </c>
      <c r="N658" t="s">
        <v>42</v>
      </c>
      <c r="O658">
        <v>3</v>
      </c>
      <c r="P658" t="s">
        <v>42</v>
      </c>
      <c r="Q658" t="s">
        <v>43</v>
      </c>
      <c r="R658" t="s">
        <v>4786</v>
      </c>
      <c r="S658" t="s">
        <v>129</v>
      </c>
      <c r="T658" t="s">
        <v>42</v>
      </c>
      <c r="U658">
        <v>43</v>
      </c>
      <c r="V658">
        <v>275</v>
      </c>
      <c r="W658">
        <v>233</v>
      </c>
      <c r="X658" t="s">
        <v>45</v>
      </c>
      <c r="Y658" t="s">
        <v>4791</v>
      </c>
      <c r="Z658" t="s">
        <v>932</v>
      </c>
      <c r="AA658" t="s">
        <v>417</v>
      </c>
    </row>
    <row r="659" spans="1:32" x14ac:dyDescent="0.75">
      <c r="A659" s="22" t="s">
        <v>6051</v>
      </c>
      <c r="B659" t="s">
        <v>5198</v>
      </c>
      <c r="C659" t="s">
        <v>104</v>
      </c>
      <c r="D659" t="s">
        <v>105</v>
      </c>
      <c r="E659" t="s">
        <v>106</v>
      </c>
      <c r="F659" t="s">
        <v>5199</v>
      </c>
      <c r="G659" s="1" t="str">
        <f>HYPERLINK("https://homd.org/jbrowse/?data=homd_V11.02_phage_1.2%2FGCA_900446705.1&amp;loc=GCA_900446705.1%7CUARG01000017.1%3A1098290..1105117&amp;tracks=prokka,prokka_ncrna,ncbi,ncbi_ncrna,panggolin,cenote,genomad&amp;highlight=","Open JBrowse")</f>
        <v>Open JBrowse</v>
      </c>
      <c r="H659">
        <v>1101290</v>
      </c>
      <c r="I659">
        <v>1102117</v>
      </c>
      <c r="J659" t="s">
        <v>5208</v>
      </c>
      <c r="K659" t="s">
        <v>39</v>
      </c>
      <c r="L659" t="s">
        <v>413</v>
      </c>
      <c r="M659" t="s">
        <v>414</v>
      </c>
      <c r="N659" t="s">
        <v>42</v>
      </c>
      <c r="O659">
        <v>3</v>
      </c>
      <c r="P659" t="s">
        <v>42</v>
      </c>
      <c r="Q659" t="s">
        <v>43</v>
      </c>
      <c r="R659" t="s">
        <v>5201</v>
      </c>
      <c r="S659" t="s">
        <v>413</v>
      </c>
      <c r="T659" t="s">
        <v>42</v>
      </c>
      <c r="U659">
        <v>43</v>
      </c>
      <c r="V659">
        <v>273</v>
      </c>
      <c r="W659">
        <v>231</v>
      </c>
      <c r="X659" t="s">
        <v>45</v>
      </c>
      <c r="Y659" t="s">
        <v>5209</v>
      </c>
      <c r="Z659" t="s">
        <v>132</v>
      </c>
      <c r="AA659" t="s">
        <v>133</v>
      </c>
    </row>
    <row r="660" spans="1:32" x14ac:dyDescent="0.75">
      <c r="A660" s="22" t="s">
        <v>6051</v>
      </c>
      <c r="B660" t="s">
        <v>5227</v>
      </c>
      <c r="C660" t="s">
        <v>104</v>
      </c>
      <c r="D660" t="s">
        <v>105</v>
      </c>
      <c r="E660" t="s">
        <v>106</v>
      </c>
      <c r="F660" t="s">
        <v>5228</v>
      </c>
      <c r="G660" s="1" t="str">
        <f>HYPERLINK("https://homd.org/jbrowse/?data=homd_V11.02_phage_1.2%2FGCA_900460915.1&amp;loc=GCA_900460915.1%7CUAVS01000001.1%3A723219..730046&amp;tracks=prokka,prokka_ncrna,ncbi,ncbi_ncrna,panggolin,cenote,genomad&amp;highlight=","Open JBrowse")</f>
        <v>Open JBrowse</v>
      </c>
      <c r="H660">
        <v>726219</v>
      </c>
      <c r="I660">
        <v>727046</v>
      </c>
      <c r="J660" t="s">
        <v>5237</v>
      </c>
      <c r="K660" t="s">
        <v>39</v>
      </c>
      <c r="L660" t="s">
        <v>413</v>
      </c>
      <c r="M660" t="s">
        <v>414</v>
      </c>
      <c r="N660" t="s">
        <v>42</v>
      </c>
      <c r="O660">
        <v>3</v>
      </c>
      <c r="P660" t="s">
        <v>42</v>
      </c>
      <c r="Q660" t="s">
        <v>43</v>
      </c>
      <c r="R660" t="s">
        <v>5232</v>
      </c>
      <c r="S660" t="s">
        <v>413</v>
      </c>
      <c r="T660" t="s">
        <v>42</v>
      </c>
      <c r="U660">
        <v>43</v>
      </c>
      <c r="V660">
        <v>273</v>
      </c>
      <c r="W660">
        <v>231</v>
      </c>
      <c r="X660" t="s">
        <v>45</v>
      </c>
      <c r="Y660" t="s">
        <v>5238</v>
      </c>
      <c r="Z660" t="s">
        <v>302</v>
      </c>
      <c r="AA660" t="s">
        <v>5239</v>
      </c>
    </row>
    <row r="661" spans="1:32" x14ac:dyDescent="0.75">
      <c r="A661" s="22" t="s">
        <v>6051</v>
      </c>
      <c r="B661" t="s">
        <v>5251</v>
      </c>
      <c r="C661" t="s">
        <v>104</v>
      </c>
      <c r="D661" t="s">
        <v>105</v>
      </c>
      <c r="E661" t="s">
        <v>106</v>
      </c>
      <c r="F661" t="s">
        <v>5252</v>
      </c>
      <c r="G661" s="1" t="str">
        <f>HYPERLINK("https://homd.org/jbrowse/?data=homd_V11.02_phage_1.2%2FGCA_900618145.1&amp;loc=GCA_900618145.1%7CUYIQ01000001.1%3A965614..972447&amp;tracks=prokka,prokka_ncrna,ncbi,ncbi_ncrna,panggolin,cenote,genomad&amp;highlight=","Open JBrowse")</f>
        <v>Open JBrowse</v>
      </c>
      <c r="H661">
        <v>968614</v>
      </c>
      <c r="I661">
        <v>969447</v>
      </c>
      <c r="J661" t="s">
        <v>5260</v>
      </c>
      <c r="K661" t="s">
        <v>39</v>
      </c>
      <c r="L661" t="s">
        <v>129</v>
      </c>
      <c r="M661" t="s">
        <v>130</v>
      </c>
      <c r="N661" t="s">
        <v>42</v>
      </c>
      <c r="O661">
        <v>3</v>
      </c>
      <c r="P661" t="s">
        <v>42</v>
      </c>
      <c r="Q661" t="s">
        <v>43</v>
      </c>
      <c r="R661" t="s">
        <v>5254</v>
      </c>
      <c r="S661" t="s">
        <v>129</v>
      </c>
      <c r="T661" t="s">
        <v>42</v>
      </c>
      <c r="U661">
        <v>43</v>
      </c>
      <c r="V661">
        <v>275</v>
      </c>
      <c r="W661">
        <v>233</v>
      </c>
      <c r="X661" t="s">
        <v>45</v>
      </c>
      <c r="Y661" t="s">
        <v>5261</v>
      </c>
      <c r="Z661" t="s">
        <v>90</v>
      </c>
      <c r="AA661" t="s">
        <v>133</v>
      </c>
    </row>
    <row r="662" spans="1:32" x14ac:dyDescent="0.75">
      <c r="A662" s="22" t="s">
        <v>6051</v>
      </c>
      <c r="B662" t="s">
        <v>5383</v>
      </c>
      <c r="C662" t="s">
        <v>104</v>
      </c>
      <c r="D662" t="s">
        <v>105</v>
      </c>
      <c r="E662" t="s">
        <v>106</v>
      </c>
      <c r="F662" t="s">
        <v>5393</v>
      </c>
      <c r="G662" s="1" t="str">
        <f>HYPERLINK("https://homd.org/jbrowse/?data=homd_V11.02_phage_1.2%2FGCA_902482725.1&amp;loc=GCA_902482725.1%7CCABTAG010000071.1%3A8497..15315&amp;tracks=prokka,prokka_ncrna,ncbi,ncbi_ncrna,panggolin,cenote,genomad&amp;highlight=","Open JBrowse")</f>
        <v>Open JBrowse</v>
      </c>
      <c r="H662">
        <v>11497</v>
      </c>
      <c r="I662">
        <v>12315</v>
      </c>
      <c r="J662" t="s">
        <v>5394</v>
      </c>
      <c r="K662" t="s">
        <v>39</v>
      </c>
      <c r="L662" t="s">
        <v>1379</v>
      </c>
      <c r="M662" t="s">
        <v>1380</v>
      </c>
      <c r="N662" t="s">
        <v>42</v>
      </c>
      <c r="O662">
        <v>3</v>
      </c>
      <c r="P662" t="s">
        <v>42</v>
      </c>
      <c r="Q662" t="s">
        <v>43</v>
      </c>
      <c r="R662" t="s">
        <v>5386</v>
      </c>
      <c r="S662" t="s">
        <v>1379</v>
      </c>
      <c r="T662" t="s">
        <v>42</v>
      </c>
      <c r="U662">
        <v>43</v>
      </c>
      <c r="V662">
        <v>270</v>
      </c>
      <c r="W662">
        <v>228</v>
      </c>
      <c r="X662" t="s">
        <v>45</v>
      </c>
      <c r="Y662" t="s">
        <v>5395</v>
      </c>
      <c r="Z662" t="s">
        <v>1450</v>
      </c>
      <c r="AA662" t="s">
        <v>133</v>
      </c>
    </row>
    <row r="663" spans="1:32" x14ac:dyDescent="0.75">
      <c r="A663" s="22" t="s">
        <v>6051</v>
      </c>
      <c r="B663" t="s">
        <v>5425</v>
      </c>
      <c r="C663" t="s">
        <v>104</v>
      </c>
      <c r="D663" t="s">
        <v>473</v>
      </c>
      <c r="E663" t="s">
        <v>474</v>
      </c>
      <c r="F663" t="s">
        <v>5426</v>
      </c>
      <c r="G663" s="1" t="str">
        <f>HYPERLINK("https://homd.org/jbrowse/?data=homd_V11.02_phage_1.2%2FGCA_905371935.1&amp;loc=GCA_905371935.1%7CCAJPNH010000068.1%3A2896..9729&amp;tracks=prokka,prokka_ncrna,ncbi,ncbi_ncrna,panggolin,cenote,genomad&amp;highlight=","Open JBrowse")</f>
        <v>Open JBrowse</v>
      </c>
      <c r="H663">
        <v>5896</v>
      </c>
      <c r="I663">
        <v>6729</v>
      </c>
      <c r="J663" t="s">
        <v>5427</v>
      </c>
      <c r="K663" t="s">
        <v>39</v>
      </c>
      <c r="L663" t="s">
        <v>129</v>
      </c>
      <c r="M663" t="s">
        <v>130</v>
      </c>
      <c r="N663" t="s">
        <v>42</v>
      </c>
      <c r="O663">
        <v>3</v>
      </c>
      <c r="P663" t="s">
        <v>42</v>
      </c>
      <c r="Q663" t="s">
        <v>43</v>
      </c>
      <c r="R663" t="s">
        <v>5428</v>
      </c>
      <c r="S663" t="s">
        <v>129</v>
      </c>
      <c r="T663" t="s">
        <v>42</v>
      </c>
      <c r="U663">
        <v>43</v>
      </c>
      <c r="V663">
        <v>275</v>
      </c>
      <c r="W663">
        <v>233</v>
      </c>
      <c r="X663" t="s">
        <v>45</v>
      </c>
      <c r="Y663" t="s">
        <v>5429</v>
      </c>
      <c r="Z663" t="s">
        <v>357</v>
      </c>
      <c r="AA663" t="s">
        <v>5430</v>
      </c>
    </row>
    <row r="664" spans="1:32" x14ac:dyDescent="0.75">
      <c r="A664" s="22" t="s">
        <v>6051</v>
      </c>
      <c r="B664" t="s">
        <v>5431</v>
      </c>
      <c r="C664" t="s">
        <v>104</v>
      </c>
      <c r="D664" t="s">
        <v>105</v>
      </c>
      <c r="E664" t="s">
        <v>106</v>
      </c>
      <c r="F664" t="s">
        <v>5438</v>
      </c>
      <c r="G664" s="1" t="str">
        <f>HYPERLINK("https://homd.org/jbrowse/?data=homd_V11.02_phage_1.2%2FGCA_905371985.1&amp;loc=GCA_905371985.1%7CCAJPNJ010000066.1%3A8566..15399&amp;tracks=prokka,prokka_ncrna,ncbi,ncbi_ncrna,panggolin,cenote,genomad&amp;highlight=","Open JBrowse")</f>
        <v>Open JBrowse</v>
      </c>
      <c r="H664">
        <v>11566</v>
      </c>
      <c r="I664">
        <v>12399</v>
      </c>
      <c r="J664" t="s">
        <v>5439</v>
      </c>
      <c r="K664" t="s">
        <v>39</v>
      </c>
      <c r="L664" t="s">
        <v>129</v>
      </c>
      <c r="M664" t="s">
        <v>130</v>
      </c>
      <c r="N664" t="s">
        <v>42</v>
      </c>
      <c r="O664">
        <v>3</v>
      </c>
      <c r="P664" t="s">
        <v>42</v>
      </c>
      <c r="Q664" t="s">
        <v>43</v>
      </c>
      <c r="R664" t="s">
        <v>5434</v>
      </c>
      <c r="S664" t="s">
        <v>129</v>
      </c>
      <c r="T664" t="s">
        <v>42</v>
      </c>
      <c r="U664">
        <v>43</v>
      </c>
      <c r="V664">
        <v>275</v>
      </c>
      <c r="W664">
        <v>233</v>
      </c>
      <c r="X664" t="s">
        <v>45</v>
      </c>
      <c r="Y664" t="s">
        <v>5440</v>
      </c>
      <c r="Z664" t="s">
        <v>667</v>
      </c>
      <c r="AA664" t="s">
        <v>133</v>
      </c>
    </row>
    <row r="665" spans="1:32" x14ac:dyDescent="0.75">
      <c r="A665" s="22" t="s">
        <v>6051</v>
      </c>
      <c r="B665" t="s">
        <v>5770</v>
      </c>
      <c r="C665" t="s">
        <v>104</v>
      </c>
      <c r="D665" t="s">
        <v>105</v>
      </c>
      <c r="E665" t="s">
        <v>106</v>
      </c>
      <c r="F665" t="s">
        <v>5780</v>
      </c>
      <c r="G665" s="1" t="str">
        <f>HYPERLINK("https://homd.org/jbrowse/?data=homd_V11.02_phage_1.2%2FGCA_937926985.1&amp;loc=GCA_937926985.1%7CCALBCK010000144.1%3A1..3977&amp;tracks=prokka,prokka_ncrna,ncbi,ncbi_ncrna,panggolin,cenote,genomad&amp;highlight=","Open JBrowse")</f>
        <v>Open JBrowse</v>
      </c>
      <c r="H665">
        <v>159</v>
      </c>
      <c r="I665">
        <v>977</v>
      </c>
      <c r="J665" t="s">
        <v>5781</v>
      </c>
      <c r="K665" t="s">
        <v>39</v>
      </c>
      <c r="L665" t="s">
        <v>1379</v>
      </c>
      <c r="M665" t="s">
        <v>1380</v>
      </c>
      <c r="N665" t="s">
        <v>42</v>
      </c>
      <c r="O665">
        <v>3</v>
      </c>
      <c r="P665" t="s">
        <v>42</v>
      </c>
      <c r="Q665" t="s">
        <v>43</v>
      </c>
      <c r="R665" t="s">
        <v>5773</v>
      </c>
      <c r="S665" t="s">
        <v>1379</v>
      </c>
      <c r="T665" t="s">
        <v>42</v>
      </c>
      <c r="U665">
        <v>43</v>
      </c>
      <c r="V665">
        <v>270</v>
      </c>
      <c r="W665">
        <v>228</v>
      </c>
      <c r="X665" t="s">
        <v>45</v>
      </c>
      <c r="Y665" t="s">
        <v>5782</v>
      </c>
      <c r="Z665" t="s">
        <v>824</v>
      </c>
      <c r="AA665" t="s">
        <v>417</v>
      </c>
    </row>
    <row r="666" spans="1:32" x14ac:dyDescent="0.75">
      <c r="A666" s="22" t="s">
        <v>6051</v>
      </c>
      <c r="B666" t="s">
        <v>558</v>
      </c>
      <c r="C666" t="s">
        <v>104</v>
      </c>
      <c r="D666" t="s">
        <v>559</v>
      </c>
      <c r="E666" t="s">
        <v>560</v>
      </c>
      <c r="F666" t="s">
        <v>561</v>
      </c>
      <c r="G666" s="1" t="str">
        <f>HYPERLINK("https://homd.org/jbrowse/?data=homd_V11.02_phage_1.2%2FGCA_000234055.1&amp;loc=GCA_000234055.1%7CJH376764.1%3A56602..63459&amp;tracks=prokka,prokka_ncrna,ncbi,ncbi_ncrna,panggolin,cenote,genomad&amp;highlight=","Open JBrowse")</f>
        <v>Open JBrowse</v>
      </c>
      <c r="H666">
        <v>59602</v>
      </c>
      <c r="I666">
        <v>60459</v>
      </c>
      <c r="J666" t="s">
        <v>562</v>
      </c>
      <c r="K666" t="s">
        <v>59</v>
      </c>
      <c r="L666" t="s">
        <v>563</v>
      </c>
      <c r="M666" t="s">
        <v>564</v>
      </c>
      <c r="N666" t="s">
        <v>42</v>
      </c>
      <c r="O666">
        <v>3</v>
      </c>
      <c r="P666" t="s">
        <v>42</v>
      </c>
      <c r="Q666" t="s">
        <v>59</v>
      </c>
      <c r="R666" t="s">
        <v>565</v>
      </c>
      <c r="S666" t="s">
        <v>563</v>
      </c>
      <c r="T666" t="s">
        <v>42</v>
      </c>
      <c r="U666">
        <v>44</v>
      </c>
      <c r="V666">
        <v>270</v>
      </c>
      <c r="W666">
        <v>227</v>
      </c>
      <c r="X666" t="s">
        <v>160</v>
      </c>
    </row>
    <row r="667" spans="1:32" x14ac:dyDescent="0.75">
      <c r="A667" s="22" t="s">
        <v>6051</v>
      </c>
      <c r="B667" t="s">
        <v>1195</v>
      </c>
      <c r="C667" t="s">
        <v>104</v>
      </c>
      <c r="D667" t="s">
        <v>153</v>
      </c>
      <c r="E667" t="s">
        <v>154</v>
      </c>
      <c r="F667" t="s">
        <v>1196</v>
      </c>
      <c r="G667" s="1" t="str">
        <f>HYPERLINK("https://homd.org/jbrowse/?data=homd_V11.02_phage_1.2%2FGCA_000517825.1&amp;loc=GCA_000517825.1%7CJACD01000054.1%3A40168..47145&amp;tracks=prokka,prokka_ncrna,ncbi,ncbi_ncrna,panggolin,cenote,genomad&amp;highlight=","Open JBrowse")</f>
        <v>Open JBrowse</v>
      </c>
      <c r="H667">
        <v>43168</v>
      </c>
      <c r="I667">
        <v>44145</v>
      </c>
      <c r="J667" t="s">
        <v>1197</v>
      </c>
      <c r="K667" t="s">
        <v>59</v>
      </c>
      <c r="L667" t="s">
        <v>563</v>
      </c>
      <c r="M667" t="s">
        <v>564</v>
      </c>
      <c r="N667" t="s">
        <v>42</v>
      </c>
      <c r="O667">
        <v>3</v>
      </c>
      <c r="P667" t="s">
        <v>42</v>
      </c>
      <c r="Q667" t="s">
        <v>59</v>
      </c>
      <c r="R667" t="s">
        <v>1198</v>
      </c>
      <c r="S667" t="s">
        <v>563</v>
      </c>
      <c r="T667" t="s">
        <v>42</v>
      </c>
      <c r="U667">
        <v>44</v>
      </c>
      <c r="V667">
        <v>270</v>
      </c>
      <c r="W667">
        <v>227</v>
      </c>
      <c r="X667" t="s">
        <v>160</v>
      </c>
      <c r="Y667" t="s">
        <v>1199</v>
      </c>
      <c r="Z667" t="s">
        <v>118</v>
      </c>
      <c r="AA667" t="s">
        <v>1200</v>
      </c>
      <c r="AB667" t="s">
        <v>1201</v>
      </c>
      <c r="AC667" t="s">
        <v>164</v>
      </c>
      <c r="AD667" t="s">
        <v>51</v>
      </c>
      <c r="AE667">
        <v>183.7</v>
      </c>
      <c r="AF667" t="s">
        <v>165</v>
      </c>
    </row>
    <row r="668" spans="1:32" x14ac:dyDescent="0.75">
      <c r="A668" s="22" t="s">
        <v>6051</v>
      </c>
      <c r="B668" t="s">
        <v>1258</v>
      </c>
      <c r="C668" t="s">
        <v>104</v>
      </c>
      <c r="D668" t="s">
        <v>559</v>
      </c>
      <c r="E668" t="s">
        <v>560</v>
      </c>
      <c r="F668" t="s">
        <v>1259</v>
      </c>
      <c r="G668" s="1" t="str">
        <f>HYPERLINK("https://homd.org/jbrowse/?data=homd_V11.02_phage_1.2%2FGCA_000613925.1&amp;loc=GCA_000613925.1%7CBAJX01000018.1%3A17260..24117&amp;tracks=prokka,prokka_ncrna,ncbi,ncbi_ncrna,panggolin,cenote,genomad&amp;highlight=","Open JBrowse")</f>
        <v>Open JBrowse</v>
      </c>
      <c r="H668">
        <v>20260</v>
      </c>
      <c r="I668">
        <v>21117</v>
      </c>
      <c r="J668" t="s">
        <v>1260</v>
      </c>
      <c r="K668" t="s">
        <v>59</v>
      </c>
      <c r="L668" t="s">
        <v>563</v>
      </c>
      <c r="M668" t="s">
        <v>564</v>
      </c>
      <c r="N668" t="s">
        <v>42</v>
      </c>
      <c r="O668">
        <v>3</v>
      </c>
      <c r="P668" t="s">
        <v>42</v>
      </c>
      <c r="Q668" t="s">
        <v>59</v>
      </c>
      <c r="R668" t="s">
        <v>1261</v>
      </c>
      <c r="S668" t="s">
        <v>563</v>
      </c>
      <c r="T668" t="s">
        <v>42</v>
      </c>
      <c r="U668">
        <v>44</v>
      </c>
      <c r="V668">
        <v>270</v>
      </c>
      <c r="W668">
        <v>227</v>
      </c>
      <c r="X668" t="s">
        <v>160</v>
      </c>
      <c r="Y668" t="s">
        <v>1262</v>
      </c>
      <c r="Z668" t="s">
        <v>556</v>
      </c>
      <c r="AA668" t="s">
        <v>1263</v>
      </c>
    </row>
    <row r="669" spans="1:32" x14ac:dyDescent="0.75">
      <c r="A669" s="22" t="s">
        <v>6051</v>
      </c>
      <c r="B669" t="s">
        <v>1322</v>
      </c>
      <c r="C669" t="s">
        <v>104</v>
      </c>
      <c r="D669" t="s">
        <v>559</v>
      </c>
      <c r="E669" t="s">
        <v>560</v>
      </c>
      <c r="F669" t="s">
        <v>1323</v>
      </c>
      <c r="G669" s="1" t="str">
        <f>HYPERLINK("https://homd.org/jbrowse/?data=homd_V11.02_phage_1.2%2FGCA_000759075.1&amp;loc=GCA_000759075.1%7CJRNJ01000055.1%3A34078..40935&amp;tracks=prokka,prokka_ncrna,ncbi,ncbi_ncrna,panggolin,cenote,genomad&amp;highlight=","Open JBrowse")</f>
        <v>Open JBrowse</v>
      </c>
      <c r="H669">
        <v>37078</v>
      </c>
      <c r="I669">
        <v>37935</v>
      </c>
      <c r="J669" t="s">
        <v>1324</v>
      </c>
      <c r="K669" t="s">
        <v>59</v>
      </c>
      <c r="L669" t="s">
        <v>563</v>
      </c>
      <c r="M669" t="s">
        <v>564</v>
      </c>
      <c r="N669" t="s">
        <v>42</v>
      </c>
      <c r="O669">
        <v>3</v>
      </c>
      <c r="P669" t="s">
        <v>42</v>
      </c>
      <c r="Q669" t="s">
        <v>59</v>
      </c>
      <c r="R669" t="s">
        <v>1325</v>
      </c>
      <c r="S669" t="s">
        <v>563</v>
      </c>
      <c r="T669" t="s">
        <v>42</v>
      </c>
      <c r="U669">
        <v>44</v>
      </c>
      <c r="V669">
        <v>270</v>
      </c>
      <c r="W669">
        <v>227</v>
      </c>
      <c r="X669" t="s">
        <v>160</v>
      </c>
      <c r="Y669" t="s">
        <v>1326</v>
      </c>
      <c r="Z669" t="s">
        <v>1327</v>
      </c>
      <c r="AA669" t="s">
        <v>1328</v>
      </c>
    </row>
    <row r="670" spans="1:32" x14ac:dyDescent="0.75">
      <c r="A670" s="22" t="s">
        <v>6051</v>
      </c>
      <c r="B670" t="s">
        <v>2915</v>
      </c>
      <c r="C670" t="s">
        <v>104</v>
      </c>
      <c r="D670" t="s">
        <v>2741</v>
      </c>
      <c r="E670" t="s">
        <v>2742</v>
      </c>
      <c r="F670" t="s">
        <v>2925</v>
      </c>
      <c r="G670" s="1" t="str">
        <f>HYPERLINK("https://homd.org/jbrowse/?data=homd_V11.02_phage_1.2%2FGCA_015257665.1&amp;loc=GCA_015257665.1%7CJABZJS010000022.1%3A1..6393&amp;tracks=prokka,prokka_ncrna,ncbi,ncbi_ncrna,panggolin,cenote,genomad&amp;highlight=","Open JBrowse")</f>
        <v>Open JBrowse</v>
      </c>
      <c r="H670">
        <v>2152</v>
      </c>
      <c r="I670">
        <v>3393</v>
      </c>
      <c r="J670" t="s">
        <v>2926</v>
      </c>
      <c r="K670" t="s">
        <v>59</v>
      </c>
      <c r="L670" t="s">
        <v>2927</v>
      </c>
      <c r="M670" t="s">
        <v>2753</v>
      </c>
      <c r="N670" t="s">
        <v>2318</v>
      </c>
      <c r="O670">
        <v>3</v>
      </c>
      <c r="P670" t="s">
        <v>42</v>
      </c>
      <c r="Q670" t="s">
        <v>59</v>
      </c>
      <c r="R670" t="s">
        <v>2920</v>
      </c>
      <c r="S670" t="s">
        <v>2927</v>
      </c>
      <c r="T670" t="s">
        <v>42</v>
      </c>
      <c r="U670">
        <v>44</v>
      </c>
      <c r="V670">
        <v>323</v>
      </c>
      <c r="W670">
        <v>280</v>
      </c>
      <c r="X670" t="s">
        <v>1629</v>
      </c>
    </row>
    <row r="671" spans="1:32" x14ac:dyDescent="0.75">
      <c r="A671" s="22" t="s">
        <v>6051</v>
      </c>
      <c r="B671" t="s">
        <v>2996</v>
      </c>
      <c r="C671" t="s">
        <v>104</v>
      </c>
      <c r="D671" t="s">
        <v>153</v>
      </c>
      <c r="E671" t="s">
        <v>154</v>
      </c>
      <c r="F671" t="s">
        <v>2997</v>
      </c>
      <c r="G671" s="1" t="str">
        <f>HYPERLINK("https://homd.org/jbrowse/?data=homd_V11.02_phage_1.2%2FGCA_015260405.1&amp;loc=GCA_015260405.1%7CJABZWS010000070.1%3A1..6438&amp;tracks=prokka,prokka_ncrna,ncbi,ncbi_ncrna,panggolin,cenote,genomad&amp;highlight=","Open JBrowse")</f>
        <v>Open JBrowse</v>
      </c>
      <c r="H671">
        <v>2461</v>
      </c>
      <c r="I671">
        <v>3438</v>
      </c>
      <c r="J671" t="s">
        <v>2998</v>
      </c>
      <c r="K671" t="s">
        <v>59</v>
      </c>
      <c r="L671" t="s">
        <v>563</v>
      </c>
      <c r="M671" t="s">
        <v>564</v>
      </c>
      <c r="N671" t="s">
        <v>42</v>
      </c>
      <c r="O671">
        <v>3</v>
      </c>
      <c r="P671" t="s">
        <v>42</v>
      </c>
      <c r="Q671" t="s">
        <v>59</v>
      </c>
      <c r="R671" t="s">
        <v>2999</v>
      </c>
      <c r="S671" t="s">
        <v>563</v>
      </c>
      <c r="T671" t="s">
        <v>42</v>
      </c>
      <c r="U671">
        <v>44</v>
      </c>
      <c r="V671">
        <v>270</v>
      </c>
      <c r="W671">
        <v>227</v>
      </c>
      <c r="X671" t="s">
        <v>160</v>
      </c>
    </row>
    <row r="672" spans="1:32" x14ac:dyDescent="0.75">
      <c r="A672" s="22" t="s">
        <v>6051</v>
      </c>
      <c r="B672" t="s">
        <v>3000</v>
      </c>
      <c r="C672" t="s">
        <v>104</v>
      </c>
      <c r="D672" t="s">
        <v>153</v>
      </c>
      <c r="E672" t="s">
        <v>154</v>
      </c>
      <c r="F672" t="s">
        <v>3001</v>
      </c>
      <c r="G672" s="1" t="str">
        <f>HYPERLINK("https://homd.org/jbrowse/?data=homd_V11.02_phage_1.2%2FGCA_015260455.1&amp;loc=GCA_015260455.1%7CJABZWR010000010.1%3A57715..64692&amp;tracks=prokka,prokka_ncrna,ncbi,ncbi_ncrna,panggolin,cenote,genomad&amp;highlight=","Open JBrowse")</f>
        <v>Open JBrowse</v>
      </c>
      <c r="H672">
        <v>60715</v>
      </c>
      <c r="I672">
        <v>61692</v>
      </c>
      <c r="J672" t="s">
        <v>3002</v>
      </c>
      <c r="K672" t="s">
        <v>59</v>
      </c>
      <c r="L672" t="s">
        <v>563</v>
      </c>
      <c r="M672" t="s">
        <v>564</v>
      </c>
      <c r="N672" t="s">
        <v>42</v>
      </c>
      <c r="O672">
        <v>3</v>
      </c>
      <c r="P672" t="s">
        <v>42</v>
      </c>
      <c r="Q672" t="s">
        <v>59</v>
      </c>
      <c r="R672" t="s">
        <v>3003</v>
      </c>
      <c r="S672" t="s">
        <v>563</v>
      </c>
      <c r="T672" t="s">
        <v>42</v>
      </c>
      <c r="U672">
        <v>44</v>
      </c>
      <c r="V672">
        <v>270</v>
      </c>
      <c r="W672">
        <v>227</v>
      </c>
      <c r="X672" t="s">
        <v>160</v>
      </c>
      <c r="Y672" t="s">
        <v>3004</v>
      </c>
      <c r="Z672" t="s">
        <v>458</v>
      </c>
      <c r="AA672" t="s">
        <v>1200</v>
      </c>
      <c r="AB672" t="s">
        <v>3005</v>
      </c>
      <c r="AC672" t="s">
        <v>164</v>
      </c>
      <c r="AD672" t="s">
        <v>51</v>
      </c>
      <c r="AE672">
        <v>187.6</v>
      </c>
      <c r="AF672" t="s">
        <v>165</v>
      </c>
    </row>
    <row r="673" spans="1:32" x14ac:dyDescent="0.75">
      <c r="A673" s="22" t="s">
        <v>6051</v>
      </c>
      <c r="B673" t="s">
        <v>3026</v>
      </c>
      <c r="C673" t="s">
        <v>104</v>
      </c>
      <c r="D673" t="s">
        <v>559</v>
      </c>
      <c r="E673" t="s">
        <v>560</v>
      </c>
      <c r="F673" t="s">
        <v>3027</v>
      </c>
      <c r="G673" s="1" t="str">
        <f>HYPERLINK("https://homd.org/jbrowse/?data=homd_V11.02_phage_1.2%2FGCA_015262355.1&amp;loc=GCA_015262355.1%7CJABZSY010000004.1%3A77861..84718&amp;tracks=prokka,prokka_ncrna,ncbi,ncbi_ncrna,panggolin,cenote,genomad&amp;highlight=","Open JBrowse")</f>
        <v>Open JBrowse</v>
      </c>
      <c r="H673">
        <v>80861</v>
      </c>
      <c r="I673">
        <v>81718</v>
      </c>
      <c r="J673" t="s">
        <v>3028</v>
      </c>
      <c r="K673" t="s">
        <v>59</v>
      </c>
      <c r="L673" t="s">
        <v>563</v>
      </c>
      <c r="M673" t="s">
        <v>564</v>
      </c>
      <c r="N673" t="s">
        <v>42</v>
      </c>
      <c r="O673">
        <v>3</v>
      </c>
      <c r="P673" t="s">
        <v>42</v>
      </c>
      <c r="Q673" t="s">
        <v>59</v>
      </c>
      <c r="R673" t="s">
        <v>3029</v>
      </c>
      <c r="S673" t="s">
        <v>563</v>
      </c>
      <c r="T673" t="s">
        <v>42</v>
      </c>
      <c r="U673">
        <v>44</v>
      </c>
      <c r="V673">
        <v>270</v>
      </c>
      <c r="W673">
        <v>227</v>
      </c>
      <c r="X673" t="s">
        <v>160</v>
      </c>
      <c r="Y673" t="s">
        <v>3030</v>
      </c>
      <c r="Z673" t="s">
        <v>2007</v>
      </c>
      <c r="AA673" t="s">
        <v>3031</v>
      </c>
    </row>
    <row r="674" spans="1:32" x14ac:dyDescent="0.75">
      <c r="A674" s="22" t="s">
        <v>6051</v>
      </c>
      <c r="B674" t="s">
        <v>3032</v>
      </c>
      <c r="C674" t="s">
        <v>104</v>
      </c>
      <c r="D674" t="s">
        <v>153</v>
      </c>
      <c r="E674" t="s">
        <v>154</v>
      </c>
      <c r="F674" t="s">
        <v>3033</v>
      </c>
      <c r="G674" s="1" t="str">
        <f>HYPERLINK("https://homd.org/jbrowse/?data=homd_V11.02_phage_1.2%2FGCA_015262365.1&amp;loc=GCA_015262365.1%7CJABZSZ010000090.1%3A1..6676&amp;tracks=prokka,prokka_ncrna,ncbi,ncbi_ncrna,panggolin,cenote,genomad&amp;highlight=","Open JBrowse")</f>
        <v>Open JBrowse</v>
      </c>
      <c r="H674">
        <v>2699</v>
      </c>
      <c r="I674">
        <v>3676</v>
      </c>
      <c r="J674" t="s">
        <v>3034</v>
      </c>
      <c r="K674" t="s">
        <v>59</v>
      </c>
      <c r="L674" t="s">
        <v>563</v>
      </c>
      <c r="M674" t="s">
        <v>564</v>
      </c>
      <c r="N674" t="s">
        <v>42</v>
      </c>
      <c r="O674">
        <v>3</v>
      </c>
      <c r="P674" t="s">
        <v>42</v>
      </c>
      <c r="Q674" t="s">
        <v>59</v>
      </c>
      <c r="R674" t="s">
        <v>3035</v>
      </c>
      <c r="S674" t="s">
        <v>563</v>
      </c>
      <c r="T674" t="s">
        <v>42</v>
      </c>
      <c r="U674">
        <v>44</v>
      </c>
      <c r="V674">
        <v>270</v>
      </c>
      <c r="W674">
        <v>227</v>
      </c>
      <c r="X674" t="s">
        <v>160</v>
      </c>
    </row>
    <row r="675" spans="1:32" x14ac:dyDescent="0.75">
      <c r="A675" s="22" t="s">
        <v>6051</v>
      </c>
      <c r="B675" t="s">
        <v>3036</v>
      </c>
      <c r="C675" t="s">
        <v>104</v>
      </c>
      <c r="D675" t="s">
        <v>559</v>
      </c>
      <c r="E675" t="s">
        <v>560</v>
      </c>
      <c r="F675" t="s">
        <v>3037</v>
      </c>
      <c r="G675" s="1" t="str">
        <f>HYPERLINK("https://homd.org/jbrowse/?data=homd_V11.02_phage_1.2%2FGCA_015262395.1&amp;loc=GCA_015262395.1%7CJABZSX010000003.1%3A112610..119431&amp;tracks=prokka,prokka_ncrna,ncbi,ncbi_ncrna,panggolin,cenote,genomad&amp;highlight=","Open JBrowse")</f>
        <v>Open JBrowse</v>
      </c>
      <c r="H675">
        <v>115610</v>
      </c>
      <c r="I675">
        <v>116431</v>
      </c>
      <c r="J675" t="s">
        <v>3038</v>
      </c>
      <c r="K675" t="s">
        <v>59</v>
      </c>
      <c r="L675" t="s">
        <v>563</v>
      </c>
      <c r="M675" t="s">
        <v>564</v>
      </c>
      <c r="N675" t="s">
        <v>42</v>
      </c>
      <c r="O675">
        <v>3</v>
      </c>
      <c r="P675" t="s">
        <v>42</v>
      </c>
      <c r="Q675" t="s">
        <v>59</v>
      </c>
      <c r="R675" t="s">
        <v>3039</v>
      </c>
      <c r="S675" t="s">
        <v>563</v>
      </c>
      <c r="T675" t="s">
        <v>42</v>
      </c>
      <c r="U675">
        <v>44</v>
      </c>
      <c r="V675">
        <v>270</v>
      </c>
      <c r="W675">
        <v>227</v>
      </c>
      <c r="X675" t="s">
        <v>160</v>
      </c>
      <c r="Y675" t="s">
        <v>3040</v>
      </c>
      <c r="Z675" t="s">
        <v>132</v>
      </c>
      <c r="AA675" t="s">
        <v>3031</v>
      </c>
    </row>
    <row r="676" spans="1:32" x14ac:dyDescent="0.75">
      <c r="A676" s="22" t="s">
        <v>6051</v>
      </c>
      <c r="B676" t="s">
        <v>3051</v>
      </c>
      <c r="C676" t="s">
        <v>104</v>
      </c>
      <c r="D676" t="s">
        <v>559</v>
      </c>
      <c r="E676" t="s">
        <v>560</v>
      </c>
      <c r="F676" t="s">
        <v>3052</v>
      </c>
      <c r="G676" s="1" t="str">
        <f>HYPERLINK("https://homd.org/jbrowse/?data=homd_V11.02_phage_1.2%2FGCA_015262505.1&amp;loc=GCA_015262505.1%7CJABZSR010000010.1%3A40741..47598&amp;tracks=prokka,prokka_ncrna,ncbi,ncbi_ncrna,panggolin,cenote,genomad&amp;highlight=","Open JBrowse")</f>
        <v>Open JBrowse</v>
      </c>
      <c r="H676">
        <v>43741</v>
      </c>
      <c r="I676">
        <v>44598</v>
      </c>
      <c r="J676" t="s">
        <v>3053</v>
      </c>
      <c r="K676" t="s">
        <v>59</v>
      </c>
      <c r="L676" t="s">
        <v>563</v>
      </c>
      <c r="M676" t="s">
        <v>564</v>
      </c>
      <c r="N676" t="s">
        <v>42</v>
      </c>
      <c r="O676">
        <v>3</v>
      </c>
      <c r="P676" t="s">
        <v>42</v>
      </c>
      <c r="Q676" t="s">
        <v>59</v>
      </c>
      <c r="R676" t="s">
        <v>3054</v>
      </c>
      <c r="S676" t="s">
        <v>563</v>
      </c>
      <c r="T676" t="s">
        <v>42</v>
      </c>
      <c r="U676">
        <v>44</v>
      </c>
      <c r="V676">
        <v>270</v>
      </c>
      <c r="W676">
        <v>227</v>
      </c>
      <c r="X676" t="s">
        <v>160</v>
      </c>
    </row>
    <row r="677" spans="1:32" x14ac:dyDescent="0.75">
      <c r="A677" s="22" t="s">
        <v>6051</v>
      </c>
      <c r="B677" t="s">
        <v>3057</v>
      </c>
      <c r="C677" t="s">
        <v>104</v>
      </c>
      <c r="D677" t="s">
        <v>559</v>
      </c>
      <c r="E677" t="s">
        <v>560</v>
      </c>
      <c r="F677" t="s">
        <v>3058</v>
      </c>
      <c r="G677" s="1" t="str">
        <f>HYPERLINK("https://homd.org/jbrowse/?data=homd_V11.02_phage_1.2%2FGCA_015262545.1&amp;loc=GCA_015262545.1%7CJABZSO010000009.1%3A80520..87377&amp;tracks=prokka,prokka_ncrna,ncbi,ncbi_ncrna,panggolin,cenote,genomad&amp;highlight=","Open JBrowse")</f>
        <v>Open JBrowse</v>
      </c>
      <c r="H677">
        <v>83520</v>
      </c>
      <c r="I677">
        <v>84377</v>
      </c>
      <c r="J677" t="s">
        <v>3059</v>
      </c>
      <c r="K677" t="s">
        <v>59</v>
      </c>
      <c r="L677" t="s">
        <v>563</v>
      </c>
      <c r="M677" t="s">
        <v>564</v>
      </c>
      <c r="N677" t="s">
        <v>42</v>
      </c>
      <c r="O677">
        <v>3</v>
      </c>
      <c r="P677" t="s">
        <v>42</v>
      </c>
      <c r="Q677" t="s">
        <v>59</v>
      </c>
      <c r="R677" t="s">
        <v>3060</v>
      </c>
      <c r="S677" t="s">
        <v>563</v>
      </c>
      <c r="T677" t="s">
        <v>42</v>
      </c>
      <c r="U677">
        <v>44</v>
      </c>
      <c r="V677">
        <v>270</v>
      </c>
      <c r="W677">
        <v>227</v>
      </c>
      <c r="X677" t="s">
        <v>160</v>
      </c>
    </row>
    <row r="678" spans="1:32" x14ac:dyDescent="0.75">
      <c r="A678" s="22" t="s">
        <v>6051</v>
      </c>
      <c r="B678" t="s">
        <v>3341</v>
      </c>
      <c r="C678" t="s">
        <v>104</v>
      </c>
      <c r="D678" t="s">
        <v>153</v>
      </c>
      <c r="E678" t="s">
        <v>154</v>
      </c>
      <c r="F678" t="s">
        <v>3342</v>
      </c>
      <c r="G678" s="1" t="str">
        <f>HYPERLINK("https://homd.org/jbrowse/?data=homd_V11.02_phage_1.2%2FGCA_018127885.1&amp;loc=GCA_018127885.1%7CCP072343.1%3A1740953..1747930&amp;tracks=prokka,prokka_ncrna,ncbi,ncbi_ncrna,panggolin,cenote,genomad&amp;highlight=","Open JBrowse")</f>
        <v>Open JBrowse</v>
      </c>
      <c r="H678">
        <v>1743953</v>
      </c>
      <c r="I678">
        <v>1744930</v>
      </c>
      <c r="J678" t="s">
        <v>3343</v>
      </c>
      <c r="K678" t="s">
        <v>59</v>
      </c>
      <c r="L678" t="s">
        <v>563</v>
      </c>
      <c r="M678" t="s">
        <v>564</v>
      </c>
      <c r="N678" t="s">
        <v>42</v>
      </c>
      <c r="O678">
        <v>3</v>
      </c>
      <c r="P678" t="s">
        <v>42</v>
      </c>
      <c r="Q678" t="s">
        <v>59</v>
      </c>
      <c r="R678" t="s">
        <v>3344</v>
      </c>
      <c r="S678" t="s">
        <v>563</v>
      </c>
      <c r="T678" t="s">
        <v>42</v>
      </c>
      <c r="U678">
        <v>44</v>
      </c>
      <c r="V678">
        <v>270</v>
      </c>
      <c r="W678">
        <v>227</v>
      </c>
      <c r="X678" t="s">
        <v>160</v>
      </c>
      <c r="Y678" t="s">
        <v>3345</v>
      </c>
      <c r="Z678" t="s">
        <v>904</v>
      </c>
      <c r="AA678" t="s">
        <v>2983</v>
      </c>
    </row>
    <row r="679" spans="1:32" x14ac:dyDescent="0.75">
      <c r="A679" s="22" t="s">
        <v>6051</v>
      </c>
      <c r="B679" t="s">
        <v>3346</v>
      </c>
      <c r="C679" t="s">
        <v>104</v>
      </c>
      <c r="D679" t="s">
        <v>153</v>
      </c>
      <c r="E679" t="s">
        <v>154</v>
      </c>
      <c r="F679" t="s">
        <v>3347</v>
      </c>
      <c r="G679" s="1" t="str">
        <f>HYPERLINK("https://homd.org/jbrowse/?data=homd_V11.02_phage_1.2%2FGCA_018127905.1&amp;loc=GCA_018127905.1%7CCP072345.1%3A368272..375249&amp;tracks=prokka,prokka_ncrna,ncbi,ncbi_ncrna,panggolin,cenote,genomad&amp;highlight=","Open JBrowse")</f>
        <v>Open JBrowse</v>
      </c>
      <c r="H679">
        <v>371272</v>
      </c>
      <c r="I679">
        <v>372249</v>
      </c>
      <c r="J679" t="s">
        <v>3348</v>
      </c>
      <c r="K679" t="s">
        <v>59</v>
      </c>
      <c r="L679" t="s">
        <v>563</v>
      </c>
      <c r="M679" t="s">
        <v>564</v>
      </c>
      <c r="N679" t="s">
        <v>42</v>
      </c>
      <c r="O679">
        <v>3</v>
      </c>
      <c r="P679" t="s">
        <v>42</v>
      </c>
      <c r="Q679" t="s">
        <v>59</v>
      </c>
      <c r="R679" t="s">
        <v>3349</v>
      </c>
      <c r="S679" t="s">
        <v>563</v>
      </c>
      <c r="T679" t="s">
        <v>42</v>
      </c>
      <c r="U679">
        <v>44</v>
      </c>
      <c r="V679">
        <v>270</v>
      </c>
      <c r="W679">
        <v>227</v>
      </c>
      <c r="X679" t="s">
        <v>160</v>
      </c>
      <c r="Y679" t="s">
        <v>3350</v>
      </c>
      <c r="Z679" t="s">
        <v>1334</v>
      </c>
      <c r="AA679" t="s">
        <v>2983</v>
      </c>
    </row>
    <row r="680" spans="1:32" x14ac:dyDescent="0.75">
      <c r="A680" s="22" t="s">
        <v>6051</v>
      </c>
      <c r="B680" t="s">
        <v>3420</v>
      </c>
      <c r="C680" t="s">
        <v>104</v>
      </c>
      <c r="D680" t="s">
        <v>559</v>
      </c>
      <c r="E680" t="s">
        <v>560</v>
      </c>
      <c r="F680" t="s">
        <v>3421</v>
      </c>
      <c r="G680" s="1" t="str">
        <f>HYPERLINK("https://homd.org/jbrowse/?data=homd_V11.02_phage_1.2%2FGCA_018128125.1&amp;loc=GCA_018128125.1%7CCP072367.1%3A81117..87974&amp;tracks=prokka,prokka_ncrna,ncbi,ncbi_ncrna,panggolin,cenote,genomad&amp;highlight=","Open JBrowse")</f>
        <v>Open JBrowse</v>
      </c>
      <c r="H680">
        <v>84117</v>
      </c>
      <c r="I680">
        <v>84974</v>
      </c>
      <c r="J680" t="s">
        <v>3422</v>
      </c>
      <c r="K680" t="s">
        <v>59</v>
      </c>
      <c r="L680" t="s">
        <v>563</v>
      </c>
      <c r="M680" t="s">
        <v>564</v>
      </c>
      <c r="N680" t="s">
        <v>42</v>
      </c>
      <c r="O680">
        <v>3</v>
      </c>
      <c r="P680" t="s">
        <v>42</v>
      </c>
      <c r="Q680" t="s">
        <v>59</v>
      </c>
      <c r="R680" t="s">
        <v>3423</v>
      </c>
      <c r="S680" t="s">
        <v>563</v>
      </c>
      <c r="T680" t="s">
        <v>42</v>
      </c>
      <c r="U680">
        <v>44</v>
      </c>
      <c r="V680">
        <v>270</v>
      </c>
      <c r="W680">
        <v>227</v>
      </c>
      <c r="X680" t="s">
        <v>160</v>
      </c>
    </row>
    <row r="681" spans="1:32" x14ac:dyDescent="0.75">
      <c r="A681" s="22" t="s">
        <v>6051</v>
      </c>
      <c r="B681" t="s">
        <v>3634</v>
      </c>
      <c r="C681" t="s">
        <v>104</v>
      </c>
      <c r="D681" t="s">
        <v>559</v>
      </c>
      <c r="E681" t="s">
        <v>560</v>
      </c>
      <c r="F681" t="s">
        <v>3635</v>
      </c>
      <c r="G681" s="1" t="str">
        <f>HYPERLINK("https://homd.org/jbrowse/?data=homd_V11.02_phage_1.2%2FGCA_018372295.1&amp;loc=GCA_018372295.1%7CJAHAJH010000013.1%3A7300..14157&amp;tracks=prokka,prokka_ncrna,ncbi,ncbi_ncrna,panggolin,cenote,genomad&amp;highlight=","Open JBrowse")</f>
        <v>Open JBrowse</v>
      </c>
      <c r="H681">
        <v>10300</v>
      </c>
      <c r="I681">
        <v>11157</v>
      </c>
      <c r="J681" t="s">
        <v>3636</v>
      </c>
      <c r="K681" t="s">
        <v>59</v>
      </c>
      <c r="L681" t="s">
        <v>563</v>
      </c>
      <c r="M681" t="s">
        <v>564</v>
      </c>
      <c r="N681" t="s">
        <v>42</v>
      </c>
      <c r="O681">
        <v>3</v>
      </c>
      <c r="P681" t="s">
        <v>42</v>
      </c>
      <c r="Q681" t="s">
        <v>59</v>
      </c>
      <c r="R681" t="s">
        <v>3637</v>
      </c>
      <c r="S681" t="s">
        <v>563</v>
      </c>
      <c r="T681" t="s">
        <v>42</v>
      </c>
      <c r="U681">
        <v>44</v>
      </c>
      <c r="V681">
        <v>270</v>
      </c>
      <c r="W681">
        <v>227</v>
      </c>
      <c r="X681" t="s">
        <v>160</v>
      </c>
      <c r="Y681" t="s">
        <v>3638</v>
      </c>
      <c r="Z681" t="s">
        <v>410</v>
      </c>
      <c r="AA681" t="s">
        <v>3639</v>
      </c>
    </row>
    <row r="682" spans="1:32" x14ac:dyDescent="0.75">
      <c r="A682" s="22" t="s">
        <v>6051</v>
      </c>
      <c r="B682" t="s">
        <v>3655</v>
      </c>
      <c r="C682" t="s">
        <v>104</v>
      </c>
      <c r="D682" t="s">
        <v>559</v>
      </c>
      <c r="E682" t="s">
        <v>560</v>
      </c>
      <c r="F682" t="s">
        <v>3656</v>
      </c>
      <c r="G682" s="1" t="str">
        <f>HYPERLINK("https://homd.org/jbrowse/?data=homd_V11.02_phage_1.2%2FGCA_018378595.1&amp;loc=GCA_018378595.1%7CJAGZXD010000010.1%3A12132..18989&amp;tracks=prokka,prokka_ncrna,ncbi,ncbi_ncrna,panggolin,cenote,genomad&amp;highlight=","Open JBrowse")</f>
        <v>Open JBrowse</v>
      </c>
      <c r="H682">
        <v>15132</v>
      </c>
      <c r="I682">
        <v>15989</v>
      </c>
      <c r="J682" t="s">
        <v>3657</v>
      </c>
      <c r="K682" t="s">
        <v>59</v>
      </c>
      <c r="L682" t="s">
        <v>563</v>
      </c>
      <c r="M682" t="s">
        <v>564</v>
      </c>
      <c r="N682" t="s">
        <v>42</v>
      </c>
      <c r="O682">
        <v>3</v>
      </c>
      <c r="P682" t="s">
        <v>42</v>
      </c>
      <c r="Q682" t="s">
        <v>59</v>
      </c>
      <c r="R682" t="s">
        <v>3658</v>
      </c>
      <c r="S682" t="s">
        <v>563</v>
      </c>
      <c r="T682" t="s">
        <v>42</v>
      </c>
      <c r="U682">
        <v>44</v>
      </c>
      <c r="V682">
        <v>270</v>
      </c>
      <c r="W682">
        <v>227</v>
      </c>
      <c r="X682" t="s">
        <v>160</v>
      </c>
      <c r="Y682" t="s">
        <v>3659</v>
      </c>
      <c r="Z682" t="s">
        <v>118</v>
      </c>
      <c r="AA682" t="s">
        <v>3046</v>
      </c>
    </row>
    <row r="683" spans="1:32" x14ac:dyDescent="0.75">
      <c r="A683" s="22" t="s">
        <v>6051</v>
      </c>
      <c r="B683" t="s">
        <v>3706</v>
      </c>
      <c r="C683" t="s">
        <v>104</v>
      </c>
      <c r="D683" t="s">
        <v>559</v>
      </c>
      <c r="E683" t="s">
        <v>560</v>
      </c>
      <c r="F683" t="s">
        <v>3707</v>
      </c>
      <c r="G683" s="1" t="str">
        <f>HYPERLINK("https://homd.org/jbrowse/?data=homd_V11.02_phage_1.2%2FGCA_019375655.1&amp;loc=GCA_019375655.1%7CJAHXCH010000014.1%3A31355..38212&amp;tracks=prokka,prokka_ncrna,ncbi,ncbi_ncrna,panggolin,cenote,genomad&amp;highlight=","Open JBrowse")</f>
        <v>Open JBrowse</v>
      </c>
      <c r="H683">
        <v>34355</v>
      </c>
      <c r="I683">
        <v>35212</v>
      </c>
      <c r="J683" t="s">
        <v>3708</v>
      </c>
      <c r="K683" t="s">
        <v>59</v>
      </c>
      <c r="L683" t="s">
        <v>563</v>
      </c>
      <c r="M683" t="s">
        <v>564</v>
      </c>
      <c r="N683" t="s">
        <v>42</v>
      </c>
      <c r="O683">
        <v>3</v>
      </c>
      <c r="P683" t="s">
        <v>42</v>
      </c>
      <c r="Q683" t="s">
        <v>59</v>
      </c>
      <c r="R683" t="s">
        <v>3709</v>
      </c>
      <c r="S683" t="s">
        <v>563</v>
      </c>
      <c r="T683" t="s">
        <v>42</v>
      </c>
      <c r="U683">
        <v>44</v>
      </c>
      <c r="V683">
        <v>270</v>
      </c>
      <c r="W683">
        <v>227</v>
      </c>
      <c r="X683" t="s">
        <v>160</v>
      </c>
    </row>
    <row r="684" spans="1:32" x14ac:dyDescent="0.75">
      <c r="A684" s="22" t="s">
        <v>6051</v>
      </c>
      <c r="B684" t="s">
        <v>3715</v>
      </c>
      <c r="C684" t="s">
        <v>104</v>
      </c>
      <c r="D684" t="s">
        <v>559</v>
      </c>
      <c r="E684" t="s">
        <v>560</v>
      </c>
      <c r="F684" t="s">
        <v>3716</v>
      </c>
      <c r="G684" s="1" t="str">
        <f>HYPERLINK("https://homd.org/jbrowse/?data=homd_V11.02_phage_1.2%2FGCA_019375695.1&amp;loc=GCA_019375695.1%7CJAHXCI010000015.1%3A31397..38254&amp;tracks=prokka,prokka_ncrna,ncbi,ncbi_ncrna,panggolin,cenote,genomad&amp;highlight=","Open JBrowse")</f>
        <v>Open JBrowse</v>
      </c>
      <c r="H684">
        <v>34397</v>
      </c>
      <c r="I684">
        <v>35254</v>
      </c>
      <c r="J684" t="s">
        <v>3717</v>
      </c>
      <c r="K684" t="s">
        <v>59</v>
      </c>
      <c r="L684" t="s">
        <v>563</v>
      </c>
      <c r="M684" t="s">
        <v>564</v>
      </c>
      <c r="N684" t="s">
        <v>42</v>
      </c>
      <c r="O684">
        <v>3</v>
      </c>
      <c r="P684" t="s">
        <v>42</v>
      </c>
      <c r="Q684" t="s">
        <v>59</v>
      </c>
      <c r="R684" t="s">
        <v>3718</v>
      </c>
      <c r="S684" t="s">
        <v>563</v>
      </c>
      <c r="T684" t="s">
        <v>42</v>
      </c>
      <c r="U684">
        <v>44</v>
      </c>
      <c r="V684">
        <v>270</v>
      </c>
      <c r="W684">
        <v>227</v>
      </c>
      <c r="X684" t="s">
        <v>160</v>
      </c>
    </row>
    <row r="685" spans="1:32" x14ac:dyDescent="0.75">
      <c r="A685" s="22" t="s">
        <v>6051</v>
      </c>
      <c r="B685" t="s">
        <v>3746</v>
      </c>
      <c r="C685" t="s">
        <v>104</v>
      </c>
      <c r="D685" t="s">
        <v>559</v>
      </c>
      <c r="E685" t="s">
        <v>560</v>
      </c>
      <c r="F685" t="s">
        <v>3747</v>
      </c>
      <c r="G685" s="1" t="str">
        <f>HYPERLINK("https://homd.org/jbrowse/?data=homd_V11.02_phage_1.2%2FGCA_019375835.1&amp;loc=GCA_019375835.1%7CJAHXCO010000001.1%3A402091..408948&amp;tracks=prokka,prokka_ncrna,ncbi,ncbi_ncrna,panggolin,cenote,genomad&amp;highlight=","Open JBrowse")</f>
        <v>Open JBrowse</v>
      </c>
      <c r="H685">
        <v>405091</v>
      </c>
      <c r="I685">
        <v>405948</v>
      </c>
      <c r="J685" t="s">
        <v>3748</v>
      </c>
      <c r="K685" t="s">
        <v>59</v>
      </c>
      <c r="L685" t="s">
        <v>563</v>
      </c>
      <c r="M685" t="s">
        <v>564</v>
      </c>
      <c r="N685" t="s">
        <v>42</v>
      </c>
      <c r="O685">
        <v>3</v>
      </c>
      <c r="P685" t="s">
        <v>42</v>
      </c>
      <c r="Q685" t="s">
        <v>59</v>
      </c>
      <c r="R685" t="s">
        <v>3749</v>
      </c>
      <c r="S685" t="s">
        <v>563</v>
      </c>
      <c r="T685" t="s">
        <v>42</v>
      </c>
      <c r="U685">
        <v>44</v>
      </c>
      <c r="V685">
        <v>270</v>
      </c>
      <c r="W685">
        <v>227</v>
      </c>
      <c r="X685" t="s">
        <v>160</v>
      </c>
      <c r="Y685" t="s">
        <v>3750</v>
      </c>
      <c r="Z685" t="s">
        <v>932</v>
      </c>
      <c r="AA685" t="s">
        <v>3751</v>
      </c>
    </row>
    <row r="686" spans="1:32" x14ac:dyDescent="0.75">
      <c r="A686" s="22" t="s">
        <v>6051</v>
      </c>
      <c r="B686" t="s">
        <v>3771</v>
      </c>
      <c r="C686" t="s">
        <v>104</v>
      </c>
      <c r="D686" t="s">
        <v>559</v>
      </c>
      <c r="E686" t="s">
        <v>560</v>
      </c>
      <c r="F686" t="s">
        <v>3772</v>
      </c>
      <c r="G686" s="1" t="str">
        <f>HYPERLINK("https://homd.org/jbrowse/?data=homd_V11.02_phage_1.2%2FGCA_019375975.1&amp;loc=GCA_019375975.1%7CJAHXCX010000019.1%3A45071..51928&amp;tracks=prokka,prokka_ncrna,ncbi,ncbi_ncrna,panggolin,cenote,genomad&amp;highlight=","Open JBrowse")</f>
        <v>Open JBrowse</v>
      </c>
      <c r="H686">
        <v>48071</v>
      </c>
      <c r="I686">
        <v>48928</v>
      </c>
      <c r="J686" t="s">
        <v>3773</v>
      </c>
      <c r="K686" t="s">
        <v>59</v>
      </c>
      <c r="L686" t="s">
        <v>563</v>
      </c>
      <c r="M686" t="s">
        <v>564</v>
      </c>
      <c r="N686" t="s">
        <v>42</v>
      </c>
      <c r="O686">
        <v>3</v>
      </c>
      <c r="P686" t="s">
        <v>42</v>
      </c>
      <c r="Q686" t="s">
        <v>59</v>
      </c>
      <c r="R686" t="s">
        <v>3774</v>
      </c>
      <c r="S686" t="s">
        <v>563</v>
      </c>
      <c r="T686" t="s">
        <v>42</v>
      </c>
      <c r="U686">
        <v>44</v>
      </c>
      <c r="V686">
        <v>270</v>
      </c>
      <c r="W686">
        <v>227</v>
      </c>
      <c r="X686" t="s">
        <v>160</v>
      </c>
      <c r="Y686" t="s">
        <v>3775</v>
      </c>
      <c r="Z686" t="s">
        <v>1159</v>
      </c>
      <c r="AA686" t="s">
        <v>3776</v>
      </c>
    </row>
    <row r="687" spans="1:32" x14ac:dyDescent="0.75">
      <c r="A687" s="22" t="s">
        <v>6051</v>
      </c>
      <c r="B687" t="s">
        <v>3777</v>
      </c>
      <c r="C687" t="s">
        <v>104</v>
      </c>
      <c r="D687" t="s">
        <v>153</v>
      </c>
      <c r="E687" t="s">
        <v>154</v>
      </c>
      <c r="F687" t="s">
        <v>3778</v>
      </c>
      <c r="G687" s="1" t="str">
        <f>HYPERLINK("https://homd.org/jbrowse/?data=homd_V11.02_phage_1.2%2FGCA_019391735.1&amp;loc=GCA_019391735.1%7CJAHXQW010000020.1%3A51715..58692&amp;tracks=prokka,prokka_ncrna,ncbi,ncbi_ncrna,panggolin,cenote,genomad&amp;highlight=","Open JBrowse")</f>
        <v>Open JBrowse</v>
      </c>
      <c r="H687">
        <v>54715</v>
      </c>
      <c r="I687">
        <v>55692</v>
      </c>
      <c r="J687" t="s">
        <v>3779</v>
      </c>
      <c r="K687" t="s">
        <v>59</v>
      </c>
      <c r="L687" t="s">
        <v>563</v>
      </c>
      <c r="M687" t="s">
        <v>564</v>
      </c>
      <c r="N687" t="s">
        <v>42</v>
      </c>
      <c r="O687">
        <v>3</v>
      </c>
      <c r="P687" t="s">
        <v>42</v>
      </c>
      <c r="Q687" t="s">
        <v>59</v>
      </c>
      <c r="R687" t="s">
        <v>3780</v>
      </c>
      <c r="S687" t="s">
        <v>563</v>
      </c>
      <c r="T687" t="s">
        <v>42</v>
      </c>
      <c r="U687">
        <v>44</v>
      </c>
      <c r="V687">
        <v>270</v>
      </c>
      <c r="W687">
        <v>227</v>
      </c>
      <c r="X687" t="s">
        <v>160</v>
      </c>
      <c r="Y687" t="s">
        <v>3781</v>
      </c>
      <c r="Z687" t="s">
        <v>1236</v>
      </c>
      <c r="AA687" t="s">
        <v>3011</v>
      </c>
      <c r="AB687" t="s">
        <v>3782</v>
      </c>
      <c r="AC687" t="s">
        <v>164</v>
      </c>
      <c r="AD687" t="s">
        <v>51</v>
      </c>
      <c r="AE687">
        <v>187.2</v>
      </c>
      <c r="AF687" t="s">
        <v>165</v>
      </c>
    </row>
    <row r="688" spans="1:32" x14ac:dyDescent="0.75">
      <c r="A688" s="22" t="s">
        <v>6051</v>
      </c>
      <c r="B688" t="s">
        <v>5312</v>
      </c>
      <c r="C688" t="s">
        <v>104</v>
      </c>
      <c r="D688" t="s">
        <v>153</v>
      </c>
      <c r="E688" t="s">
        <v>154</v>
      </c>
      <c r="F688" t="s">
        <v>5313</v>
      </c>
      <c r="G688" s="1" t="str">
        <f>HYPERLINK("https://homd.org/jbrowse/?data=homd_V11.02_phage_1.2%2FGCA_901875335.1&amp;loc=GCA_901875335.1%7CCABFMA010000009.1%3A1..6221&amp;tracks=prokka,prokka_ncrna,ncbi,ncbi_ncrna,panggolin,cenote,genomad&amp;highlight=","Open JBrowse")</f>
        <v>Open JBrowse</v>
      </c>
      <c r="H688">
        <v>2244</v>
      </c>
      <c r="I688">
        <v>3221</v>
      </c>
      <c r="J688" t="s">
        <v>5314</v>
      </c>
      <c r="K688" t="s">
        <v>59</v>
      </c>
      <c r="L688" t="s">
        <v>563</v>
      </c>
      <c r="M688" t="s">
        <v>564</v>
      </c>
      <c r="N688" t="s">
        <v>42</v>
      </c>
      <c r="O688">
        <v>3</v>
      </c>
      <c r="P688" t="s">
        <v>42</v>
      </c>
      <c r="Q688" t="s">
        <v>59</v>
      </c>
      <c r="R688" t="s">
        <v>5315</v>
      </c>
      <c r="S688" t="s">
        <v>563</v>
      </c>
      <c r="T688" t="s">
        <v>42</v>
      </c>
      <c r="U688">
        <v>44</v>
      </c>
      <c r="V688">
        <v>270</v>
      </c>
      <c r="W688">
        <v>227</v>
      </c>
      <c r="X688" t="s">
        <v>160</v>
      </c>
    </row>
    <row r="689" spans="1:32" x14ac:dyDescent="0.75">
      <c r="A689" s="22" t="s">
        <v>6051</v>
      </c>
      <c r="B689" t="s">
        <v>5585</v>
      </c>
      <c r="C689" t="s">
        <v>104</v>
      </c>
      <c r="D689" t="s">
        <v>153</v>
      </c>
      <c r="E689" t="s">
        <v>154</v>
      </c>
      <c r="F689" t="s">
        <v>5586</v>
      </c>
      <c r="G689" s="1" t="str">
        <f>HYPERLINK("https://homd.org/jbrowse/?data=homd_V11.02_phage_1.2%2FGCA_916438435.1&amp;loc=GCA_916438435.1%7CCAKAHD010000002.1%3A1335621..1342598&amp;tracks=prokka,prokka_ncrna,ncbi,ncbi_ncrna,panggolin,cenote,genomad&amp;highlight=","Open JBrowse")</f>
        <v>Open JBrowse</v>
      </c>
      <c r="H689">
        <v>1338621</v>
      </c>
      <c r="I689">
        <v>1339598</v>
      </c>
      <c r="J689" t="s">
        <v>5587</v>
      </c>
      <c r="K689" t="s">
        <v>59</v>
      </c>
      <c r="L689" t="s">
        <v>563</v>
      </c>
      <c r="M689" t="s">
        <v>564</v>
      </c>
      <c r="N689" t="s">
        <v>42</v>
      </c>
      <c r="O689">
        <v>3</v>
      </c>
      <c r="P689" t="s">
        <v>42</v>
      </c>
      <c r="Q689" t="s">
        <v>59</v>
      </c>
      <c r="R689" t="s">
        <v>5588</v>
      </c>
      <c r="S689" t="s">
        <v>563</v>
      </c>
      <c r="T689" t="s">
        <v>42</v>
      </c>
      <c r="U689">
        <v>44</v>
      </c>
      <c r="V689">
        <v>270</v>
      </c>
      <c r="W689">
        <v>227</v>
      </c>
      <c r="X689" t="s">
        <v>160</v>
      </c>
      <c r="Y689" t="s">
        <v>5589</v>
      </c>
      <c r="Z689" t="s">
        <v>193</v>
      </c>
      <c r="AA689" t="s">
        <v>5590</v>
      </c>
      <c r="AB689" t="s">
        <v>5591</v>
      </c>
      <c r="AC689" t="s">
        <v>164</v>
      </c>
      <c r="AD689" t="s">
        <v>51</v>
      </c>
      <c r="AE689">
        <v>190.7</v>
      </c>
      <c r="AF689" t="s">
        <v>165</v>
      </c>
    </row>
    <row r="690" spans="1:32" x14ac:dyDescent="0.75">
      <c r="A690" s="22" t="s">
        <v>6051</v>
      </c>
      <c r="B690" t="s">
        <v>5601</v>
      </c>
      <c r="C690" t="s">
        <v>104</v>
      </c>
      <c r="D690" t="s">
        <v>550</v>
      </c>
      <c r="E690" t="s">
        <v>551</v>
      </c>
      <c r="F690" t="s">
        <v>5602</v>
      </c>
      <c r="G690" s="1" t="str">
        <f>HYPERLINK("https://homd.org/jbrowse/?data=homd_V11.02_phage_1.2%2FGCA_916438675.1&amp;loc=GCA_916438675.1%7CCAKAFN010000001.1%3A2072415..2079392&amp;tracks=prokka,prokka_ncrna,ncbi,ncbi_ncrna,panggolin,cenote,genomad&amp;highlight=","Open JBrowse")</f>
        <v>Open JBrowse</v>
      </c>
      <c r="H690">
        <v>2075415</v>
      </c>
      <c r="I690">
        <v>2076392</v>
      </c>
      <c r="J690" t="s">
        <v>5603</v>
      </c>
      <c r="K690" t="s">
        <v>59</v>
      </c>
      <c r="L690" t="s">
        <v>563</v>
      </c>
      <c r="M690" t="s">
        <v>564</v>
      </c>
      <c r="N690" t="s">
        <v>42</v>
      </c>
      <c r="O690">
        <v>3</v>
      </c>
      <c r="P690" t="s">
        <v>42</v>
      </c>
      <c r="Q690" t="s">
        <v>59</v>
      </c>
      <c r="R690" t="s">
        <v>5604</v>
      </c>
      <c r="S690" t="s">
        <v>563</v>
      </c>
      <c r="T690" t="s">
        <v>42</v>
      </c>
      <c r="U690">
        <v>44</v>
      </c>
      <c r="V690">
        <v>270</v>
      </c>
      <c r="W690">
        <v>227</v>
      </c>
      <c r="X690" t="s">
        <v>160</v>
      </c>
      <c r="Y690" t="s">
        <v>5605</v>
      </c>
      <c r="Z690" t="s">
        <v>410</v>
      </c>
      <c r="AA690" t="s">
        <v>2061</v>
      </c>
    </row>
    <row r="691" spans="1:32" x14ac:dyDescent="0.75">
      <c r="A691" s="22" t="s">
        <v>6051</v>
      </c>
      <c r="B691" t="s">
        <v>5639</v>
      </c>
      <c r="C691" t="s">
        <v>104</v>
      </c>
      <c r="D691" t="s">
        <v>559</v>
      </c>
      <c r="E691" t="s">
        <v>560</v>
      </c>
      <c r="F691" t="s">
        <v>5640</v>
      </c>
      <c r="G691" s="1" t="str">
        <f>HYPERLINK("https://homd.org/jbrowse/?data=homd_V11.02_phage_1.2%2FGCA_916720365.1&amp;loc=GCA_916720365.1%7CCAKAQX010000002.1%3A79023..85880&amp;tracks=prokka,prokka_ncrna,ncbi,ncbi_ncrna,panggolin,cenote,genomad&amp;highlight=","Open JBrowse")</f>
        <v>Open JBrowse</v>
      </c>
      <c r="H691">
        <v>82023</v>
      </c>
      <c r="I691">
        <v>82880</v>
      </c>
      <c r="J691" t="s">
        <v>5641</v>
      </c>
      <c r="K691" t="s">
        <v>59</v>
      </c>
      <c r="L691" t="s">
        <v>563</v>
      </c>
      <c r="M691" t="s">
        <v>564</v>
      </c>
      <c r="N691" t="s">
        <v>42</v>
      </c>
      <c r="O691">
        <v>3</v>
      </c>
      <c r="P691" t="s">
        <v>42</v>
      </c>
      <c r="Q691" t="s">
        <v>59</v>
      </c>
      <c r="R691" t="s">
        <v>5642</v>
      </c>
      <c r="S691" t="s">
        <v>563</v>
      </c>
      <c r="T691" t="s">
        <v>42</v>
      </c>
      <c r="U691">
        <v>44</v>
      </c>
      <c r="V691">
        <v>270</v>
      </c>
      <c r="W691">
        <v>227</v>
      </c>
      <c r="X691" t="s">
        <v>160</v>
      </c>
    </row>
    <row r="692" spans="1:32" x14ac:dyDescent="0.75">
      <c r="A692" s="22" t="s">
        <v>6051</v>
      </c>
      <c r="B692" t="s">
        <v>5687</v>
      </c>
      <c r="C692" t="s">
        <v>104</v>
      </c>
      <c r="D692" t="s">
        <v>559</v>
      </c>
      <c r="E692" t="s">
        <v>560</v>
      </c>
      <c r="F692" t="s">
        <v>5688</v>
      </c>
      <c r="G692" s="1" t="str">
        <f>HYPERLINK("https://homd.org/jbrowse/?data=homd_V11.02_phage_1.2%2FGCA_927910845.1&amp;loc=GCA_927910845.1%7CCAKMOA010000132.1%3A10957..17814&amp;tracks=prokka,prokka_ncrna,ncbi,ncbi_ncrna,panggolin,cenote,genomad&amp;highlight=","Open JBrowse")</f>
        <v>Open JBrowse</v>
      </c>
      <c r="H692">
        <v>13957</v>
      </c>
      <c r="I692">
        <v>14814</v>
      </c>
      <c r="J692" t="s">
        <v>5689</v>
      </c>
      <c r="K692" t="s">
        <v>59</v>
      </c>
      <c r="L692" t="s">
        <v>563</v>
      </c>
      <c r="M692" t="s">
        <v>564</v>
      </c>
      <c r="N692" t="s">
        <v>42</v>
      </c>
      <c r="O692">
        <v>3</v>
      </c>
      <c r="P692" t="s">
        <v>42</v>
      </c>
      <c r="Q692" t="s">
        <v>59</v>
      </c>
      <c r="R692" t="s">
        <v>5690</v>
      </c>
      <c r="S692" t="s">
        <v>563</v>
      </c>
      <c r="T692" t="s">
        <v>42</v>
      </c>
      <c r="U692">
        <v>44</v>
      </c>
      <c r="V692">
        <v>270</v>
      </c>
      <c r="W692">
        <v>227</v>
      </c>
      <c r="X692" t="s">
        <v>160</v>
      </c>
    </row>
    <row r="693" spans="1:32" x14ac:dyDescent="0.75">
      <c r="A693" s="22" t="s">
        <v>6051</v>
      </c>
      <c r="B693" t="s">
        <v>6014</v>
      </c>
      <c r="C693" t="s">
        <v>104</v>
      </c>
      <c r="D693" t="s">
        <v>559</v>
      </c>
      <c r="E693" t="s">
        <v>560</v>
      </c>
      <c r="F693" t="s">
        <v>6015</v>
      </c>
      <c r="G693" s="1" t="str">
        <f>HYPERLINK("https://homd.org/jbrowse/?data=homd_V11.02_phage_1.2%2FGCA_951230325.1&amp;loc=GCA_951230325.1%7CCATNVF010000178.1%3A65..6922&amp;tracks=prokka,prokka_ncrna,ncbi,ncbi_ncrna,panggolin,cenote,genomad&amp;highlight=","Open JBrowse")</f>
        <v>Open JBrowse</v>
      </c>
      <c r="H693">
        <v>3065</v>
      </c>
      <c r="I693">
        <v>3922</v>
      </c>
      <c r="J693" t="s">
        <v>6016</v>
      </c>
      <c r="K693" t="s">
        <v>59</v>
      </c>
      <c r="L693" t="s">
        <v>563</v>
      </c>
      <c r="M693" t="s">
        <v>564</v>
      </c>
      <c r="N693" t="s">
        <v>42</v>
      </c>
      <c r="O693">
        <v>3</v>
      </c>
      <c r="P693" t="s">
        <v>42</v>
      </c>
      <c r="Q693" t="s">
        <v>59</v>
      </c>
      <c r="R693" t="s">
        <v>6017</v>
      </c>
      <c r="S693" t="s">
        <v>563</v>
      </c>
      <c r="T693" t="s">
        <v>42</v>
      </c>
      <c r="U693">
        <v>44</v>
      </c>
      <c r="V693">
        <v>270</v>
      </c>
      <c r="W693">
        <v>227</v>
      </c>
      <c r="X693" t="s">
        <v>160</v>
      </c>
    </row>
    <row r="694" spans="1:32" x14ac:dyDescent="0.75">
      <c r="A694" s="22" t="s">
        <v>6051</v>
      </c>
      <c r="B694" t="s">
        <v>6018</v>
      </c>
      <c r="C694" t="s">
        <v>104</v>
      </c>
      <c r="D694" t="s">
        <v>153</v>
      </c>
      <c r="E694" t="s">
        <v>154</v>
      </c>
      <c r="F694" t="s">
        <v>6019</v>
      </c>
      <c r="G694" s="1" t="str">
        <f>HYPERLINK("https://homd.org/jbrowse/?data=homd_V11.02_phage_1.2%2FGCA_951230405.1&amp;loc=GCA_951230405.1%7CCATNVM010000024.1%3A20203..27180&amp;tracks=prokka,prokka_ncrna,ncbi,ncbi_ncrna,panggolin,cenote,genomad&amp;highlight=","Open JBrowse")</f>
        <v>Open JBrowse</v>
      </c>
      <c r="H694">
        <v>23203</v>
      </c>
      <c r="I694">
        <v>24180</v>
      </c>
      <c r="J694" t="s">
        <v>6020</v>
      </c>
      <c r="K694" t="s">
        <v>59</v>
      </c>
      <c r="L694" t="s">
        <v>563</v>
      </c>
      <c r="M694" t="s">
        <v>564</v>
      </c>
      <c r="N694" t="s">
        <v>42</v>
      </c>
      <c r="O694">
        <v>3</v>
      </c>
      <c r="P694" t="s">
        <v>42</v>
      </c>
      <c r="Q694" t="s">
        <v>59</v>
      </c>
      <c r="R694" t="s">
        <v>6021</v>
      </c>
      <c r="S694" t="s">
        <v>563</v>
      </c>
      <c r="T694" t="s">
        <v>42</v>
      </c>
      <c r="U694">
        <v>44</v>
      </c>
      <c r="V694">
        <v>270</v>
      </c>
      <c r="W694">
        <v>227</v>
      </c>
      <c r="X694" t="s">
        <v>160</v>
      </c>
      <c r="Y694" t="s">
        <v>6022</v>
      </c>
      <c r="Z694" t="s">
        <v>346</v>
      </c>
      <c r="AA694" t="s">
        <v>2983</v>
      </c>
    </row>
    <row r="695" spans="1:32" x14ac:dyDescent="0.75">
      <c r="A695" s="22" t="s">
        <v>6051</v>
      </c>
      <c r="B695" t="s">
        <v>2740</v>
      </c>
      <c r="C695" t="s">
        <v>104</v>
      </c>
      <c r="D695" t="s">
        <v>2741</v>
      </c>
      <c r="E695" t="s">
        <v>2742</v>
      </c>
      <c r="F695" t="s">
        <v>2750</v>
      </c>
      <c r="G695" s="1" t="str">
        <f>HYPERLINK("https://homd.org/jbrowse/?data=homd_V11.02_phage_1.2%2FGCA_013333645.2&amp;loc=GCA_013333645.2%7CJABCOK020000016.1%3A90645..97880&amp;tracks=prokka,prokka_ncrna,ncbi,ncbi_ncrna,panggolin,cenote,genomad&amp;highlight=","Open JBrowse")</f>
        <v>Open JBrowse</v>
      </c>
      <c r="H695">
        <v>93645</v>
      </c>
      <c r="I695">
        <v>94880</v>
      </c>
      <c r="J695" t="s">
        <v>2751</v>
      </c>
      <c r="K695" t="s">
        <v>59</v>
      </c>
      <c r="L695" t="s">
        <v>2752</v>
      </c>
      <c r="M695" t="s">
        <v>2753</v>
      </c>
      <c r="N695" t="s">
        <v>2318</v>
      </c>
      <c r="O695">
        <v>3</v>
      </c>
      <c r="P695" t="s">
        <v>42</v>
      </c>
      <c r="Q695" t="s">
        <v>59</v>
      </c>
      <c r="R695" t="s">
        <v>2747</v>
      </c>
      <c r="S695" t="s">
        <v>2752</v>
      </c>
      <c r="T695" t="s">
        <v>42</v>
      </c>
      <c r="U695">
        <v>45</v>
      </c>
      <c r="V695">
        <v>323</v>
      </c>
      <c r="W695">
        <v>279</v>
      </c>
      <c r="X695" t="s">
        <v>1629</v>
      </c>
    </row>
    <row r="696" spans="1:32" x14ac:dyDescent="0.75">
      <c r="A696" s="22" t="s">
        <v>6051</v>
      </c>
      <c r="B696" t="s">
        <v>391</v>
      </c>
      <c r="C696" t="s">
        <v>104</v>
      </c>
      <c r="D696" t="s">
        <v>392</v>
      </c>
      <c r="E696" t="s">
        <v>393</v>
      </c>
      <c r="F696" t="s">
        <v>394</v>
      </c>
      <c r="G696" s="1" t="str">
        <f>HYPERLINK("https://homd.org/jbrowse/?data=homd_V11.02_phage_1.2%2FGCA_000180155.1&amp;loc=GCA_000180155.1%7CBABV01000514.1%3A5407..12267&amp;tracks=prokka,prokka_ncrna,ncbi,ncbi_ncrna,panggolin,cenote,genomad&amp;highlight=","Open JBrowse")</f>
        <v>Open JBrowse</v>
      </c>
      <c r="H696">
        <v>8407</v>
      </c>
      <c r="I696">
        <v>9267</v>
      </c>
      <c r="J696" t="s">
        <v>395</v>
      </c>
      <c r="K696" t="s">
        <v>59</v>
      </c>
      <c r="L696" t="s">
        <v>396</v>
      </c>
      <c r="M696" t="s">
        <v>397</v>
      </c>
      <c r="N696" t="s">
        <v>398</v>
      </c>
      <c r="O696">
        <v>3</v>
      </c>
      <c r="P696" t="s">
        <v>42</v>
      </c>
      <c r="Q696" t="s">
        <v>59</v>
      </c>
      <c r="R696" t="s">
        <v>399</v>
      </c>
      <c r="S696" t="s">
        <v>396</v>
      </c>
      <c r="T696" t="s">
        <v>42</v>
      </c>
      <c r="U696">
        <v>46</v>
      </c>
      <c r="V696">
        <v>282</v>
      </c>
      <c r="W696">
        <v>237</v>
      </c>
      <c r="X696" t="s">
        <v>400</v>
      </c>
      <c r="Y696" t="s">
        <v>401</v>
      </c>
      <c r="Z696" t="s">
        <v>132</v>
      </c>
      <c r="AA696" t="s">
        <v>402</v>
      </c>
    </row>
    <row r="697" spans="1:32" x14ac:dyDescent="0.75">
      <c r="A697" s="22" t="s">
        <v>6051</v>
      </c>
      <c r="B697" t="s">
        <v>1673</v>
      </c>
      <c r="C697" t="s">
        <v>104</v>
      </c>
      <c r="D697" t="s">
        <v>1674</v>
      </c>
      <c r="E697" t="s">
        <v>393</v>
      </c>
      <c r="F697" t="s">
        <v>1675</v>
      </c>
      <c r="G697" s="1" t="str">
        <f>HYPERLINK("https://homd.org/jbrowse/?data=homd_V11.02_phage_1.2%2FGCA_001929365.1&amp;loc=GCA_001929365.1%7CMSQE01000004.1%3A18627..25487&amp;tracks=prokka,prokka_ncrna,ncbi,ncbi_ncrna,panggolin,cenote,genomad&amp;highlight=","Open JBrowse")</f>
        <v>Open JBrowse</v>
      </c>
      <c r="H697">
        <v>21627</v>
      </c>
      <c r="I697">
        <v>22487</v>
      </c>
      <c r="J697" t="s">
        <v>1676</v>
      </c>
      <c r="K697" t="s">
        <v>59</v>
      </c>
      <c r="L697" t="s">
        <v>396</v>
      </c>
      <c r="M697" t="s">
        <v>397</v>
      </c>
      <c r="N697" t="s">
        <v>398</v>
      </c>
      <c r="O697">
        <v>3</v>
      </c>
      <c r="P697" t="s">
        <v>42</v>
      </c>
      <c r="Q697" t="s">
        <v>59</v>
      </c>
      <c r="R697" t="s">
        <v>1677</v>
      </c>
      <c r="S697" t="s">
        <v>396</v>
      </c>
      <c r="T697" t="s">
        <v>42</v>
      </c>
      <c r="U697">
        <v>46</v>
      </c>
      <c r="V697">
        <v>282</v>
      </c>
      <c r="W697">
        <v>237</v>
      </c>
      <c r="X697" t="s">
        <v>400</v>
      </c>
      <c r="Y697" t="s">
        <v>1678</v>
      </c>
      <c r="Z697" t="s">
        <v>1257</v>
      </c>
      <c r="AA697" t="s">
        <v>1679</v>
      </c>
    </row>
    <row r="698" spans="1:32" x14ac:dyDescent="0.75">
      <c r="A698" s="22" t="s">
        <v>6051</v>
      </c>
      <c r="B698" t="s">
        <v>1680</v>
      </c>
      <c r="C698" t="s">
        <v>104</v>
      </c>
      <c r="D698" t="s">
        <v>1674</v>
      </c>
      <c r="E698" t="s">
        <v>393</v>
      </c>
      <c r="F698" t="s">
        <v>1681</v>
      </c>
      <c r="G698" s="1" t="str">
        <f>HYPERLINK("https://homd.org/jbrowse/?data=homd_V11.02_phage_1.2%2FGCA_001937545.1&amp;loc=GCA_001937545.1%7CMSKV01000004.1%3A66638..73498&amp;tracks=prokka,prokka_ncrna,ncbi,ncbi_ncrna,panggolin,cenote,genomad&amp;highlight=","Open JBrowse")</f>
        <v>Open JBrowse</v>
      </c>
      <c r="H698">
        <v>69638</v>
      </c>
      <c r="I698">
        <v>70498</v>
      </c>
      <c r="J698" t="s">
        <v>1682</v>
      </c>
      <c r="K698" t="s">
        <v>59</v>
      </c>
      <c r="L698" t="s">
        <v>396</v>
      </c>
      <c r="M698" t="s">
        <v>397</v>
      </c>
      <c r="N698" t="s">
        <v>398</v>
      </c>
      <c r="O698">
        <v>3</v>
      </c>
      <c r="P698" t="s">
        <v>42</v>
      </c>
      <c r="Q698" t="s">
        <v>59</v>
      </c>
      <c r="R698" t="s">
        <v>1683</v>
      </c>
      <c r="S698" t="s">
        <v>396</v>
      </c>
      <c r="T698" t="s">
        <v>42</v>
      </c>
      <c r="U698">
        <v>46</v>
      </c>
      <c r="V698">
        <v>282</v>
      </c>
      <c r="W698">
        <v>237</v>
      </c>
      <c r="X698" t="s">
        <v>400</v>
      </c>
      <c r="Y698" t="s">
        <v>1684</v>
      </c>
      <c r="Z698" t="s">
        <v>302</v>
      </c>
      <c r="AA698" t="s">
        <v>1685</v>
      </c>
    </row>
    <row r="699" spans="1:32" x14ac:dyDescent="0.75">
      <c r="A699" s="22" t="s">
        <v>6051</v>
      </c>
      <c r="B699" t="s">
        <v>1686</v>
      </c>
      <c r="C699" t="s">
        <v>104</v>
      </c>
      <c r="D699" t="s">
        <v>1687</v>
      </c>
      <c r="E699" t="s">
        <v>393</v>
      </c>
      <c r="F699" t="s">
        <v>1688</v>
      </c>
      <c r="G699" s="1" t="str">
        <f>HYPERLINK("https://homd.org/jbrowse/?data=homd_V11.02_phage_1.2%2FGCA_001937675.1&amp;loc=GCA_001937675.1%7CMSKJ01000001.1%3A30292..37152&amp;tracks=prokka,prokka_ncrna,ncbi,ncbi_ncrna,panggolin,cenote,genomad&amp;highlight=","Open JBrowse")</f>
        <v>Open JBrowse</v>
      </c>
      <c r="H699">
        <v>33292</v>
      </c>
      <c r="I699">
        <v>34152</v>
      </c>
      <c r="J699" t="s">
        <v>1689</v>
      </c>
      <c r="K699" t="s">
        <v>59</v>
      </c>
      <c r="L699" t="s">
        <v>396</v>
      </c>
      <c r="M699" t="s">
        <v>397</v>
      </c>
      <c r="N699" t="s">
        <v>398</v>
      </c>
      <c r="O699">
        <v>3</v>
      </c>
      <c r="P699" t="s">
        <v>42</v>
      </c>
      <c r="Q699" t="s">
        <v>59</v>
      </c>
      <c r="R699" t="s">
        <v>1690</v>
      </c>
      <c r="S699" t="s">
        <v>396</v>
      </c>
      <c r="T699" t="s">
        <v>42</v>
      </c>
      <c r="U699">
        <v>46</v>
      </c>
      <c r="V699">
        <v>282</v>
      </c>
      <c r="W699">
        <v>237</v>
      </c>
      <c r="X699" t="s">
        <v>400</v>
      </c>
      <c r="Y699" t="s">
        <v>1691</v>
      </c>
      <c r="Z699" t="s">
        <v>368</v>
      </c>
      <c r="AA699" t="s">
        <v>1692</v>
      </c>
    </row>
    <row r="700" spans="1:32" x14ac:dyDescent="0.75">
      <c r="A700" s="22" t="s">
        <v>6051</v>
      </c>
      <c r="B700" t="s">
        <v>1887</v>
      </c>
      <c r="C700" t="s">
        <v>104</v>
      </c>
      <c r="D700" t="s">
        <v>1888</v>
      </c>
      <c r="E700" t="s">
        <v>393</v>
      </c>
      <c r="F700" t="s">
        <v>1889</v>
      </c>
      <c r="G700" s="1" t="str">
        <f>HYPERLINK("https://homd.org/jbrowse/?data=homd_V11.02_phage_1.2%2FGCA_002847555.1&amp;loc=GCA_002847555.1%7CPKKL01000003.1%3A31516..38376&amp;tracks=prokka,prokka_ncrna,ncbi,ncbi_ncrna,panggolin,cenote,genomad&amp;highlight=","Open JBrowse")</f>
        <v>Open JBrowse</v>
      </c>
      <c r="H700">
        <v>34516</v>
      </c>
      <c r="I700">
        <v>35376</v>
      </c>
      <c r="J700" t="s">
        <v>1890</v>
      </c>
      <c r="K700" t="s">
        <v>59</v>
      </c>
      <c r="L700" t="s">
        <v>396</v>
      </c>
      <c r="M700" t="s">
        <v>397</v>
      </c>
      <c r="N700" t="s">
        <v>398</v>
      </c>
      <c r="O700">
        <v>3</v>
      </c>
      <c r="P700" t="s">
        <v>42</v>
      </c>
      <c r="Q700" t="s">
        <v>59</v>
      </c>
      <c r="R700" t="s">
        <v>1891</v>
      </c>
      <c r="S700" t="s">
        <v>396</v>
      </c>
      <c r="T700" t="s">
        <v>42</v>
      </c>
      <c r="U700">
        <v>46</v>
      </c>
      <c r="V700">
        <v>282</v>
      </c>
      <c r="W700">
        <v>237</v>
      </c>
      <c r="X700" t="s">
        <v>400</v>
      </c>
      <c r="Y700" t="s">
        <v>1892</v>
      </c>
      <c r="Z700" t="s">
        <v>281</v>
      </c>
      <c r="AA700" t="s">
        <v>1893</v>
      </c>
    </row>
    <row r="701" spans="1:32" x14ac:dyDescent="0.75">
      <c r="A701" s="22" t="s">
        <v>6051</v>
      </c>
      <c r="B701" t="s">
        <v>2300</v>
      </c>
      <c r="C701" t="s">
        <v>104</v>
      </c>
      <c r="D701" t="s">
        <v>1687</v>
      </c>
      <c r="E701" t="s">
        <v>393</v>
      </c>
      <c r="F701" t="s">
        <v>2301</v>
      </c>
      <c r="G701" s="1" t="str">
        <f>HYPERLINK("https://homd.org/jbrowse/?data=homd_V11.02_phage_1.2%2FGCA_005696555.1&amp;loc=GCA_005696555.1%7CCP040005.1%3A560820..567680&amp;tracks=prokka,prokka_ncrna,ncbi,ncbi_ncrna,panggolin,cenote,genomad&amp;highlight=","Open JBrowse")</f>
        <v>Open JBrowse</v>
      </c>
      <c r="H701">
        <v>563820</v>
      </c>
      <c r="I701">
        <v>564680</v>
      </c>
      <c r="J701" t="s">
        <v>2302</v>
      </c>
      <c r="K701" t="s">
        <v>59</v>
      </c>
      <c r="L701" t="s">
        <v>396</v>
      </c>
      <c r="M701" t="s">
        <v>397</v>
      </c>
      <c r="N701" t="s">
        <v>398</v>
      </c>
      <c r="O701">
        <v>3</v>
      </c>
      <c r="P701" t="s">
        <v>42</v>
      </c>
      <c r="Q701" t="s">
        <v>59</v>
      </c>
      <c r="R701" t="s">
        <v>2303</v>
      </c>
      <c r="S701" t="s">
        <v>396</v>
      </c>
      <c r="T701" t="s">
        <v>42</v>
      </c>
      <c r="U701">
        <v>46</v>
      </c>
      <c r="V701">
        <v>282</v>
      </c>
      <c r="W701">
        <v>237</v>
      </c>
      <c r="X701" t="s">
        <v>400</v>
      </c>
      <c r="Y701" t="s">
        <v>2304</v>
      </c>
      <c r="Z701" t="s">
        <v>836</v>
      </c>
      <c r="AA701" t="s">
        <v>2305</v>
      </c>
    </row>
    <row r="702" spans="1:32" x14ac:dyDescent="0.75">
      <c r="A702" s="22" t="s">
        <v>6051</v>
      </c>
      <c r="B702" t="s">
        <v>2790</v>
      </c>
      <c r="C702" t="s">
        <v>104</v>
      </c>
      <c r="D702" t="s">
        <v>1674</v>
      </c>
      <c r="E702" t="s">
        <v>393</v>
      </c>
      <c r="F702" t="s">
        <v>2791</v>
      </c>
      <c r="G702" s="1" t="str">
        <f>HYPERLINK("https://homd.org/jbrowse/?data=homd_V11.02_phage_1.2%2FGCA_013394715.1&amp;loc=GCA_013394715.1%7CCP058259.1%3A505625..512485&amp;tracks=prokka,prokka_ncrna,ncbi,ncbi_ncrna,panggolin,cenote,genomad&amp;highlight=","Open JBrowse")</f>
        <v>Open JBrowse</v>
      </c>
      <c r="H702">
        <v>508625</v>
      </c>
      <c r="I702">
        <v>509485</v>
      </c>
      <c r="J702" t="s">
        <v>2792</v>
      </c>
      <c r="K702" t="s">
        <v>59</v>
      </c>
      <c r="L702" t="s">
        <v>396</v>
      </c>
      <c r="M702" t="s">
        <v>397</v>
      </c>
      <c r="N702" t="s">
        <v>398</v>
      </c>
      <c r="O702">
        <v>3</v>
      </c>
      <c r="P702" t="s">
        <v>42</v>
      </c>
      <c r="Q702" t="s">
        <v>59</v>
      </c>
      <c r="R702" t="s">
        <v>2793</v>
      </c>
      <c r="S702" t="s">
        <v>396</v>
      </c>
      <c r="T702" t="s">
        <v>42</v>
      </c>
      <c r="U702">
        <v>46</v>
      </c>
      <c r="V702">
        <v>282</v>
      </c>
      <c r="W702">
        <v>237</v>
      </c>
      <c r="X702" t="s">
        <v>400</v>
      </c>
      <c r="Y702" t="s">
        <v>2794</v>
      </c>
      <c r="Z702" t="s">
        <v>357</v>
      </c>
      <c r="AA702" t="s">
        <v>2795</v>
      </c>
    </row>
    <row r="703" spans="1:32" x14ac:dyDescent="0.75">
      <c r="A703" s="22" t="s">
        <v>6051</v>
      </c>
      <c r="B703" t="s">
        <v>3158</v>
      </c>
      <c r="C703" t="s">
        <v>104</v>
      </c>
      <c r="D703" t="s">
        <v>1888</v>
      </c>
      <c r="E703" t="s">
        <v>393</v>
      </c>
      <c r="F703" t="s">
        <v>3159</v>
      </c>
      <c r="G703" s="1" t="str">
        <f>HYPERLINK("https://homd.org/jbrowse/?data=homd_V11.02_phage_1.2%2FGCA_016694895.1&amp;loc=GCA_016694895.1%7CCP068012.1%3A524151..531011&amp;tracks=prokka,prokka_ncrna,ncbi,ncbi_ncrna,panggolin,cenote,genomad&amp;highlight=","Open JBrowse")</f>
        <v>Open JBrowse</v>
      </c>
      <c r="H703">
        <v>527151</v>
      </c>
      <c r="I703">
        <v>528011</v>
      </c>
      <c r="J703" t="s">
        <v>3160</v>
      </c>
      <c r="K703" t="s">
        <v>59</v>
      </c>
      <c r="L703" t="s">
        <v>396</v>
      </c>
      <c r="M703" t="s">
        <v>397</v>
      </c>
      <c r="N703" t="s">
        <v>398</v>
      </c>
      <c r="O703">
        <v>3</v>
      </c>
      <c r="P703" t="s">
        <v>42</v>
      </c>
      <c r="Q703" t="s">
        <v>59</v>
      </c>
      <c r="R703" t="s">
        <v>3161</v>
      </c>
      <c r="S703" t="s">
        <v>396</v>
      </c>
      <c r="T703" t="s">
        <v>42</v>
      </c>
      <c r="U703">
        <v>46</v>
      </c>
      <c r="V703">
        <v>282</v>
      </c>
      <c r="W703">
        <v>237</v>
      </c>
      <c r="X703" t="s">
        <v>400</v>
      </c>
      <c r="Y703" t="s">
        <v>3162</v>
      </c>
      <c r="Z703" t="s">
        <v>357</v>
      </c>
      <c r="AA703" t="s">
        <v>3163</v>
      </c>
    </row>
    <row r="704" spans="1:32" x14ac:dyDescent="0.75">
      <c r="A704" s="22" t="s">
        <v>6051</v>
      </c>
      <c r="B704" t="s">
        <v>4173</v>
      </c>
      <c r="C704" t="s">
        <v>104</v>
      </c>
      <c r="D704" t="s">
        <v>392</v>
      </c>
      <c r="E704" t="s">
        <v>393</v>
      </c>
      <c r="F704" t="s">
        <v>4174</v>
      </c>
      <c r="G704" s="1" t="str">
        <f>HYPERLINK("https://homd.org/jbrowse/?data=homd_V11.02_phage_1.2%2FGCA_023169925.1&amp;loc=GCA_023169925.1%7CAP025590.1%3A572965..579825&amp;tracks=prokka,prokka_ncrna,ncbi,ncbi_ncrna,panggolin,cenote,genomad&amp;highlight=","Open JBrowse")</f>
        <v>Open JBrowse</v>
      </c>
      <c r="H704">
        <v>575965</v>
      </c>
      <c r="I704">
        <v>576825</v>
      </c>
      <c r="J704" t="s">
        <v>4175</v>
      </c>
      <c r="K704" t="s">
        <v>59</v>
      </c>
      <c r="L704" t="s">
        <v>396</v>
      </c>
      <c r="M704" t="s">
        <v>397</v>
      </c>
      <c r="N704" t="s">
        <v>398</v>
      </c>
      <c r="O704">
        <v>3</v>
      </c>
      <c r="P704" t="s">
        <v>42</v>
      </c>
      <c r="Q704" t="s">
        <v>59</v>
      </c>
      <c r="R704" t="s">
        <v>4176</v>
      </c>
      <c r="S704" t="s">
        <v>396</v>
      </c>
      <c r="T704" t="s">
        <v>42</v>
      </c>
      <c r="U704">
        <v>46</v>
      </c>
      <c r="V704">
        <v>282</v>
      </c>
      <c r="W704">
        <v>237</v>
      </c>
      <c r="X704" t="s">
        <v>400</v>
      </c>
      <c r="Y704" t="s">
        <v>4177</v>
      </c>
      <c r="Z704" t="s">
        <v>547</v>
      </c>
      <c r="AA704" t="s">
        <v>3163</v>
      </c>
    </row>
    <row r="705" spans="1:34" x14ac:dyDescent="0.75">
      <c r="A705" s="22" t="s">
        <v>6051</v>
      </c>
      <c r="B705" t="s">
        <v>4968</v>
      </c>
      <c r="C705" t="s">
        <v>104</v>
      </c>
      <c r="D705" t="s">
        <v>1674</v>
      </c>
      <c r="E705" t="s">
        <v>393</v>
      </c>
      <c r="F705" t="s">
        <v>4969</v>
      </c>
      <c r="G705" s="1" t="str">
        <f>HYPERLINK("https://homd.org/jbrowse/?data=homd_V11.02_phage_1.2%2FGCA_030371665.1&amp;loc=GCA_030371665.1%7CJAUDBR010000014.1%3A92617..99477&amp;tracks=prokka,prokka_ncrna,ncbi,ncbi_ncrna,panggolin,cenote,genomad&amp;highlight=","Open JBrowse")</f>
        <v>Open JBrowse</v>
      </c>
      <c r="H705">
        <v>95617</v>
      </c>
      <c r="I705">
        <v>96477</v>
      </c>
      <c r="J705" t="s">
        <v>4970</v>
      </c>
      <c r="K705" t="s">
        <v>59</v>
      </c>
      <c r="L705" t="s">
        <v>396</v>
      </c>
      <c r="M705" t="s">
        <v>397</v>
      </c>
      <c r="N705" t="s">
        <v>398</v>
      </c>
      <c r="O705">
        <v>3</v>
      </c>
      <c r="P705" t="s">
        <v>42</v>
      </c>
      <c r="Q705" t="s">
        <v>59</v>
      </c>
      <c r="R705" t="s">
        <v>4971</v>
      </c>
      <c r="S705" t="s">
        <v>396</v>
      </c>
      <c r="T705" t="s">
        <v>42</v>
      </c>
      <c r="U705">
        <v>46</v>
      </c>
      <c r="V705">
        <v>282</v>
      </c>
      <c r="W705">
        <v>237</v>
      </c>
      <c r="X705" t="s">
        <v>400</v>
      </c>
      <c r="Y705" t="s">
        <v>4972</v>
      </c>
      <c r="Z705" t="s">
        <v>1450</v>
      </c>
      <c r="AA705" t="s">
        <v>4973</v>
      </c>
    </row>
    <row r="706" spans="1:34" x14ac:dyDescent="0.75">
      <c r="A706" s="22" t="s">
        <v>6051</v>
      </c>
      <c r="B706" t="s">
        <v>5033</v>
      </c>
      <c r="C706" t="s">
        <v>104</v>
      </c>
      <c r="D706" t="s">
        <v>1674</v>
      </c>
      <c r="E706" t="s">
        <v>393</v>
      </c>
      <c r="F706" t="s">
        <v>5034</v>
      </c>
      <c r="G706" s="1" t="str">
        <f>HYPERLINK("https://homd.org/jbrowse/?data=homd_V11.02_phage_1.2%2FGCA_031082475.1&amp;loc=GCA_031082475.1%7CJAMZMG010000004.1%3A147067..153927&amp;tracks=prokka,prokka_ncrna,ncbi,ncbi_ncrna,panggolin,cenote,genomad&amp;highlight=","Open JBrowse")</f>
        <v>Open JBrowse</v>
      </c>
      <c r="H706">
        <v>150067</v>
      </c>
      <c r="I706">
        <v>150927</v>
      </c>
      <c r="J706" t="s">
        <v>5035</v>
      </c>
      <c r="K706" t="s">
        <v>59</v>
      </c>
      <c r="L706" t="s">
        <v>396</v>
      </c>
      <c r="M706" t="s">
        <v>397</v>
      </c>
      <c r="N706" t="s">
        <v>398</v>
      </c>
      <c r="O706">
        <v>3</v>
      </c>
      <c r="P706" t="s">
        <v>42</v>
      </c>
      <c r="Q706" t="s">
        <v>59</v>
      </c>
      <c r="R706" t="s">
        <v>5036</v>
      </c>
      <c r="S706" t="s">
        <v>396</v>
      </c>
      <c r="T706" t="s">
        <v>42</v>
      </c>
      <c r="U706">
        <v>46</v>
      </c>
      <c r="V706">
        <v>282</v>
      </c>
      <c r="W706">
        <v>237</v>
      </c>
      <c r="X706" t="s">
        <v>400</v>
      </c>
      <c r="Y706" t="s">
        <v>5037</v>
      </c>
      <c r="Z706" t="s">
        <v>1948</v>
      </c>
      <c r="AA706" t="s">
        <v>4973</v>
      </c>
    </row>
    <row r="707" spans="1:34" x14ac:dyDescent="0.75">
      <c r="A707" s="22" t="s">
        <v>6051</v>
      </c>
      <c r="B707" t="s">
        <v>5306</v>
      </c>
      <c r="C707" t="s">
        <v>104</v>
      </c>
      <c r="D707" t="s">
        <v>1674</v>
      </c>
      <c r="E707" t="s">
        <v>393</v>
      </c>
      <c r="F707" t="s">
        <v>5307</v>
      </c>
      <c r="G707" s="1" t="str">
        <f>HYPERLINK("https://homd.org/jbrowse/?data=homd_V11.02_phage_1.2%2FGCA_901873715.1&amp;loc=GCA_901873715.1%7CCABFLV010000015.1%3A102277..109137&amp;tracks=prokka,prokka_ncrna,ncbi,ncbi_ncrna,panggolin,cenote,genomad&amp;highlight=","Open JBrowse")</f>
        <v>Open JBrowse</v>
      </c>
      <c r="H707">
        <v>105277</v>
      </c>
      <c r="I707">
        <v>106137</v>
      </c>
      <c r="J707" t="s">
        <v>5308</v>
      </c>
      <c r="K707" t="s">
        <v>59</v>
      </c>
      <c r="L707" t="s">
        <v>396</v>
      </c>
      <c r="M707" t="s">
        <v>397</v>
      </c>
      <c r="N707" t="s">
        <v>398</v>
      </c>
      <c r="O707">
        <v>3</v>
      </c>
      <c r="P707" t="s">
        <v>42</v>
      </c>
      <c r="Q707" t="s">
        <v>59</v>
      </c>
      <c r="R707" t="s">
        <v>5309</v>
      </c>
      <c r="S707" t="s">
        <v>396</v>
      </c>
      <c r="T707" t="s">
        <v>42</v>
      </c>
      <c r="U707">
        <v>46</v>
      </c>
      <c r="V707">
        <v>282</v>
      </c>
      <c r="W707">
        <v>237</v>
      </c>
      <c r="X707" t="s">
        <v>400</v>
      </c>
      <c r="Y707" t="s">
        <v>5310</v>
      </c>
      <c r="Z707" t="s">
        <v>743</v>
      </c>
      <c r="AA707" t="s">
        <v>5311</v>
      </c>
    </row>
    <row r="708" spans="1:34" x14ac:dyDescent="0.75">
      <c r="A708" s="22" t="s">
        <v>6051</v>
      </c>
      <c r="B708" t="s">
        <v>5507</v>
      </c>
      <c r="C708" t="s">
        <v>104</v>
      </c>
      <c r="D708" t="s">
        <v>1674</v>
      </c>
      <c r="E708" t="s">
        <v>393</v>
      </c>
      <c r="F708" t="s">
        <v>5508</v>
      </c>
      <c r="G708" s="1" t="str">
        <f>HYPERLINK("https://homd.org/jbrowse/?data=homd_V11.02_phage_1.2%2FGCA_905373335.1&amp;loc=GCA_905373335.1%7CCAJPSZ010000021.1%3A18632..25492&amp;tracks=prokka,prokka_ncrna,ncbi,ncbi_ncrna,panggolin,cenote,genomad&amp;highlight=","Open JBrowse")</f>
        <v>Open JBrowse</v>
      </c>
      <c r="H708">
        <v>21632</v>
      </c>
      <c r="I708">
        <v>22492</v>
      </c>
      <c r="J708" t="s">
        <v>5509</v>
      </c>
      <c r="K708" t="s">
        <v>59</v>
      </c>
      <c r="L708" t="s">
        <v>396</v>
      </c>
      <c r="M708" t="s">
        <v>397</v>
      </c>
      <c r="N708" t="s">
        <v>398</v>
      </c>
      <c r="O708">
        <v>3</v>
      </c>
      <c r="P708" t="s">
        <v>42</v>
      </c>
      <c r="Q708" t="s">
        <v>59</v>
      </c>
      <c r="R708" t="s">
        <v>5510</v>
      </c>
      <c r="S708" t="s">
        <v>396</v>
      </c>
      <c r="T708" t="s">
        <v>42</v>
      </c>
      <c r="U708">
        <v>46</v>
      </c>
      <c r="V708">
        <v>282</v>
      </c>
      <c r="W708">
        <v>237</v>
      </c>
      <c r="X708" t="s">
        <v>400</v>
      </c>
      <c r="Y708" t="s">
        <v>5511</v>
      </c>
      <c r="Z708" t="s">
        <v>1327</v>
      </c>
      <c r="AA708" t="s">
        <v>5512</v>
      </c>
    </row>
    <row r="709" spans="1:34" x14ac:dyDescent="0.75">
      <c r="A709" s="22" t="s">
        <v>6051</v>
      </c>
      <c r="B709" t="s">
        <v>5614</v>
      </c>
      <c r="C709" t="s">
        <v>104</v>
      </c>
      <c r="D709" t="s">
        <v>1687</v>
      </c>
      <c r="E709" t="s">
        <v>393</v>
      </c>
      <c r="F709" t="s">
        <v>5615</v>
      </c>
      <c r="G709" s="1" t="str">
        <f>HYPERLINK("https://homd.org/jbrowse/?data=homd_V11.02_phage_1.2%2FGCA_916439255.1&amp;loc=GCA_916439255.1%7CCAKAHW010000018.1%3A190810..197772&amp;tracks=prokka,prokka_ncrna,ncbi,ncbi_ncrna,panggolin,cenote,genomad&amp;highlight=","Open JBrowse")</f>
        <v>Open JBrowse</v>
      </c>
      <c r="H709">
        <v>193810</v>
      </c>
      <c r="I709">
        <v>194772</v>
      </c>
      <c r="J709" t="s">
        <v>5616</v>
      </c>
      <c r="K709" t="s">
        <v>59</v>
      </c>
      <c r="L709" t="s">
        <v>5617</v>
      </c>
      <c r="M709" t="s">
        <v>5618</v>
      </c>
      <c r="N709" t="s">
        <v>398</v>
      </c>
      <c r="O709">
        <v>3</v>
      </c>
      <c r="P709" t="s">
        <v>42</v>
      </c>
      <c r="Q709" t="s">
        <v>59</v>
      </c>
      <c r="R709" t="s">
        <v>5619</v>
      </c>
      <c r="S709" t="s">
        <v>5617</v>
      </c>
      <c r="T709" t="s">
        <v>42</v>
      </c>
      <c r="U709">
        <v>46</v>
      </c>
      <c r="V709">
        <v>238</v>
      </c>
      <c r="W709">
        <v>193</v>
      </c>
      <c r="X709" t="s">
        <v>400</v>
      </c>
      <c r="Y709" t="s">
        <v>5620</v>
      </c>
      <c r="Z709" t="s">
        <v>458</v>
      </c>
      <c r="AA709" t="s">
        <v>5621</v>
      </c>
    </row>
    <row r="710" spans="1:34" x14ac:dyDescent="0.75">
      <c r="A710" s="22" t="s">
        <v>6051</v>
      </c>
      <c r="B710" t="s">
        <v>5800</v>
      </c>
      <c r="C710" t="s">
        <v>104</v>
      </c>
      <c r="D710" t="s">
        <v>1674</v>
      </c>
      <c r="E710" t="s">
        <v>393</v>
      </c>
      <c r="F710" t="s">
        <v>5801</v>
      </c>
      <c r="G710" s="1" t="str">
        <f>HYPERLINK("https://homd.org/jbrowse/?data=homd_V11.02_phage_1.2%2FGCA_937981545.1&amp;loc=GCA_937981545.1%7CCALJNX010000008.1%3A148383..155243&amp;tracks=prokka,prokka_ncrna,ncbi,ncbi_ncrna,panggolin,cenote,genomad&amp;highlight=","Open JBrowse")</f>
        <v>Open JBrowse</v>
      </c>
      <c r="H710">
        <v>151383</v>
      </c>
      <c r="I710">
        <v>152243</v>
      </c>
      <c r="J710" t="s">
        <v>5802</v>
      </c>
      <c r="K710" t="s">
        <v>59</v>
      </c>
      <c r="L710" t="s">
        <v>396</v>
      </c>
      <c r="M710" t="s">
        <v>397</v>
      </c>
      <c r="N710" t="s">
        <v>398</v>
      </c>
      <c r="O710">
        <v>3</v>
      </c>
      <c r="P710" t="s">
        <v>42</v>
      </c>
      <c r="Q710" t="s">
        <v>59</v>
      </c>
      <c r="R710" t="s">
        <v>5803</v>
      </c>
      <c r="S710" t="s">
        <v>396</v>
      </c>
      <c r="T710" t="s">
        <v>42</v>
      </c>
      <c r="U710">
        <v>46</v>
      </c>
      <c r="V710">
        <v>282</v>
      </c>
      <c r="W710">
        <v>237</v>
      </c>
      <c r="X710" t="s">
        <v>400</v>
      </c>
      <c r="Y710" t="s">
        <v>5804</v>
      </c>
      <c r="Z710" t="s">
        <v>357</v>
      </c>
      <c r="AA710" t="s">
        <v>5805</v>
      </c>
    </row>
    <row r="711" spans="1:34" x14ac:dyDescent="0.75">
      <c r="A711" s="22" t="s">
        <v>6051</v>
      </c>
      <c r="B711" t="s">
        <v>513</v>
      </c>
      <c r="C711" t="s">
        <v>104</v>
      </c>
      <c r="D711" t="s">
        <v>514</v>
      </c>
      <c r="E711" t="s">
        <v>515</v>
      </c>
      <c r="F711" t="s">
        <v>516</v>
      </c>
      <c r="G711" s="1" t="str">
        <f>HYPERLINK("https://homd.org/jbrowse/?data=homd_V11.02_phage_1.2%2FGCA_000213295.2&amp;loc=GCA_000213295.2%7CKN390011.1%3A4042..10878&amp;tracks=prokka,prokka_ncrna,ncbi,ncbi_ncrna,panggolin,cenote,genomad&amp;highlight=","Open JBrowse")</f>
        <v>Open JBrowse</v>
      </c>
      <c r="H711">
        <v>7042</v>
      </c>
      <c r="I711">
        <v>7878</v>
      </c>
      <c r="J711" t="s">
        <v>517</v>
      </c>
      <c r="K711" t="s">
        <v>39</v>
      </c>
      <c r="L711" t="s">
        <v>518</v>
      </c>
      <c r="M711" t="s">
        <v>519</v>
      </c>
      <c r="N711" t="s">
        <v>42</v>
      </c>
      <c r="O711">
        <v>3</v>
      </c>
      <c r="P711" t="s">
        <v>42</v>
      </c>
      <c r="Q711" t="s">
        <v>43</v>
      </c>
      <c r="R711" t="s">
        <v>520</v>
      </c>
      <c r="S711" t="s">
        <v>518</v>
      </c>
      <c r="T711" t="s">
        <v>42</v>
      </c>
      <c r="U711">
        <v>47</v>
      </c>
      <c r="V711">
        <v>274</v>
      </c>
      <c r="W711">
        <v>228</v>
      </c>
      <c r="X711" t="s">
        <v>45</v>
      </c>
      <c r="Y711" t="s">
        <v>521</v>
      </c>
      <c r="Z711" t="s">
        <v>118</v>
      </c>
      <c r="AA711" t="s">
        <v>522</v>
      </c>
      <c r="AB711" t="s">
        <v>523</v>
      </c>
      <c r="AC711" t="s">
        <v>182</v>
      </c>
      <c r="AD711" t="s">
        <v>183</v>
      </c>
      <c r="AE711">
        <v>1162</v>
      </c>
      <c r="AF711" t="s">
        <v>524</v>
      </c>
      <c r="AG711" t="s">
        <v>185</v>
      </c>
      <c r="AH711">
        <v>2</v>
      </c>
    </row>
    <row r="712" spans="1:34" x14ac:dyDescent="0.75">
      <c r="A712" s="22" t="s">
        <v>6051</v>
      </c>
      <c r="B712" t="s">
        <v>1847</v>
      </c>
      <c r="C712" t="s">
        <v>104</v>
      </c>
      <c r="D712" t="s">
        <v>514</v>
      </c>
      <c r="E712" t="s">
        <v>515</v>
      </c>
      <c r="F712" t="s">
        <v>1848</v>
      </c>
      <c r="G712" s="1" t="str">
        <f>HYPERLINK("https://homd.org/jbrowse/?data=homd_V11.02_phage_1.2%2FGCA_002302615.1&amp;loc=GCA_002302615.1%7CCP022384.1%3A1203406..1210242&amp;tracks=prokka,prokka_ncrna,ncbi,ncbi_ncrna,panggolin,cenote,genomad&amp;highlight=","Open JBrowse")</f>
        <v>Open JBrowse</v>
      </c>
      <c r="H712">
        <v>1206406</v>
      </c>
      <c r="I712">
        <v>1207242</v>
      </c>
      <c r="J712" t="s">
        <v>1849</v>
      </c>
      <c r="K712" t="s">
        <v>39</v>
      </c>
      <c r="L712" t="s">
        <v>518</v>
      </c>
      <c r="M712" t="s">
        <v>519</v>
      </c>
      <c r="N712" t="s">
        <v>42</v>
      </c>
      <c r="O712">
        <v>3</v>
      </c>
      <c r="P712" t="s">
        <v>42</v>
      </c>
      <c r="Q712" t="s">
        <v>43</v>
      </c>
      <c r="R712" t="s">
        <v>1850</v>
      </c>
      <c r="S712" t="s">
        <v>518</v>
      </c>
      <c r="T712" t="s">
        <v>42</v>
      </c>
      <c r="U712">
        <v>47</v>
      </c>
      <c r="V712">
        <v>274</v>
      </c>
      <c r="W712">
        <v>228</v>
      </c>
      <c r="X712" t="s">
        <v>45</v>
      </c>
      <c r="Y712" t="s">
        <v>1851</v>
      </c>
      <c r="Z712" t="s">
        <v>281</v>
      </c>
      <c r="AA712" t="s">
        <v>1852</v>
      </c>
      <c r="AB712" t="s">
        <v>1853</v>
      </c>
      <c r="AC712" t="s">
        <v>1551</v>
      </c>
      <c r="AD712" t="s">
        <v>101</v>
      </c>
      <c r="AE712">
        <v>493</v>
      </c>
      <c r="AF712" t="s">
        <v>102</v>
      </c>
    </row>
    <row r="713" spans="1:34" x14ac:dyDescent="0.75">
      <c r="A713" s="22" t="s">
        <v>6051</v>
      </c>
      <c r="B713" t="s">
        <v>2569</v>
      </c>
      <c r="C713" t="s">
        <v>104</v>
      </c>
      <c r="D713" t="s">
        <v>514</v>
      </c>
      <c r="E713" t="s">
        <v>515</v>
      </c>
      <c r="F713" t="s">
        <v>2570</v>
      </c>
      <c r="G713" s="1" t="str">
        <f>HYPERLINK("https://homd.org/jbrowse/?data=homd_V11.02_phage_1.2%2FGCA_009730375.1&amp;loc=GCA_009730375.1%7CCP046316.1%3A2523999..2530835&amp;tracks=prokka,prokka_ncrna,ncbi,ncbi_ncrna,panggolin,cenote,genomad&amp;highlight=","Open JBrowse")</f>
        <v>Open JBrowse</v>
      </c>
      <c r="H713">
        <v>2526999</v>
      </c>
      <c r="I713">
        <v>2527835</v>
      </c>
      <c r="J713" t="s">
        <v>2571</v>
      </c>
      <c r="K713" t="s">
        <v>39</v>
      </c>
      <c r="L713" t="s">
        <v>518</v>
      </c>
      <c r="M713" t="s">
        <v>519</v>
      </c>
      <c r="N713" t="s">
        <v>42</v>
      </c>
      <c r="O713">
        <v>3</v>
      </c>
      <c r="P713" t="s">
        <v>42</v>
      </c>
      <c r="Q713" t="s">
        <v>43</v>
      </c>
      <c r="R713" t="s">
        <v>2572</v>
      </c>
      <c r="S713" t="s">
        <v>518</v>
      </c>
      <c r="T713" t="s">
        <v>42</v>
      </c>
      <c r="U713">
        <v>47</v>
      </c>
      <c r="V713">
        <v>274</v>
      </c>
      <c r="W713">
        <v>228</v>
      </c>
      <c r="X713" t="s">
        <v>45</v>
      </c>
      <c r="Y713" t="s">
        <v>2573</v>
      </c>
      <c r="Z713" t="s">
        <v>811</v>
      </c>
      <c r="AA713" t="s">
        <v>2574</v>
      </c>
      <c r="AB713" t="s">
        <v>2575</v>
      </c>
      <c r="AC713" t="s">
        <v>182</v>
      </c>
      <c r="AD713" t="s">
        <v>183</v>
      </c>
      <c r="AE713">
        <v>1162</v>
      </c>
      <c r="AF713" t="s">
        <v>2576</v>
      </c>
      <c r="AG713" t="s">
        <v>185</v>
      </c>
      <c r="AH713">
        <v>2</v>
      </c>
    </row>
    <row r="714" spans="1:34" x14ac:dyDescent="0.75">
      <c r="A714" s="22" t="s">
        <v>6051</v>
      </c>
      <c r="B714" t="s">
        <v>2964</v>
      </c>
      <c r="C714" t="s">
        <v>104</v>
      </c>
      <c r="D714" t="s">
        <v>2965</v>
      </c>
      <c r="E714" t="s">
        <v>2966</v>
      </c>
      <c r="F714" t="s">
        <v>2967</v>
      </c>
      <c r="G714" s="1" t="str">
        <f>HYPERLINK("https://homd.org/jbrowse/?data=homd_V11.02_phage_1.2%2FGCA_015259835.1&amp;loc=GCA_015259835.1%7CJABZXR010000050.1%3A8399..15625&amp;tracks=prokka,prokka_ncrna,ncbi,ncbi_ncrna,panggolin,cenote,genomad&amp;highlight=","Open JBrowse")</f>
        <v>Open JBrowse</v>
      </c>
      <c r="H714">
        <v>11399</v>
      </c>
      <c r="I714">
        <v>12625</v>
      </c>
      <c r="J714" t="s">
        <v>2968</v>
      </c>
      <c r="K714" t="s">
        <v>541</v>
      </c>
      <c r="L714" t="s">
        <v>2969</v>
      </c>
      <c r="M714" t="s">
        <v>2970</v>
      </c>
      <c r="N714" t="s">
        <v>59</v>
      </c>
      <c r="O714">
        <v>2</v>
      </c>
      <c r="P714" t="s">
        <v>42</v>
      </c>
      <c r="Q714" t="s">
        <v>101</v>
      </c>
      <c r="R714" t="s">
        <v>2971</v>
      </c>
      <c r="S714" t="s">
        <v>2969</v>
      </c>
      <c r="T714" t="s">
        <v>42</v>
      </c>
      <c r="U714">
        <v>47</v>
      </c>
      <c r="V714">
        <v>324</v>
      </c>
      <c r="W714">
        <v>278</v>
      </c>
      <c r="X714" t="s">
        <v>545</v>
      </c>
    </row>
    <row r="715" spans="1:34" x14ac:dyDescent="0.75">
      <c r="A715" s="22" t="s">
        <v>6051</v>
      </c>
      <c r="B715" t="s">
        <v>4992</v>
      </c>
      <c r="C715" t="s">
        <v>104</v>
      </c>
      <c r="D715" t="s">
        <v>1674</v>
      </c>
      <c r="E715" t="s">
        <v>393</v>
      </c>
      <c r="F715" t="s">
        <v>4993</v>
      </c>
      <c r="G715" s="1" t="str">
        <f>HYPERLINK("https://homd.org/jbrowse/?data=homd_V11.02_phage_1.2%2FGCA_030527985.1&amp;loc=GCA_030527985.1%7CJAUMZT010000024.1%3A32531..39391&amp;tracks=prokka,prokka_ncrna,ncbi,ncbi_ncrna,panggolin,cenote,genomad&amp;highlight=","Open JBrowse")</f>
        <v>Open JBrowse</v>
      </c>
      <c r="H715">
        <v>35531</v>
      </c>
      <c r="I715">
        <v>36391</v>
      </c>
      <c r="J715" t="s">
        <v>4994</v>
      </c>
      <c r="K715" t="s">
        <v>59</v>
      </c>
      <c r="L715" t="s">
        <v>4995</v>
      </c>
      <c r="M715" t="s">
        <v>397</v>
      </c>
      <c r="N715" t="s">
        <v>398</v>
      </c>
      <c r="O715">
        <v>3</v>
      </c>
      <c r="P715" t="s">
        <v>42</v>
      </c>
      <c r="Q715" t="s">
        <v>59</v>
      </c>
      <c r="R715" t="s">
        <v>4996</v>
      </c>
      <c r="S715" t="s">
        <v>4995</v>
      </c>
      <c r="T715" t="s">
        <v>42</v>
      </c>
      <c r="U715">
        <v>47</v>
      </c>
      <c r="V715">
        <v>282</v>
      </c>
      <c r="W715">
        <v>236</v>
      </c>
      <c r="X715" t="s">
        <v>400</v>
      </c>
      <c r="Y715" t="s">
        <v>4997</v>
      </c>
      <c r="Z715" t="s">
        <v>811</v>
      </c>
      <c r="AA715" t="s">
        <v>4998</v>
      </c>
    </row>
    <row r="716" spans="1:34" x14ac:dyDescent="0.75">
      <c r="A716" s="22" t="s">
        <v>6051</v>
      </c>
      <c r="B716" t="s">
        <v>5474</v>
      </c>
      <c r="C716" t="s">
        <v>104</v>
      </c>
      <c r="D716" t="s">
        <v>514</v>
      </c>
      <c r="E716" t="s">
        <v>515</v>
      </c>
      <c r="F716" t="s">
        <v>5475</v>
      </c>
      <c r="G716" s="1" t="str">
        <f>HYPERLINK("https://homd.org/jbrowse/?data=homd_V11.02_phage_1.2%2FGCA_905372535.1&amp;loc=GCA_905372535.1%7CCAJPPO010000047.1%3A1..4592&amp;tracks=prokka,prokka_ncrna,ncbi,ncbi_ncrna,panggolin,cenote,genomad&amp;highlight=","Open JBrowse")</f>
        <v>Open JBrowse</v>
      </c>
      <c r="H716">
        <v>756</v>
      </c>
      <c r="I716">
        <v>1592</v>
      </c>
      <c r="J716" t="s">
        <v>5476</v>
      </c>
      <c r="K716" t="s">
        <v>39</v>
      </c>
      <c r="L716" t="s">
        <v>518</v>
      </c>
      <c r="M716" t="s">
        <v>519</v>
      </c>
      <c r="N716" t="s">
        <v>42</v>
      </c>
      <c r="O716">
        <v>3</v>
      </c>
      <c r="P716" t="s">
        <v>42</v>
      </c>
      <c r="Q716" t="s">
        <v>43</v>
      </c>
      <c r="R716" t="s">
        <v>5477</v>
      </c>
      <c r="S716" t="s">
        <v>518</v>
      </c>
      <c r="T716" t="s">
        <v>42</v>
      </c>
      <c r="U716">
        <v>47</v>
      </c>
      <c r="V716">
        <v>274</v>
      </c>
      <c r="W716">
        <v>228</v>
      </c>
      <c r="X716" t="s">
        <v>45</v>
      </c>
    </row>
    <row r="717" spans="1:34" x14ac:dyDescent="0.75">
      <c r="A717" s="22" t="s">
        <v>6051</v>
      </c>
      <c r="B717" t="s">
        <v>5559</v>
      </c>
      <c r="C717" t="s">
        <v>104</v>
      </c>
      <c r="D717" t="s">
        <v>514</v>
      </c>
      <c r="E717" t="s">
        <v>515</v>
      </c>
      <c r="F717" t="s">
        <v>5560</v>
      </c>
      <c r="G717" s="1" t="str">
        <f>HYPERLINK("https://homd.org/jbrowse/?data=homd_V11.02_phage_1.2%2FGCA_915066995.1&amp;loc=GCA_915066995.1%7CCAJZEI010000161.1%3A1..6575&amp;tracks=prokka,prokka_ncrna,ncbi,ncbi_ncrna,panggolin,cenote,genomad&amp;highlight=","Open JBrowse")</f>
        <v>Open JBrowse</v>
      </c>
      <c r="H717">
        <v>2739</v>
      </c>
      <c r="I717">
        <v>3575</v>
      </c>
      <c r="J717" t="s">
        <v>5561</v>
      </c>
      <c r="K717" t="s">
        <v>39</v>
      </c>
      <c r="L717" t="s">
        <v>518</v>
      </c>
      <c r="M717" t="s">
        <v>519</v>
      </c>
      <c r="N717" t="s">
        <v>42</v>
      </c>
      <c r="O717">
        <v>3</v>
      </c>
      <c r="P717" t="s">
        <v>42</v>
      </c>
      <c r="Q717" t="s">
        <v>43</v>
      </c>
      <c r="R717" t="s">
        <v>5562</v>
      </c>
      <c r="S717" t="s">
        <v>518</v>
      </c>
      <c r="T717" t="s">
        <v>42</v>
      </c>
      <c r="U717">
        <v>47</v>
      </c>
      <c r="V717">
        <v>274</v>
      </c>
      <c r="W717">
        <v>228</v>
      </c>
      <c r="X717" t="s">
        <v>45</v>
      </c>
    </row>
    <row r="718" spans="1:34" x14ac:dyDescent="0.75">
      <c r="A718" s="22" t="s">
        <v>6051</v>
      </c>
      <c r="B718" t="s">
        <v>5849</v>
      </c>
      <c r="C718" t="s">
        <v>104</v>
      </c>
      <c r="D718" t="s">
        <v>514</v>
      </c>
      <c r="E718" t="s">
        <v>515</v>
      </c>
      <c r="F718" t="s">
        <v>5850</v>
      </c>
      <c r="G718" s="1" t="str">
        <f>HYPERLINK("https://homd.org/jbrowse/?data=homd_V11.02_phage_1.2%2FGCA_938018165.1&amp;loc=GCA_938018165.1%7CCALIIH010000002.1%3A59665..66501&amp;tracks=prokka,prokka_ncrna,ncbi,ncbi_ncrna,panggolin,cenote,genomad&amp;highlight=","Open JBrowse")</f>
        <v>Open JBrowse</v>
      </c>
      <c r="H718">
        <v>62665</v>
      </c>
      <c r="I718">
        <v>63501</v>
      </c>
      <c r="J718" t="s">
        <v>5851</v>
      </c>
      <c r="K718" t="s">
        <v>39</v>
      </c>
      <c r="L718" t="s">
        <v>518</v>
      </c>
      <c r="M718" t="s">
        <v>519</v>
      </c>
      <c r="N718" t="s">
        <v>42</v>
      </c>
      <c r="O718">
        <v>3</v>
      </c>
      <c r="P718" t="s">
        <v>42</v>
      </c>
      <c r="Q718" t="s">
        <v>43</v>
      </c>
      <c r="R718" t="s">
        <v>5852</v>
      </c>
      <c r="S718" t="s">
        <v>518</v>
      </c>
      <c r="T718" t="s">
        <v>42</v>
      </c>
      <c r="U718">
        <v>47</v>
      </c>
      <c r="V718">
        <v>274</v>
      </c>
      <c r="W718">
        <v>228</v>
      </c>
      <c r="X718" t="s">
        <v>45</v>
      </c>
      <c r="Y718" t="s">
        <v>5853</v>
      </c>
      <c r="Z718" t="s">
        <v>1257</v>
      </c>
      <c r="AA718" t="s">
        <v>5854</v>
      </c>
      <c r="AB718" t="s">
        <v>5855</v>
      </c>
      <c r="AC718" t="s">
        <v>339</v>
      </c>
      <c r="AD718" t="s">
        <v>101</v>
      </c>
      <c r="AE718">
        <v>202.4</v>
      </c>
      <c r="AF718" t="s">
        <v>102</v>
      </c>
    </row>
    <row r="719" spans="1:34" x14ac:dyDescent="0.75">
      <c r="A719" s="22" t="s">
        <v>6051</v>
      </c>
      <c r="B719" t="s">
        <v>1020</v>
      </c>
      <c r="C719" t="s">
        <v>104</v>
      </c>
      <c r="D719" t="s">
        <v>1021</v>
      </c>
      <c r="E719" t="s">
        <v>1022</v>
      </c>
      <c r="F719" t="s">
        <v>1023</v>
      </c>
      <c r="G719" s="1" t="str">
        <f>HYPERLINK("https://homd.org/jbrowse/?data=homd_V11.02_phage_1.2%2FGCA_000429245.1&amp;loc=GCA_000429245.1%7CKE386870.1%3A294133..301512&amp;tracks=prokka,prokka_ncrna,ncbi,ncbi_ncrna,panggolin,cenote,genomad&amp;highlight=","Open JBrowse")</f>
        <v>Open JBrowse</v>
      </c>
      <c r="H719">
        <v>297133</v>
      </c>
      <c r="I719">
        <v>298512</v>
      </c>
      <c r="J719" t="s">
        <v>1024</v>
      </c>
      <c r="K719" t="s">
        <v>375</v>
      </c>
      <c r="L719" t="s">
        <v>1025</v>
      </c>
      <c r="M719" t="s">
        <v>1026</v>
      </c>
      <c r="N719" t="s">
        <v>42</v>
      </c>
      <c r="O719">
        <v>3</v>
      </c>
      <c r="P719" t="s">
        <v>42</v>
      </c>
      <c r="Q719" t="s">
        <v>101</v>
      </c>
      <c r="R719" t="s">
        <v>1027</v>
      </c>
      <c r="S719" t="s">
        <v>1025</v>
      </c>
      <c r="T719" t="s">
        <v>42</v>
      </c>
      <c r="U719">
        <v>48</v>
      </c>
      <c r="V719">
        <v>301</v>
      </c>
      <c r="W719">
        <v>254</v>
      </c>
      <c r="X719" t="s">
        <v>379</v>
      </c>
    </row>
    <row r="720" spans="1:34" x14ac:dyDescent="0.75">
      <c r="A720" s="22" t="s">
        <v>6051</v>
      </c>
      <c r="B720" t="s">
        <v>2199</v>
      </c>
      <c r="C720" t="s">
        <v>104</v>
      </c>
      <c r="D720" t="s">
        <v>2200</v>
      </c>
      <c r="E720" t="s">
        <v>2201</v>
      </c>
      <c r="F720" t="s">
        <v>2202</v>
      </c>
      <c r="G720" s="1" t="str">
        <f>HYPERLINK("https://homd.org/jbrowse/?data=homd_V11.02_phage_1.2%2FGCA_003639045.1&amp;loc=GCA_003639045.1%7CRBJH01000131.1%3A1..5119&amp;tracks=prokka,prokka_ncrna,ncbi,ncbi_ncrna,panggolin,cenote,genomad&amp;highlight=","Open JBrowse")</f>
        <v>Open JBrowse</v>
      </c>
      <c r="H720">
        <v>758</v>
      </c>
      <c r="I720">
        <v>2119</v>
      </c>
      <c r="J720" t="s">
        <v>2203</v>
      </c>
      <c r="K720" t="s">
        <v>375</v>
      </c>
      <c r="L720" t="s">
        <v>1025</v>
      </c>
      <c r="M720" t="s">
        <v>1026</v>
      </c>
      <c r="N720" t="s">
        <v>42</v>
      </c>
      <c r="O720">
        <v>3</v>
      </c>
      <c r="P720" t="s">
        <v>42</v>
      </c>
      <c r="Q720" t="s">
        <v>101</v>
      </c>
      <c r="R720" t="s">
        <v>2204</v>
      </c>
      <c r="S720" t="s">
        <v>1025</v>
      </c>
      <c r="T720" t="s">
        <v>42</v>
      </c>
      <c r="U720">
        <v>48</v>
      </c>
      <c r="V720">
        <v>301</v>
      </c>
      <c r="W720">
        <v>254</v>
      </c>
      <c r="X720" t="s">
        <v>379</v>
      </c>
    </row>
    <row r="721" spans="1:32" x14ac:dyDescent="0.75">
      <c r="A721" s="22" t="s">
        <v>6051</v>
      </c>
      <c r="B721" t="s">
        <v>2758</v>
      </c>
      <c r="C721" t="s">
        <v>104</v>
      </c>
      <c r="D721" t="s">
        <v>514</v>
      </c>
      <c r="E721" t="s">
        <v>515</v>
      </c>
      <c r="F721" t="s">
        <v>2759</v>
      </c>
      <c r="G721" s="1" t="str">
        <f>HYPERLINK("https://homd.org/jbrowse/?data=homd_V11.02_phage_1.2%2FGCA_013333705.2&amp;loc=GCA_013333705.2%7CJABCOI020000012.1%3A1025..7864&amp;tracks=prokka,prokka_ncrna,ncbi,ncbi_ncrna,panggolin,cenote,genomad&amp;highlight=","Open JBrowse")</f>
        <v>Open JBrowse</v>
      </c>
      <c r="H721">
        <v>4025</v>
      </c>
      <c r="I721">
        <v>4864</v>
      </c>
      <c r="J721" t="s">
        <v>2760</v>
      </c>
      <c r="K721" t="s">
        <v>39</v>
      </c>
      <c r="L721" t="s">
        <v>2761</v>
      </c>
      <c r="M721" t="s">
        <v>2762</v>
      </c>
      <c r="N721" t="s">
        <v>42</v>
      </c>
      <c r="O721">
        <v>3</v>
      </c>
      <c r="P721" t="s">
        <v>42</v>
      </c>
      <c r="Q721" t="s">
        <v>43</v>
      </c>
      <c r="R721" t="s">
        <v>2763</v>
      </c>
      <c r="S721" t="s">
        <v>2761</v>
      </c>
      <c r="T721" t="s">
        <v>42</v>
      </c>
      <c r="U721">
        <v>48</v>
      </c>
      <c r="V721">
        <v>275</v>
      </c>
      <c r="W721">
        <v>228</v>
      </c>
      <c r="X721" t="s">
        <v>45</v>
      </c>
      <c r="Y721" t="s">
        <v>2764</v>
      </c>
      <c r="Z721" t="s">
        <v>1257</v>
      </c>
      <c r="AA721" t="s">
        <v>2765</v>
      </c>
    </row>
    <row r="722" spans="1:32" x14ac:dyDescent="0.75">
      <c r="A722" s="22" t="s">
        <v>6051</v>
      </c>
      <c r="B722" t="s">
        <v>5006</v>
      </c>
      <c r="C722" t="s">
        <v>104</v>
      </c>
      <c r="D722" t="s">
        <v>2200</v>
      </c>
      <c r="E722" t="s">
        <v>2201</v>
      </c>
      <c r="F722" t="s">
        <v>5007</v>
      </c>
      <c r="G722" s="1" t="str">
        <f>HYPERLINK("https://homd.org/jbrowse/?data=homd_V11.02_phage_1.2%2FGCA_030644345.1&amp;loc=GCA_030644345.1%7CCP130059.1%3A851506..858867&amp;tracks=prokka,prokka_ncrna,ncbi,ncbi_ncrna,panggolin,cenote,genomad&amp;highlight=","Open JBrowse")</f>
        <v>Open JBrowse</v>
      </c>
      <c r="H722">
        <v>854506</v>
      </c>
      <c r="I722">
        <v>855867</v>
      </c>
      <c r="J722" t="s">
        <v>5008</v>
      </c>
      <c r="K722" t="s">
        <v>375</v>
      </c>
      <c r="L722" t="s">
        <v>1025</v>
      </c>
      <c r="M722" t="s">
        <v>1026</v>
      </c>
      <c r="N722" t="s">
        <v>42</v>
      </c>
      <c r="O722">
        <v>3</v>
      </c>
      <c r="P722" t="s">
        <v>42</v>
      </c>
      <c r="Q722" t="s">
        <v>101</v>
      </c>
      <c r="R722" t="s">
        <v>5009</v>
      </c>
      <c r="S722" t="s">
        <v>1025</v>
      </c>
      <c r="T722" t="s">
        <v>42</v>
      </c>
      <c r="U722">
        <v>48</v>
      </c>
      <c r="V722">
        <v>301</v>
      </c>
      <c r="W722">
        <v>254</v>
      </c>
      <c r="X722" t="s">
        <v>379</v>
      </c>
    </row>
    <row r="723" spans="1:32" x14ac:dyDescent="0.75">
      <c r="A723" s="22" t="s">
        <v>6051</v>
      </c>
      <c r="B723" t="s">
        <v>5488</v>
      </c>
      <c r="C723" t="s">
        <v>104</v>
      </c>
      <c r="D723" t="s">
        <v>2200</v>
      </c>
      <c r="E723" t="s">
        <v>2201</v>
      </c>
      <c r="F723" t="s">
        <v>5489</v>
      </c>
      <c r="G723" s="1" t="str">
        <f>HYPERLINK("https://homd.org/jbrowse/?data=homd_V11.02_phage_1.2%2FGCA_905373025.1&amp;loc=GCA_905373025.1%7CCAJPRI010000033.1%3A10943..18304&amp;tracks=prokka,prokka_ncrna,ncbi,ncbi_ncrna,panggolin,cenote,genomad&amp;highlight=","Open JBrowse")</f>
        <v>Open JBrowse</v>
      </c>
      <c r="H723">
        <v>13943</v>
      </c>
      <c r="I723">
        <v>15304</v>
      </c>
      <c r="J723" t="s">
        <v>5490</v>
      </c>
      <c r="K723" t="s">
        <v>375</v>
      </c>
      <c r="L723" t="s">
        <v>1025</v>
      </c>
      <c r="M723" t="s">
        <v>1026</v>
      </c>
      <c r="N723" t="s">
        <v>42</v>
      </c>
      <c r="O723">
        <v>3</v>
      </c>
      <c r="P723" t="s">
        <v>42</v>
      </c>
      <c r="Q723" t="s">
        <v>101</v>
      </c>
      <c r="R723" t="s">
        <v>5491</v>
      </c>
      <c r="S723" t="s">
        <v>1025</v>
      </c>
      <c r="T723" t="s">
        <v>42</v>
      </c>
      <c r="U723">
        <v>48</v>
      </c>
      <c r="V723">
        <v>301</v>
      </c>
      <c r="W723">
        <v>254</v>
      </c>
      <c r="X723" t="s">
        <v>379</v>
      </c>
    </row>
    <row r="724" spans="1:32" x14ac:dyDescent="0.75">
      <c r="A724" s="22" t="s">
        <v>6051</v>
      </c>
      <c r="B724" t="s">
        <v>5755</v>
      </c>
      <c r="C724" t="s">
        <v>104</v>
      </c>
      <c r="D724" t="s">
        <v>2200</v>
      </c>
      <c r="E724" t="s">
        <v>2201</v>
      </c>
      <c r="F724" t="s">
        <v>5756</v>
      </c>
      <c r="G724" s="1" t="str">
        <f>HYPERLINK("https://homd.org/jbrowse/?data=homd_V11.02_phage_1.2%2FGCA_937922695.1&amp;loc=GCA_937922695.1%7CCALAIK010000104.1%3A1..5120&amp;tracks=prokka,prokka_ncrna,ncbi,ncbi_ncrna,panggolin,cenote,genomad&amp;highlight=","Open JBrowse")</f>
        <v>Open JBrowse</v>
      </c>
      <c r="H724">
        <v>759</v>
      </c>
      <c r="I724">
        <v>2120</v>
      </c>
      <c r="J724" t="s">
        <v>5757</v>
      </c>
      <c r="K724" t="s">
        <v>375</v>
      </c>
      <c r="L724" t="s">
        <v>1025</v>
      </c>
      <c r="M724" t="s">
        <v>1026</v>
      </c>
      <c r="N724" t="s">
        <v>42</v>
      </c>
      <c r="O724">
        <v>3</v>
      </c>
      <c r="P724" t="s">
        <v>42</v>
      </c>
      <c r="Q724" t="s">
        <v>101</v>
      </c>
      <c r="R724" t="s">
        <v>5758</v>
      </c>
      <c r="S724" t="s">
        <v>1025</v>
      </c>
      <c r="T724" t="s">
        <v>42</v>
      </c>
      <c r="U724">
        <v>48</v>
      </c>
      <c r="V724">
        <v>301</v>
      </c>
      <c r="W724">
        <v>254</v>
      </c>
      <c r="X724" t="s">
        <v>379</v>
      </c>
    </row>
    <row r="725" spans="1:32" x14ac:dyDescent="0.75">
      <c r="A725" s="22" t="s">
        <v>6051</v>
      </c>
      <c r="B725" t="s">
        <v>5728</v>
      </c>
      <c r="C725" t="s">
        <v>104</v>
      </c>
      <c r="D725" t="s">
        <v>349</v>
      </c>
      <c r="E725" t="s">
        <v>350</v>
      </c>
      <c r="F725" t="s">
        <v>5729</v>
      </c>
      <c r="G725" s="1" t="str">
        <f>HYPERLINK("https://homd.org/jbrowse/?data=homd_V11.02_phage_1.2%2FGCA_937891745.1&amp;loc=GCA_937891745.1%7CCALAHR010000016.1%3A33959..40816&amp;tracks=prokka,prokka_ncrna,ncbi,ncbi_ncrna,panggolin,cenote,genomad&amp;highlight=","Open JBrowse")</f>
        <v>Open JBrowse</v>
      </c>
      <c r="H725">
        <v>36959</v>
      </c>
      <c r="I725">
        <v>37816</v>
      </c>
      <c r="J725" t="s">
        <v>5730</v>
      </c>
      <c r="K725" t="s">
        <v>39</v>
      </c>
      <c r="L725" t="s">
        <v>5731</v>
      </c>
      <c r="M725" t="s">
        <v>5732</v>
      </c>
      <c r="N725" t="s">
        <v>42</v>
      </c>
      <c r="O725">
        <v>3</v>
      </c>
      <c r="P725" t="s">
        <v>42</v>
      </c>
      <c r="Q725" t="s">
        <v>43</v>
      </c>
      <c r="R725" t="s">
        <v>5733</v>
      </c>
      <c r="S725" t="s">
        <v>5731</v>
      </c>
      <c r="T725" t="s">
        <v>42</v>
      </c>
      <c r="U725">
        <v>50</v>
      </c>
      <c r="V725">
        <v>283</v>
      </c>
      <c r="W725">
        <v>234</v>
      </c>
      <c r="X725" t="s">
        <v>45</v>
      </c>
      <c r="Y725" t="s">
        <v>5734</v>
      </c>
      <c r="Z725" t="s">
        <v>1257</v>
      </c>
      <c r="AA725" t="s">
        <v>5735</v>
      </c>
    </row>
    <row r="726" spans="1:32" x14ac:dyDescent="0.75">
      <c r="A726" s="22" t="s">
        <v>6051</v>
      </c>
      <c r="B726" t="s">
        <v>947</v>
      </c>
      <c r="C726" t="s">
        <v>104</v>
      </c>
      <c r="D726" t="s">
        <v>948</v>
      </c>
      <c r="E726" t="s">
        <v>949</v>
      </c>
      <c r="F726" t="s">
        <v>950</v>
      </c>
      <c r="G726" s="1" t="str">
        <f>HYPERLINK("https://homd.org/jbrowse/?data=homd_V11.02_phage_1.2%2FGCA_000426585.1&amp;loc=GCA_000426585.1%7CAUFQ01000005.1%3A151164..158027&amp;tracks=prokka,prokka_ncrna,ncbi,ncbi_ncrna,panggolin,cenote,genomad&amp;highlight=","Open JBrowse")</f>
        <v>Open JBrowse</v>
      </c>
      <c r="H726">
        <v>154164</v>
      </c>
      <c r="I726">
        <v>155027</v>
      </c>
      <c r="J726" t="s">
        <v>951</v>
      </c>
      <c r="K726" t="s">
        <v>59</v>
      </c>
      <c r="L726" t="s">
        <v>952</v>
      </c>
      <c r="M726" t="s">
        <v>953</v>
      </c>
      <c r="N726" t="s">
        <v>42</v>
      </c>
      <c r="O726">
        <v>3</v>
      </c>
      <c r="P726" t="s">
        <v>42</v>
      </c>
      <c r="Q726" t="s">
        <v>59</v>
      </c>
      <c r="R726" t="s">
        <v>954</v>
      </c>
      <c r="S726" t="s">
        <v>952</v>
      </c>
      <c r="T726" t="s">
        <v>42</v>
      </c>
      <c r="U726">
        <v>51</v>
      </c>
      <c r="V726">
        <v>284</v>
      </c>
      <c r="W726">
        <v>234</v>
      </c>
      <c r="X726" t="s">
        <v>63</v>
      </c>
      <c r="Y726" t="s">
        <v>955</v>
      </c>
      <c r="Z726" t="s">
        <v>381</v>
      </c>
      <c r="AA726" t="s">
        <v>956</v>
      </c>
      <c r="AB726" t="s">
        <v>957</v>
      </c>
      <c r="AC726" t="s">
        <v>589</v>
      </c>
      <c r="AD726" t="s">
        <v>101</v>
      </c>
      <c r="AE726">
        <v>583</v>
      </c>
      <c r="AF726" t="s">
        <v>386</v>
      </c>
    </row>
    <row r="727" spans="1:32" x14ac:dyDescent="0.75">
      <c r="A727" s="22" t="s">
        <v>6051</v>
      </c>
      <c r="B727" t="s">
        <v>1059</v>
      </c>
      <c r="C727" t="s">
        <v>104</v>
      </c>
      <c r="D727" t="s">
        <v>948</v>
      </c>
      <c r="E727" t="s">
        <v>949</v>
      </c>
      <c r="F727" t="s">
        <v>1060</v>
      </c>
      <c r="G727" s="1" t="str">
        <f>HYPERLINK("https://homd.org/jbrowse/?data=homd_V11.02_phage_1.2%2FGCA_000468635.1&amp;loc=GCA_000468635.1%7CAWEY01000008.1%3A92735..99598&amp;tracks=prokka,prokka_ncrna,ncbi,ncbi_ncrna,panggolin,cenote,genomad&amp;highlight=","Open JBrowse")</f>
        <v>Open JBrowse</v>
      </c>
      <c r="H727">
        <v>95735</v>
      </c>
      <c r="I727">
        <v>96598</v>
      </c>
      <c r="J727" t="s">
        <v>1063</v>
      </c>
      <c r="K727" t="s">
        <v>59</v>
      </c>
      <c r="L727" t="s">
        <v>952</v>
      </c>
      <c r="M727" t="s">
        <v>953</v>
      </c>
      <c r="N727" t="s">
        <v>42</v>
      </c>
      <c r="O727">
        <v>3</v>
      </c>
      <c r="P727" t="s">
        <v>42</v>
      </c>
      <c r="Q727" t="s">
        <v>59</v>
      </c>
      <c r="R727" t="s">
        <v>1062</v>
      </c>
      <c r="S727" t="s">
        <v>952</v>
      </c>
      <c r="T727" t="s">
        <v>42</v>
      </c>
      <c r="U727">
        <v>51</v>
      </c>
      <c r="V727">
        <v>284</v>
      </c>
      <c r="W727">
        <v>234</v>
      </c>
      <c r="X727" t="s">
        <v>63</v>
      </c>
      <c r="Y727" t="s">
        <v>1064</v>
      </c>
      <c r="Z727" t="s">
        <v>132</v>
      </c>
      <c r="AA727" t="s">
        <v>1065</v>
      </c>
      <c r="AB727" t="s">
        <v>1066</v>
      </c>
      <c r="AC727" t="s">
        <v>589</v>
      </c>
      <c r="AD727" t="s">
        <v>101</v>
      </c>
      <c r="AE727">
        <v>581</v>
      </c>
      <c r="AF727" t="s">
        <v>102</v>
      </c>
    </row>
    <row r="728" spans="1:32" x14ac:dyDescent="0.75">
      <c r="A728" s="22" t="s">
        <v>6051</v>
      </c>
      <c r="B728" t="s">
        <v>1240</v>
      </c>
      <c r="C728" t="s">
        <v>104</v>
      </c>
      <c r="D728" t="s">
        <v>948</v>
      </c>
      <c r="E728" t="s">
        <v>949</v>
      </c>
      <c r="F728" t="s">
        <v>1241</v>
      </c>
      <c r="G728" s="1" t="str">
        <f>HYPERLINK("https://homd.org/jbrowse/?data=homd_V11.02_phage_1.2%2FGCA_000613565.1&amp;loc=GCA_000613565.1%7CBAJF01000020.1%3A41011..47874&amp;tracks=prokka,prokka_ncrna,ncbi,ncbi_ncrna,panggolin,cenote,genomad&amp;highlight=","Open JBrowse")</f>
        <v>Open JBrowse</v>
      </c>
      <c r="H728">
        <v>44011</v>
      </c>
      <c r="I728">
        <v>44874</v>
      </c>
      <c r="J728" t="s">
        <v>1242</v>
      </c>
      <c r="K728" t="s">
        <v>59</v>
      </c>
      <c r="L728" t="s">
        <v>952</v>
      </c>
      <c r="M728" t="s">
        <v>953</v>
      </c>
      <c r="N728" t="s">
        <v>42</v>
      </c>
      <c r="O728">
        <v>3</v>
      </c>
      <c r="P728" t="s">
        <v>42</v>
      </c>
      <c r="Q728" t="s">
        <v>59</v>
      </c>
      <c r="R728" t="s">
        <v>1243</v>
      </c>
      <c r="S728" t="s">
        <v>952</v>
      </c>
      <c r="T728" t="s">
        <v>42</v>
      </c>
      <c r="U728">
        <v>51</v>
      </c>
      <c r="V728">
        <v>284</v>
      </c>
      <c r="W728">
        <v>234</v>
      </c>
      <c r="X728" t="s">
        <v>63</v>
      </c>
      <c r="Y728" t="s">
        <v>1244</v>
      </c>
      <c r="Z728" t="s">
        <v>667</v>
      </c>
      <c r="AA728" t="s">
        <v>1245</v>
      </c>
      <c r="AB728" t="s">
        <v>1246</v>
      </c>
      <c r="AC728" t="s">
        <v>589</v>
      </c>
      <c r="AD728" t="s">
        <v>101</v>
      </c>
      <c r="AE728">
        <v>583</v>
      </c>
      <c r="AF728" t="s">
        <v>386</v>
      </c>
    </row>
    <row r="729" spans="1:32" x14ac:dyDescent="0.75">
      <c r="A729" s="22" t="s">
        <v>6051</v>
      </c>
      <c r="B729" t="s">
        <v>1533</v>
      </c>
      <c r="C729" t="s">
        <v>104</v>
      </c>
      <c r="D729" t="s">
        <v>1534</v>
      </c>
      <c r="E729" t="s">
        <v>1535</v>
      </c>
      <c r="F729" t="s">
        <v>1536</v>
      </c>
      <c r="G729" s="1" t="str">
        <f>HYPERLINK("https://homd.org/jbrowse/?data=homd_V11.02_phage_1.2%2FGCA_001553545.1&amp;loc=GCA_001553545.1%7CCP014227.1%3A2595972..2602931&amp;tracks=prokka,prokka_ncrna,ncbi,ncbi_ncrna,panggolin,cenote,genomad&amp;highlight=","Open JBrowse")</f>
        <v>Open JBrowse</v>
      </c>
      <c r="H729">
        <v>2598972</v>
      </c>
      <c r="I729">
        <v>2599931</v>
      </c>
      <c r="J729" t="s">
        <v>1537</v>
      </c>
      <c r="K729" t="s">
        <v>59</v>
      </c>
      <c r="L729" t="s">
        <v>1538</v>
      </c>
      <c r="M729" t="s">
        <v>1539</v>
      </c>
      <c r="N729" t="s">
        <v>398</v>
      </c>
      <c r="O729">
        <v>3</v>
      </c>
      <c r="P729" t="s">
        <v>42</v>
      </c>
      <c r="Q729" t="s">
        <v>59</v>
      </c>
      <c r="R729" t="s">
        <v>1540</v>
      </c>
      <c r="S729" t="s">
        <v>1538</v>
      </c>
      <c r="T729" t="s">
        <v>42</v>
      </c>
      <c r="U729">
        <v>51</v>
      </c>
      <c r="V729">
        <v>314</v>
      </c>
      <c r="W729">
        <v>264</v>
      </c>
      <c r="X729" t="s">
        <v>1541</v>
      </c>
      <c r="Y729" t="s">
        <v>1542</v>
      </c>
      <c r="Z729" t="s">
        <v>193</v>
      </c>
      <c r="AA729" t="s">
        <v>1543</v>
      </c>
    </row>
    <row r="730" spans="1:32" x14ac:dyDescent="0.75">
      <c r="A730" s="22" t="s">
        <v>6051</v>
      </c>
      <c r="B730" t="s">
        <v>2047</v>
      </c>
      <c r="C730" t="s">
        <v>104</v>
      </c>
      <c r="D730" t="s">
        <v>2048</v>
      </c>
      <c r="E730" t="s">
        <v>2049</v>
      </c>
      <c r="F730" t="s">
        <v>2050</v>
      </c>
      <c r="G730" s="1" t="str">
        <f>HYPERLINK("https://homd.org/jbrowse/?data=homd_V11.02_phage_1.2%2FGCA_003043925.1&amp;loc=GCA_003043925.1%7CPYXD01000001.1%3A602474..609337&amp;tracks=prokka,prokka_ncrna,ncbi,ncbi_ncrna,panggolin,cenote,genomad&amp;highlight=","Open JBrowse")</f>
        <v>Open JBrowse</v>
      </c>
      <c r="H730">
        <v>605474</v>
      </c>
      <c r="I730">
        <v>606337</v>
      </c>
      <c r="J730" t="s">
        <v>2051</v>
      </c>
      <c r="K730" t="s">
        <v>59</v>
      </c>
      <c r="L730" t="s">
        <v>952</v>
      </c>
      <c r="M730" t="s">
        <v>953</v>
      </c>
      <c r="N730" t="s">
        <v>42</v>
      </c>
      <c r="O730">
        <v>3</v>
      </c>
      <c r="P730" t="s">
        <v>42</v>
      </c>
      <c r="Q730" t="s">
        <v>59</v>
      </c>
      <c r="R730" t="s">
        <v>2052</v>
      </c>
      <c r="S730" t="s">
        <v>952</v>
      </c>
      <c r="T730" t="s">
        <v>42</v>
      </c>
      <c r="U730">
        <v>51</v>
      </c>
      <c r="V730">
        <v>284</v>
      </c>
      <c r="W730">
        <v>234</v>
      </c>
      <c r="X730" t="s">
        <v>63</v>
      </c>
      <c r="Y730" t="s">
        <v>2053</v>
      </c>
      <c r="Z730" t="s">
        <v>1463</v>
      </c>
      <c r="AA730" t="s">
        <v>2054</v>
      </c>
      <c r="AB730" t="s">
        <v>2055</v>
      </c>
      <c r="AC730" t="s">
        <v>589</v>
      </c>
      <c r="AD730" t="s">
        <v>101</v>
      </c>
      <c r="AE730">
        <v>591</v>
      </c>
      <c r="AF730" t="s">
        <v>386</v>
      </c>
    </row>
    <row r="731" spans="1:32" x14ac:dyDescent="0.75">
      <c r="A731" s="22" t="s">
        <v>6051</v>
      </c>
      <c r="B731" t="s">
        <v>3310</v>
      </c>
      <c r="C731" t="s">
        <v>104</v>
      </c>
      <c r="D731" t="s">
        <v>2048</v>
      </c>
      <c r="E731" t="s">
        <v>2049</v>
      </c>
      <c r="F731" t="s">
        <v>3311</v>
      </c>
      <c r="G731" s="1" t="str">
        <f>HYPERLINK("https://homd.org/jbrowse/?data=homd_V11.02_phage_1.2%2FGCA_017426725.1&amp;loc=GCA_017426725.1%7CJAERMS010000038.1%3A8686..15549&amp;tracks=prokka,prokka_ncrna,ncbi,ncbi_ncrna,panggolin,cenote,genomad&amp;highlight=","Open JBrowse")</f>
        <v>Open JBrowse</v>
      </c>
      <c r="H731">
        <v>11686</v>
      </c>
      <c r="I731">
        <v>12549</v>
      </c>
      <c r="J731" t="s">
        <v>3312</v>
      </c>
      <c r="K731" t="s">
        <v>59</v>
      </c>
      <c r="L731" t="s">
        <v>952</v>
      </c>
      <c r="M731" t="s">
        <v>953</v>
      </c>
      <c r="N731" t="s">
        <v>42</v>
      </c>
      <c r="O731">
        <v>3</v>
      </c>
      <c r="P731" t="s">
        <v>42</v>
      </c>
      <c r="Q731" t="s">
        <v>59</v>
      </c>
      <c r="R731" t="s">
        <v>3313</v>
      </c>
      <c r="S731" t="s">
        <v>952</v>
      </c>
      <c r="T731" t="s">
        <v>42</v>
      </c>
      <c r="U731">
        <v>51</v>
      </c>
      <c r="V731">
        <v>284</v>
      </c>
      <c r="W731">
        <v>234</v>
      </c>
      <c r="X731" t="s">
        <v>63</v>
      </c>
      <c r="Y731" t="s">
        <v>3314</v>
      </c>
      <c r="Z731" t="s">
        <v>1159</v>
      </c>
      <c r="AA731" t="s">
        <v>2054</v>
      </c>
      <c r="AB731" t="s">
        <v>3315</v>
      </c>
      <c r="AC731" t="s">
        <v>589</v>
      </c>
      <c r="AD731" t="s">
        <v>101</v>
      </c>
      <c r="AE731">
        <v>591</v>
      </c>
      <c r="AF731" t="s">
        <v>386</v>
      </c>
    </row>
    <row r="732" spans="1:32" x14ac:dyDescent="0.75">
      <c r="A732" s="22" t="s">
        <v>6051</v>
      </c>
      <c r="B732" t="s">
        <v>5135</v>
      </c>
      <c r="C732" t="s">
        <v>104</v>
      </c>
      <c r="D732" t="s">
        <v>1534</v>
      </c>
      <c r="E732" t="s">
        <v>1535</v>
      </c>
      <c r="F732" t="s">
        <v>5141</v>
      </c>
      <c r="G732" s="1" t="str">
        <f>HYPERLINK("https://homd.org/jbrowse/?data=homd_V11.02_phage_1.2%2FGCA_900115315.1&amp;loc=GCA_900115315.1%7CFOVX01000011.1%3A36886..43845&amp;tracks=prokka,prokka_ncrna,ncbi,ncbi_ncrna,panggolin,cenote,genomad&amp;highlight=","Open JBrowse")</f>
        <v>Open JBrowse</v>
      </c>
      <c r="H732">
        <v>39886</v>
      </c>
      <c r="I732">
        <v>40845</v>
      </c>
      <c r="J732" t="s">
        <v>5142</v>
      </c>
      <c r="K732" t="s">
        <v>59</v>
      </c>
      <c r="L732" t="s">
        <v>1538</v>
      </c>
      <c r="M732" t="s">
        <v>1539</v>
      </c>
      <c r="N732" t="s">
        <v>398</v>
      </c>
      <c r="O732">
        <v>3</v>
      </c>
      <c r="P732" t="s">
        <v>42</v>
      </c>
      <c r="Q732" t="s">
        <v>59</v>
      </c>
      <c r="R732" t="s">
        <v>5138</v>
      </c>
      <c r="S732" t="s">
        <v>1538</v>
      </c>
      <c r="T732" t="s">
        <v>42</v>
      </c>
      <c r="U732">
        <v>51</v>
      </c>
      <c r="V732">
        <v>314</v>
      </c>
      <c r="W732">
        <v>264</v>
      </c>
      <c r="X732" t="s">
        <v>1541</v>
      </c>
      <c r="Y732" t="s">
        <v>5143</v>
      </c>
      <c r="Z732" t="s">
        <v>470</v>
      </c>
      <c r="AA732" t="s">
        <v>5144</v>
      </c>
    </row>
    <row r="733" spans="1:32" x14ac:dyDescent="0.75">
      <c r="A733" s="22" t="s">
        <v>6051</v>
      </c>
      <c r="B733" t="s">
        <v>5154</v>
      </c>
      <c r="C733" t="s">
        <v>104</v>
      </c>
      <c r="D733" t="s">
        <v>1534</v>
      </c>
      <c r="E733" t="s">
        <v>1535</v>
      </c>
      <c r="F733" t="s">
        <v>5155</v>
      </c>
      <c r="G733" s="1" t="str">
        <f>HYPERLINK("https://homd.org/jbrowse/?data=homd_V11.02_phage_1.2%2FGCA_900187255.1&amp;loc=GCA_900187255.1%7CLT906449.1%3A1949890..1956849&amp;tracks=prokka,prokka_ncrna,ncbi,ncbi_ncrna,panggolin,cenote,genomad&amp;highlight=","Open JBrowse")</f>
        <v>Open JBrowse</v>
      </c>
      <c r="H733">
        <v>1952890</v>
      </c>
      <c r="I733">
        <v>1953849</v>
      </c>
      <c r="J733" t="s">
        <v>5156</v>
      </c>
      <c r="K733" t="s">
        <v>59</v>
      </c>
      <c r="L733" t="s">
        <v>1538</v>
      </c>
      <c r="M733" t="s">
        <v>1539</v>
      </c>
      <c r="N733" t="s">
        <v>398</v>
      </c>
      <c r="O733">
        <v>3</v>
      </c>
      <c r="P733" t="s">
        <v>42</v>
      </c>
      <c r="Q733" t="s">
        <v>59</v>
      </c>
      <c r="R733" t="s">
        <v>5157</v>
      </c>
      <c r="S733" t="s">
        <v>1538</v>
      </c>
      <c r="T733" t="s">
        <v>42</v>
      </c>
      <c r="U733">
        <v>51</v>
      </c>
      <c r="V733">
        <v>314</v>
      </c>
      <c r="W733">
        <v>264</v>
      </c>
      <c r="X733" t="s">
        <v>1541</v>
      </c>
      <c r="Y733" t="s">
        <v>5158</v>
      </c>
      <c r="Z733" t="s">
        <v>416</v>
      </c>
      <c r="AA733" t="s">
        <v>5144</v>
      </c>
    </row>
    <row r="734" spans="1:32" x14ac:dyDescent="0.75">
      <c r="A734" s="22" t="s">
        <v>6051</v>
      </c>
      <c r="B734" t="s">
        <v>609</v>
      </c>
      <c r="C734" t="s">
        <v>104</v>
      </c>
      <c r="D734" t="s">
        <v>610</v>
      </c>
      <c r="E734" t="s">
        <v>611</v>
      </c>
      <c r="F734" t="s">
        <v>612</v>
      </c>
      <c r="G734" s="1" t="str">
        <f>HYPERLINK("https://homd.org/jbrowse/?data=homd_V11.02_phage_1.2%2FGCA_000239695.1&amp;loc=GCA_000239695.1%7CJH470339.1%3A218325..225269&amp;tracks=prokka,prokka_ncrna,ncbi,ncbi_ncrna,panggolin,cenote,genomad&amp;highlight=","Open JBrowse")</f>
        <v>Open JBrowse</v>
      </c>
      <c r="H734">
        <v>221325</v>
      </c>
      <c r="I734">
        <v>222269</v>
      </c>
      <c r="J734" t="s">
        <v>613</v>
      </c>
      <c r="K734" t="s">
        <v>614</v>
      </c>
      <c r="L734" t="s">
        <v>615</v>
      </c>
      <c r="M734" t="s">
        <v>616</v>
      </c>
      <c r="N734" t="s">
        <v>59</v>
      </c>
      <c r="O734">
        <v>2</v>
      </c>
      <c r="P734" t="s">
        <v>42</v>
      </c>
      <c r="Q734" t="s">
        <v>101</v>
      </c>
      <c r="R734" t="s">
        <v>617</v>
      </c>
      <c r="S734" t="s">
        <v>615</v>
      </c>
      <c r="T734" t="s">
        <v>42</v>
      </c>
      <c r="U734">
        <v>52</v>
      </c>
      <c r="V734">
        <v>311</v>
      </c>
      <c r="W734">
        <v>260</v>
      </c>
      <c r="X734" t="s">
        <v>618</v>
      </c>
      <c r="Y734" t="s">
        <v>619</v>
      </c>
      <c r="Z734" t="s">
        <v>620</v>
      </c>
      <c r="AA734" t="s">
        <v>621</v>
      </c>
    </row>
    <row r="735" spans="1:32" x14ac:dyDescent="0.75">
      <c r="A735" s="22" t="s">
        <v>6051</v>
      </c>
      <c r="B735" t="s">
        <v>1044</v>
      </c>
      <c r="C735" t="s">
        <v>104</v>
      </c>
      <c r="D735" t="s">
        <v>610</v>
      </c>
      <c r="E735" t="s">
        <v>611</v>
      </c>
      <c r="F735" t="s">
        <v>1045</v>
      </c>
      <c r="G735" s="1" t="str">
        <f>HYPERLINK("https://homd.org/jbrowse/?data=homd_V11.02_phage_1.2%2FGCA_000466185.1&amp;loc=GCA_000466185.1%7CKE951502.1%3A211223..218167&amp;tracks=prokka,prokka_ncrna,ncbi,ncbi_ncrna,panggolin,cenote,genomad&amp;highlight=","Open JBrowse")</f>
        <v>Open JBrowse</v>
      </c>
      <c r="H735">
        <v>214223</v>
      </c>
      <c r="I735">
        <v>215167</v>
      </c>
      <c r="J735" t="s">
        <v>1046</v>
      </c>
      <c r="K735" t="s">
        <v>614</v>
      </c>
      <c r="L735" t="s">
        <v>615</v>
      </c>
      <c r="M735" t="s">
        <v>616</v>
      </c>
      <c r="N735" t="s">
        <v>59</v>
      </c>
      <c r="O735">
        <v>2</v>
      </c>
      <c r="P735" t="s">
        <v>42</v>
      </c>
      <c r="Q735" t="s">
        <v>101</v>
      </c>
      <c r="R735" t="s">
        <v>1047</v>
      </c>
      <c r="S735" t="s">
        <v>615</v>
      </c>
      <c r="T735" t="s">
        <v>42</v>
      </c>
      <c r="U735">
        <v>52</v>
      </c>
      <c r="V735">
        <v>311</v>
      </c>
      <c r="W735">
        <v>260</v>
      </c>
      <c r="X735" t="s">
        <v>618</v>
      </c>
      <c r="Y735" t="s">
        <v>1048</v>
      </c>
      <c r="Z735" t="s">
        <v>346</v>
      </c>
      <c r="AA735" t="s">
        <v>1049</v>
      </c>
      <c r="AB735" t="s">
        <v>1050</v>
      </c>
      <c r="AC735" t="s">
        <v>1051</v>
      </c>
      <c r="AD735" t="s">
        <v>1052</v>
      </c>
      <c r="AE735">
        <v>1546</v>
      </c>
      <c r="AF735" t="s">
        <v>102</v>
      </c>
    </row>
    <row r="736" spans="1:32" x14ac:dyDescent="0.75">
      <c r="A736" s="22" t="s">
        <v>6051</v>
      </c>
      <c r="B736" t="s">
        <v>1899</v>
      </c>
      <c r="C736" t="s">
        <v>104</v>
      </c>
      <c r="D736" t="s">
        <v>610</v>
      </c>
      <c r="E736" t="s">
        <v>611</v>
      </c>
      <c r="F736" t="s">
        <v>1900</v>
      </c>
      <c r="G736" s="1" t="str">
        <f>HYPERLINK("https://homd.org/jbrowse/?data=homd_V11.02_phage_1.2%2FGCA_002871975.1&amp;loc=GCA_002871975.1%7CPNHV01000005.1%3A55682..62626&amp;tracks=prokka,prokka_ncrna,ncbi,ncbi_ncrna,panggolin,cenote,genomad&amp;highlight=","Open JBrowse")</f>
        <v>Open JBrowse</v>
      </c>
      <c r="H736">
        <v>58682</v>
      </c>
      <c r="I736">
        <v>59626</v>
      </c>
      <c r="J736" t="s">
        <v>1901</v>
      </c>
      <c r="K736" t="s">
        <v>614</v>
      </c>
      <c r="L736" t="s">
        <v>615</v>
      </c>
      <c r="M736" t="s">
        <v>616</v>
      </c>
      <c r="N736" t="s">
        <v>59</v>
      </c>
      <c r="O736">
        <v>2</v>
      </c>
      <c r="P736" t="s">
        <v>42</v>
      </c>
      <c r="Q736" t="s">
        <v>101</v>
      </c>
      <c r="R736" t="s">
        <v>1902</v>
      </c>
      <c r="S736" t="s">
        <v>615</v>
      </c>
      <c r="T736" t="s">
        <v>42</v>
      </c>
      <c r="U736">
        <v>52</v>
      </c>
      <c r="V736">
        <v>311</v>
      </c>
      <c r="W736">
        <v>260</v>
      </c>
      <c r="X736" t="s">
        <v>618</v>
      </c>
      <c r="Y736" t="s">
        <v>1903</v>
      </c>
      <c r="Z736" t="s">
        <v>281</v>
      </c>
      <c r="AA736" t="s">
        <v>1904</v>
      </c>
    </row>
    <row r="737" spans="1:32" x14ac:dyDescent="0.75">
      <c r="A737" s="22" t="s">
        <v>6051</v>
      </c>
      <c r="B737" t="s">
        <v>2958</v>
      </c>
      <c r="C737" t="s">
        <v>104</v>
      </c>
      <c r="D737" t="s">
        <v>610</v>
      </c>
      <c r="E737" t="s">
        <v>611</v>
      </c>
      <c r="F737" t="s">
        <v>2959</v>
      </c>
      <c r="G737" s="1" t="str">
        <f>HYPERLINK("https://homd.org/jbrowse/?data=homd_V11.02_phage_1.2%2FGCA_015259495.1&amp;loc=GCA_015259495.1%7CJABZGB010000026.1%3A1..4051&amp;tracks=prokka,prokka_ncrna,ncbi,ncbi_ncrna,panggolin,cenote,genomad&amp;highlight=","Open JBrowse")</f>
        <v>Open JBrowse</v>
      </c>
      <c r="H737">
        <v>107</v>
      </c>
      <c r="I737">
        <v>1051</v>
      </c>
      <c r="J737" t="s">
        <v>2960</v>
      </c>
      <c r="K737" t="s">
        <v>614</v>
      </c>
      <c r="L737" t="s">
        <v>615</v>
      </c>
      <c r="M737" t="s">
        <v>616</v>
      </c>
      <c r="N737" t="s">
        <v>59</v>
      </c>
      <c r="O737">
        <v>2</v>
      </c>
      <c r="P737" t="s">
        <v>42</v>
      </c>
      <c r="Q737" t="s">
        <v>101</v>
      </c>
      <c r="R737" t="s">
        <v>2961</v>
      </c>
      <c r="S737" t="s">
        <v>615</v>
      </c>
      <c r="T737" t="s">
        <v>42</v>
      </c>
      <c r="U737">
        <v>52</v>
      </c>
      <c r="V737">
        <v>311</v>
      </c>
      <c r="W737">
        <v>260</v>
      </c>
      <c r="X737" t="s">
        <v>618</v>
      </c>
      <c r="Y737" t="s">
        <v>2962</v>
      </c>
      <c r="Z737" t="s">
        <v>126</v>
      </c>
      <c r="AA737" t="s">
        <v>2963</v>
      </c>
    </row>
    <row r="738" spans="1:32" x14ac:dyDescent="0.75">
      <c r="A738" s="22" t="s">
        <v>6051</v>
      </c>
      <c r="B738" t="s">
        <v>3617</v>
      </c>
      <c r="C738" t="s">
        <v>104</v>
      </c>
      <c r="D738" t="s">
        <v>610</v>
      </c>
      <c r="E738" t="s">
        <v>611</v>
      </c>
      <c r="F738" t="s">
        <v>3618</v>
      </c>
      <c r="G738" s="1" t="str">
        <f>HYPERLINK("https://homd.org/jbrowse/?data=homd_V11.02_phage_1.2%2FGCA_018366775.1&amp;loc=GCA_018366775.1%7CJAGZHL010000008.1%3A54493..61437&amp;tracks=prokka,prokka_ncrna,ncbi,ncbi_ncrna,panggolin,cenote,genomad&amp;highlight=","Open JBrowse")</f>
        <v>Open JBrowse</v>
      </c>
      <c r="H738">
        <v>57493</v>
      </c>
      <c r="I738">
        <v>58437</v>
      </c>
      <c r="J738" t="s">
        <v>3619</v>
      </c>
      <c r="K738" t="s">
        <v>614</v>
      </c>
      <c r="L738" t="s">
        <v>615</v>
      </c>
      <c r="M738" t="s">
        <v>616</v>
      </c>
      <c r="N738" t="s">
        <v>59</v>
      </c>
      <c r="O738">
        <v>2</v>
      </c>
      <c r="P738" t="s">
        <v>42</v>
      </c>
      <c r="Q738" t="s">
        <v>101</v>
      </c>
      <c r="R738" t="s">
        <v>3620</v>
      </c>
      <c r="S738" t="s">
        <v>615</v>
      </c>
      <c r="T738" t="s">
        <v>42</v>
      </c>
      <c r="U738">
        <v>52</v>
      </c>
      <c r="V738">
        <v>311</v>
      </c>
      <c r="W738">
        <v>260</v>
      </c>
      <c r="X738" t="s">
        <v>618</v>
      </c>
      <c r="Y738" t="s">
        <v>3621</v>
      </c>
      <c r="Z738" t="s">
        <v>836</v>
      </c>
      <c r="AA738" t="s">
        <v>3622</v>
      </c>
    </row>
    <row r="739" spans="1:32" x14ac:dyDescent="0.75">
      <c r="A739" s="22" t="s">
        <v>6051</v>
      </c>
      <c r="B739" t="s">
        <v>3650</v>
      </c>
      <c r="C739" t="s">
        <v>104</v>
      </c>
      <c r="D739" t="s">
        <v>610</v>
      </c>
      <c r="E739" t="s">
        <v>611</v>
      </c>
      <c r="F739" t="s">
        <v>3651</v>
      </c>
      <c r="G739" s="1" t="str">
        <f>HYPERLINK("https://homd.org/jbrowse/?data=homd_V11.02_phage_1.2%2FGCA_018378275.1&amp;loc=GCA_018378275.1%7CJAGZXT010000040.1%3A4882..11826&amp;tracks=prokka,prokka_ncrna,ncbi,ncbi_ncrna,panggolin,cenote,genomad&amp;highlight=","Open JBrowse")</f>
        <v>Open JBrowse</v>
      </c>
      <c r="H739">
        <v>7882</v>
      </c>
      <c r="I739">
        <v>8826</v>
      </c>
      <c r="J739" t="s">
        <v>3652</v>
      </c>
      <c r="K739" t="s">
        <v>614</v>
      </c>
      <c r="L739" t="s">
        <v>615</v>
      </c>
      <c r="M739" t="s">
        <v>616</v>
      </c>
      <c r="N739" t="s">
        <v>59</v>
      </c>
      <c r="O739">
        <v>2</v>
      </c>
      <c r="P739" t="s">
        <v>42</v>
      </c>
      <c r="Q739" t="s">
        <v>101</v>
      </c>
      <c r="R739" t="s">
        <v>3653</v>
      </c>
      <c r="S739" t="s">
        <v>615</v>
      </c>
      <c r="T739" t="s">
        <v>42</v>
      </c>
      <c r="U739">
        <v>52</v>
      </c>
      <c r="V739">
        <v>311</v>
      </c>
      <c r="W739">
        <v>260</v>
      </c>
      <c r="X739" t="s">
        <v>618</v>
      </c>
      <c r="Y739" t="s">
        <v>3654</v>
      </c>
      <c r="Z739" t="s">
        <v>932</v>
      </c>
      <c r="AA739" t="s">
        <v>1904</v>
      </c>
    </row>
    <row r="740" spans="1:32" x14ac:dyDescent="0.75">
      <c r="A740" s="22" t="s">
        <v>6051</v>
      </c>
      <c r="B740" t="s">
        <v>5371</v>
      </c>
      <c r="C740" t="s">
        <v>104</v>
      </c>
      <c r="D740" t="s">
        <v>610</v>
      </c>
      <c r="E740" t="s">
        <v>611</v>
      </c>
      <c r="F740" t="s">
        <v>5372</v>
      </c>
      <c r="G740" s="1" t="str">
        <f>HYPERLINK("https://homd.org/jbrowse/?data=homd_V11.02_phage_1.2%2FGCA_902480825.1&amp;loc=GCA_902480825.1%7CCABSUF010000012.1%3A33255..40199&amp;tracks=prokka,prokka_ncrna,ncbi,ncbi_ncrna,panggolin,cenote,genomad&amp;highlight=","Open JBrowse")</f>
        <v>Open JBrowse</v>
      </c>
      <c r="H740">
        <v>36255</v>
      </c>
      <c r="I740">
        <v>37199</v>
      </c>
      <c r="J740" t="s">
        <v>5373</v>
      </c>
      <c r="K740" t="s">
        <v>614</v>
      </c>
      <c r="L740" t="s">
        <v>615</v>
      </c>
      <c r="M740" t="s">
        <v>616</v>
      </c>
      <c r="N740" t="s">
        <v>59</v>
      </c>
      <c r="O740">
        <v>2</v>
      </c>
      <c r="P740" t="s">
        <v>42</v>
      </c>
      <c r="Q740" t="s">
        <v>101</v>
      </c>
      <c r="R740" t="s">
        <v>5374</v>
      </c>
      <c r="S740" t="s">
        <v>615</v>
      </c>
      <c r="T740" t="s">
        <v>42</v>
      </c>
      <c r="U740">
        <v>52</v>
      </c>
      <c r="V740">
        <v>311</v>
      </c>
      <c r="W740">
        <v>260</v>
      </c>
      <c r="X740" t="s">
        <v>618</v>
      </c>
      <c r="Y740" t="s">
        <v>5375</v>
      </c>
      <c r="Z740" t="s">
        <v>2007</v>
      </c>
      <c r="AA740" t="s">
        <v>5376</v>
      </c>
    </row>
    <row r="741" spans="1:32" x14ac:dyDescent="0.75">
      <c r="A741" s="22" t="s">
        <v>6051</v>
      </c>
      <c r="B741" t="s">
        <v>5377</v>
      </c>
      <c r="C741" t="s">
        <v>104</v>
      </c>
      <c r="D741" t="s">
        <v>610</v>
      </c>
      <c r="E741" t="s">
        <v>611</v>
      </c>
      <c r="F741" t="s">
        <v>5378</v>
      </c>
      <c r="G741" s="1" t="str">
        <f>HYPERLINK("https://homd.org/jbrowse/?data=homd_V11.02_phage_1.2%2FGCA_902481625.1&amp;loc=GCA_902481625.1%7CCABSXG010000004.1%3A33264..40208&amp;tracks=prokka,prokka_ncrna,ncbi,ncbi_ncrna,panggolin,cenote,genomad&amp;highlight=","Open JBrowse")</f>
        <v>Open JBrowse</v>
      </c>
      <c r="H741">
        <v>36264</v>
      </c>
      <c r="I741">
        <v>37208</v>
      </c>
      <c r="J741" t="s">
        <v>5379</v>
      </c>
      <c r="K741" t="s">
        <v>614</v>
      </c>
      <c r="L741" t="s">
        <v>615</v>
      </c>
      <c r="M741" t="s">
        <v>616</v>
      </c>
      <c r="N741" t="s">
        <v>59</v>
      </c>
      <c r="O741">
        <v>2</v>
      </c>
      <c r="P741" t="s">
        <v>42</v>
      </c>
      <c r="Q741" t="s">
        <v>101</v>
      </c>
      <c r="R741" t="s">
        <v>5380</v>
      </c>
      <c r="S741" t="s">
        <v>615</v>
      </c>
      <c r="T741" t="s">
        <v>42</v>
      </c>
      <c r="U741">
        <v>52</v>
      </c>
      <c r="V741">
        <v>311</v>
      </c>
      <c r="W741">
        <v>260</v>
      </c>
      <c r="X741" t="s">
        <v>618</v>
      </c>
      <c r="Y741" t="s">
        <v>5381</v>
      </c>
      <c r="Z741" t="s">
        <v>1334</v>
      </c>
      <c r="AA741" t="s">
        <v>5382</v>
      </c>
    </row>
    <row r="742" spans="1:32" x14ac:dyDescent="0.75">
      <c r="A742" s="22" t="s">
        <v>6051</v>
      </c>
      <c r="B742" t="s">
        <v>5415</v>
      </c>
      <c r="C742" t="s">
        <v>104</v>
      </c>
      <c r="D742" t="s">
        <v>610</v>
      </c>
      <c r="E742" t="s">
        <v>611</v>
      </c>
      <c r="F742" t="s">
        <v>5416</v>
      </c>
      <c r="G742" s="1" t="str">
        <f>HYPERLINK("https://homd.org/jbrowse/?data=homd_V11.02_phage_1.2%2FGCA_905369945.1&amp;loc=GCA_905369945.1%7CCAJPJJ010000023.1%3A1313..8257&amp;tracks=prokka,prokka_ncrna,ncbi,ncbi_ncrna,panggolin,cenote,genomad&amp;highlight=","Open JBrowse")</f>
        <v>Open JBrowse</v>
      </c>
      <c r="H742">
        <v>4313</v>
      </c>
      <c r="I742">
        <v>5257</v>
      </c>
      <c r="J742" t="s">
        <v>5417</v>
      </c>
      <c r="K742" t="s">
        <v>614</v>
      </c>
      <c r="L742" t="s">
        <v>615</v>
      </c>
      <c r="M742" t="s">
        <v>616</v>
      </c>
      <c r="N742" t="s">
        <v>59</v>
      </c>
      <c r="O742">
        <v>2</v>
      </c>
      <c r="P742" t="s">
        <v>42</v>
      </c>
      <c r="Q742" t="s">
        <v>101</v>
      </c>
      <c r="R742" t="s">
        <v>5418</v>
      </c>
      <c r="S742" t="s">
        <v>615</v>
      </c>
      <c r="T742" t="s">
        <v>42</v>
      </c>
      <c r="U742">
        <v>52</v>
      </c>
      <c r="V742">
        <v>311</v>
      </c>
      <c r="W742">
        <v>260</v>
      </c>
      <c r="X742" t="s">
        <v>618</v>
      </c>
      <c r="Y742" t="s">
        <v>5419</v>
      </c>
      <c r="Z742" t="s">
        <v>932</v>
      </c>
      <c r="AA742" t="s">
        <v>621</v>
      </c>
    </row>
    <row r="743" spans="1:32" x14ac:dyDescent="0.75">
      <c r="A743" s="22" t="s">
        <v>6051</v>
      </c>
      <c r="B743" t="s">
        <v>5573</v>
      </c>
      <c r="C743" t="s">
        <v>104</v>
      </c>
      <c r="D743" t="s">
        <v>610</v>
      </c>
      <c r="E743" t="s">
        <v>611</v>
      </c>
      <c r="F743" t="s">
        <v>5574</v>
      </c>
      <c r="G743" s="1" t="str">
        <f>HYPERLINK("https://homd.org/jbrowse/?data=homd_V11.02_phage_1.2%2FGCA_916050455.1&amp;loc=GCA_916050455.1%7CCAJZKW010000002.1%3A55620..62564&amp;tracks=prokka,prokka_ncrna,ncbi,ncbi_ncrna,panggolin,cenote,genomad&amp;highlight=","Open JBrowse")</f>
        <v>Open JBrowse</v>
      </c>
      <c r="H743">
        <v>58620</v>
      </c>
      <c r="I743">
        <v>59564</v>
      </c>
      <c r="J743" t="s">
        <v>5575</v>
      </c>
      <c r="K743" t="s">
        <v>614</v>
      </c>
      <c r="L743" t="s">
        <v>615</v>
      </c>
      <c r="M743" t="s">
        <v>616</v>
      </c>
      <c r="N743" t="s">
        <v>59</v>
      </c>
      <c r="O743">
        <v>2</v>
      </c>
      <c r="P743" t="s">
        <v>42</v>
      </c>
      <c r="Q743" t="s">
        <v>101</v>
      </c>
      <c r="R743" t="s">
        <v>5576</v>
      </c>
      <c r="S743" t="s">
        <v>615</v>
      </c>
      <c r="T743" t="s">
        <v>42</v>
      </c>
      <c r="U743">
        <v>52</v>
      </c>
      <c r="V743">
        <v>311</v>
      </c>
      <c r="W743">
        <v>260</v>
      </c>
      <c r="X743" t="s">
        <v>618</v>
      </c>
      <c r="Y743" t="s">
        <v>5577</v>
      </c>
      <c r="Z743" t="s">
        <v>645</v>
      </c>
      <c r="AA743" t="s">
        <v>5382</v>
      </c>
    </row>
    <row r="744" spans="1:32" x14ac:dyDescent="0.75">
      <c r="A744" s="22" t="s">
        <v>6051</v>
      </c>
      <c r="B744" t="s">
        <v>5628</v>
      </c>
      <c r="C744" t="s">
        <v>104</v>
      </c>
      <c r="D744" t="s">
        <v>610</v>
      </c>
      <c r="E744" t="s">
        <v>611</v>
      </c>
      <c r="F744" t="s">
        <v>5629</v>
      </c>
      <c r="G744" s="1" t="str">
        <f>HYPERLINK("https://homd.org/jbrowse/?data=homd_V11.02_phage_1.2%2FGCA_916720025.1&amp;loc=GCA_916720025.1%7CCAKAPV010000042.1%3A9091..16035&amp;tracks=prokka,prokka_ncrna,ncbi,ncbi_ncrna,panggolin,cenote,genomad&amp;highlight=","Open JBrowse")</f>
        <v>Open JBrowse</v>
      </c>
      <c r="H744">
        <v>12091</v>
      </c>
      <c r="I744">
        <v>13035</v>
      </c>
      <c r="J744" t="s">
        <v>5630</v>
      </c>
      <c r="K744" t="s">
        <v>614</v>
      </c>
      <c r="L744" t="s">
        <v>615</v>
      </c>
      <c r="M744" t="s">
        <v>616</v>
      </c>
      <c r="N744" t="s">
        <v>59</v>
      </c>
      <c r="O744">
        <v>2</v>
      </c>
      <c r="P744" t="s">
        <v>42</v>
      </c>
      <c r="Q744" t="s">
        <v>101</v>
      </c>
      <c r="R744" t="s">
        <v>5631</v>
      </c>
      <c r="S744" t="s">
        <v>615</v>
      </c>
      <c r="T744" t="s">
        <v>42</v>
      </c>
      <c r="U744">
        <v>52</v>
      </c>
      <c r="V744">
        <v>311</v>
      </c>
      <c r="W744">
        <v>260</v>
      </c>
      <c r="X744" t="s">
        <v>618</v>
      </c>
      <c r="Y744" t="s">
        <v>5632</v>
      </c>
      <c r="Z744" t="s">
        <v>904</v>
      </c>
      <c r="AA744" t="s">
        <v>1904</v>
      </c>
    </row>
    <row r="745" spans="1:32" x14ac:dyDescent="0.75">
      <c r="A745" s="22" t="s">
        <v>6051</v>
      </c>
      <c r="B745" t="s">
        <v>5695</v>
      </c>
      <c r="C745" t="s">
        <v>104</v>
      </c>
      <c r="D745" t="s">
        <v>610</v>
      </c>
      <c r="E745" t="s">
        <v>611</v>
      </c>
      <c r="F745" t="s">
        <v>5696</v>
      </c>
      <c r="G745" s="1" t="str">
        <f>HYPERLINK("https://homd.org/jbrowse/?data=homd_V11.02_phage_1.2%2FGCA_927911435.1&amp;loc=GCA_927911435.1%7CCAKMPM010000093.1%3A1..5188&amp;tracks=prokka,prokka_ncrna,ncbi,ncbi_ncrna,panggolin,cenote,genomad&amp;highlight=","Open JBrowse")</f>
        <v>Open JBrowse</v>
      </c>
      <c r="H745">
        <v>1244</v>
      </c>
      <c r="I745">
        <v>2188</v>
      </c>
      <c r="J745" t="s">
        <v>5697</v>
      </c>
      <c r="K745" t="s">
        <v>614</v>
      </c>
      <c r="L745" t="s">
        <v>615</v>
      </c>
      <c r="M745" t="s">
        <v>616</v>
      </c>
      <c r="N745" t="s">
        <v>59</v>
      </c>
      <c r="O745">
        <v>2</v>
      </c>
      <c r="P745" t="s">
        <v>42</v>
      </c>
      <c r="Q745" t="s">
        <v>101</v>
      </c>
      <c r="R745" t="s">
        <v>5698</v>
      </c>
      <c r="S745" t="s">
        <v>615</v>
      </c>
      <c r="T745" t="s">
        <v>42</v>
      </c>
      <c r="U745">
        <v>52</v>
      </c>
      <c r="V745">
        <v>311</v>
      </c>
      <c r="W745">
        <v>260</v>
      </c>
      <c r="X745" t="s">
        <v>618</v>
      </c>
      <c r="Y745" t="s">
        <v>5699</v>
      </c>
      <c r="Z745" t="s">
        <v>346</v>
      </c>
      <c r="AA745" t="s">
        <v>5700</v>
      </c>
    </row>
    <row r="746" spans="1:32" x14ac:dyDescent="0.75">
      <c r="A746" s="22" t="s">
        <v>6051</v>
      </c>
      <c r="B746" t="s">
        <v>5828</v>
      </c>
      <c r="C746" t="s">
        <v>104</v>
      </c>
      <c r="D746" t="s">
        <v>610</v>
      </c>
      <c r="E746" t="s">
        <v>611</v>
      </c>
      <c r="F746" t="s">
        <v>5829</v>
      </c>
      <c r="G746" s="1" t="str">
        <f>HYPERLINK("https://homd.org/jbrowse/?data=homd_V11.02_phage_1.2%2FGCA_938014305.1&amp;loc=GCA_938014305.1%7CCALLSI010000002.1%3A29888..36832&amp;tracks=prokka,prokka_ncrna,ncbi,ncbi_ncrna,panggolin,cenote,genomad&amp;highlight=","Open JBrowse")</f>
        <v>Open JBrowse</v>
      </c>
      <c r="H746">
        <v>32888</v>
      </c>
      <c r="I746">
        <v>33832</v>
      </c>
      <c r="J746" t="s">
        <v>5830</v>
      </c>
      <c r="K746" t="s">
        <v>614</v>
      </c>
      <c r="L746" t="s">
        <v>615</v>
      </c>
      <c r="M746" t="s">
        <v>616</v>
      </c>
      <c r="N746" t="s">
        <v>59</v>
      </c>
      <c r="O746">
        <v>2</v>
      </c>
      <c r="P746" t="s">
        <v>42</v>
      </c>
      <c r="Q746" t="s">
        <v>101</v>
      </c>
      <c r="R746" t="s">
        <v>5831</v>
      </c>
      <c r="S746" t="s">
        <v>615</v>
      </c>
      <c r="T746" t="s">
        <v>42</v>
      </c>
      <c r="U746">
        <v>52</v>
      </c>
      <c r="V746">
        <v>311</v>
      </c>
      <c r="W746">
        <v>260</v>
      </c>
      <c r="X746" t="s">
        <v>618</v>
      </c>
      <c r="Y746" t="s">
        <v>5832</v>
      </c>
      <c r="Z746" t="s">
        <v>1257</v>
      </c>
      <c r="AA746" t="s">
        <v>5833</v>
      </c>
    </row>
    <row r="747" spans="1:32" x14ac:dyDescent="0.75">
      <c r="A747" s="22" t="s">
        <v>6051</v>
      </c>
      <c r="B747" t="s">
        <v>5903</v>
      </c>
      <c r="C747" t="s">
        <v>104</v>
      </c>
      <c r="D747" t="s">
        <v>610</v>
      </c>
      <c r="E747" t="s">
        <v>611</v>
      </c>
      <c r="F747" t="s">
        <v>5904</v>
      </c>
      <c r="G747" s="1" t="str">
        <f>HYPERLINK("https://homd.org/jbrowse/?data=homd_V11.02_phage_1.2%2FGCA_938043945.1&amp;loc=GCA_938043945.1%7CCALIQV010000004.1%3A191503..198447&amp;tracks=prokka,prokka_ncrna,ncbi,ncbi_ncrna,panggolin,cenote,genomad&amp;highlight=","Open JBrowse")</f>
        <v>Open JBrowse</v>
      </c>
      <c r="H747">
        <v>194503</v>
      </c>
      <c r="I747">
        <v>195447</v>
      </c>
      <c r="J747" t="s">
        <v>5905</v>
      </c>
      <c r="K747" t="s">
        <v>614</v>
      </c>
      <c r="L747" t="s">
        <v>615</v>
      </c>
      <c r="M747" t="s">
        <v>616</v>
      </c>
      <c r="N747" t="s">
        <v>59</v>
      </c>
      <c r="O747">
        <v>2</v>
      </c>
      <c r="P747" t="s">
        <v>42</v>
      </c>
      <c r="Q747" t="s">
        <v>101</v>
      </c>
      <c r="R747" t="s">
        <v>5906</v>
      </c>
      <c r="S747" t="s">
        <v>615</v>
      </c>
      <c r="T747" t="s">
        <v>42</v>
      </c>
      <c r="U747">
        <v>52</v>
      </c>
      <c r="V747">
        <v>311</v>
      </c>
      <c r="W747">
        <v>260</v>
      </c>
      <c r="X747" t="s">
        <v>618</v>
      </c>
      <c r="Y747" t="s">
        <v>5907</v>
      </c>
      <c r="Z747" t="s">
        <v>1257</v>
      </c>
      <c r="AA747" t="s">
        <v>621</v>
      </c>
    </row>
    <row r="748" spans="1:32" x14ac:dyDescent="0.75">
      <c r="A748" s="22" t="s">
        <v>6051</v>
      </c>
      <c r="B748" t="s">
        <v>152</v>
      </c>
      <c r="C748" t="s">
        <v>104</v>
      </c>
      <c r="D748" t="s">
        <v>153</v>
      </c>
      <c r="E748" t="s">
        <v>154</v>
      </c>
      <c r="F748" t="s">
        <v>155</v>
      </c>
      <c r="G748" s="1" t="str">
        <f>HYPERLINK("https://homd.org/jbrowse/?data=homd_V11.02_phage_1.2%2FGCA_000144405.1&amp;loc=GCA_000144405.1%7CCP002122.1%3A1748132..1755136&amp;tracks=prokka,prokka_ncrna,ncbi,ncbi_ncrna,panggolin,cenote,genomad&amp;highlight=","Open JBrowse")</f>
        <v>Open JBrowse</v>
      </c>
      <c r="H748">
        <v>1751132</v>
      </c>
      <c r="I748">
        <v>1752136</v>
      </c>
      <c r="J748" t="s">
        <v>156</v>
      </c>
      <c r="K748" t="s">
        <v>59</v>
      </c>
      <c r="L748" t="s">
        <v>157</v>
      </c>
      <c r="M748" t="s">
        <v>158</v>
      </c>
      <c r="N748" t="s">
        <v>42</v>
      </c>
      <c r="O748">
        <v>3</v>
      </c>
      <c r="P748" t="s">
        <v>42</v>
      </c>
      <c r="Q748" t="s">
        <v>59</v>
      </c>
      <c r="R748" t="s">
        <v>159</v>
      </c>
      <c r="S748" t="s">
        <v>157</v>
      </c>
      <c r="T748" t="s">
        <v>42</v>
      </c>
      <c r="U748">
        <v>53</v>
      </c>
      <c r="V748">
        <v>279</v>
      </c>
      <c r="W748">
        <v>227</v>
      </c>
      <c r="X748" t="s">
        <v>160</v>
      </c>
      <c r="Y748" t="s">
        <v>161</v>
      </c>
      <c r="Z748" t="s">
        <v>97</v>
      </c>
      <c r="AA748" t="s">
        <v>162</v>
      </c>
      <c r="AB748" t="s">
        <v>163</v>
      </c>
      <c r="AC748" t="s">
        <v>164</v>
      </c>
      <c r="AD748" t="s">
        <v>51</v>
      </c>
      <c r="AE748">
        <v>185.3</v>
      </c>
      <c r="AF748" t="s">
        <v>165</v>
      </c>
    </row>
    <row r="749" spans="1:32" x14ac:dyDescent="0.75">
      <c r="A749" s="22" t="s">
        <v>6051</v>
      </c>
      <c r="B749" t="s">
        <v>274</v>
      </c>
      <c r="C749" t="s">
        <v>104</v>
      </c>
      <c r="D749" t="s">
        <v>275</v>
      </c>
      <c r="E749" t="s">
        <v>276</v>
      </c>
      <c r="F749" t="s">
        <v>277</v>
      </c>
      <c r="G749" s="1" t="str">
        <f>HYPERLINK("https://homd.org/jbrowse/?data=homd_V11.02_phage_1.2%2FGCA_000162935.1&amp;loc=GCA_000162935.1%7CGG698713.1%3A352076..358924&amp;tracks=prokka,prokka_ncrna,ncbi,ncbi_ncrna,panggolin,cenote,genomad&amp;highlight=","Open JBrowse")</f>
        <v>Open JBrowse</v>
      </c>
      <c r="H749">
        <v>355076</v>
      </c>
      <c r="I749">
        <v>355924</v>
      </c>
      <c r="J749" t="s">
        <v>278</v>
      </c>
      <c r="K749" t="s">
        <v>59</v>
      </c>
      <c r="L749" t="s">
        <v>157</v>
      </c>
      <c r="M749" t="s">
        <v>158</v>
      </c>
      <c r="N749" t="s">
        <v>42</v>
      </c>
      <c r="O749">
        <v>3</v>
      </c>
      <c r="P749" t="s">
        <v>42</v>
      </c>
      <c r="Q749" t="s">
        <v>59</v>
      </c>
      <c r="R749" t="s">
        <v>279</v>
      </c>
      <c r="S749" t="s">
        <v>157</v>
      </c>
      <c r="T749" t="s">
        <v>42</v>
      </c>
      <c r="U749">
        <v>53</v>
      </c>
      <c r="V749">
        <v>279</v>
      </c>
      <c r="W749">
        <v>227</v>
      </c>
      <c r="X749" t="s">
        <v>160</v>
      </c>
      <c r="Y749" t="s">
        <v>280</v>
      </c>
      <c r="Z749" t="s">
        <v>281</v>
      </c>
      <c r="AA749" t="s">
        <v>282</v>
      </c>
    </row>
    <row r="750" spans="1:32" x14ac:dyDescent="0.75">
      <c r="A750" s="22" t="s">
        <v>6051</v>
      </c>
      <c r="B750" t="s">
        <v>297</v>
      </c>
      <c r="C750" t="s">
        <v>104</v>
      </c>
      <c r="D750" t="s">
        <v>153</v>
      </c>
      <c r="E750" t="s">
        <v>154</v>
      </c>
      <c r="F750" t="s">
        <v>298</v>
      </c>
      <c r="G750" s="1" t="str">
        <f>HYPERLINK("https://homd.org/jbrowse/?data=homd_V11.02_phage_1.2%2FGCA_000163035.1&amp;loc=GCA_000163035.1%7CGG740010.1%3A439131..446135&amp;tracks=prokka,prokka_ncrna,ncbi,ncbi_ncrna,panggolin,cenote,genomad&amp;highlight=","Open JBrowse")</f>
        <v>Open JBrowse</v>
      </c>
      <c r="H750">
        <v>442131</v>
      </c>
      <c r="I750">
        <v>443135</v>
      </c>
      <c r="J750" t="s">
        <v>299</v>
      </c>
      <c r="K750" t="s">
        <v>59</v>
      </c>
      <c r="L750" t="s">
        <v>157</v>
      </c>
      <c r="M750" t="s">
        <v>158</v>
      </c>
      <c r="N750" t="s">
        <v>42</v>
      </c>
      <c r="O750">
        <v>3</v>
      </c>
      <c r="P750" t="s">
        <v>42</v>
      </c>
      <c r="Q750" t="s">
        <v>59</v>
      </c>
      <c r="R750" t="s">
        <v>300</v>
      </c>
      <c r="S750" t="s">
        <v>157</v>
      </c>
      <c r="T750" t="s">
        <v>42</v>
      </c>
      <c r="U750">
        <v>53</v>
      </c>
      <c r="V750">
        <v>279</v>
      </c>
      <c r="W750">
        <v>227</v>
      </c>
      <c r="X750" t="s">
        <v>160</v>
      </c>
      <c r="Y750" t="s">
        <v>301</v>
      </c>
      <c r="Z750" t="s">
        <v>302</v>
      </c>
      <c r="AA750" t="s">
        <v>303</v>
      </c>
      <c r="AB750" t="s">
        <v>304</v>
      </c>
      <c r="AC750" t="s">
        <v>164</v>
      </c>
      <c r="AD750" t="s">
        <v>51</v>
      </c>
      <c r="AE750">
        <v>186.8</v>
      </c>
      <c r="AF750" t="s">
        <v>165</v>
      </c>
    </row>
    <row r="751" spans="1:32" x14ac:dyDescent="0.75">
      <c r="A751" s="22" t="s">
        <v>6051</v>
      </c>
      <c r="B751" t="s">
        <v>549</v>
      </c>
      <c r="C751" t="s">
        <v>104</v>
      </c>
      <c r="D751" t="s">
        <v>550</v>
      </c>
      <c r="E751" t="s">
        <v>551</v>
      </c>
      <c r="F751" t="s">
        <v>552</v>
      </c>
      <c r="G751" s="1" t="str">
        <f>HYPERLINK("https://homd.org/jbrowse/?data=homd_V11.02_phage_1.2%2FGCA_000224595.1&amp;loc=GCA_000224595.1%7CJH114157.1%3A46147..53148&amp;tracks=prokka,prokka_ncrna,ncbi,ncbi_ncrna,panggolin,cenote,genomad&amp;highlight=","Open JBrowse")</f>
        <v>Open JBrowse</v>
      </c>
      <c r="H751">
        <v>49147</v>
      </c>
      <c r="I751">
        <v>50148</v>
      </c>
      <c r="J751" t="s">
        <v>553</v>
      </c>
      <c r="K751" t="s">
        <v>59</v>
      </c>
      <c r="L751" t="s">
        <v>157</v>
      </c>
      <c r="M751" t="s">
        <v>158</v>
      </c>
      <c r="N751" t="s">
        <v>42</v>
      </c>
      <c r="O751">
        <v>3</v>
      </c>
      <c r="P751" t="s">
        <v>42</v>
      </c>
      <c r="Q751" t="s">
        <v>59</v>
      </c>
      <c r="R751" t="s">
        <v>554</v>
      </c>
      <c r="S751" t="s">
        <v>157</v>
      </c>
      <c r="T751" t="s">
        <v>42</v>
      </c>
      <c r="U751">
        <v>53</v>
      </c>
      <c r="V751">
        <v>279</v>
      </c>
      <c r="W751">
        <v>227</v>
      </c>
      <c r="X751" t="s">
        <v>160</v>
      </c>
      <c r="Y751" t="s">
        <v>555</v>
      </c>
      <c r="Z751" t="s">
        <v>556</v>
      </c>
      <c r="AA751" t="s">
        <v>557</v>
      </c>
    </row>
    <row r="752" spans="1:32" x14ac:dyDescent="0.75">
      <c r="A752" s="22" t="s">
        <v>6051</v>
      </c>
      <c r="B752" t="s">
        <v>881</v>
      </c>
      <c r="C752" t="s">
        <v>104</v>
      </c>
      <c r="D752" t="s">
        <v>275</v>
      </c>
      <c r="E752" t="s">
        <v>276</v>
      </c>
      <c r="F752" t="s">
        <v>882</v>
      </c>
      <c r="G752" s="1" t="str">
        <f>HYPERLINK("https://homd.org/jbrowse/?data=homd_V11.02_phage_1.2%2FGCA_000377625.1&amp;loc=GCA_000377625.1%7CKB898331.1%3A137823..144671&amp;tracks=prokka,prokka_ncrna,ncbi,ncbi_ncrna,panggolin,cenote,genomad&amp;highlight=","Open JBrowse")</f>
        <v>Open JBrowse</v>
      </c>
      <c r="H752">
        <v>140823</v>
      </c>
      <c r="I752">
        <v>141671</v>
      </c>
      <c r="J752" t="s">
        <v>883</v>
      </c>
      <c r="K752" t="s">
        <v>59</v>
      </c>
      <c r="L752" t="s">
        <v>157</v>
      </c>
      <c r="M752" t="s">
        <v>158</v>
      </c>
      <c r="N752" t="s">
        <v>42</v>
      </c>
      <c r="O752">
        <v>3</v>
      </c>
      <c r="P752" t="s">
        <v>42</v>
      </c>
      <c r="Q752" t="s">
        <v>59</v>
      </c>
      <c r="R752" t="s">
        <v>884</v>
      </c>
      <c r="S752" t="s">
        <v>157</v>
      </c>
      <c r="T752" t="s">
        <v>42</v>
      </c>
      <c r="U752">
        <v>53</v>
      </c>
      <c r="V752">
        <v>279</v>
      </c>
      <c r="W752">
        <v>227</v>
      </c>
      <c r="X752" t="s">
        <v>160</v>
      </c>
      <c r="Y752" t="s">
        <v>885</v>
      </c>
      <c r="Z752" t="s">
        <v>667</v>
      </c>
      <c r="AA752" t="s">
        <v>886</v>
      </c>
    </row>
    <row r="753" spans="1:32" x14ac:dyDescent="0.75">
      <c r="A753" s="22" t="s">
        <v>6051</v>
      </c>
      <c r="B753" t="s">
        <v>1053</v>
      </c>
      <c r="C753" t="s">
        <v>104</v>
      </c>
      <c r="D753" t="s">
        <v>1054</v>
      </c>
      <c r="E753" t="s">
        <v>1055</v>
      </c>
      <c r="F753" t="s">
        <v>1056</v>
      </c>
      <c r="G753" s="1" t="str">
        <f>HYPERLINK("https://homd.org/jbrowse/?data=homd_V11.02_phage_1.2%2FGCA_000467895.1&amp;loc=GCA_000467895.1%7CKI259594.1%3A1..6391&amp;tracks=prokka,prokka_ncrna,ncbi,ncbi_ncrna,panggolin,cenote,genomad&amp;highlight=","Open JBrowse")</f>
        <v>Open JBrowse</v>
      </c>
      <c r="H753">
        <v>2387</v>
      </c>
      <c r="I753">
        <v>3391</v>
      </c>
      <c r="J753" t="s">
        <v>1057</v>
      </c>
      <c r="K753" t="s">
        <v>59</v>
      </c>
      <c r="L753" t="s">
        <v>157</v>
      </c>
      <c r="M753" t="s">
        <v>158</v>
      </c>
      <c r="N753" t="s">
        <v>42</v>
      </c>
      <c r="O753">
        <v>3</v>
      </c>
      <c r="P753" t="s">
        <v>42</v>
      </c>
      <c r="Q753" t="s">
        <v>59</v>
      </c>
      <c r="R753" t="s">
        <v>1058</v>
      </c>
      <c r="S753" t="s">
        <v>157</v>
      </c>
      <c r="T753" t="s">
        <v>42</v>
      </c>
      <c r="U753">
        <v>53</v>
      </c>
      <c r="V753">
        <v>279</v>
      </c>
      <c r="W753">
        <v>227</v>
      </c>
      <c r="X753" t="s">
        <v>160</v>
      </c>
    </row>
    <row r="754" spans="1:32" x14ac:dyDescent="0.75">
      <c r="A754" s="22" t="s">
        <v>6051</v>
      </c>
      <c r="B754" t="s">
        <v>1226</v>
      </c>
      <c r="C754" t="s">
        <v>104</v>
      </c>
      <c r="D754" t="s">
        <v>275</v>
      </c>
      <c r="E754" t="s">
        <v>276</v>
      </c>
      <c r="F754" t="s">
        <v>1227</v>
      </c>
      <c r="G754" s="1" t="str">
        <f>HYPERLINK("https://homd.org/jbrowse/?data=homd_V11.02_phage_1.2%2FGCA_000613325.1&amp;loc=GCA_000613325.1%7CBAIP01000010.1%3A59645..66493&amp;tracks=prokka,prokka_ncrna,ncbi,ncbi_ncrna,panggolin,cenote,genomad&amp;highlight=","Open JBrowse")</f>
        <v>Open JBrowse</v>
      </c>
      <c r="H754">
        <v>62645</v>
      </c>
      <c r="I754">
        <v>63493</v>
      </c>
      <c r="J754" t="s">
        <v>1228</v>
      </c>
      <c r="K754" t="s">
        <v>59</v>
      </c>
      <c r="L754" t="s">
        <v>157</v>
      </c>
      <c r="M754" t="s">
        <v>158</v>
      </c>
      <c r="N754" t="s">
        <v>42</v>
      </c>
      <c r="O754">
        <v>3</v>
      </c>
      <c r="P754" t="s">
        <v>42</v>
      </c>
      <c r="Q754" t="s">
        <v>59</v>
      </c>
      <c r="R754" t="s">
        <v>1229</v>
      </c>
      <c r="S754" t="s">
        <v>157</v>
      </c>
      <c r="T754" t="s">
        <v>42</v>
      </c>
      <c r="U754">
        <v>53</v>
      </c>
      <c r="V754">
        <v>279</v>
      </c>
      <c r="W754">
        <v>227</v>
      </c>
      <c r="X754" t="s">
        <v>160</v>
      </c>
      <c r="Y754" t="s">
        <v>1230</v>
      </c>
      <c r="Z754" t="s">
        <v>904</v>
      </c>
      <c r="AA754" t="s">
        <v>886</v>
      </c>
    </row>
    <row r="755" spans="1:32" x14ac:dyDescent="0.75">
      <c r="A755" s="22" t="s">
        <v>6051</v>
      </c>
      <c r="B755" t="s">
        <v>1272</v>
      </c>
      <c r="C755" t="s">
        <v>104</v>
      </c>
      <c r="D755" t="s">
        <v>1273</v>
      </c>
      <c r="E755" t="s">
        <v>1274</v>
      </c>
      <c r="F755" t="s">
        <v>1275</v>
      </c>
      <c r="G755" s="1" t="str">
        <f>HYPERLINK("https://homd.org/jbrowse/?data=homd_V11.02_phage_1.2%2FGCA_000614245.1&amp;loc=GCA_000614245.1%7CBAKO01000029.1%3A6630..13634&amp;tracks=prokka,prokka_ncrna,ncbi,ncbi_ncrna,panggolin,cenote,genomad&amp;highlight=","Open JBrowse")</f>
        <v>Open JBrowse</v>
      </c>
      <c r="H755">
        <v>9630</v>
      </c>
      <c r="I755">
        <v>10634</v>
      </c>
      <c r="J755" t="s">
        <v>1276</v>
      </c>
      <c r="K755" t="s">
        <v>59</v>
      </c>
      <c r="L755" t="s">
        <v>157</v>
      </c>
      <c r="M755" t="s">
        <v>158</v>
      </c>
      <c r="N755" t="s">
        <v>42</v>
      </c>
      <c r="O755">
        <v>3</v>
      </c>
      <c r="P755" t="s">
        <v>42</v>
      </c>
      <c r="Q755" t="s">
        <v>59</v>
      </c>
      <c r="R755" t="s">
        <v>1277</v>
      </c>
      <c r="S755" t="s">
        <v>157</v>
      </c>
      <c r="T755" t="s">
        <v>42</v>
      </c>
      <c r="U755">
        <v>53</v>
      </c>
      <c r="V755">
        <v>279</v>
      </c>
      <c r="W755">
        <v>227</v>
      </c>
      <c r="X755" t="s">
        <v>160</v>
      </c>
      <c r="Y755" t="s">
        <v>1278</v>
      </c>
      <c r="Z755" t="s">
        <v>824</v>
      </c>
      <c r="AA755" t="s">
        <v>1279</v>
      </c>
      <c r="AB755" t="s">
        <v>1280</v>
      </c>
      <c r="AC755" t="s">
        <v>164</v>
      </c>
      <c r="AD755" t="s">
        <v>51</v>
      </c>
      <c r="AE755">
        <v>157</v>
      </c>
      <c r="AF755" t="s">
        <v>165</v>
      </c>
    </row>
    <row r="756" spans="1:32" x14ac:dyDescent="0.75">
      <c r="A756" s="22" t="s">
        <v>6051</v>
      </c>
      <c r="B756" t="s">
        <v>1420</v>
      </c>
      <c r="C756" t="s">
        <v>104</v>
      </c>
      <c r="D756" t="s">
        <v>1273</v>
      </c>
      <c r="E756" t="s">
        <v>1274</v>
      </c>
      <c r="F756" t="s">
        <v>1421</v>
      </c>
      <c r="G756" s="1" t="str">
        <f>HYPERLINK("https://homd.org/jbrowse/?data=homd_V11.02_phage_1.2%2FGCA_001262015.1&amp;loc=GCA_001262015.1%7CCP012074.1%3A1647826..1654830&amp;tracks=prokka,prokka_ncrna,ncbi,ncbi_ncrna,panggolin,cenote,genomad&amp;highlight=","Open JBrowse")</f>
        <v>Open JBrowse</v>
      </c>
      <c r="H756">
        <v>1650826</v>
      </c>
      <c r="I756">
        <v>1651830</v>
      </c>
      <c r="J756" t="s">
        <v>1422</v>
      </c>
      <c r="K756" t="s">
        <v>59</v>
      </c>
      <c r="L756" t="s">
        <v>157</v>
      </c>
      <c r="M756" t="s">
        <v>158</v>
      </c>
      <c r="N756" t="s">
        <v>42</v>
      </c>
      <c r="O756">
        <v>3</v>
      </c>
      <c r="P756" t="s">
        <v>42</v>
      </c>
      <c r="Q756" t="s">
        <v>59</v>
      </c>
      <c r="R756" t="s">
        <v>1423</v>
      </c>
      <c r="S756" t="s">
        <v>157</v>
      </c>
      <c r="T756" t="s">
        <v>42</v>
      </c>
      <c r="U756">
        <v>53</v>
      </c>
      <c r="V756">
        <v>279</v>
      </c>
      <c r="W756">
        <v>227</v>
      </c>
      <c r="X756" t="s">
        <v>160</v>
      </c>
      <c r="Y756" t="s">
        <v>1424</v>
      </c>
      <c r="Z756" t="s">
        <v>381</v>
      </c>
      <c r="AA756" t="s">
        <v>1425</v>
      </c>
      <c r="AB756" t="s">
        <v>1426</v>
      </c>
      <c r="AC756" t="s">
        <v>164</v>
      </c>
      <c r="AD756" t="s">
        <v>51</v>
      </c>
      <c r="AE756">
        <v>192</v>
      </c>
      <c r="AF756" t="s">
        <v>165</v>
      </c>
    </row>
    <row r="757" spans="1:32" x14ac:dyDescent="0.75">
      <c r="A757" s="22" t="s">
        <v>6051</v>
      </c>
      <c r="B757" t="s">
        <v>1726</v>
      </c>
      <c r="C757" t="s">
        <v>104</v>
      </c>
      <c r="D757" t="s">
        <v>153</v>
      </c>
      <c r="E757" t="s">
        <v>154</v>
      </c>
      <c r="F757" t="s">
        <v>1727</v>
      </c>
      <c r="G757" s="1" t="str">
        <f>HYPERLINK("https://homd.org/jbrowse/?data=homd_V11.02_phage_1.2%2FGCA_002208725.2&amp;loc=GCA_002208725.2%7CCP022040.2%3A1136..8140&amp;tracks=prokka,prokka_ncrna,ncbi,ncbi_ncrna,panggolin,cenote,genomad&amp;highlight=","Open JBrowse")</f>
        <v>Open JBrowse</v>
      </c>
      <c r="H757">
        <v>4136</v>
      </c>
      <c r="I757">
        <v>5140</v>
      </c>
      <c r="J757" t="s">
        <v>1728</v>
      </c>
      <c r="K757" t="s">
        <v>59</v>
      </c>
      <c r="L757" t="s">
        <v>157</v>
      </c>
      <c r="M757" t="s">
        <v>158</v>
      </c>
      <c r="N757" t="s">
        <v>42</v>
      </c>
      <c r="O757">
        <v>3</v>
      </c>
      <c r="P757" t="s">
        <v>42</v>
      </c>
      <c r="Q757" t="s">
        <v>59</v>
      </c>
      <c r="R757" t="s">
        <v>1729</v>
      </c>
      <c r="S757" t="s">
        <v>157</v>
      </c>
      <c r="T757" t="s">
        <v>42</v>
      </c>
      <c r="U757">
        <v>53</v>
      </c>
      <c r="V757">
        <v>279</v>
      </c>
      <c r="W757">
        <v>227</v>
      </c>
      <c r="X757" t="s">
        <v>160</v>
      </c>
      <c r="Y757" t="s">
        <v>1730</v>
      </c>
      <c r="Z757" t="s">
        <v>368</v>
      </c>
      <c r="AA757" t="s">
        <v>1731</v>
      </c>
      <c r="AB757" t="s">
        <v>1732</v>
      </c>
      <c r="AC757" t="s">
        <v>164</v>
      </c>
      <c r="AD757" t="s">
        <v>51</v>
      </c>
      <c r="AE757">
        <v>185.3</v>
      </c>
      <c r="AF757" t="s">
        <v>165</v>
      </c>
    </row>
    <row r="758" spans="1:32" x14ac:dyDescent="0.75">
      <c r="A758" s="22" t="s">
        <v>6051</v>
      </c>
      <c r="B758" t="s">
        <v>1894</v>
      </c>
      <c r="C758" t="s">
        <v>104</v>
      </c>
      <c r="D758" t="s">
        <v>550</v>
      </c>
      <c r="E758" t="s">
        <v>551</v>
      </c>
      <c r="F758" t="s">
        <v>1895</v>
      </c>
      <c r="G758" s="1" t="str">
        <f>HYPERLINK("https://homd.org/jbrowse/?data=homd_V11.02_phage_1.2%2FGCA_002849795.1&amp;loc=GCA_002849795.1%7CCP023863.1%3A1991355..1998359&amp;tracks=prokka,prokka_ncrna,ncbi,ncbi_ncrna,panggolin,cenote,genomad&amp;highlight=","Open JBrowse")</f>
        <v>Open JBrowse</v>
      </c>
      <c r="H758">
        <v>1994355</v>
      </c>
      <c r="I758">
        <v>1995359</v>
      </c>
      <c r="J758" t="s">
        <v>1896</v>
      </c>
      <c r="K758" t="s">
        <v>59</v>
      </c>
      <c r="L758" t="s">
        <v>157</v>
      </c>
      <c r="M758" t="s">
        <v>158</v>
      </c>
      <c r="N758" t="s">
        <v>42</v>
      </c>
      <c r="O758">
        <v>3</v>
      </c>
      <c r="P758" t="s">
        <v>42</v>
      </c>
      <c r="Q758" t="s">
        <v>59</v>
      </c>
      <c r="R758" t="s">
        <v>1897</v>
      </c>
      <c r="S758" t="s">
        <v>157</v>
      </c>
      <c r="T758" t="s">
        <v>42</v>
      </c>
      <c r="U758">
        <v>53</v>
      </c>
      <c r="V758">
        <v>279</v>
      </c>
      <c r="W758">
        <v>227</v>
      </c>
      <c r="X758" t="s">
        <v>160</v>
      </c>
      <c r="Y758" t="s">
        <v>1898</v>
      </c>
      <c r="Z758" t="s">
        <v>458</v>
      </c>
      <c r="AA758" t="s">
        <v>557</v>
      </c>
    </row>
    <row r="759" spans="1:32" x14ac:dyDescent="0.75">
      <c r="A759" s="22" t="s">
        <v>6051</v>
      </c>
      <c r="B759" t="s">
        <v>2056</v>
      </c>
      <c r="C759" t="s">
        <v>104</v>
      </c>
      <c r="D759" t="s">
        <v>550</v>
      </c>
      <c r="E759" t="s">
        <v>551</v>
      </c>
      <c r="F759" t="s">
        <v>2057</v>
      </c>
      <c r="G759" s="1" t="str">
        <f>HYPERLINK("https://homd.org/jbrowse/?data=homd_V11.02_phage_1.2%2FGCA_003043935.1&amp;loc=GCA_003043935.1%7CPYXE01000001.1%3A2633172..2640176&amp;tracks=prokka,prokka_ncrna,ncbi,ncbi_ncrna,panggolin,cenote,genomad&amp;highlight=","Open JBrowse")</f>
        <v>Open JBrowse</v>
      </c>
      <c r="H759">
        <v>2636172</v>
      </c>
      <c r="I759">
        <v>2637176</v>
      </c>
      <c r="J759" t="s">
        <v>2058</v>
      </c>
      <c r="K759" t="s">
        <v>59</v>
      </c>
      <c r="L759" t="s">
        <v>157</v>
      </c>
      <c r="M759" t="s">
        <v>158</v>
      </c>
      <c r="N759" t="s">
        <v>42</v>
      </c>
      <c r="O759">
        <v>3</v>
      </c>
      <c r="P759" t="s">
        <v>42</v>
      </c>
      <c r="Q759" t="s">
        <v>59</v>
      </c>
      <c r="R759" t="s">
        <v>2059</v>
      </c>
      <c r="S759" t="s">
        <v>157</v>
      </c>
      <c r="T759" t="s">
        <v>42</v>
      </c>
      <c r="U759">
        <v>53</v>
      </c>
      <c r="V759">
        <v>279</v>
      </c>
      <c r="W759">
        <v>227</v>
      </c>
      <c r="X759" t="s">
        <v>160</v>
      </c>
      <c r="Y759" t="s">
        <v>2060</v>
      </c>
      <c r="Z759" t="s">
        <v>667</v>
      </c>
      <c r="AA759" t="s">
        <v>2061</v>
      </c>
    </row>
    <row r="760" spans="1:32" x14ac:dyDescent="0.75">
      <c r="A760" s="22" t="s">
        <v>6051</v>
      </c>
      <c r="B760" t="s">
        <v>2188</v>
      </c>
      <c r="C760" t="s">
        <v>104</v>
      </c>
      <c r="D760" t="s">
        <v>153</v>
      </c>
      <c r="E760" t="s">
        <v>154</v>
      </c>
      <c r="F760" t="s">
        <v>2189</v>
      </c>
      <c r="G760" s="1" t="str">
        <f>HYPERLINK("https://homd.org/jbrowse/?data=homd_V11.02_phage_1.2%2FGCA_003609775.1&amp;loc=GCA_003609775.1%7CAP018049.1%3A1678673..1685677&amp;tracks=prokka,prokka_ncrna,ncbi,ncbi_ncrna,panggolin,cenote,genomad&amp;highlight=","Open JBrowse")</f>
        <v>Open JBrowse</v>
      </c>
      <c r="H760">
        <v>1681673</v>
      </c>
      <c r="I760">
        <v>1682677</v>
      </c>
      <c r="J760" t="s">
        <v>2190</v>
      </c>
      <c r="K760" t="s">
        <v>59</v>
      </c>
      <c r="L760" t="s">
        <v>157</v>
      </c>
      <c r="M760" t="s">
        <v>158</v>
      </c>
      <c r="N760" t="s">
        <v>42</v>
      </c>
      <c r="O760">
        <v>3</v>
      </c>
      <c r="P760" t="s">
        <v>42</v>
      </c>
      <c r="Q760" t="s">
        <v>59</v>
      </c>
      <c r="R760" t="s">
        <v>2191</v>
      </c>
      <c r="S760" t="s">
        <v>157</v>
      </c>
      <c r="T760" t="s">
        <v>42</v>
      </c>
      <c r="U760">
        <v>53</v>
      </c>
      <c r="V760">
        <v>279</v>
      </c>
      <c r="W760">
        <v>227</v>
      </c>
      <c r="X760" t="s">
        <v>160</v>
      </c>
    </row>
    <row r="761" spans="1:32" x14ac:dyDescent="0.75">
      <c r="A761" s="22" t="s">
        <v>6051</v>
      </c>
      <c r="B761" t="s">
        <v>2714</v>
      </c>
      <c r="C761" t="s">
        <v>104</v>
      </c>
      <c r="D761" t="s">
        <v>153</v>
      </c>
      <c r="E761" t="s">
        <v>154</v>
      </c>
      <c r="F761" t="s">
        <v>2715</v>
      </c>
      <c r="G761" s="1" t="str">
        <f>HYPERLINK("https://homd.org/jbrowse/?data=homd_V11.02_phage_1.2%2FGCA_013267595.1&amp;loc=GCA_013267595.1%7CCP054011.1%3A1568573..1575577&amp;tracks=prokka,prokka_ncrna,ncbi,ncbi_ncrna,panggolin,cenote,genomad&amp;highlight=","Open JBrowse")</f>
        <v>Open JBrowse</v>
      </c>
      <c r="H761">
        <v>1571573</v>
      </c>
      <c r="I761">
        <v>1572577</v>
      </c>
      <c r="J761" t="s">
        <v>2716</v>
      </c>
      <c r="K761" t="s">
        <v>59</v>
      </c>
      <c r="L761" t="s">
        <v>157</v>
      </c>
      <c r="M761" t="s">
        <v>158</v>
      </c>
      <c r="N761" t="s">
        <v>42</v>
      </c>
      <c r="O761">
        <v>3</v>
      </c>
      <c r="P761" t="s">
        <v>42</v>
      </c>
      <c r="Q761" t="s">
        <v>59</v>
      </c>
      <c r="R761" t="s">
        <v>2717</v>
      </c>
      <c r="S761" t="s">
        <v>157</v>
      </c>
      <c r="T761" t="s">
        <v>42</v>
      </c>
      <c r="U761">
        <v>53</v>
      </c>
      <c r="V761">
        <v>279</v>
      </c>
      <c r="W761">
        <v>227</v>
      </c>
      <c r="X761" t="s">
        <v>160</v>
      </c>
      <c r="Y761" t="s">
        <v>2718</v>
      </c>
      <c r="Z761" t="s">
        <v>870</v>
      </c>
      <c r="AA761" t="s">
        <v>2719</v>
      </c>
      <c r="AB761" t="s">
        <v>2720</v>
      </c>
      <c r="AC761" t="s">
        <v>164</v>
      </c>
      <c r="AD761" t="s">
        <v>51</v>
      </c>
      <c r="AE761">
        <v>186.8</v>
      </c>
      <c r="AF761" t="s">
        <v>165</v>
      </c>
    </row>
    <row r="762" spans="1:32" x14ac:dyDescent="0.75">
      <c r="A762" s="22" t="s">
        <v>6051</v>
      </c>
      <c r="B762" t="s">
        <v>2740</v>
      </c>
      <c r="C762" t="s">
        <v>104</v>
      </c>
      <c r="D762" t="s">
        <v>2741</v>
      </c>
      <c r="E762" t="s">
        <v>2742</v>
      </c>
      <c r="F762" t="s">
        <v>2754</v>
      </c>
      <c r="G762" s="1" t="str">
        <f>HYPERLINK("https://homd.org/jbrowse/?data=homd_V11.02_phage_1.2%2FGCA_013333645.2&amp;loc=GCA_013333645.2%7CJABCOK020000017.1%3A18463..25731&amp;tracks=prokka,prokka_ncrna,ncbi,ncbi_ncrna,panggolin,cenote,genomad&amp;highlight=","Open JBrowse")</f>
        <v>Open JBrowse</v>
      </c>
      <c r="H762">
        <v>21463</v>
      </c>
      <c r="I762">
        <v>22731</v>
      </c>
      <c r="J762" t="s">
        <v>2755</v>
      </c>
      <c r="K762" t="s">
        <v>375</v>
      </c>
      <c r="L762" t="s">
        <v>2756</v>
      </c>
      <c r="M762" t="s">
        <v>2757</v>
      </c>
      <c r="N762" t="s">
        <v>59</v>
      </c>
      <c r="O762">
        <v>2</v>
      </c>
      <c r="P762" t="s">
        <v>42</v>
      </c>
      <c r="Q762" t="s">
        <v>101</v>
      </c>
      <c r="R762" t="s">
        <v>2747</v>
      </c>
      <c r="S762" t="s">
        <v>2756</v>
      </c>
      <c r="T762" t="s">
        <v>42</v>
      </c>
      <c r="U762">
        <v>53</v>
      </c>
      <c r="V762">
        <v>307</v>
      </c>
      <c r="W762">
        <v>255</v>
      </c>
      <c r="X762" t="s">
        <v>379</v>
      </c>
    </row>
    <row r="763" spans="1:32" x14ac:dyDescent="0.75">
      <c r="A763" s="22" t="s">
        <v>6051</v>
      </c>
      <c r="B763" t="s">
        <v>2774</v>
      </c>
      <c r="C763" t="s">
        <v>104</v>
      </c>
      <c r="D763" t="s">
        <v>2741</v>
      </c>
      <c r="E763" t="s">
        <v>2742</v>
      </c>
      <c r="F763" t="s">
        <v>2775</v>
      </c>
      <c r="G763" s="1" t="str">
        <f>HYPERLINK("https://homd.org/jbrowse/?data=homd_V11.02_phage_1.2%2FGCA_013333765.2&amp;loc=GCA_013333765.2%7CJABCOG020000031.1%3A1..5392&amp;tracks=prokka,prokka_ncrna,ncbi,ncbi_ncrna,panggolin,cenote,genomad&amp;highlight=","Open JBrowse")</f>
        <v>Open JBrowse</v>
      </c>
      <c r="H763">
        <v>1124</v>
      </c>
      <c r="I763">
        <v>2392</v>
      </c>
      <c r="J763" t="s">
        <v>2776</v>
      </c>
      <c r="K763" t="s">
        <v>375</v>
      </c>
      <c r="L763" t="s">
        <v>2756</v>
      </c>
      <c r="M763" t="s">
        <v>2757</v>
      </c>
      <c r="N763" t="s">
        <v>59</v>
      </c>
      <c r="O763">
        <v>2</v>
      </c>
      <c r="P763" t="s">
        <v>42</v>
      </c>
      <c r="Q763" t="s">
        <v>101</v>
      </c>
      <c r="R763" t="s">
        <v>2777</v>
      </c>
      <c r="S763" t="s">
        <v>2756</v>
      </c>
      <c r="T763" t="s">
        <v>42</v>
      </c>
      <c r="U763">
        <v>53</v>
      </c>
      <c r="V763">
        <v>307</v>
      </c>
      <c r="W763">
        <v>255</v>
      </c>
      <c r="X763" t="s">
        <v>379</v>
      </c>
    </row>
    <row r="764" spans="1:32" x14ac:dyDescent="0.75">
      <c r="A764" s="22" t="s">
        <v>6051</v>
      </c>
      <c r="B764" t="s">
        <v>2915</v>
      </c>
      <c r="C764" t="s">
        <v>104</v>
      </c>
      <c r="D764" t="s">
        <v>2741</v>
      </c>
      <c r="E764" t="s">
        <v>2742</v>
      </c>
      <c r="F764" t="s">
        <v>2923</v>
      </c>
      <c r="G764" s="1" t="str">
        <f>HYPERLINK("https://homd.org/jbrowse/?data=homd_V11.02_phage_1.2%2FGCA_015257665.1&amp;loc=GCA_015257665.1%7CJABZJS010000005.1%3A18554..25822&amp;tracks=prokka,prokka_ncrna,ncbi,ncbi_ncrna,panggolin,cenote,genomad&amp;highlight=","Open JBrowse")</f>
        <v>Open JBrowse</v>
      </c>
      <c r="H764">
        <v>21554</v>
      </c>
      <c r="I764">
        <v>22822</v>
      </c>
      <c r="J764" t="s">
        <v>2924</v>
      </c>
      <c r="K764" t="s">
        <v>375</v>
      </c>
      <c r="L764" t="s">
        <v>2756</v>
      </c>
      <c r="M764" t="s">
        <v>2757</v>
      </c>
      <c r="N764" t="s">
        <v>59</v>
      </c>
      <c r="O764">
        <v>2</v>
      </c>
      <c r="P764" t="s">
        <v>42</v>
      </c>
      <c r="Q764" t="s">
        <v>101</v>
      </c>
      <c r="R764" t="s">
        <v>2920</v>
      </c>
      <c r="S764" t="s">
        <v>2756</v>
      </c>
      <c r="T764" t="s">
        <v>42</v>
      </c>
      <c r="U764">
        <v>53</v>
      </c>
      <c r="V764">
        <v>307</v>
      </c>
      <c r="W764">
        <v>255</v>
      </c>
      <c r="X764" t="s">
        <v>379</v>
      </c>
    </row>
    <row r="765" spans="1:32" x14ac:dyDescent="0.75">
      <c r="A765" s="22" t="s">
        <v>6051</v>
      </c>
      <c r="B765" t="s">
        <v>2972</v>
      </c>
      <c r="C765" t="s">
        <v>104</v>
      </c>
      <c r="D765" t="s">
        <v>153</v>
      </c>
      <c r="E765" t="s">
        <v>154</v>
      </c>
      <c r="F765" t="s">
        <v>2973</v>
      </c>
      <c r="G765" s="1" t="str">
        <f>HYPERLINK("https://homd.org/jbrowse/?data=homd_V11.02_phage_1.2%2FGCA_015260265.1&amp;loc=GCA_015260265.1%7CJABZWZ010000007.1%3A10735..17739&amp;tracks=prokka,prokka_ncrna,ncbi,ncbi_ncrna,panggolin,cenote,genomad&amp;highlight=","Open JBrowse")</f>
        <v>Open JBrowse</v>
      </c>
      <c r="H765">
        <v>13735</v>
      </c>
      <c r="I765">
        <v>14739</v>
      </c>
      <c r="J765" t="s">
        <v>2974</v>
      </c>
      <c r="K765" t="s">
        <v>59</v>
      </c>
      <c r="L765" t="s">
        <v>157</v>
      </c>
      <c r="M765" t="s">
        <v>158</v>
      </c>
      <c r="N765" t="s">
        <v>42</v>
      </c>
      <c r="O765">
        <v>3</v>
      </c>
      <c r="P765" t="s">
        <v>42</v>
      </c>
      <c r="Q765" t="s">
        <v>59</v>
      </c>
      <c r="R765" t="s">
        <v>2975</v>
      </c>
      <c r="S765" t="s">
        <v>157</v>
      </c>
      <c r="T765" t="s">
        <v>42</v>
      </c>
      <c r="U765">
        <v>53</v>
      </c>
      <c r="V765">
        <v>279</v>
      </c>
      <c r="W765">
        <v>227</v>
      </c>
      <c r="X765" t="s">
        <v>160</v>
      </c>
      <c r="Y765" t="s">
        <v>2976</v>
      </c>
      <c r="Z765" t="s">
        <v>126</v>
      </c>
      <c r="AA765" t="s">
        <v>2977</v>
      </c>
    </row>
    <row r="766" spans="1:32" x14ac:dyDescent="0.75">
      <c r="A766" s="22" t="s">
        <v>6051</v>
      </c>
      <c r="B766" t="s">
        <v>2978</v>
      </c>
      <c r="C766" t="s">
        <v>104</v>
      </c>
      <c r="D766" t="s">
        <v>153</v>
      </c>
      <c r="E766" t="s">
        <v>154</v>
      </c>
      <c r="F766" t="s">
        <v>2979</v>
      </c>
      <c r="G766" s="1" t="str">
        <f>HYPERLINK("https://homd.org/jbrowse/?data=homd_V11.02_phage_1.2%2FGCA_015260355.1&amp;loc=GCA_015260355.1%7CJABZWU010000008.1%3A33910..40914&amp;tracks=prokka,prokka_ncrna,ncbi,ncbi_ncrna,panggolin,cenote,genomad&amp;highlight=","Open JBrowse")</f>
        <v>Open JBrowse</v>
      </c>
      <c r="H766">
        <v>36910</v>
      </c>
      <c r="I766">
        <v>37914</v>
      </c>
      <c r="J766" t="s">
        <v>2980</v>
      </c>
      <c r="K766" t="s">
        <v>59</v>
      </c>
      <c r="L766" t="s">
        <v>157</v>
      </c>
      <c r="M766" t="s">
        <v>158</v>
      </c>
      <c r="N766" t="s">
        <v>42</v>
      </c>
      <c r="O766">
        <v>3</v>
      </c>
      <c r="P766" t="s">
        <v>42</v>
      </c>
      <c r="Q766" t="s">
        <v>59</v>
      </c>
      <c r="R766" t="s">
        <v>2981</v>
      </c>
      <c r="S766" t="s">
        <v>157</v>
      </c>
      <c r="T766" t="s">
        <v>42</v>
      </c>
      <c r="U766">
        <v>53</v>
      </c>
      <c r="V766">
        <v>279</v>
      </c>
      <c r="W766">
        <v>227</v>
      </c>
      <c r="X766" t="s">
        <v>160</v>
      </c>
      <c r="Y766" t="s">
        <v>2982</v>
      </c>
      <c r="Z766" t="s">
        <v>836</v>
      </c>
      <c r="AA766" t="s">
        <v>2983</v>
      </c>
    </row>
    <row r="767" spans="1:32" x14ac:dyDescent="0.75">
      <c r="A767" s="22" t="s">
        <v>6051</v>
      </c>
      <c r="B767" t="s">
        <v>2984</v>
      </c>
      <c r="C767" t="s">
        <v>104</v>
      </c>
      <c r="D767" t="s">
        <v>153</v>
      </c>
      <c r="E767" t="s">
        <v>154</v>
      </c>
      <c r="F767" t="s">
        <v>2985</v>
      </c>
      <c r="G767" s="1" t="str">
        <f>HYPERLINK("https://homd.org/jbrowse/?data=homd_V11.02_phage_1.2%2FGCA_015260375.1&amp;loc=GCA_015260375.1%7CJABZWV010000007.1%3A3081..10085&amp;tracks=prokka,prokka_ncrna,ncbi,ncbi_ncrna,panggolin,cenote,genomad&amp;highlight=","Open JBrowse")</f>
        <v>Open JBrowse</v>
      </c>
      <c r="H767">
        <v>6081</v>
      </c>
      <c r="I767">
        <v>7085</v>
      </c>
      <c r="J767" t="s">
        <v>2986</v>
      </c>
      <c r="K767" t="s">
        <v>59</v>
      </c>
      <c r="L767" t="s">
        <v>157</v>
      </c>
      <c r="M767" t="s">
        <v>158</v>
      </c>
      <c r="N767" t="s">
        <v>42</v>
      </c>
      <c r="O767">
        <v>3</v>
      </c>
      <c r="P767" t="s">
        <v>42</v>
      </c>
      <c r="Q767" t="s">
        <v>59</v>
      </c>
      <c r="R767" t="s">
        <v>2987</v>
      </c>
      <c r="S767" t="s">
        <v>157</v>
      </c>
      <c r="T767" t="s">
        <v>42</v>
      </c>
      <c r="U767">
        <v>53</v>
      </c>
      <c r="V767">
        <v>279</v>
      </c>
      <c r="W767">
        <v>227</v>
      </c>
      <c r="X767" t="s">
        <v>160</v>
      </c>
      <c r="Y767" t="s">
        <v>2988</v>
      </c>
      <c r="Z767" t="s">
        <v>2007</v>
      </c>
      <c r="AA767" t="s">
        <v>1731</v>
      </c>
      <c r="AB767" t="s">
        <v>2989</v>
      </c>
      <c r="AC767" t="s">
        <v>164</v>
      </c>
      <c r="AD767" t="s">
        <v>51</v>
      </c>
      <c r="AE767">
        <v>189.89999999999901</v>
      </c>
      <c r="AF767" t="s">
        <v>165</v>
      </c>
    </row>
    <row r="768" spans="1:32" x14ac:dyDescent="0.75">
      <c r="A768" s="22" t="s">
        <v>6051</v>
      </c>
      <c r="B768" t="s">
        <v>2990</v>
      </c>
      <c r="C768" t="s">
        <v>104</v>
      </c>
      <c r="D768" t="s">
        <v>153</v>
      </c>
      <c r="E768" t="s">
        <v>154</v>
      </c>
      <c r="F768" t="s">
        <v>2991</v>
      </c>
      <c r="G768" s="1" t="str">
        <f>HYPERLINK("https://homd.org/jbrowse/?data=homd_V11.02_phage_1.2%2FGCA_015260395.1&amp;loc=GCA_015260395.1%7CJABZWT010000004.1%3A38888..45892&amp;tracks=prokka,prokka_ncrna,ncbi,ncbi_ncrna,panggolin,cenote,genomad&amp;highlight=","Open JBrowse")</f>
        <v>Open JBrowse</v>
      </c>
      <c r="H768">
        <v>41888</v>
      </c>
      <c r="I768">
        <v>42892</v>
      </c>
      <c r="J768" t="s">
        <v>2992</v>
      </c>
      <c r="K768" t="s">
        <v>59</v>
      </c>
      <c r="L768" t="s">
        <v>157</v>
      </c>
      <c r="M768" t="s">
        <v>158</v>
      </c>
      <c r="N768" t="s">
        <v>42</v>
      </c>
      <c r="O768">
        <v>3</v>
      </c>
      <c r="P768" t="s">
        <v>42</v>
      </c>
      <c r="Q768" t="s">
        <v>59</v>
      </c>
      <c r="R768" t="s">
        <v>2993</v>
      </c>
      <c r="S768" t="s">
        <v>157</v>
      </c>
      <c r="T768" t="s">
        <v>42</v>
      </c>
      <c r="U768">
        <v>53</v>
      </c>
      <c r="V768">
        <v>279</v>
      </c>
      <c r="W768">
        <v>227</v>
      </c>
      <c r="X768" t="s">
        <v>160</v>
      </c>
      <c r="Y768" t="s">
        <v>2994</v>
      </c>
      <c r="Z768" t="s">
        <v>547</v>
      </c>
      <c r="AA768" t="s">
        <v>2995</v>
      </c>
    </row>
    <row r="769" spans="1:32" x14ac:dyDescent="0.75">
      <c r="A769" s="22" t="s">
        <v>6051</v>
      </c>
      <c r="B769" t="s">
        <v>3006</v>
      </c>
      <c r="C769" t="s">
        <v>104</v>
      </c>
      <c r="D769" t="s">
        <v>153</v>
      </c>
      <c r="E769" t="s">
        <v>154</v>
      </c>
      <c r="F769" t="s">
        <v>3007</v>
      </c>
      <c r="G769" s="1" t="str">
        <f>HYPERLINK("https://homd.org/jbrowse/?data=homd_V11.02_phage_1.2%2FGCA_015260465.1&amp;loc=GCA_015260465.1%7CJABZWP010000004.1%3A147975..154979&amp;tracks=prokka,prokka_ncrna,ncbi,ncbi_ncrna,panggolin,cenote,genomad&amp;highlight=","Open JBrowse")</f>
        <v>Open JBrowse</v>
      </c>
      <c r="H769">
        <v>150975</v>
      </c>
      <c r="I769">
        <v>151979</v>
      </c>
      <c r="J769" t="s">
        <v>3008</v>
      </c>
      <c r="K769" t="s">
        <v>59</v>
      </c>
      <c r="L769" t="s">
        <v>157</v>
      </c>
      <c r="M769" t="s">
        <v>158</v>
      </c>
      <c r="N769" t="s">
        <v>42</v>
      </c>
      <c r="O769">
        <v>3</v>
      </c>
      <c r="P769" t="s">
        <v>42</v>
      </c>
      <c r="Q769" t="s">
        <v>59</v>
      </c>
      <c r="R769" t="s">
        <v>3009</v>
      </c>
      <c r="S769" t="s">
        <v>157</v>
      </c>
      <c r="T769" t="s">
        <v>42</v>
      </c>
      <c r="U769">
        <v>53</v>
      </c>
      <c r="V769">
        <v>279</v>
      </c>
      <c r="W769">
        <v>227</v>
      </c>
      <c r="X769" t="s">
        <v>160</v>
      </c>
      <c r="Y769" t="s">
        <v>3010</v>
      </c>
      <c r="Z769" t="s">
        <v>292</v>
      </c>
      <c r="AA769" t="s">
        <v>3011</v>
      </c>
      <c r="AB769" t="s">
        <v>3012</v>
      </c>
      <c r="AC769" t="s">
        <v>164</v>
      </c>
      <c r="AD769" t="s">
        <v>51</v>
      </c>
      <c r="AE769">
        <v>186</v>
      </c>
      <c r="AF769" t="s">
        <v>165</v>
      </c>
    </row>
    <row r="770" spans="1:32" x14ac:dyDescent="0.75">
      <c r="A770" s="22" t="s">
        <v>6051</v>
      </c>
      <c r="B770" t="s">
        <v>3013</v>
      </c>
      <c r="C770" t="s">
        <v>104</v>
      </c>
      <c r="D770" t="s">
        <v>153</v>
      </c>
      <c r="E770" t="s">
        <v>154</v>
      </c>
      <c r="F770" t="s">
        <v>3014</v>
      </c>
      <c r="G770" s="1" t="str">
        <f>HYPERLINK("https://homd.org/jbrowse/?data=homd_V11.02_phage_1.2%2FGCA_015260495.1&amp;loc=GCA_015260495.1%7CJABZWL010000006.1%3A40732..47736&amp;tracks=prokka,prokka_ncrna,ncbi,ncbi_ncrna,panggolin,cenote,genomad&amp;highlight=","Open JBrowse")</f>
        <v>Open JBrowse</v>
      </c>
      <c r="H770">
        <v>43732</v>
      </c>
      <c r="I770">
        <v>44736</v>
      </c>
      <c r="J770" t="s">
        <v>3015</v>
      </c>
      <c r="K770" t="s">
        <v>59</v>
      </c>
      <c r="L770" t="s">
        <v>157</v>
      </c>
      <c r="M770" t="s">
        <v>158</v>
      </c>
      <c r="N770" t="s">
        <v>42</v>
      </c>
      <c r="O770">
        <v>3</v>
      </c>
      <c r="P770" t="s">
        <v>42</v>
      </c>
      <c r="Q770" t="s">
        <v>59</v>
      </c>
      <c r="R770" t="s">
        <v>3016</v>
      </c>
      <c r="S770" t="s">
        <v>157</v>
      </c>
      <c r="T770" t="s">
        <v>42</v>
      </c>
      <c r="U770">
        <v>53</v>
      </c>
      <c r="V770">
        <v>279</v>
      </c>
      <c r="W770">
        <v>227</v>
      </c>
      <c r="X770" t="s">
        <v>160</v>
      </c>
      <c r="Y770" t="s">
        <v>3017</v>
      </c>
      <c r="Z770" t="s">
        <v>1948</v>
      </c>
      <c r="AA770" t="s">
        <v>3018</v>
      </c>
      <c r="AB770" t="s">
        <v>3019</v>
      </c>
      <c r="AC770" t="s">
        <v>164</v>
      </c>
      <c r="AD770" t="s">
        <v>51</v>
      </c>
      <c r="AE770">
        <v>185.2</v>
      </c>
      <c r="AF770" t="s">
        <v>165</v>
      </c>
    </row>
    <row r="771" spans="1:32" x14ac:dyDescent="0.75">
      <c r="A771" s="22" t="s">
        <v>6051</v>
      </c>
      <c r="B771" t="s">
        <v>3020</v>
      </c>
      <c r="C771" t="s">
        <v>104</v>
      </c>
      <c r="D771" t="s">
        <v>153</v>
      </c>
      <c r="E771" t="s">
        <v>154</v>
      </c>
      <c r="F771" t="s">
        <v>3021</v>
      </c>
      <c r="G771" s="1" t="str">
        <f>HYPERLINK("https://homd.org/jbrowse/?data=homd_V11.02_phage_1.2%2FGCA_015260605.1&amp;loc=GCA_015260605.1%7CJABZWH010000010.1%3A38030..45034&amp;tracks=prokka,prokka_ncrna,ncbi,ncbi_ncrna,panggolin,cenote,genomad&amp;highlight=","Open JBrowse")</f>
        <v>Open JBrowse</v>
      </c>
      <c r="H771">
        <v>41030</v>
      </c>
      <c r="I771">
        <v>42034</v>
      </c>
      <c r="J771" t="s">
        <v>3022</v>
      </c>
      <c r="K771" t="s">
        <v>59</v>
      </c>
      <c r="L771" t="s">
        <v>157</v>
      </c>
      <c r="M771" t="s">
        <v>158</v>
      </c>
      <c r="N771" t="s">
        <v>42</v>
      </c>
      <c r="O771">
        <v>3</v>
      </c>
      <c r="P771" t="s">
        <v>42</v>
      </c>
      <c r="Q771" t="s">
        <v>59</v>
      </c>
      <c r="R771" t="s">
        <v>3023</v>
      </c>
      <c r="S771" t="s">
        <v>157</v>
      </c>
      <c r="T771" t="s">
        <v>42</v>
      </c>
      <c r="U771">
        <v>53</v>
      </c>
      <c r="V771">
        <v>279</v>
      </c>
      <c r="W771">
        <v>227</v>
      </c>
      <c r="X771" t="s">
        <v>160</v>
      </c>
      <c r="Y771" t="s">
        <v>3024</v>
      </c>
      <c r="Z771" t="s">
        <v>1948</v>
      </c>
      <c r="AA771" t="s">
        <v>1200</v>
      </c>
      <c r="AB771" t="s">
        <v>3025</v>
      </c>
      <c r="AC771" t="s">
        <v>164</v>
      </c>
      <c r="AD771" t="s">
        <v>51</v>
      </c>
      <c r="AE771">
        <v>187.5</v>
      </c>
      <c r="AF771" t="s">
        <v>165</v>
      </c>
    </row>
    <row r="772" spans="1:32" x14ac:dyDescent="0.75">
      <c r="A772" s="22" t="s">
        <v>6051</v>
      </c>
      <c r="B772" t="s">
        <v>3051</v>
      </c>
      <c r="C772" t="s">
        <v>104</v>
      </c>
      <c r="D772" t="s">
        <v>559</v>
      </c>
      <c r="E772" t="s">
        <v>560</v>
      </c>
      <c r="F772" t="s">
        <v>3055</v>
      </c>
      <c r="G772" s="1" t="str">
        <f>HYPERLINK("https://homd.org/jbrowse/?data=homd_V11.02_phage_1.2%2FGCA_015262505.1&amp;loc=GCA_015262505.1%7CJABZSR010000081.1%3A1..4250&amp;tracks=prokka,prokka_ncrna,ncbi,ncbi_ncrna,panggolin,cenote,genomad&amp;highlight=","Open JBrowse")</f>
        <v>Open JBrowse</v>
      </c>
      <c r="H772">
        <v>246</v>
      </c>
      <c r="I772">
        <v>1250</v>
      </c>
      <c r="J772" t="s">
        <v>3056</v>
      </c>
      <c r="K772" t="s">
        <v>59</v>
      </c>
      <c r="L772" t="s">
        <v>157</v>
      </c>
      <c r="M772" t="s">
        <v>158</v>
      </c>
      <c r="N772" t="s">
        <v>42</v>
      </c>
      <c r="O772">
        <v>3</v>
      </c>
      <c r="P772" t="s">
        <v>42</v>
      </c>
      <c r="Q772" t="s">
        <v>59</v>
      </c>
      <c r="R772" t="s">
        <v>3054</v>
      </c>
      <c r="S772" t="s">
        <v>157</v>
      </c>
      <c r="T772" t="s">
        <v>42</v>
      </c>
      <c r="U772">
        <v>53</v>
      </c>
      <c r="V772">
        <v>279</v>
      </c>
      <c r="W772">
        <v>227</v>
      </c>
      <c r="X772" t="s">
        <v>160</v>
      </c>
    </row>
    <row r="773" spans="1:32" x14ac:dyDescent="0.75">
      <c r="A773" s="22" t="s">
        <v>6051</v>
      </c>
      <c r="B773" t="s">
        <v>3336</v>
      </c>
      <c r="C773" t="s">
        <v>104</v>
      </c>
      <c r="D773" t="s">
        <v>275</v>
      </c>
      <c r="E773" t="s">
        <v>276</v>
      </c>
      <c r="F773" t="s">
        <v>3337</v>
      </c>
      <c r="G773" s="1" t="str">
        <f>HYPERLINK("https://homd.org/jbrowse/?data=homd_V11.02_phage_1.2%2FGCA_018127765.1&amp;loc=GCA_018127765.1%7CCP072330.1%3A26907..33755&amp;tracks=prokka,prokka_ncrna,ncbi,ncbi_ncrna,panggolin,cenote,genomad&amp;highlight=","Open JBrowse")</f>
        <v>Open JBrowse</v>
      </c>
      <c r="H773">
        <v>29907</v>
      </c>
      <c r="I773">
        <v>30755</v>
      </c>
      <c r="J773" t="s">
        <v>3338</v>
      </c>
      <c r="K773" t="s">
        <v>59</v>
      </c>
      <c r="L773" t="s">
        <v>157</v>
      </c>
      <c r="M773" t="s">
        <v>158</v>
      </c>
      <c r="N773" t="s">
        <v>42</v>
      </c>
      <c r="O773">
        <v>3</v>
      </c>
      <c r="P773" t="s">
        <v>42</v>
      </c>
      <c r="Q773" t="s">
        <v>59</v>
      </c>
      <c r="R773" t="s">
        <v>3339</v>
      </c>
      <c r="S773" t="s">
        <v>157</v>
      </c>
      <c r="T773" t="s">
        <v>42</v>
      </c>
      <c r="U773">
        <v>53</v>
      </c>
      <c r="V773">
        <v>279</v>
      </c>
      <c r="W773">
        <v>227</v>
      </c>
      <c r="X773" t="s">
        <v>160</v>
      </c>
      <c r="Y773" t="s">
        <v>3340</v>
      </c>
      <c r="Z773" t="s">
        <v>368</v>
      </c>
      <c r="AA773" t="s">
        <v>282</v>
      </c>
    </row>
    <row r="774" spans="1:32" x14ac:dyDescent="0.75">
      <c r="A774" s="22" t="s">
        <v>6051</v>
      </c>
      <c r="B774" t="s">
        <v>3351</v>
      </c>
      <c r="C774" t="s">
        <v>104</v>
      </c>
      <c r="D774" t="s">
        <v>153</v>
      </c>
      <c r="E774" t="s">
        <v>154</v>
      </c>
      <c r="F774" t="s">
        <v>3352</v>
      </c>
      <c r="G774" s="1" t="str">
        <f>HYPERLINK("https://homd.org/jbrowse/?data=homd_V11.02_phage_1.2%2FGCA_018127925.1&amp;loc=GCA_018127925.1%7CCP072348.1%3A1594759..1601763&amp;tracks=prokka,prokka_ncrna,ncbi,ncbi_ncrna,panggolin,cenote,genomad&amp;highlight=","Open JBrowse")</f>
        <v>Open JBrowse</v>
      </c>
      <c r="H774">
        <v>1597759</v>
      </c>
      <c r="I774">
        <v>1598763</v>
      </c>
      <c r="J774" t="s">
        <v>3353</v>
      </c>
      <c r="K774" t="s">
        <v>59</v>
      </c>
      <c r="L774" t="s">
        <v>157</v>
      </c>
      <c r="M774" t="s">
        <v>158</v>
      </c>
      <c r="N774" t="s">
        <v>42</v>
      </c>
      <c r="O774">
        <v>3</v>
      </c>
      <c r="P774" t="s">
        <v>42</v>
      </c>
      <c r="Q774" t="s">
        <v>59</v>
      </c>
      <c r="R774" t="s">
        <v>3354</v>
      </c>
      <c r="S774" t="s">
        <v>157</v>
      </c>
      <c r="T774" t="s">
        <v>42</v>
      </c>
      <c r="U774">
        <v>53</v>
      </c>
      <c r="V774">
        <v>279</v>
      </c>
      <c r="W774">
        <v>227</v>
      </c>
      <c r="X774" t="s">
        <v>160</v>
      </c>
      <c r="Y774" t="s">
        <v>3355</v>
      </c>
      <c r="Z774" t="s">
        <v>193</v>
      </c>
      <c r="AA774" t="s">
        <v>3356</v>
      </c>
      <c r="AB774" t="s">
        <v>3357</v>
      </c>
      <c r="AC774" t="s">
        <v>164</v>
      </c>
      <c r="AD774" t="s">
        <v>51</v>
      </c>
      <c r="AE774">
        <v>186.8</v>
      </c>
      <c r="AF774" t="s">
        <v>165</v>
      </c>
    </row>
    <row r="775" spans="1:32" x14ac:dyDescent="0.75">
      <c r="A775" s="22" t="s">
        <v>6051</v>
      </c>
      <c r="B775" t="s">
        <v>3358</v>
      </c>
      <c r="C775" t="s">
        <v>104</v>
      </c>
      <c r="D775" t="s">
        <v>153</v>
      </c>
      <c r="E775" t="s">
        <v>154</v>
      </c>
      <c r="F775" t="s">
        <v>3359</v>
      </c>
      <c r="G775" s="1" t="str">
        <f>HYPERLINK("https://homd.org/jbrowse/?data=homd_V11.02_phage_1.2%2FGCA_018127945.1&amp;loc=GCA_018127945.1%7CCP072351.1%3A1782712..1789716&amp;tracks=prokka,prokka_ncrna,ncbi,ncbi_ncrna,panggolin,cenote,genomad&amp;highlight=","Open JBrowse")</f>
        <v>Open JBrowse</v>
      </c>
      <c r="H775">
        <v>1785712</v>
      </c>
      <c r="I775">
        <v>1786716</v>
      </c>
      <c r="J775" t="s">
        <v>3360</v>
      </c>
      <c r="K775" t="s">
        <v>59</v>
      </c>
      <c r="L775" t="s">
        <v>157</v>
      </c>
      <c r="M775" t="s">
        <v>158</v>
      </c>
      <c r="N775" t="s">
        <v>42</v>
      </c>
      <c r="O775">
        <v>3</v>
      </c>
      <c r="P775" t="s">
        <v>42</v>
      </c>
      <c r="Q775" t="s">
        <v>59</v>
      </c>
      <c r="R775" t="s">
        <v>3361</v>
      </c>
      <c r="S775" t="s">
        <v>157</v>
      </c>
      <c r="T775" t="s">
        <v>42</v>
      </c>
      <c r="U775">
        <v>53</v>
      </c>
      <c r="V775">
        <v>279</v>
      </c>
      <c r="W775">
        <v>227</v>
      </c>
      <c r="X775" t="s">
        <v>160</v>
      </c>
      <c r="Y775" t="s">
        <v>3362</v>
      </c>
      <c r="Z775" t="s">
        <v>118</v>
      </c>
      <c r="AA775" t="s">
        <v>2983</v>
      </c>
    </row>
    <row r="776" spans="1:32" x14ac:dyDescent="0.75">
      <c r="A776" s="22" t="s">
        <v>6051</v>
      </c>
      <c r="B776" t="s">
        <v>3370</v>
      </c>
      <c r="C776" t="s">
        <v>104</v>
      </c>
      <c r="D776" t="s">
        <v>153</v>
      </c>
      <c r="E776" t="s">
        <v>154</v>
      </c>
      <c r="F776" t="s">
        <v>3371</v>
      </c>
      <c r="G776" s="1" t="str">
        <f>HYPERLINK("https://homd.org/jbrowse/?data=homd_V11.02_phage_1.2%2FGCA_018127965.1&amp;loc=GCA_018127965.1%7CCP072349.1%3A201732..208736&amp;tracks=prokka,prokka_ncrna,ncbi,ncbi_ncrna,panggolin,cenote,genomad&amp;highlight=","Open JBrowse")</f>
        <v>Open JBrowse</v>
      </c>
      <c r="H776">
        <v>204732</v>
      </c>
      <c r="I776">
        <v>205736</v>
      </c>
      <c r="J776" t="s">
        <v>3377</v>
      </c>
      <c r="K776" t="s">
        <v>59</v>
      </c>
      <c r="L776" t="s">
        <v>157</v>
      </c>
      <c r="M776" t="s">
        <v>158</v>
      </c>
      <c r="N776" t="s">
        <v>42</v>
      </c>
      <c r="O776">
        <v>3</v>
      </c>
      <c r="P776" t="s">
        <v>42</v>
      </c>
      <c r="Q776" t="s">
        <v>59</v>
      </c>
      <c r="R776" t="s">
        <v>3373</v>
      </c>
      <c r="S776" t="s">
        <v>157</v>
      </c>
      <c r="T776" t="s">
        <v>42</v>
      </c>
      <c r="U776">
        <v>53</v>
      </c>
      <c r="V776">
        <v>279</v>
      </c>
      <c r="W776">
        <v>227</v>
      </c>
      <c r="X776" t="s">
        <v>160</v>
      </c>
      <c r="Y776" t="s">
        <v>3378</v>
      </c>
      <c r="Z776" t="s">
        <v>1257</v>
      </c>
      <c r="AA776" t="s">
        <v>3379</v>
      </c>
    </row>
    <row r="777" spans="1:32" x14ac:dyDescent="0.75">
      <c r="A777" s="22" t="s">
        <v>6051</v>
      </c>
      <c r="B777" t="s">
        <v>3388</v>
      </c>
      <c r="C777" t="s">
        <v>104</v>
      </c>
      <c r="D777" t="s">
        <v>153</v>
      </c>
      <c r="E777" t="s">
        <v>154</v>
      </c>
      <c r="F777" t="s">
        <v>3389</v>
      </c>
      <c r="G777" s="1" t="str">
        <f>HYPERLINK("https://homd.org/jbrowse/?data=homd_V11.02_phage_1.2%2FGCA_018128005.1&amp;loc=GCA_018128005.1%7CCP072354.1%3A55220..62224&amp;tracks=prokka,prokka_ncrna,ncbi,ncbi_ncrna,panggolin,cenote,genomad&amp;highlight=","Open JBrowse")</f>
        <v>Open JBrowse</v>
      </c>
      <c r="H777">
        <v>58220</v>
      </c>
      <c r="I777">
        <v>59224</v>
      </c>
      <c r="J777" t="s">
        <v>3395</v>
      </c>
      <c r="K777" t="s">
        <v>59</v>
      </c>
      <c r="L777" t="s">
        <v>157</v>
      </c>
      <c r="M777" t="s">
        <v>158</v>
      </c>
      <c r="N777" t="s">
        <v>42</v>
      </c>
      <c r="O777">
        <v>3</v>
      </c>
      <c r="P777" t="s">
        <v>42</v>
      </c>
      <c r="Q777" t="s">
        <v>59</v>
      </c>
      <c r="R777" t="s">
        <v>3391</v>
      </c>
      <c r="S777" t="s">
        <v>157</v>
      </c>
      <c r="T777" t="s">
        <v>42</v>
      </c>
      <c r="U777">
        <v>53</v>
      </c>
      <c r="V777">
        <v>279</v>
      </c>
      <c r="W777">
        <v>227</v>
      </c>
      <c r="X777" t="s">
        <v>160</v>
      </c>
      <c r="Y777" t="s">
        <v>3396</v>
      </c>
      <c r="Z777" t="s">
        <v>1257</v>
      </c>
      <c r="AA777" t="s">
        <v>3397</v>
      </c>
    </row>
    <row r="778" spans="1:32" x14ac:dyDescent="0.75">
      <c r="A778" s="22" t="s">
        <v>6051</v>
      </c>
      <c r="B778" t="s">
        <v>3398</v>
      </c>
      <c r="C778" t="s">
        <v>104</v>
      </c>
      <c r="D778" t="s">
        <v>1054</v>
      </c>
      <c r="E778" t="s">
        <v>1055</v>
      </c>
      <c r="F778" t="s">
        <v>3399</v>
      </c>
      <c r="G778" s="1" t="str">
        <f>HYPERLINK("https://homd.org/jbrowse/?data=homd_V11.02_phage_1.2%2FGCA_018128045.1&amp;loc=GCA_018128045.1%7CCP072361.1%3A153810..160814&amp;tracks=prokka,prokka_ncrna,ncbi,ncbi_ncrna,panggolin,cenote,genomad&amp;highlight=","Open JBrowse")</f>
        <v>Open JBrowse</v>
      </c>
      <c r="H778">
        <v>156810</v>
      </c>
      <c r="I778">
        <v>157814</v>
      </c>
      <c r="J778" t="s">
        <v>3400</v>
      </c>
      <c r="K778" t="s">
        <v>59</v>
      </c>
      <c r="L778" t="s">
        <v>157</v>
      </c>
      <c r="M778" t="s">
        <v>158</v>
      </c>
      <c r="N778" t="s">
        <v>42</v>
      </c>
      <c r="O778">
        <v>3</v>
      </c>
      <c r="P778" t="s">
        <v>42</v>
      </c>
      <c r="Q778" t="s">
        <v>59</v>
      </c>
      <c r="R778" t="s">
        <v>3401</v>
      </c>
      <c r="S778" t="s">
        <v>157</v>
      </c>
      <c r="T778" t="s">
        <v>42</v>
      </c>
      <c r="U778">
        <v>53</v>
      </c>
      <c r="V778">
        <v>279</v>
      </c>
      <c r="W778">
        <v>227</v>
      </c>
      <c r="X778" t="s">
        <v>160</v>
      </c>
    </row>
    <row r="779" spans="1:32" x14ac:dyDescent="0.75">
      <c r="A779" s="22" t="s">
        <v>6051</v>
      </c>
      <c r="B779" t="s">
        <v>3406</v>
      </c>
      <c r="C779" t="s">
        <v>104</v>
      </c>
      <c r="D779" t="s">
        <v>1054</v>
      </c>
      <c r="E779" t="s">
        <v>1055</v>
      </c>
      <c r="F779" t="s">
        <v>3407</v>
      </c>
      <c r="G779" s="1" t="str">
        <f>HYPERLINK("https://homd.org/jbrowse/?data=homd_V11.02_phage_1.2%2FGCA_018128065.1&amp;loc=GCA_018128065.1%7CCP072360.1%3A313146..320150&amp;tracks=prokka,prokka_ncrna,ncbi,ncbi_ncrna,panggolin,cenote,genomad&amp;highlight=","Open JBrowse")</f>
        <v>Open JBrowse</v>
      </c>
      <c r="H779">
        <v>316146</v>
      </c>
      <c r="I779">
        <v>317150</v>
      </c>
      <c r="J779" t="s">
        <v>3408</v>
      </c>
      <c r="K779" t="s">
        <v>59</v>
      </c>
      <c r="L779" t="s">
        <v>157</v>
      </c>
      <c r="M779" t="s">
        <v>158</v>
      </c>
      <c r="N779" t="s">
        <v>42</v>
      </c>
      <c r="O779">
        <v>3</v>
      </c>
      <c r="P779" t="s">
        <v>42</v>
      </c>
      <c r="Q779" t="s">
        <v>59</v>
      </c>
      <c r="R779" t="s">
        <v>3409</v>
      </c>
      <c r="S779" t="s">
        <v>157</v>
      </c>
      <c r="T779" t="s">
        <v>42</v>
      </c>
      <c r="U779">
        <v>53</v>
      </c>
      <c r="V779">
        <v>279</v>
      </c>
      <c r="W779">
        <v>227</v>
      </c>
      <c r="X779" t="s">
        <v>160</v>
      </c>
    </row>
    <row r="780" spans="1:32" x14ac:dyDescent="0.75">
      <c r="A780" s="22" t="s">
        <v>6051</v>
      </c>
      <c r="B780" t="s">
        <v>3410</v>
      </c>
      <c r="C780" t="s">
        <v>104</v>
      </c>
      <c r="D780" t="s">
        <v>550</v>
      </c>
      <c r="E780" t="s">
        <v>551</v>
      </c>
      <c r="F780" t="s">
        <v>3411</v>
      </c>
      <c r="G780" s="1" t="str">
        <f>HYPERLINK("https://homd.org/jbrowse/?data=homd_V11.02_phage_1.2%2FGCA_018128085.1&amp;loc=GCA_018128085.1%7CCP072363.1%3A1258069..1265067&amp;tracks=prokka,prokka_ncrna,ncbi,ncbi_ncrna,panggolin,cenote,genomad&amp;highlight=","Open JBrowse")</f>
        <v>Open JBrowse</v>
      </c>
      <c r="H780">
        <v>1261069</v>
      </c>
      <c r="I780">
        <v>1262067</v>
      </c>
      <c r="J780" t="s">
        <v>3412</v>
      </c>
      <c r="K780" t="s">
        <v>59</v>
      </c>
      <c r="L780" t="s">
        <v>157</v>
      </c>
      <c r="M780" t="s">
        <v>158</v>
      </c>
      <c r="N780" t="s">
        <v>42</v>
      </c>
      <c r="O780">
        <v>3</v>
      </c>
      <c r="P780" t="s">
        <v>42</v>
      </c>
      <c r="Q780" t="s">
        <v>59</v>
      </c>
      <c r="R780" t="s">
        <v>3413</v>
      </c>
      <c r="S780" t="s">
        <v>157</v>
      </c>
      <c r="T780" t="s">
        <v>42</v>
      </c>
      <c r="U780">
        <v>53</v>
      </c>
      <c r="V780">
        <v>279</v>
      </c>
      <c r="W780">
        <v>227</v>
      </c>
      <c r="X780" t="s">
        <v>160</v>
      </c>
      <c r="Y780" t="s">
        <v>3414</v>
      </c>
      <c r="Z780" t="s">
        <v>132</v>
      </c>
      <c r="AA780" t="s">
        <v>2061</v>
      </c>
    </row>
    <row r="781" spans="1:32" x14ac:dyDescent="0.75">
      <c r="A781" s="22" t="s">
        <v>6051</v>
      </c>
      <c r="B781" t="s">
        <v>3415</v>
      </c>
      <c r="C781" t="s">
        <v>104</v>
      </c>
      <c r="D781" t="s">
        <v>550</v>
      </c>
      <c r="E781" t="s">
        <v>551</v>
      </c>
      <c r="F781" t="s">
        <v>3416</v>
      </c>
      <c r="G781" s="1" t="str">
        <f>HYPERLINK("https://homd.org/jbrowse/?data=homd_V11.02_phage_1.2%2FGCA_018128105.1&amp;loc=GCA_018128105.1%7CCP072365.1%3A756242..763246&amp;tracks=prokka,prokka_ncrna,ncbi,ncbi_ncrna,panggolin,cenote,genomad&amp;highlight=","Open JBrowse")</f>
        <v>Open JBrowse</v>
      </c>
      <c r="H781">
        <v>759242</v>
      </c>
      <c r="I781">
        <v>760246</v>
      </c>
      <c r="J781" t="s">
        <v>3417</v>
      </c>
      <c r="K781" t="s">
        <v>59</v>
      </c>
      <c r="L781" t="s">
        <v>157</v>
      </c>
      <c r="M781" t="s">
        <v>158</v>
      </c>
      <c r="N781" t="s">
        <v>42</v>
      </c>
      <c r="O781">
        <v>3</v>
      </c>
      <c r="P781" t="s">
        <v>42</v>
      </c>
      <c r="Q781" t="s">
        <v>59</v>
      </c>
      <c r="R781" t="s">
        <v>3418</v>
      </c>
      <c r="S781" t="s">
        <v>157</v>
      </c>
      <c r="T781" t="s">
        <v>42</v>
      </c>
      <c r="U781">
        <v>53</v>
      </c>
      <c r="V781">
        <v>279</v>
      </c>
      <c r="W781">
        <v>227</v>
      </c>
      <c r="X781" t="s">
        <v>160</v>
      </c>
      <c r="Y781" t="s">
        <v>3419</v>
      </c>
      <c r="Z781" t="s">
        <v>357</v>
      </c>
      <c r="AA781" t="s">
        <v>557</v>
      </c>
    </row>
    <row r="782" spans="1:32" x14ac:dyDescent="0.75">
      <c r="A782" s="22" t="s">
        <v>6051</v>
      </c>
      <c r="B782" t="s">
        <v>3424</v>
      </c>
      <c r="C782" t="s">
        <v>104</v>
      </c>
      <c r="D782" t="s">
        <v>1273</v>
      </c>
      <c r="E782" t="s">
        <v>1274</v>
      </c>
      <c r="F782" t="s">
        <v>3425</v>
      </c>
      <c r="G782" s="1" t="str">
        <f>HYPERLINK("https://homd.org/jbrowse/?data=homd_V11.02_phage_1.2%2FGCA_018128145.1&amp;loc=GCA_018128145.1%7CCP072370.1%3A219181..226185&amp;tracks=prokka,prokka_ncrna,ncbi,ncbi_ncrna,panggolin,cenote,genomad&amp;highlight=","Open JBrowse")</f>
        <v>Open JBrowse</v>
      </c>
      <c r="H782">
        <v>222181</v>
      </c>
      <c r="I782">
        <v>223185</v>
      </c>
      <c r="J782" t="s">
        <v>3426</v>
      </c>
      <c r="K782" t="s">
        <v>59</v>
      </c>
      <c r="L782" t="s">
        <v>157</v>
      </c>
      <c r="M782" t="s">
        <v>158</v>
      </c>
      <c r="N782" t="s">
        <v>42</v>
      </c>
      <c r="O782">
        <v>3</v>
      </c>
      <c r="P782" t="s">
        <v>42</v>
      </c>
      <c r="Q782" t="s">
        <v>59</v>
      </c>
      <c r="R782" t="s">
        <v>3427</v>
      </c>
      <c r="S782" t="s">
        <v>157</v>
      </c>
      <c r="T782" t="s">
        <v>42</v>
      </c>
      <c r="U782">
        <v>53</v>
      </c>
      <c r="V782">
        <v>279</v>
      </c>
      <c r="W782">
        <v>227</v>
      </c>
      <c r="X782" t="s">
        <v>160</v>
      </c>
      <c r="Y782" t="s">
        <v>3428</v>
      </c>
      <c r="Z782" t="s">
        <v>620</v>
      </c>
      <c r="AA782" t="s">
        <v>1425</v>
      </c>
      <c r="AB782" t="s">
        <v>3429</v>
      </c>
      <c r="AC782" t="s">
        <v>164</v>
      </c>
      <c r="AD782" t="s">
        <v>51</v>
      </c>
      <c r="AE782">
        <v>192</v>
      </c>
      <c r="AF782" t="s">
        <v>165</v>
      </c>
    </row>
    <row r="783" spans="1:32" x14ac:dyDescent="0.75">
      <c r="A783" s="22" t="s">
        <v>6051</v>
      </c>
      <c r="B783" t="s">
        <v>3685</v>
      </c>
      <c r="C783" t="s">
        <v>104</v>
      </c>
      <c r="D783" t="s">
        <v>153</v>
      </c>
      <c r="E783" t="s">
        <v>154</v>
      </c>
      <c r="F783" t="s">
        <v>3686</v>
      </c>
      <c r="G783" s="1" t="str">
        <f>HYPERLINK("https://homd.org/jbrowse/?data=homd_V11.02_phage_1.2%2FGCA_019375525.1&amp;loc=GCA_019375525.1%7CJAHXCC010000010.1%3A40120..47124&amp;tracks=prokka,prokka_ncrna,ncbi,ncbi_ncrna,panggolin,cenote,genomad&amp;highlight=","Open JBrowse")</f>
        <v>Open JBrowse</v>
      </c>
      <c r="H783">
        <v>43120</v>
      </c>
      <c r="I783">
        <v>44124</v>
      </c>
      <c r="J783" t="s">
        <v>3687</v>
      </c>
      <c r="K783" t="s">
        <v>59</v>
      </c>
      <c r="L783" t="s">
        <v>157</v>
      </c>
      <c r="M783" t="s">
        <v>158</v>
      </c>
      <c r="N783" t="s">
        <v>42</v>
      </c>
      <c r="O783">
        <v>3</v>
      </c>
      <c r="P783" t="s">
        <v>42</v>
      </c>
      <c r="Q783" t="s">
        <v>59</v>
      </c>
      <c r="R783" t="s">
        <v>3688</v>
      </c>
      <c r="S783" t="s">
        <v>157</v>
      </c>
      <c r="T783" t="s">
        <v>42</v>
      </c>
      <c r="U783">
        <v>53</v>
      </c>
      <c r="V783">
        <v>279</v>
      </c>
      <c r="W783">
        <v>227</v>
      </c>
      <c r="X783" t="s">
        <v>160</v>
      </c>
      <c r="Y783" t="s">
        <v>3689</v>
      </c>
      <c r="Z783" t="s">
        <v>530</v>
      </c>
      <c r="AA783" t="s">
        <v>2983</v>
      </c>
    </row>
    <row r="784" spans="1:32" x14ac:dyDescent="0.75">
      <c r="A784" s="22" t="s">
        <v>6051</v>
      </c>
      <c r="B784" t="s">
        <v>3690</v>
      </c>
      <c r="C784" t="s">
        <v>104</v>
      </c>
      <c r="D784" t="s">
        <v>153</v>
      </c>
      <c r="E784" t="s">
        <v>154</v>
      </c>
      <c r="F784" t="s">
        <v>3691</v>
      </c>
      <c r="G784" s="1" t="str">
        <f>HYPERLINK("https://homd.org/jbrowse/?data=homd_V11.02_phage_1.2%2FGCA_019375575.1&amp;loc=GCA_019375575.1%7CJAHXCE010000010.1%3A3798..10802&amp;tracks=prokka,prokka_ncrna,ncbi,ncbi_ncrna,panggolin,cenote,genomad&amp;highlight=","Open JBrowse")</f>
        <v>Open JBrowse</v>
      </c>
      <c r="H784">
        <v>6798</v>
      </c>
      <c r="I784">
        <v>7802</v>
      </c>
      <c r="J784" t="s">
        <v>3692</v>
      </c>
      <c r="K784" t="s">
        <v>59</v>
      </c>
      <c r="L784" t="s">
        <v>157</v>
      </c>
      <c r="M784" t="s">
        <v>158</v>
      </c>
      <c r="N784" t="s">
        <v>42</v>
      </c>
      <c r="O784">
        <v>3</v>
      </c>
      <c r="P784" t="s">
        <v>42</v>
      </c>
      <c r="Q784" t="s">
        <v>59</v>
      </c>
      <c r="R784" t="s">
        <v>3693</v>
      </c>
      <c r="S784" t="s">
        <v>157</v>
      </c>
      <c r="T784" t="s">
        <v>42</v>
      </c>
      <c r="U784">
        <v>53</v>
      </c>
      <c r="V784">
        <v>279</v>
      </c>
      <c r="W784">
        <v>227</v>
      </c>
      <c r="X784" t="s">
        <v>160</v>
      </c>
      <c r="Y784" t="s">
        <v>3694</v>
      </c>
      <c r="Z784" t="s">
        <v>470</v>
      </c>
      <c r="AA784" t="s">
        <v>2983</v>
      </c>
    </row>
    <row r="785" spans="1:32" x14ac:dyDescent="0.75">
      <c r="A785" s="22" t="s">
        <v>6051</v>
      </c>
      <c r="B785" t="s">
        <v>3701</v>
      </c>
      <c r="C785" t="s">
        <v>104</v>
      </c>
      <c r="D785" t="s">
        <v>153</v>
      </c>
      <c r="E785" t="s">
        <v>154</v>
      </c>
      <c r="F785" t="s">
        <v>3702</v>
      </c>
      <c r="G785" s="1" t="str">
        <f>HYPERLINK("https://homd.org/jbrowse/?data=homd_V11.02_phage_1.2%2FGCA_019375605.1&amp;loc=GCA_019375605.1%7CJAHXCD010000010.1%3A40722..47726&amp;tracks=prokka,prokka_ncrna,ncbi,ncbi_ncrna,panggolin,cenote,genomad&amp;highlight=","Open JBrowse")</f>
        <v>Open JBrowse</v>
      </c>
      <c r="H785">
        <v>43722</v>
      </c>
      <c r="I785">
        <v>44726</v>
      </c>
      <c r="J785" t="s">
        <v>3703</v>
      </c>
      <c r="K785" t="s">
        <v>59</v>
      </c>
      <c r="L785" t="s">
        <v>157</v>
      </c>
      <c r="M785" t="s">
        <v>158</v>
      </c>
      <c r="N785" t="s">
        <v>42</v>
      </c>
      <c r="O785">
        <v>3</v>
      </c>
      <c r="P785" t="s">
        <v>42</v>
      </c>
      <c r="Q785" t="s">
        <v>59</v>
      </c>
      <c r="R785" t="s">
        <v>3704</v>
      </c>
      <c r="S785" t="s">
        <v>157</v>
      </c>
      <c r="T785" t="s">
        <v>42</v>
      </c>
      <c r="U785">
        <v>53</v>
      </c>
      <c r="V785">
        <v>279</v>
      </c>
      <c r="W785">
        <v>227</v>
      </c>
      <c r="X785" t="s">
        <v>160</v>
      </c>
      <c r="Y785" t="s">
        <v>3705</v>
      </c>
      <c r="Z785" t="s">
        <v>824</v>
      </c>
      <c r="AA785" t="s">
        <v>2983</v>
      </c>
    </row>
    <row r="786" spans="1:32" x14ac:dyDescent="0.75">
      <c r="A786" s="22" t="s">
        <v>6051</v>
      </c>
      <c r="B786" t="s">
        <v>3719</v>
      </c>
      <c r="C786" t="s">
        <v>104</v>
      </c>
      <c r="D786" t="s">
        <v>153</v>
      </c>
      <c r="E786" t="s">
        <v>154</v>
      </c>
      <c r="F786" t="s">
        <v>3720</v>
      </c>
      <c r="G786" s="1" t="str">
        <f>HYPERLINK("https://homd.org/jbrowse/?data=homd_V11.02_phage_1.2%2FGCA_019375715.1&amp;loc=GCA_019375715.1%7CJAHXCK010000003.1%3A132478..139482&amp;tracks=prokka,prokka_ncrna,ncbi,ncbi_ncrna,panggolin,cenote,genomad&amp;highlight=","Open JBrowse")</f>
        <v>Open JBrowse</v>
      </c>
      <c r="H786">
        <v>135478</v>
      </c>
      <c r="I786">
        <v>136482</v>
      </c>
      <c r="J786" t="s">
        <v>3721</v>
      </c>
      <c r="K786" t="s">
        <v>59</v>
      </c>
      <c r="L786" t="s">
        <v>157</v>
      </c>
      <c r="M786" t="s">
        <v>158</v>
      </c>
      <c r="N786" t="s">
        <v>42</v>
      </c>
      <c r="O786">
        <v>3</v>
      </c>
      <c r="P786" t="s">
        <v>42</v>
      </c>
      <c r="Q786" t="s">
        <v>59</v>
      </c>
      <c r="R786" t="s">
        <v>3722</v>
      </c>
      <c r="S786" t="s">
        <v>157</v>
      </c>
      <c r="T786" t="s">
        <v>42</v>
      </c>
      <c r="U786">
        <v>53</v>
      </c>
      <c r="V786">
        <v>279</v>
      </c>
      <c r="W786">
        <v>227</v>
      </c>
      <c r="X786" t="s">
        <v>160</v>
      </c>
      <c r="Y786" t="s">
        <v>3723</v>
      </c>
      <c r="Z786" t="s">
        <v>357</v>
      </c>
      <c r="AA786" t="s">
        <v>3397</v>
      </c>
    </row>
    <row r="787" spans="1:32" x14ac:dyDescent="0.75">
      <c r="A787" s="22" t="s">
        <v>6051</v>
      </c>
      <c r="B787" t="s">
        <v>3729</v>
      </c>
      <c r="C787" t="s">
        <v>104</v>
      </c>
      <c r="D787" t="s">
        <v>153</v>
      </c>
      <c r="E787" t="s">
        <v>154</v>
      </c>
      <c r="F787" t="s">
        <v>3730</v>
      </c>
      <c r="G787" s="1" t="str">
        <f>HYPERLINK("https://homd.org/jbrowse/?data=homd_V11.02_phage_1.2%2FGCA_019375745.1&amp;loc=GCA_019375745.1%7CJAHXCM010000003.1%3A50996..58000&amp;tracks=prokka,prokka_ncrna,ncbi,ncbi_ncrna,panggolin,cenote,genomad&amp;highlight=","Open JBrowse")</f>
        <v>Open JBrowse</v>
      </c>
      <c r="H787">
        <v>53996</v>
      </c>
      <c r="I787">
        <v>55000</v>
      </c>
      <c r="J787" t="s">
        <v>3731</v>
      </c>
      <c r="K787" t="s">
        <v>59</v>
      </c>
      <c r="L787" t="s">
        <v>157</v>
      </c>
      <c r="M787" t="s">
        <v>158</v>
      </c>
      <c r="N787" t="s">
        <v>42</v>
      </c>
      <c r="O787">
        <v>3</v>
      </c>
      <c r="P787" t="s">
        <v>42</v>
      </c>
      <c r="Q787" t="s">
        <v>59</v>
      </c>
      <c r="R787" t="s">
        <v>3732</v>
      </c>
      <c r="S787" t="s">
        <v>157</v>
      </c>
      <c r="T787" t="s">
        <v>42</v>
      </c>
      <c r="U787">
        <v>53</v>
      </c>
      <c r="V787">
        <v>279</v>
      </c>
      <c r="W787">
        <v>227</v>
      </c>
      <c r="X787" t="s">
        <v>160</v>
      </c>
      <c r="Y787" t="s">
        <v>3733</v>
      </c>
      <c r="Z787" t="s">
        <v>547</v>
      </c>
      <c r="AA787" t="s">
        <v>2983</v>
      </c>
    </row>
    <row r="788" spans="1:32" x14ac:dyDescent="0.75">
      <c r="A788" s="22" t="s">
        <v>6051</v>
      </c>
      <c r="B788" t="s">
        <v>3734</v>
      </c>
      <c r="C788" t="s">
        <v>104</v>
      </c>
      <c r="D788" t="s">
        <v>153</v>
      </c>
      <c r="E788" t="s">
        <v>154</v>
      </c>
      <c r="F788" t="s">
        <v>3735</v>
      </c>
      <c r="G788" s="1" t="str">
        <f>HYPERLINK("https://homd.org/jbrowse/?data=homd_V11.02_phage_1.2%2FGCA_019375775.1&amp;loc=GCA_019375775.1%7CJAHXCN010000003.1%3A132634..139638&amp;tracks=prokka,prokka_ncrna,ncbi,ncbi_ncrna,panggolin,cenote,genomad&amp;highlight=","Open JBrowse")</f>
        <v>Open JBrowse</v>
      </c>
      <c r="H788">
        <v>135634</v>
      </c>
      <c r="I788">
        <v>136638</v>
      </c>
      <c r="J788" t="s">
        <v>3736</v>
      </c>
      <c r="K788" t="s">
        <v>59</v>
      </c>
      <c r="L788" t="s">
        <v>157</v>
      </c>
      <c r="M788" t="s">
        <v>158</v>
      </c>
      <c r="N788" t="s">
        <v>42</v>
      </c>
      <c r="O788">
        <v>3</v>
      </c>
      <c r="P788" t="s">
        <v>42</v>
      </c>
      <c r="Q788" t="s">
        <v>59</v>
      </c>
      <c r="R788" t="s">
        <v>3737</v>
      </c>
      <c r="S788" t="s">
        <v>157</v>
      </c>
      <c r="T788" t="s">
        <v>42</v>
      </c>
      <c r="U788">
        <v>53</v>
      </c>
      <c r="V788">
        <v>279</v>
      </c>
      <c r="W788">
        <v>227</v>
      </c>
      <c r="X788" t="s">
        <v>160</v>
      </c>
      <c r="Y788" t="s">
        <v>3738</v>
      </c>
      <c r="Z788" t="s">
        <v>357</v>
      </c>
      <c r="AA788" t="s">
        <v>3397</v>
      </c>
    </row>
    <row r="789" spans="1:32" x14ac:dyDescent="0.75">
      <c r="A789" s="22" t="s">
        <v>6051</v>
      </c>
      <c r="B789" t="s">
        <v>3739</v>
      </c>
      <c r="C789" t="s">
        <v>104</v>
      </c>
      <c r="D789" t="s">
        <v>153</v>
      </c>
      <c r="E789" t="s">
        <v>154</v>
      </c>
      <c r="F789" t="s">
        <v>3740</v>
      </c>
      <c r="G789" s="1" t="str">
        <f>HYPERLINK("https://homd.org/jbrowse/?data=homd_V11.02_phage_1.2%2FGCA_019375815.1&amp;loc=GCA_019375815.1%7CJAHXCP010000002.1%3A292377..299381&amp;tracks=prokka,prokka_ncrna,ncbi,ncbi_ncrna,panggolin,cenote,genomad&amp;highlight=","Open JBrowse")</f>
        <v>Open JBrowse</v>
      </c>
      <c r="H789">
        <v>295377</v>
      </c>
      <c r="I789">
        <v>296381</v>
      </c>
      <c r="J789" t="s">
        <v>3741</v>
      </c>
      <c r="K789" t="s">
        <v>59</v>
      </c>
      <c r="L789" t="s">
        <v>157</v>
      </c>
      <c r="M789" t="s">
        <v>158</v>
      </c>
      <c r="N789" t="s">
        <v>42</v>
      </c>
      <c r="O789">
        <v>3</v>
      </c>
      <c r="P789" t="s">
        <v>42</v>
      </c>
      <c r="Q789" t="s">
        <v>59</v>
      </c>
      <c r="R789" t="s">
        <v>3742</v>
      </c>
      <c r="S789" t="s">
        <v>157</v>
      </c>
      <c r="T789" t="s">
        <v>42</v>
      </c>
      <c r="U789">
        <v>53</v>
      </c>
      <c r="V789">
        <v>279</v>
      </c>
      <c r="W789">
        <v>227</v>
      </c>
      <c r="X789" t="s">
        <v>160</v>
      </c>
      <c r="Y789" t="s">
        <v>3743</v>
      </c>
      <c r="Z789" t="s">
        <v>302</v>
      </c>
      <c r="AA789" t="s">
        <v>3744</v>
      </c>
      <c r="AB789" t="s">
        <v>3745</v>
      </c>
      <c r="AC789" t="s">
        <v>164</v>
      </c>
      <c r="AD789" t="s">
        <v>51</v>
      </c>
      <c r="AE789">
        <v>188</v>
      </c>
      <c r="AF789" t="s">
        <v>165</v>
      </c>
    </row>
    <row r="790" spans="1:32" x14ac:dyDescent="0.75">
      <c r="A790" s="22" t="s">
        <v>6051</v>
      </c>
      <c r="B790" t="s">
        <v>3752</v>
      </c>
      <c r="C790" t="s">
        <v>104</v>
      </c>
      <c r="D790" t="s">
        <v>550</v>
      </c>
      <c r="E790" t="s">
        <v>551</v>
      </c>
      <c r="F790" t="s">
        <v>3753</v>
      </c>
      <c r="G790" s="1" t="str">
        <f>HYPERLINK("https://homd.org/jbrowse/?data=homd_V11.02_phage_1.2%2FGCA_019375855.1&amp;loc=GCA_019375855.1%7CJAHXCS010000033.1%3A34564..41565&amp;tracks=prokka,prokka_ncrna,ncbi,ncbi_ncrna,panggolin,cenote,genomad&amp;highlight=","Open JBrowse")</f>
        <v>Open JBrowse</v>
      </c>
      <c r="H790">
        <v>37564</v>
      </c>
      <c r="I790">
        <v>38565</v>
      </c>
      <c r="J790" t="s">
        <v>3754</v>
      </c>
      <c r="K790" t="s">
        <v>59</v>
      </c>
      <c r="L790" t="s">
        <v>157</v>
      </c>
      <c r="M790" t="s">
        <v>158</v>
      </c>
      <c r="N790" t="s">
        <v>42</v>
      </c>
      <c r="O790">
        <v>3</v>
      </c>
      <c r="P790" t="s">
        <v>42</v>
      </c>
      <c r="Q790" t="s">
        <v>59</v>
      </c>
      <c r="R790" t="s">
        <v>3755</v>
      </c>
      <c r="S790" t="s">
        <v>157</v>
      </c>
      <c r="T790" t="s">
        <v>42</v>
      </c>
      <c r="U790">
        <v>53</v>
      </c>
      <c r="V790">
        <v>279</v>
      </c>
      <c r="W790">
        <v>227</v>
      </c>
      <c r="X790" t="s">
        <v>160</v>
      </c>
      <c r="Y790" t="s">
        <v>3756</v>
      </c>
      <c r="Z790" t="s">
        <v>780</v>
      </c>
      <c r="AA790" t="s">
        <v>557</v>
      </c>
    </row>
    <row r="791" spans="1:32" x14ac:dyDescent="0.75">
      <c r="A791" s="22" t="s">
        <v>6051</v>
      </c>
      <c r="B791" t="s">
        <v>3766</v>
      </c>
      <c r="C791" t="s">
        <v>104</v>
      </c>
      <c r="D791" t="s">
        <v>153</v>
      </c>
      <c r="E791" t="s">
        <v>154</v>
      </c>
      <c r="F791" t="s">
        <v>3767</v>
      </c>
      <c r="G791" s="1" t="str">
        <f>HYPERLINK("https://homd.org/jbrowse/?data=homd_V11.02_phage_1.2%2FGCA_019375935.1&amp;loc=GCA_019375935.1%7CJAHXCW010000010.1%3A53479..60483&amp;tracks=prokka,prokka_ncrna,ncbi,ncbi_ncrna,panggolin,cenote,genomad&amp;highlight=","Open JBrowse")</f>
        <v>Open JBrowse</v>
      </c>
      <c r="H791">
        <v>56479</v>
      </c>
      <c r="I791">
        <v>57483</v>
      </c>
      <c r="J791" t="s">
        <v>3768</v>
      </c>
      <c r="K791" t="s">
        <v>59</v>
      </c>
      <c r="L791" t="s">
        <v>157</v>
      </c>
      <c r="M791" t="s">
        <v>158</v>
      </c>
      <c r="N791" t="s">
        <v>42</v>
      </c>
      <c r="O791">
        <v>3</v>
      </c>
      <c r="P791" t="s">
        <v>42</v>
      </c>
      <c r="Q791" t="s">
        <v>59</v>
      </c>
      <c r="R791" t="s">
        <v>3769</v>
      </c>
      <c r="S791" t="s">
        <v>157</v>
      </c>
      <c r="T791" t="s">
        <v>42</v>
      </c>
      <c r="U791">
        <v>53</v>
      </c>
      <c r="V791">
        <v>279</v>
      </c>
      <c r="W791">
        <v>227</v>
      </c>
      <c r="X791" t="s">
        <v>160</v>
      </c>
      <c r="Y791" t="s">
        <v>3770</v>
      </c>
      <c r="Z791" t="s">
        <v>410</v>
      </c>
      <c r="AA791" t="s">
        <v>3397</v>
      </c>
    </row>
    <row r="792" spans="1:32" x14ac:dyDescent="0.75">
      <c r="A792" s="22" t="s">
        <v>6051</v>
      </c>
      <c r="B792" t="s">
        <v>3795</v>
      </c>
      <c r="C792" t="s">
        <v>104</v>
      </c>
      <c r="D792" t="s">
        <v>153</v>
      </c>
      <c r="E792" t="s">
        <v>154</v>
      </c>
      <c r="F792" t="s">
        <v>3796</v>
      </c>
      <c r="G792" s="1" t="str">
        <f>HYPERLINK("https://homd.org/jbrowse/?data=homd_V11.02_phage_1.2%2FGCA_019391775.1&amp;loc=GCA_019391775.1%7CJAHXQZ010000009.1%3A78528..85532&amp;tracks=prokka,prokka_ncrna,ncbi,ncbi_ncrna,panggolin,cenote,genomad&amp;highlight=","Open JBrowse")</f>
        <v>Open JBrowse</v>
      </c>
      <c r="H792">
        <v>81528</v>
      </c>
      <c r="I792">
        <v>82532</v>
      </c>
      <c r="J792" t="s">
        <v>3797</v>
      </c>
      <c r="K792" t="s">
        <v>59</v>
      </c>
      <c r="L792" t="s">
        <v>157</v>
      </c>
      <c r="M792" t="s">
        <v>158</v>
      </c>
      <c r="N792" t="s">
        <v>42</v>
      </c>
      <c r="O792">
        <v>3</v>
      </c>
      <c r="P792" t="s">
        <v>42</v>
      </c>
      <c r="Q792" t="s">
        <v>59</v>
      </c>
      <c r="R792" t="s">
        <v>3798</v>
      </c>
      <c r="S792" t="s">
        <v>157</v>
      </c>
      <c r="T792" t="s">
        <v>42</v>
      </c>
      <c r="U792">
        <v>53</v>
      </c>
      <c r="V792">
        <v>279</v>
      </c>
      <c r="W792">
        <v>227</v>
      </c>
      <c r="X792" t="s">
        <v>160</v>
      </c>
      <c r="Y792" t="s">
        <v>3799</v>
      </c>
      <c r="Z792" t="s">
        <v>410</v>
      </c>
      <c r="AA792" t="s">
        <v>1200</v>
      </c>
      <c r="AB792" t="s">
        <v>3800</v>
      </c>
      <c r="AC792" t="s">
        <v>164</v>
      </c>
      <c r="AD792" t="s">
        <v>51</v>
      </c>
      <c r="AE792">
        <v>183.7</v>
      </c>
      <c r="AF792" t="s">
        <v>165</v>
      </c>
    </row>
    <row r="793" spans="1:32" x14ac:dyDescent="0.75">
      <c r="A793" s="22" t="s">
        <v>6051</v>
      </c>
      <c r="B793" t="s">
        <v>3801</v>
      </c>
      <c r="C793" t="s">
        <v>104</v>
      </c>
      <c r="D793" t="s">
        <v>153</v>
      </c>
      <c r="E793" t="s">
        <v>154</v>
      </c>
      <c r="F793" t="s">
        <v>3802</v>
      </c>
      <c r="G793" s="1" t="str">
        <f>HYPERLINK("https://homd.org/jbrowse/?data=homd_V11.02_phage_1.2%2FGCA_019391815.1&amp;loc=GCA_019391815.1%7CJAHXRA010000010.1%3A103604..110608&amp;tracks=prokka,prokka_ncrna,ncbi,ncbi_ncrna,panggolin,cenote,genomad&amp;highlight=","Open JBrowse")</f>
        <v>Open JBrowse</v>
      </c>
      <c r="H793">
        <v>106604</v>
      </c>
      <c r="I793">
        <v>107608</v>
      </c>
      <c r="J793" t="s">
        <v>3803</v>
      </c>
      <c r="K793" t="s">
        <v>59</v>
      </c>
      <c r="L793" t="s">
        <v>157</v>
      </c>
      <c r="M793" t="s">
        <v>158</v>
      </c>
      <c r="N793" t="s">
        <v>42</v>
      </c>
      <c r="O793">
        <v>3</v>
      </c>
      <c r="P793" t="s">
        <v>42</v>
      </c>
      <c r="Q793" t="s">
        <v>59</v>
      </c>
      <c r="R793" t="s">
        <v>3804</v>
      </c>
      <c r="S793" t="s">
        <v>157</v>
      </c>
      <c r="T793" t="s">
        <v>42</v>
      </c>
      <c r="U793">
        <v>53</v>
      </c>
      <c r="V793">
        <v>279</v>
      </c>
      <c r="W793">
        <v>227</v>
      </c>
      <c r="X793" t="s">
        <v>160</v>
      </c>
      <c r="Y793" t="s">
        <v>3805</v>
      </c>
      <c r="Z793" t="s">
        <v>530</v>
      </c>
      <c r="AA793" t="s">
        <v>3397</v>
      </c>
    </row>
    <row r="794" spans="1:32" x14ac:dyDescent="0.75">
      <c r="A794" s="22" t="s">
        <v>6051</v>
      </c>
      <c r="B794" t="s">
        <v>4014</v>
      </c>
      <c r="C794" t="s">
        <v>104</v>
      </c>
      <c r="D794" t="s">
        <v>153</v>
      </c>
      <c r="E794" t="s">
        <v>154</v>
      </c>
      <c r="F794" t="s">
        <v>4015</v>
      </c>
      <c r="G794" s="1" t="str">
        <f>HYPERLINK("https://homd.org/jbrowse/?data=homd_V11.02_phage_1.2%2FGCA_020735785.1&amp;loc=GCA_020735785.1%7CCP085942.1%3A1358497..1365501&amp;tracks=prokka,prokka_ncrna,ncbi,ncbi_ncrna,panggolin,cenote,genomad&amp;highlight=","Open JBrowse")</f>
        <v>Open JBrowse</v>
      </c>
      <c r="H794">
        <v>1361497</v>
      </c>
      <c r="I794">
        <v>1362501</v>
      </c>
      <c r="J794" t="s">
        <v>4016</v>
      </c>
      <c r="K794" t="s">
        <v>59</v>
      </c>
      <c r="L794" t="s">
        <v>157</v>
      </c>
      <c r="M794" t="s">
        <v>158</v>
      </c>
      <c r="N794" t="s">
        <v>42</v>
      </c>
      <c r="O794">
        <v>3</v>
      </c>
      <c r="P794" t="s">
        <v>42</v>
      </c>
      <c r="Q794" t="s">
        <v>59</v>
      </c>
      <c r="R794" t="s">
        <v>4017</v>
      </c>
      <c r="S794" t="s">
        <v>157</v>
      </c>
      <c r="T794" t="s">
        <v>42</v>
      </c>
      <c r="U794">
        <v>53</v>
      </c>
      <c r="V794">
        <v>279</v>
      </c>
      <c r="W794">
        <v>227</v>
      </c>
      <c r="X794" t="s">
        <v>160</v>
      </c>
      <c r="Y794" t="s">
        <v>4018</v>
      </c>
      <c r="Z794" t="s">
        <v>132</v>
      </c>
      <c r="AA794" t="s">
        <v>162</v>
      </c>
      <c r="AB794" t="s">
        <v>4019</v>
      </c>
      <c r="AC794" t="s">
        <v>164</v>
      </c>
      <c r="AD794" t="s">
        <v>51</v>
      </c>
      <c r="AE794">
        <v>185.3</v>
      </c>
      <c r="AF794" t="s">
        <v>165</v>
      </c>
    </row>
    <row r="795" spans="1:32" x14ac:dyDescent="0.75">
      <c r="A795" s="22" t="s">
        <v>6051</v>
      </c>
      <c r="B795" t="s">
        <v>5164</v>
      </c>
      <c r="C795" t="s">
        <v>104</v>
      </c>
      <c r="D795" t="s">
        <v>550</v>
      </c>
      <c r="E795" t="s">
        <v>551</v>
      </c>
      <c r="F795" t="s">
        <v>5165</v>
      </c>
      <c r="G795" s="1" t="str">
        <f>HYPERLINK("https://homd.org/jbrowse/?data=homd_V11.02_phage_1.2%2FGCA_900187995.1&amp;loc=GCA_900187995.1%7CFZNZ01000032.1%3A1571..8575&amp;tracks=prokka,prokka_ncrna,ncbi,ncbi_ncrna,panggolin,cenote,genomad&amp;highlight=","Open JBrowse")</f>
        <v>Open JBrowse</v>
      </c>
      <c r="H795">
        <v>4571</v>
      </c>
      <c r="I795">
        <v>5575</v>
      </c>
      <c r="J795" t="s">
        <v>5166</v>
      </c>
      <c r="K795" t="s">
        <v>59</v>
      </c>
      <c r="L795" t="s">
        <v>157</v>
      </c>
      <c r="M795" t="s">
        <v>158</v>
      </c>
      <c r="N795" t="s">
        <v>42</v>
      </c>
      <c r="O795">
        <v>3</v>
      </c>
      <c r="P795" t="s">
        <v>42</v>
      </c>
      <c r="Q795" t="s">
        <v>59</v>
      </c>
      <c r="R795" t="s">
        <v>5167</v>
      </c>
      <c r="S795" t="s">
        <v>157</v>
      </c>
      <c r="T795" t="s">
        <v>42</v>
      </c>
      <c r="U795">
        <v>53</v>
      </c>
      <c r="V795">
        <v>279</v>
      </c>
      <c r="W795">
        <v>227</v>
      </c>
      <c r="X795" t="s">
        <v>160</v>
      </c>
      <c r="Y795" t="s">
        <v>5168</v>
      </c>
      <c r="Z795" t="s">
        <v>420</v>
      </c>
      <c r="AA795" t="s">
        <v>2061</v>
      </c>
    </row>
    <row r="796" spans="1:32" x14ac:dyDescent="0.75">
      <c r="A796" s="22" t="s">
        <v>6051</v>
      </c>
      <c r="B796" t="s">
        <v>5400</v>
      </c>
      <c r="C796" t="s">
        <v>104</v>
      </c>
      <c r="D796" t="s">
        <v>153</v>
      </c>
      <c r="E796" t="s">
        <v>154</v>
      </c>
      <c r="F796" t="s">
        <v>5401</v>
      </c>
      <c r="G796" s="1" t="str">
        <f>HYPERLINK("https://homd.org/jbrowse/?data=homd_V11.02_phage_1.2%2FGCA_902484395.1&amp;loc=GCA_902484395.1%7CCABTGN010000079.1%3A8046..15050&amp;tracks=prokka,prokka_ncrna,ncbi,ncbi_ncrna,panggolin,cenote,genomad&amp;highlight=","Open JBrowse")</f>
        <v>Open JBrowse</v>
      </c>
      <c r="H796">
        <v>11046</v>
      </c>
      <c r="I796">
        <v>12050</v>
      </c>
      <c r="J796" t="s">
        <v>5402</v>
      </c>
      <c r="K796" t="s">
        <v>59</v>
      </c>
      <c r="L796" t="s">
        <v>157</v>
      </c>
      <c r="M796" t="s">
        <v>158</v>
      </c>
      <c r="N796" t="s">
        <v>42</v>
      </c>
      <c r="O796">
        <v>3</v>
      </c>
      <c r="P796" t="s">
        <v>42</v>
      </c>
      <c r="Q796" t="s">
        <v>59</v>
      </c>
      <c r="R796" t="s">
        <v>5403</v>
      </c>
      <c r="S796" t="s">
        <v>157</v>
      </c>
      <c r="T796" t="s">
        <v>42</v>
      </c>
      <c r="U796">
        <v>53</v>
      </c>
      <c r="V796">
        <v>279</v>
      </c>
      <c r="W796">
        <v>227</v>
      </c>
      <c r="X796" t="s">
        <v>160</v>
      </c>
      <c r="Y796" t="s">
        <v>5404</v>
      </c>
      <c r="Z796" t="s">
        <v>416</v>
      </c>
      <c r="AA796" t="s">
        <v>2983</v>
      </c>
    </row>
    <row r="797" spans="1:32" x14ac:dyDescent="0.75">
      <c r="A797" s="22" t="s">
        <v>6051</v>
      </c>
      <c r="B797" t="s">
        <v>5409</v>
      </c>
      <c r="C797" t="s">
        <v>104</v>
      </c>
      <c r="D797" t="s">
        <v>153</v>
      </c>
      <c r="E797" t="s">
        <v>154</v>
      </c>
      <c r="F797" t="s">
        <v>5410</v>
      </c>
      <c r="G797" s="1" t="str">
        <f>HYPERLINK("https://homd.org/jbrowse/?data=homd_V11.02_phage_1.2%2FGCA_905369805.1&amp;loc=GCA_905369805.1%7CCAJPJO010000003.1%3A172476..179480&amp;tracks=prokka,prokka_ncrna,ncbi,ncbi_ncrna,panggolin,cenote,genomad&amp;highlight=","Open JBrowse")</f>
        <v>Open JBrowse</v>
      </c>
      <c r="H797">
        <v>175476</v>
      </c>
      <c r="I797">
        <v>176480</v>
      </c>
      <c r="J797" t="s">
        <v>5411</v>
      </c>
      <c r="K797" t="s">
        <v>59</v>
      </c>
      <c r="L797" t="s">
        <v>157</v>
      </c>
      <c r="M797" t="s">
        <v>158</v>
      </c>
      <c r="N797" t="s">
        <v>42</v>
      </c>
      <c r="O797">
        <v>3</v>
      </c>
      <c r="P797" t="s">
        <v>42</v>
      </c>
      <c r="Q797" t="s">
        <v>59</v>
      </c>
      <c r="R797" t="s">
        <v>5412</v>
      </c>
      <c r="S797" t="s">
        <v>157</v>
      </c>
      <c r="T797" t="s">
        <v>42</v>
      </c>
      <c r="U797">
        <v>53</v>
      </c>
      <c r="V797">
        <v>279</v>
      </c>
      <c r="W797">
        <v>227</v>
      </c>
      <c r="X797" t="s">
        <v>160</v>
      </c>
      <c r="Y797" t="s">
        <v>5413</v>
      </c>
      <c r="Z797" t="s">
        <v>836</v>
      </c>
      <c r="AA797" t="s">
        <v>1200</v>
      </c>
      <c r="AB797" t="s">
        <v>5414</v>
      </c>
      <c r="AC797" t="s">
        <v>164</v>
      </c>
      <c r="AD797" t="s">
        <v>51</v>
      </c>
      <c r="AE797">
        <v>189.1</v>
      </c>
      <c r="AF797" t="s">
        <v>165</v>
      </c>
    </row>
    <row r="798" spans="1:32" x14ac:dyDescent="0.75">
      <c r="A798" s="22" t="s">
        <v>6051</v>
      </c>
      <c r="B798" t="s">
        <v>5420</v>
      </c>
      <c r="C798" t="s">
        <v>104</v>
      </c>
      <c r="D798" t="s">
        <v>153</v>
      </c>
      <c r="E798" t="s">
        <v>154</v>
      </c>
      <c r="F798" t="s">
        <v>5421</v>
      </c>
      <c r="G798" s="1" t="str">
        <f>HYPERLINK("https://homd.org/jbrowse/?data=homd_V11.02_phage_1.2%2FGCA_905370375.1&amp;loc=GCA_905370375.1%7CCAJPKL010000031.1%3A4970..11974&amp;tracks=prokka,prokka_ncrna,ncbi,ncbi_ncrna,panggolin,cenote,genomad&amp;highlight=","Open JBrowse")</f>
        <v>Open JBrowse</v>
      </c>
      <c r="H798">
        <v>7970</v>
      </c>
      <c r="I798">
        <v>8974</v>
      </c>
      <c r="J798" t="s">
        <v>5422</v>
      </c>
      <c r="K798" t="s">
        <v>59</v>
      </c>
      <c r="L798" t="s">
        <v>157</v>
      </c>
      <c r="M798" t="s">
        <v>158</v>
      </c>
      <c r="N798" t="s">
        <v>42</v>
      </c>
      <c r="O798">
        <v>3</v>
      </c>
      <c r="P798" t="s">
        <v>42</v>
      </c>
      <c r="Q798" t="s">
        <v>59</v>
      </c>
      <c r="R798" t="s">
        <v>5423</v>
      </c>
      <c r="S798" t="s">
        <v>157</v>
      </c>
      <c r="T798" t="s">
        <v>42</v>
      </c>
      <c r="U798">
        <v>53</v>
      </c>
      <c r="V798">
        <v>279</v>
      </c>
      <c r="W798">
        <v>227</v>
      </c>
      <c r="X798" t="s">
        <v>160</v>
      </c>
      <c r="Y798" t="s">
        <v>5424</v>
      </c>
      <c r="Z798" t="s">
        <v>904</v>
      </c>
      <c r="AA798" t="s">
        <v>2983</v>
      </c>
    </row>
    <row r="799" spans="1:32" x14ac:dyDescent="0.75">
      <c r="A799" s="22" t="s">
        <v>6051</v>
      </c>
      <c r="B799" t="s">
        <v>5518</v>
      </c>
      <c r="C799" t="s">
        <v>104</v>
      </c>
      <c r="D799" t="s">
        <v>1054</v>
      </c>
      <c r="E799" t="s">
        <v>1055</v>
      </c>
      <c r="F799" t="s">
        <v>5519</v>
      </c>
      <c r="G799" s="1" t="str">
        <f>HYPERLINK("https://homd.org/jbrowse/?data=homd_V11.02_phage_1.2%2FGCA_905373445.1&amp;loc=GCA_905373445.1%7CCAJPSW010000012.1%3A3875..10879&amp;tracks=prokka,prokka_ncrna,ncbi,ncbi_ncrna,panggolin,cenote,genomad&amp;highlight=","Open JBrowse")</f>
        <v>Open JBrowse</v>
      </c>
      <c r="H799">
        <v>6875</v>
      </c>
      <c r="I799">
        <v>7879</v>
      </c>
      <c r="J799" t="s">
        <v>5520</v>
      </c>
      <c r="K799" t="s">
        <v>59</v>
      </c>
      <c r="L799" t="s">
        <v>157</v>
      </c>
      <c r="M799" t="s">
        <v>158</v>
      </c>
      <c r="N799" t="s">
        <v>42</v>
      </c>
      <c r="O799">
        <v>3</v>
      </c>
      <c r="P799" t="s">
        <v>42</v>
      </c>
      <c r="Q799" t="s">
        <v>59</v>
      </c>
      <c r="R799" t="s">
        <v>5521</v>
      </c>
      <c r="S799" t="s">
        <v>157</v>
      </c>
      <c r="T799" t="s">
        <v>42</v>
      </c>
      <c r="U799">
        <v>53</v>
      </c>
      <c r="V799">
        <v>279</v>
      </c>
      <c r="W799">
        <v>227</v>
      </c>
      <c r="X799" t="s">
        <v>160</v>
      </c>
    </row>
    <row r="800" spans="1:32" x14ac:dyDescent="0.75">
      <c r="A800" s="22" t="s">
        <v>6051</v>
      </c>
      <c r="B800" t="s">
        <v>5563</v>
      </c>
      <c r="C800" t="s">
        <v>104</v>
      </c>
      <c r="D800" t="s">
        <v>153</v>
      </c>
      <c r="E800" t="s">
        <v>154</v>
      </c>
      <c r="F800" t="s">
        <v>5564</v>
      </c>
      <c r="G800" s="1" t="str">
        <f>HYPERLINK("https://homd.org/jbrowse/?data=homd_V11.02_phage_1.2%2FGCA_916048225.1&amp;loc=GCA_916048225.1%7CCAJZGV010000093.1%3A2490..9440&amp;tracks=prokka,prokka_ncrna,ncbi,ncbi_ncrna,panggolin,cenote,genomad&amp;highlight=","Open JBrowse")</f>
        <v>Open JBrowse</v>
      </c>
      <c r="H800">
        <v>5490</v>
      </c>
      <c r="I800">
        <v>6440</v>
      </c>
      <c r="J800" t="s">
        <v>5565</v>
      </c>
      <c r="K800" t="s">
        <v>59</v>
      </c>
      <c r="L800" t="s">
        <v>157</v>
      </c>
      <c r="M800" t="s">
        <v>158</v>
      </c>
      <c r="N800" t="s">
        <v>42</v>
      </c>
      <c r="O800">
        <v>3</v>
      </c>
      <c r="P800" t="s">
        <v>42</v>
      </c>
      <c r="Q800" t="s">
        <v>59</v>
      </c>
      <c r="R800" t="s">
        <v>5566</v>
      </c>
      <c r="S800" t="s">
        <v>157</v>
      </c>
      <c r="T800" t="s">
        <v>42</v>
      </c>
      <c r="U800">
        <v>53</v>
      </c>
      <c r="V800">
        <v>279</v>
      </c>
      <c r="W800">
        <v>227</v>
      </c>
      <c r="X800" t="s">
        <v>160</v>
      </c>
      <c r="Y800" t="s">
        <v>5567</v>
      </c>
      <c r="Z800" t="s">
        <v>1236</v>
      </c>
      <c r="AA800" t="s">
        <v>3397</v>
      </c>
    </row>
    <row r="801" spans="1:32" x14ac:dyDescent="0.75">
      <c r="A801" s="22" t="s">
        <v>6051</v>
      </c>
      <c r="B801" t="s">
        <v>5578</v>
      </c>
      <c r="C801" t="s">
        <v>104</v>
      </c>
      <c r="D801" t="s">
        <v>153</v>
      </c>
      <c r="E801" t="s">
        <v>154</v>
      </c>
      <c r="F801" t="s">
        <v>5579</v>
      </c>
      <c r="G801" s="1" t="str">
        <f>HYPERLINK("https://homd.org/jbrowse/?data=homd_V11.02_phage_1.2%2FGCA_916050515.1&amp;loc=GCA_916050515.1%7CCAJZLG010000001.1%3A99358..106362&amp;tracks=prokka,prokka_ncrna,ncbi,ncbi_ncrna,panggolin,cenote,genomad&amp;highlight=","Open JBrowse")</f>
        <v>Open JBrowse</v>
      </c>
      <c r="H801">
        <v>102358</v>
      </c>
      <c r="I801">
        <v>103362</v>
      </c>
      <c r="J801" t="s">
        <v>5580</v>
      </c>
      <c r="K801" t="s">
        <v>59</v>
      </c>
      <c r="L801" t="s">
        <v>157</v>
      </c>
      <c r="M801" t="s">
        <v>158</v>
      </c>
      <c r="N801" t="s">
        <v>42</v>
      </c>
      <c r="O801">
        <v>3</v>
      </c>
      <c r="P801" t="s">
        <v>42</v>
      </c>
      <c r="Q801" t="s">
        <v>59</v>
      </c>
      <c r="R801" t="s">
        <v>5581</v>
      </c>
      <c r="S801" t="s">
        <v>157</v>
      </c>
      <c r="T801" t="s">
        <v>42</v>
      </c>
      <c r="U801">
        <v>53</v>
      </c>
      <c r="V801">
        <v>279</v>
      </c>
      <c r="W801">
        <v>227</v>
      </c>
      <c r="X801" t="s">
        <v>160</v>
      </c>
      <c r="Y801" t="s">
        <v>5582</v>
      </c>
      <c r="Z801" t="s">
        <v>645</v>
      </c>
      <c r="AA801" t="s">
        <v>5583</v>
      </c>
      <c r="AB801" t="s">
        <v>5584</v>
      </c>
      <c r="AC801" t="s">
        <v>164</v>
      </c>
      <c r="AD801" t="s">
        <v>51</v>
      </c>
      <c r="AE801">
        <v>183.3</v>
      </c>
      <c r="AF801" t="s">
        <v>165</v>
      </c>
    </row>
    <row r="802" spans="1:32" x14ac:dyDescent="0.75">
      <c r="A802" s="22" t="s">
        <v>6051</v>
      </c>
      <c r="B802" t="s">
        <v>5834</v>
      </c>
      <c r="C802" t="s">
        <v>104</v>
      </c>
      <c r="D802" t="s">
        <v>550</v>
      </c>
      <c r="E802" t="s">
        <v>551</v>
      </c>
      <c r="F802" t="s">
        <v>5835</v>
      </c>
      <c r="G802" s="1" t="str">
        <f>HYPERLINK("https://homd.org/jbrowse/?data=homd_V11.02_phage_1.2%2FGCA_938015825.1&amp;loc=GCA_938015825.1%7CCALLVZ010000051.1%3A17367..24371&amp;tracks=prokka,prokka_ncrna,ncbi,ncbi_ncrna,panggolin,cenote,genomad&amp;highlight=","Open JBrowse")</f>
        <v>Open JBrowse</v>
      </c>
      <c r="H802">
        <v>20367</v>
      </c>
      <c r="I802">
        <v>21371</v>
      </c>
      <c r="J802" t="s">
        <v>5836</v>
      </c>
      <c r="K802" t="s">
        <v>59</v>
      </c>
      <c r="L802" t="s">
        <v>157</v>
      </c>
      <c r="M802" t="s">
        <v>158</v>
      </c>
      <c r="N802" t="s">
        <v>42</v>
      </c>
      <c r="O802">
        <v>3</v>
      </c>
      <c r="P802" t="s">
        <v>42</v>
      </c>
      <c r="Q802" t="s">
        <v>59</v>
      </c>
      <c r="R802" t="s">
        <v>5837</v>
      </c>
      <c r="S802" t="s">
        <v>157</v>
      </c>
      <c r="T802" t="s">
        <v>42</v>
      </c>
      <c r="U802">
        <v>53</v>
      </c>
      <c r="V802">
        <v>279</v>
      </c>
      <c r="W802">
        <v>227</v>
      </c>
      <c r="X802" t="s">
        <v>160</v>
      </c>
      <c r="Y802" t="s">
        <v>5838</v>
      </c>
      <c r="Z802" t="s">
        <v>1463</v>
      </c>
      <c r="AA802" t="s">
        <v>557</v>
      </c>
    </row>
    <row r="803" spans="1:32" x14ac:dyDescent="0.75">
      <c r="A803" s="22" t="s">
        <v>6051</v>
      </c>
      <c r="B803" t="s">
        <v>5869</v>
      </c>
      <c r="C803" t="s">
        <v>104</v>
      </c>
      <c r="D803" t="s">
        <v>153</v>
      </c>
      <c r="E803" t="s">
        <v>154</v>
      </c>
      <c r="F803" t="s">
        <v>5870</v>
      </c>
      <c r="G803" s="1" t="str">
        <f>HYPERLINK("https://homd.org/jbrowse/?data=homd_V11.02_phage_1.2%2FGCA_938034465.1&amp;loc=GCA_938034465.1%7CCALHLH010000011.1%3A2950..9954&amp;tracks=prokka,prokka_ncrna,ncbi,ncbi_ncrna,panggolin,cenote,genomad&amp;highlight=","Open JBrowse")</f>
        <v>Open JBrowse</v>
      </c>
      <c r="H803">
        <v>5950</v>
      </c>
      <c r="I803">
        <v>6954</v>
      </c>
      <c r="J803" t="s">
        <v>5871</v>
      </c>
      <c r="K803" t="s">
        <v>59</v>
      </c>
      <c r="L803" t="s">
        <v>157</v>
      </c>
      <c r="M803" t="s">
        <v>158</v>
      </c>
      <c r="N803" t="s">
        <v>42</v>
      </c>
      <c r="O803">
        <v>3</v>
      </c>
      <c r="P803" t="s">
        <v>42</v>
      </c>
      <c r="Q803" t="s">
        <v>59</v>
      </c>
      <c r="R803" t="s">
        <v>5872</v>
      </c>
      <c r="S803" t="s">
        <v>157</v>
      </c>
      <c r="T803" t="s">
        <v>42</v>
      </c>
      <c r="U803">
        <v>53</v>
      </c>
      <c r="V803">
        <v>279</v>
      </c>
      <c r="W803">
        <v>227</v>
      </c>
      <c r="X803" t="s">
        <v>160</v>
      </c>
      <c r="Y803" t="s">
        <v>5873</v>
      </c>
      <c r="Z803" t="s">
        <v>547</v>
      </c>
      <c r="AA803" t="s">
        <v>5874</v>
      </c>
      <c r="AB803" t="s">
        <v>5875</v>
      </c>
      <c r="AC803" t="s">
        <v>164</v>
      </c>
      <c r="AD803" t="s">
        <v>51</v>
      </c>
      <c r="AE803">
        <v>183.3</v>
      </c>
      <c r="AF803" t="s">
        <v>165</v>
      </c>
    </row>
    <row r="804" spans="1:32" x14ac:dyDescent="0.75">
      <c r="A804" s="22" t="s">
        <v>6051</v>
      </c>
      <c r="B804" t="s">
        <v>5885</v>
      </c>
      <c r="C804" t="s">
        <v>104</v>
      </c>
      <c r="D804" t="s">
        <v>275</v>
      </c>
      <c r="E804" t="s">
        <v>276</v>
      </c>
      <c r="F804" t="s">
        <v>5886</v>
      </c>
      <c r="G804" s="1" t="str">
        <f>HYPERLINK("https://homd.org/jbrowse/?data=homd_V11.02_phage_1.2%2FGCA_938038995.1&amp;loc=GCA_938038995.1%7CCALHVO010000013.1%3A24755..31603&amp;tracks=prokka,prokka_ncrna,ncbi,ncbi_ncrna,panggolin,cenote,genomad&amp;highlight=","Open JBrowse")</f>
        <v>Open JBrowse</v>
      </c>
      <c r="H804">
        <v>27755</v>
      </c>
      <c r="I804">
        <v>28603</v>
      </c>
      <c r="J804" t="s">
        <v>5887</v>
      </c>
      <c r="K804" t="s">
        <v>59</v>
      </c>
      <c r="L804" t="s">
        <v>157</v>
      </c>
      <c r="M804" t="s">
        <v>158</v>
      </c>
      <c r="N804" t="s">
        <v>42</v>
      </c>
      <c r="O804">
        <v>3</v>
      </c>
      <c r="P804" t="s">
        <v>42</v>
      </c>
      <c r="Q804" t="s">
        <v>59</v>
      </c>
      <c r="R804" t="s">
        <v>5888</v>
      </c>
      <c r="S804" t="s">
        <v>157</v>
      </c>
      <c r="T804" t="s">
        <v>42</v>
      </c>
      <c r="U804">
        <v>53</v>
      </c>
      <c r="V804">
        <v>279</v>
      </c>
      <c r="W804">
        <v>227</v>
      </c>
      <c r="X804" t="s">
        <v>160</v>
      </c>
      <c r="Y804" t="s">
        <v>5889</v>
      </c>
      <c r="Z804" t="s">
        <v>357</v>
      </c>
      <c r="AA804" t="s">
        <v>5890</v>
      </c>
    </row>
    <row r="805" spans="1:32" x14ac:dyDescent="0.75">
      <c r="A805" s="22" t="s">
        <v>6051</v>
      </c>
      <c r="B805" t="s">
        <v>5899</v>
      </c>
      <c r="C805" t="s">
        <v>104</v>
      </c>
      <c r="D805" t="s">
        <v>153</v>
      </c>
      <c r="E805" t="s">
        <v>154</v>
      </c>
      <c r="F805" t="s">
        <v>5900</v>
      </c>
      <c r="G805" s="1" t="str">
        <f>HYPERLINK("https://homd.org/jbrowse/?data=homd_V11.02_phage_1.2%2FGCA_938042185.1&amp;loc=GCA_938042185.1%7CCALIRV010000054.1%3A47308..54312&amp;tracks=prokka,prokka_ncrna,ncbi,ncbi_ncrna,panggolin,cenote,genomad&amp;highlight=","Open JBrowse")</f>
        <v>Open JBrowse</v>
      </c>
      <c r="H805">
        <v>50308</v>
      </c>
      <c r="I805">
        <v>51312</v>
      </c>
      <c r="J805" t="s">
        <v>5901</v>
      </c>
      <c r="K805" t="s">
        <v>59</v>
      </c>
      <c r="L805" t="s">
        <v>157</v>
      </c>
      <c r="M805" t="s">
        <v>158</v>
      </c>
      <c r="N805" t="s">
        <v>42</v>
      </c>
      <c r="O805">
        <v>3</v>
      </c>
      <c r="P805" t="s">
        <v>42</v>
      </c>
      <c r="Q805" t="s">
        <v>59</v>
      </c>
      <c r="R805" t="s">
        <v>5902</v>
      </c>
      <c r="S805" t="s">
        <v>157</v>
      </c>
      <c r="T805" t="s">
        <v>42</v>
      </c>
      <c r="U805">
        <v>53</v>
      </c>
      <c r="V805">
        <v>279</v>
      </c>
      <c r="W805">
        <v>227</v>
      </c>
      <c r="X805" t="s">
        <v>160</v>
      </c>
    </row>
    <row r="806" spans="1:32" x14ac:dyDescent="0.75">
      <c r="A806" s="22" t="s">
        <v>6051</v>
      </c>
      <c r="B806" t="s">
        <v>5968</v>
      </c>
      <c r="C806" t="s">
        <v>104</v>
      </c>
      <c r="D806" t="s">
        <v>153</v>
      </c>
      <c r="E806" t="s">
        <v>154</v>
      </c>
      <c r="F806" t="s">
        <v>5969</v>
      </c>
      <c r="G806" s="1" t="str">
        <f>HYPERLINK("https://homd.org/jbrowse/?data=homd_V11.02_phage_1.2%2FGCA_946997865.1&amp;loc=GCA_946997865.1%7CCAMPXV010000122.1%3A1..4331&amp;tracks=prokka,prokka_ncrna,ncbi,ncbi_ncrna,panggolin,cenote,genomad&amp;highlight=","Open JBrowse")</f>
        <v>Open JBrowse</v>
      </c>
      <c r="H806">
        <v>327</v>
      </c>
      <c r="I806">
        <v>1331</v>
      </c>
      <c r="J806" t="s">
        <v>5970</v>
      </c>
      <c r="K806" t="s">
        <v>59</v>
      </c>
      <c r="L806" t="s">
        <v>157</v>
      </c>
      <c r="M806" t="s">
        <v>158</v>
      </c>
      <c r="N806" t="s">
        <v>42</v>
      </c>
      <c r="O806">
        <v>3</v>
      </c>
      <c r="P806" t="s">
        <v>42</v>
      </c>
      <c r="Q806" t="s">
        <v>59</v>
      </c>
      <c r="R806" t="s">
        <v>5971</v>
      </c>
      <c r="S806" t="s">
        <v>157</v>
      </c>
      <c r="T806" t="s">
        <v>42</v>
      </c>
      <c r="U806">
        <v>53</v>
      </c>
      <c r="V806">
        <v>279</v>
      </c>
      <c r="W806">
        <v>227</v>
      </c>
      <c r="X806" t="s">
        <v>160</v>
      </c>
    </row>
    <row r="807" spans="1:32" x14ac:dyDescent="0.75">
      <c r="A807" s="22" t="s">
        <v>6051</v>
      </c>
      <c r="B807" t="s">
        <v>1646</v>
      </c>
      <c r="C807" t="s">
        <v>104</v>
      </c>
      <c r="D807" t="s">
        <v>1647</v>
      </c>
      <c r="E807" t="s">
        <v>1648</v>
      </c>
      <c r="F807" t="s">
        <v>1649</v>
      </c>
      <c r="G807" s="1" t="str">
        <f>HYPERLINK("https://homd.org/jbrowse/?data=homd_V11.02_phage_1.2%2FGCA_001717545.1&amp;loc=GCA_001717545.1%7CCP017039.1%3A2379070..2385930&amp;tracks=prokka,prokka_ncrna,ncbi,ncbi_ncrna,panggolin,cenote,genomad&amp;highlight=","Open JBrowse")</f>
        <v>Open JBrowse</v>
      </c>
      <c r="H807">
        <v>2382070</v>
      </c>
      <c r="I807">
        <v>2382930</v>
      </c>
      <c r="J807" t="s">
        <v>1661</v>
      </c>
      <c r="K807" t="s">
        <v>614</v>
      </c>
      <c r="L807" t="s">
        <v>1662</v>
      </c>
      <c r="M807" t="s">
        <v>1663</v>
      </c>
      <c r="N807" t="s">
        <v>42</v>
      </c>
      <c r="O807">
        <v>3</v>
      </c>
      <c r="P807" t="s">
        <v>42</v>
      </c>
      <c r="Q807" t="s">
        <v>101</v>
      </c>
      <c r="R807" t="s">
        <v>1653</v>
      </c>
      <c r="S807" t="s">
        <v>1662</v>
      </c>
      <c r="T807" t="s">
        <v>42</v>
      </c>
      <c r="U807">
        <v>54</v>
      </c>
      <c r="V807">
        <v>281</v>
      </c>
      <c r="W807">
        <v>228</v>
      </c>
      <c r="X807" t="s">
        <v>1664</v>
      </c>
      <c r="Y807" t="s">
        <v>1655</v>
      </c>
      <c r="Z807" t="s">
        <v>1236</v>
      </c>
      <c r="AA807" t="s">
        <v>1656</v>
      </c>
      <c r="AB807" t="s">
        <v>1657</v>
      </c>
      <c r="AC807" t="s">
        <v>1658</v>
      </c>
      <c r="AD807" t="s">
        <v>1659</v>
      </c>
      <c r="AE807">
        <v>262.2</v>
      </c>
      <c r="AF807" t="s">
        <v>1660</v>
      </c>
    </row>
    <row r="808" spans="1:32" x14ac:dyDescent="0.75">
      <c r="A808" s="22" t="s">
        <v>6051</v>
      </c>
      <c r="B808" t="s">
        <v>5444</v>
      </c>
      <c r="C808" t="s">
        <v>104</v>
      </c>
      <c r="D808" t="s">
        <v>1647</v>
      </c>
      <c r="E808" t="s">
        <v>1648</v>
      </c>
      <c r="F808" t="s">
        <v>5445</v>
      </c>
      <c r="G808" s="1" t="str">
        <f>HYPERLINK("https://homd.org/jbrowse/?data=homd_V11.02_phage_1.2%2FGCA_905372085.1&amp;loc=GCA_905372085.1%7CCAJPNW010000001.1%3A86916..93776&amp;tracks=prokka,prokka_ncrna,ncbi,ncbi_ncrna,panggolin,cenote,genomad&amp;highlight=","Open JBrowse")</f>
        <v>Open JBrowse</v>
      </c>
      <c r="H808">
        <v>89916</v>
      </c>
      <c r="I808">
        <v>90776</v>
      </c>
      <c r="J808" t="s">
        <v>5446</v>
      </c>
      <c r="K808" t="s">
        <v>614</v>
      </c>
      <c r="L808" t="s">
        <v>1662</v>
      </c>
      <c r="M808" t="s">
        <v>1663</v>
      </c>
      <c r="N808" t="s">
        <v>42</v>
      </c>
      <c r="O808">
        <v>3</v>
      </c>
      <c r="P808" t="s">
        <v>42</v>
      </c>
      <c r="Q808" t="s">
        <v>101</v>
      </c>
      <c r="R808" t="s">
        <v>5447</v>
      </c>
      <c r="S808" t="s">
        <v>1662</v>
      </c>
      <c r="T808" t="s">
        <v>42</v>
      </c>
      <c r="U808">
        <v>54</v>
      </c>
      <c r="V808">
        <v>281</v>
      </c>
      <c r="W808">
        <v>228</v>
      </c>
      <c r="X808" t="s">
        <v>1664</v>
      </c>
      <c r="Y808" t="s">
        <v>5448</v>
      </c>
      <c r="Z808" t="s">
        <v>47</v>
      </c>
      <c r="AA808" t="s">
        <v>5449</v>
      </c>
    </row>
    <row r="809" spans="1:32" x14ac:dyDescent="0.75">
      <c r="A809" s="22" t="s">
        <v>6051</v>
      </c>
      <c r="B809" t="s">
        <v>1342</v>
      </c>
      <c r="C809" t="s">
        <v>104</v>
      </c>
      <c r="D809" t="s">
        <v>1343</v>
      </c>
      <c r="E809" t="s">
        <v>1344</v>
      </c>
      <c r="F809" t="s">
        <v>1345</v>
      </c>
      <c r="G809" s="1" t="str">
        <f>HYPERLINK("https://homd.org/jbrowse/?data=homd_V11.02_phage_1.2%2FGCA_000803625.1&amp;loc=GCA_000803625.1%7CCP007496.1%3A670150..677778&amp;tracks=prokka,prokka_ncrna,ncbi,ncbi_ncrna,panggolin,cenote,genomad&amp;highlight=","Open JBrowse")</f>
        <v>Open JBrowse</v>
      </c>
      <c r="H809">
        <v>673150</v>
      </c>
      <c r="I809">
        <v>674778</v>
      </c>
      <c r="J809" t="s">
        <v>1346</v>
      </c>
      <c r="K809" t="s">
        <v>59</v>
      </c>
      <c r="L809" t="s">
        <v>1347</v>
      </c>
      <c r="M809" t="s">
        <v>1348</v>
      </c>
      <c r="N809" t="s">
        <v>42</v>
      </c>
      <c r="O809">
        <v>3</v>
      </c>
      <c r="P809" t="s">
        <v>42</v>
      </c>
      <c r="Q809" t="s">
        <v>59</v>
      </c>
      <c r="R809" t="s">
        <v>1349</v>
      </c>
      <c r="S809" t="s">
        <v>1347</v>
      </c>
      <c r="T809" t="s">
        <v>42</v>
      </c>
      <c r="U809">
        <v>55</v>
      </c>
      <c r="V809">
        <v>297</v>
      </c>
      <c r="W809">
        <v>243</v>
      </c>
      <c r="X809" t="s">
        <v>237</v>
      </c>
      <c r="Y809" t="s">
        <v>1350</v>
      </c>
      <c r="Z809" t="s">
        <v>836</v>
      </c>
      <c r="AA809" t="s">
        <v>1351</v>
      </c>
    </row>
    <row r="810" spans="1:32" x14ac:dyDescent="0.75">
      <c r="A810" s="22" t="s">
        <v>6051</v>
      </c>
      <c r="B810" t="s">
        <v>2306</v>
      </c>
      <c r="C810" t="s">
        <v>104</v>
      </c>
      <c r="D810" t="s">
        <v>1343</v>
      </c>
      <c r="E810" t="s">
        <v>1344</v>
      </c>
      <c r="F810" t="s">
        <v>2307</v>
      </c>
      <c r="G810" s="1" t="str">
        <f>HYPERLINK("https://homd.org/jbrowse/?data=homd_V11.02_phage_1.2%2FGCA_005697395.1&amp;loc=GCA_005697395.1%7CCP040011.1%3A670191..677819&amp;tracks=prokka,prokka_ncrna,ncbi,ncbi_ncrna,panggolin,cenote,genomad&amp;highlight=","Open JBrowse")</f>
        <v>Open JBrowse</v>
      </c>
      <c r="H810">
        <v>673191</v>
      </c>
      <c r="I810">
        <v>674819</v>
      </c>
      <c r="J810" t="s">
        <v>2308</v>
      </c>
      <c r="K810" t="s">
        <v>59</v>
      </c>
      <c r="L810" t="s">
        <v>1347</v>
      </c>
      <c r="M810" t="s">
        <v>1348</v>
      </c>
      <c r="N810" t="s">
        <v>42</v>
      </c>
      <c r="O810">
        <v>3</v>
      </c>
      <c r="P810" t="s">
        <v>42</v>
      </c>
      <c r="Q810" t="s">
        <v>59</v>
      </c>
      <c r="R810" t="s">
        <v>2309</v>
      </c>
      <c r="S810" t="s">
        <v>1347</v>
      </c>
      <c r="T810" t="s">
        <v>42</v>
      </c>
      <c r="U810">
        <v>55</v>
      </c>
      <c r="V810">
        <v>297</v>
      </c>
      <c r="W810">
        <v>243</v>
      </c>
      <c r="X810" t="s">
        <v>237</v>
      </c>
      <c r="Y810" t="s">
        <v>2310</v>
      </c>
      <c r="Z810" t="s">
        <v>836</v>
      </c>
      <c r="AA810" t="s">
        <v>1351</v>
      </c>
    </row>
    <row r="811" spans="1:32" x14ac:dyDescent="0.75">
      <c r="A811" s="22" t="s">
        <v>6051</v>
      </c>
      <c r="B811" t="s">
        <v>4041</v>
      </c>
      <c r="C811" t="s">
        <v>104</v>
      </c>
      <c r="D811" t="s">
        <v>2376</v>
      </c>
      <c r="E811" t="s">
        <v>2377</v>
      </c>
      <c r="F811" t="s">
        <v>4042</v>
      </c>
      <c r="G811" s="1" t="str">
        <f>HYPERLINK("https://homd.org/jbrowse/?data=homd_V11.02_phage_1.2%2FGCA_021222645.1&amp;loc=GCA_021222645.1%7CCP089520.1%3A593156..600922&amp;tracks=prokka,prokka_ncrna,ncbi,ncbi_ncrna,panggolin,cenote,genomad&amp;highlight=","Open JBrowse")</f>
        <v>Open JBrowse</v>
      </c>
      <c r="H811">
        <v>596156</v>
      </c>
      <c r="I811">
        <v>597922</v>
      </c>
      <c r="J811" t="s">
        <v>4050</v>
      </c>
      <c r="K811" t="s">
        <v>59</v>
      </c>
      <c r="L811" t="s">
        <v>4051</v>
      </c>
      <c r="M811" t="s">
        <v>4052</v>
      </c>
      <c r="N811" t="s">
        <v>42</v>
      </c>
      <c r="O811">
        <v>3</v>
      </c>
      <c r="P811" t="s">
        <v>42</v>
      </c>
      <c r="Q811" t="s">
        <v>59</v>
      </c>
      <c r="R811" t="s">
        <v>4046</v>
      </c>
      <c r="S811" t="s">
        <v>4051</v>
      </c>
      <c r="T811" t="s">
        <v>42</v>
      </c>
      <c r="U811">
        <v>55</v>
      </c>
      <c r="V811">
        <v>308</v>
      </c>
      <c r="W811">
        <v>254</v>
      </c>
      <c r="X811" t="s">
        <v>237</v>
      </c>
      <c r="Y811" t="s">
        <v>4047</v>
      </c>
      <c r="Z811" t="s">
        <v>302</v>
      </c>
      <c r="AA811" t="s">
        <v>4048</v>
      </c>
      <c r="AB811" t="s">
        <v>4049</v>
      </c>
      <c r="AC811" t="s">
        <v>506</v>
      </c>
      <c r="AD811" t="s">
        <v>507</v>
      </c>
      <c r="AE811">
        <v>259</v>
      </c>
      <c r="AF811" t="s">
        <v>725</v>
      </c>
    </row>
    <row r="812" spans="1:32" x14ac:dyDescent="0.75">
      <c r="A812" s="22" t="s">
        <v>6051</v>
      </c>
      <c r="B812" t="s">
        <v>4082</v>
      </c>
      <c r="C812" t="s">
        <v>104</v>
      </c>
      <c r="D812" t="s">
        <v>2376</v>
      </c>
      <c r="E812" t="s">
        <v>2377</v>
      </c>
      <c r="F812" t="s">
        <v>4083</v>
      </c>
      <c r="G812" s="1" t="str">
        <f>HYPERLINK("https://homd.org/jbrowse/?data=homd_V11.02_phage_1.2%2FGCA_022819365.1&amp;loc=GCA_022819365.1%7CCP089289.1%3A16187..23899&amp;tracks=prokka,prokka_ncrna,ncbi,ncbi_ncrna,panggolin,cenote,genomad&amp;highlight=","Open JBrowse")</f>
        <v>Open JBrowse</v>
      </c>
      <c r="H812">
        <v>19187</v>
      </c>
      <c r="I812">
        <v>20899</v>
      </c>
      <c r="J812" t="s">
        <v>4084</v>
      </c>
      <c r="K812" t="s">
        <v>59</v>
      </c>
      <c r="L812" t="s">
        <v>4051</v>
      </c>
      <c r="M812" t="s">
        <v>4052</v>
      </c>
      <c r="N812" t="s">
        <v>42</v>
      </c>
      <c r="O812">
        <v>3</v>
      </c>
      <c r="P812" t="s">
        <v>42</v>
      </c>
      <c r="Q812" t="s">
        <v>59</v>
      </c>
      <c r="R812" t="s">
        <v>4085</v>
      </c>
      <c r="S812" t="s">
        <v>4051</v>
      </c>
      <c r="T812" t="s">
        <v>42</v>
      </c>
      <c r="U812">
        <v>55</v>
      </c>
      <c r="V812">
        <v>308</v>
      </c>
      <c r="W812">
        <v>254</v>
      </c>
      <c r="X812" t="s">
        <v>237</v>
      </c>
      <c r="Y812" t="s">
        <v>4086</v>
      </c>
      <c r="Z812" t="s">
        <v>368</v>
      </c>
      <c r="AA812" t="s">
        <v>4087</v>
      </c>
      <c r="AB812" t="s">
        <v>4088</v>
      </c>
      <c r="AC812" t="s">
        <v>506</v>
      </c>
      <c r="AD812" t="s">
        <v>507</v>
      </c>
      <c r="AE812">
        <v>245</v>
      </c>
      <c r="AF812" t="s">
        <v>725</v>
      </c>
    </row>
    <row r="813" spans="1:32" x14ac:dyDescent="0.75">
      <c r="A813" s="22" t="s">
        <v>6051</v>
      </c>
      <c r="B813" t="s">
        <v>4090</v>
      </c>
      <c r="C813" t="s">
        <v>104</v>
      </c>
      <c r="D813" t="s">
        <v>2376</v>
      </c>
      <c r="E813" t="s">
        <v>2377</v>
      </c>
      <c r="F813" t="s">
        <v>4091</v>
      </c>
      <c r="G813" s="1" t="str">
        <f>HYPERLINK("https://homd.org/jbrowse/?data=homd_V11.02_phage_1.2%2FGCA_022819385.1&amp;loc=GCA_022819385.1%7CCP089290.1%3A87592..95310&amp;tracks=prokka,prokka_ncrna,ncbi,ncbi_ncrna,panggolin,cenote,genomad&amp;highlight=","Open JBrowse")</f>
        <v>Open JBrowse</v>
      </c>
      <c r="H813">
        <v>90592</v>
      </c>
      <c r="I813">
        <v>92310</v>
      </c>
      <c r="J813" t="s">
        <v>4097</v>
      </c>
      <c r="K813" t="s">
        <v>59</v>
      </c>
      <c r="L813" t="s">
        <v>4051</v>
      </c>
      <c r="M813" t="s">
        <v>4052</v>
      </c>
      <c r="N813" t="s">
        <v>42</v>
      </c>
      <c r="O813">
        <v>3</v>
      </c>
      <c r="P813" t="s">
        <v>42</v>
      </c>
      <c r="Q813" t="s">
        <v>59</v>
      </c>
      <c r="R813" t="s">
        <v>4093</v>
      </c>
      <c r="S813" t="s">
        <v>4051</v>
      </c>
      <c r="T813" t="s">
        <v>42</v>
      </c>
      <c r="U813">
        <v>55</v>
      </c>
      <c r="V813">
        <v>308</v>
      </c>
      <c r="W813">
        <v>254</v>
      </c>
      <c r="X813" t="s">
        <v>237</v>
      </c>
      <c r="Y813" t="s">
        <v>4094</v>
      </c>
      <c r="Z813" t="s">
        <v>645</v>
      </c>
      <c r="AA813" t="s">
        <v>4095</v>
      </c>
      <c r="AB813" t="s">
        <v>4096</v>
      </c>
      <c r="AC813" t="s">
        <v>506</v>
      </c>
      <c r="AD813" t="s">
        <v>507</v>
      </c>
      <c r="AE813">
        <v>262</v>
      </c>
      <c r="AF813" t="s">
        <v>725</v>
      </c>
    </row>
    <row r="814" spans="1:32" x14ac:dyDescent="0.75">
      <c r="A814" s="22" t="s">
        <v>6051</v>
      </c>
      <c r="B814" t="s">
        <v>4131</v>
      </c>
      <c r="C814" t="s">
        <v>104</v>
      </c>
      <c r="D814" t="s">
        <v>2376</v>
      </c>
      <c r="E814" t="s">
        <v>2377</v>
      </c>
      <c r="F814" t="s">
        <v>4132</v>
      </c>
      <c r="G814" s="1" t="str">
        <f>HYPERLINK("https://homd.org/jbrowse/?data=homd_V11.02_phage_1.2%2FGCA_022828325.1&amp;loc=GCA_022828325.1%7CJAJQJS010000002.1%3A289069..296787&amp;tracks=prokka,prokka_ncrna,ncbi,ncbi_ncrna,panggolin,cenote,genomad&amp;highlight=","Open JBrowse")</f>
        <v>Open JBrowse</v>
      </c>
      <c r="H814">
        <v>292069</v>
      </c>
      <c r="I814">
        <v>293787</v>
      </c>
      <c r="J814" t="s">
        <v>4138</v>
      </c>
      <c r="K814" t="s">
        <v>59</v>
      </c>
      <c r="L814" t="s">
        <v>4051</v>
      </c>
      <c r="M814" t="s">
        <v>4052</v>
      </c>
      <c r="N814" t="s">
        <v>42</v>
      </c>
      <c r="O814">
        <v>3</v>
      </c>
      <c r="P814" t="s">
        <v>42</v>
      </c>
      <c r="Q814" t="s">
        <v>59</v>
      </c>
      <c r="R814" t="s">
        <v>4134</v>
      </c>
      <c r="S814" t="s">
        <v>4051</v>
      </c>
      <c r="T814" t="s">
        <v>42</v>
      </c>
      <c r="U814">
        <v>55</v>
      </c>
      <c r="V814">
        <v>308</v>
      </c>
      <c r="W814">
        <v>254</v>
      </c>
      <c r="X814" t="s">
        <v>237</v>
      </c>
      <c r="Y814" t="s">
        <v>4135</v>
      </c>
      <c r="Z814" t="s">
        <v>1334</v>
      </c>
      <c r="AA814" t="s">
        <v>4136</v>
      </c>
      <c r="AB814" t="s">
        <v>4137</v>
      </c>
      <c r="AC814" t="s">
        <v>1551</v>
      </c>
      <c r="AD814" t="s">
        <v>101</v>
      </c>
      <c r="AE814">
        <v>247</v>
      </c>
      <c r="AF814" t="s">
        <v>795</v>
      </c>
    </row>
    <row r="815" spans="1:32" x14ac:dyDescent="0.75">
      <c r="A815" s="22" t="s">
        <v>6051</v>
      </c>
      <c r="B815" t="s">
        <v>4148</v>
      </c>
      <c r="C815" t="s">
        <v>104</v>
      </c>
      <c r="D815" t="s">
        <v>2376</v>
      </c>
      <c r="E815" t="s">
        <v>2377</v>
      </c>
      <c r="F815" t="s">
        <v>4149</v>
      </c>
      <c r="G815" s="1" t="str">
        <f>HYPERLINK("https://homd.org/jbrowse/?data=homd_V11.02_phage_1.2%2FGCA_022828375.1&amp;loc=GCA_022828375.1%7CJAJQJX010000001.1%3A485773..493503&amp;tracks=prokka,prokka_ncrna,ncbi,ncbi_ncrna,panggolin,cenote,genomad&amp;highlight=","Open JBrowse")</f>
        <v>Open JBrowse</v>
      </c>
      <c r="H815">
        <v>488773</v>
      </c>
      <c r="I815">
        <v>490503</v>
      </c>
      <c r="J815" t="s">
        <v>4150</v>
      </c>
      <c r="K815" t="s">
        <v>59</v>
      </c>
      <c r="L815" t="s">
        <v>4051</v>
      </c>
      <c r="M815" t="s">
        <v>4052</v>
      </c>
      <c r="N815" t="s">
        <v>42</v>
      </c>
      <c r="O815">
        <v>3</v>
      </c>
      <c r="P815" t="s">
        <v>42</v>
      </c>
      <c r="Q815" t="s">
        <v>59</v>
      </c>
      <c r="R815" t="s">
        <v>4151</v>
      </c>
      <c r="S815" t="s">
        <v>4051</v>
      </c>
      <c r="T815" t="s">
        <v>42</v>
      </c>
      <c r="U815">
        <v>55</v>
      </c>
      <c r="V815">
        <v>308</v>
      </c>
      <c r="W815">
        <v>254</v>
      </c>
      <c r="X815" t="s">
        <v>237</v>
      </c>
      <c r="Y815" t="s">
        <v>4152</v>
      </c>
      <c r="Z815" t="s">
        <v>357</v>
      </c>
      <c r="AA815" t="s">
        <v>4153</v>
      </c>
      <c r="AB815" t="s">
        <v>4154</v>
      </c>
      <c r="AC815" t="s">
        <v>506</v>
      </c>
      <c r="AD815" t="s">
        <v>507</v>
      </c>
      <c r="AE815">
        <v>244</v>
      </c>
      <c r="AF815" t="s">
        <v>725</v>
      </c>
    </row>
    <row r="816" spans="1:32" x14ac:dyDescent="0.75">
      <c r="A816" s="22" t="s">
        <v>6051</v>
      </c>
      <c r="B816" t="s">
        <v>536</v>
      </c>
      <c r="C816" t="s">
        <v>104</v>
      </c>
      <c r="D816" t="s">
        <v>537</v>
      </c>
      <c r="E816" t="s">
        <v>538</v>
      </c>
      <c r="F816" t="s">
        <v>539</v>
      </c>
      <c r="G816" s="1" t="str">
        <f>HYPERLINK("https://homd.org/jbrowse/?data=homd_V11.02_phage_1.2%2FGCA_000223255.2&amp;loc=GCA_000223255.2%7CAFUT01000003.1%3A75104..82933&amp;tracks=prokka,prokka_ncrna,ncbi,ncbi_ncrna,panggolin,cenote,genomad&amp;highlight=","Open JBrowse")</f>
        <v>Open JBrowse</v>
      </c>
      <c r="H816">
        <v>78104</v>
      </c>
      <c r="I816">
        <v>79933</v>
      </c>
      <c r="J816" t="s">
        <v>540</v>
      </c>
      <c r="K816" t="s">
        <v>541</v>
      </c>
      <c r="L816" t="s">
        <v>542</v>
      </c>
      <c r="M816" t="s">
        <v>543</v>
      </c>
      <c r="N816" t="s">
        <v>42</v>
      </c>
      <c r="O816">
        <v>3</v>
      </c>
      <c r="P816" t="s">
        <v>42</v>
      </c>
      <c r="Q816" t="s">
        <v>101</v>
      </c>
      <c r="R816" t="s">
        <v>544</v>
      </c>
      <c r="S816" t="s">
        <v>542</v>
      </c>
      <c r="T816" t="s">
        <v>42</v>
      </c>
      <c r="U816">
        <v>58</v>
      </c>
      <c r="V816">
        <v>337</v>
      </c>
      <c r="W816">
        <v>280</v>
      </c>
      <c r="X816" t="s">
        <v>545</v>
      </c>
      <c r="Y816" t="s">
        <v>546</v>
      </c>
      <c r="Z816" t="s">
        <v>547</v>
      </c>
      <c r="AA816" t="s">
        <v>548</v>
      </c>
    </row>
    <row r="817" spans="1:32" x14ac:dyDescent="0.75">
      <c r="A817" s="22" t="s">
        <v>6051</v>
      </c>
      <c r="B817" t="s">
        <v>2375</v>
      </c>
      <c r="C817" t="s">
        <v>104</v>
      </c>
      <c r="D817" t="s">
        <v>2376</v>
      </c>
      <c r="E817" t="s">
        <v>2377</v>
      </c>
      <c r="F817" t="s">
        <v>2378</v>
      </c>
      <c r="G817" s="1" t="str">
        <f>HYPERLINK("https://homd.org/jbrowse/?data=homd_V11.02_phage_1.2%2FGCA_007845265.1&amp;loc=GCA_007845265.1%7CSDRM01000007.1%3A31953..39758&amp;tracks=prokka,prokka_ncrna,ncbi,ncbi_ncrna,panggolin,cenote,genomad&amp;highlight=","Open JBrowse")</f>
        <v>Open JBrowse</v>
      </c>
      <c r="H817">
        <v>34953</v>
      </c>
      <c r="I817">
        <v>36758</v>
      </c>
      <c r="J817" t="s">
        <v>2386</v>
      </c>
      <c r="K817" t="s">
        <v>59</v>
      </c>
      <c r="L817" t="s">
        <v>2387</v>
      </c>
      <c r="M817" t="s">
        <v>2388</v>
      </c>
      <c r="N817" t="s">
        <v>42</v>
      </c>
      <c r="O817">
        <v>3</v>
      </c>
      <c r="P817" t="s">
        <v>42</v>
      </c>
      <c r="Q817" t="s">
        <v>59</v>
      </c>
      <c r="R817" t="s">
        <v>2382</v>
      </c>
      <c r="S817" t="s">
        <v>2387</v>
      </c>
      <c r="T817" t="s">
        <v>42</v>
      </c>
      <c r="U817">
        <v>58</v>
      </c>
      <c r="V817">
        <v>315</v>
      </c>
      <c r="W817">
        <v>258</v>
      </c>
      <c r="X817" t="s">
        <v>237</v>
      </c>
      <c r="Y817" t="s">
        <v>2383</v>
      </c>
      <c r="Z817" t="s">
        <v>357</v>
      </c>
      <c r="AA817" t="s">
        <v>2384</v>
      </c>
      <c r="AB817" t="s">
        <v>2385</v>
      </c>
      <c r="AC817" t="s">
        <v>506</v>
      </c>
      <c r="AD817" t="s">
        <v>507</v>
      </c>
      <c r="AE817">
        <v>240</v>
      </c>
      <c r="AF817" t="s">
        <v>725</v>
      </c>
    </row>
    <row r="818" spans="1:32" x14ac:dyDescent="0.75">
      <c r="A818" s="22" t="s">
        <v>6051</v>
      </c>
      <c r="B818" t="s">
        <v>2905</v>
      </c>
      <c r="C818" t="s">
        <v>104</v>
      </c>
      <c r="D818" t="s">
        <v>2376</v>
      </c>
      <c r="E818" t="s">
        <v>2377</v>
      </c>
      <c r="F818" t="s">
        <v>2906</v>
      </c>
      <c r="G818" s="1" t="str">
        <f>HYPERLINK("https://homd.org/jbrowse/?data=homd_V11.02_phage_1.2%2FGCA_015257495.1&amp;loc=GCA_015257495.1%7CJABZKA010000003.1%3A156228..163988&amp;tracks=prokka,prokka_ncrna,ncbi,ncbi_ncrna,panggolin,cenote,genomad&amp;highlight=","Open JBrowse")</f>
        <v>Open JBrowse</v>
      </c>
      <c r="H818">
        <v>159228</v>
      </c>
      <c r="I818">
        <v>160988</v>
      </c>
      <c r="J818" t="s">
        <v>2912</v>
      </c>
      <c r="K818" t="s">
        <v>59</v>
      </c>
      <c r="L818" t="s">
        <v>2913</v>
      </c>
      <c r="M818" t="s">
        <v>2914</v>
      </c>
      <c r="N818" t="s">
        <v>42</v>
      </c>
      <c r="O818">
        <v>3</v>
      </c>
      <c r="P818" t="s">
        <v>42</v>
      </c>
      <c r="Q818" t="s">
        <v>59</v>
      </c>
      <c r="R818" t="s">
        <v>2908</v>
      </c>
      <c r="S818" t="s">
        <v>2913</v>
      </c>
      <c r="T818" t="s">
        <v>42</v>
      </c>
      <c r="U818">
        <v>58</v>
      </c>
      <c r="V818">
        <v>320</v>
      </c>
      <c r="W818">
        <v>263</v>
      </c>
      <c r="X818" t="s">
        <v>237</v>
      </c>
      <c r="Y818" t="s">
        <v>2909</v>
      </c>
      <c r="Z818" t="s">
        <v>836</v>
      </c>
      <c r="AA818" t="s">
        <v>2910</v>
      </c>
      <c r="AB818" t="s">
        <v>2911</v>
      </c>
      <c r="AC818" t="s">
        <v>506</v>
      </c>
      <c r="AD818" t="s">
        <v>507</v>
      </c>
      <c r="AE818">
        <v>239</v>
      </c>
      <c r="AF818" t="s">
        <v>725</v>
      </c>
    </row>
    <row r="819" spans="1:32" x14ac:dyDescent="0.75">
      <c r="A819" s="22" t="s">
        <v>6051</v>
      </c>
      <c r="B819" t="s">
        <v>4036</v>
      </c>
      <c r="C819" t="s">
        <v>104</v>
      </c>
      <c r="D819" t="s">
        <v>2376</v>
      </c>
      <c r="E819" t="s">
        <v>2377</v>
      </c>
      <c r="F819" t="s">
        <v>4037</v>
      </c>
      <c r="G819" s="1" t="str">
        <f>HYPERLINK("https://homd.org/jbrowse/?data=homd_V11.02_phage_1.2%2FGCA_020912025.1&amp;loc=GCA_020912025.1%7CJAGTWK010000002.1%3A39350..47128&amp;tracks=prokka,prokka_ncrna,ncbi,ncbi_ncrna,panggolin,cenote,genomad&amp;highlight=","Open JBrowse")</f>
        <v>Open JBrowse</v>
      </c>
      <c r="H819">
        <v>42350</v>
      </c>
      <c r="I819">
        <v>44128</v>
      </c>
      <c r="J819" t="s">
        <v>4040</v>
      </c>
      <c r="K819" t="s">
        <v>59</v>
      </c>
      <c r="L819" t="s">
        <v>2913</v>
      </c>
      <c r="M819" t="s">
        <v>2914</v>
      </c>
      <c r="N819" t="s">
        <v>42</v>
      </c>
      <c r="O819">
        <v>3</v>
      </c>
      <c r="P819" t="s">
        <v>42</v>
      </c>
      <c r="Q819" t="s">
        <v>59</v>
      </c>
      <c r="R819" t="s">
        <v>4039</v>
      </c>
      <c r="S819" t="s">
        <v>2913</v>
      </c>
      <c r="T819" t="s">
        <v>42</v>
      </c>
      <c r="U819">
        <v>58</v>
      </c>
      <c r="V819">
        <v>320</v>
      </c>
      <c r="W819">
        <v>263</v>
      </c>
      <c r="X819" t="s">
        <v>237</v>
      </c>
    </row>
    <row r="820" spans="1:32" x14ac:dyDescent="0.75">
      <c r="A820" s="22" t="s">
        <v>6051</v>
      </c>
      <c r="B820" t="s">
        <v>4074</v>
      </c>
      <c r="C820" t="s">
        <v>104</v>
      </c>
      <c r="D820" t="s">
        <v>2376</v>
      </c>
      <c r="E820" t="s">
        <v>2377</v>
      </c>
      <c r="F820" t="s">
        <v>4075</v>
      </c>
      <c r="G820" s="1" t="str">
        <f>HYPERLINK("https://homd.org/jbrowse/?data=homd_V11.02_phage_1.2%2FGCA_022819345.1&amp;loc=GCA_022819345.1%7CCP089288.1%3A196308..204086&amp;tracks=prokka,prokka_ncrna,ncbi,ncbi_ncrna,panggolin,cenote,genomad&amp;highlight=","Open JBrowse")</f>
        <v>Open JBrowse</v>
      </c>
      <c r="H820">
        <v>199308</v>
      </c>
      <c r="I820">
        <v>201086</v>
      </c>
      <c r="J820" t="s">
        <v>4081</v>
      </c>
      <c r="K820" t="s">
        <v>59</v>
      </c>
      <c r="L820" t="s">
        <v>2913</v>
      </c>
      <c r="M820" t="s">
        <v>2914</v>
      </c>
      <c r="N820" t="s">
        <v>42</v>
      </c>
      <c r="O820">
        <v>3</v>
      </c>
      <c r="P820" t="s">
        <v>42</v>
      </c>
      <c r="Q820" t="s">
        <v>59</v>
      </c>
      <c r="R820" t="s">
        <v>4077</v>
      </c>
      <c r="S820" t="s">
        <v>2913</v>
      </c>
      <c r="T820" t="s">
        <v>42</v>
      </c>
      <c r="U820">
        <v>58</v>
      </c>
      <c r="V820">
        <v>320</v>
      </c>
      <c r="W820">
        <v>263</v>
      </c>
      <c r="X820" t="s">
        <v>237</v>
      </c>
      <c r="Y820" t="s">
        <v>4078</v>
      </c>
      <c r="Z820" t="s">
        <v>1257</v>
      </c>
      <c r="AA820" t="s">
        <v>4079</v>
      </c>
      <c r="AB820" t="s">
        <v>4080</v>
      </c>
      <c r="AC820" t="s">
        <v>506</v>
      </c>
      <c r="AD820" t="s">
        <v>507</v>
      </c>
      <c r="AE820">
        <v>239</v>
      </c>
      <c r="AF820" t="s">
        <v>725</v>
      </c>
    </row>
    <row r="821" spans="1:32" x14ac:dyDescent="0.75">
      <c r="A821" s="22" t="s">
        <v>6051</v>
      </c>
      <c r="B821" t="s">
        <v>4098</v>
      </c>
      <c r="C821" t="s">
        <v>104</v>
      </c>
      <c r="D821" t="s">
        <v>2376</v>
      </c>
      <c r="E821" t="s">
        <v>2377</v>
      </c>
      <c r="F821" t="s">
        <v>4099</v>
      </c>
      <c r="G821" s="1" t="str">
        <f>HYPERLINK("https://homd.org/jbrowse/?data=homd_V11.02_phage_1.2%2FGCA_022828245.1&amp;loc=GCA_022828245.1%7CJAJQJV010000002.1%3A17871..25604&amp;tracks=prokka,prokka_ncrna,ncbi,ncbi_ncrna,panggolin,cenote,genomad&amp;highlight=","Open JBrowse")</f>
        <v>Open JBrowse</v>
      </c>
      <c r="H821">
        <v>20871</v>
      </c>
      <c r="I821">
        <v>22604</v>
      </c>
      <c r="J821" t="s">
        <v>4100</v>
      </c>
      <c r="K821" t="s">
        <v>59</v>
      </c>
      <c r="L821" t="s">
        <v>4101</v>
      </c>
      <c r="M821" t="s">
        <v>4102</v>
      </c>
      <c r="N821" t="s">
        <v>42</v>
      </c>
      <c r="O821">
        <v>3</v>
      </c>
      <c r="P821" t="s">
        <v>42</v>
      </c>
      <c r="Q821" t="s">
        <v>59</v>
      </c>
      <c r="R821" t="s">
        <v>4103</v>
      </c>
      <c r="S821" t="s">
        <v>4101</v>
      </c>
      <c r="T821" t="s">
        <v>42</v>
      </c>
      <c r="U821">
        <v>58</v>
      </c>
      <c r="V821">
        <v>319</v>
      </c>
      <c r="W821">
        <v>262</v>
      </c>
      <c r="X821" t="s">
        <v>237</v>
      </c>
      <c r="Y821" t="s">
        <v>4104</v>
      </c>
      <c r="Z821" t="s">
        <v>47</v>
      </c>
      <c r="AA821" t="s">
        <v>4105</v>
      </c>
      <c r="AB821" t="s">
        <v>4106</v>
      </c>
      <c r="AC821" t="s">
        <v>506</v>
      </c>
      <c r="AD821" t="s">
        <v>507</v>
      </c>
      <c r="AE821">
        <v>230.2</v>
      </c>
      <c r="AF821" t="s">
        <v>725</v>
      </c>
    </row>
    <row r="822" spans="1:32" x14ac:dyDescent="0.75">
      <c r="A822" s="22" t="s">
        <v>6051</v>
      </c>
      <c r="B822" t="s">
        <v>4108</v>
      </c>
      <c r="C822" t="s">
        <v>104</v>
      </c>
      <c r="D822" t="s">
        <v>2376</v>
      </c>
      <c r="E822" t="s">
        <v>2377</v>
      </c>
      <c r="F822" t="s">
        <v>4109</v>
      </c>
      <c r="G822" s="1" t="str">
        <f>HYPERLINK("https://homd.org/jbrowse/?data=homd_V11.02_phage_1.2%2FGCA_022828255.1&amp;loc=GCA_022828255.1%7CJAJQJW010000002.1%3A311141..318925&amp;tracks=prokka,prokka_ncrna,ncbi,ncbi_ncrna,panggolin,cenote,genomad&amp;highlight=","Open JBrowse")</f>
        <v>Open JBrowse</v>
      </c>
      <c r="H822">
        <v>314141</v>
      </c>
      <c r="I822">
        <v>315925</v>
      </c>
      <c r="J822" t="s">
        <v>4110</v>
      </c>
      <c r="K822" t="s">
        <v>59</v>
      </c>
      <c r="L822" t="s">
        <v>2913</v>
      </c>
      <c r="M822" t="s">
        <v>2914</v>
      </c>
      <c r="N822" t="s">
        <v>42</v>
      </c>
      <c r="O822">
        <v>3</v>
      </c>
      <c r="P822" t="s">
        <v>42</v>
      </c>
      <c r="Q822" t="s">
        <v>59</v>
      </c>
      <c r="R822" t="s">
        <v>4111</v>
      </c>
      <c r="S822" t="s">
        <v>2913</v>
      </c>
      <c r="T822" t="s">
        <v>42</v>
      </c>
      <c r="U822">
        <v>58</v>
      </c>
      <c r="V822">
        <v>320</v>
      </c>
      <c r="W822">
        <v>263</v>
      </c>
      <c r="X822" t="s">
        <v>237</v>
      </c>
      <c r="Y822" t="s">
        <v>4112</v>
      </c>
      <c r="Z822" t="s">
        <v>547</v>
      </c>
      <c r="AA822" t="s">
        <v>4113</v>
      </c>
      <c r="AB822" t="s">
        <v>4114</v>
      </c>
      <c r="AC822" t="s">
        <v>506</v>
      </c>
      <c r="AD822" t="s">
        <v>507</v>
      </c>
      <c r="AE822">
        <v>217.8</v>
      </c>
      <c r="AF822" t="s">
        <v>725</v>
      </c>
    </row>
    <row r="823" spans="1:32" x14ac:dyDescent="0.75">
      <c r="A823" s="22" t="s">
        <v>6051</v>
      </c>
      <c r="B823" t="s">
        <v>4116</v>
      </c>
      <c r="C823" t="s">
        <v>104</v>
      </c>
      <c r="D823" t="s">
        <v>2376</v>
      </c>
      <c r="E823" t="s">
        <v>2377</v>
      </c>
      <c r="F823" t="s">
        <v>4117</v>
      </c>
      <c r="G823" s="1" t="str">
        <f>HYPERLINK("https://homd.org/jbrowse/?data=homd_V11.02_phage_1.2%2FGCA_022828285.1&amp;loc=GCA_022828285.1%7CJAJQJR010000003.1%3A185008..192786&amp;tracks=prokka,prokka_ncrna,ncbi,ncbi_ncrna,panggolin,cenote,genomad&amp;highlight=","Open JBrowse")</f>
        <v>Open JBrowse</v>
      </c>
      <c r="H823">
        <v>188008</v>
      </c>
      <c r="I823">
        <v>189786</v>
      </c>
      <c r="J823" t="s">
        <v>4122</v>
      </c>
      <c r="K823" t="s">
        <v>59</v>
      </c>
      <c r="L823" t="s">
        <v>2913</v>
      </c>
      <c r="M823" t="s">
        <v>2914</v>
      </c>
      <c r="N823" t="s">
        <v>42</v>
      </c>
      <c r="O823">
        <v>3</v>
      </c>
      <c r="P823" t="s">
        <v>42</v>
      </c>
      <c r="Q823" t="s">
        <v>59</v>
      </c>
      <c r="R823" t="s">
        <v>4119</v>
      </c>
      <c r="S823" t="s">
        <v>2913</v>
      </c>
      <c r="T823" t="s">
        <v>42</v>
      </c>
      <c r="U823">
        <v>58</v>
      </c>
      <c r="V823">
        <v>320</v>
      </c>
      <c r="W823">
        <v>263</v>
      </c>
      <c r="X823" t="s">
        <v>237</v>
      </c>
      <c r="Y823" t="s">
        <v>4120</v>
      </c>
      <c r="Z823" t="s">
        <v>836</v>
      </c>
      <c r="AA823" t="s">
        <v>4079</v>
      </c>
      <c r="AB823" t="s">
        <v>4121</v>
      </c>
      <c r="AC823" t="s">
        <v>506</v>
      </c>
      <c r="AD823" t="s">
        <v>507</v>
      </c>
      <c r="AE823">
        <v>239</v>
      </c>
      <c r="AF823" t="s">
        <v>725</v>
      </c>
    </row>
    <row r="824" spans="1:32" x14ac:dyDescent="0.75">
      <c r="A824" s="22" t="s">
        <v>6051</v>
      </c>
      <c r="B824" t="s">
        <v>4123</v>
      </c>
      <c r="C824" t="s">
        <v>104</v>
      </c>
      <c r="D824" t="s">
        <v>2376</v>
      </c>
      <c r="E824" t="s">
        <v>2377</v>
      </c>
      <c r="F824" t="s">
        <v>4124</v>
      </c>
      <c r="G824" s="1" t="str">
        <f>HYPERLINK("https://homd.org/jbrowse/?data=homd_V11.02_phage_1.2%2FGCA_022828295.1&amp;loc=GCA_022828295.1%7CJAJQJT010000001.1%3A363645..371480&amp;tracks=prokka,prokka_ncrna,ncbi,ncbi_ncrna,panggolin,cenote,genomad&amp;highlight=","Open JBrowse")</f>
        <v>Open JBrowse</v>
      </c>
      <c r="H824">
        <v>366645</v>
      </c>
      <c r="I824">
        <v>368480</v>
      </c>
      <c r="J824" t="s">
        <v>4125</v>
      </c>
      <c r="K824" t="s">
        <v>59</v>
      </c>
      <c r="L824" t="s">
        <v>4101</v>
      </c>
      <c r="M824" t="s">
        <v>4102</v>
      </c>
      <c r="N824" t="s">
        <v>42</v>
      </c>
      <c r="O824">
        <v>3</v>
      </c>
      <c r="P824" t="s">
        <v>42</v>
      </c>
      <c r="Q824" t="s">
        <v>59</v>
      </c>
      <c r="R824" t="s">
        <v>4126</v>
      </c>
      <c r="S824" t="s">
        <v>4101</v>
      </c>
      <c r="T824" t="s">
        <v>42</v>
      </c>
      <c r="U824">
        <v>58</v>
      </c>
      <c r="V824">
        <v>319</v>
      </c>
      <c r="W824">
        <v>262</v>
      </c>
      <c r="X824" t="s">
        <v>237</v>
      </c>
      <c r="Y824" t="s">
        <v>4127</v>
      </c>
      <c r="Z824" t="s">
        <v>1334</v>
      </c>
      <c r="AA824" t="s">
        <v>4128</v>
      </c>
      <c r="AB824" t="s">
        <v>4129</v>
      </c>
      <c r="AC824" t="s">
        <v>506</v>
      </c>
      <c r="AD824" t="s">
        <v>507</v>
      </c>
      <c r="AE824">
        <v>222.4</v>
      </c>
      <c r="AF824" t="s">
        <v>725</v>
      </c>
    </row>
    <row r="825" spans="1:32" x14ac:dyDescent="0.75">
      <c r="A825" s="22" t="s">
        <v>6051</v>
      </c>
      <c r="B825" t="s">
        <v>745</v>
      </c>
      <c r="C825" t="s">
        <v>104</v>
      </c>
      <c r="D825" t="s">
        <v>746</v>
      </c>
      <c r="E825" t="s">
        <v>747</v>
      </c>
      <c r="F825" t="s">
        <v>748</v>
      </c>
      <c r="G825" s="1" t="str">
        <f>HYPERLINK("https://homd.org/jbrowse/?data=homd_V11.02_phage_1.2%2FGCA_000308055.1&amp;loc=GCA_000308055.1%7CCAGY01000001.1%3A79736..87511&amp;tracks=prokka,prokka_ncrna,ncbi,ncbi_ncrna,panggolin,cenote,genomad&amp;highlight=","Open JBrowse")</f>
        <v>Open JBrowse</v>
      </c>
      <c r="H825">
        <v>82736</v>
      </c>
      <c r="I825">
        <v>84511</v>
      </c>
      <c r="J825" t="s">
        <v>749</v>
      </c>
      <c r="K825" t="s">
        <v>541</v>
      </c>
      <c r="L825" t="s">
        <v>750</v>
      </c>
      <c r="M825" t="s">
        <v>751</v>
      </c>
      <c r="N825" t="s">
        <v>59</v>
      </c>
      <c r="O825">
        <v>2</v>
      </c>
      <c r="P825" t="s">
        <v>42</v>
      </c>
      <c r="Q825" t="s">
        <v>101</v>
      </c>
      <c r="R825" t="s">
        <v>752</v>
      </c>
      <c r="S825" t="s">
        <v>750</v>
      </c>
      <c r="T825" t="s">
        <v>42</v>
      </c>
      <c r="U825">
        <v>59</v>
      </c>
      <c r="V825">
        <v>334</v>
      </c>
      <c r="W825">
        <v>276</v>
      </c>
      <c r="X825" t="s">
        <v>545</v>
      </c>
      <c r="Y825" t="s">
        <v>753</v>
      </c>
      <c r="Z825" t="s">
        <v>47</v>
      </c>
      <c r="AA825" t="s">
        <v>754</v>
      </c>
    </row>
    <row r="826" spans="1:32" x14ac:dyDescent="0.75">
      <c r="A826" s="22" t="s">
        <v>6051</v>
      </c>
      <c r="B826" t="s">
        <v>846</v>
      </c>
      <c r="C826" t="s">
        <v>104</v>
      </c>
      <c r="D826" t="s">
        <v>746</v>
      </c>
      <c r="E826" t="s">
        <v>747</v>
      </c>
      <c r="F826" t="s">
        <v>847</v>
      </c>
      <c r="G826" s="1" t="str">
        <f>HYPERLINK("https://homd.org/jbrowse/?data=homd_V11.02_phage_1.2%2FGCA_000318335.2&amp;loc=GCA_000318335.2%7CKB291553.1%3A742262..750037&amp;tracks=prokka,prokka_ncrna,ncbi,ncbi_ncrna,panggolin,cenote,genomad&amp;highlight=","Open JBrowse")</f>
        <v>Open JBrowse</v>
      </c>
      <c r="H826">
        <v>745262</v>
      </c>
      <c r="I826">
        <v>747037</v>
      </c>
      <c r="J826" t="s">
        <v>848</v>
      </c>
      <c r="K826" t="s">
        <v>541</v>
      </c>
      <c r="L826" t="s">
        <v>750</v>
      </c>
      <c r="M826" t="s">
        <v>751</v>
      </c>
      <c r="N826" t="s">
        <v>59</v>
      </c>
      <c r="O826">
        <v>2</v>
      </c>
      <c r="P826" t="s">
        <v>42</v>
      </c>
      <c r="Q826" t="s">
        <v>101</v>
      </c>
      <c r="R826" t="s">
        <v>849</v>
      </c>
      <c r="S826" t="s">
        <v>750</v>
      </c>
      <c r="T826" t="s">
        <v>42</v>
      </c>
      <c r="U826">
        <v>59</v>
      </c>
      <c r="V826">
        <v>334</v>
      </c>
      <c r="W826">
        <v>276</v>
      </c>
      <c r="X826" t="s">
        <v>545</v>
      </c>
      <c r="Y826" t="s">
        <v>850</v>
      </c>
      <c r="Z826" t="s">
        <v>97</v>
      </c>
      <c r="AA826" t="s">
        <v>851</v>
      </c>
    </row>
    <row r="827" spans="1:32" x14ac:dyDescent="0.75">
      <c r="A827" s="22" t="s">
        <v>6051</v>
      </c>
      <c r="B827" t="s">
        <v>1084</v>
      </c>
      <c r="C827" t="s">
        <v>104</v>
      </c>
      <c r="D827" t="s">
        <v>1085</v>
      </c>
      <c r="E827" t="s">
        <v>1086</v>
      </c>
      <c r="F827" t="s">
        <v>1094</v>
      </c>
      <c r="G827" s="1" t="str">
        <f>HYPERLINK("https://homd.org/jbrowse/?data=homd_V11.02_phage_1.2%2FGCA_000469505.1&amp;loc=GCA_000469505.1%7CKI272830.1%3A22885..29880&amp;tracks=prokka,prokka_ncrna,ncbi,ncbi_ncrna,panggolin,cenote,genomad&amp;highlight=","Open JBrowse")</f>
        <v>Open JBrowse</v>
      </c>
      <c r="H827">
        <v>25885</v>
      </c>
      <c r="I827">
        <v>26880</v>
      </c>
      <c r="J827" t="s">
        <v>1095</v>
      </c>
      <c r="K827" t="s">
        <v>1096</v>
      </c>
      <c r="L827" t="s">
        <v>1097</v>
      </c>
      <c r="M827" t="s">
        <v>1098</v>
      </c>
      <c r="N827" t="s">
        <v>398</v>
      </c>
      <c r="O827">
        <v>3</v>
      </c>
      <c r="P827" t="s">
        <v>42</v>
      </c>
      <c r="Q827" t="s">
        <v>101</v>
      </c>
      <c r="R827" t="s">
        <v>1091</v>
      </c>
      <c r="S827" t="s">
        <v>1097</v>
      </c>
      <c r="T827" t="s">
        <v>42</v>
      </c>
      <c r="U827">
        <v>59</v>
      </c>
      <c r="V827">
        <v>324</v>
      </c>
      <c r="W827">
        <v>266</v>
      </c>
      <c r="X827" t="s">
        <v>1099</v>
      </c>
      <c r="Y827" t="s">
        <v>1100</v>
      </c>
      <c r="Z827" t="s">
        <v>836</v>
      </c>
      <c r="AA827" t="s">
        <v>1101</v>
      </c>
    </row>
    <row r="828" spans="1:32" x14ac:dyDescent="0.75">
      <c r="A828" s="22" t="s">
        <v>6051</v>
      </c>
      <c r="B828" t="s">
        <v>1415</v>
      </c>
      <c r="C828" t="s">
        <v>104</v>
      </c>
      <c r="D828" t="s">
        <v>746</v>
      </c>
      <c r="E828" t="s">
        <v>747</v>
      </c>
      <c r="F828" t="s">
        <v>1416</v>
      </c>
      <c r="G828" s="1" t="str">
        <f>HYPERLINK("https://homd.org/jbrowse/?data=homd_V11.02_phage_1.2%2FGCA_001070095.1&amp;loc=GCA_001070095.1%7CJWDF01000007.1%3A83042..90817&amp;tracks=prokka,prokka_ncrna,ncbi,ncbi_ncrna,panggolin,cenote,genomad&amp;highlight=","Open JBrowse")</f>
        <v>Open JBrowse</v>
      </c>
      <c r="H828">
        <v>86042</v>
      </c>
      <c r="I828">
        <v>87817</v>
      </c>
      <c r="J828" t="s">
        <v>1417</v>
      </c>
      <c r="K828" t="s">
        <v>541</v>
      </c>
      <c r="L828" t="s">
        <v>750</v>
      </c>
      <c r="M828" t="s">
        <v>751</v>
      </c>
      <c r="N828" t="s">
        <v>59</v>
      </c>
      <c r="O828">
        <v>2</v>
      </c>
      <c r="P828" t="s">
        <v>42</v>
      </c>
      <c r="Q828" t="s">
        <v>101</v>
      </c>
      <c r="R828" t="s">
        <v>1418</v>
      </c>
      <c r="S828" t="s">
        <v>750</v>
      </c>
      <c r="T828" t="s">
        <v>42</v>
      </c>
      <c r="U828">
        <v>59</v>
      </c>
      <c r="V828">
        <v>334</v>
      </c>
      <c r="W828">
        <v>276</v>
      </c>
      <c r="X828" t="s">
        <v>545</v>
      </c>
      <c r="Y828" t="s">
        <v>1419</v>
      </c>
      <c r="Z828" t="s">
        <v>1334</v>
      </c>
      <c r="AA828" t="s">
        <v>851</v>
      </c>
    </row>
    <row r="829" spans="1:32" x14ac:dyDescent="0.75">
      <c r="A829" s="22" t="s">
        <v>6051</v>
      </c>
      <c r="B829" t="s">
        <v>1427</v>
      </c>
      <c r="C829" t="s">
        <v>104</v>
      </c>
      <c r="D829" t="s">
        <v>1428</v>
      </c>
      <c r="E829" t="s">
        <v>1086</v>
      </c>
      <c r="F829" t="s">
        <v>1429</v>
      </c>
      <c r="G829" s="1" t="str">
        <f>HYPERLINK("https://homd.org/jbrowse/?data=homd_V11.02_phage_1.2%2FGCA_001274535.1&amp;loc=GCA_001274535.1%7CCP012410.1%3A772744..779730&amp;tracks=prokka,prokka_ncrna,ncbi,ncbi_ncrna,panggolin,cenote,genomad&amp;highlight=","Open JBrowse")</f>
        <v>Open JBrowse</v>
      </c>
      <c r="H829">
        <v>775744</v>
      </c>
      <c r="I829">
        <v>776730</v>
      </c>
      <c r="J829" t="s">
        <v>1436</v>
      </c>
      <c r="K829" t="s">
        <v>1096</v>
      </c>
      <c r="L829" t="s">
        <v>1097</v>
      </c>
      <c r="M829" t="s">
        <v>1098</v>
      </c>
      <c r="N829" t="s">
        <v>398</v>
      </c>
      <c r="O829">
        <v>3</v>
      </c>
      <c r="P829" t="s">
        <v>42</v>
      </c>
      <c r="Q829" t="s">
        <v>101</v>
      </c>
      <c r="R829" t="s">
        <v>1433</v>
      </c>
      <c r="S829" t="s">
        <v>1097</v>
      </c>
      <c r="T829" t="s">
        <v>42</v>
      </c>
      <c r="U829">
        <v>59</v>
      </c>
      <c r="V829">
        <v>324</v>
      </c>
      <c r="W829">
        <v>266</v>
      </c>
      <c r="X829" t="s">
        <v>1099</v>
      </c>
      <c r="Y829" t="s">
        <v>1437</v>
      </c>
      <c r="Z829" t="s">
        <v>547</v>
      </c>
      <c r="AA829" t="s">
        <v>1438</v>
      </c>
    </row>
    <row r="830" spans="1:32" x14ac:dyDescent="0.75">
      <c r="A830" s="22" t="s">
        <v>6051</v>
      </c>
      <c r="B830" t="s">
        <v>2375</v>
      </c>
      <c r="C830" t="s">
        <v>104</v>
      </c>
      <c r="D830" t="s">
        <v>2376</v>
      </c>
      <c r="E830" t="s">
        <v>2377</v>
      </c>
      <c r="F830" t="s">
        <v>2378</v>
      </c>
      <c r="G830" s="1" t="str">
        <f>HYPERLINK("https://homd.org/jbrowse/?data=homd_V11.02_phage_1.2%2FGCA_007845265.1&amp;loc=GCA_007845265.1%7CSDRM01000007.1%3A30517..37764&amp;tracks=prokka,prokka_ncrna,ncbi,ncbi_ncrna,panggolin,cenote,genomad&amp;highlight=","Open JBrowse")</f>
        <v>Open JBrowse</v>
      </c>
      <c r="H830">
        <v>33517</v>
      </c>
      <c r="I830">
        <v>34764</v>
      </c>
      <c r="J830" t="s">
        <v>2379</v>
      </c>
      <c r="K830" t="s">
        <v>59</v>
      </c>
      <c r="L830" t="s">
        <v>2380</v>
      </c>
      <c r="M830" t="s">
        <v>2381</v>
      </c>
      <c r="N830" t="s">
        <v>42</v>
      </c>
      <c r="O830">
        <v>3</v>
      </c>
      <c r="P830" t="s">
        <v>42</v>
      </c>
      <c r="Q830" t="s">
        <v>59</v>
      </c>
      <c r="R830" t="s">
        <v>2382</v>
      </c>
      <c r="S830" t="s">
        <v>2380</v>
      </c>
      <c r="T830" t="s">
        <v>42</v>
      </c>
      <c r="U830">
        <v>59</v>
      </c>
      <c r="V830">
        <v>310</v>
      </c>
      <c r="W830">
        <v>252</v>
      </c>
      <c r="X830" t="s">
        <v>237</v>
      </c>
      <c r="Y830" t="s">
        <v>2383</v>
      </c>
      <c r="Z830" t="s">
        <v>357</v>
      </c>
      <c r="AA830" t="s">
        <v>2384</v>
      </c>
      <c r="AB830" t="s">
        <v>2385</v>
      </c>
      <c r="AC830" t="s">
        <v>506</v>
      </c>
      <c r="AD830" t="s">
        <v>507</v>
      </c>
      <c r="AE830">
        <v>240</v>
      </c>
      <c r="AF830" t="s">
        <v>725</v>
      </c>
    </row>
    <row r="831" spans="1:32" x14ac:dyDescent="0.75">
      <c r="A831" s="22" t="s">
        <v>6051</v>
      </c>
      <c r="B831" t="s">
        <v>2905</v>
      </c>
      <c r="C831" t="s">
        <v>104</v>
      </c>
      <c r="D831" t="s">
        <v>2376</v>
      </c>
      <c r="E831" t="s">
        <v>2377</v>
      </c>
      <c r="F831" t="s">
        <v>2906</v>
      </c>
      <c r="G831" s="1" t="str">
        <f>HYPERLINK("https://homd.org/jbrowse/?data=homd_V11.02_phage_1.2%2FGCA_015257495.1&amp;loc=GCA_015257495.1%7CJABZKA010000003.1%3A154791..162038&amp;tracks=prokka,prokka_ncrna,ncbi,ncbi_ncrna,panggolin,cenote,genomad&amp;highlight=","Open JBrowse")</f>
        <v>Open JBrowse</v>
      </c>
      <c r="H831">
        <v>157791</v>
      </c>
      <c r="I831">
        <v>159038</v>
      </c>
      <c r="J831" t="s">
        <v>2907</v>
      </c>
      <c r="K831" t="s">
        <v>59</v>
      </c>
      <c r="L831" t="s">
        <v>2380</v>
      </c>
      <c r="M831" t="s">
        <v>2381</v>
      </c>
      <c r="N831" t="s">
        <v>42</v>
      </c>
      <c r="O831">
        <v>3</v>
      </c>
      <c r="P831" t="s">
        <v>42</v>
      </c>
      <c r="Q831" t="s">
        <v>59</v>
      </c>
      <c r="R831" t="s">
        <v>2908</v>
      </c>
      <c r="S831" t="s">
        <v>2380</v>
      </c>
      <c r="T831" t="s">
        <v>42</v>
      </c>
      <c r="U831">
        <v>59</v>
      </c>
      <c r="V831">
        <v>310</v>
      </c>
      <c r="W831">
        <v>252</v>
      </c>
      <c r="X831" t="s">
        <v>237</v>
      </c>
      <c r="Y831" t="s">
        <v>2909</v>
      </c>
      <c r="Z831" t="s">
        <v>836</v>
      </c>
      <c r="AA831" t="s">
        <v>2910</v>
      </c>
      <c r="AB831" t="s">
        <v>2911</v>
      </c>
      <c r="AC831" t="s">
        <v>506</v>
      </c>
      <c r="AD831" t="s">
        <v>507</v>
      </c>
      <c r="AE831">
        <v>239</v>
      </c>
      <c r="AF831" t="s">
        <v>725</v>
      </c>
    </row>
    <row r="832" spans="1:32" x14ac:dyDescent="0.75">
      <c r="A832" s="22" t="s">
        <v>6051</v>
      </c>
      <c r="B832" t="s">
        <v>2948</v>
      </c>
      <c r="C832" t="s">
        <v>104</v>
      </c>
      <c r="D832" t="s">
        <v>746</v>
      </c>
      <c r="E832" t="s">
        <v>747</v>
      </c>
      <c r="F832" t="s">
        <v>2949</v>
      </c>
      <c r="G832" s="1" t="str">
        <f>HYPERLINK("https://homd.org/jbrowse/?data=homd_V11.02_phage_1.2%2FGCA_015259385.1&amp;loc=GCA_015259385.1%7CJABZGJ010000083.1%3A1..6476&amp;tracks=prokka,prokka_ncrna,ncbi,ncbi_ncrna,panggolin,cenote,genomad&amp;highlight=","Open JBrowse")</f>
        <v>Open JBrowse</v>
      </c>
      <c r="H832">
        <v>1701</v>
      </c>
      <c r="I832">
        <v>3476</v>
      </c>
      <c r="J832" t="s">
        <v>2950</v>
      </c>
      <c r="K832" t="s">
        <v>541</v>
      </c>
      <c r="L832" t="s">
        <v>750</v>
      </c>
      <c r="M832" t="s">
        <v>751</v>
      </c>
      <c r="N832" t="s">
        <v>59</v>
      </c>
      <c r="O832">
        <v>2</v>
      </c>
      <c r="P832" t="s">
        <v>42</v>
      </c>
      <c r="Q832" t="s">
        <v>101</v>
      </c>
      <c r="R832" t="s">
        <v>2951</v>
      </c>
      <c r="S832" t="s">
        <v>750</v>
      </c>
      <c r="T832" t="s">
        <v>42</v>
      </c>
      <c r="U832">
        <v>59</v>
      </c>
      <c r="V832">
        <v>334</v>
      </c>
      <c r="W832">
        <v>276</v>
      </c>
      <c r="X832" t="s">
        <v>545</v>
      </c>
      <c r="Y832" t="s">
        <v>2952</v>
      </c>
      <c r="Z832" t="s">
        <v>1327</v>
      </c>
      <c r="AA832" t="s">
        <v>754</v>
      </c>
    </row>
    <row r="833" spans="1:32" x14ac:dyDescent="0.75">
      <c r="A833" s="22" t="s">
        <v>6051</v>
      </c>
      <c r="B833" t="s">
        <v>2953</v>
      </c>
      <c r="C833" t="s">
        <v>104</v>
      </c>
      <c r="D833" t="s">
        <v>746</v>
      </c>
      <c r="E833" t="s">
        <v>747</v>
      </c>
      <c r="F833" t="s">
        <v>2954</v>
      </c>
      <c r="G833" s="1" t="str">
        <f>HYPERLINK("https://homd.org/jbrowse/?data=homd_V11.02_phage_1.2%2FGCA_015259405.1&amp;loc=GCA_015259405.1%7CJABZGH010000001.1%3A54340..62115&amp;tracks=prokka,prokka_ncrna,ncbi,ncbi_ncrna,panggolin,cenote,genomad&amp;highlight=","Open JBrowse")</f>
        <v>Open JBrowse</v>
      </c>
      <c r="H833">
        <v>57340</v>
      </c>
      <c r="I833">
        <v>59115</v>
      </c>
      <c r="J833" t="s">
        <v>2955</v>
      </c>
      <c r="K833" t="s">
        <v>541</v>
      </c>
      <c r="L833" t="s">
        <v>750</v>
      </c>
      <c r="M833" t="s">
        <v>751</v>
      </c>
      <c r="N833" t="s">
        <v>59</v>
      </c>
      <c r="O833">
        <v>2</v>
      </c>
      <c r="P833" t="s">
        <v>42</v>
      </c>
      <c r="Q833" t="s">
        <v>101</v>
      </c>
      <c r="R833" t="s">
        <v>2956</v>
      </c>
      <c r="S833" t="s">
        <v>750</v>
      </c>
      <c r="T833" t="s">
        <v>42</v>
      </c>
      <c r="U833">
        <v>59</v>
      </c>
      <c r="V833">
        <v>334</v>
      </c>
      <c r="W833">
        <v>276</v>
      </c>
      <c r="X833" t="s">
        <v>545</v>
      </c>
      <c r="Y833" t="s">
        <v>2957</v>
      </c>
      <c r="Z833" t="s">
        <v>47</v>
      </c>
      <c r="AA833" t="s">
        <v>754</v>
      </c>
    </row>
    <row r="834" spans="1:32" x14ac:dyDescent="0.75">
      <c r="A834" s="22" t="s">
        <v>6051</v>
      </c>
      <c r="B834" t="s">
        <v>3612</v>
      </c>
      <c r="C834" t="s">
        <v>104</v>
      </c>
      <c r="D834" t="s">
        <v>746</v>
      </c>
      <c r="E834" t="s">
        <v>747</v>
      </c>
      <c r="F834" t="s">
        <v>3613</v>
      </c>
      <c r="G834" s="1" t="str">
        <f>HYPERLINK("https://homd.org/jbrowse/?data=homd_V11.02_phage_1.2%2FGCA_018363635.1&amp;loc=GCA_018363635.1%7CJAGZNM010000023.1%3A8731..16506&amp;tracks=prokka,prokka_ncrna,ncbi,ncbi_ncrna,panggolin,cenote,genomad&amp;highlight=","Open JBrowse")</f>
        <v>Open JBrowse</v>
      </c>
      <c r="H834">
        <v>11731</v>
      </c>
      <c r="I834">
        <v>13506</v>
      </c>
      <c r="J834" t="s">
        <v>3614</v>
      </c>
      <c r="K834" t="s">
        <v>541</v>
      </c>
      <c r="L834" t="s">
        <v>750</v>
      </c>
      <c r="M834" t="s">
        <v>751</v>
      </c>
      <c r="N834" t="s">
        <v>59</v>
      </c>
      <c r="O834">
        <v>2</v>
      </c>
      <c r="P834" t="s">
        <v>42</v>
      </c>
      <c r="Q834" t="s">
        <v>101</v>
      </c>
      <c r="R834" t="s">
        <v>3615</v>
      </c>
      <c r="S834" t="s">
        <v>750</v>
      </c>
      <c r="T834" t="s">
        <v>42</v>
      </c>
      <c r="U834">
        <v>59</v>
      </c>
      <c r="V834">
        <v>334</v>
      </c>
      <c r="W834">
        <v>276</v>
      </c>
      <c r="X834" t="s">
        <v>545</v>
      </c>
      <c r="Y834" t="s">
        <v>3616</v>
      </c>
      <c r="Z834" t="s">
        <v>126</v>
      </c>
      <c r="AA834" t="s">
        <v>851</v>
      </c>
    </row>
    <row r="835" spans="1:32" x14ac:dyDescent="0.75">
      <c r="A835" s="22" t="s">
        <v>6051</v>
      </c>
      <c r="B835" t="s">
        <v>4036</v>
      </c>
      <c r="C835" t="s">
        <v>104</v>
      </c>
      <c r="D835" t="s">
        <v>2376</v>
      </c>
      <c r="E835" t="s">
        <v>2377</v>
      </c>
      <c r="F835" t="s">
        <v>4037</v>
      </c>
      <c r="G835" s="1" t="str">
        <f>HYPERLINK("https://homd.org/jbrowse/?data=homd_V11.02_phage_1.2%2FGCA_020912025.1&amp;loc=GCA_020912025.1%7CJAGTWK010000002.1%3A37914..45161&amp;tracks=prokka,prokka_ncrna,ncbi,ncbi_ncrna,panggolin,cenote,genomad&amp;highlight=","Open JBrowse")</f>
        <v>Open JBrowse</v>
      </c>
      <c r="H835">
        <v>40914</v>
      </c>
      <c r="I835">
        <v>42161</v>
      </c>
      <c r="J835" t="s">
        <v>4038</v>
      </c>
      <c r="K835" t="s">
        <v>59</v>
      </c>
      <c r="L835" t="s">
        <v>2380</v>
      </c>
      <c r="M835" t="s">
        <v>2381</v>
      </c>
      <c r="N835" t="s">
        <v>42</v>
      </c>
      <c r="O835">
        <v>3</v>
      </c>
      <c r="P835" t="s">
        <v>42</v>
      </c>
      <c r="Q835" t="s">
        <v>59</v>
      </c>
      <c r="R835" t="s">
        <v>4039</v>
      </c>
      <c r="S835" t="s">
        <v>2380</v>
      </c>
      <c r="T835" t="s">
        <v>42</v>
      </c>
      <c r="U835">
        <v>59</v>
      </c>
      <c r="V835">
        <v>310</v>
      </c>
      <c r="W835">
        <v>252</v>
      </c>
      <c r="X835" t="s">
        <v>237</v>
      </c>
    </row>
    <row r="836" spans="1:32" x14ac:dyDescent="0.75">
      <c r="A836" s="22" t="s">
        <v>6051</v>
      </c>
      <c r="B836" t="s">
        <v>4074</v>
      </c>
      <c r="C836" t="s">
        <v>104</v>
      </c>
      <c r="D836" t="s">
        <v>2376</v>
      </c>
      <c r="E836" t="s">
        <v>2377</v>
      </c>
      <c r="F836" t="s">
        <v>4075</v>
      </c>
      <c r="G836" s="1" t="str">
        <f>HYPERLINK("https://homd.org/jbrowse/?data=homd_V11.02_phage_1.2%2FGCA_022819345.1&amp;loc=GCA_022819345.1%7CCP089288.1%3A194872..202119&amp;tracks=prokka,prokka_ncrna,ncbi,ncbi_ncrna,panggolin,cenote,genomad&amp;highlight=","Open JBrowse")</f>
        <v>Open JBrowse</v>
      </c>
      <c r="H836">
        <v>197872</v>
      </c>
      <c r="I836">
        <v>199119</v>
      </c>
      <c r="J836" t="s">
        <v>4076</v>
      </c>
      <c r="K836" t="s">
        <v>59</v>
      </c>
      <c r="L836" t="s">
        <v>2380</v>
      </c>
      <c r="M836" t="s">
        <v>2381</v>
      </c>
      <c r="N836" t="s">
        <v>42</v>
      </c>
      <c r="O836">
        <v>3</v>
      </c>
      <c r="P836" t="s">
        <v>42</v>
      </c>
      <c r="Q836" t="s">
        <v>59</v>
      </c>
      <c r="R836" t="s">
        <v>4077</v>
      </c>
      <c r="S836" t="s">
        <v>2380</v>
      </c>
      <c r="T836" t="s">
        <v>42</v>
      </c>
      <c r="U836">
        <v>59</v>
      </c>
      <c r="V836">
        <v>310</v>
      </c>
      <c r="W836">
        <v>252</v>
      </c>
      <c r="X836" t="s">
        <v>237</v>
      </c>
      <c r="Y836" t="s">
        <v>4078</v>
      </c>
      <c r="Z836" t="s">
        <v>1257</v>
      </c>
      <c r="AA836" t="s">
        <v>4079</v>
      </c>
      <c r="AB836" t="s">
        <v>4080</v>
      </c>
      <c r="AC836" t="s">
        <v>506</v>
      </c>
      <c r="AD836" t="s">
        <v>507</v>
      </c>
      <c r="AE836">
        <v>239</v>
      </c>
      <c r="AF836" t="s">
        <v>725</v>
      </c>
    </row>
    <row r="837" spans="1:32" x14ac:dyDescent="0.75">
      <c r="A837" s="22" t="s">
        <v>6051</v>
      </c>
      <c r="B837" t="s">
        <v>4098</v>
      </c>
      <c r="C837" t="s">
        <v>104</v>
      </c>
      <c r="D837" t="s">
        <v>2376</v>
      </c>
      <c r="E837" t="s">
        <v>2377</v>
      </c>
      <c r="F837" t="s">
        <v>4099</v>
      </c>
      <c r="G837" s="1" t="str">
        <f>HYPERLINK("https://homd.org/jbrowse/?data=homd_V11.02_phage_1.2%2FGCA_022828245.1&amp;loc=GCA_022828245.1%7CJAJQJV010000002.1%3A19792..27039&amp;tracks=prokka,prokka_ncrna,ncbi,ncbi_ncrna,panggolin,cenote,genomad&amp;highlight=","Open JBrowse")</f>
        <v>Open JBrowse</v>
      </c>
      <c r="H837">
        <v>22792</v>
      </c>
      <c r="I837">
        <v>24039</v>
      </c>
      <c r="J837" t="s">
        <v>4107</v>
      </c>
      <c r="K837" t="s">
        <v>59</v>
      </c>
      <c r="L837" t="s">
        <v>2380</v>
      </c>
      <c r="M837" t="s">
        <v>2381</v>
      </c>
      <c r="N837" t="s">
        <v>42</v>
      </c>
      <c r="O837">
        <v>3</v>
      </c>
      <c r="P837" t="s">
        <v>42</v>
      </c>
      <c r="Q837" t="s">
        <v>59</v>
      </c>
      <c r="R837" t="s">
        <v>4103</v>
      </c>
      <c r="S837" t="s">
        <v>2380</v>
      </c>
      <c r="T837" t="s">
        <v>42</v>
      </c>
      <c r="U837">
        <v>59</v>
      </c>
      <c r="V837">
        <v>310</v>
      </c>
      <c r="W837">
        <v>252</v>
      </c>
      <c r="X837" t="s">
        <v>237</v>
      </c>
      <c r="Y837" t="s">
        <v>4104</v>
      </c>
      <c r="Z837" t="s">
        <v>47</v>
      </c>
      <c r="AA837" t="s">
        <v>4105</v>
      </c>
      <c r="AB837" t="s">
        <v>4106</v>
      </c>
      <c r="AC837" t="s">
        <v>506</v>
      </c>
      <c r="AD837" t="s">
        <v>507</v>
      </c>
      <c r="AE837">
        <v>230.2</v>
      </c>
      <c r="AF837" t="s">
        <v>725</v>
      </c>
    </row>
    <row r="838" spans="1:32" x14ac:dyDescent="0.75">
      <c r="A838" s="22" t="s">
        <v>6051</v>
      </c>
      <c r="B838" t="s">
        <v>4108</v>
      </c>
      <c r="C838" t="s">
        <v>104</v>
      </c>
      <c r="D838" t="s">
        <v>2376</v>
      </c>
      <c r="E838" t="s">
        <v>2377</v>
      </c>
      <c r="F838" t="s">
        <v>4109</v>
      </c>
      <c r="G838" s="1" t="str">
        <f>HYPERLINK("https://homd.org/jbrowse/?data=homd_V11.02_phage_1.2%2FGCA_022828255.1&amp;loc=GCA_022828255.1%7CJAJQJW010000002.1%3A313115..320362&amp;tracks=prokka,prokka_ncrna,ncbi,ncbi_ncrna,panggolin,cenote,genomad&amp;highlight=","Open JBrowse")</f>
        <v>Open JBrowse</v>
      </c>
      <c r="H838">
        <v>316115</v>
      </c>
      <c r="I838">
        <v>317362</v>
      </c>
      <c r="J838" t="s">
        <v>4115</v>
      </c>
      <c r="K838" t="s">
        <v>59</v>
      </c>
      <c r="L838" t="s">
        <v>2380</v>
      </c>
      <c r="M838" t="s">
        <v>2381</v>
      </c>
      <c r="N838" t="s">
        <v>42</v>
      </c>
      <c r="O838">
        <v>3</v>
      </c>
      <c r="P838" t="s">
        <v>42</v>
      </c>
      <c r="Q838" t="s">
        <v>59</v>
      </c>
      <c r="R838" t="s">
        <v>4111</v>
      </c>
      <c r="S838" t="s">
        <v>2380</v>
      </c>
      <c r="T838" t="s">
        <v>42</v>
      </c>
      <c r="U838">
        <v>59</v>
      </c>
      <c r="V838">
        <v>310</v>
      </c>
      <c r="W838">
        <v>252</v>
      </c>
      <c r="X838" t="s">
        <v>237</v>
      </c>
      <c r="Y838" t="s">
        <v>4112</v>
      </c>
      <c r="Z838" t="s">
        <v>547</v>
      </c>
      <c r="AA838" t="s">
        <v>4113</v>
      </c>
      <c r="AB838" t="s">
        <v>4114</v>
      </c>
      <c r="AC838" t="s">
        <v>506</v>
      </c>
      <c r="AD838" t="s">
        <v>507</v>
      </c>
      <c r="AE838">
        <v>217.8</v>
      </c>
      <c r="AF838" t="s">
        <v>725</v>
      </c>
    </row>
    <row r="839" spans="1:32" x14ac:dyDescent="0.75">
      <c r="A839" s="22" t="s">
        <v>6051</v>
      </c>
      <c r="B839" t="s">
        <v>4116</v>
      </c>
      <c r="C839" t="s">
        <v>104</v>
      </c>
      <c r="D839" t="s">
        <v>2376</v>
      </c>
      <c r="E839" t="s">
        <v>2377</v>
      </c>
      <c r="F839" t="s">
        <v>4117</v>
      </c>
      <c r="G839" s="1" t="str">
        <f>HYPERLINK("https://homd.org/jbrowse/?data=homd_V11.02_phage_1.2%2FGCA_022828285.1&amp;loc=GCA_022828285.1%7CJAJQJR010000003.1%3A183572..190819&amp;tracks=prokka,prokka_ncrna,ncbi,ncbi_ncrna,panggolin,cenote,genomad&amp;highlight=","Open JBrowse")</f>
        <v>Open JBrowse</v>
      </c>
      <c r="H839">
        <v>186572</v>
      </c>
      <c r="I839">
        <v>187819</v>
      </c>
      <c r="J839" t="s">
        <v>4118</v>
      </c>
      <c r="K839" t="s">
        <v>59</v>
      </c>
      <c r="L839" t="s">
        <v>2380</v>
      </c>
      <c r="M839" t="s">
        <v>2381</v>
      </c>
      <c r="N839" t="s">
        <v>42</v>
      </c>
      <c r="O839">
        <v>3</v>
      </c>
      <c r="P839" t="s">
        <v>42</v>
      </c>
      <c r="Q839" t="s">
        <v>59</v>
      </c>
      <c r="R839" t="s">
        <v>4119</v>
      </c>
      <c r="S839" t="s">
        <v>2380</v>
      </c>
      <c r="T839" t="s">
        <v>42</v>
      </c>
      <c r="U839">
        <v>59</v>
      </c>
      <c r="V839">
        <v>310</v>
      </c>
      <c r="W839">
        <v>252</v>
      </c>
      <c r="X839" t="s">
        <v>237</v>
      </c>
      <c r="Y839" t="s">
        <v>4120</v>
      </c>
      <c r="Z839" t="s">
        <v>836</v>
      </c>
      <c r="AA839" t="s">
        <v>4079</v>
      </c>
      <c r="AB839" t="s">
        <v>4121</v>
      </c>
      <c r="AC839" t="s">
        <v>506</v>
      </c>
      <c r="AD839" t="s">
        <v>507</v>
      </c>
      <c r="AE839">
        <v>239</v>
      </c>
      <c r="AF839" t="s">
        <v>725</v>
      </c>
    </row>
    <row r="840" spans="1:32" x14ac:dyDescent="0.75">
      <c r="A840" s="22" t="s">
        <v>6051</v>
      </c>
      <c r="B840" t="s">
        <v>4123</v>
      </c>
      <c r="C840" t="s">
        <v>104</v>
      </c>
      <c r="D840" t="s">
        <v>2376</v>
      </c>
      <c r="E840" t="s">
        <v>2377</v>
      </c>
      <c r="F840" t="s">
        <v>4124</v>
      </c>
      <c r="G840" s="1" t="str">
        <f>HYPERLINK("https://homd.org/jbrowse/?data=homd_V11.02_phage_1.2%2FGCA_022828295.1&amp;loc=GCA_022828295.1%7CJAJQJT010000001.1%3A365669..372916&amp;tracks=prokka,prokka_ncrna,ncbi,ncbi_ncrna,panggolin,cenote,genomad&amp;highlight=","Open JBrowse")</f>
        <v>Open JBrowse</v>
      </c>
      <c r="H840">
        <v>368669</v>
      </c>
      <c r="I840">
        <v>369916</v>
      </c>
      <c r="J840" t="s">
        <v>4130</v>
      </c>
      <c r="K840" t="s">
        <v>59</v>
      </c>
      <c r="L840" t="s">
        <v>2380</v>
      </c>
      <c r="M840" t="s">
        <v>2381</v>
      </c>
      <c r="N840" t="s">
        <v>42</v>
      </c>
      <c r="O840">
        <v>3</v>
      </c>
      <c r="P840" t="s">
        <v>42</v>
      </c>
      <c r="Q840" t="s">
        <v>59</v>
      </c>
      <c r="R840" t="s">
        <v>4126</v>
      </c>
      <c r="S840" t="s">
        <v>2380</v>
      </c>
      <c r="T840" t="s">
        <v>42</v>
      </c>
      <c r="U840">
        <v>59</v>
      </c>
      <c r="V840">
        <v>310</v>
      </c>
      <c r="W840">
        <v>252</v>
      </c>
      <c r="X840" t="s">
        <v>237</v>
      </c>
      <c r="Y840" t="s">
        <v>4127</v>
      </c>
      <c r="Z840" t="s">
        <v>1334</v>
      </c>
      <c r="AA840" t="s">
        <v>4128</v>
      </c>
      <c r="AB840" t="s">
        <v>4129</v>
      </c>
      <c r="AC840" t="s">
        <v>506</v>
      </c>
      <c r="AD840" t="s">
        <v>507</v>
      </c>
      <c r="AE840">
        <v>222.4</v>
      </c>
      <c r="AF840" t="s">
        <v>725</v>
      </c>
    </row>
    <row r="841" spans="1:32" x14ac:dyDescent="0.75">
      <c r="A841" s="22" t="s">
        <v>6051</v>
      </c>
      <c r="B841" t="s">
        <v>4131</v>
      </c>
      <c r="C841" t="s">
        <v>104</v>
      </c>
      <c r="D841" t="s">
        <v>2376</v>
      </c>
      <c r="E841" t="s">
        <v>2377</v>
      </c>
      <c r="F841" t="s">
        <v>4132</v>
      </c>
      <c r="G841" s="1" t="str">
        <f>HYPERLINK("https://homd.org/jbrowse/?data=homd_V11.02_phage_1.2%2FGCA_022828325.1&amp;loc=GCA_022828325.1%7CJAJQJS010000002.1%3A287634..294881&amp;tracks=prokka,prokka_ncrna,ncbi,ncbi_ncrna,panggolin,cenote,genomad&amp;highlight=","Open JBrowse")</f>
        <v>Open JBrowse</v>
      </c>
      <c r="H841">
        <v>290634</v>
      </c>
      <c r="I841">
        <v>291881</v>
      </c>
      <c r="J841" t="s">
        <v>4133</v>
      </c>
      <c r="K841" t="s">
        <v>59</v>
      </c>
      <c r="L841" t="s">
        <v>2380</v>
      </c>
      <c r="M841" t="s">
        <v>2381</v>
      </c>
      <c r="N841" t="s">
        <v>42</v>
      </c>
      <c r="O841">
        <v>3</v>
      </c>
      <c r="P841" t="s">
        <v>42</v>
      </c>
      <c r="Q841" t="s">
        <v>59</v>
      </c>
      <c r="R841" t="s">
        <v>4134</v>
      </c>
      <c r="S841" t="s">
        <v>2380</v>
      </c>
      <c r="T841" t="s">
        <v>42</v>
      </c>
      <c r="U841">
        <v>59</v>
      </c>
      <c r="V841">
        <v>310</v>
      </c>
      <c r="W841">
        <v>252</v>
      </c>
      <c r="X841" t="s">
        <v>237</v>
      </c>
      <c r="Y841" t="s">
        <v>4135</v>
      </c>
      <c r="Z841" t="s">
        <v>1334</v>
      </c>
      <c r="AA841" t="s">
        <v>4136</v>
      </c>
      <c r="AB841" t="s">
        <v>4137</v>
      </c>
      <c r="AC841" t="s">
        <v>1551</v>
      </c>
      <c r="AD841" t="s">
        <v>101</v>
      </c>
      <c r="AE841">
        <v>247</v>
      </c>
      <c r="AF841" t="s">
        <v>795</v>
      </c>
    </row>
    <row r="842" spans="1:32" x14ac:dyDescent="0.75">
      <c r="A842" s="22" t="s">
        <v>6051</v>
      </c>
      <c r="B842" t="s">
        <v>4139</v>
      </c>
      <c r="C842" t="s">
        <v>104</v>
      </c>
      <c r="D842" t="s">
        <v>2376</v>
      </c>
      <c r="E842" t="s">
        <v>2377</v>
      </c>
      <c r="F842" t="s">
        <v>4140</v>
      </c>
      <c r="G842" s="1" t="str">
        <f>HYPERLINK("https://homd.org/jbrowse/?data=homd_V11.02_phage_1.2%2FGCA_022828365.1&amp;loc=GCA_022828365.1%7CJAJQJU010000003.1%3A10422..17669&amp;tracks=prokka,prokka_ncrna,ncbi,ncbi_ncrna,panggolin,cenote,genomad&amp;highlight=","Open JBrowse")</f>
        <v>Open JBrowse</v>
      </c>
      <c r="H842">
        <v>13422</v>
      </c>
      <c r="I842">
        <v>14669</v>
      </c>
      <c r="J842" t="s">
        <v>4141</v>
      </c>
      <c r="K842" t="s">
        <v>59</v>
      </c>
      <c r="L842" t="s">
        <v>2380</v>
      </c>
      <c r="M842" t="s">
        <v>2381</v>
      </c>
      <c r="N842" t="s">
        <v>42</v>
      </c>
      <c r="O842">
        <v>3</v>
      </c>
      <c r="P842" t="s">
        <v>42</v>
      </c>
      <c r="Q842" t="s">
        <v>59</v>
      </c>
      <c r="R842" t="s">
        <v>4142</v>
      </c>
      <c r="S842" t="s">
        <v>2380</v>
      </c>
      <c r="T842" t="s">
        <v>42</v>
      </c>
      <c r="U842">
        <v>59</v>
      </c>
      <c r="V842">
        <v>310</v>
      </c>
      <c r="W842">
        <v>252</v>
      </c>
      <c r="X842" t="s">
        <v>237</v>
      </c>
      <c r="Y842" t="s">
        <v>4143</v>
      </c>
      <c r="Z842" t="s">
        <v>836</v>
      </c>
      <c r="AA842" t="s">
        <v>4144</v>
      </c>
      <c r="AB842" t="s">
        <v>4145</v>
      </c>
      <c r="AC842" t="s">
        <v>506</v>
      </c>
      <c r="AD842" t="s">
        <v>507</v>
      </c>
      <c r="AE842">
        <v>235</v>
      </c>
      <c r="AF842" t="s">
        <v>795</v>
      </c>
    </row>
    <row r="843" spans="1:32" x14ac:dyDescent="0.75">
      <c r="A843" s="22" t="s">
        <v>6051</v>
      </c>
      <c r="B843" t="s">
        <v>4139</v>
      </c>
      <c r="C843" t="s">
        <v>104</v>
      </c>
      <c r="D843" t="s">
        <v>2376</v>
      </c>
      <c r="E843" t="s">
        <v>2377</v>
      </c>
      <c r="F843" t="s">
        <v>4140</v>
      </c>
      <c r="G843" s="1" t="str">
        <f>HYPERLINK("https://homd.org/jbrowse/?data=homd_V11.02_phage_1.2%2FGCA_022828365.1&amp;loc=GCA_022828365.1%7CJAJQJU010000003.1%3A11860..19605&amp;tracks=prokka,prokka_ncrna,ncbi,ncbi_ncrna,panggolin,cenote,genomad&amp;highlight=","Open JBrowse")</f>
        <v>Open JBrowse</v>
      </c>
      <c r="H843">
        <v>14860</v>
      </c>
      <c r="I843">
        <v>16605</v>
      </c>
      <c r="J843" t="s">
        <v>4146</v>
      </c>
      <c r="K843" t="s">
        <v>59</v>
      </c>
      <c r="L843" t="s">
        <v>4147</v>
      </c>
      <c r="M843" t="s">
        <v>2388</v>
      </c>
      <c r="N843" t="s">
        <v>42</v>
      </c>
      <c r="O843">
        <v>3</v>
      </c>
      <c r="P843" t="s">
        <v>42</v>
      </c>
      <c r="Q843" t="s">
        <v>59</v>
      </c>
      <c r="R843" t="s">
        <v>4142</v>
      </c>
      <c r="S843" t="s">
        <v>4147</v>
      </c>
      <c r="T843" t="s">
        <v>42</v>
      </c>
      <c r="U843">
        <v>59</v>
      </c>
      <c r="V843">
        <v>315</v>
      </c>
      <c r="W843">
        <v>257</v>
      </c>
      <c r="X843" t="s">
        <v>237</v>
      </c>
      <c r="Y843" t="s">
        <v>4143</v>
      </c>
      <c r="Z843" t="s">
        <v>836</v>
      </c>
      <c r="AA843" t="s">
        <v>4144</v>
      </c>
      <c r="AB843" t="s">
        <v>4145</v>
      </c>
      <c r="AC843" t="s">
        <v>506</v>
      </c>
      <c r="AD843" t="s">
        <v>507</v>
      </c>
      <c r="AE843">
        <v>235</v>
      </c>
      <c r="AF843" t="s">
        <v>795</v>
      </c>
    </row>
    <row r="844" spans="1:32" x14ac:dyDescent="0.75">
      <c r="A844" s="22" t="s">
        <v>6051</v>
      </c>
      <c r="B844" t="s">
        <v>5327</v>
      </c>
      <c r="C844" t="s">
        <v>104</v>
      </c>
      <c r="D844" t="s">
        <v>746</v>
      </c>
      <c r="E844" t="s">
        <v>747</v>
      </c>
      <c r="F844" t="s">
        <v>5328</v>
      </c>
      <c r="G844" s="1" t="str">
        <f>HYPERLINK("https://homd.org/jbrowse/?data=homd_V11.02_phage_1.2%2FGCA_902374745.1&amp;loc=GCA_902374745.1%7CCABKRD010000010.1%3A79736..87511&amp;tracks=prokka,prokka_ncrna,ncbi,ncbi_ncrna,panggolin,cenote,genomad&amp;highlight=","Open JBrowse")</f>
        <v>Open JBrowse</v>
      </c>
      <c r="H844">
        <v>82736</v>
      </c>
      <c r="I844">
        <v>84511</v>
      </c>
      <c r="J844" t="s">
        <v>5329</v>
      </c>
      <c r="K844" t="s">
        <v>541</v>
      </c>
      <c r="L844" t="s">
        <v>750</v>
      </c>
      <c r="M844" t="s">
        <v>751</v>
      </c>
      <c r="N844" t="s">
        <v>59</v>
      </c>
      <c r="O844">
        <v>2</v>
      </c>
      <c r="P844" t="s">
        <v>42</v>
      </c>
      <c r="Q844" t="s">
        <v>101</v>
      </c>
      <c r="R844" t="s">
        <v>5330</v>
      </c>
      <c r="S844" t="s">
        <v>750</v>
      </c>
      <c r="T844" t="s">
        <v>42</v>
      </c>
      <c r="U844">
        <v>59</v>
      </c>
      <c r="V844">
        <v>334</v>
      </c>
      <c r="W844">
        <v>276</v>
      </c>
      <c r="X844" t="s">
        <v>545</v>
      </c>
      <c r="Y844" t="s">
        <v>5331</v>
      </c>
      <c r="Z844" t="s">
        <v>90</v>
      </c>
      <c r="AA844" t="s">
        <v>754</v>
      </c>
    </row>
    <row r="845" spans="1:32" x14ac:dyDescent="0.75">
      <c r="A845" s="22" t="s">
        <v>6051</v>
      </c>
      <c r="B845" t="s">
        <v>5527</v>
      </c>
      <c r="C845" t="s">
        <v>104</v>
      </c>
      <c r="D845" t="s">
        <v>1428</v>
      </c>
      <c r="E845" t="s">
        <v>1086</v>
      </c>
      <c r="F845" t="s">
        <v>5532</v>
      </c>
      <c r="G845" s="1" t="str">
        <f>HYPERLINK("https://homd.org/jbrowse/?data=homd_V11.02_phage_1.2%2FGCA_905373465.1&amp;loc=GCA_905373465.1%7CCAJPTA010000275.1%3A1..4228&amp;tracks=prokka,prokka_ncrna,ncbi,ncbi_ncrna,panggolin,cenote,genomad&amp;highlight=","Open JBrowse")</f>
        <v>Open JBrowse</v>
      </c>
      <c r="H845">
        <v>242</v>
      </c>
      <c r="I845">
        <v>1228</v>
      </c>
      <c r="J845" t="s">
        <v>5533</v>
      </c>
      <c r="K845" t="s">
        <v>1096</v>
      </c>
      <c r="L845" t="s">
        <v>1097</v>
      </c>
      <c r="M845" t="s">
        <v>1098</v>
      </c>
      <c r="N845" t="s">
        <v>398</v>
      </c>
      <c r="O845">
        <v>3</v>
      </c>
      <c r="P845" t="s">
        <v>42</v>
      </c>
      <c r="Q845" t="s">
        <v>101</v>
      </c>
      <c r="R845" t="s">
        <v>5530</v>
      </c>
      <c r="S845" t="s">
        <v>1097</v>
      </c>
      <c r="T845" t="s">
        <v>42</v>
      </c>
      <c r="U845">
        <v>59</v>
      </c>
      <c r="V845">
        <v>324</v>
      </c>
      <c r="W845">
        <v>266</v>
      </c>
      <c r="X845" t="s">
        <v>1099</v>
      </c>
      <c r="Y845" t="s">
        <v>5534</v>
      </c>
      <c r="Z845" t="s">
        <v>126</v>
      </c>
      <c r="AA845" t="s">
        <v>5535</v>
      </c>
    </row>
    <row r="846" spans="1:32" x14ac:dyDescent="0.75">
      <c r="A846" s="22" t="s">
        <v>6051</v>
      </c>
      <c r="B846" t="s">
        <v>5568</v>
      </c>
      <c r="C846" t="s">
        <v>104</v>
      </c>
      <c r="D846" t="s">
        <v>746</v>
      </c>
      <c r="E846" t="s">
        <v>747</v>
      </c>
      <c r="F846" t="s">
        <v>5569</v>
      </c>
      <c r="G846" s="1" t="str">
        <f>HYPERLINK("https://homd.org/jbrowse/?data=homd_V11.02_phage_1.2%2FGCA_916048355.1&amp;loc=GCA_916048355.1%7CCAJZHS010000062.1%3A1..7487&amp;tracks=prokka,prokka_ncrna,ncbi,ncbi_ncrna,panggolin,cenote,genomad&amp;highlight=","Open JBrowse")</f>
        <v>Open JBrowse</v>
      </c>
      <c r="H846">
        <v>2712</v>
      </c>
      <c r="I846">
        <v>4487</v>
      </c>
      <c r="J846" t="s">
        <v>5570</v>
      </c>
      <c r="K846" t="s">
        <v>541</v>
      </c>
      <c r="L846" t="s">
        <v>750</v>
      </c>
      <c r="M846" t="s">
        <v>751</v>
      </c>
      <c r="N846" t="s">
        <v>59</v>
      </c>
      <c r="O846">
        <v>2</v>
      </c>
      <c r="P846" t="s">
        <v>42</v>
      </c>
      <c r="Q846" t="s">
        <v>101</v>
      </c>
      <c r="R846" t="s">
        <v>5571</v>
      </c>
      <c r="S846" t="s">
        <v>750</v>
      </c>
      <c r="T846" t="s">
        <v>42</v>
      </c>
      <c r="U846">
        <v>59</v>
      </c>
      <c r="V846">
        <v>334</v>
      </c>
      <c r="W846">
        <v>276</v>
      </c>
      <c r="X846" t="s">
        <v>545</v>
      </c>
      <c r="Y846" t="s">
        <v>5572</v>
      </c>
      <c r="Z846" t="s">
        <v>620</v>
      </c>
      <c r="AA846" t="s">
        <v>851</v>
      </c>
    </row>
    <row r="847" spans="1:32" x14ac:dyDescent="0.75">
      <c r="A847" s="22" t="s">
        <v>6051</v>
      </c>
      <c r="B847" t="s">
        <v>5740</v>
      </c>
      <c r="C847" t="s">
        <v>104</v>
      </c>
      <c r="D847" t="s">
        <v>746</v>
      </c>
      <c r="E847" t="s">
        <v>747</v>
      </c>
      <c r="F847" t="s">
        <v>5741</v>
      </c>
      <c r="G847" s="1" t="str">
        <f>HYPERLINK("https://homd.org/jbrowse/?data=homd_V11.02_phage_1.2%2FGCA_937910295.1&amp;loc=GCA_937910295.1%7CCALENC010000074.1%3A50855..58630&amp;tracks=prokka,prokka_ncrna,ncbi,ncbi_ncrna,panggolin,cenote,genomad&amp;highlight=","Open JBrowse")</f>
        <v>Open JBrowse</v>
      </c>
      <c r="H847">
        <v>53855</v>
      </c>
      <c r="I847">
        <v>55630</v>
      </c>
      <c r="J847" t="s">
        <v>5742</v>
      </c>
      <c r="K847" t="s">
        <v>541</v>
      </c>
      <c r="L847" t="s">
        <v>750</v>
      </c>
      <c r="M847" t="s">
        <v>751</v>
      </c>
      <c r="N847" t="s">
        <v>59</v>
      </c>
      <c r="O847">
        <v>2</v>
      </c>
      <c r="P847" t="s">
        <v>42</v>
      </c>
      <c r="Q847" t="s">
        <v>101</v>
      </c>
      <c r="R847" t="s">
        <v>5743</v>
      </c>
      <c r="S847" t="s">
        <v>750</v>
      </c>
      <c r="T847" t="s">
        <v>42</v>
      </c>
      <c r="U847">
        <v>59</v>
      </c>
      <c r="V847">
        <v>334</v>
      </c>
      <c r="W847">
        <v>276</v>
      </c>
      <c r="X847" t="s">
        <v>545</v>
      </c>
      <c r="Y847" t="s">
        <v>5744</v>
      </c>
      <c r="Z847" t="s">
        <v>302</v>
      </c>
      <c r="AA847" t="s">
        <v>851</v>
      </c>
    </row>
    <row r="848" spans="1:32" x14ac:dyDescent="0.75">
      <c r="A848" s="22" t="s">
        <v>6051</v>
      </c>
      <c r="B848" t="s">
        <v>5810</v>
      </c>
      <c r="C848" t="s">
        <v>104</v>
      </c>
      <c r="D848" t="s">
        <v>1428</v>
      </c>
      <c r="E848" t="s">
        <v>1086</v>
      </c>
      <c r="F848" t="s">
        <v>5820</v>
      </c>
      <c r="G848" s="1" t="str">
        <f>HYPERLINK("https://homd.org/jbrowse/?data=homd_V11.02_phage_1.2%2FGCA_938011375.1&amp;loc=GCA_938011375.1%7CCALLUC010000059.1%3A1..5871&amp;tracks=prokka,prokka_ncrna,ncbi,ncbi_ncrna,panggolin,cenote,genomad&amp;highlight=","Open JBrowse")</f>
        <v>Open JBrowse</v>
      </c>
      <c r="H848">
        <v>1885</v>
      </c>
      <c r="I848">
        <v>2871</v>
      </c>
      <c r="J848" t="s">
        <v>5821</v>
      </c>
      <c r="K848" t="s">
        <v>1096</v>
      </c>
      <c r="L848" t="s">
        <v>1097</v>
      </c>
      <c r="M848" t="s">
        <v>1098</v>
      </c>
      <c r="N848" t="s">
        <v>398</v>
      </c>
      <c r="O848">
        <v>3</v>
      </c>
      <c r="P848" t="s">
        <v>42</v>
      </c>
      <c r="Q848" t="s">
        <v>101</v>
      </c>
      <c r="R848" t="s">
        <v>5813</v>
      </c>
      <c r="S848" t="s">
        <v>1097</v>
      </c>
      <c r="T848" t="s">
        <v>42</v>
      </c>
      <c r="U848">
        <v>59</v>
      </c>
      <c r="V848">
        <v>324</v>
      </c>
      <c r="W848">
        <v>266</v>
      </c>
      <c r="X848" t="s">
        <v>1099</v>
      </c>
      <c r="Y848" t="s">
        <v>5822</v>
      </c>
      <c r="Z848" t="s">
        <v>1327</v>
      </c>
      <c r="AA848" t="s">
        <v>5823</v>
      </c>
    </row>
    <row r="849" spans="1:32" x14ac:dyDescent="0.75">
      <c r="A849" s="22" t="s">
        <v>6051</v>
      </c>
      <c r="B849" t="s">
        <v>1034</v>
      </c>
      <c r="C849" t="s">
        <v>104</v>
      </c>
      <c r="D849" t="s">
        <v>1035</v>
      </c>
      <c r="E849" t="s">
        <v>1036</v>
      </c>
      <c r="F849" t="s">
        <v>1037</v>
      </c>
      <c r="G849" s="1" t="str">
        <f>HYPERLINK("https://homd.org/jbrowse/?data=homd_V11.02_phage_1.2%2FGCA_000466165.1&amp;loc=GCA_000466165.1%7CKE951428.1%3A109014..115928&amp;tracks=prokka,prokka_ncrna,ncbi,ncbi_ncrna,panggolin,cenote,genomad&amp;highlight=","Open JBrowse")</f>
        <v>Open JBrowse</v>
      </c>
      <c r="H849">
        <v>112014</v>
      </c>
      <c r="I849">
        <v>112928</v>
      </c>
      <c r="J849" t="s">
        <v>1038</v>
      </c>
      <c r="K849" t="s">
        <v>269</v>
      </c>
      <c r="L849" t="s">
        <v>1039</v>
      </c>
      <c r="M849" t="s">
        <v>1040</v>
      </c>
      <c r="N849" t="s">
        <v>42</v>
      </c>
      <c r="O849">
        <v>3</v>
      </c>
      <c r="P849" t="s">
        <v>42</v>
      </c>
      <c r="Q849" t="s">
        <v>43</v>
      </c>
      <c r="R849" t="s">
        <v>1041</v>
      </c>
      <c r="S849" t="s">
        <v>1039</v>
      </c>
      <c r="T849" t="s">
        <v>42</v>
      </c>
      <c r="U849">
        <v>61</v>
      </c>
      <c r="V849">
        <v>300</v>
      </c>
      <c r="W849">
        <v>240</v>
      </c>
      <c r="X849" t="s">
        <v>273</v>
      </c>
      <c r="Y849" t="s">
        <v>1042</v>
      </c>
      <c r="Z849" t="s">
        <v>90</v>
      </c>
      <c r="AA849" t="s">
        <v>1043</v>
      </c>
    </row>
    <row r="850" spans="1:32" x14ac:dyDescent="0.75">
      <c r="A850" s="22" t="s">
        <v>6051</v>
      </c>
      <c r="B850" t="s">
        <v>5482</v>
      </c>
      <c r="C850" t="s">
        <v>104</v>
      </c>
      <c r="D850" t="s">
        <v>1035</v>
      </c>
      <c r="E850" t="s">
        <v>1036</v>
      </c>
      <c r="F850" t="s">
        <v>5483</v>
      </c>
      <c r="G850" s="1" t="str">
        <f>HYPERLINK("https://homd.org/jbrowse/?data=homd_V11.02_phage_1.2%2FGCA_905372705.1&amp;loc=GCA_905372705.1%7CCAJPQB010000032.1%3A1..5884&amp;tracks=prokka,prokka_ncrna,ncbi,ncbi_ncrna,panggolin,cenote,genomad&amp;highlight=","Open JBrowse")</f>
        <v>Open JBrowse</v>
      </c>
      <c r="H850">
        <v>1970</v>
      </c>
      <c r="I850">
        <v>2884</v>
      </c>
      <c r="J850" t="s">
        <v>5484</v>
      </c>
      <c r="K850" t="s">
        <v>269</v>
      </c>
      <c r="L850" t="s">
        <v>1039</v>
      </c>
      <c r="M850" t="s">
        <v>1040</v>
      </c>
      <c r="N850" t="s">
        <v>42</v>
      </c>
      <c r="O850">
        <v>3</v>
      </c>
      <c r="P850" t="s">
        <v>42</v>
      </c>
      <c r="Q850" t="s">
        <v>43</v>
      </c>
      <c r="R850" t="s">
        <v>5485</v>
      </c>
      <c r="S850" t="s">
        <v>1039</v>
      </c>
      <c r="T850" t="s">
        <v>42</v>
      </c>
      <c r="U850">
        <v>61</v>
      </c>
      <c r="V850">
        <v>300</v>
      </c>
      <c r="W850">
        <v>240</v>
      </c>
      <c r="X850" t="s">
        <v>273</v>
      </c>
      <c r="Y850" t="s">
        <v>5486</v>
      </c>
      <c r="Z850" t="s">
        <v>1327</v>
      </c>
      <c r="AA850" t="s">
        <v>5487</v>
      </c>
    </row>
    <row r="851" spans="1:32" x14ac:dyDescent="0.75">
      <c r="A851" s="22" t="s">
        <v>6051</v>
      </c>
      <c r="B851" t="s">
        <v>5908</v>
      </c>
      <c r="C851" t="s">
        <v>104</v>
      </c>
      <c r="D851" t="s">
        <v>265</v>
      </c>
      <c r="E851" t="s">
        <v>266</v>
      </c>
      <c r="F851" t="s">
        <v>5909</v>
      </c>
      <c r="G851" s="1" t="str">
        <f>HYPERLINK("https://homd.org/jbrowse/?data=homd_V11.02_phage_1.2%2FGCA_938045425.1&amp;loc=GCA_938045425.1%7CCALIAP010000005.1%3A40844..47785&amp;tracks=prokka,prokka_ncrna,ncbi,ncbi_ncrna,panggolin,cenote,genomad&amp;highlight=","Open JBrowse")</f>
        <v>Open JBrowse</v>
      </c>
      <c r="H851">
        <v>43844</v>
      </c>
      <c r="I851">
        <v>44785</v>
      </c>
      <c r="J851" t="s">
        <v>5910</v>
      </c>
      <c r="K851" t="s">
        <v>269</v>
      </c>
      <c r="L851" t="s">
        <v>5911</v>
      </c>
      <c r="M851" t="s">
        <v>5912</v>
      </c>
      <c r="N851" t="s">
        <v>59</v>
      </c>
      <c r="O851">
        <v>2</v>
      </c>
      <c r="P851" t="s">
        <v>42</v>
      </c>
      <c r="Q851" t="s">
        <v>43</v>
      </c>
      <c r="R851" t="s">
        <v>5913</v>
      </c>
      <c r="S851" t="s">
        <v>5911</v>
      </c>
      <c r="T851" t="s">
        <v>42</v>
      </c>
      <c r="U851">
        <v>61</v>
      </c>
      <c r="V851">
        <v>309</v>
      </c>
      <c r="W851">
        <v>249</v>
      </c>
      <c r="X851" t="s">
        <v>273</v>
      </c>
    </row>
    <row r="852" spans="1:32" x14ac:dyDescent="0.75">
      <c r="A852" s="22" t="s">
        <v>6051</v>
      </c>
      <c r="B852" t="s">
        <v>525</v>
      </c>
      <c r="C852" t="s">
        <v>104</v>
      </c>
      <c r="D852" t="s">
        <v>371</v>
      </c>
      <c r="E852" t="s">
        <v>372</v>
      </c>
      <c r="F852" t="s">
        <v>526</v>
      </c>
      <c r="G852" s="1" t="str">
        <f>HYPERLINK("https://homd.org/jbrowse/?data=homd_V11.02_phage_1.2%2FGCA_000222725.2&amp;loc=GCA_000222725.2%7CAFUC01000015.1%3A29263..37671&amp;tracks=prokka,prokka_ncrna,ncbi,ncbi_ncrna,panggolin,cenote,genomad&amp;highlight=","Open JBrowse")</f>
        <v>Open JBrowse</v>
      </c>
      <c r="H852">
        <v>32263</v>
      </c>
      <c r="I852">
        <v>34671</v>
      </c>
      <c r="J852" t="s">
        <v>533</v>
      </c>
      <c r="K852" t="s">
        <v>375</v>
      </c>
      <c r="L852" t="s">
        <v>534</v>
      </c>
      <c r="M852" t="s">
        <v>535</v>
      </c>
      <c r="N852" t="s">
        <v>42</v>
      </c>
      <c r="O852">
        <v>3</v>
      </c>
      <c r="P852" t="s">
        <v>42</v>
      </c>
      <c r="Q852" t="s">
        <v>101</v>
      </c>
      <c r="R852" t="s">
        <v>528</v>
      </c>
      <c r="S852" t="s">
        <v>534</v>
      </c>
      <c r="T852" t="s">
        <v>42</v>
      </c>
      <c r="U852">
        <v>62</v>
      </c>
      <c r="V852">
        <v>343</v>
      </c>
      <c r="W852">
        <v>282</v>
      </c>
      <c r="X852" t="s">
        <v>379</v>
      </c>
      <c r="Y852" t="s">
        <v>529</v>
      </c>
      <c r="Z852" t="s">
        <v>530</v>
      </c>
      <c r="AA852" t="s">
        <v>531</v>
      </c>
      <c r="AB852" t="s">
        <v>532</v>
      </c>
      <c r="AC852" t="s">
        <v>384</v>
      </c>
      <c r="AD852" t="s">
        <v>385</v>
      </c>
      <c r="AE852">
        <v>921</v>
      </c>
      <c r="AF852" t="s">
        <v>102</v>
      </c>
    </row>
    <row r="853" spans="1:32" x14ac:dyDescent="0.75">
      <c r="A853" s="22" t="s">
        <v>6051</v>
      </c>
      <c r="B853" t="s">
        <v>2139</v>
      </c>
      <c r="C853" t="s">
        <v>104</v>
      </c>
      <c r="D853" t="s">
        <v>371</v>
      </c>
      <c r="E853" t="s">
        <v>372</v>
      </c>
      <c r="F853" t="s">
        <v>2143</v>
      </c>
      <c r="G853" s="1" t="str">
        <f>HYPERLINK("https://homd.org/jbrowse/?data=homd_V11.02_phage_1.2%2FGCA_003469565.1&amp;loc=GCA_003469565.1%7CQSKM01000035.1%3A1..4415&amp;tracks=prokka,prokka_ncrna,ncbi,ncbi_ncrna,panggolin,cenote,genomad&amp;highlight=","Open JBrowse")</f>
        <v>Open JBrowse</v>
      </c>
      <c r="H853">
        <v>3</v>
      </c>
      <c r="I853">
        <v>1415</v>
      </c>
      <c r="J853" t="s">
        <v>2144</v>
      </c>
      <c r="K853" t="s">
        <v>375</v>
      </c>
      <c r="L853" t="s">
        <v>534</v>
      </c>
      <c r="M853" t="s">
        <v>535</v>
      </c>
      <c r="N853" t="s">
        <v>42</v>
      </c>
      <c r="O853">
        <v>3</v>
      </c>
      <c r="P853" t="s">
        <v>42</v>
      </c>
      <c r="Q853" t="s">
        <v>101</v>
      </c>
      <c r="R853" t="s">
        <v>2142</v>
      </c>
      <c r="S853" t="s">
        <v>534</v>
      </c>
      <c r="T853" t="s">
        <v>42</v>
      </c>
      <c r="U853">
        <v>62</v>
      </c>
      <c r="V853">
        <v>343</v>
      </c>
      <c r="W853">
        <v>282</v>
      </c>
      <c r="X853" t="s">
        <v>379</v>
      </c>
    </row>
    <row r="854" spans="1:32" x14ac:dyDescent="0.75">
      <c r="A854" s="22" t="s">
        <v>6051</v>
      </c>
      <c r="B854" t="s">
        <v>2538</v>
      </c>
      <c r="C854" t="s">
        <v>104</v>
      </c>
      <c r="D854" t="s">
        <v>371</v>
      </c>
      <c r="E854" t="s">
        <v>372</v>
      </c>
      <c r="F854" t="s">
        <v>2545</v>
      </c>
      <c r="G854" s="1" t="str">
        <f>HYPERLINK("https://homd.org/jbrowse/?data=homd_V11.02_phage_1.2%2FGCA_009717635.1&amp;loc=GCA_009717635.1%7CWMYY01000021.1%3A1..5646&amp;tracks=prokka,prokka_ncrna,ncbi,ncbi_ncrna,panggolin,cenote,genomad&amp;highlight=","Open JBrowse")</f>
        <v>Open JBrowse</v>
      </c>
      <c r="H854">
        <v>1312</v>
      </c>
      <c r="I854">
        <v>2646</v>
      </c>
      <c r="J854" t="s">
        <v>2546</v>
      </c>
      <c r="K854" t="s">
        <v>541</v>
      </c>
      <c r="L854" t="s">
        <v>534</v>
      </c>
      <c r="M854" t="s">
        <v>2547</v>
      </c>
      <c r="N854" t="s">
        <v>42</v>
      </c>
      <c r="O854">
        <v>3</v>
      </c>
      <c r="P854" t="s">
        <v>42</v>
      </c>
      <c r="Q854" t="s">
        <v>101</v>
      </c>
      <c r="R854" t="s">
        <v>2541</v>
      </c>
      <c r="S854" t="s">
        <v>534</v>
      </c>
      <c r="T854" t="s">
        <v>42</v>
      </c>
      <c r="U854">
        <v>62</v>
      </c>
      <c r="V854">
        <v>343</v>
      </c>
      <c r="W854">
        <v>282</v>
      </c>
      <c r="X854" t="s">
        <v>545</v>
      </c>
    </row>
    <row r="855" spans="1:32" x14ac:dyDescent="0.75">
      <c r="A855" s="22" t="s">
        <v>6051</v>
      </c>
      <c r="B855" t="s">
        <v>2548</v>
      </c>
      <c r="C855" t="s">
        <v>104</v>
      </c>
      <c r="D855" t="s">
        <v>371</v>
      </c>
      <c r="E855" t="s">
        <v>372</v>
      </c>
      <c r="F855" t="s">
        <v>2549</v>
      </c>
      <c r="G855" s="1" t="str">
        <f>HYPERLINK("https://homd.org/jbrowse/?data=homd_V11.02_phage_1.2%2FGCA_009717765.1&amp;loc=GCA_009717765.1%7CWMZE01000005.1%3A1..4339&amp;tracks=prokka,prokka_ncrna,ncbi,ncbi_ncrna,panggolin,cenote,genomad&amp;highlight=","Open JBrowse")</f>
        <v>Open JBrowse</v>
      </c>
      <c r="H855">
        <v>2</v>
      </c>
      <c r="I855">
        <v>1339</v>
      </c>
      <c r="J855" t="s">
        <v>2550</v>
      </c>
      <c r="K855" t="s">
        <v>541</v>
      </c>
      <c r="L855" t="s">
        <v>534</v>
      </c>
      <c r="M855" t="s">
        <v>2547</v>
      </c>
      <c r="N855" t="s">
        <v>42</v>
      </c>
      <c r="O855">
        <v>3</v>
      </c>
      <c r="P855" t="s">
        <v>42</v>
      </c>
      <c r="Q855" t="s">
        <v>101</v>
      </c>
      <c r="R855" t="s">
        <v>2551</v>
      </c>
      <c r="S855" t="s">
        <v>534</v>
      </c>
      <c r="T855" t="s">
        <v>42</v>
      </c>
      <c r="U855">
        <v>62</v>
      </c>
      <c r="V855">
        <v>343</v>
      </c>
      <c r="W855">
        <v>282</v>
      </c>
      <c r="X855" t="s">
        <v>545</v>
      </c>
    </row>
    <row r="856" spans="1:32" x14ac:dyDescent="0.75">
      <c r="A856" s="22" t="s">
        <v>6051</v>
      </c>
      <c r="B856" t="s">
        <v>2553</v>
      </c>
      <c r="C856" t="s">
        <v>104</v>
      </c>
      <c r="D856" t="s">
        <v>371</v>
      </c>
      <c r="E856" t="s">
        <v>372</v>
      </c>
      <c r="F856" t="s">
        <v>2554</v>
      </c>
      <c r="G856" s="1" t="str">
        <f>HYPERLINK("https://homd.org/jbrowse/?data=homd_V11.02_phage_1.2%2FGCA_009717805.1&amp;loc=GCA_009717805.1%7CWMZG01000003.1%3A189495..197330&amp;tracks=prokka,prokka_ncrna,ncbi,ncbi_ncrna,panggolin,cenote,genomad&amp;highlight=","Open JBrowse")</f>
        <v>Open JBrowse</v>
      </c>
      <c r="H856">
        <v>192495</v>
      </c>
      <c r="I856">
        <v>194330</v>
      </c>
      <c r="J856" t="s">
        <v>2555</v>
      </c>
      <c r="K856" t="s">
        <v>375</v>
      </c>
      <c r="L856" t="s">
        <v>534</v>
      </c>
      <c r="M856" t="s">
        <v>535</v>
      </c>
      <c r="N856" t="s">
        <v>42</v>
      </c>
      <c r="O856">
        <v>3</v>
      </c>
      <c r="P856" t="s">
        <v>42</v>
      </c>
      <c r="Q856" t="s">
        <v>101</v>
      </c>
      <c r="R856" t="s">
        <v>2556</v>
      </c>
      <c r="S856" t="s">
        <v>534</v>
      </c>
      <c r="T856" t="s">
        <v>42</v>
      </c>
      <c r="U856">
        <v>62</v>
      </c>
      <c r="V856">
        <v>343</v>
      </c>
      <c r="W856">
        <v>282</v>
      </c>
      <c r="X856" t="s">
        <v>379</v>
      </c>
      <c r="Y856" t="s">
        <v>2557</v>
      </c>
      <c r="Z856" t="s">
        <v>381</v>
      </c>
      <c r="AA856" t="s">
        <v>2543</v>
      </c>
      <c r="AB856" t="s">
        <v>2558</v>
      </c>
      <c r="AC856" t="s">
        <v>384</v>
      </c>
      <c r="AD856" t="s">
        <v>385</v>
      </c>
      <c r="AE856">
        <v>929</v>
      </c>
      <c r="AF856" t="s">
        <v>386</v>
      </c>
    </row>
    <row r="857" spans="1:32" x14ac:dyDescent="0.75">
      <c r="A857" s="22" t="s">
        <v>6051</v>
      </c>
      <c r="B857" t="s">
        <v>2561</v>
      </c>
      <c r="C857" t="s">
        <v>104</v>
      </c>
      <c r="D857" t="s">
        <v>371</v>
      </c>
      <c r="E857" t="s">
        <v>372</v>
      </c>
      <c r="F857" t="s">
        <v>2562</v>
      </c>
      <c r="G857" s="1" t="str">
        <f>HYPERLINK("https://homd.org/jbrowse/?data=homd_V11.02_phage_1.2%2FGCA_009717845.1&amp;loc=GCA_009717845.1%7CWMZI01000003.1%3A194721..202556&amp;tracks=prokka,prokka_ncrna,ncbi,ncbi_ncrna,panggolin,cenote,genomad&amp;highlight=","Open JBrowse")</f>
        <v>Open JBrowse</v>
      </c>
      <c r="H857">
        <v>197721</v>
      </c>
      <c r="I857">
        <v>199556</v>
      </c>
      <c r="J857" t="s">
        <v>2563</v>
      </c>
      <c r="K857" t="s">
        <v>375</v>
      </c>
      <c r="L857" t="s">
        <v>534</v>
      </c>
      <c r="M857" t="s">
        <v>535</v>
      </c>
      <c r="N857" t="s">
        <v>42</v>
      </c>
      <c r="O857">
        <v>3</v>
      </c>
      <c r="P857" t="s">
        <v>42</v>
      </c>
      <c r="Q857" t="s">
        <v>101</v>
      </c>
      <c r="R857" t="s">
        <v>2564</v>
      </c>
      <c r="S857" t="s">
        <v>534</v>
      </c>
      <c r="T857" t="s">
        <v>42</v>
      </c>
      <c r="U857">
        <v>62</v>
      </c>
      <c r="V857">
        <v>343</v>
      </c>
      <c r="W857">
        <v>282</v>
      </c>
      <c r="X857" t="s">
        <v>379</v>
      </c>
      <c r="Y857" t="s">
        <v>2565</v>
      </c>
      <c r="Z857" t="s">
        <v>743</v>
      </c>
      <c r="AA857" t="s">
        <v>2543</v>
      </c>
      <c r="AB857" t="s">
        <v>2566</v>
      </c>
      <c r="AC857" t="s">
        <v>384</v>
      </c>
      <c r="AD857" t="s">
        <v>385</v>
      </c>
      <c r="AE857">
        <v>929</v>
      </c>
      <c r="AF857" t="s">
        <v>386</v>
      </c>
    </row>
    <row r="858" spans="1:32" x14ac:dyDescent="0.75">
      <c r="A858" s="22" t="s">
        <v>6051</v>
      </c>
      <c r="B858" t="s">
        <v>4819</v>
      </c>
      <c r="C858" t="s">
        <v>104</v>
      </c>
      <c r="D858" t="s">
        <v>371</v>
      </c>
      <c r="E858" t="s">
        <v>372</v>
      </c>
      <c r="F858" t="s">
        <v>4823</v>
      </c>
      <c r="G858" s="1" t="str">
        <f>HYPERLINK("https://homd.org/jbrowse/?data=homd_V11.02_phage_1.2%2FGCA_027663695.1&amp;loc=GCA_027663695.1%7CJAQDHM010000012.1%3A1..5748&amp;tracks=prokka,prokka_ncrna,ncbi,ncbi_ncrna,panggolin,cenote,genomad&amp;highlight=","Open JBrowse")</f>
        <v>Open JBrowse</v>
      </c>
      <c r="H858">
        <v>1594</v>
      </c>
      <c r="I858">
        <v>2748</v>
      </c>
      <c r="J858" t="s">
        <v>4824</v>
      </c>
      <c r="K858" t="s">
        <v>375</v>
      </c>
      <c r="L858" t="s">
        <v>534</v>
      </c>
      <c r="M858" t="s">
        <v>535</v>
      </c>
      <c r="N858" t="s">
        <v>42</v>
      </c>
      <c r="O858">
        <v>3</v>
      </c>
      <c r="P858" t="s">
        <v>42</v>
      </c>
      <c r="Q858" t="s">
        <v>101</v>
      </c>
      <c r="R858" t="s">
        <v>4822</v>
      </c>
      <c r="S858" t="s">
        <v>534</v>
      </c>
      <c r="T858" t="s">
        <v>42</v>
      </c>
      <c r="U858">
        <v>62</v>
      </c>
      <c r="V858">
        <v>343</v>
      </c>
      <c r="W858">
        <v>282</v>
      </c>
      <c r="X858" t="s">
        <v>379</v>
      </c>
    </row>
    <row r="859" spans="1:32" x14ac:dyDescent="0.75">
      <c r="A859" s="22" t="s">
        <v>6051</v>
      </c>
      <c r="B859" t="s">
        <v>370</v>
      </c>
      <c r="C859" t="s">
        <v>104</v>
      </c>
      <c r="D859" t="s">
        <v>371</v>
      </c>
      <c r="E859" t="s">
        <v>372</v>
      </c>
      <c r="F859" t="s">
        <v>373</v>
      </c>
      <c r="G859" s="1" t="str">
        <f>HYPERLINK("https://homd.org/jbrowse/?data=homd_V11.02_phage_1.2%2FGCA_000180035.1&amp;loc=GCA_000180035.1%7CAEKM01000012.1%3A184623..192878&amp;tracks=prokka,prokka_ncrna,ncbi,ncbi_ncrna,panggolin,cenote,genomad&amp;highlight=","Open JBrowse")</f>
        <v>Open JBrowse</v>
      </c>
      <c r="H859">
        <v>187623</v>
      </c>
      <c r="I859">
        <v>189878</v>
      </c>
      <c r="J859" t="s">
        <v>374</v>
      </c>
      <c r="K859" t="s">
        <v>375</v>
      </c>
      <c r="L859" t="s">
        <v>376</v>
      </c>
      <c r="M859" t="s">
        <v>377</v>
      </c>
      <c r="N859" t="s">
        <v>42</v>
      </c>
      <c r="O859">
        <v>3</v>
      </c>
      <c r="P859" t="s">
        <v>42</v>
      </c>
      <c r="Q859" t="s">
        <v>101</v>
      </c>
      <c r="R859" t="s">
        <v>378</v>
      </c>
      <c r="S859" t="s">
        <v>376</v>
      </c>
      <c r="T859" t="s">
        <v>42</v>
      </c>
      <c r="U859">
        <v>64</v>
      </c>
      <c r="V859">
        <v>345</v>
      </c>
      <c r="W859">
        <v>282</v>
      </c>
      <c r="X859" t="s">
        <v>379</v>
      </c>
      <c r="Y859" t="s">
        <v>380</v>
      </c>
      <c r="Z859" t="s">
        <v>381</v>
      </c>
      <c r="AA859" t="s">
        <v>382</v>
      </c>
      <c r="AB859" t="s">
        <v>383</v>
      </c>
      <c r="AC859" t="s">
        <v>384</v>
      </c>
      <c r="AD859" t="s">
        <v>385</v>
      </c>
      <c r="AE859">
        <v>923</v>
      </c>
      <c r="AF859" t="s">
        <v>386</v>
      </c>
    </row>
    <row r="860" spans="1:32" x14ac:dyDescent="0.75">
      <c r="A860" s="22" t="s">
        <v>6051</v>
      </c>
      <c r="B860" t="s">
        <v>2740</v>
      </c>
      <c r="C860" t="s">
        <v>104</v>
      </c>
      <c r="D860" t="s">
        <v>2741</v>
      </c>
      <c r="E860" t="s">
        <v>2742</v>
      </c>
      <c r="F860" t="s">
        <v>2743</v>
      </c>
      <c r="G860" s="1" t="str">
        <f>HYPERLINK("https://homd.org/jbrowse/?data=homd_V11.02_phage_1.2%2FGCA_013333645.2&amp;loc=GCA_013333645.2%7CJABCOK020000001.1%3A30944..39736&amp;tracks=prokka,prokka_ncrna,ncbi,ncbi_ncrna,panggolin,cenote,genomad&amp;highlight=","Open JBrowse")</f>
        <v>Open JBrowse</v>
      </c>
      <c r="H860">
        <v>33944</v>
      </c>
      <c r="I860">
        <v>36736</v>
      </c>
      <c r="J860" t="s">
        <v>2744</v>
      </c>
      <c r="K860" t="s">
        <v>59</v>
      </c>
      <c r="L860" t="s">
        <v>2745</v>
      </c>
      <c r="M860" t="s">
        <v>2746</v>
      </c>
      <c r="N860" t="s">
        <v>2318</v>
      </c>
      <c r="O860">
        <v>3</v>
      </c>
      <c r="P860" t="s">
        <v>42</v>
      </c>
      <c r="Q860" t="s">
        <v>59</v>
      </c>
      <c r="R860" t="s">
        <v>2747</v>
      </c>
      <c r="S860" t="s">
        <v>2745</v>
      </c>
      <c r="T860" t="s">
        <v>42</v>
      </c>
      <c r="U860">
        <v>64</v>
      </c>
      <c r="V860">
        <v>358</v>
      </c>
      <c r="W860">
        <v>295</v>
      </c>
      <c r="X860" t="s">
        <v>1629</v>
      </c>
      <c r="Y860" t="s">
        <v>2748</v>
      </c>
      <c r="Z860" t="s">
        <v>47</v>
      </c>
      <c r="AA860" t="s">
        <v>2749</v>
      </c>
    </row>
    <row r="861" spans="1:32" x14ac:dyDescent="0.75">
      <c r="A861" s="22" t="s">
        <v>6051</v>
      </c>
      <c r="B861" t="s">
        <v>2774</v>
      </c>
      <c r="C861" t="s">
        <v>104</v>
      </c>
      <c r="D861" t="s">
        <v>2741</v>
      </c>
      <c r="E861" t="s">
        <v>2742</v>
      </c>
      <c r="F861" t="s">
        <v>2778</v>
      </c>
      <c r="G861" s="1" t="str">
        <f>HYPERLINK("https://homd.org/jbrowse/?data=homd_V11.02_phage_1.2%2FGCA_013333765.2&amp;loc=GCA_013333765.2%7CJABCOG020000079.1%3A1..7149&amp;tracks=prokka,prokka_ncrna,ncbi,ncbi_ncrna,panggolin,cenote,genomad&amp;highlight=","Open JBrowse")</f>
        <v>Open JBrowse</v>
      </c>
      <c r="H861">
        <v>1477</v>
      </c>
      <c r="I861">
        <v>4149</v>
      </c>
      <c r="J861" t="s">
        <v>2779</v>
      </c>
      <c r="K861" t="s">
        <v>59</v>
      </c>
      <c r="L861" t="s">
        <v>2745</v>
      </c>
      <c r="M861" t="s">
        <v>2746</v>
      </c>
      <c r="N861" t="s">
        <v>2318</v>
      </c>
      <c r="O861">
        <v>3</v>
      </c>
      <c r="P861" t="s">
        <v>42</v>
      </c>
      <c r="Q861" t="s">
        <v>59</v>
      </c>
      <c r="R861" t="s">
        <v>2777</v>
      </c>
      <c r="S861" t="s">
        <v>2745</v>
      </c>
      <c r="T861" t="s">
        <v>42</v>
      </c>
      <c r="U861">
        <v>64</v>
      </c>
      <c r="V861">
        <v>358</v>
      </c>
      <c r="W861">
        <v>295</v>
      </c>
      <c r="X861" t="s">
        <v>1629</v>
      </c>
    </row>
    <row r="862" spans="1:32" x14ac:dyDescent="0.75">
      <c r="A862" s="22" t="s">
        <v>6051</v>
      </c>
      <c r="B862" t="s">
        <v>134</v>
      </c>
      <c r="C862" t="s">
        <v>104</v>
      </c>
      <c r="D862" t="s">
        <v>135</v>
      </c>
      <c r="E862" t="s">
        <v>136</v>
      </c>
      <c r="F862" t="s">
        <v>137</v>
      </c>
      <c r="G862" s="1" t="str">
        <f>HYPERLINK("https://homd.org/jbrowse/?data=homd_V11.02_phage_1.2%2FGCA_000023905.1&amp;loc=GCA_000023905.1%7CCP001685.1%3A2287862..2294836&amp;tracks=prokka,prokka_ncrna,ncbi,ncbi_ncrna,panggolin,cenote,genomad&amp;highlight=","Open JBrowse")</f>
        <v>Open JBrowse</v>
      </c>
      <c r="H862">
        <v>2290862</v>
      </c>
      <c r="I862">
        <v>2291836</v>
      </c>
      <c r="J862" t="s">
        <v>138</v>
      </c>
      <c r="K862" t="s">
        <v>59</v>
      </c>
      <c r="L862" t="s">
        <v>139</v>
      </c>
      <c r="M862" t="s">
        <v>140</v>
      </c>
      <c r="N862" t="s">
        <v>42</v>
      </c>
      <c r="O862">
        <v>3</v>
      </c>
      <c r="P862" t="s">
        <v>42</v>
      </c>
      <c r="Q862" t="s">
        <v>59</v>
      </c>
      <c r="R862" t="s">
        <v>141</v>
      </c>
      <c r="S862" t="s">
        <v>139</v>
      </c>
      <c r="T862" t="s">
        <v>42</v>
      </c>
      <c r="U862">
        <v>66</v>
      </c>
      <c r="V862">
        <v>321</v>
      </c>
      <c r="W862">
        <v>256</v>
      </c>
      <c r="X862" t="s">
        <v>142</v>
      </c>
    </row>
    <row r="863" spans="1:32" x14ac:dyDescent="0.75">
      <c r="A863" s="22" t="s">
        <v>6051</v>
      </c>
      <c r="B863" t="s">
        <v>370</v>
      </c>
      <c r="C863" t="s">
        <v>104</v>
      </c>
      <c r="D863" t="s">
        <v>371</v>
      </c>
      <c r="E863" t="s">
        <v>372</v>
      </c>
      <c r="F863" t="s">
        <v>373</v>
      </c>
      <c r="G863" s="1" t="str">
        <f>HYPERLINK("https://homd.org/jbrowse/?data=homd_V11.02_phage_1.2%2FGCA_000180035.1&amp;loc=GCA_000180035.1%7CAEKM01000012.1%3A188672..196579&amp;tracks=prokka,prokka_ncrna,ncbi,ncbi_ncrna,panggolin,cenote,genomad&amp;highlight=","Open JBrowse")</f>
        <v>Open JBrowse</v>
      </c>
      <c r="H863">
        <v>191672</v>
      </c>
      <c r="I863">
        <v>193579</v>
      </c>
      <c r="J863" t="s">
        <v>387</v>
      </c>
      <c r="K863" t="s">
        <v>59</v>
      </c>
      <c r="L863" t="s">
        <v>388</v>
      </c>
      <c r="M863" t="s">
        <v>389</v>
      </c>
      <c r="N863" t="s">
        <v>42</v>
      </c>
      <c r="O863">
        <v>3</v>
      </c>
      <c r="P863" t="s">
        <v>42</v>
      </c>
      <c r="Q863" t="s">
        <v>59</v>
      </c>
      <c r="R863" t="s">
        <v>378</v>
      </c>
      <c r="S863" t="s">
        <v>388</v>
      </c>
      <c r="T863" t="s">
        <v>42</v>
      </c>
      <c r="U863">
        <v>66</v>
      </c>
      <c r="V863">
        <v>346</v>
      </c>
      <c r="W863">
        <v>281</v>
      </c>
      <c r="X863" t="s">
        <v>390</v>
      </c>
      <c r="Y863" t="s">
        <v>380</v>
      </c>
      <c r="Z863" t="s">
        <v>381</v>
      </c>
      <c r="AA863" t="s">
        <v>382</v>
      </c>
      <c r="AB863" t="s">
        <v>383</v>
      </c>
      <c r="AC863" t="s">
        <v>384</v>
      </c>
      <c r="AD863" t="s">
        <v>385</v>
      </c>
      <c r="AE863">
        <v>923</v>
      </c>
      <c r="AF863" t="s">
        <v>386</v>
      </c>
    </row>
    <row r="864" spans="1:32" x14ac:dyDescent="0.75">
      <c r="A864" s="22" t="s">
        <v>6051</v>
      </c>
      <c r="B864" t="s">
        <v>525</v>
      </c>
      <c r="C864" t="s">
        <v>104</v>
      </c>
      <c r="D864" t="s">
        <v>371</v>
      </c>
      <c r="E864" t="s">
        <v>372</v>
      </c>
      <c r="F864" t="s">
        <v>526</v>
      </c>
      <c r="G864" s="1" t="str">
        <f>HYPERLINK("https://homd.org/jbrowse/?data=homd_V11.02_phage_1.2%2FGCA_000222725.2&amp;loc=GCA_000222725.2%7CAFUC01000015.1%3A26060..33919&amp;tracks=prokka,prokka_ncrna,ncbi,ncbi_ncrna,panggolin,cenote,genomad&amp;highlight=","Open JBrowse")</f>
        <v>Open JBrowse</v>
      </c>
      <c r="H864">
        <v>29060</v>
      </c>
      <c r="I864">
        <v>30919</v>
      </c>
      <c r="J864" t="s">
        <v>527</v>
      </c>
      <c r="K864" t="s">
        <v>59</v>
      </c>
      <c r="L864" t="s">
        <v>388</v>
      </c>
      <c r="M864" t="s">
        <v>389</v>
      </c>
      <c r="N864" t="s">
        <v>42</v>
      </c>
      <c r="O864">
        <v>3</v>
      </c>
      <c r="P864" t="s">
        <v>42</v>
      </c>
      <c r="Q864" t="s">
        <v>59</v>
      </c>
      <c r="R864" t="s">
        <v>528</v>
      </c>
      <c r="S864" t="s">
        <v>388</v>
      </c>
      <c r="T864" t="s">
        <v>42</v>
      </c>
      <c r="U864">
        <v>66</v>
      </c>
      <c r="V864">
        <v>346</v>
      </c>
      <c r="W864">
        <v>281</v>
      </c>
      <c r="X864" t="s">
        <v>390</v>
      </c>
      <c r="Y864" t="s">
        <v>529</v>
      </c>
      <c r="Z864" t="s">
        <v>530</v>
      </c>
      <c r="AA864" t="s">
        <v>531</v>
      </c>
      <c r="AB864" t="s">
        <v>532</v>
      </c>
      <c r="AC864" t="s">
        <v>384</v>
      </c>
      <c r="AD864" t="s">
        <v>385</v>
      </c>
      <c r="AE864">
        <v>921</v>
      </c>
      <c r="AF864" t="s">
        <v>102</v>
      </c>
    </row>
    <row r="865" spans="1:32" x14ac:dyDescent="0.75">
      <c r="A865" s="22" t="s">
        <v>6051</v>
      </c>
      <c r="B865" t="s">
        <v>2139</v>
      </c>
      <c r="C865" t="s">
        <v>104</v>
      </c>
      <c r="D865" t="s">
        <v>371</v>
      </c>
      <c r="E865" t="s">
        <v>372</v>
      </c>
      <c r="F865" t="s">
        <v>2140</v>
      </c>
      <c r="G865" s="1" t="str">
        <f>HYPERLINK("https://homd.org/jbrowse/?data=homd_V11.02_phage_1.2%2FGCA_003469565.1&amp;loc=GCA_003469565.1%7CQSKM01000011.1%3A1..4202&amp;tracks=prokka,prokka_ncrna,ncbi,ncbi_ncrna,panggolin,cenote,genomad&amp;highlight=","Open JBrowse")</f>
        <v>Open JBrowse</v>
      </c>
      <c r="H865">
        <v>3</v>
      </c>
      <c r="I865">
        <v>1202</v>
      </c>
      <c r="J865" t="s">
        <v>2141</v>
      </c>
      <c r="K865" t="s">
        <v>59</v>
      </c>
      <c r="L865" t="s">
        <v>388</v>
      </c>
      <c r="M865" t="s">
        <v>389</v>
      </c>
      <c r="N865" t="s">
        <v>42</v>
      </c>
      <c r="O865">
        <v>3</v>
      </c>
      <c r="P865" t="s">
        <v>42</v>
      </c>
      <c r="Q865" t="s">
        <v>59</v>
      </c>
      <c r="R865" t="s">
        <v>2142</v>
      </c>
      <c r="S865" t="s">
        <v>388</v>
      </c>
      <c r="T865" t="s">
        <v>42</v>
      </c>
      <c r="U865">
        <v>66</v>
      </c>
      <c r="V865">
        <v>346</v>
      </c>
      <c r="W865">
        <v>281</v>
      </c>
      <c r="X865" t="s">
        <v>390</v>
      </c>
    </row>
    <row r="866" spans="1:32" x14ac:dyDescent="0.75">
      <c r="A866" s="22" t="s">
        <v>6051</v>
      </c>
      <c r="B866" t="s">
        <v>2538</v>
      </c>
      <c r="C866" t="s">
        <v>104</v>
      </c>
      <c r="D866" t="s">
        <v>371</v>
      </c>
      <c r="E866" t="s">
        <v>372</v>
      </c>
      <c r="F866" t="s">
        <v>2539</v>
      </c>
      <c r="G866" s="1" t="str">
        <f>HYPERLINK("https://homd.org/jbrowse/?data=homd_V11.02_phage_1.2%2FGCA_009717635.1&amp;loc=GCA_009717635.1%7CWMYY01000005.1%3A239698..247269&amp;tracks=prokka,prokka_ncrna,ncbi,ncbi_ncrna,panggolin,cenote,genomad&amp;highlight=","Open JBrowse")</f>
        <v>Open JBrowse</v>
      </c>
      <c r="H866">
        <v>242698</v>
      </c>
      <c r="I866">
        <v>244269</v>
      </c>
      <c r="J866" t="s">
        <v>2540</v>
      </c>
      <c r="K866" t="s">
        <v>59</v>
      </c>
      <c r="L866" t="s">
        <v>388</v>
      </c>
      <c r="M866" t="s">
        <v>389</v>
      </c>
      <c r="N866" t="s">
        <v>42</v>
      </c>
      <c r="O866">
        <v>3</v>
      </c>
      <c r="P866" t="s">
        <v>42</v>
      </c>
      <c r="Q866" t="s">
        <v>59</v>
      </c>
      <c r="R866" t="s">
        <v>2541</v>
      </c>
      <c r="S866" t="s">
        <v>388</v>
      </c>
      <c r="T866" t="s">
        <v>42</v>
      </c>
      <c r="U866">
        <v>66</v>
      </c>
      <c r="V866">
        <v>346</v>
      </c>
      <c r="W866">
        <v>281</v>
      </c>
      <c r="X866" t="s">
        <v>390</v>
      </c>
      <c r="Y866" t="s">
        <v>2542</v>
      </c>
      <c r="Z866" t="s">
        <v>620</v>
      </c>
      <c r="AA866" t="s">
        <v>2543</v>
      </c>
      <c r="AB866" t="s">
        <v>2544</v>
      </c>
      <c r="AC866" t="s">
        <v>384</v>
      </c>
      <c r="AD866" t="s">
        <v>385</v>
      </c>
      <c r="AE866">
        <v>922</v>
      </c>
      <c r="AF866" t="s">
        <v>386</v>
      </c>
    </row>
    <row r="867" spans="1:32" x14ac:dyDescent="0.75">
      <c r="A867" s="22" t="s">
        <v>6051</v>
      </c>
      <c r="B867" t="s">
        <v>2548</v>
      </c>
      <c r="C867" t="s">
        <v>104</v>
      </c>
      <c r="D867" t="s">
        <v>371</v>
      </c>
      <c r="E867" t="s">
        <v>372</v>
      </c>
      <c r="F867" t="s">
        <v>2549</v>
      </c>
      <c r="G867" s="1" t="str">
        <f>HYPERLINK("https://homd.org/jbrowse/?data=homd_V11.02_phage_1.2%2FGCA_009717765.1&amp;loc=GCA_009717765.1%7CWMZE01000005.1%3A1..7326&amp;tracks=prokka,prokka_ncrna,ncbi,ncbi_ncrna,panggolin,cenote,genomad&amp;highlight=","Open JBrowse")</f>
        <v>Open JBrowse</v>
      </c>
      <c r="H867">
        <v>2683</v>
      </c>
      <c r="I867">
        <v>4326</v>
      </c>
      <c r="J867" t="s">
        <v>2552</v>
      </c>
      <c r="K867" t="s">
        <v>59</v>
      </c>
      <c r="L867" t="s">
        <v>388</v>
      </c>
      <c r="M867" t="s">
        <v>389</v>
      </c>
      <c r="N867" t="s">
        <v>42</v>
      </c>
      <c r="O867">
        <v>3</v>
      </c>
      <c r="P867" t="s">
        <v>42</v>
      </c>
      <c r="Q867" t="s">
        <v>59</v>
      </c>
      <c r="R867" t="s">
        <v>2551</v>
      </c>
      <c r="S867" t="s">
        <v>388</v>
      </c>
      <c r="T867" t="s">
        <v>42</v>
      </c>
      <c r="U867">
        <v>66</v>
      </c>
      <c r="V867">
        <v>346</v>
      </c>
      <c r="W867">
        <v>281</v>
      </c>
      <c r="X867" t="s">
        <v>390</v>
      </c>
    </row>
    <row r="868" spans="1:32" x14ac:dyDescent="0.75">
      <c r="A868" s="22" t="s">
        <v>6051</v>
      </c>
      <c r="B868" t="s">
        <v>2553</v>
      </c>
      <c r="C868" t="s">
        <v>104</v>
      </c>
      <c r="D868" t="s">
        <v>371</v>
      </c>
      <c r="E868" t="s">
        <v>372</v>
      </c>
      <c r="F868" t="s">
        <v>2559</v>
      </c>
      <c r="G868" s="1" t="str">
        <f>HYPERLINK("https://homd.org/jbrowse/?data=homd_V11.02_phage_1.2%2FGCA_009717805.1&amp;loc=GCA_009717805.1%7CWMZG01000008.1%3A1..4211&amp;tracks=prokka,prokka_ncrna,ncbi,ncbi_ncrna,panggolin,cenote,genomad&amp;highlight=","Open JBrowse")</f>
        <v>Open JBrowse</v>
      </c>
      <c r="H868">
        <v>3</v>
      </c>
      <c r="I868">
        <v>1211</v>
      </c>
      <c r="J868" t="s">
        <v>2560</v>
      </c>
      <c r="K868" t="s">
        <v>59</v>
      </c>
      <c r="L868" t="s">
        <v>388</v>
      </c>
      <c r="M868" t="s">
        <v>389</v>
      </c>
      <c r="N868" t="s">
        <v>42</v>
      </c>
      <c r="O868">
        <v>3</v>
      </c>
      <c r="P868" t="s">
        <v>42</v>
      </c>
      <c r="Q868" t="s">
        <v>59</v>
      </c>
      <c r="R868" t="s">
        <v>2556</v>
      </c>
      <c r="S868" t="s">
        <v>388</v>
      </c>
      <c r="T868" t="s">
        <v>42</v>
      </c>
      <c r="U868">
        <v>66</v>
      </c>
      <c r="V868">
        <v>346</v>
      </c>
      <c r="W868">
        <v>281</v>
      </c>
      <c r="X868" t="s">
        <v>390</v>
      </c>
    </row>
    <row r="869" spans="1:32" x14ac:dyDescent="0.75">
      <c r="A869" s="22" t="s">
        <v>6051</v>
      </c>
      <c r="B869" t="s">
        <v>2561</v>
      </c>
      <c r="C869" t="s">
        <v>104</v>
      </c>
      <c r="D869" t="s">
        <v>371</v>
      </c>
      <c r="E869" t="s">
        <v>372</v>
      </c>
      <c r="F869" t="s">
        <v>2567</v>
      </c>
      <c r="G869" s="1" t="str">
        <f>HYPERLINK("https://homd.org/jbrowse/?data=homd_V11.02_phage_1.2%2FGCA_009717845.1&amp;loc=GCA_009717845.1%7CWMZI01000010.1%3A1..4230&amp;tracks=prokka,prokka_ncrna,ncbi,ncbi_ncrna,panggolin,cenote,genomad&amp;highlight=","Open JBrowse")</f>
        <v>Open JBrowse</v>
      </c>
      <c r="H869">
        <v>1</v>
      </c>
      <c r="I869">
        <v>1230</v>
      </c>
      <c r="J869" t="s">
        <v>2568</v>
      </c>
      <c r="K869" t="s">
        <v>59</v>
      </c>
      <c r="L869" t="s">
        <v>388</v>
      </c>
      <c r="M869" t="s">
        <v>389</v>
      </c>
      <c r="N869" t="s">
        <v>42</v>
      </c>
      <c r="O869">
        <v>3</v>
      </c>
      <c r="P869" t="s">
        <v>42</v>
      </c>
      <c r="Q869" t="s">
        <v>59</v>
      </c>
      <c r="R869" t="s">
        <v>2564</v>
      </c>
      <c r="S869" t="s">
        <v>388</v>
      </c>
      <c r="T869" t="s">
        <v>42</v>
      </c>
      <c r="U869">
        <v>66</v>
      </c>
      <c r="V869">
        <v>346</v>
      </c>
      <c r="W869">
        <v>281</v>
      </c>
      <c r="X869" t="s">
        <v>390</v>
      </c>
    </row>
    <row r="870" spans="1:32" x14ac:dyDescent="0.75">
      <c r="A870" s="22" t="s">
        <v>6051</v>
      </c>
      <c r="B870" t="s">
        <v>3358</v>
      </c>
      <c r="C870" t="s">
        <v>104</v>
      </c>
      <c r="D870" t="s">
        <v>153</v>
      </c>
      <c r="E870" t="s">
        <v>154</v>
      </c>
      <c r="F870" t="s">
        <v>3359</v>
      </c>
      <c r="G870" s="1" t="str">
        <f>HYPERLINK("https://homd.org/jbrowse/?data=homd_V11.02_phage_1.2%2FGCA_018127945.1&amp;loc=GCA_018127945.1%7CCP072351.1%3A407236..414207&amp;tracks=prokka,prokka_ncrna,ncbi,ncbi_ncrna,panggolin,cenote,genomad&amp;highlight=","Open JBrowse")</f>
        <v>Open JBrowse</v>
      </c>
      <c r="H870">
        <v>410236</v>
      </c>
      <c r="I870">
        <v>411207</v>
      </c>
      <c r="J870" t="s">
        <v>3363</v>
      </c>
      <c r="K870" t="s">
        <v>59</v>
      </c>
      <c r="L870" t="s">
        <v>3364</v>
      </c>
      <c r="M870" t="s">
        <v>3365</v>
      </c>
      <c r="N870" t="s">
        <v>42</v>
      </c>
      <c r="O870">
        <v>3</v>
      </c>
      <c r="P870" t="s">
        <v>42</v>
      </c>
      <c r="Q870" t="s">
        <v>59</v>
      </c>
      <c r="R870" t="s">
        <v>3361</v>
      </c>
      <c r="S870" t="s">
        <v>3364</v>
      </c>
      <c r="T870" t="s">
        <v>42</v>
      </c>
      <c r="U870">
        <v>66</v>
      </c>
      <c r="V870">
        <v>320</v>
      </c>
      <c r="W870">
        <v>255</v>
      </c>
      <c r="X870" t="s">
        <v>3366</v>
      </c>
      <c r="Y870" t="s">
        <v>3367</v>
      </c>
      <c r="Z870" t="s">
        <v>357</v>
      </c>
      <c r="AA870" t="s">
        <v>3368</v>
      </c>
      <c r="AB870" t="s">
        <v>3369</v>
      </c>
      <c r="AC870" t="s">
        <v>589</v>
      </c>
      <c r="AD870" t="s">
        <v>101</v>
      </c>
      <c r="AE870">
        <v>665</v>
      </c>
      <c r="AF870" t="s">
        <v>386</v>
      </c>
    </row>
    <row r="871" spans="1:32" x14ac:dyDescent="0.75">
      <c r="A871" s="22" t="s">
        <v>6051</v>
      </c>
      <c r="B871" t="s">
        <v>3370</v>
      </c>
      <c r="C871" t="s">
        <v>104</v>
      </c>
      <c r="D871" t="s">
        <v>153</v>
      </c>
      <c r="E871" t="s">
        <v>154</v>
      </c>
      <c r="F871" t="s">
        <v>3371</v>
      </c>
      <c r="G871" s="1" t="str">
        <f>HYPERLINK("https://homd.org/jbrowse/?data=homd_V11.02_phage_1.2%2FGCA_018127965.1&amp;loc=GCA_018127965.1%7CCP072349.1%3A1477134..1484105&amp;tracks=prokka,prokka_ncrna,ncbi,ncbi_ncrna,panggolin,cenote,genomad&amp;highlight=","Open JBrowse")</f>
        <v>Open JBrowse</v>
      </c>
      <c r="H871">
        <v>1480134</v>
      </c>
      <c r="I871">
        <v>1481105</v>
      </c>
      <c r="J871" t="s">
        <v>3372</v>
      </c>
      <c r="K871" t="s">
        <v>59</v>
      </c>
      <c r="L871" t="s">
        <v>3364</v>
      </c>
      <c r="M871" t="s">
        <v>3365</v>
      </c>
      <c r="N871" t="s">
        <v>42</v>
      </c>
      <c r="O871">
        <v>3</v>
      </c>
      <c r="P871" t="s">
        <v>42</v>
      </c>
      <c r="Q871" t="s">
        <v>59</v>
      </c>
      <c r="R871" t="s">
        <v>3373</v>
      </c>
      <c r="S871" t="s">
        <v>3364</v>
      </c>
      <c r="T871" t="s">
        <v>42</v>
      </c>
      <c r="U871">
        <v>66</v>
      </c>
      <c r="V871">
        <v>320</v>
      </c>
      <c r="W871">
        <v>255</v>
      </c>
      <c r="X871" t="s">
        <v>3366</v>
      </c>
      <c r="Y871" t="s">
        <v>3374</v>
      </c>
      <c r="Z871" t="s">
        <v>281</v>
      </c>
      <c r="AA871" t="s">
        <v>3375</v>
      </c>
      <c r="AB871" t="s">
        <v>3376</v>
      </c>
      <c r="AC871" t="s">
        <v>164</v>
      </c>
      <c r="AD871" t="s">
        <v>51</v>
      </c>
      <c r="AE871">
        <v>618.5</v>
      </c>
      <c r="AF871" t="s">
        <v>102</v>
      </c>
    </row>
    <row r="872" spans="1:32" x14ac:dyDescent="0.75">
      <c r="A872" s="22" t="s">
        <v>6051</v>
      </c>
      <c r="B872" t="s">
        <v>3388</v>
      </c>
      <c r="C872" t="s">
        <v>104</v>
      </c>
      <c r="D872" t="s">
        <v>153</v>
      </c>
      <c r="E872" t="s">
        <v>154</v>
      </c>
      <c r="F872" t="s">
        <v>3389</v>
      </c>
      <c r="G872" s="1" t="str">
        <f>HYPERLINK("https://homd.org/jbrowse/?data=homd_V11.02_phage_1.2%2FGCA_018128005.1&amp;loc=GCA_018128005.1%7CCP072354.1%3A1615958..1622929&amp;tracks=prokka,prokka_ncrna,ncbi,ncbi_ncrna,panggolin,cenote,genomad&amp;highlight=","Open JBrowse")</f>
        <v>Open JBrowse</v>
      </c>
      <c r="H872">
        <v>1618958</v>
      </c>
      <c r="I872">
        <v>1619929</v>
      </c>
      <c r="J872" t="s">
        <v>3390</v>
      </c>
      <c r="K872" t="s">
        <v>59</v>
      </c>
      <c r="L872" t="s">
        <v>3364</v>
      </c>
      <c r="M872" t="s">
        <v>3365</v>
      </c>
      <c r="N872" t="s">
        <v>42</v>
      </c>
      <c r="O872">
        <v>3</v>
      </c>
      <c r="P872" t="s">
        <v>42</v>
      </c>
      <c r="Q872" t="s">
        <v>59</v>
      </c>
      <c r="R872" t="s">
        <v>3391</v>
      </c>
      <c r="S872" t="s">
        <v>3364</v>
      </c>
      <c r="T872" t="s">
        <v>42</v>
      </c>
      <c r="U872">
        <v>66</v>
      </c>
      <c r="V872">
        <v>320</v>
      </c>
      <c r="W872">
        <v>255</v>
      </c>
      <c r="X872" t="s">
        <v>3366</v>
      </c>
      <c r="Y872" t="s">
        <v>3392</v>
      </c>
      <c r="Z872" t="s">
        <v>458</v>
      </c>
      <c r="AA872" t="s">
        <v>3393</v>
      </c>
      <c r="AB872" t="s">
        <v>3394</v>
      </c>
      <c r="AC872" t="s">
        <v>589</v>
      </c>
      <c r="AD872" t="s">
        <v>101</v>
      </c>
      <c r="AE872">
        <v>665</v>
      </c>
      <c r="AF872" t="s">
        <v>102</v>
      </c>
    </row>
    <row r="873" spans="1:32" x14ac:dyDescent="0.75">
      <c r="A873" s="22" t="s">
        <v>6051</v>
      </c>
      <c r="B873" t="s">
        <v>3398</v>
      </c>
      <c r="C873" t="s">
        <v>104</v>
      </c>
      <c r="D873" t="s">
        <v>1054</v>
      </c>
      <c r="E873" t="s">
        <v>1055</v>
      </c>
      <c r="F873" t="s">
        <v>3399</v>
      </c>
      <c r="G873" s="1" t="str">
        <f>HYPERLINK("https://homd.org/jbrowse/?data=homd_V11.02_phage_1.2%2FGCA_018128045.1&amp;loc=GCA_018128045.1%7CCP072361.1%3A595035..602006&amp;tracks=prokka,prokka_ncrna,ncbi,ncbi_ncrna,panggolin,cenote,genomad&amp;highlight=","Open JBrowse")</f>
        <v>Open JBrowse</v>
      </c>
      <c r="H873">
        <v>598035</v>
      </c>
      <c r="I873">
        <v>599006</v>
      </c>
      <c r="J873" t="s">
        <v>3402</v>
      </c>
      <c r="K873" t="s">
        <v>59</v>
      </c>
      <c r="L873" t="s">
        <v>3364</v>
      </c>
      <c r="M873" t="s">
        <v>3365</v>
      </c>
      <c r="N873" t="s">
        <v>42</v>
      </c>
      <c r="O873">
        <v>3</v>
      </c>
      <c r="P873" t="s">
        <v>42</v>
      </c>
      <c r="Q873" t="s">
        <v>59</v>
      </c>
      <c r="R873" t="s">
        <v>3401</v>
      </c>
      <c r="S873" t="s">
        <v>3364</v>
      </c>
      <c r="T873" t="s">
        <v>42</v>
      </c>
      <c r="U873">
        <v>66</v>
      </c>
      <c r="V873">
        <v>320</v>
      </c>
      <c r="W873">
        <v>255</v>
      </c>
      <c r="X873" t="s">
        <v>3366</v>
      </c>
      <c r="Y873" t="s">
        <v>3403</v>
      </c>
      <c r="Z873" t="s">
        <v>357</v>
      </c>
      <c r="AA873" t="s">
        <v>3404</v>
      </c>
      <c r="AB873" t="s">
        <v>3405</v>
      </c>
      <c r="AC873" t="s">
        <v>164</v>
      </c>
      <c r="AD873" t="s">
        <v>51</v>
      </c>
      <c r="AE873">
        <v>614.6</v>
      </c>
      <c r="AF873" t="s">
        <v>102</v>
      </c>
    </row>
    <row r="874" spans="1:32" x14ac:dyDescent="0.75">
      <c r="A874" s="22" t="s">
        <v>6051</v>
      </c>
      <c r="B874" t="s">
        <v>4819</v>
      </c>
      <c r="C874" t="s">
        <v>104</v>
      </c>
      <c r="D874" t="s">
        <v>371</v>
      </c>
      <c r="E874" t="s">
        <v>372</v>
      </c>
      <c r="F874" t="s">
        <v>4820</v>
      </c>
      <c r="G874" s="1" t="str">
        <f>HYPERLINK("https://homd.org/jbrowse/?data=homd_V11.02_phage_1.2%2FGCA_027663695.1&amp;loc=GCA_027663695.1%7CJAQDHM010000008.1%3A76015..83190&amp;tracks=prokka,prokka_ncrna,ncbi,ncbi_ncrna,panggolin,cenote,genomad&amp;highlight=","Open JBrowse")</f>
        <v>Open JBrowse</v>
      </c>
      <c r="H874">
        <v>79015</v>
      </c>
      <c r="I874">
        <v>80190</v>
      </c>
      <c r="J874" t="s">
        <v>4821</v>
      </c>
      <c r="K874" t="s">
        <v>59</v>
      </c>
      <c r="L874" t="s">
        <v>388</v>
      </c>
      <c r="M874" t="s">
        <v>389</v>
      </c>
      <c r="N874" t="s">
        <v>42</v>
      </c>
      <c r="O874">
        <v>3</v>
      </c>
      <c r="P874" t="s">
        <v>42</v>
      </c>
      <c r="Q874" t="s">
        <v>59</v>
      </c>
      <c r="R874" t="s">
        <v>4822</v>
      </c>
      <c r="S874" t="s">
        <v>388</v>
      </c>
      <c r="T874" t="s">
        <v>42</v>
      </c>
      <c r="U874">
        <v>66</v>
      </c>
      <c r="V874">
        <v>346</v>
      </c>
      <c r="W874">
        <v>281</v>
      </c>
      <c r="X874" t="s">
        <v>390</v>
      </c>
    </row>
    <row r="875" spans="1:32" x14ac:dyDescent="0.75">
      <c r="A875" s="22" t="s">
        <v>6051</v>
      </c>
      <c r="B875" t="s">
        <v>5518</v>
      </c>
      <c r="C875" t="s">
        <v>104</v>
      </c>
      <c r="D875" t="s">
        <v>1054</v>
      </c>
      <c r="E875" t="s">
        <v>1055</v>
      </c>
      <c r="F875" t="s">
        <v>5522</v>
      </c>
      <c r="G875" s="1" t="str">
        <f>HYPERLINK("https://homd.org/jbrowse/?data=homd_V11.02_phage_1.2%2FGCA_905373445.1&amp;loc=GCA_905373445.1%7CCAJPSW010000018.1%3A8704..15675&amp;tracks=prokka,prokka_ncrna,ncbi,ncbi_ncrna,panggolin,cenote,genomad&amp;highlight=","Open JBrowse")</f>
        <v>Open JBrowse</v>
      </c>
      <c r="H875">
        <v>11704</v>
      </c>
      <c r="I875">
        <v>12675</v>
      </c>
      <c r="J875" t="s">
        <v>5523</v>
      </c>
      <c r="K875" t="s">
        <v>59</v>
      </c>
      <c r="L875" t="s">
        <v>3364</v>
      </c>
      <c r="M875" t="s">
        <v>3365</v>
      </c>
      <c r="N875" t="s">
        <v>42</v>
      </c>
      <c r="O875">
        <v>3</v>
      </c>
      <c r="P875" t="s">
        <v>42</v>
      </c>
      <c r="Q875" t="s">
        <v>59</v>
      </c>
      <c r="R875" t="s">
        <v>5521</v>
      </c>
      <c r="S875" t="s">
        <v>3364</v>
      </c>
      <c r="T875" t="s">
        <v>42</v>
      </c>
      <c r="U875">
        <v>66</v>
      </c>
      <c r="V875">
        <v>320</v>
      </c>
      <c r="W875">
        <v>255</v>
      </c>
      <c r="X875" t="s">
        <v>3366</v>
      </c>
      <c r="Y875" t="s">
        <v>5524</v>
      </c>
      <c r="Z875" t="s">
        <v>357</v>
      </c>
      <c r="AA875" t="s">
        <v>5525</v>
      </c>
      <c r="AB875" t="s">
        <v>5526</v>
      </c>
      <c r="AC875" t="s">
        <v>164</v>
      </c>
      <c r="AD875" t="s">
        <v>51</v>
      </c>
      <c r="AE875">
        <v>614.6</v>
      </c>
      <c r="AF875" t="s">
        <v>386</v>
      </c>
    </row>
    <row r="876" spans="1:32" x14ac:dyDescent="0.75">
      <c r="A876" s="22" t="s">
        <v>6051</v>
      </c>
      <c r="B876" t="s">
        <v>3380</v>
      </c>
      <c r="C876" t="s">
        <v>104</v>
      </c>
      <c r="D876" t="s">
        <v>450</v>
      </c>
      <c r="E876" t="s">
        <v>451</v>
      </c>
      <c r="F876" t="s">
        <v>3381</v>
      </c>
      <c r="G876" s="1" t="str">
        <f>HYPERLINK("https://homd.org/jbrowse/?data=homd_V11.02_phage_1.2%2FGCA_018127985.1&amp;loc=GCA_018127985.1%7CCP072357.1%3A1430104..1437156&amp;tracks=prokka,prokka_ncrna,ncbi,ncbi_ncrna,panggolin,cenote,genomad&amp;highlight=","Open JBrowse")</f>
        <v>Open JBrowse</v>
      </c>
      <c r="H876">
        <v>1433104</v>
      </c>
      <c r="I876">
        <v>1434156</v>
      </c>
      <c r="J876" t="s">
        <v>3382</v>
      </c>
      <c r="K876" t="s">
        <v>59</v>
      </c>
      <c r="L876" t="s">
        <v>3383</v>
      </c>
      <c r="M876" t="s">
        <v>3384</v>
      </c>
      <c r="N876" t="s">
        <v>42</v>
      </c>
      <c r="O876">
        <v>3</v>
      </c>
      <c r="P876" t="s">
        <v>42</v>
      </c>
      <c r="Q876" t="s">
        <v>59</v>
      </c>
      <c r="R876" t="s">
        <v>3385</v>
      </c>
      <c r="S876" t="s">
        <v>3383</v>
      </c>
      <c r="T876" t="s">
        <v>42</v>
      </c>
      <c r="U876">
        <v>68</v>
      </c>
      <c r="V876">
        <v>293</v>
      </c>
      <c r="W876">
        <v>226</v>
      </c>
      <c r="X876" t="s">
        <v>160</v>
      </c>
      <c r="Y876" t="s">
        <v>3386</v>
      </c>
      <c r="Z876" t="s">
        <v>346</v>
      </c>
      <c r="AA876" t="s">
        <v>3387</v>
      </c>
    </row>
    <row r="877" spans="1:32" x14ac:dyDescent="0.75">
      <c r="A877" s="22" t="s">
        <v>6051</v>
      </c>
      <c r="B877" t="s">
        <v>5856</v>
      </c>
      <c r="C877" t="s">
        <v>104</v>
      </c>
      <c r="D877" t="s">
        <v>450</v>
      </c>
      <c r="E877" t="s">
        <v>451</v>
      </c>
      <c r="F877" t="s">
        <v>5857</v>
      </c>
      <c r="G877" s="1" t="str">
        <f>HYPERLINK("https://homd.org/jbrowse/?data=homd_V11.02_phage_1.2%2FGCA_938020355.1&amp;loc=GCA_938020355.1%7CCALIID010000055.1%3A16686..23738&amp;tracks=prokka,prokka_ncrna,ncbi,ncbi_ncrna,panggolin,cenote,genomad&amp;highlight=","Open JBrowse")</f>
        <v>Open JBrowse</v>
      </c>
      <c r="H877">
        <v>19686</v>
      </c>
      <c r="I877">
        <v>20738</v>
      </c>
      <c r="J877" t="s">
        <v>5858</v>
      </c>
      <c r="K877" t="s">
        <v>59</v>
      </c>
      <c r="L877" t="s">
        <v>3383</v>
      </c>
      <c r="M877" t="s">
        <v>3384</v>
      </c>
      <c r="N877" t="s">
        <v>42</v>
      </c>
      <c r="O877">
        <v>3</v>
      </c>
      <c r="P877" t="s">
        <v>42</v>
      </c>
      <c r="Q877" t="s">
        <v>59</v>
      </c>
      <c r="R877" t="s">
        <v>5859</v>
      </c>
      <c r="S877" t="s">
        <v>3383</v>
      </c>
      <c r="T877" t="s">
        <v>42</v>
      </c>
      <c r="U877">
        <v>68</v>
      </c>
      <c r="V877">
        <v>293</v>
      </c>
      <c r="W877">
        <v>226</v>
      </c>
      <c r="X877" t="s">
        <v>160</v>
      </c>
      <c r="Y877" t="s">
        <v>5860</v>
      </c>
      <c r="Z877" t="s">
        <v>90</v>
      </c>
      <c r="AA877" t="s">
        <v>5861</v>
      </c>
      <c r="AB877" t="s">
        <v>5862</v>
      </c>
      <c r="AC877" t="s">
        <v>164</v>
      </c>
      <c r="AD877" t="s">
        <v>51</v>
      </c>
      <c r="AE877">
        <v>192.1</v>
      </c>
      <c r="AF877" t="s">
        <v>165</v>
      </c>
    </row>
    <row r="878" spans="1:32" x14ac:dyDescent="0.75">
      <c r="A878" s="22" t="s">
        <v>6051</v>
      </c>
      <c r="B878" t="s">
        <v>5983</v>
      </c>
      <c r="C878" t="s">
        <v>104</v>
      </c>
      <c r="D878" t="s">
        <v>450</v>
      </c>
      <c r="E878" t="s">
        <v>451</v>
      </c>
      <c r="F878" t="s">
        <v>5984</v>
      </c>
      <c r="G878" s="1" t="str">
        <f>HYPERLINK("https://homd.org/jbrowse/?data=homd_V11.02_phage_1.2%2FGCA_947095725.1&amp;loc=GCA_947095725.1%7CCAMUPY010000061.1%3A1..5237&amp;tracks=prokka,prokka_ncrna,ncbi,ncbi_ncrna,panggolin,cenote,genomad&amp;highlight=","Open JBrowse")</f>
        <v>Open JBrowse</v>
      </c>
      <c r="H878">
        <v>1185</v>
      </c>
      <c r="I878">
        <v>2237</v>
      </c>
      <c r="J878" t="s">
        <v>5985</v>
      </c>
      <c r="K878" t="s">
        <v>59</v>
      </c>
      <c r="L878" t="s">
        <v>3383</v>
      </c>
      <c r="M878" t="s">
        <v>3384</v>
      </c>
      <c r="N878" t="s">
        <v>42</v>
      </c>
      <c r="O878">
        <v>3</v>
      </c>
      <c r="P878" t="s">
        <v>42</v>
      </c>
      <c r="Q878" t="s">
        <v>59</v>
      </c>
      <c r="R878" t="s">
        <v>5986</v>
      </c>
      <c r="S878" t="s">
        <v>3383</v>
      </c>
      <c r="T878" t="s">
        <v>42</v>
      </c>
      <c r="U878">
        <v>68</v>
      </c>
      <c r="V878">
        <v>293</v>
      </c>
      <c r="W878">
        <v>226</v>
      </c>
      <c r="X878" t="s">
        <v>160</v>
      </c>
      <c r="Y878" t="s">
        <v>5987</v>
      </c>
      <c r="Z878" t="s">
        <v>97</v>
      </c>
      <c r="AA878" t="s">
        <v>5988</v>
      </c>
    </row>
    <row r="879" spans="1:32" x14ac:dyDescent="0.75">
      <c r="A879" s="22" t="s">
        <v>6051</v>
      </c>
      <c r="B879" t="s">
        <v>5622</v>
      </c>
      <c r="C879" t="s">
        <v>104</v>
      </c>
      <c r="D879" t="s">
        <v>2965</v>
      </c>
      <c r="E879" t="s">
        <v>2966</v>
      </c>
      <c r="F879" t="s">
        <v>5623</v>
      </c>
      <c r="G879" s="1" t="str">
        <f>HYPERLINK("https://homd.org/jbrowse/?data=homd_V11.02_phage_1.2%2FGCA_916709935.1&amp;loc=GCA_916709935.1%7CCAKAOT010000054.1%3A5181..12764&amp;tracks=prokka,prokka_ncrna,ncbi,ncbi_ncrna,panggolin,cenote,genomad&amp;highlight=","Open JBrowse")</f>
        <v>Open JBrowse</v>
      </c>
      <c r="H879">
        <v>8181</v>
      </c>
      <c r="I879">
        <v>9764</v>
      </c>
      <c r="J879" t="s">
        <v>5624</v>
      </c>
      <c r="K879" t="s">
        <v>541</v>
      </c>
      <c r="L879" t="s">
        <v>5625</v>
      </c>
      <c r="M879" t="s">
        <v>5626</v>
      </c>
      <c r="N879" t="s">
        <v>59</v>
      </c>
      <c r="O879">
        <v>2</v>
      </c>
      <c r="P879" t="s">
        <v>42</v>
      </c>
      <c r="Q879" t="s">
        <v>101</v>
      </c>
      <c r="R879" t="s">
        <v>5627</v>
      </c>
      <c r="S879" t="s">
        <v>5625</v>
      </c>
      <c r="T879" t="s">
        <v>42</v>
      </c>
      <c r="U879">
        <v>69</v>
      </c>
      <c r="V879">
        <v>342</v>
      </c>
      <c r="W879">
        <v>274</v>
      </c>
      <c r="X879" t="s">
        <v>545</v>
      </c>
    </row>
    <row r="880" spans="1:32" x14ac:dyDescent="0.75">
      <c r="A880" s="22" t="s">
        <v>6051</v>
      </c>
      <c r="B880" t="s">
        <v>449</v>
      </c>
      <c r="C880" t="s">
        <v>104</v>
      </c>
      <c r="D880" t="s">
        <v>450</v>
      </c>
      <c r="E880" t="s">
        <v>451</v>
      </c>
      <c r="F880" t="s">
        <v>452</v>
      </c>
      <c r="G880" s="1" t="str">
        <f>HYPERLINK("https://homd.org/jbrowse/?data=homd_V11.02_phage_1.2%2FGCA_000191065.1&amp;loc=GCA_000191065.1%7CGL872283.1%3A281235..288296&amp;tracks=prokka,prokka_ncrna,ncbi,ncbi_ncrna,panggolin,cenote,genomad&amp;highlight=","Open JBrowse")</f>
        <v>Open JBrowse</v>
      </c>
      <c r="H880">
        <v>284235</v>
      </c>
      <c r="I880">
        <v>285296</v>
      </c>
      <c r="J880" t="s">
        <v>453</v>
      </c>
      <c r="K880" t="s">
        <v>59</v>
      </c>
      <c r="L880" t="s">
        <v>454</v>
      </c>
      <c r="M880" t="s">
        <v>455</v>
      </c>
      <c r="N880" t="s">
        <v>42</v>
      </c>
      <c r="O880">
        <v>3</v>
      </c>
      <c r="P880" t="s">
        <v>42</v>
      </c>
      <c r="Q880" t="s">
        <v>59</v>
      </c>
      <c r="R880" t="s">
        <v>456</v>
      </c>
      <c r="S880" t="s">
        <v>454</v>
      </c>
      <c r="T880" t="s">
        <v>42</v>
      </c>
      <c r="U880">
        <v>71</v>
      </c>
      <c r="V880">
        <v>296</v>
      </c>
      <c r="W880">
        <v>226</v>
      </c>
      <c r="X880" t="s">
        <v>160</v>
      </c>
      <c r="Y880" t="s">
        <v>457</v>
      </c>
      <c r="Z880" t="s">
        <v>458</v>
      </c>
      <c r="AA880" t="s">
        <v>459</v>
      </c>
      <c r="AB880" t="s">
        <v>460</v>
      </c>
      <c r="AC880" t="s">
        <v>164</v>
      </c>
      <c r="AD880" t="s">
        <v>51</v>
      </c>
      <c r="AE880">
        <v>191.5</v>
      </c>
      <c r="AF880" t="s">
        <v>165</v>
      </c>
    </row>
    <row r="881" spans="1:32" x14ac:dyDescent="0.75">
      <c r="A881" s="22" t="s">
        <v>6051</v>
      </c>
      <c r="B881" t="s">
        <v>577</v>
      </c>
      <c r="C881" t="s">
        <v>104</v>
      </c>
      <c r="D881" t="s">
        <v>578</v>
      </c>
      <c r="E881" t="s">
        <v>579</v>
      </c>
      <c r="F881" t="s">
        <v>580</v>
      </c>
      <c r="G881" s="1" t="str">
        <f>HYPERLINK("https://homd.org/jbrowse/?data=homd_V11.02_phage_1.2%2FGCA_000238215.1&amp;loc=GCA_000238215.1%7CCP003191.1%3A207330..214277&amp;tracks=prokka,prokka_ncrna,ncbi,ncbi_ncrna,panggolin,cenote,genomad&amp;highlight=","Open JBrowse")</f>
        <v>Open JBrowse</v>
      </c>
      <c r="H881">
        <v>210330</v>
      </c>
      <c r="I881">
        <v>211277</v>
      </c>
      <c r="J881" t="s">
        <v>581</v>
      </c>
      <c r="K881" t="s">
        <v>59</v>
      </c>
      <c r="L881" t="s">
        <v>582</v>
      </c>
      <c r="M881" t="s">
        <v>583</v>
      </c>
      <c r="N881" t="s">
        <v>42</v>
      </c>
      <c r="O881">
        <v>3</v>
      </c>
      <c r="P881" t="s">
        <v>42</v>
      </c>
      <c r="Q881" t="s">
        <v>59</v>
      </c>
      <c r="R881" t="s">
        <v>584</v>
      </c>
      <c r="S881" t="s">
        <v>582</v>
      </c>
      <c r="T881" t="s">
        <v>42</v>
      </c>
      <c r="U881">
        <v>71</v>
      </c>
      <c r="V881">
        <v>304</v>
      </c>
      <c r="W881">
        <v>234</v>
      </c>
      <c r="X881" t="s">
        <v>63</v>
      </c>
      <c r="Y881" t="s">
        <v>585</v>
      </c>
      <c r="Z881" t="s">
        <v>586</v>
      </c>
      <c r="AA881" t="s">
        <v>587</v>
      </c>
      <c r="AB881" t="s">
        <v>588</v>
      </c>
      <c r="AC881" t="s">
        <v>589</v>
      </c>
      <c r="AD881" t="s">
        <v>101</v>
      </c>
      <c r="AE881">
        <v>811</v>
      </c>
      <c r="AF881" t="s">
        <v>590</v>
      </c>
    </row>
    <row r="882" spans="1:32" x14ac:dyDescent="0.75">
      <c r="A882" s="22" t="s">
        <v>6051</v>
      </c>
      <c r="B882" t="s">
        <v>1359</v>
      </c>
      <c r="C882" t="s">
        <v>104</v>
      </c>
      <c r="D882" t="s">
        <v>578</v>
      </c>
      <c r="E882" t="s">
        <v>579</v>
      </c>
      <c r="F882" t="s">
        <v>1364</v>
      </c>
      <c r="G882" s="1" t="str">
        <f>HYPERLINK("https://homd.org/jbrowse/?data=homd_V11.02_phage_1.2%2FGCA_001006485.1&amp;loc=GCA_001006485.1%7CJUET01000092.1%3A56715..63662&amp;tracks=prokka,prokka_ncrna,ncbi,ncbi_ncrna,panggolin,cenote,genomad&amp;highlight=","Open JBrowse")</f>
        <v>Open JBrowse</v>
      </c>
      <c r="H882">
        <v>59715</v>
      </c>
      <c r="I882">
        <v>60662</v>
      </c>
      <c r="J882" t="s">
        <v>1365</v>
      </c>
      <c r="K882" t="s">
        <v>59</v>
      </c>
      <c r="L882" t="s">
        <v>582</v>
      </c>
      <c r="M882" t="s">
        <v>583</v>
      </c>
      <c r="N882" t="s">
        <v>42</v>
      </c>
      <c r="O882">
        <v>3</v>
      </c>
      <c r="P882" t="s">
        <v>42</v>
      </c>
      <c r="Q882" t="s">
        <v>59</v>
      </c>
      <c r="R882" t="s">
        <v>1362</v>
      </c>
      <c r="S882" t="s">
        <v>582</v>
      </c>
      <c r="T882" t="s">
        <v>42</v>
      </c>
      <c r="U882">
        <v>71</v>
      </c>
      <c r="V882">
        <v>304</v>
      </c>
      <c r="W882">
        <v>234</v>
      </c>
      <c r="X882" t="s">
        <v>63</v>
      </c>
      <c r="Y882" t="s">
        <v>1366</v>
      </c>
      <c r="Z882" t="s">
        <v>193</v>
      </c>
      <c r="AA882" t="s">
        <v>1367</v>
      </c>
      <c r="AB882" t="s">
        <v>1368</v>
      </c>
      <c r="AC882" t="s">
        <v>589</v>
      </c>
      <c r="AD882" t="s">
        <v>101</v>
      </c>
      <c r="AE882">
        <v>822</v>
      </c>
      <c r="AF882" t="s">
        <v>1369</v>
      </c>
    </row>
    <row r="883" spans="1:32" x14ac:dyDescent="0.75">
      <c r="A883" s="22" t="s">
        <v>6051</v>
      </c>
      <c r="B883" t="s">
        <v>1507</v>
      </c>
      <c r="C883" t="s">
        <v>104</v>
      </c>
      <c r="D883" t="s">
        <v>578</v>
      </c>
      <c r="E883" t="s">
        <v>579</v>
      </c>
      <c r="F883" t="s">
        <v>1508</v>
      </c>
      <c r="G883" s="1" t="str">
        <f>HYPERLINK("https://homd.org/jbrowse/?data=homd_V11.02_phage_1.2%2FGCA_001547855.1&amp;loc=GCA_001547855.1%7CAP013045.1%3A226872..233819&amp;tracks=prokka,prokka_ncrna,ncbi,ncbi_ncrna,panggolin,cenote,genomad&amp;highlight=","Open JBrowse")</f>
        <v>Open JBrowse</v>
      </c>
      <c r="H883">
        <v>229872</v>
      </c>
      <c r="I883">
        <v>230819</v>
      </c>
      <c r="J883" t="s">
        <v>1509</v>
      </c>
      <c r="K883" t="s">
        <v>59</v>
      </c>
      <c r="L883" t="s">
        <v>582</v>
      </c>
      <c r="M883" t="s">
        <v>1510</v>
      </c>
      <c r="N883" t="s">
        <v>42</v>
      </c>
      <c r="O883">
        <v>3</v>
      </c>
      <c r="P883" t="s">
        <v>42</v>
      </c>
      <c r="Q883" t="s">
        <v>59</v>
      </c>
      <c r="R883" t="s">
        <v>1511</v>
      </c>
      <c r="S883" t="s">
        <v>582</v>
      </c>
      <c r="T883" t="s">
        <v>42</v>
      </c>
      <c r="U883">
        <v>71</v>
      </c>
      <c r="V883">
        <v>304</v>
      </c>
      <c r="W883">
        <v>234</v>
      </c>
      <c r="X883" t="s">
        <v>63</v>
      </c>
      <c r="Y883" t="s">
        <v>1512</v>
      </c>
      <c r="Z883" t="s">
        <v>586</v>
      </c>
      <c r="AA883" t="s">
        <v>1513</v>
      </c>
      <c r="AB883" t="s">
        <v>1514</v>
      </c>
      <c r="AC883" t="s">
        <v>589</v>
      </c>
      <c r="AD883" t="s">
        <v>101</v>
      </c>
      <c r="AE883">
        <v>813</v>
      </c>
      <c r="AF883" t="s">
        <v>590</v>
      </c>
    </row>
    <row r="884" spans="1:32" x14ac:dyDescent="0.75">
      <c r="A884" s="22" t="s">
        <v>6051</v>
      </c>
      <c r="B884" t="s">
        <v>1517</v>
      </c>
      <c r="C884" t="s">
        <v>104</v>
      </c>
      <c r="D884" t="s">
        <v>578</v>
      </c>
      <c r="E884" t="s">
        <v>579</v>
      </c>
      <c r="F884" t="s">
        <v>1518</v>
      </c>
      <c r="G884" s="1" t="str">
        <f>HYPERLINK("https://homd.org/jbrowse/?data=homd_V11.02_phage_1.2%2FGCA_001547875.1&amp;loc=GCA_001547875.1%7CAP013044.1%3A179458..186405&amp;tracks=prokka,prokka_ncrna,ncbi,ncbi_ncrna,panggolin,cenote,genomad&amp;highlight=","Open JBrowse")</f>
        <v>Open JBrowse</v>
      </c>
      <c r="H884">
        <v>182458</v>
      </c>
      <c r="I884">
        <v>183405</v>
      </c>
      <c r="J884" t="s">
        <v>1519</v>
      </c>
      <c r="K884" t="s">
        <v>59</v>
      </c>
      <c r="L884" t="s">
        <v>582</v>
      </c>
      <c r="M884" t="s">
        <v>583</v>
      </c>
      <c r="N884" t="s">
        <v>42</v>
      </c>
      <c r="O884">
        <v>3</v>
      </c>
      <c r="P884" t="s">
        <v>42</v>
      </c>
      <c r="Q884" t="s">
        <v>59</v>
      </c>
      <c r="R884" t="s">
        <v>1520</v>
      </c>
      <c r="S884" t="s">
        <v>582</v>
      </c>
      <c r="T884" t="s">
        <v>42</v>
      </c>
      <c r="U884">
        <v>71</v>
      </c>
      <c r="V884">
        <v>304</v>
      </c>
      <c r="W884">
        <v>234</v>
      </c>
      <c r="X884" t="s">
        <v>63</v>
      </c>
      <c r="Y884" t="s">
        <v>1521</v>
      </c>
      <c r="Z884" t="s">
        <v>586</v>
      </c>
      <c r="AA884" t="s">
        <v>587</v>
      </c>
      <c r="AB884" t="s">
        <v>1522</v>
      </c>
      <c r="AC884" t="s">
        <v>589</v>
      </c>
      <c r="AD884" t="s">
        <v>101</v>
      </c>
      <c r="AE884">
        <v>819</v>
      </c>
      <c r="AF884" t="s">
        <v>590</v>
      </c>
    </row>
    <row r="885" spans="1:32" x14ac:dyDescent="0.75">
      <c r="A885" s="22" t="s">
        <v>6051</v>
      </c>
      <c r="B885" t="s">
        <v>1693</v>
      </c>
      <c r="C885" t="s">
        <v>104</v>
      </c>
      <c r="D885" t="s">
        <v>578</v>
      </c>
      <c r="E885" t="s">
        <v>579</v>
      </c>
      <c r="F885" t="s">
        <v>1698</v>
      </c>
      <c r="G885" s="1" t="str">
        <f>HYPERLINK("https://homd.org/jbrowse/?data=homd_V11.02_phage_1.2%2FGCA_001938785.1&amp;loc=GCA_001938785.1%7CMEHX01000002.1%3A15359..22306&amp;tracks=prokka,prokka_ncrna,ncbi,ncbi_ncrna,panggolin,cenote,genomad&amp;highlight=","Open JBrowse")</f>
        <v>Open JBrowse</v>
      </c>
      <c r="H885">
        <v>18359</v>
      </c>
      <c r="I885">
        <v>19306</v>
      </c>
      <c r="J885" t="s">
        <v>1699</v>
      </c>
      <c r="K885" t="s">
        <v>59</v>
      </c>
      <c r="L885" t="s">
        <v>582</v>
      </c>
      <c r="M885" t="s">
        <v>1510</v>
      </c>
      <c r="N885" t="s">
        <v>42</v>
      </c>
      <c r="O885">
        <v>3</v>
      </c>
      <c r="P885" t="s">
        <v>42</v>
      </c>
      <c r="Q885" t="s">
        <v>59</v>
      </c>
      <c r="R885" t="s">
        <v>1696</v>
      </c>
      <c r="S885" t="s">
        <v>582</v>
      </c>
      <c r="T885" t="s">
        <v>42</v>
      </c>
      <c r="U885">
        <v>71</v>
      </c>
      <c r="V885">
        <v>304</v>
      </c>
      <c r="W885">
        <v>234</v>
      </c>
      <c r="X885" t="s">
        <v>63</v>
      </c>
      <c r="Y885" t="s">
        <v>1700</v>
      </c>
      <c r="Z885" t="s">
        <v>1334</v>
      </c>
      <c r="AA885" t="s">
        <v>587</v>
      </c>
      <c r="AB885" t="s">
        <v>1701</v>
      </c>
      <c r="AC885" t="s">
        <v>589</v>
      </c>
      <c r="AD885" t="s">
        <v>101</v>
      </c>
      <c r="AE885">
        <v>822</v>
      </c>
      <c r="AF885" t="s">
        <v>590</v>
      </c>
    </row>
    <row r="886" spans="1:32" x14ac:dyDescent="0.75">
      <c r="A886" s="22" t="s">
        <v>6051</v>
      </c>
      <c r="B886" t="s">
        <v>1868</v>
      </c>
      <c r="C886" t="s">
        <v>104</v>
      </c>
      <c r="D886" t="s">
        <v>578</v>
      </c>
      <c r="E886" t="s">
        <v>579</v>
      </c>
      <c r="F886" t="s">
        <v>1873</v>
      </c>
      <c r="G886" s="1" t="str">
        <f>HYPERLINK("https://homd.org/jbrowse/?data=homd_V11.02_phage_1.2%2FGCA_002529085.1&amp;loc=GCA_002529085.1%7CNSLJ01000012.1%3A84804..91751&amp;tracks=prokka,prokka_ncrna,ncbi,ncbi_ncrna,panggolin,cenote,genomad&amp;highlight=","Open JBrowse")</f>
        <v>Open JBrowse</v>
      </c>
      <c r="H886">
        <v>87804</v>
      </c>
      <c r="I886">
        <v>88751</v>
      </c>
      <c r="J886" t="s">
        <v>1874</v>
      </c>
      <c r="K886" t="s">
        <v>59</v>
      </c>
      <c r="L886" t="s">
        <v>582</v>
      </c>
      <c r="M886" t="s">
        <v>583</v>
      </c>
      <c r="N886" t="s">
        <v>42</v>
      </c>
      <c r="O886">
        <v>3</v>
      </c>
      <c r="P886" t="s">
        <v>42</v>
      </c>
      <c r="Q886" t="s">
        <v>59</v>
      </c>
      <c r="R886" t="s">
        <v>1871</v>
      </c>
      <c r="S886" t="s">
        <v>582</v>
      </c>
      <c r="T886" t="s">
        <v>42</v>
      </c>
      <c r="U886">
        <v>71</v>
      </c>
      <c r="V886">
        <v>304</v>
      </c>
      <c r="W886">
        <v>234</v>
      </c>
      <c r="X886" t="s">
        <v>63</v>
      </c>
      <c r="Y886" t="s">
        <v>1875</v>
      </c>
      <c r="Z886" t="s">
        <v>892</v>
      </c>
      <c r="AA886" t="s">
        <v>587</v>
      </c>
      <c r="AB886" t="s">
        <v>1876</v>
      </c>
      <c r="AC886" t="s">
        <v>589</v>
      </c>
      <c r="AD886" t="s">
        <v>101</v>
      </c>
      <c r="AE886">
        <v>814</v>
      </c>
      <c r="AF886" t="s">
        <v>590</v>
      </c>
    </row>
    <row r="887" spans="1:32" x14ac:dyDescent="0.75">
      <c r="A887" s="22" t="s">
        <v>6051</v>
      </c>
      <c r="B887" t="s">
        <v>1877</v>
      </c>
      <c r="C887" t="s">
        <v>104</v>
      </c>
      <c r="D887" t="s">
        <v>578</v>
      </c>
      <c r="E887" t="s">
        <v>579</v>
      </c>
      <c r="F887" t="s">
        <v>1883</v>
      </c>
      <c r="G887" s="1" t="str">
        <f>HYPERLINK("https://homd.org/jbrowse/?data=homd_V11.02_phage_1.2%2FGCA_002529295.1&amp;loc=GCA_002529295.1%7CNSLK01000017.1%3A52783..59730&amp;tracks=prokka,prokka_ncrna,ncbi,ncbi_ncrna,panggolin,cenote,genomad&amp;highlight=","Open JBrowse")</f>
        <v>Open JBrowse</v>
      </c>
      <c r="H887">
        <v>55783</v>
      </c>
      <c r="I887">
        <v>56730</v>
      </c>
      <c r="J887" t="s">
        <v>1884</v>
      </c>
      <c r="K887" t="s">
        <v>59</v>
      </c>
      <c r="L887" t="s">
        <v>582</v>
      </c>
      <c r="M887" t="s">
        <v>583</v>
      </c>
      <c r="N887" t="s">
        <v>42</v>
      </c>
      <c r="O887">
        <v>3</v>
      </c>
      <c r="P887" t="s">
        <v>42</v>
      </c>
      <c r="Q887" t="s">
        <v>59</v>
      </c>
      <c r="R887" t="s">
        <v>1880</v>
      </c>
      <c r="S887" t="s">
        <v>582</v>
      </c>
      <c r="T887" t="s">
        <v>42</v>
      </c>
      <c r="U887">
        <v>71</v>
      </c>
      <c r="V887">
        <v>304</v>
      </c>
      <c r="W887">
        <v>234</v>
      </c>
      <c r="X887" t="s">
        <v>63</v>
      </c>
      <c r="Y887" t="s">
        <v>1885</v>
      </c>
      <c r="Z887" t="s">
        <v>1008</v>
      </c>
      <c r="AA887" t="s">
        <v>1367</v>
      </c>
      <c r="AB887" t="s">
        <v>1886</v>
      </c>
      <c r="AC887" t="s">
        <v>589</v>
      </c>
      <c r="AD887" t="s">
        <v>101</v>
      </c>
      <c r="AE887">
        <v>817</v>
      </c>
      <c r="AF887" t="s">
        <v>1369</v>
      </c>
    </row>
    <row r="888" spans="1:32" x14ac:dyDescent="0.75">
      <c r="A888" s="22" t="s">
        <v>6051</v>
      </c>
      <c r="B888" t="s">
        <v>2334</v>
      </c>
      <c r="C888" t="s">
        <v>104</v>
      </c>
      <c r="D888" t="s">
        <v>578</v>
      </c>
      <c r="E888" t="s">
        <v>579</v>
      </c>
      <c r="F888" t="s">
        <v>2335</v>
      </c>
      <c r="G888" s="1" t="str">
        <f>HYPERLINK("https://homd.org/jbrowse/?data=homd_V11.02_phage_1.2%2FGCA_006385365.1&amp;loc=GCA_006385365.1%7CVFJI01000001.1%3A307953..314900&amp;tracks=prokka,prokka_ncrna,ncbi,ncbi_ncrna,panggolin,cenote,genomad&amp;highlight=","Open JBrowse")</f>
        <v>Open JBrowse</v>
      </c>
      <c r="H888">
        <v>310953</v>
      </c>
      <c r="I888">
        <v>311900</v>
      </c>
      <c r="J888" t="s">
        <v>2339</v>
      </c>
      <c r="K888" t="s">
        <v>59</v>
      </c>
      <c r="L888" t="s">
        <v>582</v>
      </c>
      <c r="M888" t="s">
        <v>583</v>
      </c>
      <c r="N888" t="s">
        <v>42</v>
      </c>
      <c r="O888">
        <v>3</v>
      </c>
      <c r="P888" t="s">
        <v>42</v>
      </c>
      <c r="Q888" t="s">
        <v>59</v>
      </c>
      <c r="R888" t="s">
        <v>2337</v>
      </c>
      <c r="S888" t="s">
        <v>582</v>
      </c>
      <c r="T888" t="s">
        <v>42</v>
      </c>
      <c r="U888">
        <v>71</v>
      </c>
      <c r="V888">
        <v>304</v>
      </c>
      <c r="W888">
        <v>234</v>
      </c>
      <c r="X888" t="s">
        <v>63</v>
      </c>
      <c r="Y888" t="s">
        <v>2340</v>
      </c>
      <c r="Z888" t="s">
        <v>357</v>
      </c>
      <c r="AA888" t="s">
        <v>587</v>
      </c>
      <c r="AB888" t="s">
        <v>2341</v>
      </c>
      <c r="AC888" t="s">
        <v>589</v>
      </c>
      <c r="AD888" t="s">
        <v>101</v>
      </c>
      <c r="AE888">
        <v>822</v>
      </c>
      <c r="AF888" t="s">
        <v>590</v>
      </c>
    </row>
    <row r="889" spans="1:32" x14ac:dyDescent="0.75">
      <c r="A889" s="22" t="s">
        <v>6051</v>
      </c>
      <c r="B889" t="s">
        <v>5071</v>
      </c>
      <c r="C889" t="s">
        <v>104</v>
      </c>
      <c r="D889" t="s">
        <v>578</v>
      </c>
      <c r="E889" t="s">
        <v>579</v>
      </c>
      <c r="F889" t="s">
        <v>5072</v>
      </c>
      <c r="G889" s="1" t="str">
        <f>HYPERLINK("https://homd.org/jbrowse/?data=homd_V11.02_phage_1.2%2FGCA_900096715.1&amp;loc=GCA_900096715.1%7CFMML01000005.1%3A16039..22986&amp;tracks=prokka,prokka_ncrna,ncbi,ncbi_ncrna,panggolin,cenote,genomad&amp;highlight=","Open JBrowse")</f>
        <v>Open JBrowse</v>
      </c>
      <c r="H889">
        <v>19039</v>
      </c>
      <c r="I889">
        <v>19986</v>
      </c>
      <c r="J889" t="s">
        <v>5073</v>
      </c>
      <c r="K889" t="s">
        <v>59</v>
      </c>
      <c r="L889" t="s">
        <v>582</v>
      </c>
      <c r="M889" t="s">
        <v>583</v>
      </c>
      <c r="N889" t="s">
        <v>42</v>
      </c>
      <c r="O889">
        <v>3</v>
      </c>
      <c r="P889" t="s">
        <v>42</v>
      </c>
      <c r="Q889" t="s">
        <v>59</v>
      </c>
      <c r="R889" t="s">
        <v>5074</v>
      </c>
      <c r="S889" t="s">
        <v>582</v>
      </c>
      <c r="T889" t="s">
        <v>42</v>
      </c>
      <c r="U889">
        <v>71</v>
      </c>
      <c r="V889">
        <v>304</v>
      </c>
      <c r="W889">
        <v>234</v>
      </c>
      <c r="X889" t="s">
        <v>63</v>
      </c>
      <c r="Y889" t="s">
        <v>5075</v>
      </c>
      <c r="Z889" t="s">
        <v>586</v>
      </c>
      <c r="AA889" t="s">
        <v>587</v>
      </c>
      <c r="AB889" t="s">
        <v>5076</v>
      </c>
      <c r="AC889" t="s">
        <v>589</v>
      </c>
      <c r="AD889" t="s">
        <v>101</v>
      </c>
      <c r="AE889">
        <v>817</v>
      </c>
      <c r="AF889" t="s">
        <v>590</v>
      </c>
    </row>
    <row r="890" spans="1:32" x14ac:dyDescent="0.75">
      <c r="A890" s="22" t="s">
        <v>6051</v>
      </c>
      <c r="B890" t="s">
        <v>5080</v>
      </c>
      <c r="C890" t="s">
        <v>104</v>
      </c>
      <c r="D890" t="s">
        <v>578</v>
      </c>
      <c r="E890" t="s">
        <v>579</v>
      </c>
      <c r="F890" t="s">
        <v>5081</v>
      </c>
      <c r="G890" s="1" t="str">
        <f>HYPERLINK("https://homd.org/jbrowse/?data=homd_V11.02_phage_1.2%2FGCA_900096725.1&amp;loc=GCA_900096725.1%7CFMMN01000012.1%3A14900..21847&amp;tracks=prokka,prokka_ncrna,ncbi,ncbi_ncrna,panggolin,cenote,genomad&amp;highlight=","Open JBrowse")</f>
        <v>Open JBrowse</v>
      </c>
      <c r="H890">
        <v>17900</v>
      </c>
      <c r="I890">
        <v>18847</v>
      </c>
      <c r="J890" t="s">
        <v>5082</v>
      </c>
      <c r="K890" t="s">
        <v>59</v>
      </c>
      <c r="L890" t="s">
        <v>582</v>
      </c>
      <c r="M890" t="s">
        <v>583</v>
      </c>
      <c r="N890" t="s">
        <v>42</v>
      </c>
      <c r="O890">
        <v>3</v>
      </c>
      <c r="P890" t="s">
        <v>42</v>
      </c>
      <c r="Q890" t="s">
        <v>59</v>
      </c>
      <c r="R890" t="s">
        <v>5083</v>
      </c>
      <c r="S890" t="s">
        <v>582</v>
      </c>
      <c r="T890" t="s">
        <v>42</v>
      </c>
      <c r="U890">
        <v>71</v>
      </c>
      <c r="V890">
        <v>304</v>
      </c>
      <c r="W890">
        <v>234</v>
      </c>
      <c r="X890" t="s">
        <v>63</v>
      </c>
      <c r="Y890" t="s">
        <v>5084</v>
      </c>
      <c r="Z890" t="s">
        <v>1334</v>
      </c>
      <c r="AA890" t="s">
        <v>587</v>
      </c>
      <c r="AB890" t="s">
        <v>5085</v>
      </c>
      <c r="AC890" t="s">
        <v>589</v>
      </c>
      <c r="AD890" t="s">
        <v>101</v>
      </c>
      <c r="AE890">
        <v>813</v>
      </c>
      <c r="AF890" t="s">
        <v>590</v>
      </c>
    </row>
    <row r="891" spans="1:32" x14ac:dyDescent="0.75">
      <c r="A891" s="22" t="s">
        <v>6051</v>
      </c>
      <c r="B891" t="s">
        <v>5089</v>
      </c>
      <c r="C891" t="s">
        <v>104</v>
      </c>
      <c r="D891" t="s">
        <v>578</v>
      </c>
      <c r="E891" t="s">
        <v>579</v>
      </c>
      <c r="F891" t="s">
        <v>5090</v>
      </c>
      <c r="G891" s="1" t="str">
        <f>HYPERLINK("https://homd.org/jbrowse/?data=homd_V11.02_phage_1.2%2FGCA_900096735.1&amp;loc=GCA_900096735.1%7CFMMM01000014.1%3A34762..41709&amp;tracks=prokka,prokka_ncrna,ncbi,ncbi_ncrna,panggolin,cenote,genomad&amp;highlight=","Open JBrowse")</f>
        <v>Open JBrowse</v>
      </c>
      <c r="H891">
        <v>37762</v>
      </c>
      <c r="I891">
        <v>38709</v>
      </c>
      <c r="J891" t="s">
        <v>5091</v>
      </c>
      <c r="K891" t="s">
        <v>59</v>
      </c>
      <c r="L891" t="s">
        <v>582</v>
      </c>
      <c r="M891" t="s">
        <v>583</v>
      </c>
      <c r="N891" t="s">
        <v>42</v>
      </c>
      <c r="O891">
        <v>3</v>
      </c>
      <c r="P891" t="s">
        <v>42</v>
      </c>
      <c r="Q891" t="s">
        <v>59</v>
      </c>
      <c r="R891" t="s">
        <v>5092</v>
      </c>
      <c r="S891" t="s">
        <v>582</v>
      </c>
      <c r="T891" t="s">
        <v>42</v>
      </c>
      <c r="U891">
        <v>71</v>
      </c>
      <c r="V891">
        <v>304</v>
      </c>
      <c r="W891">
        <v>234</v>
      </c>
      <c r="X891" t="s">
        <v>63</v>
      </c>
      <c r="Y891" t="s">
        <v>5093</v>
      </c>
      <c r="Z891" t="s">
        <v>586</v>
      </c>
      <c r="AA891" t="s">
        <v>5094</v>
      </c>
      <c r="AB891" t="s">
        <v>5095</v>
      </c>
      <c r="AC891" t="s">
        <v>589</v>
      </c>
      <c r="AD891" t="s">
        <v>101</v>
      </c>
      <c r="AE891">
        <v>817</v>
      </c>
      <c r="AF891" t="s">
        <v>590</v>
      </c>
    </row>
    <row r="892" spans="1:32" x14ac:dyDescent="0.75">
      <c r="A892" s="22" t="s">
        <v>6051</v>
      </c>
      <c r="B892" t="s">
        <v>5536</v>
      </c>
      <c r="C892" t="s">
        <v>104</v>
      </c>
      <c r="D892" t="s">
        <v>578</v>
      </c>
      <c r="E892" t="s">
        <v>579</v>
      </c>
      <c r="F892" t="s">
        <v>5537</v>
      </c>
      <c r="G892" s="1" t="str">
        <f>HYPERLINK("https://homd.org/jbrowse/?data=homd_V11.02_phage_1.2%2FGCA_905373495.1&amp;loc=GCA_905373495.1%7CCAJPTF010000006.1%3A14625..21572&amp;tracks=prokka,prokka_ncrna,ncbi,ncbi_ncrna,panggolin,cenote,genomad&amp;highlight=","Open JBrowse")</f>
        <v>Open JBrowse</v>
      </c>
      <c r="H892">
        <v>17625</v>
      </c>
      <c r="I892">
        <v>18572</v>
      </c>
      <c r="J892" t="s">
        <v>5538</v>
      </c>
      <c r="K892" t="s">
        <v>59</v>
      </c>
      <c r="L892" t="s">
        <v>582</v>
      </c>
      <c r="M892" t="s">
        <v>583</v>
      </c>
      <c r="N892" t="s">
        <v>42</v>
      </c>
      <c r="O892">
        <v>3</v>
      </c>
      <c r="P892" t="s">
        <v>42</v>
      </c>
      <c r="Q892" t="s">
        <v>59</v>
      </c>
      <c r="R892" t="s">
        <v>5539</v>
      </c>
      <c r="S892" t="s">
        <v>582</v>
      </c>
      <c r="T892" t="s">
        <v>42</v>
      </c>
      <c r="U892">
        <v>71</v>
      </c>
      <c r="V892">
        <v>304</v>
      </c>
      <c r="W892">
        <v>234</v>
      </c>
      <c r="X892" t="s">
        <v>63</v>
      </c>
      <c r="Y892" t="s">
        <v>5540</v>
      </c>
      <c r="Z892" t="s">
        <v>302</v>
      </c>
      <c r="AA892" t="s">
        <v>587</v>
      </c>
      <c r="AB892" t="s">
        <v>5541</v>
      </c>
      <c r="AC892" t="s">
        <v>589</v>
      </c>
      <c r="AD892" t="s">
        <v>101</v>
      </c>
      <c r="AE892">
        <v>813</v>
      </c>
      <c r="AF892" t="s">
        <v>590</v>
      </c>
    </row>
    <row r="893" spans="1:32" x14ac:dyDescent="0.75">
      <c r="A893" s="22" t="s">
        <v>6051</v>
      </c>
      <c r="B893" t="s">
        <v>5876</v>
      </c>
      <c r="C893" t="s">
        <v>104</v>
      </c>
      <c r="D893" t="s">
        <v>578</v>
      </c>
      <c r="E893" t="s">
        <v>579</v>
      </c>
      <c r="F893" t="s">
        <v>5877</v>
      </c>
      <c r="G893" s="1" t="str">
        <f>HYPERLINK("https://homd.org/jbrowse/?data=homd_V11.02_phage_1.2%2FGCA_938034995.1&amp;loc=GCA_938034995.1%7CCALHNL010000032.1%3A59771..66718&amp;tracks=prokka,prokka_ncrna,ncbi,ncbi_ncrna,panggolin,cenote,genomad&amp;highlight=","Open JBrowse")</f>
        <v>Open JBrowse</v>
      </c>
      <c r="H893">
        <v>62771</v>
      </c>
      <c r="I893">
        <v>63718</v>
      </c>
      <c r="J893" t="s">
        <v>5878</v>
      </c>
      <c r="K893" t="s">
        <v>59</v>
      </c>
      <c r="L893" t="s">
        <v>582</v>
      </c>
      <c r="M893" t="s">
        <v>583</v>
      </c>
      <c r="N893" t="s">
        <v>42</v>
      </c>
      <c r="O893">
        <v>3</v>
      </c>
      <c r="P893" t="s">
        <v>42</v>
      </c>
      <c r="Q893" t="s">
        <v>59</v>
      </c>
      <c r="R893" t="s">
        <v>5879</v>
      </c>
      <c r="S893" t="s">
        <v>582</v>
      </c>
      <c r="T893" t="s">
        <v>42</v>
      </c>
      <c r="U893">
        <v>71</v>
      </c>
      <c r="V893">
        <v>304</v>
      </c>
      <c r="W893">
        <v>234</v>
      </c>
      <c r="X893" t="s">
        <v>63</v>
      </c>
      <c r="Y893" t="s">
        <v>5880</v>
      </c>
      <c r="Z893" t="s">
        <v>90</v>
      </c>
      <c r="AA893" t="s">
        <v>1367</v>
      </c>
      <c r="AB893" t="s">
        <v>5881</v>
      </c>
      <c r="AC893" t="s">
        <v>589</v>
      </c>
      <c r="AD893" t="s">
        <v>101</v>
      </c>
      <c r="AE893">
        <v>821</v>
      </c>
      <c r="AF893" t="s">
        <v>1369</v>
      </c>
    </row>
    <row r="894" spans="1:32" x14ac:dyDescent="0.75">
      <c r="A894" s="22" t="s">
        <v>6051</v>
      </c>
      <c r="B894" t="s">
        <v>5728</v>
      </c>
      <c r="C894" t="s">
        <v>104</v>
      </c>
      <c r="D894" t="s">
        <v>349</v>
      </c>
      <c r="E894" t="s">
        <v>350</v>
      </c>
      <c r="F894" t="s">
        <v>5736</v>
      </c>
      <c r="G894" s="1" t="str">
        <f>HYPERLINK("https://homd.org/jbrowse/?data=homd_V11.02_phage_1.2%2FGCA_937891745.1&amp;loc=GCA_937891745.1%7CCALAHR010000039.1%3A25840..32760&amp;tracks=prokka,prokka_ncrna,ncbi,ncbi_ncrna,panggolin,cenote,genomad&amp;highlight=","Open JBrowse")</f>
        <v>Open JBrowse</v>
      </c>
      <c r="H894">
        <v>28840</v>
      </c>
      <c r="I894">
        <v>29760</v>
      </c>
      <c r="J894" t="s">
        <v>5737</v>
      </c>
      <c r="K894" t="s">
        <v>39</v>
      </c>
      <c r="L894" t="s">
        <v>5738</v>
      </c>
      <c r="M894" t="s">
        <v>5739</v>
      </c>
      <c r="N894" t="s">
        <v>42</v>
      </c>
      <c r="O894">
        <v>3</v>
      </c>
      <c r="P894" t="s">
        <v>42</v>
      </c>
      <c r="Q894" t="s">
        <v>43</v>
      </c>
      <c r="R894" t="s">
        <v>5733</v>
      </c>
      <c r="S894" t="s">
        <v>5738</v>
      </c>
      <c r="T894" t="s">
        <v>42</v>
      </c>
      <c r="U894">
        <v>72</v>
      </c>
      <c r="V894">
        <v>304</v>
      </c>
      <c r="W894">
        <v>233</v>
      </c>
      <c r="X894" t="s">
        <v>45</v>
      </c>
    </row>
    <row r="895" spans="1:32" x14ac:dyDescent="0.75">
      <c r="A895" s="22" t="s">
        <v>6051</v>
      </c>
      <c r="B895" t="s">
        <v>264</v>
      </c>
      <c r="C895" t="s">
        <v>104</v>
      </c>
      <c r="D895" t="s">
        <v>265</v>
      </c>
      <c r="E895" t="s">
        <v>266</v>
      </c>
      <c r="F895" t="s">
        <v>267</v>
      </c>
      <c r="G895" s="1" t="str">
        <f>HYPERLINK("https://homd.org/jbrowse/?data=homd_V11.02_phage_1.2%2FGCA_000162895.1&amp;loc=GCA_000162895.1%7CGG703879.1%3A972771..979751&amp;tracks=prokka,prokka_ncrna,ncbi,ncbi_ncrna,panggolin,cenote,genomad&amp;highlight=","Open JBrowse")</f>
        <v>Open JBrowse</v>
      </c>
      <c r="H895">
        <v>975771</v>
      </c>
      <c r="I895">
        <v>976751</v>
      </c>
      <c r="J895" t="s">
        <v>268</v>
      </c>
      <c r="K895" t="s">
        <v>269</v>
      </c>
      <c r="L895" t="s">
        <v>270</v>
      </c>
      <c r="M895" t="s">
        <v>271</v>
      </c>
      <c r="N895" t="s">
        <v>59</v>
      </c>
      <c r="O895">
        <v>2</v>
      </c>
      <c r="P895" t="s">
        <v>42</v>
      </c>
      <c r="Q895" t="s">
        <v>43</v>
      </c>
      <c r="R895" t="s">
        <v>272</v>
      </c>
      <c r="S895" t="s">
        <v>270</v>
      </c>
      <c r="T895" t="s">
        <v>42</v>
      </c>
      <c r="U895">
        <v>74</v>
      </c>
      <c r="V895">
        <v>322</v>
      </c>
      <c r="W895">
        <v>249</v>
      </c>
      <c r="X895" t="s">
        <v>273</v>
      </c>
    </row>
    <row r="896" spans="1:32" x14ac:dyDescent="0.75">
      <c r="A896" s="22" t="s">
        <v>6051</v>
      </c>
      <c r="B896" t="s">
        <v>1630</v>
      </c>
      <c r="C896" t="s">
        <v>104</v>
      </c>
      <c r="D896" t="s">
        <v>265</v>
      </c>
      <c r="E896" t="s">
        <v>266</v>
      </c>
      <c r="F896" t="s">
        <v>1631</v>
      </c>
      <c r="G896" s="1" t="str">
        <f>HYPERLINK("https://homd.org/jbrowse/?data=homd_V11.02_phage_1.2%2FGCA_001652275.1&amp;loc=GCA_001652275.1%7CLVZK01000001.1%3A1845197..1852177&amp;tracks=prokka,prokka_ncrna,ncbi,ncbi_ncrna,panggolin,cenote,genomad&amp;highlight=","Open JBrowse")</f>
        <v>Open JBrowse</v>
      </c>
      <c r="H896">
        <v>1848197</v>
      </c>
      <c r="I896">
        <v>1849177</v>
      </c>
      <c r="J896" t="s">
        <v>1632</v>
      </c>
      <c r="K896" t="s">
        <v>269</v>
      </c>
      <c r="L896" t="s">
        <v>270</v>
      </c>
      <c r="M896" t="s">
        <v>271</v>
      </c>
      <c r="N896" t="s">
        <v>59</v>
      </c>
      <c r="O896">
        <v>2</v>
      </c>
      <c r="P896" t="s">
        <v>42</v>
      </c>
      <c r="Q896" t="s">
        <v>43</v>
      </c>
      <c r="R896" t="s">
        <v>1633</v>
      </c>
      <c r="S896" t="s">
        <v>270</v>
      </c>
      <c r="T896" t="s">
        <v>42</v>
      </c>
      <c r="U896">
        <v>74</v>
      </c>
      <c r="V896">
        <v>322</v>
      </c>
      <c r="W896">
        <v>249</v>
      </c>
      <c r="X896" t="s">
        <v>273</v>
      </c>
    </row>
    <row r="897" spans="1:27" x14ac:dyDescent="0.75">
      <c r="A897" s="22" t="s">
        <v>6051</v>
      </c>
      <c r="B897" t="s">
        <v>2322</v>
      </c>
      <c r="C897" t="s">
        <v>104</v>
      </c>
      <c r="D897" t="s">
        <v>265</v>
      </c>
      <c r="E897" t="s">
        <v>266</v>
      </c>
      <c r="F897" t="s">
        <v>2323</v>
      </c>
      <c r="G897" s="1" t="str">
        <f>HYPERLINK("https://homd.org/jbrowse/?data=homd_V11.02_phage_1.2%2FGCA_005886335.1&amp;loc=GCA_005886335.1%7CCP040503.1%3A171041..178021&amp;tracks=prokka,prokka_ncrna,ncbi,ncbi_ncrna,panggolin,cenote,genomad&amp;highlight=","Open JBrowse")</f>
        <v>Open JBrowse</v>
      </c>
      <c r="H897">
        <v>174041</v>
      </c>
      <c r="I897">
        <v>175021</v>
      </c>
      <c r="J897" t="s">
        <v>2324</v>
      </c>
      <c r="K897" t="s">
        <v>269</v>
      </c>
      <c r="L897" t="s">
        <v>270</v>
      </c>
      <c r="M897" t="s">
        <v>271</v>
      </c>
      <c r="N897" t="s">
        <v>59</v>
      </c>
      <c r="O897">
        <v>2</v>
      </c>
      <c r="P897" t="s">
        <v>42</v>
      </c>
      <c r="Q897" t="s">
        <v>43</v>
      </c>
      <c r="R897" t="s">
        <v>2325</v>
      </c>
      <c r="S897" t="s">
        <v>270</v>
      </c>
      <c r="T897" t="s">
        <v>42</v>
      </c>
      <c r="U897">
        <v>74</v>
      </c>
      <c r="V897">
        <v>322</v>
      </c>
      <c r="W897">
        <v>249</v>
      </c>
      <c r="X897" t="s">
        <v>273</v>
      </c>
    </row>
    <row r="898" spans="1:27" x14ac:dyDescent="0.75">
      <c r="A898" s="22" t="s">
        <v>6051</v>
      </c>
      <c r="B898" t="s">
        <v>5701</v>
      </c>
      <c r="C898" t="s">
        <v>104</v>
      </c>
      <c r="D898" t="s">
        <v>1035</v>
      </c>
      <c r="E898" t="s">
        <v>1036</v>
      </c>
      <c r="F898" t="s">
        <v>5702</v>
      </c>
      <c r="G898" s="1" t="str">
        <f>HYPERLINK("https://homd.org/jbrowse/?data=homd_V11.02_phage_1.2%2FGCA_927911685.1&amp;loc=GCA_927911685.1%7CCAKMQE010000042.1%3A601..7554&amp;tracks=prokka,prokka_ncrna,ncbi,ncbi_ncrna,panggolin,cenote,genomad&amp;highlight=","Open JBrowse")</f>
        <v>Open JBrowse</v>
      </c>
      <c r="H898">
        <v>3601</v>
      </c>
      <c r="I898">
        <v>4554</v>
      </c>
      <c r="J898" t="s">
        <v>5703</v>
      </c>
      <c r="K898" t="s">
        <v>269</v>
      </c>
      <c r="L898" t="s">
        <v>5704</v>
      </c>
      <c r="M898" t="s">
        <v>5705</v>
      </c>
      <c r="N898" t="s">
        <v>42</v>
      </c>
      <c r="O898">
        <v>3</v>
      </c>
      <c r="P898" t="s">
        <v>42</v>
      </c>
      <c r="Q898" t="s">
        <v>43</v>
      </c>
      <c r="R898" t="s">
        <v>5706</v>
      </c>
      <c r="S898" t="s">
        <v>5704</v>
      </c>
      <c r="T898" t="s">
        <v>42</v>
      </c>
      <c r="U898">
        <v>74</v>
      </c>
      <c r="V898">
        <v>313</v>
      </c>
      <c r="W898">
        <v>240</v>
      </c>
      <c r="X898" t="s">
        <v>273</v>
      </c>
      <c r="Y898" t="s">
        <v>5707</v>
      </c>
      <c r="Z898" t="s">
        <v>47</v>
      </c>
      <c r="AA898" t="s">
        <v>5708</v>
      </c>
    </row>
    <row r="899" spans="1:27" x14ac:dyDescent="0.75">
      <c r="A899" s="22" t="s">
        <v>6051</v>
      </c>
      <c r="B899" t="s">
        <v>5783</v>
      </c>
      <c r="C899" t="s">
        <v>104</v>
      </c>
      <c r="D899" t="s">
        <v>1035</v>
      </c>
      <c r="E899" t="s">
        <v>1036</v>
      </c>
      <c r="F899" t="s">
        <v>5784</v>
      </c>
      <c r="G899" s="1" t="str">
        <f>HYPERLINK("https://homd.org/jbrowse/?data=homd_V11.02_phage_1.2%2FGCA_937927035.1&amp;loc=GCA_937927035.1%7CCALBCH010000023.1%3A290136..297089&amp;tracks=prokka,prokka_ncrna,ncbi,ncbi_ncrna,panggolin,cenote,genomad&amp;highlight=","Open JBrowse")</f>
        <v>Open JBrowse</v>
      </c>
      <c r="H899">
        <v>293136</v>
      </c>
      <c r="I899">
        <v>294089</v>
      </c>
      <c r="J899" t="s">
        <v>5785</v>
      </c>
      <c r="K899" t="s">
        <v>269</v>
      </c>
      <c r="L899" t="s">
        <v>5704</v>
      </c>
      <c r="M899" t="s">
        <v>5705</v>
      </c>
      <c r="N899" t="s">
        <v>42</v>
      </c>
      <c r="O899">
        <v>3</v>
      </c>
      <c r="P899" t="s">
        <v>42</v>
      </c>
      <c r="Q899" t="s">
        <v>43</v>
      </c>
      <c r="R899" t="s">
        <v>5786</v>
      </c>
      <c r="S899" t="s">
        <v>5704</v>
      </c>
      <c r="T899" t="s">
        <v>42</v>
      </c>
      <c r="U899">
        <v>74</v>
      </c>
      <c r="V899">
        <v>313</v>
      </c>
      <c r="W899">
        <v>240</v>
      </c>
      <c r="X899" t="s">
        <v>273</v>
      </c>
      <c r="Y899" t="s">
        <v>5787</v>
      </c>
      <c r="Z899" t="s">
        <v>281</v>
      </c>
      <c r="AA899" t="s">
        <v>5788</v>
      </c>
    </row>
    <row r="900" spans="1:27" x14ac:dyDescent="0.75">
      <c r="A900" s="22" t="s">
        <v>6051</v>
      </c>
      <c r="B900" t="s">
        <v>5606</v>
      </c>
      <c r="C900" t="s">
        <v>104</v>
      </c>
      <c r="D900" t="s">
        <v>1085</v>
      </c>
      <c r="E900" t="s">
        <v>1086</v>
      </c>
      <c r="F900" t="s">
        <v>5607</v>
      </c>
      <c r="G900" s="1" t="str">
        <f>HYPERLINK("https://homd.org/jbrowse/?data=homd_V11.02_phage_1.2%2FGCA_916439075.1&amp;loc=GCA_916439075.1%7CCAKAIB010000002.1%3A1780908..1787927&amp;tracks=prokka,prokka_ncrna,ncbi,ncbi_ncrna,panggolin,cenote,genomad&amp;highlight=","Open JBrowse")</f>
        <v>Open JBrowse</v>
      </c>
      <c r="H900">
        <v>1783908</v>
      </c>
      <c r="I900">
        <v>1784927</v>
      </c>
      <c r="J900" t="s">
        <v>5608</v>
      </c>
      <c r="K900" t="s">
        <v>59</v>
      </c>
      <c r="L900" t="s">
        <v>5609</v>
      </c>
      <c r="M900" t="s">
        <v>5610</v>
      </c>
      <c r="N900" t="s">
        <v>42</v>
      </c>
      <c r="O900">
        <v>3</v>
      </c>
      <c r="P900" t="s">
        <v>42</v>
      </c>
      <c r="Q900" t="s">
        <v>59</v>
      </c>
      <c r="R900" t="s">
        <v>5611</v>
      </c>
      <c r="S900" t="s">
        <v>5609</v>
      </c>
      <c r="T900" t="s">
        <v>42</v>
      </c>
      <c r="U900">
        <v>77</v>
      </c>
      <c r="V900">
        <v>331</v>
      </c>
      <c r="W900">
        <v>255</v>
      </c>
      <c r="X900" t="s">
        <v>142</v>
      </c>
      <c r="Y900" t="s">
        <v>5612</v>
      </c>
      <c r="Z900" t="s">
        <v>132</v>
      </c>
      <c r="AA900" t="s">
        <v>5613</v>
      </c>
    </row>
    <row r="901" spans="1:27" x14ac:dyDescent="0.75">
      <c r="A901" s="22" t="s">
        <v>6051</v>
      </c>
      <c r="B901" t="s">
        <v>1084</v>
      </c>
      <c r="C901" t="s">
        <v>104</v>
      </c>
      <c r="D901" t="s">
        <v>1085</v>
      </c>
      <c r="E901" t="s">
        <v>1086</v>
      </c>
      <c r="F901" t="s">
        <v>1087</v>
      </c>
      <c r="G901" s="1" t="str">
        <f>HYPERLINK("https://homd.org/jbrowse/?data=homd_V11.02_phage_1.2%2FGCA_000469505.1&amp;loc=GCA_000469505.1%7CKI272827.1%3A101034..108041&amp;tracks=prokka,prokka_ncrna,ncbi,ncbi_ncrna,panggolin,cenote,genomad&amp;highlight=","Open JBrowse")</f>
        <v>Open JBrowse</v>
      </c>
      <c r="H901">
        <v>104034</v>
      </c>
      <c r="I901">
        <v>105041</v>
      </c>
      <c r="J901" t="s">
        <v>1088</v>
      </c>
      <c r="K901" t="s">
        <v>59</v>
      </c>
      <c r="L901" t="s">
        <v>1089</v>
      </c>
      <c r="M901" t="s">
        <v>1090</v>
      </c>
      <c r="N901" t="s">
        <v>42</v>
      </c>
      <c r="O901">
        <v>3</v>
      </c>
      <c r="P901" t="s">
        <v>42</v>
      </c>
      <c r="Q901" t="s">
        <v>59</v>
      </c>
      <c r="R901" t="s">
        <v>1091</v>
      </c>
      <c r="S901" t="s">
        <v>1089</v>
      </c>
      <c r="T901" t="s">
        <v>42</v>
      </c>
      <c r="U901">
        <v>78</v>
      </c>
      <c r="V901">
        <v>332</v>
      </c>
      <c r="W901">
        <v>255</v>
      </c>
      <c r="X901" t="s">
        <v>142</v>
      </c>
      <c r="Y901" t="s">
        <v>1092</v>
      </c>
      <c r="Z901" t="s">
        <v>357</v>
      </c>
      <c r="AA901" t="s">
        <v>1093</v>
      </c>
    </row>
    <row r="902" spans="1:27" x14ac:dyDescent="0.75">
      <c r="A902" s="22" t="s">
        <v>6051</v>
      </c>
      <c r="B902" t="s">
        <v>1427</v>
      </c>
      <c r="C902" t="s">
        <v>104</v>
      </c>
      <c r="D902" t="s">
        <v>1428</v>
      </c>
      <c r="E902" t="s">
        <v>1086</v>
      </c>
      <c r="F902" t="s">
        <v>1429</v>
      </c>
      <c r="G902" s="1" t="str">
        <f>HYPERLINK("https://homd.org/jbrowse/?data=homd_V11.02_phage_1.2%2FGCA_001274535.1&amp;loc=GCA_001274535.1%7CCP012410.1%3A2301368..2308372&amp;tracks=prokka,prokka_ncrna,ncbi,ncbi_ncrna,panggolin,cenote,genomad&amp;highlight=","Open JBrowse")</f>
        <v>Open JBrowse</v>
      </c>
      <c r="H902">
        <v>2304368</v>
      </c>
      <c r="I902">
        <v>2305372</v>
      </c>
      <c r="J902" t="s">
        <v>1430</v>
      </c>
      <c r="K902" t="s">
        <v>59</v>
      </c>
      <c r="L902" t="s">
        <v>1431</v>
      </c>
      <c r="M902" t="s">
        <v>1432</v>
      </c>
      <c r="N902" t="s">
        <v>42</v>
      </c>
      <c r="O902">
        <v>3</v>
      </c>
      <c r="P902" t="s">
        <v>42</v>
      </c>
      <c r="Q902" t="s">
        <v>59</v>
      </c>
      <c r="R902" t="s">
        <v>1433</v>
      </c>
      <c r="S902" t="s">
        <v>1431</v>
      </c>
      <c r="T902" t="s">
        <v>42</v>
      </c>
      <c r="U902">
        <v>78</v>
      </c>
      <c r="V902">
        <v>331</v>
      </c>
      <c r="W902">
        <v>254</v>
      </c>
      <c r="X902" t="s">
        <v>142</v>
      </c>
      <c r="Y902" t="s">
        <v>1434</v>
      </c>
      <c r="Z902" t="s">
        <v>743</v>
      </c>
      <c r="AA902" t="s">
        <v>1435</v>
      </c>
    </row>
    <row r="903" spans="1:27" x14ac:dyDescent="0.75">
      <c r="A903" s="22" t="s">
        <v>6051</v>
      </c>
      <c r="B903" t="s">
        <v>2730</v>
      </c>
      <c r="C903" t="s">
        <v>104</v>
      </c>
      <c r="D903" t="s">
        <v>2731</v>
      </c>
      <c r="E903" t="s">
        <v>2732</v>
      </c>
      <c r="F903" t="s">
        <v>2733</v>
      </c>
      <c r="G903" s="1" t="str">
        <f>HYPERLINK("https://homd.org/jbrowse/?data=homd_V11.02_phage_1.2%2FGCA_013333605.2&amp;loc=GCA_013333605.2%7CJABCOM020000035.1%3A6524..13456&amp;tracks=prokka,prokka_ncrna,ncbi,ncbi_ncrna,panggolin,cenote,genomad&amp;highlight=","Open JBrowse")</f>
        <v>Open JBrowse</v>
      </c>
      <c r="H903">
        <v>9524</v>
      </c>
      <c r="I903">
        <v>10456</v>
      </c>
      <c r="J903" t="s">
        <v>2734</v>
      </c>
      <c r="K903" t="s">
        <v>39</v>
      </c>
      <c r="L903" t="s">
        <v>2735</v>
      </c>
      <c r="M903" t="s">
        <v>2736</v>
      </c>
      <c r="N903" t="s">
        <v>59</v>
      </c>
      <c r="O903">
        <v>2</v>
      </c>
      <c r="P903" t="s">
        <v>42</v>
      </c>
      <c r="Q903" t="s">
        <v>43</v>
      </c>
      <c r="R903" t="s">
        <v>2737</v>
      </c>
      <c r="S903" t="s">
        <v>2735</v>
      </c>
      <c r="T903" t="s">
        <v>42</v>
      </c>
      <c r="U903">
        <v>78</v>
      </c>
      <c r="V903">
        <v>307</v>
      </c>
      <c r="W903">
        <v>230</v>
      </c>
      <c r="X903" t="s">
        <v>45</v>
      </c>
      <c r="Y903" t="s">
        <v>2738</v>
      </c>
      <c r="Z903" t="s">
        <v>645</v>
      </c>
      <c r="AA903" t="s">
        <v>2739</v>
      </c>
    </row>
    <row r="904" spans="1:27" x14ac:dyDescent="0.75">
      <c r="A904" s="22" t="s">
        <v>6051</v>
      </c>
      <c r="B904" t="s">
        <v>2784</v>
      </c>
      <c r="C904" t="s">
        <v>104</v>
      </c>
      <c r="D904" t="s">
        <v>2731</v>
      </c>
      <c r="E904" t="s">
        <v>2732</v>
      </c>
      <c r="F904" t="s">
        <v>2785</v>
      </c>
      <c r="G904" s="1" t="str">
        <f>HYPERLINK("https://homd.org/jbrowse/?data=homd_V11.02_phage_1.2%2FGCA_013333915.2&amp;loc=GCA_013333915.2%7CJABCNX020000014.1%3A9264..16196&amp;tracks=prokka,prokka_ncrna,ncbi,ncbi_ncrna,panggolin,cenote,genomad&amp;highlight=","Open JBrowse")</f>
        <v>Open JBrowse</v>
      </c>
      <c r="H904">
        <v>12264</v>
      </c>
      <c r="I904">
        <v>13196</v>
      </c>
      <c r="J904" t="s">
        <v>2786</v>
      </c>
      <c r="K904" t="s">
        <v>39</v>
      </c>
      <c r="L904" t="s">
        <v>2735</v>
      </c>
      <c r="M904" t="s">
        <v>2736</v>
      </c>
      <c r="N904" t="s">
        <v>59</v>
      </c>
      <c r="O904">
        <v>2</v>
      </c>
      <c r="P904" t="s">
        <v>42</v>
      </c>
      <c r="Q904" t="s">
        <v>43</v>
      </c>
      <c r="R904" t="s">
        <v>2787</v>
      </c>
      <c r="S904" t="s">
        <v>2735</v>
      </c>
      <c r="T904" t="s">
        <v>42</v>
      </c>
      <c r="U904">
        <v>78</v>
      </c>
      <c r="V904">
        <v>307</v>
      </c>
      <c r="W904">
        <v>230</v>
      </c>
      <c r="X904" t="s">
        <v>45</v>
      </c>
      <c r="Y904" t="s">
        <v>2788</v>
      </c>
      <c r="Z904" t="s">
        <v>368</v>
      </c>
      <c r="AA904" t="s">
        <v>2789</v>
      </c>
    </row>
    <row r="905" spans="1:27" x14ac:dyDescent="0.75">
      <c r="A905" s="22" t="s">
        <v>6051</v>
      </c>
      <c r="B905" t="s">
        <v>5527</v>
      </c>
      <c r="C905" t="s">
        <v>104</v>
      </c>
      <c r="D905" t="s">
        <v>1428</v>
      </c>
      <c r="E905" t="s">
        <v>1086</v>
      </c>
      <c r="F905" t="s">
        <v>5528</v>
      </c>
      <c r="G905" s="1" t="str">
        <f>HYPERLINK("https://homd.org/jbrowse/?data=homd_V11.02_phage_1.2%2FGCA_905373465.1&amp;loc=GCA_905373465.1%7CCAJPTA010000007.1%3A1514..8518&amp;tracks=prokka,prokka_ncrna,ncbi,ncbi_ncrna,panggolin,cenote,genomad&amp;highlight=","Open JBrowse")</f>
        <v>Open JBrowse</v>
      </c>
      <c r="H905">
        <v>4514</v>
      </c>
      <c r="I905">
        <v>5518</v>
      </c>
      <c r="J905" t="s">
        <v>5529</v>
      </c>
      <c r="K905" t="s">
        <v>59</v>
      </c>
      <c r="L905" t="s">
        <v>1431</v>
      </c>
      <c r="M905" t="s">
        <v>1432</v>
      </c>
      <c r="N905" t="s">
        <v>42</v>
      </c>
      <c r="O905">
        <v>3</v>
      </c>
      <c r="P905" t="s">
        <v>42</v>
      </c>
      <c r="Q905" t="s">
        <v>59</v>
      </c>
      <c r="R905" t="s">
        <v>5530</v>
      </c>
      <c r="S905" t="s">
        <v>1431</v>
      </c>
      <c r="T905" t="s">
        <v>42</v>
      </c>
      <c r="U905">
        <v>78</v>
      </c>
      <c r="V905">
        <v>331</v>
      </c>
      <c r="W905">
        <v>254</v>
      </c>
      <c r="X905" t="s">
        <v>142</v>
      </c>
      <c r="Y905" t="s">
        <v>5531</v>
      </c>
      <c r="Z905" t="s">
        <v>47</v>
      </c>
      <c r="AA905" t="s">
        <v>1093</v>
      </c>
    </row>
    <row r="906" spans="1:27" x14ac:dyDescent="0.75">
      <c r="A906" s="22" t="s">
        <v>6051</v>
      </c>
      <c r="B906" t="s">
        <v>5810</v>
      </c>
      <c r="C906" t="s">
        <v>104</v>
      </c>
      <c r="D906" t="s">
        <v>1428</v>
      </c>
      <c r="E906" t="s">
        <v>1086</v>
      </c>
      <c r="F906" t="s">
        <v>5811</v>
      </c>
      <c r="G906" s="1" t="str">
        <f>HYPERLINK("https://homd.org/jbrowse/?data=homd_V11.02_phage_1.2%2FGCA_938011375.1&amp;loc=GCA_938011375.1%7CCALLUC010000045.1%3A40777..47781&amp;tracks=prokka,prokka_ncrna,ncbi,ncbi_ncrna,panggolin,cenote,genomad&amp;highlight=","Open JBrowse")</f>
        <v>Open JBrowse</v>
      </c>
      <c r="H906">
        <v>43777</v>
      </c>
      <c r="I906">
        <v>44781</v>
      </c>
      <c r="J906" t="s">
        <v>5812</v>
      </c>
      <c r="K906" t="s">
        <v>59</v>
      </c>
      <c r="L906" t="s">
        <v>1431</v>
      </c>
      <c r="M906" t="s">
        <v>1432</v>
      </c>
      <c r="N906" t="s">
        <v>42</v>
      </c>
      <c r="O906">
        <v>3</v>
      </c>
      <c r="P906" t="s">
        <v>42</v>
      </c>
      <c r="Q906" t="s">
        <v>59</v>
      </c>
      <c r="R906" t="s">
        <v>5813</v>
      </c>
      <c r="S906" t="s">
        <v>1431</v>
      </c>
      <c r="T906" t="s">
        <v>42</v>
      </c>
      <c r="U906">
        <v>78</v>
      </c>
      <c r="V906">
        <v>331</v>
      </c>
      <c r="W906">
        <v>254</v>
      </c>
      <c r="X906" t="s">
        <v>142</v>
      </c>
      <c r="Y906" t="s">
        <v>5814</v>
      </c>
      <c r="Z906" t="s">
        <v>292</v>
      </c>
      <c r="AA906" t="s">
        <v>5815</v>
      </c>
    </row>
    <row r="907" spans="1:27" x14ac:dyDescent="0.75">
      <c r="A907" s="22" t="s">
        <v>6051</v>
      </c>
      <c r="B907" t="s">
        <v>872</v>
      </c>
      <c r="C907" t="s">
        <v>104</v>
      </c>
      <c r="D907" t="s">
        <v>873</v>
      </c>
      <c r="E907" t="s">
        <v>874</v>
      </c>
      <c r="F907" t="s">
        <v>875</v>
      </c>
      <c r="G907" s="1" t="str">
        <f>HYPERLINK("https://homd.org/jbrowse/?data=homd_V11.02_phage_1.2%2FGCA_000373345.1&amp;loc=GCA_000373345.1%7CKB891079.1%3A357..7373&amp;tracks=prokka,prokka_ncrna,ncbi,ncbi_ncrna,panggolin,cenote,genomad&amp;highlight=","Open JBrowse")</f>
        <v>Open JBrowse</v>
      </c>
      <c r="H907">
        <v>3357</v>
      </c>
      <c r="I907">
        <v>4373</v>
      </c>
      <c r="J907" t="s">
        <v>876</v>
      </c>
      <c r="K907" t="s">
        <v>59</v>
      </c>
      <c r="L907" t="s">
        <v>877</v>
      </c>
      <c r="M907" t="s">
        <v>878</v>
      </c>
      <c r="N907" t="s">
        <v>42</v>
      </c>
      <c r="O907">
        <v>3</v>
      </c>
      <c r="P907" t="s">
        <v>42</v>
      </c>
      <c r="Q907" t="s">
        <v>59</v>
      </c>
      <c r="R907" t="s">
        <v>879</v>
      </c>
      <c r="S907" t="s">
        <v>877</v>
      </c>
      <c r="T907" t="s">
        <v>42</v>
      </c>
      <c r="U907">
        <v>79</v>
      </c>
      <c r="V907">
        <v>335</v>
      </c>
      <c r="W907">
        <v>257</v>
      </c>
      <c r="X907" t="s">
        <v>142</v>
      </c>
      <c r="Y907" t="s">
        <v>880</v>
      </c>
      <c r="Z907" t="s">
        <v>346</v>
      </c>
      <c r="AA907" t="s">
        <v>861</v>
      </c>
    </row>
    <row r="908" spans="1:27" x14ac:dyDescent="0.75">
      <c r="A908" s="22" t="s">
        <v>6051</v>
      </c>
      <c r="B908" t="s">
        <v>1078</v>
      </c>
      <c r="C908" t="s">
        <v>104</v>
      </c>
      <c r="D908" t="s">
        <v>873</v>
      </c>
      <c r="E908" t="s">
        <v>874</v>
      </c>
      <c r="F908" t="s">
        <v>1079</v>
      </c>
      <c r="G908" s="1" t="str">
        <f>HYPERLINK("https://homd.org/jbrowse/?data=homd_V11.02_phage_1.2%2FGCA_000469405.1&amp;loc=GCA_000469405.1%7CKI271431.1%3A1..5264&amp;tracks=prokka,prokka_ncrna,ncbi,ncbi_ncrna,panggolin,cenote,genomad&amp;highlight=","Open JBrowse")</f>
        <v>Open JBrowse</v>
      </c>
      <c r="H908">
        <v>1248</v>
      </c>
      <c r="I908">
        <v>2264</v>
      </c>
      <c r="J908" t="s">
        <v>1080</v>
      </c>
      <c r="K908" t="s">
        <v>59</v>
      </c>
      <c r="L908" t="s">
        <v>877</v>
      </c>
      <c r="M908" t="s">
        <v>878</v>
      </c>
      <c r="N908" t="s">
        <v>42</v>
      </c>
      <c r="O908">
        <v>3</v>
      </c>
      <c r="P908" t="s">
        <v>42</v>
      </c>
      <c r="Q908" t="s">
        <v>59</v>
      </c>
      <c r="R908" t="s">
        <v>1081</v>
      </c>
      <c r="S908" t="s">
        <v>877</v>
      </c>
      <c r="T908" t="s">
        <v>42</v>
      </c>
      <c r="U908">
        <v>79</v>
      </c>
      <c r="V908">
        <v>335</v>
      </c>
      <c r="W908">
        <v>257</v>
      </c>
      <c r="X908" t="s">
        <v>142</v>
      </c>
      <c r="Y908" t="s">
        <v>1082</v>
      </c>
      <c r="Z908" t="s">
        <v>530</v>
      </c>
      <c r="AA908" t="s">
        <v>1083</v>
      </c>
    </row>
    <row r="909" spans="1:27" x14ac:dyDescent="0.75">
      <c r="A909" s="22" t="s">
        <v>6051</v>
      </c>
      <c r="B909" t="s">
        <v>1187</v>
      </c>
      <c r="C909" t="s">
        <v>104</v>
      </c>
      <c r="D909" t="s">
        <v>360</v>
      </c>
      <c r="E909" t="s">
        <v>361</v>
      </c>
      <c r="F909" t="s">
        <v>1188</v>
      </c>
      <c r="G909" s="1" t="str">
        <f>HYPERLINK("https://homd.org/jbrowse/?data=homd_V11.02_phage_1.2%2FGCA_000516535.1&amp;loc=GCA_000516535.1%7CKI911785.1%3A2246715..2253722&amp;tracks=prokka,prokka_ncrna,ncbi,ncbi_ncrna,panggolin,cenote,genomad&amp;highlight=","Open JBrowse")</f>
        <v>Open JBrowse</v>
      </c>
      <c r="H909">
        <v>2249715</v>
      </c>
      <c r="I909">
        <v>2250722</v>
      </c>
      <c r="J909" t="s">
        <v>1189</v>
      </c>
      <c r="K909" t="s">
        <v>59</v>
      </c>
      <c r="L909" t="s">
        <v>1190</v>
      </c>
      <c r="M909" t="s">
        <v>1191</v>
      </c>
      <c r="N909" t="s">
        <v>42</v>
      </c>
      <c r="O909">
        <v>3</v>
      </c>
      <c r="P909" t="s">
        <v>42</v>
      </c>
      <c r="Q909" t="s">
        <v>59</v>
      </c>
      <c r="R909" t="s">
        <v>1192</v>
      </c>
      <c r="S909" t="s">
        <v>1190</v>
      </c>
      <c r="T909" t="s">
        <v>42</v>
      </c>
      <c r="U909">
        <v>79</v>
      </c>
      <c r="V909">
        <v>332</v>
      </c>
      <c r="W909">
        <v>254</v>
      </c>
      <c r="X909" t="s">
        <v>142</v>
      </c>
      <c r="Y909" t="s">
        <v>1193</v>
      </c>
      <c r="Z909" t="s">
        <v>824</v>
      </c>
      <c r="AA909" t="s">
        <v>1194</v>
      </c>
    </row>
    <row r="910" spans="1:27" x14ac:dyDescent="0.75">
      <c r="A910" s="22" t="s">
        <v>6051</v>
      </c>
      <c r="B910" t="s">
        <v>1525</v>
      </c>
      <c r="C910" t="s">
        <v>104</v>
      </c>
      <c r="D910" t="s">
        <v>873</v>
      </c>
      <c r="E910" t="s">
        <v>874</v>
      </c>
      <c r="F910" t="s">
        <v>1531</v>
      </c>
      <c r="G910" s="1" t="str">
        <f>HYPERLINK("https://homd.org/jbrowse/?data=homd_V11.02_phage_1.2%2FGCA_001553045.1&amp;loc=GCA_001553045.1%7CKQ960105.1%3A1..4437&amp;tracks=prokka,prokka_ncrna,ncbi,ncbi_ncrna,panggolin,cenote,genomad&amp;highlight=","Open JBrowse")</f>
        <v>Open JBrowse</v>
      </c>
      <c r="H910">
        <v>421</v>
      </c>
      <c r="I910">
        <v>1437</v>
      </c>
      <c r="J910" t="s">
        <v>1532</v>
      </c>
      <c r="K910" t="s">
        <v>59</v>
      </c>
      <c r="L910" t="s">
        <v>877</v>
      </c>
      <c r="M910" t="s">
        <v>878</v>
      </c>
      <c r="N910" t="s">
        <v>42</v>
      </c>
      <c r="O910">
        <v>3</v>
      </c>
      <c r="P910" t="s">
        <v>42</v>
      </c>
      <c r="Q910" t="s">
        <v>59</v>
      </c>
      <c r="R910" t="s">
        <v>1530</v>
      </c>
      <c r="S910" t="s">
        <v>877</v>
      </c>
      <c r="T910" t="s">
        <v>42</v>
      </c>
      <c r="U910">
        <v>79</v>
      </c>
      <c r="V910">
        <v>335</v>
      </c>
      <c r="W910">
        <v>257</v>
      </c>
      <c r="X910" t="s">
        <v>142</v>
      </c>
    </row>
    <row r="911" spans="1:27" x14ac:dyDescent="0.75">
      <c r="A911" s="22" t="s">
        <v>6051</v>
      </c>
      <c r="B911" t="s">
        <v>2389</v>
      </c>
      <c r="C911" t="s">
        <v>104</v>
      </c>
      <c r="D911" t="s">
        <v>873</v>
      </c>
      <c r="E911" t="s">
        <v>874</v>
      </c>
      <c r="F911" t="s">
        <v>2390</v>
      </c>
      <c r="G911" s="1" t="str">
        <f>HYPERLINK("https://homd.org/jbrowse/?data=homd_V11.02_phage_1.2%2FGCA_007990385.1&amp;loc=GCA_007990385.1%7CAP019834.1%3A2237174..2244190&amp;tracks=prokka,prokka_ncrna,ncbi,ncbi_ncrna,panggolin,cenote,genomad&amp;highlight=","Open JBrowse")</f>
        <v>Open JBrowse</v>
      </c>
      <c r="H911">
        <v>2240174</v>
      </c>
      <c r="I911">
        <v>2241190</v>
      </c>
      <c r="J911" t="s">
        <v>2395</v>
      </c>
      <c r="K911" t="s">
        <v>59</v>
      </c>
      <c r="L911" t="s">
        <v>877</v>
      </c>
      <c r="M911" t="s">
        <v>878</v>
      </c>
      <c r="N911" t="s">
        <v>42</v>
      </c>
      <c r="O911">
        <v>3</v>
      </c>
      <c r="P911" t="s">
        <v>42</v>
      </c>
      <c r="Q911" t="s">
        <v>59</v>
      </c>
      <c r="R911" t="s">
        <v>2392</v>
      </c>
      <c r="S911" t="s">
        <v>877</v>
      </c>
      <c r="T911" t="s">
        <v>42</v>
      </c>
      <c r="U911">
        <v>79</v>
      </c>
      <c r="V911">
        <v>335</v>
      </c>
      <c r="W911">
        <v>257</v>
      </c>
      <c r="X911" t="s">
        <v>142</v>
      </c>
      <c r="Y911" t="s">
        <v>2396</v>
      </c>
      <c r="Z911" t="s">
        <v>743</v>
      </c>
      <c r="AA911" t="s">
        <v>2397</v>
      </c>
    </row>
    <row r="912" spans="1:27" x14ac:dyDescent="0.75">
      <c r="A912" s="22" t="s">
        <v>6051</v>
      </c>
      <c r="B912" t="s">
        <v>2398</v>
      </c>
      <c r="C912" t="s">
        <v>104</v>
      </c>
      <c r="D912" t="s">
        <v>873</v>
      </c>
      <c r="E912" t="s">
        <v>874</v>
      </c>
      <c r="F912" t="s">
        <v>2399</v>
      </c>
      <c r="G912" s="1" t="str">
        <f>HYPERLINK("https://homd.org/jbrowse/?data=homd_V11.02_phage_1.2%2FGCA_007990405.1&amp;loc=GCA_007990405.1%7CAP019835.1%3A2309094..2316110&amp;tracks=prokka,prokka_ncrna,ncbi,ncbi_ncrna,panggolin,cenote,genomad&amp;highlight=","Open JBrowse")</f>
        <v>Open JBrowse</v>
      </c>
      <c r="H912">
        <v>2312094</v>
      </c>
      <c r="I912">
        <v>2313110</v>
      </c>
      <c r="J912" t="s">
        <v>2400</v>
      </c>
      <c r="K912" t="s">
        <v>59</v>
      </c>
      <c r="L912" t="s">
        <v>877</v>
      </c>
      <c r="M912" t="s">
        <v>878</v>
      </c>
      <c r="N912" t="s">
        <v>42</v>
      </c>
      <c r="O912">
        <v>3</v>
      </c>
      <c r="P912" t="s">
        <v>42</v>
      </c>
      <c r="Q912" t="s">
        <v>59</v>
      </c>
      <c r="R912" t="s">
        <v>2401</v>
      </c>
      <c r="S912" t="s">
        <v>877</v>
      </c>
      <c r="T912" t="s">
        <v>42</v>
      </c>
      <c r="U912">
        <v>79</v>
      </c>
      <c r="V912">
        <v>335</v>
      </c>
      <c r="W912">
        <v>257</v>
      </c>
      <c r="X912" t="s">
        <v>142</v>
      </c>
      <c r="Y912" t="s">
        <v>2402</v>
      </c>
      <c r="Z912" t="s">
        <v>118</v>
      </c>
      <c r="AA912" t="s">
        <v>2403</v>
      </c>
    </row>
    <row r="913" spans="1:32" x14ac:dyDescent="0.75">
      <c r="A913" s="22" t="s">
        <v>6051</v>
      </c>
      <c r="B913" t="s">
        <v>2404</v>
      </c>
      <c r="C913" t="s">
        <v>104</v>
      </c>
      <c r="D913" t="s">
        <v>2405</v>
      </c>
      <c r="E913" t="s">
        <v>1069</v>
      </c>
      <c r="F913" t="s">
        <v>2406</v>
      </c>
      <c r="G913" s="1" t="str">
        <f>HYPERLINK("https://homd.org/jbrowse/?data=homd_V11.02_phage_1.2%2FGCA_007990445.1&amp;loc=GCA_007990445.1%7CAP019841.1%3A2240924..2247940&amp;tracks=prokka,prokka_ncrna,ncbi,ncbi_ncrna,panggolin,cenote,genomad&amp;highlight=","Open JBrowse")</f>
        <v>Open JBrowse</v>
      </c>
      <c r="H913">
        <v>2243924</v>
      </c>
      <c r="I913">
        <v>2244940</v>
      </c>
      <c r="J913" t="s">
        <v>2407</v>
      </c>
      <c r="K913" t="s">
        <v>59</v>
      </c>
      <c r="L913" t="s">
        <v>877</v>
      </c>
      <c r="M913" t="s">
        <v>878</v>
      </c>
      <c r="N913" t="s">
        <v>42</v>
      </c>
      <c r="O913">
        <v>3</v>
      </c>
      <c r="P913" t="s">
        <v>42</v>
      </c>
      <c r="Q913" t="s">
        <v>59</v>
      </c>
      <c r="R913" t="s">
        <v>2408</v>
      </c>
      <c r="S913" t="s">
        <v>877</v>
      </c>
      <c r="T913" t="s">
        <v>42</v>
      </c>
      <c r="U913">
        <v>79</v>
      </c>
      <c r="V913">
        <v>335</v>
      </c>
      <c r="W913">
        <v>257</v>
      </c>
      <c r="X913" t="s">
        <v>142</v>
      </c>
    </row>
    <row r="914" spans="1:32" x14ac:dyDescent="0.75">
      <c r="A914" s="22" t="s">
        <v>6051</v>
      </c>
      <c r="B914" t="s">
        <v>2409</v>
      </c>
      <c r="C914" t="s">
        <v>104</v>
      </c>
      <c r="D914" t="s">
        <v>360</v>
      </c>
      <c r="E914" t="s">
        <v>361</v>
      </c>
      <c r="F914" t="s">
        <v>2410</v>
      </c>
      <c r="G914" s="1" t="str">
        <f>HYPERLINK("https://homd.org/jbrowse/?data=homd_V11.02_phage_1.2%2FGCA_007990505.1&amp;loc=GCA_007990505.1%7CAP019822.1%3A2256355..2263362&amp;tracks=prokka,prokka_ncrna,ncbi,ncbi_ncrna,panggolin,cenote,genomad&amp;highlight=","Open JBrowse")</f>
        <v>Open JBrowse</v>
      </c>
      <c r="H914">
        <v>2259355</v>
      </c>
      <c r="I914">
        <v>2260362</v>
      </c>
      <c r="J914" t="s">
        <v>2411</v>
      </c>
      <c r="K914" t="s">
        <v>59</v>
      </c>
      <c r="L914" t="s">
        <v>1190</v>
      </c>
      <c r="M914" t="s">
        <v>1191</v>
      </c>
      <c r="N914" t="s">
        <v>42</v>
      </c>
      <c r="O914">
        <v>3</v>
      </c>
      <c r="P914" t="s">
        <v>42</v>
      </c>
      <c r="Q914" t="s">
        <v>59</v>
      </c>
      <c r="R914" t="s">
        <v>2412</v>
      </c>
      <c r="S914" t="s">
        <v>1190</v>
      </c>
      <c r="T914" t="s">
        <v>42</v>
      </c>
      <c r="U914">
        <v>79</v>
      </c>
      <c r="V914">
        <v>332</v>
      </c>
      <c r="W914">
        <v>254</v>
      </c>
      <c r="X914" t="s">
        <v>142</v>
      </c>
      <c r="Y914" t="s">
        <v>2413</v>
      </c>
      <c r="Z914" t="s">
        <v>824</v>
      </c>
      <c r="AA914" t="s">
        <v>1194</v>
      </c>
    </row>
    <row r="915" spans="1:32" x14ac:dyDescent="0.75">
      <c r="A915" s="22" t="s">
        <v>6051</v>
      </c>
      <c r="B915" t="s">
        <v>2421</v>
      </c>
      <c r="C915" t="s">
        <v>104</v>
      </c>
      <c r="D915" t="s">
        <v>873</v>
      </c>
      <c r="E915" t="s">
        <v>874</v>
      </c>
      <c r="F915" t="s">
        <v>2422</v>
      </c>
      <c r="G915" s="1" t="str">
        <f>HYPERLINK("https://homd.org/jbrowse/?data=homd_V11.02_phage_1.2%2FGCA_007990545.2&amp;loc=GCA_007990545.2%7CAP019829.2%3A2196187..2203203&amp;tracks=prokka,prokka_ncrna,ncbi,ncbi_ncrna,panggolin,cenote,genomad&amp;highlight=","Open JBrowse")</f>
        <v>Open JBrowse</v>
      </c>
      <c r="H915">
        <v>2199187</v>
      </c>
      <c r="I915">
        <v>2200203</v>
      </c>
      <c r="J915" t="s">
        <v>2423</v>
      </c>
      <c r="K915" t="s">
        <v>59</v>
      </c>
      <c r="L915" t="s">
        <v>877</v>
      </c>
      <c r="M915" t="s">
        <v>878</v>
      </c>
      <c r="N915" t="s">
        <v>42</v>
      </c>
      <c r="O915">
        <v>3</v>
      </c>
      <c r="P915" t="s">
        <v>42</v>
      </c>
      <c r="Q915" t="s">
        <v>59</v>
      </c>
      <c r="R915" t="s">
        <v>2424</v>
      </c>
      <c r="S915" t="s">
        <v>877</v>
      </c>
      <c r="T915" t="s">
        <v>42</v>
      </c>
      <c r="U915">
        <v>79</v>
      </c>
      <c r="V915">
        <v>335</v>
      </c>
      <c r="W915">
        <v>257</v>
      </c>
      <c r="X915" t="s">
        <v>142</v>
      </c>
      <c r="Y915" t="s">
        <v>2425</v>
      </c>
      <c r="Z915" t="s">
        <v>904</v>
      </c>
      <c r="AA915" t="s">
        <v>2403</v>
      </c>
    </row>
    <row r="916" spans="1:32" x14ac:dyDescent="0.75">
      <c r="A916" s="22" t="s">
        <v>6051</v>
      </c>
      <c r="B916" t="s">
        <v>2834</v>
      </c>
      <c r="C916" t="s">
        <v>104</v>
      </c>
      <c r="D916" t="s">
        <v>2405</v>
      </c>
      <c r="E916" t="s">
        <v>1069</v>
      </c>
      <c r="F916" t="s">
        <v>2835</v>
      </c>
      <c r="G916" s="1" t="str">
        <f>HYPERLINK("https://homd.org/jbrowse/?data=homd_V11.02_phage_1.2%2FGCA_013394865.1&amp;loc=GCA_013394865.1%7CJABXYV010000001.1%3A2398968..2405984&amp;tracks=prokka,prokka_ncrna,ncbi,ncbi_ncrna,panggolin,cenote,genomad&amp;highlight=","Open JBrowse")</f>
        <v>Open JBrowse</v>
      </c>
      <c r="H916">
        <v>2401968</v>
      </c>
      <c r="I916">
        <v>2402984</v>
      </c>
      <c r="J916" t="s">
        <v>2836</v>
      </c>
      <c r="K916" t="s">
        <v>59</v>
      </c>
      <c r="L916" t="s">
        <v>877</v>
      </c>
      <c r="M916" t="s">
        <v>878</v>
      </c>
      <c r="N916" t="s">
        <v>42</v>
      </c>
      <c r="O916">
        <v>3</v>
      </c>
      <c r="P916" t="s">
        <v>42</v>
      </c>
      <c r="Q916" t="s">
        <v>59</v>
      </c>
      <c r="R916" t="s">
        <v>2837</v>
      </c>
      <c r="S916" t="s">
        <v>877</v>
      </c>
      <c r="T916" t="s">
        <v>42</v>
      </c>
      <c r="U916">
        <v>79</v>
      </c>
      <c r="V916">
        <v>335</v>
      </c>
      <c r="W916">
        <v>257</v>
      </c>
      <c r="X916" t="s">
        <v>142</v>
      </c>
    </row>
    <row r="917" spans="1:32" x14ac:dyDescent="0.75">
      <c r="A917" s="22" t="s">
        <v>6051</v>
      </c>
      <c r="B917" t="s">
        <v>5299</v>
      </c>
      <c r="C917" t="s">
        <v>104</v>
      </c>
      <c r="D917" t="s">
        <v>2405</v>
      </c>
      <c r="E917" t="s">
        <v>1069</v>
      </c>
      <c r="F917" t="s">
        <v>5300</v>
      </c>
      <c r="G917" s="1" t="str">
        <f>HYPERLINK("https://homd.org/jbrowse/?data=homd_V11.02_phage_1.2%2FGCA_901873485.1&amp;loc=GCA_901873485.1%7CCABFLH010000008.1%3A44351..51367&amp;tracks=prokka,prokka_ncrna,ncbi,ncbi_ncrna,panggolin,cenote,genomad&amp;highlight=","Open JBrowse")</f>
        <v>Open JBrowse</v>
      </c>
      <c r="H917">
        <v>47351</v>
      </c>
      <c r="I917">
        <v>48367</v>
      </c>
      <c r="J917" t="s">
        <v>5301</v>
      </c>
      <c r="K917" t="s">
        <v>59</v>
      </c>
      <c r="L917" t="s">
        <v>877</v>
      </c>
      <c r="M917" t="s">
        <v>878</v>
      </c>
      <c r="N917" t="s">
        <v>42</v>
      </c>
      <c r="O917">
        <v>3</v>
      </c>
      <c r="P917" t="s">
        <v>42</v>
      </c>
      <c r="Q917" t="s">
        <v>59</v>
      </c>
      <c r="R917" t="s">
        <v>5302</v>
      </c>
      <c r="S917" t="s">
        <v>877</v>
      </c>
      <c r="T917" t="s">
        <v>42</v>
      </c>
      <c r="U917">
        <v>79</v>
      </c>
      <c r="V917">
        <v>335</v>
      </c>
      <c r="W917">
        <v>257</v>
      </c>
      <c r="X917" t="s">
        <v>142</v>
      </c>
      <c r="Y917" t="s">
        <v>5303</v>
      </c>
      <c r="Z917" t="s">
        <v>1334</v>
      </c>
      <c r="AA917" t="s">
        <v>5304</v>
      </c>
      <c r="AB917" t="s">
        <v>5305</v>
      </c>
      <c r="AC917" t="s">
        <v>2831</v>
      </c>
      <c r="AD917" t="s">
        <v>2832</v>
      </c>
      <c r="AE917">
        <v>332</v>
      </c>
      <c r="AF917" t="s">
        <v>2833</v>
      </c>
    </row>
    <row r="918" spans="1:32" x14ac:dyDescent="0.75">
      <c r="A918" s="22" t="s">
        <v>6051</v>
      </c>
      <c r="B918" t="s">
        <v>5633</v>
      </c>
      <c r="C918" t="s">
        <v>104</v>
      </c>
      <c r="D918" t="s">
        <v>2405</v>
      </c>
      <c r="E918" t="s">
        <v>1069</v>
      </c>
      <c r="F918" t="s">
        <v>5634</v>
      </c>
      <c r="G918" s="1" t="str">
        <f>HYPERLINK("https://homd.org/jbrowse/?data=homd_V11.02_phage_1.2%2FGCA_916720135.1&amp;loc=GCA_916720135.1%7CCAKAQG010000020.1%3A21775..28791&amp;tracks=prokka,prokka_ncrna,ncbi,ncbi_ncrna,panggolin,cenote,genomad&amp;highlight=","Open JBrowse")</f>
        <v>Open JBrowse</v>
      </c>
      <c r="H918">
        <v>24775</v>
      </c>
      <c r="I918">
        <v>25791</v>
      </c>
      <c r="J918" t="s">
        <v>5635</v>
      </c>
      <c r="K918" t="s">
        <v>59</v>
      </c>
      <c r="L918" t="s">
        <v>877</v>
      </c>
      <c r="M918" t="s">
        <v>878</v>
      </c>
      <c r="N918" t="s">
        <v>42</v>
      </c>
      <c r="O918">
        <v>3</v>
      </c>
      <c r="P918" t="s">
        <v>42</v>
      </c>
      <c r="Q918" t="s">
        <v>59</v>
      </c>
      <c r="R918" t="s">
        <v>5636</v>
      </c>
      <c r="S918" t="s">
        <v>877</v>
      </c>
      <c r="T918" t="s">
        <v>42</v>
      </c>
      <c r="U918">
        <v>79</v>
      </c>
      <c r="V918">
        <v>335</v>
      </c>
      <c r="W918">
        <v>257</v>
      </c>
      <c r="X918" t="s">
        <v>142</v>
      </c>
      <c r="Y918" t="s">
        <v>5637</v>
      </c>
      <c r="Z918" t="s">
        <v>836</v>
      </c>
      <c r="AA918" t="s">
        <v>5304</v>
      </c>
      <c r="AB918" t="s">
        <v>5638</v>
      </c>
      <c r="AC918" t="s">
        <v>2831</v>
      </c>
      <c r="AD918" t="s">
        <v>2832</v>
      </c>
      <c r="AE918">
        <v>334</v>
      </c>
      <c r="AF918" t="s">
        <v>2833</v>
      </c>
    </row>
    <row r="919" spans="1:32" x14ac:dyDescent="0.75">
      <c r="A919" s="22" t="s">
        <v>6051</v>
      </c>
      <c r="B919" t="s">
        <v>5895</v>
      </c>
      <c r="C919" t="s">
        <v>104</v>
      </c>
      <c r="D919" t="s">
        <v>2405</v>
      </c>
      <c r="E919" t="s">
        <v>1069</v>
      </c>
      <c r="F919" t="s">
        <v>5896</v>
      </c>
      <c r="G919" s="1" t="str">
        <f>HYPERLINK("https://homd.org/jbrowse/?data=homd_V11.02_phage_1.2%2FGCA_938041155.1&amp;loc=GCA_938041155.1%7CCALHZS010000109.1%3A1..6546&amp;tracks=prokka,prokka_ncrna,ncbi,ncbi_ncrna,panggolin,cenote,genomad&amp;highlight=","Open JBrowse")</f>
        <v>Open JBrowse</v>
      </c>
      <c r="H919">
        <v>2530</v>
      </c>
      <c r="I919">
        <v>3546</v>
      </c>
      <c r="J919" t="s">
        <v>5897</v>
      </c>
      <c r="K919" t="s">
        <v>59</v>
      </c>
      <c r="L919" t="s">
        <v>877</v>
      </c>
      <c r="M919" t="s">
        <v>878</v>
      </c>
      <c r="N919" t="s">
        <v>42</v>
      </c>
      <c r="O919">
        <v>3</v>
      </c>
      <c r="P919" t="s">
        <v>42</v>
      </c>
      <c r="Q919" t="s">
        <v>59</v>
      </c>
      <c r="R919" t="s">
        <v>5898</v>
      </c>
      <c r="S919" t="s">
        <v>877</v>
      </c>
      <c r="T919" t="s">
        <v>42</v>
      </c>
      <c r="U919">
        <v>79</v>
      </c>
      <c r="V919">
        <v>335</v>
      </c>
      <c r="W919">
        <v>257</v>
      </c>
      <c r="X919" t="s">
        <v>142</v>
      </c>
    </row>
    <row r="920" spans="1:32" x14ac:dyDescent="0.75">
      <c r="A920" s="22" t="s">
        <v>6051</v>
      </c>
      <c r="B920" t="s">
        <v>852</v>
      </c>
      <c r="C920" t="s">
        <v>104</v>
      </c>
      <c r="D920" t="s">
        <v>853</v>
      </c>
      <c r="E920" t="s">
        <v>854</v>
      </c>
      <c r="F920" t="s">
        <v>855</v>
      </c>
      <c r="G920" s="1" t="str">
        <f>HYPERLINK("https://homd.org/jbrowse/?data=homd_V11.02_phage_1.2%2FGCA_000373045.1&amp;loc=GCA_000373045.1%7CKB890278.1%3A50782..57801&amp;tracks=prokka,prokka_ncrna,ncbi,ncbi_ncrna,panggolin,cenote,genomad&amp;highlight=","Open JBrowse")</f>
        <v>Open JBrowse</v>
      </c>
      <c r="H920">
        <v>53782</v>
      </c>
      <c r="I920">
        <v>54801</v>
      </c>
      <c r="J920" t="s">
        <v>856</v>
      </c>
      <c r="K920" t="s">
        <v>59</v>
      </c>
      <c r="L920" t="s">
        <v>857</v>
      </c>
      <c r="M920" t="s">
        <v>858</v>
      </c>
      <c r="N920" t="s">
        <v>42</v>
      </c>
      <c r="O920">
        <v>3</v>
      </c>
      <c r="P920" t="s">
        <v>42</v>
      </c>
      <c r="Q920" t="s">
        <v>59</v>
      </c>
      <c r="R920" t="s">
        <v>859</v>
      </c>
      <c r="S920" t="s">
        <v>857</v>
      </c>
      <c r="T920" t="s">
        <v>42</v>
      </c>
      <c r="U920">
        <v>80</v>
      </c>
      <c r="V920">
        <v>336</v>
      </c>
      <c r="W920">
        <v>257</v>
      </c>
      <c r="X920" t="s">
        <v>142</v>
      </c>
      <c r="Y920" t="s">
        <v>860</v>
      </c>
      <c r="Z920" t="s">
        <v>118</v>
      </c>
      <c r="AA920" t="s">
        <v>861</v>
      </c>
    </row>
    <row r="921" spans="1:32" x14ac:dyDescent="0.75">
      <c r="A921" s="22" t="s">
        <v>6051</v>
      </c>
      <c r="B921" t="s">
        <v>2426</v>
      </c>
      <c r="C921" t="s">
        <v>104</v>
      </c>
      <c r="D921" t="s">
        <v>2427</v>
      </c>
      <c r="E921" t="s">
        <v>2428</v>
      </c>
      <c r="F921" t="s">
        <v>2429</v>
      </c>
      <c r="G921" s="1" t="str">
        <f>HYPERLINK("https://homd.org/jbrowse/?data=homd_V11.02_phage_1.2%2FGCA_007990635.1&amp;loc=GCA_007990635.1%7CAP019846.1%3A73172..80188&amp;tracks=prokka,prokka_ncrna,ncbi,ncbi_ncrna,panggolin,cenote,genomad&amp;highlight=","Open JBrowse")</f>
        <v>Open JBrowse</v>
      </c>
      <c r="H921">
        <v>76172</v>
      </c>
      <c r="I921">
        <v>77188</v>
      </c>
      <c r="J921" t="s">
        <v>2430</v>
      </c>
      <c r="K921" t="s">
        <v>59</v>
      </c>
      <c r="L921" t="s">
        <v>2431</v>
      </c>
      <c r="M921" t="s">
        <v>2432</v>
      </c>
      <c r="N921" t="s">
        <v>42</v>
      </c>
      <c r="O921">
        <v>3</v>
      </c>
      <c r="P921" t="s">
        <v>42</v>
      </c>
      <c r="Q921" t="s">
        <v>59</v>
      </c>
      <c r="R921" t="s">
        <v>2433</v>
      </c>
      <c r="S921" t="s">
        <v>2431</v>
      </c>
      <c r="T921" t="s">
        <v>42</v>
      </c>
      <c r="U921">
        <v>80</v>
      </c>
      <c r="V921">
        <v>335</v>
      </c>
      <c r="W921">
        <v>256</v>
      </c>
      <c r="X921" t="s">
        <v>142</v>
      </c>
      <c r="Y921" t="s">
        <v>2434</v>
      </c>
      <c r="Z921" t="s">
        <v>645</v>
      </c>
      <c r="AA921" t="s">
        <v>2435</v>
      </c>
    </row>
    <row r="922" spans="1:32" x14ac:dyDescent="0.75">
      <c r="A922" s="22" t="s">
        <v>6051</v>
      </c>
      <c r="B922" t="s">
        <v>2499</v>
      </c>
      <c r="C922" t="s">
        <v>104</v>
      </c>
      <c r="D922" t="s">
        <v>853</v>
      </c>
      <c r="E922" t="s">
        <v>854</v>
      </c>
      <c r="F922" t="s">
        <v>2500</v>
      </c>
      <c r="G922" s="1" t="str">
        <f>HYPERLINK("https://homd.org/jbrowse/?data=homd_V11.02_phage_1.2%2FGCA_008327825.1&amp;loc=GCA_008327825.1%7CAP019827.1%3A105240..112259&amp;tracks=prokka,prokka_ncrna,ncbi,ncbi_ncrna,panggolin,cenote,genomad&amp;highlight=","Open JBrowse")</f>
        <v>Open JBrowse</v>
      </c>
      <c r="H922">
        <v>108240</v>
      </c>
      <c r="I922">
        <v>109259</v>
      </c>
      <c r="J922" t="s">
        <v>2501</v>
      </c>
      <c r="K922" t="s">
        <v>59</v>
      </c>
      <c r="L922" t="s">
        <v>857</v>
      </c>
      <c r="M922" t="s">
        <v>858</v>
      </c>
      <c r="N922" t="s">
        <v>42</v>
      </c>
      <c r="O922">
        <v>3</v>
      </c>
      <c r="P922" t="s">
        <v>42</v>
      </c>
      <c r="Q922" t="s">
        <v>59</v>
      </c>
      <c r="R922" t="s">
        <v>2502</v>
      </c>
      <c r="S922" t="s">
        <v>857</v>
      </c>
      <c r="T922" t="s">
        <v>42</v>
      </c>
      <c r="U922">
        <v>80</v>
      </c>
      <c r="V922">
        <v>336</v>
      </c>
      <c r="W922">
        <v>257</v>
      </c>
      <c r="X922" t="s">
        <v>142</v>
      </c>
      <c r="Y922" t="s">
        <v>2503</v>
      </c>
      <c r="Z922" t="s">
        <v>47</v>
      </c>
      <c r="AA922" t="s">
        <v>1083</v>
      </c>
    </row>
    <row r="923" spans="1:32" x14ac:dyDescent="0.75">
      <c r="A923" s="22" t="s">
        <v>6051</v>
      </c>
      <c r="B923" t="s">
        <v>2823</v>
      </c>
      <c r="C923" t="s">
        <v>104</v>
      </c>
      <c r="D923" t="s">
        <v>2824</v>
      </c>
      <c r="E923" t="s">
        <v>1069</v>
      </c>
      <c r="F923" t="s">
        <v>2825</v>
      </c>
      <c r="G923" s="1" t="str">
        <f>HYPERLINK("https://homd.org/jbrowse/?data=homd_V11.02_phage_1.2%2FGCA_013394795.1&amp;loc=GCA_013394795.1%7CJABXYU010000001.1%3A1193193..1200212&amp;tracks=prokka,prokka_ncrna,ncbi,ncbi_ncrna,panggolin,cenote,genomad&amp;highlight=","Open JBrowse")</f>
        <v>Open JBrowse</v>
      </c>
      <c r="H923">
        <v>1196193</v>
      </c>
      <c r="I923">
        <v>1197212</v>
      </c>
      <c r="J923" t="s">
        <v>2826</v>
      </c>
      <c r="K923" t="s">
        <v>59</v>
      </c>
      <c r="L923" t="s">
        <v>857</v>
      </c>
      <c r="M923" t="s">
        <v>858</v>
      </c>
      <c r="N923" t="s">
        <v>42</v>
      </c>
      <c r="O923">
        <v>3</v>
      </c>
      <c r="P923" t="s">
        <v>42</v>
      </c>
      <c r="Q923" t="s">
        <v>59</v>
      </c>
      <c r="R923" t="s">
        <v>2827</v>
      </c>
      <c r="S923" t="s">
        <v>857</v>
      </c>
      <c r="T923" t="s">
        <v>42</v>
      </c>
      <c r="U923">
        <v>80</v>
      </c>
      <c r="V923">
        <v>336</v>
      </c>
      <c r="W923">
        <v>257</v>
      </c>
      <c r="X923" t="s">
        <v>142</v>
      </c>
      <c r="Y923" t="s">
        <v>2828</v>
      </c>
      <c r="Z923" t="s">
        <v>336</v>
      </c>
      <c r="AA923" t="s">
        <v>2829</v>
      </c>
      <c r="AB923" t="s">
        <v>2830</v>
      </c>
      <c r="AC923" t="s">
        <v>2831</v>
      </c>
      <c r="AD923" t="s">
        <v>2832</v>
      </c>
      <c r="AE923">
        <v>337</v>
      </c>
      <c r="AF923" t="s">
        <v>2833</v>
      </c>
    </row>
    <row r="924" spans="1:32" x14ac:dyDescent="0.75">
      <c r="A924" s="22" t="s">
        <v>6051</v>
      </c>
      <c r="B924" t="s">
        <v>4974</v>
      </c>
      <c r="C924" t="s">
        <v>104</v>
      </c>
      <c r="D924" t="s">
        <v>2427</v>
      </c>
      <c r="E924" t="s">
        <v>2428</v>
      </c>
      <c r="F924" t="s">
        <v>4984</v>
      </c>
      <c r="G924" s="1" t="str">
        <f>HYPERLINK("https://homd.org/jbrowse/?data=homd_V11.02_phage_1.2%2FGCA_030527835.1&amp;loc=GCA_030527835.1%7CJAUMZZ010000014.1%3A1..6709&amp;tracks=prokka,prokka_ncrna,ncbi,ncbi_ncrna,panggolin,cenote,genomad&amp;highlight=","Open JBrowse")</f>
        <v>Open JBrowse</v>
      </c>
      <c r="H924">
        <v>2690</v>
      </c>
      <c r="I924">
        <v>3709</v>
      </c>
      <c r="J924" t="s">
        <v>4985</v>
      </c>
      <c r="K924" t="s">
        <v>59</v>
      </c>
      <c r="L924" t="s">
        <v>857</v>
      </c>
      <c r="M924" t="s">
        <v>858</v>
      </c>
      <c r="N924" t="s">
        <v>42</v>
      </c>
      <c r="O924">
        <v>3</v>
      </c>
      <c r="P924" t="s">
        <v>42</v>
      </c>
      <c r="Q924" t="s">
        <v>59</v>
      </c>
      <c r="R924" t="s">
        <v>4979</v>
      </c>
      <c r="S924" t="s">
        <v>857</v>
      </c>
      <c r="T924" t="s">
        <v>42</v>
      </c>
      <c r="U924">
        <v>80</v>
      </c>
      <c r="V924">
        <v>336</v>
      </c>
      <c r="W924">
        <v>257</v>
      </c>
      <c r="X924" t="s">
        <v>142</v>
      </c>
      <c r="Y924" t="s">
        <v>4986</v>
      </c>
      <c r="Z924" t="s">
        <v>1948</v>
      </c>
      <c r="AA924" t="s">
        <v>4987</v>
      </c>
    </row>
    <row r="925" spans="1:32" x14ac:dyDescent="0.75">
      <c r="A925" s="22" t="s">
        <v>6051</v>
      </c>
      <c r="B925" t="s">
        <v>5810</v>
      </c>
      <c r="C925" t="s">
        <v>104</v>
      </c>
      <c r="D925" t="s">
        <v>1428</v>
      </c>
      <c r="E925" t="s">
        <v>1086</v>
      </c>
      <c r="F925" t="s">
        <v>5816</v>
      </c>
      <c r="G925" s="1" t="str">
        <f>HYPERLINK("https://homd.org/jbrowse/?data=homd_V11.02_phage_1.2%2FGCA_938011375.1&amp;loc=GCA_938011375.1%7CCALLUC010000046.1%3A9458..16501&amp;tracks=prokka,prokka_ncrna,ncbi,ncbi_ncrna,panggolin,cenote,genomad&amp;highlight=","Open JBrowse")</f>
        <v>Open JBrowse</v>
      </c>
      <c r="H925">
        <v>12458</v>
      </c>
      <c r="I925">
        <v>13501</v>
      </c>
      <c r="J925" t="s">
        <v>5817</v>
      </c>
      <c r="K925" t="s">
        <v>59</v>
      </c>
      <c r="L925" t="s">
        <v>5818</v>
      </c>
      <c r="M925" t="s">
        <v>5819</v>
      </c>
      <c r="N925" t="s">
        <v>42</v>
      </c>
      <c r="O925">
        <v>3</v>
      </c>
      <c r="P925" t="s">
        <v>42</v>
      </c>
      <c r="Q925" t="s">
        <v>59</v>
      </c>
      <c r="R925" t="s">
        <v>5813</v>
      </c>
      <c r="S925" t="s">
        <v>5818</v>
      </c>
      <c r="T925" t="s">
        <v>42</v>
      </c>
      <c r="U925">
        <v>80</v>
      </c>
      <c r="V925">
        <v>334</v>
      </c>
      <c r="W925">
        <v>255</v>
      </c>
      <c r="X925" t="s">
        <v>142</v>
      </c>
    </row>
    <row r="926" spans="1:32" x14ac:dyDescent="0.75">
      <c r="A926" s="22" t="s">
        <v>6051</v>
      </c>
      <c r="B926" t="s">
        <v>1102</v>
      </c>
      <c r="C926" t="s">
        <v>104</v>
      </c>
      <c r="D926" t="s">
        <v>1103</v>
      </c>
      <c r="E926" t="s">
        <v>1069</v>
      </c>
      <c r="F926" t="s">
        <v>1104</v>
      </c>
      <c r="G926" s="1" t="str">
        <f>HYPERLINK("https://homd.org/jbrowse/?data=homd_V11.02_phage_1.2%2FGCA_000469525.1&amp;loc=GCA_000469525.1%7CKI272920.1%3A1..4743&amp;tracks=prokka,prokka_ncrna,ncbi,ncbi_ncrna,panggolin,cenote,genomad&amp;highlight=","Open JBrowse")</f>
        <v>Open JBrowse</v>
      </c>
      <c r="H926">
        <v>721</v>
      </c>
      <c r="I926">
        <v>1743</v>
      </c>
      <c r="J926" t="s">
        <v>1105</v>
      </c>
      <c r="K926" t="s">
        <v>59</v>
      </c>
      <c r="L926" t="s">
        <v>1106</v>
      </c>
      <c r="M926" t="s">
        <v>1107</v>
      </c>
      <c r="N926" t="s">
        <v>42</v>
      </c>
      <c r="O926">
        <v>3</v>
      </c>
      <c r="P926" t="s">
        <v>42</v>
      </c>
      <c r="Q926" t="s">
        <v>59</v>
      </c>
      <c r="R926" t="s">
        <v>1108</v>
      </c>
      <c r="S926" t="s">
        <v>1106</v>
      </c>
      <c r="T926" t="s">
        <v>42</v>
      </c>
      <c r="U926">
        <v>81</v>
      </c>
      <c r="V926">
        <v>337</v>
      </c>
      <c r="W926">
        <v>257</v>
      </c>
      <c r="X926" t="s">
        <v>142</v>
      </c>
      <c r="Y926" t="s">
        <v>1109</v>
      </c>
      <c r="Z926" t="s">
        <v>357</v>
      </c>
      <c r="AA926" t="s">
        <v>1110</v>
      </c>
      <c r="AB926" t="s">
        <v>1111</v>
      </c>
      <c r="AC926" t="s">
        <v>295</v>
      </c>
      <c r="AD926" t="s">
        <v>183</v>
      </c>
      <c r="AE926">
        <v>610</v>
      </c>
      <c r="AF926" t="s">
        <v>1019</v>
      </c>
    </row>
    <row r="927" spans="1:32" x14ac:dyDescent="0.75">
      <c r="A927" s="22" t="s">
        <v>6051</v>
      </c>
      <c r="B927" t="s">
        <v>4999</v>
      </c>
      <c r="C927" t="s">
        <v>104</v>
      </c>
      <c r="D927" t="s">
        <v>1103</v>
      </c>
      <c r="E927" t="s">
        <v>1069</v>
      </c>
      <c r="F927" t="s">
        <v>5000</v>
      </c>
      <c r="G927" s="1" t="str">
        <f>HYPERLINK("https://homd.org/jbrowse/?data=homd_V11.02_phage_1.2%2FGCA_030644325.1&amp;loc=GCA_030644325.1%7CCP130323.1%3A257345..264367&amp;tracks=prokka,prokka_ncrna,ncbi,ncbi_ncrna,panggolin,cenote,genomad&amp;highlight=","Open JBrowse")</f>
        <v>Open JBrowse</v>
      </c>
      <c r="H927">
        <v>260345</v>
      </c>
      <c r="I927">
        <v>261367</v>
      </c>
      <c r="J927" t="s">
        <v>5001</v>
      </c>
      <c r="K927" t="s">
        <v>59</v>
      </c>
      <c r="L927" t="s">
        <v>1106</v>
      </c>
      <c r="M927" t="s">
        <v>1107</v>
      </c>
      <c r="N927" t="s">
        <v>42</v>
      </c>
      <c r="O927">
        <v>3</v>
      </c>
      <c r="P927" t="s">
        <v>42</v>
      </c>
      <c r="Q927" t="s">
        <v>59</v>
      </c>
      <c r="R927" t="s">
        <v>5002</v>
      </c>
      <c r="S927" t="s">
        <v>1106</v>
      </c>
      <c r="T927" t="s">
        <v>42</v>
      </c>
      <c r="U927">
        <v>81</v>
      </c>
      <c r="V927">
        <v>337</v>
      </c>
      <c r="W927">
        <v>257</v>
      </c>
      <c r="X927" t="s">
        <v>142</v>
      </c>
      <c r="Y927" t="s">
        <v>5003</v>
      </c>
      <c r="Z927" t="s">
        <v>47</v>
      </c>
      <c r="AA927" t="s">
        <v>5004</v>
      </c>
      <c r="AB927" t="s">
        <v>5005</v>
      </c>
      <c r="AC927" t="s">
        <v>295</v>
      </c>
      <c r="AD927" t="s">
        <v>183</v>
      </c>
      <c r="AE927">
        <v>610</v>
      </c>
      <c r="AF927" t="s">
        <v>1019</v>
      </c>
    </row>
    <row r="928" spans="1:32" x14ac:dyDescent="0.75">
      <c r="A928" s="22" t="s">
        <v>6051</v>
      </c>
      <c r="B928" t="s">
        <v>5127</v>
      </c>
      <c r="C928" t="s">
        <v>104</v>
      </c>
      <c r="D928" t="s">
        <v>1103</v>
      </c>
      <c r="E928" t="s">
        <v>1069</v>
      </c>
      <c r="F928" t="s">
        <v>5128</v>
      </c>
      <c r="G928" s="1" t="str">
        <f>HYPERLINK("https://homd.org/jbrowse/?data=homd_V11.02_phage_1.2%2FGCA_900104625.1&amp;loc=GCA_900104625.1%7CFNVZ01000003.1%3A117940..124962&amp;tracks=prokka,prokka_ncrna,ncbi,ncbi_ncrna,panggolin,cenote,genomad&amp;highlight=","Open JBrowse")</f>
        <v>Open JBrowse</v>
      </c>
      <c r="H928">
        <v>120940</v>
      </c>
      <c r="I928">
        <v>121962</v>
      </c>
      <c r="J928" t="s">
        <v>5129</v>
      </c>
      <c r="K928" t="s">
        <v>59</v>
      </c>
      <c r="L928" t="s">
        <v>1106</v>
      </c>
      <c r="M928" t="s">
        <v>1107</v>
      </c>
      <c r="N928" t="s">
        <v>42</v>
      </c>
      <c r="O928">
        <v>3</v>
      </c>
      <c r="P928" t="s">
        <v>42</v>
      </c>
      <c r="Q928" t="s">
        <v>59</v>
      </c>
      <c r="R928" t="s">
        <v>5130</v>
      </c>
      <c r="S928" t="s">
        <v>1106</v>
      </c>
      <c r="T928" t="s">
        <v>42</v>
      </c>
      <c r="U928">
        <v>81</v>
      </c>
      <c r="V928">
        <v>337</v>
      </c>
      <c r="W928">
        <v>257</v>
      </c>
      <c r="X928" t="s">
        <v>142</v>
      </c>
      <c r="Y928" t="s">
        <v>5131</v>
      </c>
      <c r="Z928" t="s">
        <v>1257</v>
      </c>
      <c r="AA928" t="s">
        <v>5132</v>
      </c>
      <c r="AB928" t="s">
        <v>5133</v>
      </c>
      <c r="AC928" t="s">
        <v>295</v>
      </c>
      <c r="AD928" t="s">
        <v>183</v>
      </c>
      <c r="AE928">
        <v>798</v>
      </c>
      <c r="AF928" t="s">
        <v>5134</v>
      </c>
    </row>
    <row r="929" spans="1:32" x14ac:dyDescent="0.75">
      <c r="A929" s="22" t="s">
        <v>6051</v>
      </c>
      <c r="B929" t="s">
        <v>1010</v>
      </c>
      <c r="C929" t="s">
        <v>104</v>
      </c>
      <c r="D929" t="s">
        <v>284</v>
      </c>
      <c r="E929" t="s">
        <v>285</v>
      </c>
      <c r="F929" t="s">
        <v>1011</v>
      </c>
      <c r="G929" s="1" t="str">
        <f>HYPERLINK("https://homd.org/jbrowse/?data=homd_V11.02_phage_1.2%2FGCA_000428965.1&amp;loc=GCA_000428965.1%7CAUAY01000020.1%3A1..6606&amp;tracks=prokka,prokka_ncrna,ncbi,ncbi_ncrna,panggolin,cenote,genomad&amp;highlight=","Open JBrowse")</f>
        <v>Open JBrowse</v>
      </c>
      <c r="H929">
        <v>2581</v>
      </c>
      <c r="I929">
        <v>3606</v>
      </c>
      <c r="J929" t="s">
        <v>1012</v>
      </c>
      <c r="K929" t="s">
        <v>59</v>
      </c>
      <c r="L929" t="s">
        <v>1013</v>
      </c>
      <c r="M929" t="s">
        <v>1014</v>
      </c>
      <c r="N929" t="s">
        <v>42</v>
      </c>
      <c r="O929">
        <v>3</v>
      </c>
      <c r="P929" t="s">
        <v>42</v>
      </c>
      <c r="Q929" t="s">
        <v>59</v>
      </c>
      <c r="R929" t="s">
        <v>1015</v>
      </c>
      <c r="S929" t="s">
        <v>1013</v>
      </c>
      <c r="T929" t="s">
        <v>42</v>
      </c>
      <c r="U929">
        <v>83</v>
      </c>
      <c r="V929">
        <v>338</v>
      </c>
      <c r="W929">
        <v>256</v>
      </c>
      <c r="X929" t="s">
        <v>142</v>
      </c>
      <c r="Y929" t="s">
        <v>1016</v>
      </c>
      <c r="Z929" t="s">
        <v>357</v>
      </c>
      <c r="AA929" t="s">
        <v>1017</v>
      </c>
      <c r="AB929" t="s">
        <v>1018</v>
      </c>
      <c r="AC929" t="s">
        <v>295</v>
      </c>
      <c r="AD929" t="s">
        <v>183</v>
      </c>
      <c r="AE929">
        <v>601</v>
      </c>
      <c r="AF929" t="s">
        <v>1019</v>
      </c>
    </row>
    <row r="930" spans="1:32" x14ac:dyDescent="0.75">
      <c r="A930" s="22" t="s">
        <v>6051</v>
      </c>
      <c r="B930" t="s">
        <v>1067</v>
      </c>
      <c r="C930" t="s">
        <v>104</v>
      </c>
      <c r="D930" t="s">
        <v>1068</v>
      </c>
      <c r="E930" t="s">
        <v>1069</v>
      </c>
      <c r="F930" t="s">
        <v>1070</v>
      </c>
      <c r="G930" s="1" t="str">
        <f>HYPERLINK("https://homd.org/jbrowse/?data=homd_V11.02_phage_1.2%2FGCA_000469385.1&amp;loc=GCA_000469385.1%7CKI271337.1%3A2680..9708&amp;tracks=prokka,prokka_ncrna,ncbi,ncbi_ncrna,panggolin,cenote,genomad&amp;highlight=","Open JBrowse")</f>
        <v>Open JBrowse</v>
      </c>
      <c r="H930">
        <v>5680</v>
      </c>
      <c r="I930">
        <v>6708</v>
      </c>
      <c r="J930" t="s">
        <v>1071</v>
      </c>
      <c r="K930" t="s">
        <v>59</v>
      </c>
      <c r="L930" t="s">
        <v>1072</v>
      </c>
      <c r="M930" t="s">
        <v>1073</v>
      </c>
      <c r="N930" t="s">
        <v>42</v>
      </c>
      <c r="O930">
        <v>3</v>
      </c>
      <c r="P930" t="s">
        <v>42</v>
      </c>
      <c r="Q930" t="s">
        <v>59</v>
      </c>
      <c r="R930" t="s">
        <v>1074</v>
      </c>
      <c r="S930" t="s">
        <v>1072</v>
      </c>
      <c r="T930" t="s">
        <v>42</v>
      </c>
      <c r="U930">
        <v>83</v>
      </c>
      <c r="V930">
        <v>339</v>
      </c>
      <c r="W930">
        <v>257</v>
      </c>
      <c r="X930" t="s">
        <v>142</v>
      </c>
      <c r="Y930" t="s">
        <v>1075</v>
      </c>
      <c r="Z930" t="s">
        <v>932</v>
      </c>
      <c r="AA930" t="s">
        <v>1076</v>
      </c>
      <c r="AB930" t="s">
        <v>1077</v>
      </c>
      <c r="AC930" t="s">
        <v>295</v>
      </c>
      <c r="AD930" t="s">
        <v>183</v>
      </c>
      <c r="AE930">
        <v>610</v>
      </c>
      <c r="AF930" t="s">
        <v>296</v>
      </c>
    </row>
    <row r="931" spans="1:32" x14ac:dyDescent="0.75">
      <c r="A931" s="22" t="s">
        <v>6051</v>
      </c>
      <c r="B931" t="s">
        <v>2414</v>
      </c>
      <c r="C931" t="s">
        <v>104</v>
      </c>
      <c r="D931" t="s">
        <v>284</v>
      </c>
      <c r="E931" t="s">
        <v>285</v>
      </c>
      <c r="F931" t="s">
        <v>2415</v>
      </c>
      <c r="G931" s="1" t="str">
        <f>HYPERLINK("https://homd.org/jbrowse/?data=homd_V11.02_phage_1.2%2FGCA_007990525.1&amp;loc=GCA_007990525.1%7CAP019823.1%3A2365307..2372332&amp;tracks=prokka,prokka_ncrna,ncbi,ncbi_ncrna,panggolin,cenote,genomad&amp;highlight=","Open JBrowse")</f>
        <v>Open JBrowse</v>
      </c>
      <c r="H931">
        <v>2368307</v>
      </c>
      <c r="I931">
        <v>2369332</v>
      </c>
      <c r="J931" t="s">
        <v>2416</v>
      </c>
      <c r="K931" t="s">
        <v>59</v>
      </c>
      <c r="L931" t="s">
        <v>1013</v>
      </c>
      <c r="M931" t="s">
        <v>1014</v>
      </c>
      <c r="N931" t="s">
        <v>42</v>
      </c>
      <c r="O931">
        <v>3</v>
      </c>
      <c r="P931" t="s">
        <v>42</v>
      </c>
      <c r="Q931" t="s">
        <v>59</v>
      </c>
      <c r="R931" t="s">
        <v>2417</v>
      </c>
      <c r="S931" t="s">
        <v>1013</v>
      </c>
      <c r="T931" t="s">
        <v>42</v>
      </c>
      <c r="U931">
        <v>83</v>
      </c>
      <c r="V931">
        <v>338</v>
      </c>
      <c r="W931">
        <v>256</v>
      </c>
      <c r="X931" t="s">
        <v>142</v>
      </c>
      <c r="Y931" t="s">
        <v>2418</v>
      </c>
      <c r="Z931" t="s">
        <v>743</v>
      </c>
      <c r="AA931" t="s">
        <v>2419</v>
      </c>
      <c r="AB931" t="s">
        <v>2420</v>
      </c>
      <c r="AC931" t="s">
        <v>295</v>
      </c>
      <c r="AD931" t="s">
        <v>183</v>
      </c>
      <c r="AE931">
        <v>601</v>
      </c>
      <c r="AF931" t="s">
        <v>296</v>
      </c>
    </row>
    <row r="932" spans="1:32" x14ac:dyDescent="0.75">
      <c r="A932" s="22" t="s">
        <v>6051</v>
      </c>
      <c r="B932" t="s">
        <v>4178</v>
      </c>
      <c r="C932" t="s">
        <v>104</v>
      </c>
      <c r="D932" t="s">
        <v>1998</v>
      </c>
      <c r="E932" t="s">
        <v>1999</v>
      </c>
      <c r="F932" t="s">
        <v>4182</v>
      </c>
      <c r="G932" s="1" t="str">
        <f>HYPERLINK("https://homd.org/jbrowse/?data=homd_V11.02_phage_1.2%2FGCA_023425005.1&amp;loc=GCA_023425005.1%7CJAFADK010000084.1%3A15037..22029&amp;tracks=prokka,prokka_ncrna,ncbi,ncbi_ncrna,panggolin,cenote,genomad&amp;highlight=","Open JBrowse")</f>
        <v>Open JBrowse</v>
      </c>
      <c r="H932">
        <v>18037</v>
      </c>
      <c r="I932">
        <v>19029</v>
      </c>
      <c r="J932" t="s">
        <v>4183</v>
      </c>
      <c r="K932" t="s">
        <v>109</v>
      </c>
      <c r="L932" t="s">
        <v>4184</v>
      </c>
      <c r="M932" t="s">
        <v>4185</v>
      </c>
      <c r="N932" t="s">
        <v>42</v>
      </c>
      <c r="O932">
        <v>3</v>
      </c>
      <c r="P932" t="s">
        <v>42</v>
      </c>
      <c r="Q932" t="s">
        <v>101</v>
      </c>
      <c r="R932" t="s">
        <v>4181</v>
      </c>
      <c r="S932" t="s">
        <v>4184</v>
      </c>
      <c r="T932" t="s">
        <v>42</v>
      </c>
      <c r="U932">
        <v>91</v>
      </c>
      <c r="V932">
        <v>327</v>
      </c>
      <c r="W932">
        <v>237</v>
      </c>
      <c r="X932" t="s">
        <v>248</v>
      </c>
      <c r="Y932" t="s">
        <v>4186</v>
      </c>
      <c r="Z932" t="s">
        <v>416</v>
      </c>
      <c r="AA932" t="s">
        <v>4187</v>
      </c>
      <c r="AB932" t="s">
        <v>4188</v>
      </c>
      <c r="AC932" t="s">
        <v>2010</v>
      </c>
      <c r="AD932" t="s">
        <v>101</v>
      </c>
      <c r="AE932">
        <v>4428</v>
      </c>
      <c r="AF932" t="s">
        <v>2011</v>
      </c>
    </row>
    <row r="933" spans="1:32" x14ac:dyDescent="0.75">
      <c r="A933" s="22" t="s">
        <v>6051</v>
      </c>
      <c r="B933" t="s">
        <v>5592</v>
      </c>
      <c r="C933" t="s">
        <v>104</v>
      </c>
      <c r="D933" t="s">
        <v>3447</v>
      </c>
      <c r="E933" t="s">
        <v>1069</v>
      </c>
      <c r="F933" t="s">
        <v>5593</v>
      </c>
      <c r="G933" s="1" t="str">
        <f>HYPERLINK("https://homd.org/jbrowse/?data=homd_V11.02_phage_1.2%2FGCA_916438585.1&amp;loc=GCA_916438585.1%7CCAKAFQ010000001.1%3A1598558..1605610&amp;tracks=prokka,prokka_ncrna,ncbi,ncbi_ncrna,panggolin,cenote,genomad&amp;highlight=","Open JBrowse")</f>
        <v>Open JBrowse</v>
      </c>
      <c r="H933">
        <v>1601558</v>
      </c>
      <c r="I933">
        <v>1602610</v>
      </c>
      <c r="J933" t="s">
        <v>5594</v>
      </c>
      <c r="K933" t="s">
        <v>59</v>
      </c>
      <c r="L933" t="s">
        <v>5595</v>
      </c>
      <c r="M933" t="s">
        <v>5596</v>
      </c>
      <c r="N933" t="s">
        <v>42</v>
      </c>
      <c r="O933">
        <v>3</v>
      </c>
      <c r="P933" t="s">
        <v>42</v>
      </c>
      <c r="Q933" t="s">
        <v>59</v>
      </c>
      <c r="R933" t="s">
        <v>5597</v>
      </c>
      <c r="S933" t="s">
        <v>5595</v>
      </c>
      <c r="T933" t="s">
        <v>42</v>
      </c>
      <c r="U933">
        <v>91</v>
      </c>
      <c r="V933">
        <v>346</v>
      </c>
      <c r="W933">
        <v>256</v>
      </c>
      <c r="X933" t="s">
        <v>142</v>
      </c>
      <c r="Y933" t="s">
        <v>5598</v>
      </c>
      <c r="Z933" t="s">
        <v>126</v>
      </c>
      <c r="AA933" t="s">
        <v>5599</v>
      </c>
      <c r="AB933" t="s">
        <v>5600</v>
      </c>
      <c r="AC933" t="s">
        <v>1803</v>
      </c>
      <c r="AD933" t="s">
        <v>51</v>
      </c>
      <c r="AE933">
        <v>372.3</v>
      </c>
      <c r="AF933" t="s">
        <v>1214</v>
      </c>
    </row>
    <row r="934" spans="1:32" x14ac:dyDescent="0.75">
      <c r="A934" s="22" t="s">
        <v>6051</v>
      </c>
      <c r="B934" t="s">
        <v>5936</v>
      </c>
      <c r="C934" t="s">
        <v>104</v>
      </c>
      <c r="D934" t="s">
        <v>1998</v>
      </c>
      <c r="E934" t="s">
        <v>1999</v>
      </c>
      <c r="F934" t="s">
        <v>5940</v>
      </c>
      <c r="G934" s="1" t="str">
        <f>HYPERLINK("https://homd.org/jbrowse/?data=homd_V11.02_phage_1.2%2FGCA_945829905.1&amp;loc=GCA_945829905.1%7CCALZWP010000026.1%3A14204..21196&amp;tracks=prokka,prokka_ncrna,ncbi,ncbi_ncrna,panggolin,cenote,genomad&amp;highlight=","Open JBrowse")</f>
        <v>Open JBrowse</v>
      </c>
      <c r="H934">
        <v>17204</v>
      </c>
      <c r="I934">
        <v>18196</v>
      </c>
      <c r="J934" t="s">
        <v>5941</v>
      </c>
      <c r="K934" t="s">
        <v>109</v>
      </c>
      <c r="L934" t="s">
        <v>4184</v>
      </c>
      <c r="M934" t="s">
        <v>4185</v>
      </c>
      <c r="N934" t="s">
        <v>42</v>
      </c>
      <c r="O934">
        <v>3</v>
      </c>
      <c r="P934" t="s">
        <v>42</v>
      </c>
      <c r="Q934" t="s">
        <v>101</v>
      </c>
      <c r="R934" t="s">
        <v>5939</v>
      </c>
      <c r="S934" t="s">
        <v>4184</v>
      </c>
      <c r="T934" t="s">
        <v>42</v>
      </c>
      <c r="U934">
        <v>91</v>
      </c>
      <c r="V934">
        <v>327</v>
      </c>
      <c r="W934">
        <v>237</v>
      </c>
      <c r="X934" t="s">
        <v>248</v>
      </c>
      <c r="Y934" t="s">
        <v>5942</v>
      </c>
      <c r="Z934" t="s">
        <v>556</v>
      </c>
      <c r="AA934" t="s">
        <v>5943</v>
      </c>
      <c r="AB934" t="s">
        <v>5944</v>
      </c>
      <c r="AC934" t="s">
        <v>2010</v>
      </c>
      <c r="AD934" t="s">
        <v>101</v>
      </c>
      <c r="AE934">
        <v>4431</v>
      </c>
      <c r="AF934" t="s">
        <v>2270</v>
      </c>
    </row>
    <row r="935" spans="1:32" x14ac:dyDescent="0.75">
      <c r="A935" s="22" t="s">
        <v>6051</v>
      </c>
      <c r="B935" t="s">
        <v>5951</v>
      </c>
      <c r="C935" t="s">
        <v>104</v>
      </c>
      <c r="D935" t="s">
        <v>1998</v>
      </c>
      <c r="E935" t="s">
        <v>1999</v>
      </c>
      <c r="F935" t="s">
        <v>5955</v>
      </c>
      <c r="G935" s="1" t="str">
        <f>HYPERLINK("https://homd.org/jbrowse/?data=homd_V11.02_phage_1.2%2FGCA_945869495.1&amp;loc=GCA_945869495.1%7CCAMBOX010000026.1%3A14299..21291&amp;tracks=prokka,prokka_ncrna,ncbi,ncbi_ncrna,panggolin,cenote,genomad&amp;highlight=","Open JBrowse")</f>
        <v>Open JBrowse</v>
      </c>
      <c r="H935">
        <v>17299</v>
      </c>
      <c r="I935">
        <v>18291</v>
      </c>
      <c r="J935" t="s">
        <v>5956</v>
      </c>
      <c r="K935" t="s">
        <v>109</v>
      </c>
      <c r="L935" t="s">
        <v>4184</v>
      </c>
      <c r="M935" t="s">
        <v>4185</v>
      </c>
      <c r="N935" t="s">
        <v>42</v>
      </c>
      <c r="O935">
        <v>3</v>
      </c>
      <c r="P935" t="s">
        <v>42</v>
      </c>
      <c r="Q935" t="s">
        <v>101</v>
      </c>
      <c r="R935" t="s">
        <v>5954</v>
      </c>
      <c r="S935" t="s">
        <v>4184</v>
      </c>
      <c r="T935" t="s">
        <v>42</v>
      </c>
      <c r="U935">
        <v>91</v>
      </c>
      <c r="V935">
        <v>327</v>
      </c>
      <c r="W935">
        <v>237</v>
      </c>
      <c r="X935" t="s">
        <v>248</v>
      </c>
      <c r="Y935" t="s">
        <v>5957</v>
      </c>
      <c r="Z935" t="s">
        <v>193</v>
      </c>
      <c r="AA935" t="s">
        <v>5943</v>
      </c>
      <c r="AB935" t="s">
        <v>5958</v>
      </c>
      <c r="AC935" t="s">
        <v>2010</v>
      </c>
      <c r="AD935" t="s">
        <v>101</v>
      </c>
      <c r="AE935">
        <v>4431</v>
      </c>
      <c r="AF935" t="s">
        <v>2270</v>
      </c>
    </row>
    <row r="936" spans="1:32" x14ac:dyDescent="0.75">
      <c r="A936" s="22" t="s">
        <v>6051</v>
      </c>
      <c r="B936" t="s">
        <v>5759</v>
      </c>
      <c r="C936" t="s">
        <v>104</v>
      </c>
      <c r="D936" t="s">
        <v>3456</v>
      </c>
      <c r="E936" t="s">
        <v>1069</v>
      </c>
      <c r="F936" t="s">
        <v>5765</v>
      </c>
      <c r="G936" s="1" t="str">
        <f>HYPERLINK("https://homd.org/jbrowse/?data=homd_V11.02_phage_1.2%2FGCA_937926905.1&amp;loc=GCA_937926905.1%7CCALBAS010000119.1%3A1293..8378&amp;tracks=prokka,prokka_ncrna,ncbi,ncbi_ncrna,panggolin,cenote,genomad&amp;highlight=","Open JBrowse")</f>
        <v>Open JBrowse</v>
      </c>
      <c r="H936">
        <v>4293</v>
      </c>
      <c r="I936">
        <v>5378</v>
      </c>
      <c r="J936" t="s">
        <v>5766</v>
      </c>
      <c r="K936" t="s">
        <v>59</v>
      </c>
      <c r="L936" t="s">
        <v>5767</v>
      </c>
      <c r="M936" t="s">
        <v>5768</v>
      </c>
      <c r="N936" t="s">
        <v>42</v>
      </c>
      <c r="O936">
        <v>3</v>
      </c>
      <c r="P936" t="s">
        <v>42</v>
      </c>
      <c r="Q936" t="s">
        <v>59</v>
      </c>
      <c r="R936" t="s">
        <v>5762</v>
      </c>
      <c r="S936" t="s">
        <v>5767</v>
      </c>
      <c r="T936" t="s">
        <v>42</v>
      </c>
      <c r="U936">
        <v>102</v>
      </c>
      <c r="V936">
        <v>358</v>
      </c>
      <c r="W936">
        <v>257</v>
      </c>
      <c r="X936" t="s">
        <v>142</v>
      </c>
      <c r="Y936" t="s">
        <v>5769</v>
      </c>
      <c r="Z936" t="s">
        <v>126</v>
      </c>
      <c r="AA936" t="s">
        <v>3463</v>
      </c>
    </row>
    <row r="937" spans="1:32" x14ac:dyDescent="0.75">
      <c r="A937" s="22" t="s">
        <v>6051</v>
      </c>
      <c r="B937" t="s">
        <v>3455</v>
      </c>
      <c r="C937" t="s">
        <v>104</v>
      </c>
      <c r="D937" t="s">
        <v>3456</v>
      </c>
      <c r="E937" t="s">
        <v>1069</v>
      </c>
      <c r="F937" t="s">
        <v>3457</v>
      </c>
      <c r="G937" s="1" t="str">
        <f>HYPERLINK("https://homd.org/jbrowse/?data=homd_V11.02_phage_1.2%2FGCA_018128245.1&amp;loc=GCA_018128245.1%7CCP072378.1%3A1988767..1995858&amp;tracks=prokka,prokka_ncrna,ncbi,ncbi_ncrna,panggolin,cenote,genomad&amp;highlight=","Open JBrowse")</f>
        <v>Open JBrowse</v>
      </c>
      <c r="H937">
        <v>1991767</v>
      </c>
      <c r="I937">
        <v>1992858</v>
      </c>
      <c r="J937" t="s">
        <v>3458</v>
      </c>
      <c r="K937" t="s">
        <v>59</v>
      </c>
      <c r="L937" t="s">
        <v>3459</v>
      </c>
      <c r="M937" t="s">
        <v>3460</v>
      </c>
      <c r="N937" t="s">
        <v>42</v>
      </c>
      <c r="O937">
        <v>3</v>
      </c>
      <c r="P937" t="s">
        <v>42</v>
      </c>
      <c r="Q937" t="s">
        <v>59</v>
      </c>
      <c r="R937" t="s">
        <v>3461</v>
      </c>
      <c r="S937" t="s">
        <v>3459</v>
      </c>
      <c r="T937" t="s">
        <v>42</v>
      </c>
      <c r="U937">
        <v>104</v>
      </c>
      <c r="V937">
        <v>360</v>
      </c>
      <c r="W937">
        <v>257</v>
      </c>
      <c r="X937" t="s">
        <v>142</v>
      </c>
      <c r="Y937" t="s">
        <v>3462</v>
      </c>
      <c r="Z937" t="s">
        <v>281</v>
      </c>
      <c r="AA937" t="s">
        <v>3463</v>
      </c>
    </row>
    <row r="938" spans="1:32" x14ac:dyDescent="0.75">
      <c r="A938" s="22" t="s">
        <v>6051</v>
      </c>
      <c r="B938" t="s">
        <v>1793</v>
      </c>
      <c r="C938" t="s">
        <v>104</v>
      </c>
      <c r="D938" t="s">
        <v>1794</v>
      </c>
      <c r="E938" t="s">
        <v>1069</v>
      </c>
      <c r="F938" t="s">
        <v>1795</v>
      </c>
      <c r="G938" s="1" t="str">
        <f>HYPERLINK("https://homd.org/jbrowse/?data=homd_V11.02_phage_1.2%2FGCA_002240055.1&amp;loc=GCA_002240055.1%7CCP016753.1%3A751984..759081&amp;tracks=prokka,prokka_ncrna,ncbi,ncbi_ncrna,panggolin,cenote,genomad&amp;highlight=","Open JBrowse")</f>
        <v>Open JBrowse</v>
      </c>
      <c r="H938">
        <v>754984</v>
      </c>
      <c r="I938">
        <v>756081</v>
      </c>
      <c r="J938" t="s">
        <v>1796</v>
      </c>
      <c r="K938" t="s">
        <v>59</v>
      </c>
      <c r="L938" t="s">
        <v>1797</v>
      </c>
      <c r="M938" t="s">
        <v>1798</v>
      </c>
      <c r="N938" t="s">
        <v>42</v>
      </c>
      <c r="O938">
        <v>3</v>
      </c>
      <c r="P938" t="s">
        <v>42</v>
      </c>
      <c r="Q938" t="s">
        <v>59</v>
      </c>
      <c r="R938" t="s">
        <v>1799</v>
      </c>
      <c r="S938" t="s">
        <v>1797</v>
      </c>
      <c r="T938" t="s">
        <v>42</v>
      </c>
      <c r="U938">
        <v>105</v>
      </c>
      <c r="V938">
        <v>361</v>
      </c>
      <c r="W938">
        <v>257</v>
      </c>
      <c r="X938" t="s">
        <v>142</v>
      </c>
      <c r="Y938" t="s">
        <v>1800</v>
      </c>
      <c r="Z938" t="s">
        <v>932</v>
      </c>
      <c r="AA938" t="s">
        <v>1801</v>
      </c>
      <c r="AB938" t="s">
        <v>1802</v>
      </c>
      <c r="AC938" t="s">
        <v>1803</v>
      </c>
      <c r="AD938" t="s">
        <v>51</v>
      </c>
      <c r="AE938">
        <v>374.3</v>
      </c>
      <c r="AF938" t="s">
        <v>1214</v>
      </c>
    </row>
    <row r="939" spans="1:32" x14ac:dyDescent="0.75">
      <c r="A939" s="22" t="s">
        <v>6051</v>
      </c>
      <c r="B939" t="s">
        <v>2192</v>
      </c>
      <c r="C939" t="s">
        <v>104</v>
      </c>
      <c r="D939" t="s">
        <v>1794</v>
      </c>
      <c r="E939" t="s">
        <v>1069</v>
      </c>
      <c r="F939" t="s">
        <v>2193</v>
      </c>
      <c r="G939" s="1" t="str">
        <f>HYPERLINK("https://homd.org/jbrowse/?data=homd_V11.02_phage_1.2%2FGCA_003638725.1&amp;loc=GCA_003638725.1%7CRBKD01000048.1%3A1..4306&amp;tracks=prokka,prokka_ncrna,ncbi,ncbi_ncrna,panggolin,cenote,genomad&amp;highlight=","Open JBrowse")</f>
        <v>Open JBrowse</v>
      </c>
      <c r="H939">
        <v>209</v>
      </c>
      <c r="I939">
        <v>1306</v>
      </c>
      <c r="J939" t="s">
        <v>2194</v>
      </c>
      <c r="K939" t="s">
        <v>59</v>
      </c>
      <c r="L939" t="s">
        <v>1797</v>
      </c>
      <c r="M939" t="s">
        <v>1798</v>
      </c>
      <c r="N939" t="s">
        <v>42</v>
      </c>
      <c r="O939">
        <v>3</v>
      </c>
      <c r="P939" t="s">
        <v>42</v>
      </c>
      <c r="Q939" t="s">
        <v>59</v>
      </c>
      <c r="R939" t="s">
        <v>2195</v>
      </c>
      <c r="S939" t="s">
        <v>1797</v>
      </c>
      <c r="T939" t="s">
        <v>42</v>
      </c>
      <c r="U939">
        <v>105</v>
      </c>
      <c r="V939">
        <v>361</v>
      </c>
      <c r="W939">
        <v>257</v>
      </c>
      <c r="X939" t="s">
        <v>142</v>
      </c>
      <c r="Y939" t="s">
        <v>2196</v>
      </c>
      <c r="Z939" t="s">
        <v>1463</v>
      </c>
      <c r="AA939" t="s">
        <v>2197</v>
      </c>
      <c r="AB939" t="s">
        <v>2198</v>
      </c>
      <c r="AC939" t="s">
        <v>1803</v>
      </c>
      <c r="AD939" t="s">
        <v>51</v>
      </c>
      <c r="AE939">
        <v>379.3</v>
      </c>
      <c r="AF939" t="s">
        <v>1214</v>
      </c>
    </row>
    <row r="940" spans="1:32" x14ac:dyDescent="0.75">
      <c r="A940" s="22" t="s">
        <v>6051</v>
      </c>
      <c r="B940" t="s">
        <v>3446</v>
      </c>
      <c r="C940" t="s">
        <v>104</v>
      </c>
      <c r="D940" t="s">
        <v>3447</v>
      </c>
      <c r="E940" t="s">
        <v>1069</v>
      </c>
      <c r="F940" t="s">
        <v>3448</v>
      </c>
      <c r="G940" s="1" t="str">
        <f>HYPERLINK("https://homd.org/jbrowse/?data=homd_V11.02_phage_1.2%2FGCA_018128225.1&amp;loc=GCA_018128225.1%7CCP072377.1%3A2112045..2119139&amp;tracks=prokka,prokka_ncrna,ncbi,ncbi_ncrna,panggolin,cenote,genomad&amp;highlight=","Open JBrowse")</f>
        <v>Open JBrowse</v>
      </c>
      <c r="H940">
        <v>2115045</v>
      </c>
      <c r="I940">
        <v>2116139</v>
      </c>
      <c r="J940" t="s">
        <v>3449</v>
      </c>
      <c r="K940" t="s">
        <v>59</v>
      </c>
      <c r="L940" t="s">
        <v>3450</v>
      </c>
      <c r="M940" t="s">
        <v>3451</v>
      </c>
      <c r="N940" t="s">
        <v>42</v>
      </c>
      <c r="O940">
        <v>3</v>
      </c>
      <c r="P940" t="s">
        <v>42</v>
      </c>
      <c r="Q940" t="s">
        <v>59</v>
      </c>
      <c r="R940" t="s">
        <v>3452</v>
      </c>
      <c r="S940" t="s">
        <v>3450</v>
      </c>
      <c r="T940" t="s">
        <v>42</v>
      </c>
      <c r="U940">
        <v>105</v>
      </c>
      <c r="V940">
        <v>360</v>
      </c>
      <c r="W940">
        <v>256</v>
      </c>
      <c r="X940" t="s">
        <v>142</v>
      </c>
      <c r="Y940" t="s">
        <v>3453</v>
      </c>
      <c r="Z940" t="s">
        <v>1327</v>
      </c>
      <c r="AA940" t="s">
        <v>3454</v>
      </c>
    </row>
    <row r="941" spans="1:32" x14ac:dyDescent="0.75">
      <c r="A941" s="22" t="s">
        <v>6051</v>
      </c>
      <c r="B941" t="s">
        <v>3640</v>
      </c>
      <c r="C941" t="s">
        <v>104</v>
      </c>
      <c r="D941" t="s">
        <v>2405</v>
      </c>
      <c r="E941" t="s">
        <v>1069</v>
      </c>
      <c r="F941" t="s">
        <v>3641</v>
      </c>
      <c r="G941" s="1" t="str">
        <f>HYPERLINK("https://homd.org/jbrowse/?data=homd_V11.02_phage_1.2%2FGCA_018373565.1&amp;loc=GCA_018373565.1%7CJAHAGV010000025.1%3A3854..10945&amp;tracks=prokka,prokka_ncrna,ncbi,ncbi_ncrna,panggolin,cenote,genomad&amp;highlight=","Open JBrowse")</f>
        <v>Open JBrowse</v>
      </c>
      <c r="H941">
        <v>6854</v>
      </c>
      <c r="I941">
        <v>7945</v>
      </c>
      <c r="J941" t="s">
        <v>3642</v>
      </c>
      <c r="K941" t="s">
        <v>59</v>
      </c>
      <c r="L941" t="s">
        <v>3450</v>
      </c>
      <c r="M941" t="s">
        <v>3451</v>
      </c>
      <c r="N941" t="s">
        <v>42</v>
      </c>
      <c r="O941">
        <v>3</v>
      </c>
      <c r="P941" t="s">
        <v>42</v>
      </c>
      <c r="Q941" t="s">
        <v>59</v>
      </c>
      <c r="R941" t="s">
        <v>3643</v>
      </c>
      <c r="S941" t="s">
        <v>3450</v>
      </c>
      <c r="T941" t="s">
        <v>42</v>
      </c>
      <c r="U941">
        <v>105</v>
      </c>
      <c r="V941">
        <v>360</v>
      </c>
      <c r="W941">
        <v>256</v>
      </c>
      <c r="X941" t="s">
        <v>142</v>
      </c>
      <c r="Y941" t="s">
        <v>3644</v>
      </c>
      <c r="Z941" t="s">
        <v>1948</v>
      </c>
      <c r="AA941" t="s">
        <v>3645</v>
      </c>
    </row>
    <row r="942" spans="1:32" x14ac:dyDescent="0.75">
      <c r="A942" s="22" t="s">
        <v>6051</v>
      </c>
      <c r="B942" t="s">
        <v>2260</v>
      </c>
      <c r="C942" t="s">
        <v>104</v>
      </c>
      <c r="D942" t="s">
        <v>1998</v>
      </c>
      <c r="E942" t="s">
        <v>1999</v>
      </c>
      <c r="F942" t="s">
        <v>2264</v>
      </c>
      <c r="G942" s="1" t="str">
        <f>HYPERLINK("https://homd.org/jbrowse/?data=homd_V11.02_phage_1.2%2FGCA_004342845.1&amp;loc=GCA_004342845.1%7CSLXB01000040.1%3A809..7855&amp;tracks=prokka,prokka_ncrna,ncbi,ncbi_ncrna,panggolin,cenote,genomad&amp;highlight=","Open JBrowse")</f>
        <v>Open JBrowse</v>
      </c>
      <c r="H942">
        <v>3809</v>
      </c>
      <c r="I942">
        <v>4855</v>
      </c>
      <c r="J942" t="s">
        <v>2265</v>
      </c>
      <c r="K942" t="s">
        <v>109</v>
      </c>
      <c r="L942" t="s">
        <v>2266</v>
      </c>
      <c r="M942" t="s">
        <v>2267</v>
      </c>
      <c r="N942" t="s">
        <v>42</v>
      </c>
      <c r="O942">
        <v>3</v>
      </c>
      <c r="P942" t="s">
        <v>42</v>
      </c>
      <c r="Q942" t="s">
        <v>101</v>
      </c>
      <c r="R942" t="s">
        <v>2263</v>
      </c>
      <c r="S942" t="s">
        <v>2266</v>
      </c>
      <c r="T942" t="s">
        <v>42</v>
      </c>
      <c r="U942">
        <v>109</v>
      </c>
      <c r="V942">
        <v>345</v>
      </c>
      <c r="W942">
        <v>237</v>
      </c>
      <c r="X942" t="s">
        <v>248</v>
      </c>
      <c r="Y942" t="s">
        <v>2268</v>
      </c>
      <c r="Z942" t="s">
        <v>429</v>
      </c>
      <c r="AA942" t="s">
        <v>250</v>
      </c>
      <c r="AB942" t="s">
        <v>2269</v>
      </c>
      <c r="AC942" t="s">
        <v>2010</v>
      </c>
      <c r="AD942" t="s">
        <v>101</v>
      </c>
      <c r="AE942">
        <v>4425</v>
      </c>
      <c r="AF942" t="s">
        <v>2270</v>
      </c>
    </row>
    <row r="943" spans="1:32" x14ac:dyDescent="0.75">
      <c r="A943" s="22" t="s">
        <v>6051</v>
      </c>
      <c r="B943" t="s">
        <v>5282</v>
      </c>
      <c r="C943" t="s">
        <v>104</v>
      </c>
      <c r="D943" t="s">
        <v>1998</v>
      </c>
      <c r="E943" t="s">
        <v>1999</v>
      </c>
      <c r="F943" t="s">
        <v>5283</v>
      </c>
      <c r="G943" s="1" t="str">
        <f>HYPERLINK("https://homd.org/jbrowse/?data=homd_V11.02_phage_1.2%2FGCA_900683665.1&amp;loc=GCA_900683665.1%7CCAACYH010000004.1%3A2647994..2655040&amp;tracks=prokka,prokka_ncrna,ncbi,ncbi_ncrna,panggolin,cenote,genomad&amp;highlight=","Open JBrowse")</f>
        <v>Open JBrowse</v>
      </c>
      <c r="H943">
        <v>2650994</v>
      </c>
      <c r="I943">
        <v>2652040</v>
      </c>
      <c r="J943" t="s">
        <v>5284</v>
      </c>
      <c r="K943" t="s">
        <v>109</v>
      </c>
      <c r="L943" t="s">
        <v>2266</v>
      </c>
      <c r="M943" t="s">
        <v>2267</v>
      </c>
      <c r="N943" t="s">
        <v>42</v>
      </c>
      <c r="O943">
        <v>3</v>
      </c>
      <c r="P943" t="s">
        <v>42</v>
      </c>
      <c r="Q943" t="s">
        <v>101</v>
      </c>
      <c r="R943" t="s">
        <v>5285</v>
      </c>
      <c r="S943" t="s">
        <v>2266</v>
      </c>
      <c r="T943" t="s">
        <v>42</v>
      </c>
      <c r="U943">
        <v>109</v>
      </c>
      <c r="V943">
        <v>345</v>
      </c>
      <c r="W943">
        <v>237</v>
      </c>
      <c r="X943" t="s">
        <v>248</v>
      </c>
      <c r="Y943" t="s">
        <v>5286</v>
      </c>
      <c r="Z943" t="s">
        <v>2583</v>
      </c>
      <c r="AA943" t="s">
        <v>5287</v>
      </c>
      <c r="AB943" t="s">
        <v>5288</v>
      </c>
      <c r="AC943" t="s">
        <v>2010</v>
      </c>
      <c r="AD943" t="s">
        <v>101</v>
      </c>
      <c r="AE943">
        <v>4424</v>
      </c>
      <c r="AF943" t="s">
        <v>2270</v>
      </c>
    </row>
    <row r="944" spans="1:32" x14ac:dyDescent="0.75">
      <c r="A944" s="22" t="s">
        <v>6051</v>
      </c>
      <c r="B944" t="s">
        <v>1525</v>
      </c>
      <c r="C944" t="s">
        <v>104</v>
      </c>
      <c r="D944" t="s">
        <v>873</v>
      </c>
      <c r="E944" t="s">
        <v>874</v>
      </c>
      <c r="F944" t="s">
        <v>1526</v>
      </c>
      <c r="G944" s="1" t="str">
        <f>HYPERLINK("https://homd.org/jbrowse/?data=homd_V11.02_phage_1.2%2FGCA_001553045.1&amp;loc=GCA_001553045.1%7CKQ960074.1%3A1..4397&amp;tracks=prokka,prokka_ncrna,ncbi,ncbi_ncrna,panggolin,cenote,genomad&amp;highlight=","Open JBrowse")</f>
        <v>Open JBrowse</v>
      </c>
      <c r="H944">
        <v>261</v>
      </c>
      <c r="I944">
        <v>1397</v>
      </c>
      <c r="J944" t="s">
        <v>1527</v>
      </c>
      <c r="K944" t="s">
        <v>59</v>
      </c>
      <c r="L944" t="s">
        <v>1528</v>
      </c>
      <c r="M944" t="s">
        <v>1529</v>
      </c>
      <c r="N944" t="s">
        <v>42</v>
      </c>
      <c r="O944">
        <v>3</v>
      </c>
      <c r="P944" t="s">
        <v>42</v>
      </c>
      <c r="Q944" t="s">
        <v>59</v>
      </c>
      <c r="R944" t="s">
        <v>1530</v>
      </c>
      <c r="S944" t="s">
        <v>1528</v>
      </c>
      <c r="T944" t="s">
        <v>42</v>
      </c>
      <c r="U944">
        <v>120</v>
      </c>
      <c r="V944">
        <v>375</v>
      </c>
      <c r="W944">
        <v>256</v>
      </c>
      <c r="X944" t="s">
        <v>142</v>
      </c>
    </row>
    <row r="945" spans="1:32" x14ac:dyDescent="0.75">
      <c r="A945" s="22" t="s">
        <v>6051</v>
      </c>
      <c r="B945" t="s">
        <v>1553</v>
      </c>
      <c r="C945" t="s">
        <v>104</v>
      </c>
      <c r="D945" t="s">
        <v>1554</v>
      </c>
      <c r="E945" t="s">
        <v>1069</v>
      </c>
      <c r="F945" t="s">
        <v>1555</v>
      </c>
      <c r="G945" s="1" t="str">
        <f>HYPERLINK("https://homd.org/jbrowse/?data=homd_V11.02_phage_1.2%2FGCA_001553645.1&amp;loc=GCA_001553645.1%7CCP014231.1%3A1255957..1263099&amp;tracks=prokka,prokka_ncrna,ncbi,ncbi_ncrna,panggolin,cenote,genomad&amp;highlight=","Open JBrowse")</f>
        <v>Open JBrowse</v>
      </c>
      <c r="H945">
        <v>1258957</v>
      </c>
      <c r="I945">
        <v>1260099</v>
      </c>
      <c r="J945" t="s">
        <v>1556</v>
      </c>
      <c r="K945" t="s">
        <v>59</v>
      </c>
      <c r="L945" t="s">
        <v>1557</v>
      </c>
      <c r="M945" t="s">
        <v>1558</v>
      </c>
      <c r="N945" t="s">
        <v>42</v>
      </c>
      <c r="O945">
        <v>3</v>
      </c>
      <c r="P945" t="s">
        <v>42</v>
      </c>
      <c r="Q945" t="s">
        <v>59</v>
      </c>
      <c r="R945" t="s">
        <v>1559</v>
      </c>
      <c r="S945" t="s">
        <v>1557</v>
      </c>
      <c r="T945" t="s">
        <v>42</v>
      </c>
      <c r="U945">
        <v>120</v>
      </c>
      <c r="V945">
        <v>376</v>
      </c>
      <c r="W945">
        <v>257</v>
      </c>
      <c r="X945" t="s">
        <v>142</v>
      </c>
      <c r="Y945" t="s">
        <v>1560</v>
      </c>
      <c r="Z945" t="s">
        <v>126</v>
      </c>
      <c r="AA945" t="s">
        <v>1561</v>
      </c>
    </row>
    <row r="946" spans="1:32" x14ac:dyDescent="0.75">
      <c r="A946" s="22" t="s">
        <v>6051</v>
      </c>
      <c r="B946" t="s">
        <v>2389</v>
      </c>
      <c r="C946" t="s">
        <v>104</v>
      </c>
      <c r="D946" t="s">
        <v>873</v>
      </c>
      <c r="E946" t="s">
        <v>874</v>
      </c>
      <c r="F946" t="s">
        <v>2390</v>
      </c>
      <c r="G946" s="1" t="str">
        <f>HYPERLINK("https://homd.org/jbrowse/?data=homd_V11.02_phage_1.2%2FGCA_007990385.1&amp;loc=GCA_007990385.1%7CAP019834.1%3A151509..158645&amp;tracks=prokka,prokka_ncrna,ncbi,ncbi_ncrna,panggolin,cenote,genomad&amp;highlight=","Open JBrowse")</f>
        <v>Open JBrowse</v>
      </c>
      <c r="H946">
        <v>154509</v>
      </c>
      <c r="I946">
        <v>155645</v>
      </c>
      <c r="J946" t="s">
        <v>2391</v>
      </c>
      <c r="K946" t="s">
        <v>59</v>
      </c>
      <c r="L946" t="s">
        <v>1528</v>
      </c>
      <c r="M946" t="s">
        <v>1529</v>
      </c>
      <c r="N946" t="s">
        <v>42</v>
      </c>
      <c r="O946">
        <v>3</v>
      </c>
      <c r="P946" t="s">
        <v>42</v>
      </c>
      <c r="Q946" t="s">
        <v>59</v>
      </c>
      <c r="R946" t="s">
        <v>2392</v>
      </c>
      <c r="S946" t="s">
        <v>1528</v>
      </c>
      <c r="T946" t="s">
        <v>42</v>
      </c>
      <c r="U946">
        <v>120</v>
      </c>
      <c r="V946">
        <v>375</v>
      </c>
      <c r="W946">
        <v>256</v>
      </c>
      <c r="X946" t="s">
        <v>142</v>
      </c>
      <c r="Y946" t="s">
        <v>2393</v>
      </c>
      <c r="Z946" t="s">
        <v>47</v>
      </c>
      <c r="AA946" t="s">
        <v>2394</v>
      </c>
    </row>
    <row r="947" spans="1:32" x14ac:dyDescent="0.75">
      <c r="A947" s="22" t="s">
        <v>6051</v>
      </c>
      <c r="B947" t="s">
        <v>5759</v>
      </c>
      <c r="C947" t="s">
        <v>104</v>
      </c>
      <c r="D947" t="s">
        <v>3456</v>
      </c>
      <c r="E947" t="s">
        <v>1069</v>
      </c>
      <c r="F947" t="s">
        <v>5760</v>
      </c>
      <c r="G947" s="1" t="str">
        <f>HYPERLINK("https://homd.org/jbrowse/?data=homd_V11.02_phage_1.2%2FGCA_937926905.1&amp;loc=GCA_937926905.1%7CCALBAS010000014.1%3A1..5110&amp;tracks=prokka,prokka_ncrna,ncbi,ncbi_ncrna,panggolin,cenote,genomad&amp;highlight=","Open JBrowse")</f>
        <v>Open JBrowse</v>
      </c>
      <c r="H947">
        <v>974</v>
      </c>
      <c r="I947">
        <v>2110</v>
      </c>
      <c r="J947" t="s">
        <v>5761</v>
      </c>
      <c r="K947" t="s">
        <v>59</v>
      </c>
      <c r="L947" t="s">
        <v>1528</v>
      </c>
      <c r="M947" t="s">
        <v>1529</v>
      </c>
      <c r="N947" t="s">
        <v>42</v>
      </c>
      <c r="O947">
        <v>3</v>
      </c>
      <c r="P947" t="s">
        <v>42</v>
      </c>
      <c r="Q947" t="s">
        <v>59</v>
      </c>
      <c r="R947" t="s">
        <v>5762</v>
      </c>
      <c r="S947" t="s">
        <v>1528</v>
      </c>
      <c r="T947" t="s">
        <v>42</v>
      </c>
      <c r="U947">
        <v>120</v>
      </c>
      <c r="V947">
        <v>375</v>
      </c>
      <c r="W947">
        <v>256</v>
      </c>
      <c r="X947" t="s">
        <v>142</v>
      </c>
      <c r="Y947" t="s">
        <v>5763</v>
      </c>
      <c r="Z947" t="s">
        <v>645</v>
      </c>
      <c r="AA947" t="s">
        <v>5764</v>
      </c>
    </row>
    <row r="948" spans="1:32" x14ac:dyDescent="0.75">
      <c r="A948" s="22" t="s">
        <v>6051</v>
      </c>
      <c r="B948" t="s">
        <v>1997</v>
      </c>
      <c r="C948" t="s">
        <v>104</v>
      </c>
      <c r="D948" t="s">
        <v>1998</v>
      </c>
      <c r="E948" t="s">
        <v>1999</v>
      </c>
      <c r="F948" t="s">
        <v>2000</v>
      </c>
      <c r="G948" s="1" t="str">
        <f>HYPERLINK("https://homd.org/jbrowse/?data=homd_V11.02_phage_1.2%2FGCA_002998535.1&amp;loc=GCA_002998535.1%7CCP027234.1%3A578590..585678&amp;tracks=prokka,prokka_ncrna,ncbi,ncbi_ncrna,panggolin,cenote,genomad&amp;highlight=","Open JBrowse")</f>
        <v>Open JBrowse</v>
      </c>
      <c r="H948">
        <v>581590</v>
      </c>
      <c r="I948">
        <v>582678</v>
      </c>
      <c r="J948" t="s">
        <v>2003</v>
      </c>
      <c r="K948" t="s">
        <v>109</v>
      </c>
      <c r="L948" t="s">
        <v>2004</v>
      </c>
      <c r="M948" t="s">
        <v>2005</v>
      </c>
      <c r="N948" t="s">
        <v>42</v>
      </c>
      <c r="O948">
        <v>3</v>
      </c>
      <c r="P948" t="s">
        <v>42</v>
      </c>
      <c r="Q948" t="s">
        <v>101</v>
      </c>
      <c r="R948" t="s">
        <v>2002</v>
      </c>
      <c r="S948" t="s">
        <v>2004</v>
      </c>
      <c r="T948" t="s">
        <v>42</v>
      </c>
      <c r="U948">
        <v>123</v>
      </c>
      <c r="V948">
        <v>359</v>
      </c>
      <c r="W948">
        <v>237</v>
      </c>
      <c r="X948" t="s">
        <v>248</v>
      </c>
      <c r="Y948" t="s">
        <v>2006</v>
      </c>
      <c r="Z948" t="s">
        <v>2007</v>
      </c>
      <c r="AA948" t="s">
        <v>2008</v>
      </c>
      <c r="AB948" t="s">
        <v>2009</v>
      </c>
      <c r="AC948" t="s">
        <v>2010</v>
      </c>
      <c r="AD948" t="s">
        <v>101</v>
      </c>
      <c r="AE948">
        <v>4428</v>
      </c>
      <c r="AF948" t="s">
        <v>2011</v>
      </c>
    </row>
    <row r="949" spans="1:32" x14ac:dyDescent="0.75">
      <c r="A949" s="22" t="s">
        <v>6051</v>
      </c>
      <c r="B949" t="s">
        <v>2205</v>
      </c>
      <c r="C949" t="s">
        <v>104</v>
      </c>
      <c r="D949" t="s">
        <v>1998</v>
      </c>
      <c r="E949" t="s">
        <v>1999</v>
      </c>
      <c r="F949" t="s">
        <v>2209</v>
      </c>
      <c r="G949" s="1" t="str">
        <f>HYPERLINK("https://homd.org/jbrowse/?data=homd_V11.02_phage_1.2%2FGCA_003932775.1&amp;loc=GCA_003932775.1%7CRQYF01000021.1%3A5328..12416&amp;tracks=prokka,prokka_ncrna,ncbi,ncbi_ncrna,panggolin,cenote,genomad&amp;highlight=","Open JBrowse")</f>
        <v>Open JBrowse</v>
      </c>
      <c r="H949">
        <v>8328</v>
      </c>
      <c r="I949">
        <v>9416</v>
      </c>
      <c r="J949" t="s">
        <v>2210</v>
      </c>
      <c r="K949" t="s">
        <v>109</v>
      </c>
      <c r="L949" t="s">
        <v>2004</v>
      </c>
      <c r="M949" t="s">
        <v>2005</v>
      </c>
      <c r="N949" t="s">
        <v>42</v>
      </c>
      <c r="O949">
        <v>3</v>
      </c>
      <c r="P949" t="s">
        <v>42</v>
      </c>
      <c r="Q949" t="s">
        <v>101</v>
      </c>
      <c r="R949" t="s">
        <v>2208</v>
      </c>
      <c r="S949" t="s">
        <v>2004</v>
      </c>
      <c r="T949" t="s">
        <v>42</v>
      </c>
      <c r="U949">
        <v>123</v>
      </c>
      <c r="V949">
        <v>359</v>
      </c>
      <c r="W949">
        <v>237</v>
      </c>
      <c r="X949" t="s">
        <v>248</v>
      </c>
      <c r="Y949" t="s">
        <v>2211</v>
      </c>
      <c r="Z949" t="s">
        <v>410</v>
      </c>
      <c r="AA949" t="s">
        <v>2008</v>
      </c>
      <c r="AB949" t="s">
        <v>2212</v>
      </c>
      <c r="AC949" t="s">
        <v>2010</v>
      </c>
      <c r="AD949" t="s">
        <v>101</v>
      </c>
      <c r="AE949">
        <v>4430</v>
      </c>
      <c r="AF949" t="s">
        <v>2011</v>
      </c>
    </row>
    <row r="950" spans="1:32" x14ac:dyDescent="0.75">
      <c r="A950" s="22" t="s">
        <v>6051</v>
      </c>
      <c r="B950" t="s">
        <v>5959</v>
      </c>
      <c r="C950" t="s">
        <v>104</v>
      </c>
      <c r="D950" t="s">
        <v>1998</v>
      </c>
      <c r="E950" t="s">
        <v>1999</v>
      </c>
      <c r="F950" t="s">
        <v>5963</v>
      </c>
      <c r="G950" s="1" t="str">
        <f>HYPERLINK("https://homd.org/jbrowse/?data=homd_V11.02_phage_1.2%2FGCA_945917645.1&amp;loc=GCA_945917645.1%7CCAMEHQ010000036.1%3A4936..12024&amp;tracks=prokka,prokka_ncrna,ncbi,ncbi_ncrna,panggolin,cenote,genomad&amp;highlight=","Open JBrowse")</f>
        <v>Open JBrowse</v>
      </c>
      <c r="H950">
        <v>7936</v>
      </c>
      <c r="I950">
        <v>9024</v>
      </c>
      <c r="J950" t="s">
        <v>5964</v>
      </c>
      <c r="K950" t="s">
        <v>109</v>
      </c>
      <c r="L950" t="s">
        <v>2004</v>
      </c>
      <c r="M950" t="s">
        <v>2005</v>
      </c>
      <c r="N950" t="s">
        <v>42</v>
      </c>
      <c r="O950">
        <v>3</v>
      </c>
      <c r="P950" t="s">
        <v>42</v>
      </c>
      <c r="Q950" t="s">
        <v>101</v>
      </c>
      <c r="R950" t="s">
        <v>5962</v>
      </c>
      <c r="S950" t="s">
        <v>2004</v>
      </c>
      <c r="T950" t="s">
        <v>42</v>
      </c>
      <c r="U950">
        <v>123</v>
      </c>
      <c r="V950">
        <v>359</v>
      </c>
      <c r="W950">
        <v>237</v>
      </c>
      <c r="X950" t="s">
        <v>248</v>
      </c>
      <c r="Y950" t="s">
        <v>5965</v>
      </c>
      <c r="Z950" t="s">
        <v>2694</v>
      </c>
      <c r="AA950" t="s">
        <v>5966</v>
      </c>
      <c r="AB950" t="s">
        <v>5967</v>
      </c>
      <c r="AC950" t="s">
        <v>2010</v>
      </c>
      <c r="AD950" t="s">
        <v>101</v>
      </c>
      <c r="AE950">
        <v>4430</v>
      </c>
      <c r="AF950" t="s">
        <v>2011</v>
      </c>
    </row>
    <row r="951" spans="1:32" x14ac:dyDescent="0.75">
      <c r="A951" s="22" t="s">
        <v>6051</v>
      </c>
      <c r="B951" t="s">
        <v>4189</v>
      </c>
      <c r="C951" t="s">
        <v>104</v>
      </c>
      <c r="D951" t="s">
        <v>1998</v>
      </c>
      <c r="E951" t="s">
        <v>1999</v>
      </c>
      <c r="F951" t="s">
        <v>4190</v>
      </c>
      <c r="G951" s="1" t="str">
        <f>HYPERLINK("https://homd.org/jbrowse/?data=homd_V11.02_phage_1.2%2FGCA_023436275.1&amp;loc=GCA_023436275.1%7CJAEZJU010000009.1%3A29821..36948&amp;tracks=prokka,prokka_ncrna,ncbi,ncbi_ncrna,panggolin,cenote,genomad&amp;highlight=","Open JBrowse")</f>
        <v>Open JBrowse</v>
      </c>
      <c r="H951">
        <v>32821</v>
      </c>
      <c r="I951">
        <v>33948</v>
      </c>
      <c r="J951" t="s">
        <v>4191</v>
      </c>
      <c r="K951" t="s">
        <v>109</v>
      </c>
      <c r="L951" t="s">
        <v>4192</v>
      </c>
      <c r="M951" t="s">
        <v>4193</v>
      </c>
      <c r="N951" t="s">
        <v>42</v>
      </c>
      <c r="O951">
        <v>3</v>
      </c>
      <c r="P951" t="s">
        <v>42</v>
      </c>
      <c r="Q951" t="s">
        <v>101</v>
      </c>
      <c r="R951" t="s">
        <v>4194</v>
      </c>
      <c r="S951" t="s">
        <v>4192</v>
      </c>
      <c r="T951" t="s">
        <v>42</v>
      </c>
      <c r="U951">
        <v>136</v>
      </c>
      <c r="V951">
        <v>372</v>
      </c>
      <c r="W951">
        <v>237</v>
      </c>
      <c r="X951" t="s">
        <v>248</v>
      </c>
      <c r="Y951" t="s">
        <v>4195</v>
      </c>
      <c r="Z951" t="s">
        <v>2007</v>
      </c>
      <c r="AA951" t="s">
        <v>4196</v>
      </c>
      <c r="AB951" t="s">
        <v>4197</v>
      </c>
      <c r="AC951" t="s">
        <v>2010</v>
      </c>
      <c r="AD951" t="s">
        <v>101</v>
      </c>
      <c r="AE951">
        <v>4422</v>
      </c>
      <c r="AF951" t="s">
        <v>2270</v>
      </c>
    </row>
    <row r="952" spans="1:32" x14ac:dyDescent="0.75">
      <c r="A952" s="22" t="s">
        <v>6051</v>
      </c>
      <c r="B952" t="s">
        <v>359</v>
      </c>
      <c r="C952" t="s">
        <v>104</v>
      </c>
      <c r="D952" t="s">
        <v>360</v>
      </c>
      <c r="E952" t="s">
        <v>361</v>
      </c>
      <c r="F952" t="s">
        <v>362</v>
      </c>
      <c r="G952" s="1" t="str">
        <f>HYPERLINK("https://homd.org/jbrowse/?data=homd_V11.02_phage_1.2%2FGCA_000176335.1&amp;loc=GCA_000176335.1%7CADAD01000002.1%3A2199..9380&amp;tracks=prokka,prokka_ncrna,ncbi,ncbi_ncrna,panggolin,cenote,genomad&amp;highlight=","Open JBrowse")</f>
        <v>Open JBrowse</v>
      </c>
      <c r="H952">
        <v>5199</v>
      </c>
      <c r="I952">
        <v>6380</v>
      </c>
      <c r="J952" t="s">
        <v>363</v>
      </c>
      <c r="K952" t="s">
        <v>59</v>
      </c>
      <c r="L952" t="s">
        <v>364</v>
      </c>
      <c r="M952" t="s">
        <v>365</v>
      </c>
      <c r="N952" t="s">
        <v>42</v>
      </c>
      <c r="O952">
        <v>3</v>
      </c>
      <c r="P952" t="s">
        <v>42</v>
      </c>
      <c r="Q952" t="s">
        <v>59</v>
      </c>
      <c r="R952" t="s">
        <v>366</v>
      </c>
      <c r="S952" t="s">
        <v>364</v>
      </c>
      <c r="T952" t="s">
        <v>42</v>
      </c>
      <c r="U952">
        <v>137</v>
      </c>
      <c r="V952">
        <v>390</v>
      </c>
      <c r="W952">
        <v>254</v>
      </c>
      <c r="X952" t="s">
        <v>142</v>
      </c>
      <c r="Y952" t="s">
        <v>367</v>
      </c>
      <c r="Z952" t="s">
        <v>368</v>
      </c>
      <c r="AA952" t="s">
        <v>369</v>
      </c>
    </row>
    <row r="953" spans="1:32" x14ac:dyDescent="0.75">
      <c r="A953" s="22" t="s">
        <v>6051</v>
      </c>
      <c r="B953" t="s">
        <v>240</v>
      </c>
      <c r="C953" t="s">
        <v>104</v>
      </c>
      <c r="D953" t="s">
        <v>241</v>
      </c>
      <c r="E953" t="s">
        <v>242</v>
      </c>
      <c r="F953" t="s">
        <v>243</v>
      </c>
      <c r="G953" s="1" t="str">
        <f>HYPERLINK("https://homd.org/jbrowse/?data=homd_V11.02_phage_1.2%2FGCA_000162455.1&amp;loc=GCA_000162455.1%7CGG739929.1%3A196224..203330&amp;tracks=prokka,prokka_ncrna,ncbi,ncbi_ncrna,panggolin,cenote,genomad&amp;highlight=","Open JBrowse")</f>
        <v>Open JBrowse</v>
      </c>
      <c r="H953">
        <v>199224</v>
      </c>
      <c r="I953">
        <v>200330</v>
      </c>
      <c r="J953" t="s">
        <v>244</v>
      </c>
      <c r="K953" t="s">
        <v>109</v>
      </c>
      <c r="L953" t="s">
        <v>245</v>
      </c>
      <c r="M953" t="s">
        <v>246</v>
      </c>
      <c r="N953" t="s">
        <v>42</v>
      </c>
      <c r="O953">
        <v>3</v>
      </c>
      <c r="P953" t="s">
        <v>42</v>
      </c>
      <c r="Q953" t="s">
        <v>101</v>
      </c>
      <c r="R953" t="s">
        <v>247</v>
      </c>
      <c r="S953" t="s">
        <v>245</v>
      </c>
      <c r="T953" t="s">
        <v>42</v>
      </c>
      <c r="U953">
        <v>138</v>
      </c>
      <c r="V953">
        <v>366</v>
      </c>
      <c r="W953">
        <v>229</v>
      </c>
      <c r="X953" t="s">
        <v>248</v>
      </c>
      <c r="Y953" t="s">
        <v>249</v>
      </c>
      <c r="Z953" t="s">
        <v>118</v>
      </c>
      <c r="AA953" t="s">
        <v>250</v>
      </c>
      <c r="AB953" t="s">
        <v>251</v>
      </c>
      <c r="AC953" t="s">
        <v>252</v>
      </c>
      <c r="AD953" t="s">
        <v>101</v>
      </c>
      <c r="AE953">
        <v>2707</v>
      </c>
      <c r="AF953" t="s">
        <v>253</v>
      </c>
    </row>
    <row r="954" spans="1:32" x14ac:dyDescent="0.75">
      <c r="A954" s="22" t="s">
        <v>6051</v>
      </c>
      <c r="B954" t="s">
        <v>424</v>
      </c>
      <c r="C954" t="s">
        <v>104</v>
      </c>
      <c r="D954" t="s">
        <v>241</v>
      </c>
      <c r="E954" t="s">
        <v>242</v>
      </c>
      <c r="F954" t="s">
        <v>425</v>
      </c>
      <c r="G954" s="1" t="str">
        <f>HYPERLINK("https://homd.org/jbrowse/?data=homd_V11.02_phage_1.2%2FGCA_000184945.1&amp;loc=GCA_000184945.1%7CGL586311.1%3A737182..744288&amp;tracks=prokka,prokka_ncrna,ncbi,ncbi_ncrna,panggolin,cenote,genomad&amp;highlight=","Open JBrowse")</f>
        <v>Open JBrowse</v>
      </c>
      <c r="H954">
        <v>740182</v>
      </c>
      <c r="I954">
        <v>741288</v>
      </c>
      <c r="J954" t="s">
        <v>432</v>
      </c>
      <c r="K954" t="s">
        <v>109</v>
      </c>
      <c r="L954" t="s">
        <v>245</v>
      </c>
      <c r="M954" t="s">
        <v>246</v>
      </c>
      <c r="N954" t="s">
        <v>42</v>
      </c>
      <c r="O954">
        <v>3</v>
      </c>
      <c r="P954" t="s">
        <v>42</v>
      </c>
      <c r="Q954" t="s">
        <v>101</v>
      </c>
      <c r="R954" t="s">
        <v>427</v>
      </c>
      <c r="S954" t="s">
        <v>245</v>
      </c>
      <c r="T954" t="s">
        <v>42</v>
      </c>
      <c r="U954">
        <v>138</v>
      </c>
      <c r="V954">
        <v>366</v>
      </c>
      <c r="W954">
        <v>229</v>
      </c>
      <c r="X954" t="s">
        <v>248</v>
      </c>
      <c r="Y954" t="s">
        <v>433</v>
      </c>
      <c r="Z954" t="s">
        <v>126</v>
      </c>
      <c r="AA954" t="s">
        <v>250</v>
      </c>
      <c r="AB954" t="s">
        <v>434</v>
      </c>
      <c r="AC954" t="s">
        <v>252</v>
      </c>
      <c r="AD954" t="s">
        <v>101</v>
      </c>
      <c r="AE954">
        <v>2696</v>
      </c>
      <c r="AF954" t="s">
        <v>253</v>
      </c>
    </row>
    <row r="955" spans="1:32" x14ac:dyDescent="0.75">
      <c r="A955" s="22" t="s">
        <v>6051</v>
      </c>
      <c r="B955" t="s">
        <v>734</v>
      </c>
      <c r="C955" t="s">
        <v>104</v>
      </c>
      <c r="D955" t="s">
        <v>241</v>
      </c>
      <c r="E955" t="s">
        <v>242</v>
      </c>
      <c r="F955" t="s">
        <v>740</v>
      </c>
      <c r="G955" s="1" t="str">
        <f>HYPERLINK("https://homd.org/jbrowse/?data=homd_V11.02_phage_1.2%2FGCA_000287635.1&amp;loc=GCA_000287635.1%7CALJQ01000024.1%3A215332..222438&amp;tracks=prokka,prokka_ncrna,ncbi,ncbi_ncrna,panggolin,cenote,genomad&amp;highlight=","Open JBrowse")</f>
        <v>Open JBrowse</v>
      </c>
      <c r="H955">
        <v>218332</v>
      </c>
      <c r="I955">
        <v>219438</v>
      </c>
      <c r="J955" t="s">
        <v>741</v>
      </c>
      <c r="K955" t="s">
        <v>109</v>
      </c>
      <c r="L955" t="s">
        <v>245</v>
      </c>
      <c r="M955" t="s">
        <v>246</v>
      </c>
      <c r="N955" t="s">
        <v>42</v>
      </c>
      <c r="O955">
        <v>3</v>
      </c>
      <c r="P955" t="s">
        <v>42</v>
      </c>
      <c r="Q955" t="s">
        <v>101</v>
      </c>
      <c r="R955" t="s">
        <v>737</v>
      </c>
      <c r="S955" t="s">
        <v>245</v>
      </c>
      <c r="T955" t="s">
        <v>42</v>
      </c>
      <c r="U955">
        <v>138</v>
      </c>
      <c r="V955">
        <v>366</v>
      </c>
      <c r="W955">
        <v>229</v>
      </c>
      <c r="X955" t="s">
        <v>248</v>
      </c>
      <c r="Y955" t="s">
        <v>742</v>
      </c>
      <c r="Z955" t="s">
        <v>743</v>
      </c>
      <c r="AA955" t="s">
        <v>250</v>
      </c>
      <c r="AB955" t="s">
        <v>744</v>
      </c>
      <c r="AC955" t="s">
        <v>252</v>
      </c>
      <c r="AD955" t="s">
        <v>101</v>
      </c>
      <c r="AE955">
        <v>2702</v>
      </c>
      <c r="AF955" t="s">
        <v>253</v>
      </c>
    </row>
    <row r="956" spans="1:32" x14ac:dyDescent="0.75">
      <c r="A956" s="22" t="s">
        <v>6051</v>
      </c>
      <c r="B956" t="s">
        <v>3623</v>
      </c>
      <c r="C956" t="s">
        <v>104</v>
      </c>
      <c r="D956" t="s">
        <v>241</v>
      </c>
      <c r="E956" t="s">
        <v>242</v>
      </c>
      <c r="F956" t="s">
        <v>3630</v>
      </c>
      <c r="G956" s="1" t="str">
        <f>HYPERLINK("https://homd.org/jbrowse/?data=homd_V11.02_phage_1.2%2FGCA_018372275.1&amp;loc=GCA_018372275.1%7CJAHAJI010000009.1%3A87498..94604&amp;tracks=prokka,prokka_ncrna,ncbi,ncbi_ncrna,panggolin,cenote,genomad&amp;highlight=","Open JBrowse")</f>
        <v>Open JBrowse</v>
      </c>
      <c r="H956">
        <v>90498</v>
      </c>
      <c r="I956">
        <v>91604</v>
      </c>
      <c r="J956" t="s">
        <v>3631</v>
      </c>
      <c r="K956" t="s">
        <v>109</v>
      </c>
      <c r="L956" t="s">
        <v>245</v>
      </c>
      <c r="M956" t="s">
        <v>246</v>
      </c>
      <c r="N956" t="s">
        <v>42</v>
      </c>
      <c r="O956">
        <v>3</v>
      </c>
      <c r="P956" t="s">
        <v>42</v>
      </c>
      <c r="Q956" t="s">
        <v>101</v>
      </c>
      <c r="R956" t="s">
        <v>3626</v>
      </c>
      <c r="S956" t="s">
        <v>245</v>
      </c>
      <c r="T956" t="s">
        <v>42</v>
      </c>
      <c r="U956">
        <v>138</v>
      </c>
      <c r="V956">
        <v>366</v>
      </c>
      <c r="W956">
        <v>229</v>
      </c>
      <c r="X956" t="s">
        <v>248</v>
      </c>
      <c r="Y956" t="s">
        <v>3632</v>
      </c>
      <c r="Z956" t="s">
        <v>416</v>
      </c>
      <c r="AA956" t="s">
        <v>250</v>
      </c>
      <c r="AB956" t="s">
        <v>3633</v>
      </c>
      <c r="AC956" t="s">
        <v>252</v>
      </c>
      <c r="AD956" t="s">
        <v>101</v>
      </c>
      <c r="AE956">
        <v>2694</v>
      </c>
      <c r="AF956" t="s">
        <v>253</v>
      </c>
    </row>
    <row r="957" spans="1:32" x14ac:dyDescent="0.75">
      <c r="A957" s="22" t="s">
        <v>6051</v>
      </c>
      <c r="B957" t="s">
        <v>3783</v>
      </c>
      <c r="C957" t="s">
        <v>104</v>
      </c>
      <c r="D957" t="s">
        <v>241</v>
      </c>
      <c r="E957" t="s">
        <v>242</v>
      </c>
      <c r="F957" t="s">
        <v>3784</v>
      </c>
      <c r="G957" s="1" t="str">
        <f>HYPERLINK("https://homd.org/jbrowse/?data=homd_V11.02_phage_1.2%2FGCA_019391755.1&amp;loc=GCA_019391755.1%7CJAHXQX010000002.1%3A164869..171975&amp;tracks=prokka,prokka_ncrna,ncbi,ncbi_ncrna,panggolin,cenote,genomad&amp;highlight=","Open JBrowse")</f>
        <v>Open JBrowse</v>
      </c>
      <c r="H957">
        <v>167869</v>
      </c>
      <c r="I957">
        <v>168975</v>
      </c>
      <c r="J957" t="s">
        <v>3785</v>
      </c>
      <c r="K957" t="s">
        <v>109</v>
      </c>
      <c r="L957" t="s">
        <v>245</v>
      </c>
      <c r="M957" t="s">
        <v>246</v>
      </c>
      <c r="N957" t="s">
        <v>42</v>
      </c>
      <c r="O957">
        <v>3</v>
      </c>
      <c r="P957" t="s">
        <v>42</v>
      </c>
      <c r="Q957" t="s">
        <v>101</v>
      </c>
      <c r="R957" t="s">
        <v>3786</v>
      </c>
      <c r="S957" t="s">
        <v>245</v>
      </c>
      <c r="T957" t="s">
        <v>42</v>
      </c>
      <c r="U957">
        <v>138</v>
      </c>
      <c r="V957">
        <v>366</v>
      </c>
      <c r="W957">
        <v>229</v>
      </c>
      <c r="X957" t="s">
        <v>248</v>
      </c>
      <c r="Y957" t="s">
        <v>3787</v>
      </c>
      <c r="Z957" t="s">
        <v>1948</v>
      </c>
      <c r="AA957" t="s">
        <v>992</v>
      </c>
      <c r="AB957" t="s">
        <v>3788</v>
      </c>
      <c r="AC957" t="s">
        <v>252</v>
      </c>
      <c r="AD957" t="s">
        <v>101</v>
      </c>
      <c r="AE957">
        <v>2700</v>
      </c>
      <c r="AF957" t="s">
        <v>3789</v>
      </c>
    </row>
    <row r="958" spans="1:32" x14ac:dyDescent="0.75">
      <c r="A958" s="22" t="s">
        <v>6051</v>
      </c>
      <c r="B958" t="s">
        <v>4886</v>
      </c>
      <c r="C958" t="s">
        <v>104</v>
      </c>
      <c r="D958" t="s">
        <v>241</v>
      </c>
      <c r="E958" t="s">
        <v>242</v>
      </c>
      <c r="F958" t="s">
        <v>4887</v>
      </c>
      <c r="G958" s="1" t="str">
        <f>HYPERLINK("https://homd.org/jbrowse/?data=homd_V11.02_phage_1.2%2FGCA_027696905.1&amp;loc=GCA_027696905.1%7CJAQETB010000001.1%3A300602..307708&amp;tracks=prokka,prokka_ncrna,ncbi,ncbi_ncrna,panggolin,cenote,genomad&amp;highlight=","Open JBrowse")</f>
        <v>Open JBrowse</v>
      </c>
      <c r="H958">
        <v>303602</v>
      </c>
      <c r="I958">
        <v>304708</v>
      </c>
      <c r="J958" t="s">
        <v>4888</v>
      </c>
      <c r="K958" t="s">
        <v>109</v>
      </c>
      <c r="L958" t="s">
        <v>245</v>
      </c>
      <c r="M958" t="s">
        <v>246</v>
      </c>
      <c r="N958" t="s">
        <v>42</v>
      </c>
      <c r="O958">
        <v>3</v>
      </c>
      <c r="P958" t="s">
        <v>42</v>
      </c>
      <c r="Q958" t="s">
        <v>101</v>
      </c>
      <c r="R958" t="s">
        <v>4889</v>
      </c>
      <c r="S958" t="s">
        <v>245</v>
      </c>
      <c r="T958" t="s">
        <v>42</v>
      </c>
      <c r="U958">
        <v>138</v>
      </c>
      <c r="V958">
        <v>366</v>
      </c>
      <c r="W958">
        <v>229</v>
      </c>
      <c r="X958" t="s">
        <v>248</v>
      </c>
      <c r="Y958" t="s">
        <v>4890</v>
      </c>
      <c r="Z958" t="s">
        <v>302</v>
      </c>
      <c r="AA958" t="s">
        <v>992</v>
      </c>
      <c r="AB958" t="s">
        <v>4891</v>
      </c>
      <c r="AC958" t="s">
        <v>252</v>
      </c>
      <c r="AD958" t="s">
        <v>101</v>
      </c>
      <c r="AE958">
        <v>2698</v>
      </c>
      <c r="AF958" t="s">
        <v>3789</v>
      </c>
    </row>
    <row r="959" spans="1:32" x14ac:dyDescent="0.75">
      <c r="A959" s="22" t="s">
        <v>6051</v>
      </c>
      <c r="B959" t="s">
        <v>4897</v>
      </c>
      <c r="C959" t="s">
        <v>104</v>
      </c>
      <c r="D959" t="s">
        <v>241</v>
      </c>
      <c r="E959" t="s">
        <v>242</v>
      </c>
      <c r="F959" t="s">
        <v>4898</v>
      </c>
      <c r="G959" s="1" t="str">
        <f>HYPERLINK("https://homd.org/jbrowse/?data=homd_V11.02_phage_1.2%2FGCA_027696975.1&amp;loc=GCA_027696975.1%7CJAQETA010000002.1%3A173691..180797&amp;tracks=prokka,prokka_ncrna,ncbi,ncbi_ncrna,panggolin,cenote,genomad&amp;highlight=","Open JBrowse")</f>
        <v>Open JBrowse</v>
      </c>
      <c r="H959">
        <v>176691</v>
      </c>
      <c r="I959">
        <v>177797</v>
      </c>
      <c r="J959" t="s">
        <v>4899</v>
      </c>
      <c r="K959" t="s">
        <v>109</v>
      </c>
      <c r="L959" t="s">
        <v>245</v>
      </c>
      <c r="M959" t="s">
        <v>246</v>
      </c>
      <c r="N959" t="s">
        <v>42</v>
      </c>
      <c r="O959">
        <v>3</v>
      </c>
      <c r="P959" t="s">
        <v>42</v>
      </c>
      <c r="Q959" t="s">
        <v>101</v>
      </c>
      <c r="R959" t="s">
        <v>4900</v>
      </c>
      <c r="S959" t="s">
        <v>245</v>
      </c>
      <c r="T959" t="s">
        <v>42</v>
      </c>
      <c r="U959">
        <v>138</v>
      </c>
      <c r="V959">
        <v>366</v>
      </c>
      <c r="W959">
        <v>229</v>
      </c>
      <c r="X959" t="s">
        <v>248</v>
      </c>
      <c r="Y959" t="s">
        <v>4901</v>
      </c>
      <c r="Z959" t="s">
        <v>132</v>
      </c>
      <c r="AA959" t="s">
        <v>992</v>
      </c>
      <c r="AB959" t="s">
        <v>4902</v>
      </c>
      <c r="AC959" t="s">
        <v>252</v>
      </c>
      <c r="AD959" t="s">
        <v>101</v>
      </c>
      <c r="AE959">
        <v>2693</v>
      </c>
      <c r="AF959" t="s">
        <v>3789</v>
      </c>
    </row>
    <row r="960" spans="1:32" x14ac:dyDescent="0.75">
      <c r="A960" s="22" t="s">
        <v>6051</v>
      </c>
      <c r="B960" t="s">
        <v>5010</v>
      </c>
      <c r="C960" t="s">
        <v>104</v>
      </c>
      <c r="D960" t="s">
        <v>241</v>
      </c>
      <c r="E960" t="s">
        <v>242</v>
      </c>
      <c r="F960" t="s">
        <v>5011</v>
      </c>
      <c r="G960" s="1" t="str">
        <f>HYPERLINK("https://homd.org/jbrowse/?data=homd_V11.02_phage_1.2%2FGCA_030843185.1&amp;loc=GCA_030843185.1%7CJAUUQB010000004.1%3A127685..134791&amp;tracks=prokka,prokka_ncrna,ncbi,ncbi_ncrna,panggolin,cenote,genomad&amp;highlight=","Open JBrowse")</f>
        <v>Open JBrowse</v>
      </c>
      <c r="H960">
        <v>130685</v>
      </c>
      <c r="I960">
        <v>131791</v>
      </c>
      <c r="J960" t="s">
        <v>5012</v>
      </c>
      <c r="K960" t="s">
        <v>109</v>
      </c>
      <c r="L960" t="s">
        <v>245</v>
      </c>
      <c r="M960" t="s">
        <v>246</v>
      </c>
      <c r="N960" t="s">
        <v>42</v>
      </c>
      <c r="O960">
        <v>3</v>
      </c>
      <c r="P960" t="s">
        <v>42</v>
      </c>
      <c r="Q960" t="s">
        <v>101</v>
      </c>
      <c r="R960" t="s">
        <v>5013</v>
      </c>
      <c r="S960" t="s">
        <v>245</v>
      </c>
      <c r="T960" t="s">
        <v>42</v>
      </c>
      <c r="U960">
        <v>138</v>
      </c>
      <c r="V960">
        <v>366</v>
      </c>
      <c r="W960">
        <v>229</v>
      </c>
      <c r="X960" t="s">
        <v>248</v>
      </c>
      <c r="Y960" t="s">
        <v>5014</v>
      </c>
      <c r="Z960" t="s">
        <v>126</v>
      </c>
      <c r="AA960" t="s">
        <v>250</v>
      </c>
      <c r="AB960" t="s">
        <v>5015</v>
      </c>
      <c r="AC960" t="s">
        <v>252</v>
      </c>
      <c r="AD960" t="s">
        <v>101</v>
      </c>
      <c r="AE960">
        <v>2701</v>
      </c>
      <c r="AF960" t="s">
        <v>253</v>
      </c>
    </row>
    <row r="961" spans="1:34" x14ac:dyDescent="0.75">
      <c r="A961" s="22" t="s">
        <v>6051</v>
      </c>
      <c r="B961" t="s">
        <v>5221</v>
      </c>
      <c r="C961" t="s">
        <v>104</v>
      </c>
      <c r="D961" t="s">
        <v>241</v>
      </c>
      <c r="E961" t="s">
        <v>242</v>
      </c>
      <c r="F961" t="s">
        <v>5222</v>
      </c>
      <c r="G961" s="1" t="str">
        <f>HYPERLINK("https://homd.org/jbrowse/?data=homd_V11.02_phage_1.2%2FGCA_900454855.1&amp;loc=GCA_900454855.1%7CUGTJ01000001.1%3A1923317..1930423&amp;tracks=prokka,prokka_ncrna,ncbi,ncbi_ncrna,panggolin,cenote,genomad&amp;highlight=","Open JBrowse")</f>
        <v>Open JBrowse</v>
      </c>
      <c r="H961">
        <v>1926317</v>
      </c>
      <c r="I961">
        <v>1927423</v>
      </c>
      <c r="J961" t="s">
        <v>5223</v>
      </c>
      <c r="K961" t="s">
        <v>109</v>
      </c>
      <c r="L961" t="s">
        <v>245</v>
      </c>
      <c r="M961" t="s">
        <v>246</v>
      </c>
      <c r="N961" t="s">
        <v>42</v>
      </c>
      <c r="O961">
        <v>3</v>
      </c>
      <c r="P961" t="s">
        <v>42</v>
      </c>
      <c r="Q961" t="s">
        <v>101</v>
      </c>
      <c r="R961" t="s">
        <v>5224</v>
      </c>
      <c r="S961" t="s">
        <v>245</v>
      </c>
      <c r="T961" t="s">
        <v>42</v>
      </c>
      <c r="U961">
        <v>138</v>
      </c>
      <c r="V961">
        <v>366</v>
      </c>
      <c r="W961">
        <v>229</v>
      </c>
      <c r="X961" t="s">
        <v>248</v>
      </c>
      <c r="Y961" t="s">
        <v>5225</v>
      </c>
      <c r="Z961" t="s">
        <v>811</v>
      </c>
      <c r="AA961" t="s">
        <v>992</v>
      </c>
      <c r="AB961" t="s">
        <v>5226</v>
      </c>
      <c r="AC961" t="s">
        <v>252</v>
      </c>
      <c r="AD961" t="s">
        <v>101</v>
      </c>
      <c r="AE961">
        <v>2701</v>
      </c>
      <c r="AF961" t="s">
        <v>3789</v>
      </c>
    </row>
    <row r="962" spans="1:34" x14ac:dyDescent="0.75">
      <c r="A962" s="22" t="s">
        <v>6051</v>
      </c>
      <c r="B962" t="s">
        <v>5345</v>
      </c>
      <c r="C962" t="s">
        <v>104</v>
      </c>
      <c r="D962" t="s">
        <v>241</v>
      </c>
      <c r="E962" t="s">
        <v>242</v>
      </c>
      <c r="F962" t="s">
        <v>5352</v>
      </c>
      <c r="G962" s="1" t="str">
        <f>HYPERLINK("https://homd.org/jbrowse/?data=homd_V11.02_phage_1.2%2FGCA_902461075.1&amp;loc=GCA_902461075.1%7CCABPVU010000050.1%3A11790..18896&amp;tracks=prokka,prokka_ncrna,ncbi,ncbi_ncrna,panggolin,cenote,genomad&amp;highlight=","Open JBrowse")</f>
        <v>Open JBrowse</v>
      </c>
      <c r="H962">
        <v>14790</v>
      </c>
      <c r="I962">
        <v>15896</v>
      </c>
      <c r="J962" t="s">
        <v>5353</v>
      </c>
      <c r="K962" t="s">
        <v>109</v>
      </c>
      <c r="L962" t="s">
        <v>245</v>
      </c>
      <c r="M962" t="s">
        <v>246</v>
      </c>
      <c r="N962" t="s">
        <v>42</v>
      </c>
      <c r="O962">
        <v>3</v>
      </c>
      <c r="P962" t="s">
        <v>42</v>
      </c>
      <c r="Q962" t="s">
        <v>101</v>
      </c>
      <c r="R962" t="s">
        <v>5348</v>
      </c>
      <c r="S962" t="s">
        <v>245</v>
      </c>
      <c r="T962" t="s">
        <v>42</v>
      </c>
      <c r="U962">
        <v>138</v>
      </c>
      <c r="V962">
        <v>366</v>
      </c>
      <c r="W962">
        <v>229</v>
      </c>
      <c r="X962" t="s">
        <v>248</v>
      </c>
      <c r="Y962" t="s">
        <v>5354</v>
      </c>
      <c r="Z962" t="s">
        <v>1612</v>
      </c>
      <c r="AA962" t="s">
        <v>992</v>
      </c>
      <c r="AB962" t="s">
        <v>5355</v>
      </c>
      <c r="AC962" t="s">
        <v>252</v>
      </c>
      <c r="AD962" t="s">
        <v>101</v>
      </c>
      <c r="AE962">
        <v>2700</v>
      </c>
      <c r="AF962" t="s">
        <v>3789</v>
      </c>
    </row>
    <row r="963" spans="1:34" x14ac:dyDescent="0.75">
      <c r="A963" s="22" t="s">
        <v>6051</v>
      </c>
      <c r="B963" t="s">
        <v>5839</v>
      </c>
      <c r="C963" t="s">
        <v>104</v>
      </c>
      <c r="D963" t="s">
        <v>241</v>
      </c>
      <c r="E963" t="s">
        <v>242</v>
      </c>
      <c r="F963" t="s">
        <v>5845</v>
      </c>
      <c r="G963" s="1" t="str">
        <f>HYPERLINK("https://homd.org/jbrowse/?data=homd_V11.02_phage_1.2%2FGCA_938016215.1&amp;loc=GCA_938016215.1%7CCALLWX010000007.1%3A127623..134729&amp;tracks=prokka,prokka_ncrna,ncbi,ncbi_ncrna,panggolin,cenote,genomad&amp;highlight=","Open JBrowse")</f>
        <v>Open JBrowse</v>
      </c>
      <c r="H963">
        <v>130623</v>
      </c>
      <c r="I963">
        <v>131729</v>
      </c>
      <c r="J963" t="s">
        <v>5846</v>
      </c>
      <c r="K963" t="s">
        <v>109</v>
      </c>
      <c r="L963" t="s">
        <v>245</v>
      </c>
      <c r="M963" t="s">
        <v>246</v>
      </c>
      <c r="N963" t="s">
        <v>42</v>
      </c>
      <c r="O963">
        <v>3</v>
      </c>
      <c r="P963" t="s">
        <v>42</v>
      </c>
      <c r="Q963" t="s">
        <v>101</v>
      </c>
      <c r="R963" t="s">
        <v>5842</v>
      </c>
      <c r="S963" t="s">
        <v>245</v>
      </c>
      <c r="T963" t="s">
        <v>42</v>
      </c>
      <c r="U963">
        <v>138</v>
      </c>
      <c r="V963">
        <v>366</v>
      </c>
      <c r="W963">
        <v>229</v>
      </c>
      <c r="X963" t="s">
        <v>248</v>
      </c>
      <c r="Y963" t="s">
        <v>5847</v>
      </c>
      <c r="Z963" t="s">
        <v>90</v>
      </c>
      <c r="AA963" t="s">
        <v>250</v>
      </c>
      <c r="AB963" t="s">
        <v>5848</v>
      </c>
      <c r="AC963" t="s">
        <v>252</v>
      </c>
      <c r="AD963" t="s">
        <v>101</v>
      </c>
      <c r="AE963">
        <v>2700</v>
      </c>
      <c r="AF963" t="s">
        <v>253</v>
      </c>
    </row>
    <row r="964" spans="1:34" x14ac:dyDescent="0.75">
      <c r="A964" s="22" t="s">
        <v>6051</v>
      </c>
      <c r="B964" t="s">
        <v>6023</v>
      </c>
      <c r="C964" t="s">
        <v>104</v>
      </c>
      <c r="D964" t="s">
        <v>241</v>
      </c>
      <c r="E964" t="s">
        <v>242</v>
      </c>
      <c r="F964" t="s">
        <v>6024</v>
      </c>
      <c r="G964" s="1" t="str">
        <f>HYPERLINK("https://homd.org/jbrowse/?data=homd_V11.02_phage_1.2%2FGCA_958415905.1&amp;loc=GCA_958415905.1%7CCATYZT010000009.1%3A41825..48931&amp;tracks=prokka,prokka_ncrna,ncbi,ncbi_ncrna,panggolin,cenote,genomad&amp;highlight=","Open JBrowse")</f>
        <v>Open JBrowse</v>
      </c>
      <c r="H964">
        <v>44825</v>
      </c>
      <c r="I964">
        <v>45931</v>
      </c>
      <c r="J964" t="s">
        <v>6025</v>
      </c>
      <c r="K964" t="s">
        <v>109</v>
      </c>
      <c r="L964" t="s">
        <v>245</v>
      </c>
      <c r="M964" t="s">
        <v>246</v>
      </c>
      <c r="N964" t="s">
        <v>42</v>
      </c>
      <c r="O964">
        <v>3</v>
      </c>
      <c r="P964" t="s">
        <v>42</v>
      </c>
      <c r="Q964" t="s">
        <v>101</v>
      </c>
      <c r="R964" t="s">
        <v>6026</v>
      </c>
      <c r="S964" t="s">
        <v>245</v>
      </c>
      <c r="T964" t="s">
        <v>42</v>
      </c>
      <c r="U964">
        <v>138</v>
      </c>
      <c r="V964">
        <v>366</v>
      </c>
      <c r="W964">
        <v>229</v>
      </c>
      <c r="X964" t="s">
        <v>248</v>
      </c>
      <c r="Y964" t="s">
        <v>6027</v>
      </c>
      <c r="Z964" t="s">
        <v>292</v>
      </c>
      <c r="AA964" t="s">
        <v>250</v>
      </c>
      <c r="AB964" t="s">
        <v>6028</v>
      </c>
      <c r="AC964" t="s">
        <v>252</v>
      </c>
      <c r="AD964" t="s">
        <v>101</v>
      </c>
      <c r="AE964">
        <v>2697</v>
      </c>
      <c r="AF964" t="s">
        <v>253</v>
      </c>
    </row>
    <row r="965" spans="1:34" x14ac:dyDescent="0.75">
      <c r="A965" s="22" t="s">
        <v>6051</v>
      </c>
      <c r="B965" t="s">
        <v>6029</v>
      </c>
      <c r="C965" t="s">
        <v>104</v>
      </c>
      <c r="D965" t="s">
        <v>241</v>
      </c>
      <c r="E965" t="s">
        <v>242</v>
      </c>
      <c r="F965" t="s">
        <v>6030</v>
      </c>
      <c r="G965" s="1" t="str">
        <f>HYPERLINK("https://homd.org/jbrowse/?data=homd_V11.02_phage_1.2%2FGCA_958433865.1&amp;loc=GCA_958433865.1%7CCAUBAF010000089.1%3A1..7096&amp;tracks=prokka,prokka_ncrna,ncbi,ncbi_ncrna,panggolin,cenote,genomad&amp;highlight=","Open JBrowse")</f>
        <v>Open JBrowse</v>
      </c>
      <c r="H965">
        <v>2990</v>
      </c>
      <c r="I965">
        <v>4096</v>
      </c>
      <c r="J965" t="s">
        <v>6031</v>
      </c>
      <c r="K965" t="s">
        <v>109</v>
      </c>
      <c r="L965" t="s">
        <v>245</v>
      </c>
      <c r="M965" t="s">
        <v>246</v>
      </c>
      <c r="N965" t="s">
        <v>42</v>
      </c>
      <c r="O965">
        <v>3</v>
      </c>
      <c r="P965" t="s">
        <v>42</v>
      </c>
      <c r="Q965" t="s">
        <v>101</v>
      </c>
      <c r="R965" t="s">
        <v>6032</v>
      </c>
      <c r="S965" t="s">
        <v>245</v>
      </c>
      <c r="T965" t="s">
        <v>42</v>
      </c>
      <c r="U965">
        <v>138</v>
      </c>
      <c r="V965">
        <v>366</v>
      </c>
      <c r="W965">
        <v>229</v>
      </c>
      <c r="X965" t="s">
        <v>248</v>
      </c>
      <c r="Y965" t="s">
        <v>6033</v>
      </c>
      <c r="Z965" t="s">
        <v>594</v>
      </c>
      <c r="AA965" t="s">
        <v>250</v>
      </c>
      <c r="AB965" t="s">
        <v>6034</v>
      </c>
      <c r="AC965" t="s">
        <v>252</v>
      </c>
      <c r="AD965" t="s">
        <v>101</v>
      </c>
      <c r="AE965">
        <v>2699</v>
      </c>
      <c r="AF965" t="s">
        <v>253</v>
      </c>
    </row>
    <row r="966" spans="1:34" x14ac:dyDescent="0.75">
      <c r="A966" s="22" t="s">
        <v>6051</v>
      </c>
      <c r="B966" t="s">
        <v>6035</v>
      </c>
      <c r="C966" t="s">
        <v>104</v>
      </c>
      <c r="D966" t="s">
        <v>241</v>
      </c>
      <c r="E966" t="s">
        <v>242</v>
      </c>
      <c r="F966" t="s">
        <v>6036</v>
      </c>
      <c r="G966" s="1" t="str">
        <f>HYPERLINK("https://homd.org/jbrowse/?data=homd_V11.02_phage_1.2%2FGCA_959023205.1&amp;loc=GCA_959023205.1%7CCAUFBI010000001.1%3A53548..60654&amp;tracks=prokka,prokka_ncrna,ncbi,ncbi_ncrna,panggolin,cenote,genomad&amp;highlight=","Open JBrowse")</f>
        <v>Open JBrowse</v>
      </c>
      <c r="H966">
        <v>56548</v>
      </c>
      <c r="I966">
        <v>57654</v>
      </c>
      <c r="J966" t="s">
        <v>6037</v>
      </c>
      <c r="K966" t="s">
        <v>109</v>
      </c>
      <c r="L966" t="s">
        <v>245</v>
      </c>
      <c r="M966" t="s">
        <v>246</v>
      </c>
      <c r="N966" t="s">
        <v>42</v>
      </c>
      <c r="O966">
        <v>3</v>
      </c>
      <c r="P966" t="s">
        <v>42</v>
      </c>
      <c r="Q966" t="s">
        <v>101</v>
      </c>
      <c r="R966" t="s">
        <v>6038</v>
      </c>
      <c r="S966" t="s">
        <v>245</v>
      </c>
      <c r="T966" t="s">
        <v>42</v>
      </c>
      <c r="U966">
        <v>138</v>
      </c>
      <c r="V966">
        <v>366</v>
      </c>
      <c r="W966">
        <v>229</v>
      </c>
      <c r="X966" t="s">
        <v>248</v>
      </c>
      <c r="Y966" t="s">
        <v>6039</v>
      </c>
      <c r="Z966" t="s">
        <v>645</v>
      </c>
      <c r="AA966" t="s">
        <v>250</v>
      </c>
      <c r="AB966" t="s">
        <v>6040</v>
      </c>
      <c r="AC966" t="s">
        <v>252</v>
      </c>
      <c r="AD966" t="s">
        <v>101</v>
      </c>
      <c r="AE966">
        <v>2703</v>
      </c>
      <c r="AF966" t="s">
        <v>253</v>
      </c>
    </row>
    <row r="967" spans="1:34" x14ac:dyDescent="0.75">
      <c r="A967" s="22" t="s">
        <v>6051</v>
      </c>
      <c r="B967" t="s">
        <v>305</v>
      </c>
      <c r="C967" t="s">
        <v>104</v>
      </c>
      <c r="D967" t="s">
        <v>306</v>
      </c>
      <c r="E967" t="s">
        <v>307</v>
      </c>
      <c r="F967" t="s">
        <v>308</v>
      </c>
      <c r="G967" s="1" t="str">
        <f>HYPERLINK("https://homd.org/jbrowse/?data=homd_V11.02_phage_1.2%2FGCA_000163495.1&amp;loc=GCA_000163495.1%7CGG704824.1%3A862724..869842&amp;tracks=prokka,prokka_ncrna,ncbi,ncbi_ncrna,panggolin,cenote,genomad&amp;highlight=","Open JBrowse")</f>
        <v>Open JBrowse</v>
      </c>
      <c r="H967">
        <v>865724</v>
      </c>
      <c r="I967">
        <v>866842</v>
      </c>
      <c r="J967" t="s">
        <v>309</v>
      </c>
      <c r="K967" t="s">
        <v>109</v>
      </c>
      <c r="L967" t="s">
        <v>310</v>
      </c>
      <c r="M967" t="s">
        <v>311</v>
      </c>
      <c r="N967" t="s">
        <v>42</v>
      </c>
      <c r="O967">
        <v>3</v>
      </c>
      <c r="P967" t="s">
        <v>42</v>
      </c>
      <c r="Q967" t="s">
        <v>101</v>
      </c>
      <c r="R967" t="s">
        <v>312</v>
      </c>
      <c r="S967" t="s">
        <v>310</v>
      </c>
      <c r="T967" t="s">
        <v>42</v>
      </c>
      <c r="U967">
        <v>142</v>
      </c>
      <c r="V967">
        <v>370</v>
      </c>
      <c r="W967">
        <v>229</v>
      </c>
      <c r="X967" t="s">
        <v>248</v>
      </c>
      <c r="Y967" t="s">
        <v>313</v>
      </c>
      <c r="Z967" t="s">
        <v>292</v>
      </c>
      <c r="AA967" t="s">
        <v>314</v>
      </c>
      <c r="AB967" t="s">
        <v>315</v>
      </c>
      <c r="AC967" t="s">
        <v>316</v>
      </c>
      <c r="AD967" t="s">
        <v>101</v>
      </c>
      <c r="AE967">
        <v>2690</v>
      </c>
      <c r="AF967" t="s">
        <v>317</v>
      </c>
    </row>
    <row r="968" spans="1:34" x14ac:dyDescent="0.75">
      <c r="A968" s="22" t="s">
        <v>6051</v>
      </c>
      <c r="B968" t="s">
        <v>887</v>
      </c>
      <c r="C968" t="s">
        <v>104</v>
      </c>
      <c r="D968" t="s">
        <v>306</v>
      </c>
      <c r="E968" t="s">
        <v>307</v>
      </c>
      <c r="F968" t="s">
        <v>888</v>
      </c>
      <c r="G968" s="1" t="str">
        <f>HYPERLINK("https://homd.org/jbrowse/?data=homd_V11.02_phage_1.2%2FGCA_000378085.1&amp;loc=GCA_000378085.1%7CKB899214.1%3A236878..243996&amp;tracks=prokka,prokka_ncrna,ncbi,ncbi_ncrna,panggolin,cenote,genomad&amp;highlight=","Open JBrowse")</f>
        <v>Open JBrowse</v>
      </c>
      <c r="H968">
        <v>239878</v>
      </c>
      <c r="I968">
        <v>240996</v>
      </c>
      <c r="J968" t="s">
        <v>889</v>
      </c>
      <c r="K968" t="s">
        <v>109</v>
      </c>
      <c r="L968" t="s">
        <v>310</v>
      </c>
      <c r="M968" t="s">
        <v>311</v>
      </c>
      <c r="N968" t="s">
        <v>42</v>
      </c>
      <c r="O968">
        <v>3</v>
      </c>
      <c r="P968" t="s">
        <v>42</v>
      </c>
      <c r="Q968" t="s">
        <v>101</v>
      </c>
      <c r="R968" t="s">
        <v>890</v>
      </c>
      <c r="S968" t="s">
        <v>310</v>
      </c>
      <c r="T968" t="s">
        <v>42</v>
      </c>
      <c r="U968">
        <v>142</v>
      </c>
      <c r="V968">
        <v>370</v>
      </c>
      <c r="W968">
        <v>229</v>
      </c>
      <c r="X968" t="s">
        <v>248</v>
      </c>
      <c r="Y968" t="s">
        <v>891</v>
      </c>
      <c r="Z968" t="s">
        <v>892</v>
      </c>
      <c r="AA968" t="s">
        <v>893</v>
      </c>
      <c r="AB968" t="s">
        <v>894</v>
      </c>
      <c r="AC968" t="s">
        <v>316</v>
      </c>
      <c r="AD968" t="s">
        <v>101</v>
      </c>
      <c r="AE968">
        <v>2675</v>
      </c>
      <c r="AF968" t="s">
        <v>895</v>
      </c>
    </row>
    <row r="969" spans="1:34" x14ac:dyDescent="0.75">
      <c r="A969" s="22" t="s">
        <v>6051</v>
      </c>
      <c r="B969" t="s">
        <v>1231</v>
      </c>
      <c r="C969" t="s">
        <v>104</v>
      </c>
      <c r="D969" t="s">
        <v>306</v>
      </c>
      <c r="E969" t="s">
        <v>307</v>
      </c>
      <c r="F969" t="s">
        <v>1232</v>
      </c>
      <c r="G969" s="1" t="str">
        <f>HYPERLINK("https://homd.org/jbrowse/?data=homd_V11.02_phage_1.2%2FGCA_000613485.1&amp;loc=GCA_000613485.1%7CBAJB01000012.1%3A48687..55805&amp;tracks=prokka,prokka_ncrna,ncbi,ncbi_ncrna,panggolin,cenote,genomad&amp;highlight=","Open JBrowse")</f>
        <v>Open JBrowse</v>
      </c>
      <c r="H969">
        <v>51687</v>
      </c>
      <c r="I969">
        <v>52805</v>
      </c>
      <c r="J969" t="s">
        <v>1233</v>
      </c>
      <c r="K969" t="s">
        <v>109</v>
      </c>
      <c r="L969" t="s">
        <v>310</v>
      </c>
      <c r="M969" t="s">
        <v>311</v>
      </c>
      <c r="N969" t="s">
        <v>42</v>
      </c>
      <c r="O969">
        <v>3</v>
      </c>
      <c r="P969" t="s">
        <v>42</v>
      </c>
      <c r="Q969" t="s">
        <v>101</v>
      </c>
      <c r="R969" t="s">
        <v>1234</v>
      </c>
      <c r="S969" t="s">
        <v>310</v>
      </c>
      <c r="T969" t="s">
        <v>42</v>
      </c>
      <c r="U969">
        <v>142</v>
      </c>
      <c r="V969">
        <v>370</v>
      </c>
      <c r="W969">
        <v>229</v>
      </c>
      <c r="X969" t="s">
        <v>248</v>
      </c>
      <c r="Y969" t="s">
        <v>1235</v>
      </c>
      <c r="Z969" t="s">
        <v>1236</v>
      </c>
      <c r="AA969" t="s">
        <v>1237</v>
      </c>
      <c r="AB969" t="s">
        <v>1238</v>
      </c>
      <c r="AC969" t="s">
        <v>316</v>
      </c>
      <c r="AD969" t="s">
        <v>101</v>
      </c>
      <c r="AE969">
        <v>1699</v>
      </c>
      <c r="AF969" t="s">
        <v>1239</v>
      </c>
    </row>
    <row r="970" spans="1:34" x14ac:dyDescent="0.75">
      <c r="A970" s="22" t="s">
        <v>6051</v>
      </c>
      <c r="B970" t="s">
        <v>1293</v>
      </c>
      <c r="C970" t="s">
        <v>104</v>
      </c>
      <c r="D970" t="s">
        <v>306</v>
      </c>
      <c r="E970" t="s">
        <v>307</v>
      </c>
      <c r="F970" t="s">
        <v>1294</v>
      </c>
      <c r="G970" s="1" t="str">
        <f>HYPERLINK("https://homd.org/jbrowse/?data=homd_V11.02_phage_1.2%2FGCA_000698925.1&amp;loc=GCA_000698925.1%7CKL205535.1%3A27832..34950&amp;tracks=prokka,prokka_ncrna,ncbi,ncbi_ncrna,panggolin,cenote,genomad&amp;highlight=","Open JBrowse")</f>
        <v>Open JBrowse</v>
      </c>
      <c r="H970">
        <v>30832</v>
      </c>
      <c r="I970">
        <v>31950</v>
      </c>
      <c r="J970" t="s">
        <v>1295</v>
      </c>
      <c r="K970" t="s">
        <v>109</v>
      </c>
      <c r="L970" t="s">
        <v>310</v>
      </c>
      <c r="M970" t="s">
        <v>311</v>
      </c>
      <c r="N970" t="s">
        <v>42</v>
      </c>
      <c r="O970">
        <v>3</v>
      </c>
      <c r="P970" t="s">
        <v>42</v>
      </c>
      <c r="Q970" t="s">
        <v>101</v>
      </c>
      <c r="R970" t="s">
        <v>1296</v>
      </c>
      <c r="S970" t="s">
        <v>310</v>
      </c>
      <c r="T970" t="s">
        <v>42</v>
      </c>
      <c r="U970">
        <v>142</v>
      </c>
      <c r="V970">
        <v>370</v>
      </c>
      <c r="W970">
        <v>229</v>
      </c>
      <c r="X970" t="s">
        <v>248</v>
      </c>
      <c r="Y970" t="s">
        <v>1297</v>
      </c>
      <c r="Z970" t="s">
        <v>653</v>
      </c>
      <c r="AA970" t="s">
        <v>1298</v>
      </c>
      <c r="AB970" t="s">
        <v>1299</v>
      </c>
      <c r="AC970" t="s">
        <v>316</v>
      </c>
      <c r="AD970" t="s">
        <v>101</v>
      </c>
      <c r="AE970">
        <v>2675</v>
      </c>
      <c r="AF970" t="s">
        <v>317</v>
      </c>
    </row>
    <row r="971" spans="1:34" x14ac:dyDescent="0.75">
      <c r="A971" s="22" t="s">
        <v>6051</v>
      </c>
      <c r="B971" t="s">
        <v>5545</v>
      </c>
      <c r="C971" t="s">
        <v>104</v>
      </c>
      <c r="D971" t="s">
        <v>306</v>
      </c>
      <c r="E971" t="s">
        <v>307</v>
      </c>
      <c r="F971" t="s">
        <v>5546</v>
      </c>
      <c r="G971" s="1" t="str">
        <f>HYPERLINK("https://homd.org/jbrowse/?data=homd_V11.02_phage_1.2%2FGCA_905373515.1&amp;loc=GCA_905373515.1%7CCAJPTE010000005.1%3A1369..8487&amp;tracks=prokka,prokka_ncrna,ncbi,ncbi_ncrna,panggolin,cenote,genomad&amp;highlight=","Open JBrowse")</f>
        <v>Open JBrowse</v>
      </c>
      <c r="H971">
        <v>4369</v>
      </c>
      <c r="I971">
        <v>5487</v>
      </c>
      <c r="J971" t="s">
        <v>5547</v>
      </c>
      <c r="K971" t="s">
        <v>109</v>
      </c>
      <c r="L971" t="s">
        <v>310</v>
      </c>
      <c r="M971" t="s">
        <v>311</v>
      </c>
      <c r="N971" t="s">
        <v>42</v>
      </c>
      <c r="O971">
        <v>3</v>
      </c>
      <c r="P971" t="s">
        <v>42</v>
      </c>
      <c r="Q971" t="s">
        <v>101</v>
      </c>
      <c r="R971" t="s">
        <v>5548</v>
      </c>
      <c r="S971" t="s">
        <v>310</v>
      </c>
      <c r="T971" t="s">
        <v>42</v>
      </c>
      <c r="U971">
        <v>142</v>
      </c>
      <c r="V971">
        <v>370</v>
      </c>
      <c r="W971">
        <v>229</v>
      </c>
      <c r="X971" t="s">
        <v>248</v>
      </c>
      <c r="Y971" t="s">
        <v>5549</v>
      </c>
      <c r="Z971" t="s">
        <v>1334</v>
      </c>
      <c r="AA971" t="s">
        <v>5550</v>
      </c>
      <c r="AB971" t="s">
        <v>5551</v>
      </c>
      <c r="AC971" t="s">
        <v>316</v>
      </c>
      <c r="AD971" t="s">
        <v>101</v>
      </c>
      <c r="AE971">
        <v>2692</v>
      </c>
      <c r="AF971" t="s">
        <v>895</v>
      </c>
    </row>
    <row r="972" spans="1:34" x14ac:dyDescent="0.75">
      <c r="A972" s="22" t="s">
        <v>6051</v>
      </c>
      <c r="B972" t="s">
        <v>5745</v>
      </c>
      <c r="C972" t="s">
        <v>104</v>
      </c>
      <c r="D972" t="s">
        <v>306</v>
      </c>
      <c r="E972" t="s">
        <v>307</v>
      </c>
      <c r="F972" t="s">
        <v>5746</v>
      </c>
      <c r="G972" s="1" t="str">
        <f>HYPERLINK("https://homd.org/jbrowse/?data=homd_V11.02_phage_1.2%2FGCA_937919505.1&amp;loc=GCA_937919505.1%7CCALFPC010000022.1%3A39596..46714&amp;tracks=prokka,prokka_ncrna,ncbi,ncbi_ncrna,panggolin,cenote,genomad&amp;highlight=","Open JBrowse")</f>
        <v>Open JBrowse</v>
      </c>
      <c r="H972">
        <v>42596</v>
      </c>
      <c r="I972">
        <v>43714</v>
      </c>
      <c r="J972" t="s">
        <v>5747</v>
      </c>
      <c r="K972" t="s">
        <v>109</v>
      </c>
      <c r="L972" t="s">
        <v>310</v>
      </c>
      <c r="M972" t="s">
        <v>311</v>
      </c>
      <c r="N972" t="s">
        <v>42</v>
      </c>
      <c r="O972">
        <v>3</v>
      </c>
      <c r="P972" t="s">
        <v>42</v>
      </c>
      <c r="Q972" t="s">
        <v>101</v>
      </c>
      <c r="R972" t="s">
        <v>5748</v>
      </c>
      <c r="S972" t="s">
        <v>310</v>
      </c>
      <c r="T972" t="s">
        <v>42</v>
      </c>
      <c r="U972">
        <v>142</v>
      </c>
      <c r="V972">
        <v>370</v>
      </c>
      <c r="W972">
        <v>229</v>
      </c>
      <c r="X972" t="s">
        <v>248</v>
      </c>
      <c r="Y972" t="s">
        <v>5749</v>
      </c>
      <c r="Z972" t="s">
        <v>892</v>
      </c>
      <c r="AA972" t="s">
        <v>314</v>
      </c>
      <c r="AB972" t="s">
        <v>5750</v>
      </c>
      <c r="AC972" t="s">
        <v>316</v>
      </c>
      <c r="AD972" t="s">
        <v>101</v>
      </c>
      <c r="AE972">
        <v>2669</v>
      </c>
      <c r="AF972" t="s">
        <v>317</v>
      </c>
    </row>
    <row r="973" spans="1:34" x14ac:dyDescent="0.75">
      <c r="A973" s="22" t="s">
        <v>6051</v>
      </c>
      <c r="B973" t="s">
        <v>222</v>
      </c>
      <c r="C973" t="s">
        <v>104</v>
      </c>
      <c r="D973" t="s">
        <v>223</v>
      </c>
      <c r="E973" t="s">
        <v>224</v>
      </c>
      <c r="F973" t="s">
        <v>229</v>
      </c>
      <c r="G973" s="1" t="str">
        <f>HYPERLINK("https://homd.org/jbrowse/?data=homd_V11.02_phage_1.2%2FGCA_000160655.1&amp;loc=GCA_000160655.1%7CGG694032.1%3A1..8014&amp;tracks=prokka,prokka_ncrna,ncbi,ncbi_ncrna,panggolin,cenote,genomad&amp;highlight=","Open JBrowse")</f>
        <v>Open JBrowse</v>
      </c>
      <c r="H973">
        <v>2</v>
      </c>
      <c r="I973">
        <v>5014</v>
      </c>
      <c r="J973" t="s">
        <v>230</v>
      </c>
      <c r="K973" t="s">
        <v>231</v>
      </c>
      <c r="L973" t="s">
        <v>232</v>
      </c>
      <c r="M973" t="s">
        <v>233</v>
      </c>
      <c r="N973" t="s">
        <v>227</v>
      </c>
      <c r="O973">
        <v>3</v>
      </c>
      <c r="P973" t="s">
        <v>234</v>
      </c>
      <c r="Q973" t="s">
        <v>235</v>
      </c>
      <c r="R973" t="s">
        <v>228</v>
      </c>
      <c r="S973" t="s">
        <v>236</v>
      </c>
      <c r="T973" t="s">
        <v>42</v>
      </c>
      <c r="U973">
        <v>149</v>
      </c>
      <c r="V973">
        <v>405</v>
      </c>
      <c r="W973">
        <v>257</v>
      </c>
      <c r="X973" t="s">
        <v>237</v>
      </c>
    </row>
    <row r="974" spans="1:34" x14ac:dyDescent="0.75">
      <c r="A974" s="22" t="s">
        <v>6051</v>
      </c>
      <c r="B974" t="s">
        <v>1620</v>
      </c>
      <c r="C974" t="s">
        <v>104</v>
      </c>
      <c r="D974" t="s">
        <v>1621</v>
      </c>
      <c r="E974" t="s">
        <v>1622</v>
      </c>
      <c r="F974" t="s">
        <v>1623</v>
      </c>
      <c r="G974" s="1" t="str">
        <f>HYPERLINK("https://homd.org/jbrowse/?data=homd_V11.02_phage_1.2%2FGCA_001648265.1&amp;loc=GCA_001648265.1%7CLXSH01000028.1%3A34166..41482&amp;tracks=prokka,prokka_ncrna,ncbi,ncbi_ncrna,panggolin,cenote,genomad&amp;highlight=","Open JBrowse")</f>
        <v>Open JBrowse</v>
      </c>
      <c r="H974">
        <v>37166</v>
      </c>
      <c r="I974">
        <v>38482</v>
      </c>
      <c r="J974" t="s">
        <v>1624</v>
      </c>
      <c r="K974" t="s">
        <v>59</v>
      </c>
      <c r="L974" t="s">
        <v>1625</v>
      </c>
      <c r="M974" t="s">
        <v>1626</v>
      </c>
      <c r="N974" t="s">
        <v>1627</v>
      </c>
      <c r="O974">
        <v>3</v>
      </c>
      <c r="P974" t="s">
        <v>42</v>
      </c>
      <c r="Q974" t="s">
        <v>59</v>
      </c>
      <c r="R974" t="s">
        <v>1628</v>
      </c>
      <c r="S974" t="s">
        <v>1625</v>
      </c>
      <c r="T974" t="s">
        <v>42</v>
      </c>
      <c r="U974">
        <v>161</v>
      </c>
      <c r="V974">
        <v>435</v>
      </c>
      <c r="W974">
        <v>275</v>
      </c>
      <c r="X974" t="s">
        <v>1629</v>
      </c>
    </row>
    <row r="975" spans="1:34" x14ac:dyDescent="0.75">
      <c r="A975" s="22" t="s">
        <v>6051</v>
      </c>
      <c r="B975" t="s">
        <v>4974</v>
      </c>
      <c r="C975" t="s">
        <v>104</v>
      </c>
      <c r="D975" t="s">
        <v>2427</v>
      </c>
      <c r="E975" t="s">
        <v>2428</v>
      </c>
      <c r="F975" t="s">
        <v>4975</v>
      </c>
      <c r="G975" s="1" t="str">
        <f>HYPERLINK("https://homd.org/jbrowse/?data=homd_V11.02_phage_1.2%2FGCA_030527835.1&amp;loc=GCA_030527835.1%7CJAUMZZ010000004.1%3A74834..83260&amp;tracks=prokka,prokka_ncrna,ncbi,ncbi_ncrna,panggolin,cenote,genomad&amp;highlight=","Open JBrowse")</f>
        <v>Open JBrowse</v>
      </c>
      <c r="H975">
        <v>77834</v>
      </c>
      <c r="I975">
        <v>80260</v>
      </c>
      <c r="J975" t="s">
        <v>4976</v>
      </c>
      <c r="K975" t="s">
        <v>1096</v>
      </c>
      <c r="L975" t="s">
        <v>4977</v>
      </c>
      <c r="M975" t="s">
        <v>4978</v>
      </c>
      <c r="N975" t="s">
        <v>398</v>
      </c>
      <c r="O975">
        <v>3</v>
      </c>
      <c r="P975" t="s">
        <v>42</v>
      </c>
      <c r="Q975" t="s">
        <v>101</v>
      </c>
      <c r="R975" t="s">
        <v>4979</v>
      </c>
      <c r="S975" t="s">
        <v>4977</v>
      </c>
      <c r="T975" t="s">
        <v>42</v>
      </c>
      <c r="U975">
        <v>208</v>
      </c>
      <c r="V975">
        <v>473</v>
      </c>
      <c r="W975">
        <v>266</v>
      </c>
      <c r="X975" t="s">
        <v>1099</v>
      </c>
      <c r="Y975" t="s">
        <v>4980</v>
      </c>
      <c r="Z975" t="s">
        <v>1463</v>
      </c>
      <c r="AA975" t="s">
        <v>4981</v>
      </c>
      <c r="AB975" t="s">
        <v>4982</v>
      </c>
      <c r="AC975" t="s">
        <v>4983</v>
      </c>
      <c r="AD975" t="s">
        <v>101</v>
      </c>
      <c r="AE975">
        <v>765</v>
      </c>
      <c r="AF975" t="s">
        <v>102</v>
      </c>
      <c r="AG975" t="s">
        <v>101</v>
      </c>
      <c r="AH975">
        <v>2</v>
      </c>
    </row>
    <row r="976" spans="1:34" x14ac:dyDescent="0.75">
      <c r="A976" s="22" t="s">
        <v>6051</v>
      </c>
      <c r="B976" t="s">
        <v>2766</v>
      </c>
      <c r="C976" t="s">
        <v>104</v>
      </c>
      <c r="D976" t="s">
        <v>2767</v>
      </c>
      <c r="E976" t="s">
        <v>2768</v>
      </c>
      <c r="F976" t="s">
        <v>2769</v>
      </c>
      <c r="G976" s="1" t="str">
        <f>HYPERLINK("https://homd.org/jbrowse/?data=homd_V11.02_phage_1.2%2FGCA_013333735.2&amp;loc=GCA_013333735.2%7CJABCOF020000067.1%3A11874..19412&amp;tracks=prokka,prokka_ncrna,ncbi,ncbi_ncrna,panggolin,cenote,genomad&amp;highlight=","Open JBrowse")</f>
        <v>Open JBrowse</v>
      </c>
      <c r="H976">
        <v>14874</v>
      </c>
      <c r="I976">
        <v>16412</v>
      </c>
      <c r="J976" t="s">
        <v>2770</v>
      </c>
      <c r="K976" t="s">
        <v>269</v>
      </c>
      <c r="L976" t="s">
        <v>2771</v>
      </c>
      <c r="M976" t="s">
        <v>2772</v>
      </c>
      <c r="N976" t="s">
        <v>42</v>
      </c>
      <c r="O976">
        <v>3</v>
      </c>
      <c r="P976" t="s">
        <v>42</v>
      </c>
      <c r="Q976" t="s">
        <v>43</v>
      </c>
      <c r="R976" t="s">
        <v>2773</v>
      </c>
      <c r="S976" t="s">
        <v>2771</v>
      </c>
      <c r="T976" t="s">
        <v>42</v>
      </c>
      <c r="U976">
        <v>245</v>
      </c>
      <c r="V976">
        <v>506</v>
      </c>
      <c r="W976">
        <v>262</v>
      </c>
      <c r="X976" t="s">
        <v>273</v>
      </c>
    </row>
    <row r="977" spans="1:34" x14ac:dyDescent="0.75">
      <c r="A977" s="22" t="s">
        <v>6051</v>
      </c>
      <c r="B977" t="s">
        <v>3473</v>
      </c>
      <c r="C977" t="s">
        <v>104</v>
      </c>
      <c r="D977" t="s">
        <v>2767</v>
      </c>
      <c r="E977" t="s">
        <v>2768</v>
      </c>
      <c r="F977" t="s">
        <v>3474</v>
      </c>
      <c r="G977" s="1" t="str">
        <f>HYPERLINK("https://homd.org/jbrowse/?data=homd_V11.02_phage_1.2%2FGCA_018128325.1&amp;loc=GCA_018128325.1%7CCP072384.1%3A2636367..2643905&amp;tracks=prokka,prokka_ncrna,ncbi,ncbi_ncrna,panggolin,cenote,genomad&amp;highlight=","Open JBrowse")</f>
        <v>Open JBrowse</v>
      </c>
      <c r="H977">
        <v>2639367</v>
      </c>
      <c r="I977">
        <v>2640905</v>
      </c>
      <c r="J977" t="s">
        <v>3475</v>
      </c>
      <c r="K977" t="s">
        <v>269</v>
      </c>
      <c r="L977" t="s">
        <v>2771</v>
      </c>
      <c r="M977" t="s">
        <v>2772</v>
      </c>
      <c r="N977" t="s">
        <v>42</v>
      </c>
      <c r="O977">
        <v>3</v>
      </c>
      <c r="P977" t="s">
        <v>42</v>
      </c>
      <c r="Q977" t="s">
        <v>43</v>
      </c>
      <c r="R977" t="s">
        <v>3476</v>
      </c>
      <c r="S977" t="s">
        <v>2771</v>
      </c>
      <c r="T977" t="s">
        <v>42</v>
      </c>
      <c r="U977">
        <v>245</v>
      </c>
      <c r="V977">
        <v>506</v>
      </c>
      <c r="W977">
        <v>262</v>
      </c>
      <c r="X977" t="s">
        <v>273</v>
      </c>
    </row>
    <row r="978" spans="1:34" x14ac:dyDescent="0.75">
      <c r="A978" s="22" t="s">
        <v>6051</v>
      </c>
      <c r="B978" t="s">
        <v>3904</v>
      </c>
      <c r="C978" t="s">
        <v>104</v>
      </c>
      <c r="D978" t="s">
        <v>2767</v>
      </c>
      <c r="E978" t="s">
        <v>2768</v>
      </c>
      <c r="F978" t="s">
        <v>3905</v>
      </c>
      <c r="G978" s="1" t="str">
        <f>HYPERLINK("https://homd.org/jbrowse/?data=homd_V11.02_phage_1.2%2FGCA_019973735.1&amp;loc=GCA_019973735.1%7CAP024463.1%3A2616939..2624477&amp;tracks=prokka,prokka_ncrna,ncbi,ncbi_ncrna,panggolin,cenote,genomad&amp;highlight=","Open JBrowse")</f>
        <v>Open JBrowse</v>
      </c>
      <c r="H978">
        <v>2619939</v>
      </c>
      <c r="I978">
        <v>2621477</v>
      </c>
      <c r="J978" t="s">
        <v>3906</v>
      </c>
      <c r="K978" t="s">
        <v>269</v>
      </c>
      <c r="L978" t="s">
        <v>2771</v>
      </c>
      <c r="M978" t="s">
        <v>2772</v>
      </c>
      <c r="N978" t="s">
        <v>42</v>
      </c>
      <c r="O978">
        <v>3</v>
      </c>
      <c r="P978" t="s">
        <v>42</v>
      </c>
      <c r="Q978" t="s">
        <v>43</v>
      </c>
      <c r="R978" t="s">
        <v>3907</v>
      </c>
      <c r="S978" t="s">
        <v>2771</v>
      </c>
      <c r="T978" t="s">
        <v>42</v>
      </c>
      <c r="U978">
        <v>245</v>
      </c>
      <c r="V978">
        <v>506</v>
      </c>
      <c r="W978">
        <v>262</v>
      </c>
      <c r="X978" t="s">
        <v>273</v>
      </c>
    </row>
    <row r="979" spans="1:34" x14ac:dyDescent="0.75">
      <c r="A979" s="22" t="s">
        <v>6051</v>
      </c>
      <c r="B979" t="s">
        <v>4988</v>
      </c>
      <c r="C979" t="s">
        <v>104</v>
      </c>
      <c r="D979" t="s">
        <v>2767</v>
      </c>
      <c r="E979" t="s">
        <v>2768</v>
      </c>
      <c r="F979" t="s">
        <v>4989</v>
      </c>
      <c r="G979" s="1" t="str">
        <f>HYPERLINK("https://homd.org/jbrowse/?data=homd_V11.02_phage_1.2%2FGCA_030527845.1&amp;loc=GCA_030527845.1%7CJAUNAA010000005.1%3A63240..70778&amp;tracks=prokka,prokka_ncrna,ncbi,ncbi_ncrna,panggolin,cenote,genomad&amp;highlight=","Open JBrowse")</f>
        <v>Open JBrowse</v>
      </c>
      <c r="H979">
        <v>66240</v>
      </c>
      <c r="I979">
        <v>67778</v>
      </c>
      <c r="J979" t="s">
        <v>4990</v>
      </c>
      <c r="K979" t="s">
        <v>269</v>
      </c>
      <c r="L979" t="s">
        <v>2771</v>
      </c>
      <c r="M979" t="s">
        <v>2772</v>
      </c>
      <c r="N979" t="s">
        <v>42</v>
      </c>
      <c r="O979">
        <v>3</v>
      </c>
      <c r="P979" t="s">
        <v>42</v>
      </c>
      <c r="Q979" t="s">
        <v>43</v>
      </c>
      <c r="R979" t="s">
        <v>4991</v>
      </c>
      <c r="S979" t="s">
        <v>2771</v>
      </c>
      <c r="T979" t="s">
        <v>42</v>
      </c>
      <c r="U979">
        <v>245</v>
      </c>
      <c r="V979">
        <v>506</v>
      </c>
      <c r="W979">
        <v>262</v>
      </c>
      <c r="X979" t="s">
        <v>273</v>
      </c>
    </row>
    <row r="980" spans="1:34" x14ac:dyDescent="0.75">
      <c r="A980" s="22" t="s">
        <v>6051</v>
      </c>
      <c r="B980" t="s">
        <v>5463</v>
      </c>
      <c r="C980" t="s">
        <v>104</v>
      </c>
      <c r="D980" t="s">
        <v>2767</v>
      </c>
      <c r="E980" t="s">
        <v>2768</v>
      </c>
      <c r="F980" t="s">
        <v>5464</v>
      </c>
      <c r="G980" s="1" t="str">
        <f>HYPERLINK("https://homd.org/jbrowse/?data=homd_V11.02_phage_1.2%2FGCA_905372475.1&amp;loc=GCA_905372475.1%7CCAJPPP010000049.1%3A13786..21324&amp;tracks=prokka,prokka_ncrna,ncbi,ncbi_ncrna,panggolin,cenote,genomad&amp;highlight=","Open JBrowse")</f>
        <v>Open JBrowse</v>
      </c>
      <c r="H980">
        <v>16786</v>
      </c>
      <c r="I980">
        <v>18324</v>
      </c>
      <c r="J980" t="s">
        <v>5465</v>
      </c>
      <c r="K980" t="s">
        <v>269</v>
      </c>
      <c r="L980" t="s">
        <v>2771</v>
      </c>
      <c r="M980" t="s">
        <v>2772</v>
      </c>
      <c r="N980" t="s">
        <v>42</v>
      </c>
      <c r="O980">
        <v>3</v>
      </c>
      <c r="P980" t="s">
        <v>42</v>
      </c>
      <c r="Q980" t="s">
        <v>43</v>
      </c>
      <c r="R980" t="s">
        <v>5466</v>
      </c>
      <c r="S980" t="s">
        <v>2771</v>
      </c>
      <c r="T980" t="s">
        <v>42</v>
      </c>
      <c r="U980">
        <v>245</v>
      </c>
      <c r="V980">
        <v>506</v>
      </c>
      <c r="W980">
        <v>262</v>
      </c>
      <c r="X980" t="s">
        <v>273</v>
      </c>
      <c r="Y980" t="s">
        <v>5467</v>
      </c>
      <c r="Z980" t="s">
        <v>530</v>
      </c>
      <c r="AA980" t="s">
        <v>5468</v>
      </c>
    </row>
    <row r="981" spans="1:34" x14ac:dyDescent="0.75">
      <c r="A981" s="22" t="s">
        <v>6051</v>
      </c>
      <c r="B981" t="s">
        <v>5691</v>
      </c>
      <c r="C981" t="s">
        <v>104</v>
      </c>
      <c r="D981" t="s">
        <v>2767</v>
      </c>
      <c r="E981" t="s">
        <v>2768</v>
      </c>
      <c r="F981" t="s">
        <v>5692</v>
      </c>
      <c r="G981" s="1" t="str">
        <f>HYPERLINK("https://homd.org/jbrowse/?data=homd_V11.02_phage_1.2%2FGCA_927911275.1&amp;loc=GCA_927911275.1%7CCAKMPF010000137.1%3A20394..27932&amp;tracks=prokka,prokka_ncrna,ncbi,ncbi_ncrna,panggolin,cenote,genomad&amp;highlight=","Open JBrowse")</f>
        <v>Open JBrowse</v>
      </c>
      <c r="H981">
        <v>23394</v>
      </c>
      <c r="I981">
        <v>24932</v>
      </c>
      <c r="J981" t="s">
        <v>5693</v>
      </c>
      <c r="K981" t="s">
        <v>269</v>
      </c>
      <c r="L981" t="s">
        <v>2771</v>
      </c>
      <c r="M981" t="s">
        <v>2772</v>
      </c>
      <c r="N981" t="s">
        <v>42</v>
      </c>
      <c r="O981">
        <v>3</v>
      </c>
      <c r="P981" t="s">
        <v>42</v>
      </c>
      <c r="Q981" t="s">
        <v>43</v>
      </c>
      <c r="R981" t="s">
        <v>5694</v>
      </c>
      <c r="S981" t="s">
        <v>2771</v>
      </c>
      <c r="T981" t="s">
        <v>42</v>
      </c>
      <c r="U981">
        <v>245</v>
      </c>
      <c r="V981">
        <v>506</v>
      </c>
      <c r="W981">
        <v>262</v>
      </c>
      <c r="X981" t="s">
        <v>273</v>
      </c>
    </row>
    <row r="982" spans="1:34" x14ac:dyDescent="0.75">
      <c r="A982" s="22" t="s">
        <v>6051</v>
      </c>
      <c r="B982" t="s">
        <v>5796</v>
      </c>
      <c r="C982" t="s">
        <v>104</v>
      </c>
      <c r="D982" t="s">
        <v>2767</v>
      </c>
      <c r="E982" t="s">
        <v>2768</v>
      </c>
      <c r="F982" t="s">
        <v>5797</v>
      </c>
      <c r="G982" s="1" t="str">
        <f>HYPERLINK("https://homd.org/jbrowse/?data=homd_V11.02_phage_1.2%2FGCA_937974815.1&amp;loc=GCA_937974815.1%7CCALJVG010000177.1%3A45394..52932&amp;tracks=prokka,prokka_ncrna,ncbi,ncbi_ncrna,panggolin,cenote,genomad&amp;highlight=","Open JBrowse")</f>
        <v>Open JBrowse</v>
      </c>
      <c r="H982">
        <v>48394</v>
      </c>
      <c r="I982">
        <v>49932</v>
      </c>
      <c r="J982" t="s">
        <v>5798</v>
      </c>
      <c r="K982" t="s">
        <v>269</v>
      </c>
      <c r="L982" t="s">
        <v>2771</v>
      </c>
      <c r="M982" t="s">
        <v>2772</v>
      </c>
      <c r="N982" t="s">
        <v>42</v>
      </c>
      <c r="O982">
        <v>3</v>
      </c>
      <c r="P982" t="s">
        <v>42</v>
      </c>
      <c r="Q982" t="s">
        <v>43</v>
      </c>
      <c r="R982" t="s">
        <v>5799</v>
      </c>
      <c r="S982" t="s">
        <v>2771</v>
      </c>
      <c r="T982" t="s">
        <v>42</v>
      </c>
      <c r="U982">
        <v>245</v>
      </c>
      <c r="V982">
        <v>506</v>
      </c>
      <c r="W982">
        <v>262</v>
      </c>
      <c r="X982" t="s">
        <v>273</v>
      </c>
    </row>
    <row r="983" spans="1:34" x14ac:dyDescent="0.75">
      <c r="A983" s="22" t="s">
        <v>6051</v>
      </c>
      <c r="B983" t="s">
        <v>622</v>
      </c>
      <c r="C983" t="s">
        <v>104</v>
      </c>
      <c r="D983" t="s">
        <v>623</v>
      </c>
      <c r="E983" t="s">
        <v>624</v>
      </c>
      <c r="F983" t="s">
        <v>625</v>
      </c>
      <c r="G983" s="1" t="str">
        <f>HYPERLINK("https://homd.org/jbrowse/?data=homd_V11.02_phage_1.2%2FGCA_000243015.1&amp;loc=GCA_000243015.1%7CJH594501.1%3A298489..306198&amp;tracks=prokka,prokka_ncrna,ncbi,ncbi_ncrna,panggolin,cenote,genomad&amp;highlight=","Open JBrowse")</f>
        <v>Open JBrowse</v>
      </c>
      <c r="H983">
        <v>301489</v>
      </c>
      <c r="I983">
        <v>303198</v>
      </c>
      <c r="J983" t="s">
        <v>626</v>
      </c>
      <c r="K983" t="s">
        <v>627</v>
      </c>
      <c r="L983" t="s">
        <v>628</v>
      </c>
      <c r="M983" t="s">
        <v>629</v>
      </c>
      <c r="N983" t="s">
        <v>42</v>
      </c>
      <c r="O983">
        <v>3</v>
      </c>
      <c r="P983" t="s">
        <v>630</v>
      </c>
      <c r="Q983" t="s">
        <v>43</v>
      </c>
      <c r="R983" t="s">
        <v>631</v>
      </c>
      <c r="S983" t="s">
        <v>632</v>
      </c>
      <c r="T983" t="s">
        <v>42</v>
      </c>
      <c r="U983">
        <v>305</v>
      </c>
      <c r="V983">
        <v>564</v>
      </c>
      <c r="W983">
        <v>260</v>
      </c>
      <c r="X983" t="s">
        <v>633</v>
      </c>
      <c r="Y983" t="s">
        <v>634</v>
      </c>
      <c r="Z983" t="s">
        <v>336</v>
      </c>
      <c r="AA983" t="s">
        <v>635</v>
      </c>
      <c r="AB983" t="s">
        <v>636</v>
      </c>
      <c r="AC983" t="s">
        <v>637</v>
      </c>
      <c r="AD983" t="s">
        <v>638</v>
      </c>
      <c r="AE983">
        <v>4191</v>
      </c>
      <c r="AF983" t="s">
        <v>639</v>
      </c>
    </row>
    <row r="984" spans="1:34" x14ac:dyDescent="0.75">
      <c r="A984" s="22" t="s">
        <v>6050</v>
      </c>
      <c r="B984" t="s">
        <v>896</v>
      </c>
      <c r="C984" t="s">
        <v>104</v>
      </c>
      <c r="D984" t="s">
        <v>623</v>
      </c>
      <c r="E984" t="s">
        <v>624</v>
      </c>
      <c r="F984" t="s">
        <v>897</v>
      </c>
      <c r="G984" s="1" t="str">
        <f>HYPERLINK("https://homd.org/jbrowse/?data=homd_V11.02_phage_1.2%2FGCA_000382385.1&amp;loc=GCA_000382385.1%7CKB908322.1%3A91094..98407&amp;tracks=prokka,prokka_ncrna,ncbi,ncbi_ncrna,panggolin,cenote,genomad&amp;highlight=","Open JBrowse")</f>
        <v>Open JBrowse</v>
      </c>
      <c r="H984">
        <v>94094</v>
      </c>
      <c r="I984">
        <v>95407</v>
      </c>
      <c r="J984" t="s">
        <v>898</v>
      </c>
      <c r="K984" t="s">
        <v>627</v>
      </c>
      <c r="L984" t="s">
        <v>899</v>
      </c>
      <c r="M984" t="s">
        <v>900</v>
      </c>
      <c r="N984" t="s">
        <v>59</v>
      </c>
      <c r="O984">
        <v>2</v>
      </c>
      <c r="P984" t="s">
        <v>630</v>
      </c>
      <c r="Q984" t="s">
        <v>43</v>
      </c>
      <c r="R984" t="s">
        <v>901</v>
      </c>
      <c r="S984" t="s">
        <v>902</v>
      </c>
      <c r="T984" t="s">
        <v>42</v>
      </c>
      <c r="U984">
        <v>305</v>
      </c>
      <c r="V984">
        <v>417</v>
      </c>
      <c r="W984">
        <v>113</v>
      </c>
      <c r="X984" t="s">
        <v>633</v>
      </c>
      <c r="Y984" t="s">
        <v>903</v>
      </c>
      <c r="Z984" t="s">
        <v>904</v>
      </c>
      <c r="AA984" t="s">
        <v>905</v>
      </c>
      <c r="AB984" t="s">
        <v>906</v>
      </c>
      <c r="AC984" t="s">
        <v>637</v>
      </c>
      <c r="AD984" t="s">
        <v>638</v>
      </c>
      <c r="AE984">
        <v>4027</v>
      </c>
      <c r="AF984" t="s">
        <v>907</v>
      </c>
    </row>
    <row r="985" spans="1:34" x14ac:dyDescent="0.75">
      <c r="A985" s="22" t="s">
        <v>6050</v>
      </c>
      <c r="B985" t="s">
        <v>1264</v>
      </c>
      <c r="C985" t="s">
        <v>104</v>
      </c>
      <c r="D985" t="s">
        <v>623</v>
      </c>
      <c r="E985" t="s">
        <v>624</v>
      </c>
      <c r="F985" t="s">
        <v>1265</v>
      </c>
      <c r="G985" s="1" t="str">
        <f>HYPERLINK("https://homd.org/jbrowse/?data=homd_V11.02_phage_1.2%2FGCA_000613965.1&amp;loc=GCA_000613965.1%7CBAJZ01000001.1%3A56369..63682&amp;tracks=prokka,prokka_ncrna,ncbi,ncbi_ncrna,panggolin,cenote,genomad&amp;highlight=","Open JBrowse")</f>
        <v>Open JBrowse</v>
      </c>
      <c r="H985">
        <v>59369</v>
      </c>
      <c r="I985">
        <v>60682</v>
      </c>
      <c r="J985" t="s">
        <v>1266</v>
      </c>
      <c r="K985" t="s">
        <v>627</v>
      </c>
      <c r="L985" t="s">
        <v>899</v>
      </c>
      <c r="M985" t="s">
        <v>900</v>
      </c>
      <c r="N985" t="s">
        <v>59</v>
      </c>
      <c r="O985">
        <v>2</v>
      </c>
      <c r="P985" t="s">
        <v>630</v>
      </c>
      <c r="Q985" t="s">
        <v>43</v>
      </c>
      <c r="R985" t="s">
        <v>1267</v>
      </c>
      <c r="S985" t="s">
        <v>902</v>
      </c>
      <c r="T985" t="s">
        <v>42</v>
      </c>
      <c r="U985">
        <v>305</v>
      </c>
      <c r="V985">
        <v>417</v>
      </c>
      <c r="W985">
        <v>113</v>
      </c>
      <c r="X985" t="s">
        <v>633</v>
      </c>
      <c r="Y985" t="s">
        <v>1268</v>
      </c>
      <c r="Z985" t="s">
        <v>368</v>
      </c>
      <c r="AA985" t="s">
        <v>1269</v>
      </c>
      <c r="AB985" t="s">
        <v>1270</v>
      </c>
      <c r="AC985" t="s">
        <v>637</v>
      </c>
      <c r="AD985" t="s">
        <v>638</v>
      </c>
      <c r="AE985">
        <v>3446</v>
      </c>
      <c r="AF985" t="s">
        <v>1271</v>
      </c>
    </row>
    <row r="986" spans="1:34" x14ac:dyDescent="0.75">
      <c r="A986" s="22" t="s">
        <v>6051</v>
      </c>
      <c r="B986" t="s">
        <v>5455</v>
      </c>
      <c r="C986" t="s">
        <v>104</v>
      </c>
      <c r="D986" t="s">
        <v>623</v>
      </c>
      <c r="E986" t="s">
        <v>624</v>
      </c>
      <c r="F986" t="s">
        <v>5456</v>
      </c>
      <c r="G986" s="1" t="str">
        <f>HYPERLINK("https://homd.org/jbrowse/?data=homd_V11.02_phage_1.2%2FGCA_905372425.1&amp;loc=GCA_905372425.1%7CCAJPPA010000007.1%3A29141..36850&amp;tracks=prokka,prokka_ncrna,ncbi,ncbi_ncrna,panggolin,cenote,genomad&amp;highlight=","Open JBrowse")</f>
        <v>Open JBrowse</v>
      </c>
      <c r="H986">
        <v>32141</v>
      </c>
      <c r="I986">
        <v>33850</v>
      </c>
      <c r="J986" t="s">
        <v>5457</v>
      </c>
      <c r="K986" t="s">
        <v>627</v>
      </c>
      <c r="L986" t="s">
        <v>628</v>
      </c>
      <c r="M986" t="s">
        <v>629</v>
      </c>
      <c r="N986" t="s">
        <v>42</v>
      </c>
      <c r="O986">
        <v>3</v>
      </c>
      <c r="P986" t="s">
        <v>630</v>
      </c>
      <c r="Q986" t="s">
        <v>43</v>
      </c>
      <c r="R986" t="s">
        <v>5458</v>
      </c>
      <c r="S986" t="s">
        <v>632</v>
      </c>
      <c r="T986" t="s">
        <v>42</v>
      </c>
      <c r="U986">
        <v>305</v>
      </c>
      <c r="V986">
        <v>564</v>
      </c>
      <c r="W986">
        <v>260</v>
      </c>
      <c r="X986" t="s">
        <v>633</v>
      </c>
      <c r="Y986" t="s">
        <v>5459</v>
      </c>
      <c r="Z986" t="s">
        <v>2007</v>
      </c>
      <c r="AA986" t="s">
        <v>5460</v>
      </c>
      <c r="AB986" t="s">
        <v>5461</v>
      </c>
      <c r="AC986" t="s">
        <v>4582</v>
      </c>
      <c r="AD986" t="s">
        <v>4583</v>
      </c>
      <c r="AE986">
        <v>3488</v>
      </c>
      <c r="AF986" t="s">
        <v>5462</v>
      </c>
    </row>
    <row r="987" spans="1:34" x14ac:dyDescent="0.75">
      <c r="A987" s="22" t="s">
        <v>6051</v>
      </c>
      <c r="B987" t="s">
        <v>5789</v>
      </c>
      <c r="C987" t="s">
        <v>104</v>
      </c>
      <c r="D987" t="s">
        <v>623</v>
      </c>
      <c r="E987" t="s">
        <v>624</v>
      </c>
      <c r="F987" t="s">
        <v>5790</v>
      </c>
      <c r="G987" s="1" t="str">
        <f>HYPERLINK("https://homd.org/jbrowse/?data=homd_V11.02_phage_1.2%2FGCA_937927175.1&amp;loc=GCA_937927175.1%7CCALBBY010000160.1%3A4150..11859&amp;tracks=prokka,prokka_ncrna,ncbi,ncbi_ncrna,panggolin,cenote,genomad&amp;highlight=","Open JBrowse")</f>
        <v>Open JBrowse</v>
      </c>
      <c r="H987">
        <v>7150</v>
      </c>
      <c r="I987">
        <v>8859</v>
      </c>
      <c r="J987" t="s">
        <v>5791</v>
      </c>
      <c r="K987" t="s">
        <v>627</v>
      </c>
      <c r="L987" t="s">
        <v>628</v>
      </c>
      <c r="M987" t="s">
        <v>629</v>
      </c>
      <c r="N987" t="s">
        <v>42</v>
      </c>
      <c r="O987">
        <v>3</v>
      </c>
      <c r="P987" t="s">
        <v>630</v>
      </c>
      <c r="Q987" t="s">
        <v>43</v>
      </c>
      <c r="R987" t="s">
        <v>5792</v>
      </c>
      <c r="S987" t="s">
        <v>632</v>
      </c>
      <c r="T987" t="s">
        <v>42</v>
      </c>
      <c r="U987">
        <v>305</v>
      </c>
      <c r="V987">
        <v>564</v>
      </c>
      <c r="W987">
        <v>260</v>
      </c>
      <c r="X987" t="s">
        <v>633</v>
      </c>
      <c r="Y987" t="s">
        <v>5793</v>
      </c>
      <c r="Z987" t="s">
        <v>1710</v>
      </c>
      <c r="AA987" t="s">
        <v>5794</v>
      </c>
      <c r="AB987" t="s">
        <v>5795</v>
      </c>
      <c r="AC987" t="s">
        <v>4582</v>
      </c>
      <c r="AD987" t="s">
        <v>4583</v>
      </c>
      <c r="AE987">
        <v>3495</v>
      </c>
      <c r="AF987" t="s">
        <v>5462</v>
      </c>
    </row>
    <row r="988" spans="1:34" x14ac:dyDescent="0.75">
      <c r="A988" s="22" t="s">
        <v>6051</v>
      </c>
      <c r="B988" t="s">
        <v>782</v>
      </c>
      <c r="C988" t="s">
        <v>104</v>
      </c>
      <c r="D988" t="s">
        <v>783</v>
      </c>
      <c r="E988" t="s">
        <v>784</v>
      </c>
      <c r="F988" t="s">
        <v>785</v>
      </c>
      <c r="G988" s="1" t="str">
        <f>HYPERLINK("https://homd.org/jbrowse/?data=homd_V11.02_phage_1.2%2FGCA_000318095.2&amp;loc=GCA_000318095.2%7CKB290702.1%3A75845..83704&amp;tracks=prokka,prokka_ncrna,ncbi,ncbi_ncrna,panggolin,cenote,genomad&amp;highlight=","Open JBrowse")</f>
        <v>Open JBrowse</v>
      </c>
      <c r="H988">
        <v>78845</v>
      </c>
      <c r="I988">
        <v>80704</v>
      </c>
      <c r="J988" t="s">
        <v>786</v>
      </c>
      <c r="K988" t="s">
        <v>59</v>
      </c>
      <c r="L988" t="s">
        <v>787</v>
      </c>
      <c r="M988" t="s">
        <v>788</v>
      </c>
      <c r="N988" t="s">
        <v>59</v>
      </c>
      <c r="O988">
        <v>2</v>
      </c>
      <c r="P988" t="s">
        <v>42</v>
      </c>
      <c r="Q988" t="s">
        <v>59</v>
      </c>
      <c r="R988" t="s">
        <v>789</v>
      </c>
      <c r="S988" t="s">
        <v>787</v>
      </c>
      <c r="T988" t="s">
        <v>42</v>
      </c>
      <c r="U988">
        <v>316</v>
      </c>
      <c r="V988">
        <v>551</v>
      </c>
      <c r="W988">
        <v>236</v>
      </c>
      <c r="X988" t="s">
        <v>160</v>
      </c>
      <c r="Y988" t="s">
        <v>790</v>
      </c>
      <c r="Z988" t="s">
        <v>645</v>
      </c>
      <c r="AA988" t="s">
        <v>791</v>
      </c>
      <c r="AB988" t="s">
        <v>792</v>
      </c>
      <c r="AC988" t="s">
        <v>793</v>
      </c>
      <c r="AD988" t="s">
        <v>794</v>
      </c>
      <c r="AE988">
        <v>584</v>
      </c>
      <c r="AF988" t="s">
        <v>795</v>
      </c>
      <c r="AG988" t="s">
        <v>796</v>
      </c>
      <c r="AH988">
        <v>2</v>
      </c>
    </row>
    <row r="989" spans="1:34" x14ac:dyDescent="0.75">
      <c r="A989" s="22" t="s">
        <v>6051</v>
      </c>
      <c r="B989" t="s">
        <v>5405</v>
      </c>
      <c r="C989" t="s">
        <v>104</v>
      </c>
      <c r="D989" t="s">
        <v>783</v>
      </c>
      <c r="E989" t="s">
        <v>784</v>
      </c>
      <c r="F989" t="s">
        <v>5406</v>
      </c>
      <c r="G989" s="1" t="str">
        <f>HYPERLINK("https://homd.org/jbrowse/?data=homd_V11.02_phage_1.2%2FGCA_902497175.1&amp;loc=GCA_902497175.1%7CCABVDX010000029.1%3A5598..13457&amp;tracks=prokka,prokka_ncrna,ncbi,ncbi_ncrna,panggolin,cenote,genomad&amp;highlight=","Open JBrowse")</f>
        <v>Open JBrowse</v>
      </c>
      <c r="H989">
        <v>8598</v>
      </c>
      <c r="I989">
        <v>10457</v>
      </c>
      <c r="J989" t="s">
        <v>5407</v>
      </c>
      <c r="K989" t="s">
        <v>59</v>
      </c>
      <c r="L989" t="s">
        <v>787</v>
      </c>
      <c r="M989" t="s">
        <v>788</v>
      </c>
      <c r="N989" t="s">
        <v>59</v>
      </c>
      <c r="O989">
        <v>2</v>
      </c>
      <c r="P989" t="s">
        <v>42</v>
      </c>
      <c r="Q989" t="s">
        <v>59</v>
      </c>
      <c r="R989" t="s">
        <v>5408</v>
      </c>
      <c r="S989" t="s">
        <v>787</v>
      </c>
      <c r="T989" t="s">
        <v>42</v>
      </c>
      <c r="U989">
        <v>316</v>
      </c>
      <c r="V989">
        <v>551</v>
      </c>
      <c r="W989">
        <v>236</v>
      </c>
      <c r="X989" t="s">
        <v>160</v>
      </c>
    </row>
    <row r="990" spans="1:34" x14ac:dyDescent="0.75">
      <c r="A990" s="22" t="s">
        <v>6051</v>
      </c>
      <c r="B990" t="s">
        <v>5863</v>
      </c>
      <c r="C990" t="s">
        <v>104</v>
      </c>
      <c r="D990" t="s">
        <v>783</v>
      </c>
      <c r="E990" t="s">
        <v>784</v>
      </c>
      <c r="F990" t="s">
        <v>5864</v>
      </c>
      <c r="G990" s="1" t="str">
        <f>HYPERLINK("https://homd.org/jbrowse/?data=homd_V11.02_phage_1.2%2FGCA_938021135.1&amp;loc=GCA_938021135.1%7CCALIHJ010000047.1%3A56312..64171&amp;tracks=prokka,prokka_ncrna,ncbi,ncbi_ncrna,panggolin,cenote,genomad&amp;highlight=","Open JBrowse")</f>
        <v>Open JBrowse</v>
      </c>
      <c r="H990">
        <v>59312</v>
      </c>
      <c r="I990">
        <v>61171</v>
      </c>
      <c r="J990" t="s">
        <v>5865</v>
      </c>
      <c r="K990" t="s">
        <v>59</v>
      </c>
      <c r="L990" t="s">
        <v>787</v>
      </c>
      <c r="M990" t="s">
        <v>788</v>
      </c>
      <c r="N990" t="s">
        <v>59</v>
      </c>
      <c r="O990">
        <v>2</v>
      </c>
      <c r="P990" t="s">
        <v>42</v>
      </c>
      <c r="Q990" t="s">
        <v>59</v>
      </c>
      <c r="R990" t="s">
        <v>5866</v>
      </c>
      <c r="S990" t="s">
        <v>787</v>
      </c>
      <c r="T990" t="s">
        <v>42</v>
      </c>
      <c r="U990">
        <v>316</v>
      </c>
      <c r="V990">
        <v>551</v>
      </c>
      <c r="W990">
        <v>236</v>
      </c>
      <c r="X990" t="s">
        <v>160</v>
      </c>
      <c r="Y990" t="s">
        <v>5867</v>
      </c>
      <c r="Z990" t="s">
        <v>840</v>
      </c>
      <c r="AA990" t="s">
        <v>791</v>
      </c>
      <c r="AB990" t="s">
        <v>5868</v>
      </c>
      <c r="AC990" t="s">
        <v>793</v>
      </c>
      <c r="AD990" t="s">
        <v>794</v>
      </c>
      <c r="AE990">
        <v>868</v>
      </c>
      <c r="AF990" t="s">
        <v>725</v>
      </c>
      <c r="AG990" t="s">
        <v>796</v>
      </c>
      <c r="AH990">
        <v>2</v>
      </c>
    </row>
    <row r="991" spans="1:34" x14ac:dyDescent="0.75">
      <c r="A991" s="22" t="s">
        <v>6051</v>
      </c>
      <c r="B991" t="s">
        <v>5993</v>
      </c>
      <c r="C991" t="s">
        <v>104</v>
      </c>
      <c r="D991" t="s">
        <v>783</v>
      </c>
      <c r="E991" t="s">
        <v>784</v>
      </c>
      <c r="F991" t="s">
        <v>5994</v>
      </c>
      <c r="G991" s="1" t="str">
        <f>HYPERLINK("https://homd.org/jbrowse/?data=homd_V11.02_phage_1.2%2FGCA_947097345.1&amp;loc=GCA_947097345.1%7CCAMURC010000032.1%3A8731..16590&amp;tracks=prokka,prokka_ncrna,ncbi,ncbi_ncrna,panggolin,cenote,genomad&amp;highlight=","Open JBrowse")</f>
        <v>Open JBrowse</v>
      </c>
      <c r="H991">
        <v>11731</v>
      </c>
      <c r="I991">
        <v>13590</v>
      </c>
      <c r="J991" t="s">
        <v>5995</v>
      </c>
      <c r="K991" t="s">
        <v>59</v>
      </c>
      <c r="L991" t="s">
        <v>787</v>
      </c>
      <c r="M991" t="s">
        <v>788</v>
      </c>
      <c r="N991" t="s">
        <v>59</v>
      </c>
      <c r="O991">
        <v>2</v>
      </c>
      <c r="P991" t="s">
        <v>42</v>
      </c>
      <c r="Q991" t="s">
        <v>59</v>
      </c>
      <c r="R991" t="s">
        <v>5996</v>
      </c>
      <c r="S991" t="s">
        <v>787</v>
      </c>
      <c r="T991" t="s">
        <v>42</v>
      </c>
      <c r="U991">
        <v>316</v>
      </c>
      <c r="V991">
        <v>551</v>
      </c>
      <c r="W991">
        <v>236</v>
      </c>
      <c r="X991" t="s">
        <v>160</v>
      </c>
    </row>
    <row r="992" spans="1:34" x14ac:dyDescent="0.75">
      <c r="A992" s="22" t="s">
        <v>6051</v>
      </c>
      <c r="B992" t="s">
        <v>103</v>
      </c>
      <c r="C992" t="s">
        <v>104</v>
      </c>
      <c r="D992" t="s">
        <v>105</v>
      </c>
      <c r="E992" t="s">
        <v>106</v>
      </c>
      <c r="F992" t="s">
        <v>107</v>
      </c>
      <c r="G992" s="1" t="str">
        <f>HYPERLINK("https://homd.org/jbrowse/?data=homd_V11.02_phage_1.2%2FGCA_000023285.1&amp;loc=GCA_000023285.1%7CCP001632.1%3A1343325..1350968&amp;tracks=prokka,prokka_ncrna,ncbi,ncbi_ncrna,panggolin,cenote,genomad&amp;highlight=","Open JBrowse")</f>
        <v>Open JBrowse</v>
      </c>
      <c r="H992">
        <v>1346325</v>
      </c>
      <c r="I992">
        <v>1347968</v>
      </c>
      <c r="J992" t="s">
        <v>108</v>
      </c>
      <c r="K992" t="s">
        <v>109</v>
      </c>
      <c r="L992" t="s">
        <v>110</v>
      </c>
      <c r="M992" t="s">
        <v>111</v>
      </c>
      <c r="N992" t="s">
        <v>112</v>
      </c>
      <c r="O992">
        <v>3</v>
      </c>
      <c r="P992" t="s">
        <v>113</v>
      </c>
      <c r="Q992" t="s">
        <v>101</v>
      </c>
      <c r="R992" t="s">
        <v>114</v>
      </c>
      <c r="S992" t="s">
        <v>115</v>
      </c>
      <c r="T992" t="s">
        <v>42</v>
      </c>
      <c r="U992">
        <v>322</v>
      </c>
      <c r="V992">
        <v>546</v>
      </c>
      <c r="W992">
        <v>225</v>
      </c>
      <c r="X992" t="s">
        <v>116</v>
      </c>
      <c r="Y992" t="s">
        <v>117</v>
      </c>
      <c r="Z992" t="s">
        <v>118</v>
      </c>
      <c r="AA992" t="s">
        <v>119</v>
      </c>
      <c r="AB992" t="s">
        <v>120</v>
      </c>
      <c r="AC992" t="s">
        <v>68</v>
      </c>
      <c r="AD992" t="s">
        <v>69</v>
      </c>
      <c r="AE992">
        <v>3260</v>
      </c>
      <c r="AF992" t="s">
        <v>121</v>
      </c>
    </row>
    <row r="993" spans="1:32" x14ac:dyDescent="0.75">
      <c r="A993" s="22" t="s">
        <v>6051</v>
      </c>
      <c r="B993" t="s">
        <v>328</v>
      </c>
      <c r="C993" t="s">
        <v>104</v>
      </c>
      <c r="D993" t="s">
        <v>329</v>
      </c>
      <c r="E993" t="s">
        <v>330</v>
      </c>
      <c r="F993" t="s">
        <v>331</v>
      </c>
      <c r="G993" s="1" t="str">
        <f>HYPERLINK("https://homd.org/jbrowse/?data=homd_V11.02_phage_1.2%2FGCA_000173675.1&amp;loc=GCA_000173675.1%7CABZV01000002.1%3A136510..144153&amp;tracks=prokka,prokka_ncrna,ncbi,ncbi_ncrna,panggolin,cenote,genomad&amp;highlight=","Open JBrowse")</f>
        <v>Open JBrowse</v>
      </c>
      <c r="H993">
        <v>139510</v>
      </c>
      <c r="I993">
        <v>141153</v>
      </c>
      <c r="J993" t="s">
        <v>332</v>
      </c>
      <c r="K993" t="s">
        <v>109</v>
      </c>
      <c r="L993" t="s">
        <v>110</v>
      </c>
      <c r="M993" t="s">
        <v>333</v>
      </c>
      <c r="N993" t="s">
        <v>112</v>
      </c>
      <c r="O993">
        <v>3</v>
      </c>
      <c r="P993" t="s">
        <v>113</v>
      </c>
      <c r="Q993" t="s">
        <v>101</v>
      </c>
      <c r="R993" t="s">
        <v>334</v>
      </c>
      <c r="S993" t="s">
        <v>115</v>
      </c>
      <c r="T993" t="s">
        <v>42</v>
      </c>
      <c r="U993">
        <v>322</v>
      </c>
      <c r="V993">
        <v>546</v>
      </c>
      <c r="W993">
        <v>225</v>
      </c>
      <c r="X993" t="s">
        <v>116</v>
      </c>
      <c r="Y993" t="s">
        <v>335</v>
      </c>
      <c r="Z993" t="s">
        <v>336</v>
      </c>
      <c r="AA993" t="s">
        <v>337</v>
      </c>
      <c r="AB993" t="s">
        <v>338</v>
      </c>
      <c r="AC993" t="s">
        <v>339</v>
      </c>
      <c r="AD993" t="s">
        <v>101</v>
      </c>
      <c r="AE993">
        <v>2869</v>
      </c>
      <c r="AF993" t="s">
        <v>340</v>
      </c>
    </row>
    <row r="994" spans="1:32" x14ac:dyDescent="0.75">
      <c r="A994" s="22" t="s">
        <v>6051</v>
      </c>
      <c r="B994" t="s">
        <v>403</v>
      </c>
      <c r="C994" t="s">
        <v>104</v>
      </c>
      <c r="D994" t="s">
        <v>105</v>
      </c>
      <c r="E994" t="s">
        <v>106</v>
      </c>
      <c r="F994" t="s">
        <v>404</v>
      </c>
      <c r="G994" s="1" t="str">
        <f>HYPERLINK("https://homd.org/jbrowse/?data=homd_V11.02_phage_1.2%2FGCA_000183985.1&amp;loc=GCA_000183985.1%7CGL573160.1%3A2294156..2301799&amp;tracks=prokka,prokka_ncrna,ncbi,ncbi_ncrna,panggolin,cenote,genomad&amp;highlight=","Open JBrowse")</f>
        <v>Open JBrowse</v>
      </c>
      <c r="H994">
        <v>2297156</v>
      </c>
      <c r="I994">
        <v>2298799</v>
      </c>
      <c r="J994" t="s">
        <v>418</v>
      </c>
      <c r="K994" t="s">
        <v>109</v>
      </c>
      <c r="L994" t="s">
        <v>110</v>
      </c>
      <c r="M994" t="s">
        <v>333</v>
      </c>
      <c r="N994" t="s">
        <v>112</v>
      </c>
      <c r="O994">
        <v>3</v>
      </c>
      <c r="P994" t="s">
        <v>113</v>
      </c>
      <c r="Q994" t="s">
        <v>101</v>
      </c>
      <c r="R994" t="s">
        <v>408</v>
      </c>
      <c r="S994" t="s">
        <v>115</v>
      </c>
      <c r="T994" t="s">
        <v>42</v>
      </c>
      <c r="U994">
        <v>322</v>
      </c>
      <c r="V994">
        <v>546</v>
      </c>
      <c r="W994">
        <v>225</v>
      </c>
      <c r="X994" t="s">
        <v>116</v>
      </c>
      <c r="Y994" t="s">
        <v>419</v>
      </c>
      <c r="Z994" t="s">
        <v>420</v>
      </c>
      <c r="AA994" t="s">
        <v>421</v>
      </c>
      <c r="AB994" t="s">
        <v>422</v>
      </c>
      <c r="AC994" t="s">
        <v>339</v>
      </c>
      <c r="AD994" t="s">
        <v>101</v>
      </c>
      <c r="AE994">
        <v>3468</v>
      </c>
      <c r="AF994" t="s">
        <v>423</v>
      </c>
    </row>
    <row r="995" spans="1:32" x14ac:dyDescent="0.75">
      <c r="A995" s="22" t="s">
        <v>6051</v>
      </c>
      <c r="B995" t="s">
        <v>640</v>
      </c>
      <c r="C995" t="s">
        <v>104</v>
      </c>
      <c r="D995" t="s">
        <v>105</v>
      </c>
      <c r="E995" t="s">
        <v>106</v>
      </c>
      <c r="F995" t="s">
        <v>649</v>
      </c>
      <c r="G995" s="1" t="str">
        <f>HYPERLINK("https://homd.org/jbrowse/?data=homd_V11.02_phage_1.2%2FGCA_000271925.1&amp;loc=GCA_000271925.1%7CAJZR01000053.1%3A43044..50687&amp;tracks=prokka,prokka_ncrna,ncbi,ncbi_ncrna,panggolin,cenote,genomad&amp;highlight=","Open JBrowse")</f>
        <v>Open JBrowse</v>
      </c>
      <c r="H995">
        <v>46044</v>
      </c>
      <c r="I995">
        <v>47687</v>
      </c>
      <c r="J995" t="s">
        <v>650</v>
      </c>
      <c r="K995" t="s">
        <v>109</v>
      </c>
      <c r="L995" t="s">
        <v>651</v>
      </c>
      <c r="M995" t="s">
        <v>111</v>
      </c>
      <c r="N995" t="s">
        <v>112</v>
      </c>
      <c r="O995">
        <v>3</v>
      </c>
      <c r="P995" t="s">
        <v>113</v>
      </c>
      <c r="Q995" t="s">
        <v>101</v>
      </c>
      <c r="R995" t="s">
        <v>643</v>
      </c>
      <c r="S995" t="s">
        <v>115</v>
      </c>
      <c r="T995" t="s">
        <v>42</v>
      </c>
      <c r="U995">
        <v>322</v>
      </c>
      <c r="V995">
        <v>546</v>
      </c>
      <c r="W995">
        <v>225</v>
      </c>
      <c r="X995" t="s">
        <v>116</v>
      </c>
      <c r="Y995" t="s">
        <v>652</v>
      </c>
      <c r="Z995" t="s">
        <v>653</v>
      </c>
      <c r="AA995" t="s">
        <v>654</v>
      </c>
      <c r="AB995" t="s">
        <v>655</v>
      </c>
      <c r="AC995" t="s">
        <v>339</v>
      </c>
      <c r="AD995" t="s">
        <v>101</v>
      </c>
      <c r="AE995">
        <v>3497</v>
      </c>
      <c r="AF995" t="s">
        <v>656</v>
      </c>
    </row>
    <row r="996" spans="1:32" x14ac:dyDescent="0.75">
      <c r="A996" s="22" t="s">
        <v>6051</v>
      </c>
      <c r="B996" t="s">
        <v>657</v>
      </c>
      <c r="C996" t="s">
        <v>104</v>
      </c>
      <c r="D996" t="s">
        <v>105</v>
      </c>
      <c r="E996" t="s">
        <v>106</v>
      </c>
      <c r="F996" t="s">
        <v>658</v>
      </c>
      <c r="G996" s="1" t="str">
        <f>HYPERLINK("https://homd.org/jbrowse/?data=homd_V11.02_phage_1.2%2FGCA_000277585.1&amp;loc=GCA_000277585.1%7CAKFV01000021.1%3A36226..43869&amp;tracks=prokka,prokka_ncrna,ncbi,ncbi_ncrna,panggolin,cenote,genomad&amp;highlight=","Open JBrowse")</f>
        <v>Open JBrowse</v>
      </c>
      <c r="H996">
        <v>39226</v>
      </c>
      <c r="I996">
        <v>40869</v>
      </c>
      <c r="J996" t="s">
        <v>659</v>
      </c>
      <c r="K996" t="s">
        <v>109</v>
      </c>
      <c r="L996" t="s">
        <v>110</v>
      </c>
      <c r="M996" t="s">
        <v>333</v>
      </c>
      <c r="N996" t="s">
        <v>112</v>
      </c>
      <c r="O996">
        <v>3</v>
      </c>
      <c r="P996" t="s">
        <v>113</v>
      </c>
      <c r="Q996" t="s">
        <v>101</v>
      </c>
      <c r="R996" t="s">
        <v>660</v>
      </c>
      <c r="S996" t="s">
        <v>115</v>
      </c>
      <c r="T996" t="s">
        <v>42</v>
      </c>
      <c r="U996">
        <v>322</v>
      </c>
      <c r="V996">
        <v>546</v>
      </c>
      <c r="W996">
        <v>225</v>
      </c>
      <c r="X996" t="s">
        <v>116</v>
      </c>
      <c r="Y996" t="s">
        <v>661</v>
      </c>
      <c r="Z996" t="s">
        <v>381</v>
      </c>
      <c r="AA996" t="s">
        <v>662</v>
      </c>
      <c r="AB996" t="s">
        <v>663</v>
      </c>
      <c r="AC996" t="s">
        <v>339</v>
      </c>
      <c r="AD996" t="s">
        <v>101</v>
      </c>
      <c r="AE996">
        <v>3468</v>
      </c>
      <c r="AF996" t="s">
        <v>423</v>
      </c>
    </row>
    <row r="997" spans="1:32" x14ac:dyDescent="0.75">
      <c r="A997" s="22" t="s">
        <v>6051</v>
      </c>
      <c r="B997" t="s">
        <v>670</v>
      </c>
      <c r="C997" t="s">
        <v>104</v>
      </c>
      <c r="D997" t="s">
        <v>105</v>
      </c>
      <c r="E997" t="s">
        <v>106</v>
      </c>
      <c r="F997" t="s">
        <v>676</v>
      </c>
      <c r="G997" s="1" t="str">
        <f>HYPERLINK("https://homd.org/jbrowse/?data=homd_V11.02_phage_1.2%2FGCA_000277665.1&amp;loc=GCA_000277665.1%7CAKFR01000015.1%3A109562..117205&amp;tracks=prokka,prokka_ncrna,ncbi,ncbi_ncrna,panggolin,cenote,genomad&amp;highlight=","Open JBrowse")</f>
        <v>Open JBrowse</v>
      </c>
      <c r="H997">
        <v>112562</v>
      </c>
      <c r="I997">
        <v>114205</v>
      </c>
      <c r="J997" t="s">
        <v>677</v>
      </c>
      <c r="K997" t="s">
        <v>109</v>
      </c>
      <c r="L997" t="s">
        <v>110</v>
      </c>
      <c r="M997" t="s">
        <v>333</v>
      </c>
      <c r="N997" t="s">
        <v>112</v>
      </c>
      <c r="O997">
        <v>3</v>
      </c>
      <c r="P997" t="s">
        <v>113</v>
      </c>
      <c r="Q997" t="s">
        <v>101</v>
      </c>
      <c r="R997" t="s">
        <v>673</v>
      </c>
      <c r="S997" t="s">
        <v>115</v>
      </c>
      <c r="T997" t="s">
        <v>42</v>
      </c>
      <c r="U997">
        <v>322</v>
      </c>
      <c r="V997">
        <v>546</v>
      </c>
      <c r="W997">
        <v>225</v>
      </c>
      <c r="X997" t="s">
        <v>116</v>
      </c>
      <c r="Y997" t="s">
        <v>678</v>
      </c>
      <c r="Z997" t="s">
        <v>292</v>
      </c>
      <c r="AA997" t="s">
        <v>679</v>
      </c>
      <c r="AB997" t="s">
        <v>680</v>
      </c>
      <c r="AC997" t="s">
        <v>339</v>
      </c>
      <c r="AD997" t="s">
        <v>101</v>
      </c>
      <c r="AE997">
        <v>3475</v>
      </c>
      <c r="AF997" t="s">
        <v>681</v>
      </c>
    </row>
    <row r="998" spans="1:32" x14ac:dyDescent="0.75">
      <c r="A998" s="22" t="s">
        <v>6051</v>
      </c>
      <c r="B998" t="s">
        <v>797</v>
      </c>
      <c r="C998" t="s">
        <v>104</v>
      </c>
      <c r="D998" t="s">
        <v>105</v>
      </c>
      <c r="E998" t="s">
        <v>106</v>
      </c>
      <c r="F998" t="s">
        <v>798</v>
      </c>
      <c r="G998" s="1" t="str">
        <f>HYPERLINK("https://homd.org/jbrowse/?data=homd_V11.02_phage_1.2%2FGCA_000318255.2&amp;loc=GCA_000318255.2%7CKB291185.1%3A101517..109160&amp;tracks=prokka,prokka_ncrna,ncbi,ncbi_ncrna,panggolin,cenote,genomad&amp;highlight=","Open JBrowse")</f>
        <v>Open JBrowse</v>
      </c>
      <c r="H998">
        <v>104517</v>
      </c>
      <c r="I998">
        <v>106160</v>
      </c>
      <c r="J998" t="s">
        <v>799</v>
      </c>
      <c r="K998" t="s">
        <v>109</v>
      </c>
      <c r="L998" t="s">
        <v>110</v>
      </c>
      <c r="M998" t="s">
        <v>111</v>
      </c>
      <c r="N998" t="s">
        <v>112</v>
      </c>
      <c r="O998">
        <v>3</v>
      </c>
      <c r="P998" t="s">
        <v>113</v>
      </c>
      <c r="Q998" t="s">
        <v>101</v>
      </c>
      <c r="R998" t="s">
        <v>800</v>
      </c>
      <c r="S998" t="s">
        <v>115</v>
      </c>
      <c r="T998" t="s">
        <v>42</v>
      </c>
      <c r="U998">
        <v>322</v>
      </c>
      <c r="V998">
        <v>546</v>
      </c>
      <c r="W998">
        <v>225</v>
      </c>
      <c r="X998" t="s">
        <v>116</v>
      </c>
      <c r="Y998" t="s">
        <v>801</v>
      </c>
      <c r="Z998" t="s">
        <v>336</v>
      </c>
      <c r="AA998" t="s">
        <v>802</v>
      </c>
      <c r="AB998" t="s">
        <v>803</v>
      </c>
      <c r="AC998" t="s">
        <v>68</v>
      </c>
      <c r="AD998" t="s">
        <v>69</v>
      </c>
      <c r="AE998">
        <v>3249</v>
      </c>
      <c r="AF998" t="s">
        <v>804</v>
      </c>
    </row>
    <row r="999" spans="1:32" x14ac:dyDescent="0.75">
      <c r="A999" s="22" t="s">
        <v>6051</v>
      </c>
      <c r="B999" t="s">
        <v>813</v>
      </c>
      <c r="C999" t="s">
        <v>104</v>
      </c>
      <c r="D999" t="s">
        <v>814</v>
      </c>
      <c r="E999" t="s">
        <v>815</v>
      </c>
      <c r="F999" t="s">
        <v>826</v>
      </c>
      <c r="G999" s="1" t="str">
        <f>HYPERLINK("https://homd.org/jbrowse/?data=homd_V11.02_phage_1.2%2FGCA_000318295.1&amp;loc=GCA_000318295.1%7CKB291470.1%3A72644..80287&amp;tracks=prokka,prokka_ncrna,ncbi,ncbi_ncrna,panggolin,cenote,genomad&amp;highlight=","Open JBrowse")</f>
        <v>Open JBrowse</v>
      </c>
      <c r="H999">
        <v>75644</v>
      </c>
      <c r="I999">
        <v>77287</v>
      </c>
      <c r="J999" t="s">
        <v>827</v>
      </c>
      <c r="K999" t="s">
        <v>109</v>
      </c>
      <c r="L999" t="s">
        <v>651</v>
      </c>
      <c r="M999" t="s">
        <v>111</v>
      </c>
      <c r="N999" t="s">
        <v>112</v>
      </c>
      <c r="O999">
        <v>3</v>
      </c>
      <c r="P999" t="s">
        <v>113</v>
      </c>
      <c r="Q999" t="s">
        <v>101</v>
      </c>
      <c r="R999" t="s">
        <v>820</v>
      </c>
      <c r="S999" t="s">
        <v>115</v>
      </c>
      <c r="T999" t="s">
        <v>42</v>
      </c>
      <c r="U999">
        <v>322</v>
      </c>
      <c r="V999">
        <v>546</v>
      </c>
      <c r="W999">
        <v>225</v>
      </c>
      <c r="X999" t="s">
        <v>116</v>
      </c>
      <c r="Y999" t="s">
        <v>828</v>
      </c>
      <c r="Z999" t="s">
        <v>773</v>
      </c>
      <c r="AA999" t="s">
        <v>829</v>
      </c>
      <c r="AB999" t="s">
        <v>830</v>
      </c>
      <c r="AC999" t="s">
        <v>339</v>
      </c>
      <c r="AD999" t="s">
        <v>101</v>
      </c>
      <c r="AE999">
        <v>3467</v>
      </c>
      <c r="AF999" t="s">
        <v>681</v>
      </c>
    </row>
    <row r="1000" spans="1:32" x14ac:dyDescent="0.75">
      <c r="A1000" s="22" t="s">
        <v>6051</v>
      </c>
      <c r="B1000" t="s">
        <v>831</v>
      </c>
      <c r="C1000" t="s">
        <v>104</v>
      </c>
      <c r="D1000" t="s">
        <v>105</v>
      </c>
      <c r="E1000" t="s">
        <v>106</v>
      </c>
      <c r="F1000" t="s">
        <v>842</v>
      </c>
      <c r="G1000" s="1" t="str">
        <f>HYPERLINK("https://homd.org/jbrowse/?data=homd_V11.02_phage_1.2%2FGCA_000318315.2&amp;loc=GCA_000318315.2%7CKB291533.1%3A15721..23364&amp;tracks=prokka,prokka_ncrna,ncbi,ncbi_ncrna,panggolin,cenote,genomad&amp;highlight=","Open JBrowse")</f>
        <v>Open JBrowse</v>
      </c>
      <c r="H1000">
        <v>18721</v>
      </c>
      <c r="I1000">
        <v>20364</v>
      </c>
      <c r="J1000" t="s">
        <v>843</v>
      </c>
      <c r="K1000" t="s">
        <v>109</v>
      </c>
      <c r="L1000" t="s">
        <v>110</v>
      </c>
      <c r="M1000" t="s">
        <v>333</v>
      </c>
      <c r="N1000" t="s">
        <v>112</v>
      </c>
      <c r="O1000">
        <v>3</v>
      </c>
      <c r="P1000" t="s">
        <v>113</v>
      </c>
      <c r="Q1000" t="s">
        <v>101</v>
      </c>
      <c r="R1000" t="s">
        <v>834</v>
      </c>
      <c r="S1000" t="s">
        <v>115</v>
      </c>
      <c r="T1000" t="s">
        <v>42</v>
      </c>
      <c r="U1000">
        <v>322</v>
      </c>
      <c r="V1000">
        <v>546</v>
      </c>
      <c r="W1000">
        <v>225</v>
      </c>
      <c r="X1000" t="s">
        <v>116</v>
      </c>
      <c r="Y1000" t="s">
        <v>844</v>
      </c>
      <c r="Z1000" t="s">
        <v>420</v>
      </c>
      <c r="AA1000" t="s">
        <v>662</v>
      </c>
      <c r="AB1000" t="s">
        <v>845</v>
      </c>
      <c r="AC1000" t="s">
        <v>339</v>
      </c>
      <c r="AD1000" t="s">
        <v>101</v>
      </c>
      <c r="AE1000">
        <v>3474</v>
      </c>
      <c r="AF1000" t="s">
        <v>423</v>
      </c>
    </row>
    <row r="1001" spans="1:32" x14ac:dyDescent="0.75">
      <c r="A1001" s="22" t="s">
        <v>6051</v>
      </c>
      <c r="B1001" t="s">
        <v>914</v>
      </c>
      <c r="C1001" t="s">
        <v>104</v>
      </c>
      <c r="D1001" t="s">
        <v>105</v>
      </c>
      <c r="E1001" t="s">
        <v>106</v>
      </c>
      <c r="F1001" t="s">
        <v>915</v>
      </c>
      <c r="G1001" s="1" t="str">
        <f>HYPERLINK("https://homd.org/jbrowse/?data=homd_V11.02_phage_1.2%2FGCA_000411575.1&amp;loc=GCA_000411575.1%7CKE150488.1%3A585778..593421&amp;tracks=prokka,prokka_ncrna,ncbi,ncbi_ncrna,panggolin,cenote,genomad&amp;highlight=","Open JBrowse")</f>
        <v>Open JBrowse</v>
      </c>
      <c r="H1001">
        <v>588778</v>
      </c>
      <c r="I1001">
        <v>590421</v>
      </c>
      <c r="J1001" t="s">
        <v>920</v>
      </c>
      <c r="K1001" t="s">
        <v>109</v>
      </c>
      <c r="L1001" t="s">
        <v>110</v>
      </c>
      <c r="M1001" t="s">
        <v>333</v>
      </c>
      <c r="N1001" t="s">
        <v>112</v>
      </c>
      <c r="O1001">
        <v>3</v>
      </c>
      <c r="P1001" t="s">
        <v>113</v>
      </c>
      <c r="Q1001" t="s">
        <v>101</v>
      </c>
      <c r="R1001" t="s">
        <v>917</v>
      </c>
      <c r="S1001" t="s">
        <v>115</v>
      </c>
      <c r="T1001" t="s">
        <v>42</v>
      </c>
      <c r="U1001">
        <v>322</v>
      </c>
      <c r="V1001">
        <v>546</v>
      </c>
      <c r="W1001">
        <v>225</v>
      </c>
      <c r="X1001" t="s">
        <v>116</v>
      </c>
      <c r="Y1001" t="s">
        <v>921</v>
      </c>
      <c r="Z1001" t="s">
        <v>302</v>
      </c>
      <c r="AA1001" t="s">
        <v>922</v>
      </c>
      <c r="AB1001" t="s">
        <v>923</v>
      </c>
      <c r="AC1001" t="s">
        <v>339</v>
      </c>
      <c r="AD1001" t="s">
        <v>101</v>
      </c>
      <c r="AE1001">
        <v>3480</v>
      </c>
      <c r="AF1001" t="s">
        <v>423</v>
      </c>
    </row>
    <row r="1002" spans="1:32" x14ac:dyDescent="0.75">
      <c r="A1002" s="22" t="s">
        <v>6051</v>
      </c>
      <c r="B1002" t="s">
        <v>1376</v>
      </c>
      <c r="C1002" t="s">
        <v>104</v>
      </c>
      <c r="D1002" t="s">
        <v>105</v>
      </c>
      <c r="E1002" t="s">
        <v>106</v>
      </c>
      <c r="F1002" t="s">
        <v>1387</v>
      </c>
      <c r="G1002" s="1" t="str">
        <f>HYPERLINK("https://homd.org/jbrowse/?data=homd_V11.02_phage_1.2%2FGCA_001057035.1&amp;loc=GCA_001057035.1%7CJVFB01000068.1%3A74181..81824&amp;tracks=prokka,prokka_ncrna,ncbi,ncbi_ncrna,panggolin,cenote,genomad&amp;highlight=","Open JBrowse")</f>
        <v>Open JBrowse</v>
      </c>
      <c r="H1002">
        <v>77181</v>
      </c>
      <c r="I1002">
        <v>78824</v>
      </c>
      <c r="J1002" t="s">
        <v>1388</v>
      </c>
      <c r="K1002" t="s">
        <v>109</v>
      </c>
      <c r="L1002" t="s">
        <v>110</v>
      </c>
      <c r="M1002" t="s">
        <v>333</v>
      </c>
      <c r="N1002" t="s">
        <v>112</v>
      </c>
      <c r="O1002">
        <v>3</v>
      </c>
      <c r="P1002" t="s">
        <v>113</v>
      </c>
      <c r="Q1002" t="s">
        <v>101</v>
      </c>
      <c r="R1002" t="s">
        <v>1381</v>
      </c>
      <c r="S1002" t="s">
        <v>115</v>
      </c>
      <c r="T1002" t="s">
        <v>42</v>
      </c>
      <c r="U1002">
        <v>322</v>
      </c>
      <c r="V1002">
        <v>546</v>
      </c>
      <c r="W1002">
        <v>225</v>
      </c>
      <c r="X1002" t="s">
        <v>116</v>
      </c>
      <c r="Y1002" t="s">
        <v>1389</v>
      </c>
      <c r="Z1002" t="s">
        <v>667</v>
      </c>
      <c r="AA1002" t="s">
        <v>1390</v>
      </c>
      <c r="AB1002" t="s">
        <v>1391</v>
      </c>
      <c r="AC1002" t="s">
        <v>339</v>
      </c>
      <c r="AD1002" t="s">
        <v>101</v>
      </c>
      <c r="AE1002">
        <v>3486</v>
      </c>
      <c r="AF1002" t="s">
        <v>656</v>
      </c>
    </row>
    <row r="1003" spans="1:32" x14ac:dyDescent="0.75">
      <c r="A1003" s="22" t="s">
        <v>6051</v>
      </c>
      <c r="B1003" t="s">
        <v>1439</v>
      </c>
      <c r="C1003" t="s">
        <v>104</v>
      </c>
      <c r="D1003" t="s">
        <v>105</v>
      </c>
      <c r="E1003" t="s">
        <v>106</v>
      </c>
      <c r="F1003" t="s">
        <v>1440</v>
      </c>
      <c r="G1003" s="1" t="str">
        <f>HYPERLINK("https://homd.org/jbrowse/?data=homd_V11.02_phage_1.2%2FGCA_001278825.1&amp;loc=GCA_001278825.1%7CCP012589.1%3A2186543..2194186&amp;tracks=prokka,prokka_ncrna,ncbi,ncbi_ncrna,panggolin,cenote,genomad&amp;highlight=","Open JBrowse")</f>
        <v>Open JBrowse</v>
      </c>
      <c r="H1003">
        <v>2189543</v>
      </c>
      <c r="I1003">
        <v>2191186</v>
      </c>
      <c r="J1003" t="s">
        <v>1448</v>
      </c>
      <c r="K1003" t="s">
        <v>109</v>
      </c>
      <c r="L1003" t="s">
        <v>110</v>
      </c>
      <c r="M1003" t="s">
        <v>333</v>
      </c>
      <c r="N1003" t="s">
        <v>112</v>
      </c>
      <c r="O1003">
        <v>3</v>
      </c>
      <c r="P1003" t="s">
        <v>113</v>
      </c>
      <c r="Q1003" t="s">
        <v>101</v>
      </c>
      <c r="R1003" t="s">
        <v>1442</v>
      </c>
      <c r="S1003" t="s">
        <v>115</v>
      </c>
      <c r="T1003" t="s">
        <v>42</v>
      </c>
      <c r="U1003">
        <v>322</v>
      </c>
      <c r="V1003">
        <v>546</v>
      </c>
      <c r="W1003">
        <v>225</v>
      </c>
      <c r="X1003" t="s">
        <v>116</v>
      </c>
      <c r="Y1003" t="s">
        <v>1449</v>
      </c>
      <c r="Z1003" t="s">
        <v>1450</v>
      </c>
      <c r="AA1003" t="s">
        <v>1451</v>
      </c>
      <c r="AB1003" t="s">
        <v>1452</v>
      </c>
      <c r="AC1003" t="s">
        <v>339</v>
      </c>
      <c r="AD1003" t="s">
        <v>101</v>
      </c>
      <c r="AE1003">
        <v>3473</v>
      </c>
      <c r="AF1003" t="s">
        <v>423</v>
      </c>
    </row>
    <row r="1004" spans="1:32" x14ac:dyDescent="0.75">
      <c r="A1004" s="22" t="s">
        <v>6051</v>
      </c>
      <c r="B1004" t="s">
        <v>1733</v>
      </c>
      <c r="C1004" t="s">
        <v>104</v>
      </c>
      <c r="D1004" t="s">
        <v>814</v>
      </c>
      <c r="E1004" t="s">
        <v>815</v>
      </c>
      <c r="F1004" t="s">
        <v>1734</v>
      </c>
      <c r="G1004" s="1" t="str">
        <f>HYPERLINK("https://homd.org/jbrowse/?data=homd_V11.02_phage_1.2%2FGCA_002209445.1&amp;loc=GCA_002209445.1%7CCP022022.1%3A43795..51438&amp;tracks=prokka,prokka_ncrna,ncbi,ncbi_ncrna,panggolin,cenote,genomad&amp;highlight=","Open JBrowse")</f>
        <v>Open JBrowse</v>
      </c>
      <c r="H1004">
        <v>46795</v>
      </c>
      <c r="I1004">
        <v>48438</v>
      </c>
      <c r="J1004" t="s">
        <v>1740</v>
      </c>
      <c r="K1004" t="s">
        <v>109</v>
      </c>
      <c r="L1004" t="s">
        <v>110</v>
      </c>
      <c r="M1004" t="s">
        <v>111</v>
      </c>
      <c r="N1004" t="s">
        <v>112</v>
      </c>
      <c r="O1004">
        <v>3</v>
      </c>
      <c r="P1004" t="s">
        <v>113</v>
      </c>
      <c r="Q1004" t="s">
        <v>101</v>
      </c>
      <c r="R1004" t="s">
        <v>1736</v>
      </c>
      <c r="S1004" t="s">
        <v>115</v>
      </c>
      <c r="T1004" t="s">
        <v>42</v>
      </c>
      <c r="U1004">
        <v>322</v>
      </c>
      <c r="V1004">
        <v>546</v>
      </c>
      <c r="W1004">
        <v>225</v>
      </c>
      <c r="X1004" t="s">
        <v>116</v>
      </c>
      <c r="Y1004" t="s">
        <v>1741</v>
      </c>
      <c r="Z1004" t="s">
        <v>368</v>
      </c>
      <c r="AA1004" t="s">
        <v>1742</v>
      </c>
      <c r="AB1004" t="s">
        <v>1743</v>
      </c>
      <c r="AC1004" t="s">
        <v>339</v>
      </c>
      <c r="AD1004" t="s">
        <v>101</v>
      </c>
      <c r="AE1004">
        <v>3473</v>
      </c>
      <c r="AF1004" t="s">
        <v>681</v>
      </c>
    </row>
    <row r="1005" spans="1:32" x14ac:dyDescent="0.75">
      <c r="A1005" s="22" t="s">
        <v>6051</v>
      </c>
      <c r="B1005" t="s">
        <v>1812</v>
      </c>
      <c r="C1005" t="s">
        <v>104</v>
      </c>
      <c r="D1005" t="s">
        <v>329</v>
      </c>
      <c r="E1005" t="s">
        <v>330</v>
      </c>
      <c r="F1005" t="s">
        <v>1813</v>
      </c>
      <c r="G1005" s="1" t="str">
        <f>HYPERLINK("https://homd.org/jbrowse/?data=homd_V11.02_phage_1.2%2FGCA_002302395.1&amp;loc=GCA_002302395.1%7CCP022385.1%3A1908526..1916169&amp;tracks=prokka,prokka_ncrna,ncbi,ncbi_ncrna,panggolin,cenote,genomad&amp;highlight=","Open JBrowse")</f>
        <v>Open JBrowse</v>
      </c>
      <c r="H1005">
        <v>1911526</v>
      </c>
      <c r="I1005">
        <v>1913169</v>
      </c>
      <c r="J1005" t="s">
        <v>1814</v>
      </c>
      <c r="K1005" t="s">
        <v>109</v>
      </c>
      <c r="L1005" t="s">
        <v>110</v>
      </c>
      <c r="M1005" t="s">
        <v>333</v>
      </c>
      <c r="N1005" t="s">
        <v>112</v>
      </c>
      <c r="O1005">
        <v>3</v>
      </c>
      <c r="P1005" t="s">
        <v>113</v>
      </c>
      <c r="Q1005" t="s">
        <v>101</v>
      </c>
      <c r="R1005" t="s">
        <v>1815</v>
      </c>
      <c r="S1005" t="s">
        <v>115</v>
      </c>
      <c r="T1005" t="s">
        <v>42</v>
      </c>
      <c r="U1005">
        <v>322</v>
      </c>
      <c r="V1005">
        <v>546</v>
      </c>
      <c r="W1005">
        <v>225</v>
      </c>
      <c r="X1005" t="s">
        <v>116</v>
      </c>
      <c r="Y1005" t="s">
        <v>1816</v>
      </c>
      <c r="Z1005" t="s">
        <v>824</v>
      </c>
      <c r="AA1005" t="s">
        <v>337</v>
      </c>
      <c r="AB1005" t="s">
        <v>1817</v>
      </c>
      <c r="AC1005" t="s">
        <v>339</v>
      </c>
      <c r="AD1005" t="s">
        <v>101</v>
      </c>
      <c r="AE1005">
        <v>2869</v>
      </c>
      <c r="AF1005" t="s">
        <v>340</v>
      </c>
    </row>
    <row r="1006" spans="1:32" x14ac:dyDescent="0.75">
      <c r="A1006" s="22" t="s">
        <v>6051</v>
      </c>
      <c r="B1006" t="s">
        <v>1825</v>
      </c>
      <c r="C1006" t="s">
        <v>104</v>
      </c>
      <c r="D1006" t="s">
        <v>329</v>
      </c>
      <c r="E1006" t="s">
        <v>330</v>
      </c>
      <c r="F1006" t="s">
        <v>1826</v>
      </c>
      <c r="G1006" s="1" t="str">
        <f>HYPERLINK("https://homd.org/jbrowse/?data=homd_V11.02_phage_1.2%2FGCA_002302495.1&amp;loc=GCA_002302495.1%7CCP022379.1%3A1928944..1936587&amp;tracks=prokka,prokka_ncrna,ncbi,ncbi_ncrna,panggolin,cenote,genomad&amp;highlight=","Open JBrowse")</f>
        <v>Open JBrowse</v>
      </c>
      <c r="H1006">
        <v>1931944</v>
      </c>
      <c r="I1006">
        <v>1933587</v>
      </c>
      <c r="J1006" t="s">
        <v>1827</v>
      </c>
      <c r="K1006" t="s">
        <v>109</v>
      </c>
      <c r="L1006" t="s">
        <v>110</v>
      </c>
      <c r="M1006" t="s">
        <v>333</v>
      </c>
      <c r="N1006" t="s">
        <v>112</v>
      </c>
      <c r="O1006">
        <v>3</v>
      </c>
      <c r="P1006" t="s">
        <v>113</v>
      </c>
      <c r="Q1006" t="s">
        <v>101</v>
      </c>
      <c r="R1006" t="s">
        <v>1828</v>
      </c>
      <c r="S1006" t="s">
        <v>115</v>
      </c>
      <c r="T1006" t="s">
        <v>42</v>
      </c>
      <c r="U1006">
        <v>322</v>
      </c>
      <c r="V1006">
        <v>546</v>
      </c>
      <c r="W1006">
        <v>225</v>
      </c>
      <c r="X1006" t="s">
        <v>116</v>
      </c>
      <c r="Y1006" t="s">
        <v>1829</v>
      </c>
      <c r="Z1006" t="s">
        <v>824</v>
      </c>
      <c r="AA1006" t="s">
        <v>1830</v>
      </c>
      <c r="AB1006" t="s">
        <v>1831</v>
      </c>
      <c r="AC1006" t="s">
        <v>339</v>
      </c>
      <c r="AD1006" t="s">
        <v>101</v>
      </c>
      <c r="AE1006">
        <v>2851</v>
      </c>
      <c r="AF1006" t="s">
        <v>340</v>
      </c>
    </row>
    <row r="1007" spans="1:32" x14ac:dyDescent="0.75">
      <c r="A1007" s="22" t="s">
        <v>6051</v>
      </c>
      <c r="B1007" t="s">
        <v>1836</v>
      </c>
      <c r="C1007" t="s">
        <v>104</v>
      </c>
      <c r="D1007" t="s">
        <v>329</v>
      </c>
      <c r="E1007" t="s">
        <v>330</v>
      </c>
      <c r="F1007" t="s">
        <v>1837</v>
      </c>
      <c r="G1007" s="1" t="str">
        <f>HYPERLINK("https://homd.org/jbrowse/?data=homd_V11.02_phage_1.2%2FGCA_002302595.1&amp;loc=GCA_002302595.1%7CCP022383.1%3A2129485..2137128&amp;tracks=prokka,prokka_ncrna,ncbi,ncbi_ncrna,panggolin,cenote,genomad&amp;highlight=","Open JBrowse")</f>
        <v>Open JBrowse</v>
      </c>
      <c r="H1007">
        <v>2132485</v>
      </c>
      <c r="I1007">
        <v>2134128</v>
      </c>
      <c r="J1007" t="s">
        <v>1840</v>
      </c>
      <c r="K1007" t="s">
        <v>109</v>
      </c>
      <c r="L1007" t="s">
        <v>110</v>
      </c>
      <c r="M1007" t="s">
        <v>333</v>
      </c>
      <c r="N1007" t="s">
        <v>112</v>
      </c>
      <c r="O1007">
        <v>3</v>
      </c>
      <c r="P1007" t="s">
        <v>113</v>
      </c>
      <c r="Q1007" t="s">
        <v>101</v>
      </c>
      <c r="R1007" t="s">
        <v>1839</v>
      </c>
      <c r="S1007" t="s">
        <v>115</v>
      </c>
      <c r="T1007" t="s">
        <v>42</v>
      </c>
      <c r="U1007">
        <v>322</v>
      </c>
      <c r="V1007">
        <v>546</v>
      </c>
      <c r="W1007">
        <v>225</v>
      </c>
      <c r="X1007" t="s">
        <v>116</v>
      </c>
      <c r="Y1007" t="s">
        <v>1841</v>
      </c>
      <c r="Z1007" t="s">
        <v>667</v>
      </c>
      <c r="AA1007" t="s">
        <v>1842</v>
      </c>
      <c r="AB1007" t="s">
        <v>1843</v>
      </c>
      <c r="AC1007" t="s">
        <v>339</v>
      </c>
      <c r="AD1007" t="s">
        <v>101</v>
      </c>
      <c r="AE1007">
        <v>2858</v>
      </c>
      <c r="AF1007" t="s">
        <v>340</v>
      </c>
    </row>
    <row r="1008" spans="1:32" x14ac:dyDescent="0.75">
      <c r="A1008" s="22" t="s">
        <v>6051</v>
      </c>
      <c r="B1008" t="s">
        <v>1854</v>
      </c>
      <c r="C1008" t="s">
        <v>104</v>
      </c>
      <c r="D1008" t="s">
        <v>329</v>
      </c>
      <c r="E1008" t="s">
        <v>330</v>
      </c>
      <c r="F1008" t="s">
        <v>1855</v>
      </c>
      <c r="G1008" s="1" t="str">
        <f>HYPERLINK("https://homd.org/jbrowse/?data=homd_V11.02_phage_1.2%2FGCA_002312885.1&amp;loc=GCA_002312885.1%7CNIBW01000001.1%3A434527..442170&amp;tracks=prokka,prokka_ncrna,ncbi,ncbi_ncrna,panggolin,cenote,genomad&amp;highlight=","Open JBrowse")</f>
        <v>Open JBrowse</v>
      </c>
      <c r="H1008">
        <v>437527</v>
      </c>
      <c r="I1008">
        <v>439170</v>
      </c>
      <c r="J1008" t="s">
        <v>1860</v>
      </c>
      <c r="K1008" t="s">
        <v>109</v>
      </c>
      <c r="L1008" t="s">
        <v>110</v>
      </c>
      <c r="M1008" t="s">
        <v>333</v>
      </c>
      <c r="N1008" t="s">
        <v>112</v>
      </c>
      <c r="O1008">
        <v>3</v>
      </c>
      <c r="P1008" t="s">
        <v>113</v>
      </c>
      <c r="Q1008" t="s">
        <v>101</v>
      </c>
      <c r="R1008" t="s">
        <v>1857</v>
      </c>
      <c r="S1008" t="s">
        <v>115</v>
      </c>
      <c r="T1008" t="s">
        <v>42</v>
      </c>
      <c r="U1008">
        <v>322</v>
      </c>
      <c r="V1008">
        <v>546</v>
      </c>
      <c r="W1008">
        <v>225</v>
      </c>
      <c r="X1008" t="s">
        <v>116</v>
      </c>
      <c r="Y1008" t="s">
        <v>1861</v>
      </c>
      <c r="Z1008" t="s">
        <v>586</v>
      </c>
      <c r="AA1008" t="s">
        <v>1862</v>
      </c>
      <c r="AB1008" t="s">
        <v>1863</v>
      </c>
      <c r="AC1008" t="s">
        <v>339</v>
      </c>
      <c r="AD1008" t="s">
        <v>101</v>
      </c>
      <c r="AE1008">
        <v>3464</v>
      </c>
      <c r="AF1008" t="s">
        <v>1864</v>
      </c>
    </row>
    <row r="1009" spans="1:32" x14ac:dyDescent="0.75">
      <c r="A1009" s="22" t="s">
        <v>6051</v>
      </c>
      <c r="B1009" t="s">
        <v>2012</v>
      </c>
      <c r="C1009" t="s">
        <v>104</v>
      </c>
      <c r="D1009" t="s">
        <v>105</v>
      </c>
      <c r="E1009" t="s">
        <v>106</v>
      </c>
      <c r="F1009" t="s">
        <v>2013</v>
      </c>
      <c r="G1009" s="1" t="str">
        <f>HYPERLINK("https://homd.org/jbrowse/?data=homd_V11.02_phage_1.2%2FGCA_002998835.1&amp;loc=GCA_002998835.1%7CCP027232.1%3A1553359..1561002&amp;tracks=prokka,prokka_ncrna,ncbi,ncbi_ncrna,panggolin,cenote,genomad&amp;highlight=","Open JBrowse")</f>
        <v>Open JBrowse</v>
      </c>
      <c r="H1009">
        <v>1556359</v>
      </c>
      <c r="I1009">
        <v>1558002</v>
      </c>
      <c r="J1009" t="s">
        <v>2014</v>
      </c>
      <c r="K1009" t="s">
        <v>109</v>
      </c>
      <c r="L1009" t="s">
        <v>110</v>
      </c>
      <c r="M1009" t="s">
        <v>333</v>
      </c>
      <c r="N1009" t="s">
        <v>112</v>
      </c>
      <c r="O1009">
        <v>3</v>
      </c>
      <c r="P1009" t="s">
        <v>113</v>
      </c>
      <c r="Q1009" t="s">
        <v>101</v>
      </c>
      <c r="R1009" t="s">
        <v>2015</v>
      </c>
      <c r="S1009" t="s">
        <v>115</v>
      </c>
      <c r="T1009" t="s">
        <v>42</v>
      </c>
      <c r="U1009">
        <v>322</v>
      </c>
      <c r="V1009">
        <v>546</v>
      </c>
      <c r="W1009">
        <v>225</v>
      </c>
      <c r="X1009" t="s">
        <v>116</v>
      </c>
      <c r="Y1009" t="s">
        <v>2016</v>
      </c>
      <c r="Z1009" t="s">
        <v>97</v>
      </c>
      <c r="AA1009" t="s">
        <v>2017</v>
      </c>
      <c r="AB1009" t="s">
        <v>2018</v>
      </c>
      <c r="AC1009" t="s">
        <v>1551</v>
      </c>
      <c r="AD1009" t="s">
        <v>101</v>
      </c>
      <c r="AE1009">
        <v>3256</v>
      </c>
      <c r="AF1009" t="s">
        <v>1552</v>
      </c>
    </row>
    <row r="1010" spans="1:32" x14ac:dyDescent="0.75">
      <c r="A1010" s="22" t="s">
        <v>6051</v>
      </c>
      <c r="B1010" t="s">
        <v>2796</v>
      </c>
      <c r="C1010" t="s">
        <v>104</v>
      </c>
      <c r="D1010" t="s">
        <v>105</v>
      </c>
      <c r="E1010" t="s">
        <v>106</v>
      </c>
      <c r="F1010" t="s">
        <v>2797</v>
      </c>
      <c r="G1010" s="1" t="str">
        <f>HYPERLINK("https://homd.org/jbrowse/?data=homd_V11.02_phage_1.2%2FGCA_013394735.1&amp;loc=GCA_013394735.1%7CCP058261.1%3A1747832..1755475&amp;tracks=prokka,prokka_ncrna,ncbi,ncbi_ncrna,panggolin,cenote,genomad&amp;highlight=","Open JBrowse")</f>
        <v>Open JBrowse</v>
      </c>
      <c r="H1010">
        <v>1750832</v>
      </c>
      <c r="I1010">
        <v>1752475</v>
      </c>
      <c r="J1010" t="s">
        <v>2798</v>
      </c>
      <c r="K1010" t="s">
        <v>109</v>
      </c>
      <c r="L1010" t="s">
        <v>110</v>
      </c>
      <c r="M1010" t="s">
        <v>333</v>
      </c>
      <c r="N1010" t="s">
        <v>112</v>
      </c>
      <c r="O1010">
        <v>3</v>
      </c>
      <c r="P1010" t="s">
        <v>113</v>
      </c>
      <c r="Q1010" t="s">
        <v>101</v>
      </c>
      <c r="R1010" t="s">
        <v>2799</v>
      </c>
      <c r="S1010" t="s">
        <v>115</v>
      </c>
      <c r="T1010" t="s">
        <v>42</v>
      </c>
      <c r="U1010">
        <v>322</v>
      </c>
      <c r="V1010">
        <v>546</v>
      </c>
      <c r="W1010">
        <v>225</v>
      </c>
      <c r="X1010" t="s">
        <v>116</v>
      </c>
      <c r="Y1010" t="s">
        <v>2800</v>
      </c>
      <c r="Z1010" t="s">
        <v>824</v>
      </c>
      <c r="AA1010" t="s">
        <v>2801</v>
      </c>
      <c r="AB1010" t="s">
        <v>2802</v>
      </c>
      <c r="AC1010" t="s">
        <v>339</v>
      </c>
      <c r="AD1010" t="s">
        <v>101</v>
      </c>
      <c r="AE1010">
        <v>3617</v>
      </c>
      <c r="AF1010" t="s">
        <v>2803</v>
      </c>
    </row>
    <row r="1011" spans="1:32" x14ac:dyDescent="0.75">
      <c r="A1011" s="22" t="s">
        <v>6051</v>
      </c>
      <c r="B1011" t="s">
        <v>2809</v>
      </c>
      <c r="C1011" t="s">
        <v>104</v>
      </c>
      <c r="D1011" t="s">
        <v>105</v>
      </c>
      <c r="E1011" t="s">
        <v>106</v>
      </c>
      <c r="F1011" t="s">
        <v>2810</v>
      </c>
      <c r="G1011" s="1" t="str">
        <f>HYPERLINK("https://homd.org/jbrowse/?data=homd_V11.02_phage_1.2%2FGCA_013394785.1&amp;loc=GCA_013394785.1%7CJABXYW010000002.1%3A1237716..1245359&amp;tracks=prokka,prokka_ncrna,ncbi,ncbi_ncrna,panggolin,cenote,genomad&amp;highlight=","Open JBrowse")</f>
        <v>Open JBrowse</v>
      </c>
      <c r="H1011">
        <v>1240716</v>
      </c>
      <c r="I1011">
        <v>1242359</v>
      </c>
      <c r="J1011" t="s">
        <v>2811</v>
      </c>
      <c r="K1011" t="s">
        <v>109</v>
      </c>
      <c r="L1011" t="s">
        <v>110</v>
      </c>
      <c r="M1011" t="s">
        <v>333</v>
      </c>
      <c r="N1011" t="s">
        <v>112</v>
      </c>
      <c r="O1011">
        <v>3</v>
      </c>
      <c r="P1011" t="s">
        <v>113</v>
      </c>
      <c r="Q1011" t="s">
        <v>101</v>
      </c>
      <c r="R1011" t="s">
        <v>2812</v>
      </c>
      <c r="S1011" t="s">
        <v>115</v>
      </c>
      <c r="T1011" t="s">
        <v>42</v>
      </c>
      <c r="U1011">
        <v>322</v>
      </c>
      <c r="V1011">
        <v>546</v>
      </c>
      <c r="W1011">
        <v>225</v>
      </c>
      <c r="X1011" t="s">
        <v>116</v>
      </c>
      <c r="Y1011" t="s">
        <v>2813</v>
      </c>
      <c r="Z1011" t="s">
        <v>118</v>
      </c>
      <c r="AA1011" t="s">
        <v>2814</v>
      </c>
      <c r="AB1011" t="s">
        <v>2815</v>
      </c>
      <c r="AC1011" t="s">
        <v>339</v>
      </c>
      <c r="AD1011" t="s">
        <v>101</v>
      </c>
      <c r="AE1011">
        <v>3473</v>
      </c>
      <c r="AF1011" t="s">
        <v>656</v>
      </c>
    </row>
    <row r="1012" spans="1:32" x14ac:dyDescent="0.75">
      <c r="A1012" s="22" t="s">
        <v>6051</v>
      </c>
      <c r="B1012" t="s">
        <v>3126</v>
      </c>
      <c r="C1012" t="s">
        <v>104</v>
      </c>
      <c r="D1012" t="s">
        <v>814</v>
      </c>
      <c r="E1012" t="s">
        <v>815</v>
      </c>
      <c r="F1012" t="s">
        <v>3127</v>
      </c>
      <c r="G1012" s="1" t="str">
        <f>HYPERLINK("https://homd.org/jbrowse/?data=homd_V11.02_phage_1.2%2FGCA_016126015.1&amp;loc=GCA_016126015.1%7CJAEFDB010000002.1%3A326630..334273&amp;tracks=prokka,prokka_ncrna,ncbi,ncbi_ncrna,panggolin,cenote,genomad&amp;highlight=","Open JBrowse")</f>
        <v>Open JBrowse</v>
      </c>
      <c r="H1012">
        <v>329630</v>
      </c>
      <c r="I1012">
        <v>331273</v>
      </c>
      <c r="J1012" t="s">
        <v>3132</v>
      </c>
      <c r="K1012" t="s">
        <v>109</v>
      </c>
      <c r="L1012" t="s">
        <v>110</v>
      </c>
      <c r="M1012" t="s">
        <v>111</v>
      </c>
      <c r="N1012" t="s">
        <v>112</v>
      </c>
      <c r="O1012">
        <v>3</v>
      </c>
      <c r="P1012" t="s">
        <v>113</v>
      </c>
      <c r="Q1012" t="s">
        <v>101</v>
      </c>
      <c r="R1012" t="s">
        <v>3129</v>
      </c>
      <c r="S1012" t="s">
        <v>115</v>
      </c>
      <c r="T1012" t="s">
        <v>42</v>
      </c>
      <c r="U1012">
        <v>322</v>
      </c>
      <c r="V1012">
        <v>546</v>
      </c>
      <c r="W1012">
        <v>225</v>
      </c>
      <c r="X1012" t="s">
        <v>116</v>
      </c>
      <c r="Y1012" t="s">
        <v>3133</v>
      </c>
      <c r="Z1012" t="s">
        <v>620</v>
      </c>
      <c r="AA1012" t="s">
        <v>3134</v>
      </c>
      <c r="AB1012" t="s">
        <v>3135</v>
      </c>
      <c r="AC1012" t="s">
        <v>339</v>
      </c>
      <c r="AD1012" t="s">
        <v>101</v>
      </c>
      <c r="AE1012">
        <v>3478</v>
      </c>
      <c r="AF1012" t="s">
        <v>656</v>
      </c>
    </row>
    <row r="1013" spans="1:32" x14ac:dyDescent="0.75">
      <c r="A1013" s="22" t="s">
        <v>6051</v>
      </c>
      <c r="B1013" t="s">
        <v>3140</v>
      </c>
      <c r="C1013" t="s">
        <v>104</v>
      </c>
      <c r="D1013" t="s">
        <v>814</v>
      </c>
      <c r="E1013" t="s">
        <v>815</v>
      </c>
      <c r="F1013" t="s">
        <v>3141</v>
      </c>
      <c r="G1013" s="1" t="str">
        <f>HYPERLINK("https://homd.org/jbrowse/?data=homd_V11.02_phage_1.2%2FGCA_016126035.1&amp;loc=GCA_016126035.1%7CJAEFDC010000001.1%3A108867..116510&amp;tracks=prokka,prokka_ncrna,ncbi,ncbi_ncrna,panggolin,cenote,genomad&amp;highlight=","Open JBrowse")</f>
        <v>Open JBrowse</v>
      </c>
      <c r="H1013">
        <v>111867</v>
      </c>
      <c r="I1013">
        <v>113510</v>
      </c>
      <c r="J1013" t="s">
        <v>3142</v>
      </c>
      <c r="K1013" t="s">
        <v>109</v>
      </c>
      <c r="L1013" t="s">
        <v>110</v>
      </c>
      <c r="M1013" t="s">
        <v>333</v>
      </c>
      <c r="N1013" t="s">
        <v>112</v>
      </c>
      <c r="O1013">
        <v>3</v>
      </c>
      <c r="P1013" t="s">
        <v>113</v>
      </c>
      <c r="Q1013" t="s">
        <v>101</v>
      </c>
      <c r="R1013" t="s">
        <v>3143</v>
      </c>
      <c r="S1013" t="s">
        <v>115</v>
      </c>
      <c r="T1013" t="s">
        <v>42</v>
      </c>
      <c r="U1013">
        <v>322</v>
      </c>
      <c r="V1013">
        <v>546</v>
      </c>
      <c r="W1013">
        <v>225</v>
      </c>
      <c r="X1013" t="s">
        <v>116</v>
      </c>
      <c r="Y1013" t="s">
        <v>3144</v>
      </c>
      <c r="Z1013" t="s">
        <v>645</v>
      </c>
      <c r="AA1013" t="s">
        <v>1742</v>
      </c>
      <c r="AB1013" t="s">
        <v>3145</v>
      </c>
      <c r="AC1013" t="s">
        <v>339</v>
      </c>
      <c r="AD1013" t="s">
        <v>101</v>
      </c>
      <c r="AE1013">
        <v>3477</v>
      </c>
      <c r="AF1013" t="s">
        <v>681</v>
      </c>
    </row>
    <row r="1014" spans="1:32" x14ac:dyDescent="0.75">
      <c r="A1014" s="22" t="s">
        <v>6051</v>
      </c>
      <c r="B1014" t="s">
        <v>3202</v>
      </c>
      <c r="C1014" t="s">
        <v>104</v>
      </c>
      <c r="D1014" t="s">
        <v>814</v>
      </c>
      <c r="E1014" t="s">
        <v>815</v>
      </c>
      <c r="F1014" t="s">
        <v>3210</v>
      </c>
      <c r="G1014" s="1" t="str">
        <f>HYPERLINK("https://homd.org/jbrowse/?data=homd_V11.02_phage_1.2%2FGCA_016806945.1&amp;loc=GCA_016806945.1%7CJAESPJ010000027.1%3A6723..14366&amp;tracks=prokka,prokka_ncrna,ncbi,ncbi_ncrna,panggolin,cenote,genomad&amp;highlight=","Open JBrowse")</f>
        <v>Open JBrowse</v>
      </c>
      <c r="H1014">
        <v>9723</v>
      </c>
      <c r="I1014">
        <v>11366</v>
      </c>
      <c r="J1014" t="s">
        <v>3211</v>
      </c>
      <c r="K1014" t="s">
        <v>109</v>
      </c>
      <c r="L1014" t="s">
        <v>110</v>
      </c>
      <c r="M1014" t="s">
        <v>111</v>
      </c>
      <c r="N1014" t="s">
        <v>112</v>
      </c>
      <c r="O1014">
        <v>3</v>
      </c>
      <c r="P1014" t="s">
        <v>113</v>
      </c>
      <c r="Q1014" t="s">
        <v>101</v>
      </c>
      <c r="R1014" t="s">
        <v>3205</v>
      </c>
      <c r="S1014" t="s">
        <v>115</v>
      </c>
      <c r="T1014" t="s">
        <v>42</v>
      </c>
      <c r="U1014">
        <v>322</v>
      </c>
      <c r="V1014">
        <v>546</v>
      </c>
      <c r="W1014">
        <v>225</v>
      </c>
      <c r="X1014" t="s">
        <v>116</v>
      </c>
      <c r="Y1014" t="s">
        <v>3212</v>
      </c>
      <c r="Z1014" t="s">
        <v>1236</v>
      </c>
      <c r="AA1014" t="s">
        <v>3213</v>
      </c>
      <c r="AB1014" t="s">
        <v>3214</v>
      </c>
      <c r="AC1014" t="s">
        <v>339</v>
      </c>
      <c r="AD1014" t="s">
        <v>101</v>
      </c>
      <c r="AE1014">
        <v>3473</v>
      </c>
      <c r="AF1014" t="s">
        <v>656</v>
      </c>
    </row>
    <row r="1015" spans="1:32" x14ac:dyDescent="0.75">
      <c r="A1015" s="22" t="s">
        <v>6051</v>
      </c>
      <c r="B1015" t="s">
        <v>3215</v>
      </c>
      <c r="C1015" t="s">
        <v>104</v>
      </c>
      <c r="D1015" t="s">
        <v>814</v>
      </c>
      <c r="E1015" t="s">
        <v>815</v>
      </c>
      <c r="F1015" t="s">
        <v>3216</v>
      </c>
      <c r="G1015" s="1" t="str">
        <f>HYPERLINK("https://homd.org/jbrowse/?data=homd_V11.02_phage_1.2%2FGCA_016806965.1&amp;loc=GCA_016806965.1%7CJAESPH010000002.1%3A394590..402233&amp;tracks=prokka,prokka_ncrna,ncbi,ncbi_ncrna,panggolin,cenote,genomad&amp;highlight=","Open JBrowse")</f>
        <v>Open JBrowse</v>
      </c>
      <c r="H1015">
        <v>397590</v>
      </c>
      <c r="I1015">
        <v>399233</v>
      </c>
      <c r="J1015" t="s">
        <v>3219</v>
      </c>
      <c r="K1015" t="s">
        <v>109</v>
      </c>
      <c r="L1015" t="s">
        <v>110</v>
      </c>
      <c r="M1015" t="s">
        <v>333</v>
      </c>
      <c r="N1015" t="s">
        <v>112</v>
      </c>
      <c r="O1015">
        <v>3</v>
      </c>
      <c r="P1015" t="s">
        <v>113</v>
      </c>
      <c r="Q1015" t="s">
        <v>101</v>
      </c>
      <c r="R1015" t="s">
        <v>3218</v>
      </c>
      <c r="S1015" t="s">
        <v>115</v>
      </c>
      <c r="T1015" t="s">
        <v>42</v>
      </c>
      <c r="U1015">
        <v>322</v>
      </c>
      <c r="V1015">
        <v>546</v>
      </c>
      <c r="W1015">
        <v>225</v>
      </c>
      <c r="X1015" t="s">
        <v>116</v>
      </c>
      <c r="Y1015" t="s">
        <v>3220</v>
      </c>
      <c r="Z1015" t="s">
        <v>357</v>
      </c>
      <c r="AA1015" t="s">
        <v>3213</v>
      </c>
      <c r="AB1015" t="s">
        <v>3221</v>
      </c>
      <c r="AC1015" t="s">
        <v>339</v>
      </c>
      <c r="AD1015" t="s">
        <v>101</v>
      </c>
      <c r="AE1015">
        <v>3481</v>
      </c>
      <c r="AF1015" t="s">
        <v>656</v>
      </c>
    </row>
    <row r="1016" spans="1:32" x14ac:dyDescent="0.75">
      <c r="A1016" s="22" t="s">
        <v>6051</v>
      </c>
      <c r="B1016" t="s">
        <v>3226</v>
      </c>
      <c r="C1016" t="s">
        <v>104</v>
      </c>
      <c r="D1016" t="s">
        <v>814</v>
      </c>
      <c r="E1016" t="s">
        <v>815</v>
      </c>
      <c r="F1016" t="s">
        <v>3227</v>
      </c>
      <c r="G1016" s="1" t="str">
        <f>HYPERLINK("https://homd.org/jbrowse/?data=homd_V11.02_phage_1.2%2FGCA_016806985.1&amp;loc=GCA_016806985.1%7CJAESPI010000045.1%3A2049..9692&amp;tracks=prokka,prokka_ncrna,ncbi,ncbi_ncrna,panggolin,cenote,genomad&amp;highlight=","Open JBrowse")</f>
        <v>Open JBrowse</v>
      </c>
      <c r="H1016">
        <v>5049</v>
      </c>
      <c r="I1016">
        <v>6692</v>
      </c>
      <c r="J1016" t="s">
        <v>3228</v>
      </c>
      <c r="K1016" t="s">
        <v>109</v>
      </c>
      <c r="L1016" t="s">
        <v>110</v>
      </c>
      <c r="M1016" t="s">
        <v>333</v>
      </c>
      <c r="N1016" t="s">
        <v>112</v>
      </c>
      <c r="O1016">
        <v>3</v>
      </c>
      <c r="P1016" t="s">
        <v>113</v>
      </c>
      <c r="Q1016" t="s">
        <v>101</v>
      </c>
      <c r="R1016" t="s">
        <v>3229</v>
      </c>
      <c r="S1016" t="s">
        <v>115</v>
      </c>
      <c r="T1016" t="s">
        <v>42</v>
      </c>
      <c r="U1016">
        <v>322</v>
      </c>
      <c r="V1016">
        <v>546</v>
      </c>
      <c r="W1016">
        <v>225</v>
      </c>
      <c r="X1016" t="s">
        <v>116</v>
      </c>
      <c r="Y1016" t="s">
        <v>3230</v>
      </c>
      <c r="Z1016" t="s">
        <v>420</v>
      </c>
      <c r="AA1016" t="s">
        <v>3231</v>
      </c>
      <c r="AB1016" t="s">
        <v>3232</v>
      </c>
      <c r="AC1016" t="s">
        <v>339</v>
      </c>
      <c r="AD1016" t="s">
        <v>101</v>
      </c>
      <c r="AE1016">
        <v>3482</v>
      </c>
      <c r="AF1016" t="s">
        <v>681</v>
      </c>
    </row>
    <row r="1017" spans="1:32" x14ac:dyDescent="0.75">
      <c r="A1017" s="22" t="s">
        <v>6051</v>
      </c>
      <c r="B1017" t="s">
        <v>3235</v>
      </c>
      <c r="C1017" t="s">
        <v>104</v>
      </c>
      <c r="D1017" t="s">
        <v>814</v>
      </c>
      <c r="E1017" t="s">
        <v>815</v>
      </c>
      <c r="F1017" t="s">
        <v>3236</v>
      </c>
      <c r="G1017" s="1" t="str">
        <f>HYPERLINK("https://homd.org/jbrowse/?data=homd_V11.02_phage_1.2%2FGCA_016806995.1&amp;loc=GCA_016806995.1%7CJAESPK010000015.1%3A24665..32308&amp;tracks=prokka,prokka_ncrna,ncbi,ncbi_ncrna,panggolin,cenote,genomad&amp;highlight=","Open JBrowse")</f>
        <v>Open JBrowse</v>
      </c>
      <c r="H1017">
        <v>27665</v>
      </c>
      <c r="I1017">
        <v>29308</v>
      </c>
      <c r="J1017" t="s">
        <v>3237</v>
      </c>
      <c r="K1017" t="s">
        <v>109</v>
      </c>
      <c r="L1017" t="s">
        <v>110</v>
      </c>
      <c r="M1017" t="s">
        <v>333</v>
      </c>
      <c r="N1017" t="s">
        <v>112</v>
      </c>
      <c r="O1017">
        <v>3</v>
      </c>
      <c r="P1017" t="s">
        <v>113</v>
      </c>
      <c r="Q1017" t="s">
        <v>101</v>
      </c>
      <c r="R1017" t="s">
        <v>3238</v>
      </c>
      <c r="S1017" t="s">
        <v>115</v>
      </c>
      <c r="T1017" t="s">
        <v>42</v>
      </c>
      <c r="U1017">
        <v>322</v>
      </c>
      <c r="V1017">
        <v>546</v>
      </c>
      <c r="W1017">
        <v>225</v>
      </c>
      <c r="X1017" t="s">
        <v>116</v>
      </c>
      <c r="Y1017" t="s">
        <v>3239</v>
      </c>
      <c r="Z1017" t="s">
        <v>1327</v>
      </c>
      <c r="AA1017" t="s">
        <v>1742</v>
      </c>
      <c r="AB1017" t="s">
        <v>3240</v>
      </c>
      <c r="AC1017" t="s">
        <v>339</v>
      </c>
      <c r="AD1017" t="s">
        <v>101</v>
      </c>
      <c r="AE1017">
        <v>3477</v>
      </c>
      <c r="AF1017" t="s">
        <v>681</v>
      </c>
    </row>
    <row r="1018" spans="1:32" x14ac:dyDescent="0.75">
      <c r="A1018" s="22" t="s">
        <v>6051</v>
      </c>
      <c r="B1018" t="s">
        <v>3247</v>
      </c>
      <c r="C1018" t="s">
        <v>104</v>
      </c>
      <c r="D1018" t="s">
        <v>814</v>
      </c>
      <c r="E1018" t="s">
        <v>815</v>
      </c>
      <c r="F1018" t="s">
        <v>3254</v>
      </c>
      <c r="G1018" s="1" t="str">
        <f>HYPERLINK("https://homd.org/jbrowse/?data=homd_V11.02_phage_1.2%2FGCA_016807025.1&amp;loc=GCA_016807025.1%7CJAEUAH010000007.1%3A39387..47030&amp;tracks=prokka,prokka_ncrna,ncbi,ncbi_ncrna,panggolin,cenote,genomad&amp;highlight=","Open JBrowse")</f>
        <v>Open JBrowse</v>
      </c>
      <c r="H1018">
        <v>42387</v>
      </c>
      <c r="I1018">
        <v>44030</v>
      </c>
      <c r="J1018" t="s">
        <v>3255</v>
      </c>
      <c r="K1018" t="s">
        <v>109</v>
      </c>
      <c r="L1018" t="s">
        <v>110</v>
      </c>
      <c r="M1018" t="s">
        <v>333</v>
      </c>
      <c r="N1018" t="s">
        <v>112</v>
      </c>
      <c r="O1018">
        <v>3</v>
      </c>
      <c r="P1018" t="s">
        <v>113</v>
      </c>
      <c r="Q1018" t="s">
        <v>101</v>
      </c>
      <c r="R1018" t="s">
        <v>3250</v>
      </c>
      <c r="S1018" t="s">
        <v>115</v>
      </c>
      <c r="T1018" t="s">
        <v>42</v>
      </c>
      <c r="U1018">
        <v>322</v>
      </c>
      <c r="V1018">
        <v>546</v>
      </c>
      <c r="W1018">
        <v>225</v>
      </c>
      <c r="X1018" t="s">
        <v>116</v>
      </c>
      <c r="Y1018" t="s">
        <v>3256</v>
      </c>
      <c r="Z1018" t="s">
        <v>1327</v>
      </c>
      <c r="AA1018" t="s">
        <v>1742</v>
      </c>
      <c r="AB1018" t="s">
        <v>3257</v>
      </c>
      <c r="AC1018" t="s">
        <v>339</v>
      </c>
      <c r="AD1018" t="s">
        <v>101</v>
      </c>
      <c r="AE1018">
        <v>3481</v>
      </c>
      <c r="AF1018" t="s">
        <v>681</v>
      </c>
    </row>
    <row r="1019" spans="1:32" x14ac:dyDescent="0.75">
      <c r="A1019" s="22" t="s">
        <v>6051</v>
      </c>
      <c r="B1019" t="s">
        <v>3894</v>
      </c>
      <c r="C1019" t="s">
        <v>104</v>
      </c>
      <c r="D1019" t="s">
        <v>105</v>
      </c>
      <c r="E1019" t="s">
        <v>106</v>
      </c>
      <c r="F1019" t="s">
        <v>3895</v>
      </c>
      <c r="G1019" s="1" t="str">
        <f>HYPERLINK("https://homd.org/jbrowse/?data=homd_V11.02_phage_1.2%2FGCA_019930725.1&amp;loc=GCA_019930725.1%7CCP082870.1%3A187037..194680&amp;tracks=prokka,prokka_ncrna,ncbi,ncbi_ncrna,panggolin,cenote,genomad&amp;highlight=","Open JBrowse")</f>
        <v>Open JBrowse</v>
      </c>
      <c r="H1019">
        <v>190037</v>
      </c>
      <c r="I1019">
        <v>191680</v>
      </c>
      <c r="J1019" t="s">
        <v>3896</v>
      </c>
      <c r="K1019" t="s">
        <v>109</v>
      </c>
      <c r="L1019" t="s">
        <v>110</v>
      </c>
      <c r="M1019" t="s">
        <v>111</v>
      </c>
      <c r="N1019" t="s">
        <v>112</v>
      </c>
      <c r="O1019">
        <v>3</v>
      </c>
      <c r="P1019" t="s">
        <v>113</v>
      </c>
      <c r="Q1019" t="s">
        <v>101</v>
      </c>
      <c r="R1019" t="s">
        <v>3897</v>
      </c>
      <c r="S1019" t="s">
        <v>115</v>
      </c>
      <c r="T1019" t="s">
        <v>42</v>
      </c>
      <c r="U1019">
        <v>322</v>
      </c>
      <c r="V1019">
        <v>546</v>
      </c>
      <c r="W1019">
        <v>225</v>
      </c>
      <c r="X1019" t="s">
        <v>116</v>
      </c>
      <c r="Y1019" t="s">
        <v>3898</v>
      </c>
      <c r="Z1019" t="s">
        <v>1334</v>
      </c>
      <c r="AA1019" t="s">
        <v>119</v>
      </c>
      <c r="AB1019" t="s">
        <v>3899</v>
      </c>
      <c r="AC1019" t="s">
        <v>68</v>
      </c>
      <c r="AD1019" t="s">
        <v>69</v>
      </c>
      <c r="AE1019">
        <v>3260</v>
      </c>
      <c r="AF1019" t="s">
        <v>121</v>
      </c>
    </row>
    <row r="1020" spans="1:32" x14ac:dyDescent="0.75">
      <c r="A1020" s="22" t="s">
        <v>6051</v>
      </c>
      <c r="B1020" t="s">
        <v>4026</v>
      </c>
      <c r="C1020" t="s">
        <v>104</v>
      </c>
      <c r="D1020" t="s">
        <v>105</v>
      </c>
      <c r="E1020" t="s">
        <v>106</v>
      </c>
      <c r="F1020" t="s">
        <v>4027</v>
      </c>
      <c r="G1020" s="1" t="str">
        <f>HYPERLINK("https://homd.org/jbrowse/?data=homd_V11.02_phage_1.2%2FGCA_020736165.1&amp;loc=GCA_020736165.1%7CCP085961.1%3A1868873..1876516&amp;tracks=prokka,prokka_ncrna,ncbi,ncbi_ncrna,panggolin,cenote,genomad&amp;highlight=","Open JBrowse")</f>
        <v>Open JBrowse</v>
      </c>
      <c r="H1020">
        <v>1871873</v>
      </c>
      <c r="I1020">
        <v>1873516</v>
      </c>
      <c r="J1020" t="s">
        <v>4033</v>
      </c>
      <c r="K1020" t="s">
        <v>109</v>
      </c>
      <c r="L1020" t="s">
        <v>110</v>
      </c>
      <c r="M1020" t="s">
        <v>333</v>
      </c>
      <c r="N1020" t="s">
        <v>112</v>
      </c>
      <c r="O1020">
        <v>3</v>
      </c>
      <c r="P1020" t="s">
        <v>113</v>
      </c>
      <c r="Q1020" t="s">
        <v>101</v>
      </c>
      <c r="R1020" t="s">
        <v>4029</v>
      </c>
      <c r="S1020" t="s">
        <v>115</v>
      </c>
      <c r="T1020" t="s">
        <v>42</v>
      </c>
      <c r="U1020">
        <v>322</v>
      </c>
      <c r="V1020">
        <v>546</v>
      </c>
      <c r="W1020">
        <v>225</v>
      </c>
      <c r="X1020" t="s">
        <v>116</v>
      </c>
      <c r="Y1020" t="s">
        <v>4034</v>
      </c>
      <c r="Z1020" t="s">
        <v>653</v>
      </c>
      <c r="AA1020" t="s">
        <v>421</v>
      </c>
      <c r="AB1020" t="s">
        <v>4035</v>
      </c>
      <c r="AC1020" t="s">
        <v>339</v>
      </c>
      <c r="AD1020" t="s">
        <v>101</v>
      </c>
      <c r="AE1020">
        <v>3468</v>
      </c>
      <c r="AF1020" t="s">
        <v>423</v>
      </c>
    </row>
    <row r="1021" spans="1:32" x14ac:dyDescent="0.75">
      <c r="A1021" s="22" t="s">
        <v>6051</v>
      </c>
      <c r="B1021" t="s">
        <v>4771</v>
      </c>
      <c r="C1021" t="s">
        <v>104</v>
      </c>
      <c r="D1021" t="s">
        <v>105</v>
      </c>
      <c r="E1021" t="s">
        <v>106</v>
      </c>
      <c r="F1021" t="s">
        <v>4772</v>
      </c>
      <c r="G1021" s="1" t="str">
        <f>HYPERLINK("https://homd.org/jbrowse/?data=homd_V11.02_phage_1.2%2FGCA_026013785.1&amp;loc=GCA_026013785.1%7CCP110228.1%3A693946..701589&amp;tracks=prokka,prokka_ncrna,ncbi,ncbi_ncrna,panggolin,cenote,genomad&amp;highlight=","Open JBrowse")</f>
        <v>Open JBrowse</v>
      </c>
      <c r="H1021">
        <v>696946</v>
      </c>
      <c r="I1021">
        <v>698589</v>
      </c>
      <c r="J1021" t="s">
        <v>4777</v>
      </c>
      <c r="K1021" t="s">
        <v>109</v>
      </c>
      <c r="L1021" t="s">
        <v>110</v>
      </c>
      <c r="M1021" t="s">
        <v>333</v>
      </c>
      <c r="N1021" t="s">
        <v>112</v>
      </c>
      <c r="O1021">
        <v>3</v>
      </c>
      <c r="P1021" t="s">
        <v>113</v>
      </c>
      <c r="Q1021" t="s">
        <v>101</v>
      </c>
      <c r="R1021" t="s">
        <v>4774</v>
      </c>
      <c r="S1021" t="s">
        <v>115</v>
      </c>
      <c r="T1021" t="s">
        <v>42</v>
      </c>
      <c r="U1021">
        <v>322</v>
      </c>
      <c r="V1021">
        <v>546</v>
      </c>
      <c r="W1021">
        <v>225</v>
      </c>
      <c r="X1021" t="s">
        <v>116</v>
      </c>
      <c r="Y1021" t="s">
        <v>4778</v>
      </c>
      <c r="Z1021" t="s">
        <v>932</v>
      </c>
      <c r="AA1021" t="s">
        <v>4779</v>
      </c>
      <c r="AB1021" t="s">
        <v>4780</v>
      </c>
      <c r="AC1021" t="s">
        <v>68</v>
      </c>
      <c r="AD1021" t="s">
        <v>69</v>
      </c>
      <c r="AE1021">
        <v>3248</v>
      </c>
      <c r="AF1021" t="s">
        <v>804</v>
      </c>
    </row>
    <row r="1022" spans="1:32" x14ac:dyDescent="0.75">
      <c r="A1022" s="22" t="s">
        <v>6051</v>
      </c>
      <c r="B1022" t="s">
        <v>4783</v>
      </c>
      <c r="C1022" t="s">
        <v>104</v>
      </c>
      <c r="D1022" t="s">
        <v>105</v>
      </c>
      <c r="E1022" t="s">
        <v>106</v>
      </c>
      <c r="F1022" t="s">
        <v>4784</v>
      </c>
      <c r="G1022" s="1" t="str">
        <f>HYPERLINK("https://homd.org/jbrowse/?data=homd_V11.02_phage_1.2%2FGCA_026013805.1&amp;loc=GCA_026013805.1%7CCP110229.1%3A166469..174112&amp;tracks=prokka,prokka_ncrna,ncbi,ncbi_ncrna,panggolin,cenote,genomad&amp;highlight=","Open JBrowse")</f>
        <v>Open JBrowse</v>
      </c>
      <c r="H1022">
        <v>169469</v>
      </c>
      <c r="I1022">
        <v>171112</v>
      </c>
      <c r="J1022" t="s">
        <v>4785</v>
      </c>
      <c r="K1022" t="s">
        <v>109</v>
      </c>
      <c r="L1022" t="s">
        <v>110</v>
      </c>
      <c r="M1022" t="s">
        <v>333</v>
      </c>
      <c r="N1022" t="s">
        <v>112</v>
      </c>
      <c r="O1022">
        <v>3</v>
      </c>
      <c r="P1022" t="s">
        <v>113</v>
      </c>
      <c r="Q1022" t="s">
        <v>101</v>
      </c>
      <c r="R1022" t="s">
        <v>4786</v>
      </c>
      <c r="S1022" t="s">
        <v>115</v>
      </c>
      <c r="T1022" t="s">
        <v>42</v>
      </c>
      <c r="U1022">
        <v>322</v>
      </c>
      <c r="V1022">
        <v>546</v>
      </c>
      <c r="W1022">
        <v>225</v>
      </c>
      <c r="X1022" t="s">
        <v>116</v>
      </c>
      <c r="Y1022" t="s">
        <v>4787</v>
      </c>
      <c r="Z1022" t="s">
        <v>1257</v>
      </c>
      <c r="AA1022" t="s">
        <v>4788</v>
      </c>
      <c r="AB1022" t="s">
        <v>4789</v>
      </c>
      <c r="AC1022" t="s">
        <v>339</v>
      </c>
      <c r="AD1022" t="s">
        <v>101</v>
      </c>
      <c r="AE1022">
        <v>3483</v>
      </c>
      <c r="AF1022" t="s">
        <v>656</v>
      </c>
    </row>
    <row r="1023" spans="1:32" x14ac:dyDescent="0.75">
      <c r="A1023" s="22" t="s">
        <v>6051</v>
      </c>
      <c r="B1023" t="s">
        <v>4794</v>
      </c>
      <c r="C1023" t="s">
        <v>104</v>
      </c>
      <c r="D1023" t="s">
        <v>105</v>
      </c>
      <c r="E1023" t="s">
        <v>106</v>
      </c>
      <c r="F1023" t="s">
        <v>4795</v>
      </c>
      <c r="G1023" s="1" t="str">
        <f>HYPERLINK("https://homd.org/jbrowse/?data=homd_V11.02_phage_1.2%2FGCA_026013825.1&amp;loc=GCA_026013825.1%7CCP110230.1%3A1295025..1302668&amp;tracks=prokka,prokka_ncrna,ncbi,ncbi_ncrna,panggolin,cenote,genomad&amp;highlight=","Open JBrowse")</f>
        <v>Open JBrowse</v>
      </c>
      <c r="H1023">
        <v>1298025</v>
      </c>
      <c r="I1023">
        <v>1299668</v>
      </c>
      <c r="J1023" t="s">
        <v>4796</v>
      </c>
      <c r="K1023" t="s">
        <v>109</v>
      </c>
      <c r="L1023" t="s">
        <v>110</v>
      </c>
      <c r="M1023" t="s">
        <v>333</v>
      </c>
      <c r="N1023" t="s">
        <v>112</v>
      </c>
      <c r="O1023">
        <v>3</v>
      </c>
      <c r="P1023" t="s">
        <v>113</v>
      </c>
      <c r="Q1023" t="s">
        <v>101</v>
      </c>
      <c r="R1023" t="s">
        <v>4797</v>
      </c>
      <c r="S1023" t="s">
        <v>115</v>
      </c>
      <c r="T1023" t="s">
        <v>42</v>
      </c>
      <c r="U1023">
        <v>322</v>
      </c>
      <c r="V1023">
        <v>546</v>
      </c>
      <c r="W1023">
        <v>225</v>
      </c>
      <c r="X1023" t="s">
        <v>116</v>
      </c>
      <c r="Y1023" t="s">
        <v>4798</v>
      </c>
      <c r="Z1023" t="s">
        <v>132</v>
      </c>
      <c r="AA1023" t="s">
        <v>4799</v>
      </c>
      <c r="AB1023" t="s">
        <v>4800</v>
      </c>
      <c r="AC1023" t="s">
        <v>339</v>
      </c>
      <c r="AD1023" t="s">
        <v>101</v>
      </c>
      <c r="AE1023">
        <v>3609</v>
      </c>
      <c r="AF1023" t="s">
        <v>4801</v>
      </c>
    </row>
    <row r="1024" spans="1:32" x14ac:dyDescent="0.75">
      <c r="A1024" s="22" t="s">
        <v>6051</v>
      </c>
      <c r="B1024" t="s">
        <v>5189</v>
      </c>
      <c r="C1024" t="s">
        <v>104</v>
      </c>
      <c r="D1024" t="s">
        <v>329</v>
      </c>
      <c r="E1024" t="s">
        <v>330</v>
      </c>
      <c r="F1024" t="s">
        <v>5190</v>
      </c>
      <c r="G1024" s="1" t="str">
        <f>HYPERLINK("https://homd.org/jbrowse/?data=homd_V11.02_phage_1.2%2FGCA_900446695.1&amp;loc=GCA_900446695.1%7CUAVP01000008.1%3A226548..234191&amp;tracks=prokka,prokka_ncrna,ncbi,ncbi_ncrna,panggolin,cenote,genomad&amp;highlight=","Open JBrowse")</f>
        <v>Open JBrowse</v>
      </c>
      <c r="H1024">
        <v>229548</v>
      </c>
      <c r="I1024">
        <v>231191</v>
      </c>
      <c r="J1024" t="s">
        <v>5194</v>
      </c>
      <c r="K1024" t="s">
        <v>109</v>
      </c>
      <c r="L1024" t="s">
        <v>110</v>
      </c>
      <c r="M1024" t="s">
        <v>333</v>
      </c>
      <c r="N1024" t="s">
        <v>112</v>
      </c>
      <c r="O1024">
        <v>3</v>
      </c>
      <c r="P1024" t="s">
        <v>113</v>
      </c>
      <c r="Q1024" t="s">
        <v>101</v>
      </c>
      <c r="R1024" t="s">
        <v>5192</v>
      </c>
      <c r="S1024" t="s">
        <v>115</v>
      </c>
      <c r="T1024" t="s">
        <v>42</v>
      </c>
      <c r="U1024">
        <v>322</v>
      </c>
      <c r="V1024">
        <v>546</v>
      </c>
      <c r="W1024">
        <v>225</v>
      </c>
      <c r="X1024" t="s">
        <v>116</v>
      </c>
      <c r="Y1024" t="s">
        <v>5195</v>
      </c>
      <c r="Z1024" t="s">
        <v>892</v>
      </c>
      <c r="AA1024" t="s">
        <v>5196</v>
      </c>
      <c r="AB1024" t="s">
        <v>5197</v>
      </c>
      <c r="AC1024" t="s">
        <v>339</v>
      </c>
      <c r="AD1024" t="s">
        <v>101</v>
      </c>
      <c r="AE1024">
        <v>3477</v>
      </c>
      <c r="AF1024" t="s">
        <v>1864</v>
      </c>
    </row>
    <row r="1025" spans="1:34" x14ac:dyDescent="0.75">
      <c r="A1025" s="22" t="s">
        <v>6051</v>
      </c>
      <c r="B1025" t="s">
        <v>5198</v>
      </c>
      <c r="C1025" t="s">
        <v>104</v>
      </c>
      <c r="D1025" t="s">
        <v>105</v>
      </c>
      <c r="E1025" t="s">
        <v>106</v>
      </c>
      <c r="F1025" t="s">
        <v>5199</v>
      </c>
      <c r="G1025" s="1" t="str">
        <f>HYPERLINK("https://homd.org/jbrowse/?data=homd_V11.02_phage_1.2%2FGCA_900446705.1&amp;loc=GCA_900446705.1%7CUARG01000017.1%3A1689287..1696930&amp;tracks=prokka,prokka_ncrna,ncbi,ncbi_ncrna,panggolin,cenote,genomad&amp;highlight=","Open JBrowse")</f>
        <v>Open JBrowse</v>
      </c>
      <c r="H1025">
        <v>1692287</v>
      </c>
      <c r="I1025">
        <v>1693930</v>
      </c>
      <c r="J1025" t="s">
        <v>5200</v>
      </c>
      <c r="K1025" t="s">
        <v>109</v>
      </c>
      <c r="L1025" t="s">
        <v>110</v>
      </c>
      <c r="M1025" t="s">
        <v>111</v>
      </c>
      <c r="N1025" t="s">
        <v>112</v>
      </c>
      <c r="O1025">
        <v>3</v>
      </c>
      <c r="P1025" t="s">
        <v>113</v>
      </c>
      <c r="Q1025" t="s">
        <v>101</v>
      </c>
      <c r="R1025" t="s">
        <v>5201</v>
      </c>
      <c r="S1025" t="s">
        <v>115</v>
      </c>
      <c r="T1025" t="s">
        <v>42</v>
      </c>
      <c r="U1025">
        <v>322</v>
      </c>
      <c r="V1025">
        <v>546</v>
      </c>
      <c r="W1025">
        <v>225</v>
      </c>
      <c r="X1025" t="s">
        <v>116</v>
      </c>
      <c r="Y1025" t="s">
        <v>5202</v>
      </c>
      <c r="Z1025" t="s">
        <v>892</v>
      </c>
      <c r="AA1025" t="s">
        <v>5203</v>
      </c>
      <c r="AB1025" t="s">
        <v>5204</v>
      </c>
      <c r="AC1025" t="s">
        <v>339</v>
      </c>
      <c r="AD1025" t="s">
        <v>101</v>
      </c>
      <c r="AE1025">
        <v>3471</v>
      </c>
      <c r="AF1025" t="s">
        <v>5205</v>
      </c>
    </row>
    <row r="1026" spans="1:34" x14ac:dyDescent="0.75">
      <c r="A1026" s="22" t="s">
        <v>6051</v>
      </c>
      <c r="B1026" t="s">
        <v>5227</v>
      </c>
      <c r="C1026" t="s">
        <v>104</v>
      </c>
      <c r="D1026" t="s">
        <v>105</v>
      </c>
      <c r="E1026" t="s">
        <v>106</v>
      </c>
      <c r="F1026" t="s">
        <v>5228</v>
      </c>
      <c r="G1026" s="1" t="str">
        <f>HYPERLINK("https://homd.org/jbrowse/?data=homd_V11.02_phage_1.2%2FGCA_900460915.1&amp;loc=GCA_900460915.1%7CUAVS01000001.1%3A103778..111418&amp;tracks=prokka,prokka_ncrna,ncbi,ncbi_ncrna,panggolin,cenote,genomad&amp;highlight=","Open JBrowse")</f>
        <v>Open JBrowse</v>
      </c>
      <c r="H1026">
        <v>106778</v>
      </c>
      <c r="I1026">
        <v>108418</v>
      </c>
      <c r="J1026" t="s">
        <v>5229</v>
      </c>
      <c r="K1026" t="s">
        <v>109</v>
      </c>
      <c r="L1026" t="s">
        <v>5230</v>
      </c>
      <c r="M1026" t="s">
        <v>5231</v>
      </c>
      <c r="N1026" t="s">
        <v>112</v>
      </c>
      <c r="O1026">
        <v>3</v>
      </c>
      <c r="P1026" t="s">
        <v>113</v>
      </c>
      <c r="Q1026" t="s">
        <v>101</v>
      </c>
      <c r="R1026" t="s">
        <v>5232</v>
      </c>
      <c r="S1026" t="s">
        <v>5233</v>
      </c>
      <c r="T1026" t="s">
        <v>42</v>
      </c>
      <c r="U1026">
        <v>322</v>
      </c>
      <c r="V1026">
        <v>545</v>
      </c>
      <c r="W1026">
        <v>224</v>
      </c>
      <c r="X1026" t="s">
        <v>116</v>
      </c>
      <c r="Y1026" t="s">
        <v>5234</v>
      </c>
      <c r="Z1026" t="s">
        <v>368</v>
      </c>
      <c r="AA1026" t="s">
        <v>5235</v>
      </c>
      <c r="AB1026" t="s">
        <v>5236</v>
      </c>
      <c r="AC1026" t="s">
        <v>339</v>
      </c>
      <c r="AD1026" t="s">
        <v>101</v>
      </c>
      <c r="AE1026">
        <v>3474</v>
      </c>
      <c r="AF1026" t="s">
        <v>681</v>
      </c>
    </row>
    <row r="1027" spans="1:34" x14ac:dyDescent="0.75">
      <c r="A1027" s="22" t="s">
        <v>6051</v>
      </c>
      <c r="B1027" t="s">
        <v>5251</v>
      </c>
      <c r="C1027" t="s">
        <v>104</v>
      </c>
      <c r="D1027" t="s">
        <v>105</v>
      </c>
      <c r="E1027" t="s">
        <v>106</v>
      </c>
      <c r="F1027" t="s">
        <v>5252</v>
      </c>
      <c r="G1027" s="1" t="str">
        <f>HYPERLINK("https://homd.org/jbrowse/?data=homd_V11.02_phage_1.2%2FGCA_900618145.1&amp;loc=GCA_900618145.1%7CUYIQ01000001.1%3A1567991..1575634&amp;tracks=prokka,prokka_ncrna,ncbi,ncbi_ncrna,panggolin,cenote,genomad&amp;highlight=","Open JBrowse")</f>
        <v>Open JBrowse</v>
      </c>
      <c r="H1027">
        <v>1570991</v>
      </c>
      <c r="I1027">
        <v>1572634</v>
      </c>
      <c r="J1027" t="s">
        <v>5253</v>
      </c>
      <c r="K1027" t="s">
        <v>109</v>
      </c>
      <c r="L1027" t="s">
        <v>110</v>
      </c>
      <c r="M1027" t="s">
        <v>111</v>
      </c>
      <c r="N1027" t="s">
        <v>112</v>
      </c>
      <c r="O1027">
        <v>3</v>
      </c>
      <c r="P1027" t="s">
        <v>113</v>
      </c>
      <c r="Q1027" t="s">
        <v>101</v>
      </c>
      <c r="R1027" t="s">
        <v>5254</v>
      </c>
      <c r="S1027" t="s">
        <v>115</v>
      </c>
      <c r="T1027" t="s">
        <v>42</v>
      </c>
      <c r="U1027">
        <v>322</v>
      </c>
      <c r="V1027">
        <v>546</v>
      </c>
      <c r="W1027">
        <v>225</v>
      </c>
      <c r="X1027" t="s">
        <v>116</v>
      </c>
      <c r="Y1027" t="s">
        <v>5255</v>
      </c>
      <c r="Z1027" t="s">
        <v>743</v>
      </c>
      <c r="AA1027" t="s">
        <v>5256</v>
      </c>
      <c r="AB1027" t="s">
        <v>5257</v>
      </c>
      <c r="AC1027" t="s">
        <v>68</v>
      </c>
      <c r="AD1027" t="s">
        <v>69</v>
      </c>
      <c r="AE1027">
        <v>3249</v>
      </c>
      <c r="AF1027" t="s">
        <v>804</v>
      </c>
    </row>
    <row r="1028" spans="1:34" x14ac:dyDescent="0.75">
      <c r="A1028" s="22" t="s">
        <v>6051</v>
      </c>
      <c r="B1028" t="s">
        <v>5270</v>
      </c>
      <c r="C1028" t="s">
        <v>104</v>
      </c>
      <c r="D1028" t="s">
        <v>329</v>
      </c>
      <c r="E1028" t="s">
        <v>330</v>
      </c>
      <c r="F1028" t="s">
        <v>5271</v>
      </c>
      <c r="G1028" s="1" t="str">
        <f>HYPERLINK("https://homd.org/jbrowse/?data=homd_V11.02_phage_1.2%2FGCA_900638125.1&amp;loc=GCA_900638125.1%7CLR134489.1%3A2009353..2016996&amp;tracks=prokka,prokka_ncrna,ncbi,ncbi_ncrna,panggolin,cenote,genomad&amp;highlight=","Open JBrowse")</f>
        <v>Open JBrowse</v>
      </c>
      <c r="H1028">
        <v>2012353</v>
      </c>
      <c r="I1028">
        <v>2013996</v>
      </c>
      <c r="J1028" t="s">
        <v>5274</v>
      </c>
      <c r="K1028" t="s">
        <v>109</v>
      </c>
      <c r="L1028" t="s">
        <v>110</v>
      </c>
      <c r="M1028" t="s">
        <v>111</v>
      </c>
      <c r="N1028" t="s">
        <v>112</v>
      </c>
      <c r="O1028">
        <v>3</v>
      </c>
      <c r="P1028" t="s">
        <v>113</v>
      </c>
      <c r="Q1028" t="s">
        <v>101</v>
      </c>
      <c r="R1028" t="s">
        <v>5273</v>
      </c>
      <c r="S1028" t="s">
        <v>115</v>
      </c>
      <c r="T1028" t="s">
        <v>42</v>
      </c>
      <c r="U1028">
        <v>322</v>
      </c>
      <c r="V1028">
        <v>546</v>
      </c>
      <c r="W1028">
        <v>225</v>
      </c>
      <c r="X1028" t="s">
        <v>116</v>
      </c>
      <c r="Y1028" t="s">
        <v>5275</v>
      </c>
      <c r="Z1028" t="s">
        <v>824</v>
      </c>
      <c r="AA1028" t="s">
        <v>5276</v>
      </c>
      <c r="AB1028" t="s">
        <v>5277</v>
      </c>
      <c r="AC1028" t="s">
        <v>68</v>
      </c>
      <c r="AD1028" t="s">
        <v>69</v>
      </c>
      <c r="AE1028">
        <v>3166</v>
      </c>
      <c r="AF1028" t="s">
        <v>5278</v>
      </c>
    </row>
    <row r="1029" spans="1:34" x14ac:dyDescent="0.75">
      <c r="A1029" s="22" t="s">
        <v>6051</v>
      </c>
      <c r="B1029" t="s">
        <v>5383</v>
      </c>
      <c r="C1029" t="s">
        <v>104</v>
      </c>
      <c r="D1029" t="s">
        <v>105</v>
      </c>
      <c r="E1029" t="s">
        <v>106</v>
      </c>
      <c r="F1029" t="s">
        <v>5384</v>
      </c>
      <c r="G1029" s="1" t="str">
        <f>HYPERLINK("https://homd.org/jbrowse/?data=homd_V11.02_phage_1.2%2FGCA_902482725.1&amp;loc=GCA_902482725.1%7CCABTAG010000052.1%3A8949..16592&amp;tracks=prokka,prokka_ncrna,ncbi,ncbi_ncrna,panggolin,cenote,genomad&amp;highlight=","Open JBrowse")</f>
        <v>Open JBrowse</v>
      </c>
      <c r="H1029">
        <v>11949</v>
      </c>
      <c r="I1029">
        <v>13592</v>
      </c>
      <c r="J1029" t="s">
        <v>5385</v>
      </c>
      <c r="K1029" t="s">
        <v>109</v>
      </c>
      <c r="L1029" t="s">
        <v>110</v>
      </c>
      <c r="M1029" t="s">
        <v>333</v>
      </c>
      <c r="N1029" t="s">
        <v>112</v>
      </c>
      <c r="O1029">
        <v>3</v>
      </c>
      <c r="P1029" t="s">
        <v>113</v>
      </c>
      <c r="Q1029" t="s">
        <v>101</v>
      </c>
      <c r="R1029" t="s">
        <v>5386</v>
      </c>
      <c r="S1029" t="s">
        <v>115</v>
      </c>
      <c r="T1029" t="s">
        <v>42</v>
      </c>
      <c r="U1029">
        <v>322</v>
      </c>
      <c r="V1029">
        <v>546</v>
      </c>
      <c r="W1029">
        <v>225</v>
      </c>
      <c r="X1029" t="s">
        <v>116</v>
      </c>
      <c r="Y1029" t="s">
        <v>5387</v>
      </c>
      <c r="Z1029" t="s">
        <v>381</v>
      </c>
      <c r="AA1029" t="s">
        <v>5388</v>
      </c>
      <c r="AB1029" t="s">
        <v>5389</v>
      </c>
      <c r="AC1029" t="s">
        <v>339</v>
      </c>
      <c r="AD1029" t="s">
        <v>101</v>
      </c>
      <c r="AE1029">
        <v>3612</v>
      </c>
      <c r="AF1029" t="s">
        <v>2803</v>
      </c>
    </row>
    <row r="1030" spans="1:34" x14ac:dyDescent="0.75">
      <c r="A1030" s="22" t="s">
        <v>6051</v>
      </c>
      <c r="B1030" t="s">
        <v>5431</v>
      </c>
      <c r="C1030" t="s">
        <v>104</v>
      </c>
      <c r="D1030" t="s">
        <v>105</v>
      </c>
      <c r="E1030" t="s">
        <v>106</v>
      </c>
      <c r="F1030" t="s">
        <v>5432</v>
      </c>
      <c r="G1030" s="1" t="str">
        <f>HYPERLINK("https://homd.org/jbrowse/?data=homd_V11.02_phage_1.2%2FGCA_905371985.1&amp;loc=GCA_905371985.1%7CCAJPNJ010000052.1%3A9067..16710&amp;tracks=prokka,prokka_ncrna,ncbi,ncbi_ncrna,panggolin,cenote,genomad&amp;highlight=","Open JBrowse")</f>
        <v>Open JBrowse</v>
      </c>
      <c r="H1030">
        <v>12067</v>
      </c>
      <c r="I1030">
        <v>13710</v>
      </c>
      <c r="J1030" t="s">
        <v>5433</v>
      </c>
      <c r="K1030" t="s">
        <v>109</v>
      </c>
      <c r="L1030" t="s">
        <v>110</v>
      </c>
      <c r="M1030" t="s">
        <v>333</v>
      </c>
      <c r="N1030" t="s">
        <v>112</v>
      </c>
      <c r="O1030">
        <v>3</v>
      </c>
      <c r="P1030" t="s">
        <v>113</v>
      </c>
      <c r="Q1030" t="s">
        <v>101</v>
      </c>
      <c r="R1030" t="s">
        <v>5434</v>
      </c>
      <c r="S1030" t="s">
        <v>115</v>
      </c>
      <c r="T1030" t="s">
        <v>42</v>
      </c>
      <c r="U1030">
        <v>322</v>
      </c>
      <c r="V1030">
        <v>546</v>
      </c>
      <c r="W1030">
        <v>225</v>
      </c>
      <c r="X1030" t="s">
        <v>116</v>
      </c>
      <c r="Y1030" t="s">
        <v>5435</v>
      </c>
      <c r="Z1030" t="s">
        <v>530</v>
      </c>
      <c r="AA1030" t="s">
        <v>5436</v>
      </c>
      <c r="AB1030" t="s">
        <v>5437</v>
      </c>
      <c r="AC1030" t="s">
        <v>339</v>
      </c>
      <c r="AD1030" t="s">
        <v>101</v>
      </c>
      <c r="AE1030">
        <v>3479</v>
      </c>
      <c r="AF1030" t="s">
        <v>656</v>
      </c>
    </row>
    <row r="1031" spans="1:34" x14ac:dyDescent="0.75">
      <c r="A1031" s="22" t="s">
        <v>6051</v>
      </c>
      <c r="B1031" t="s">
        <v>5492</v>
      </c>
      <c r="C1031" t="s">
        <v>104</v>
      </c>
      <c r="D1031" t="s">
        <v>329</v>
      </c>
      <c r="E1031" t="s">
        <v>330</v>
      </c>
      <c r="F1031" t="s">
        <v>5502</v>
      </c>
      <c r="G1031" s="1" t="str">
        <f>HYPERLINK("https://homd.org/jbrowse/?data=homd_V11.02_phage_1.2%2FGCA_905373265.1&amp;loc=GCA_905373265.1%7CCAJPRX010000025.1%3A1..7126&amp;tracks=prokka,prokka_ncrna,ncbi,ncbi_ncrna,panggolin,cenote,genomad&amp;highlight=","Open JBrowse")</f>
        <v>Open JBrowse</v>
      </c>
      <c r="H1031">
        <v>2483</v>
      </c>
      <c r="I1031">
        <v>4126</v>
      </c>
      <c r="J1031" t="s">
        <v>5503</v>
      </c>
      <c r="K1031" t="s">
        <v>109</v>
      </c>
      <c r="L1031" t="s">
        <v>110</v>
      </c>
      <c r="M1031" t="s">
        <v>333</v>
      </c>
      <c r="N1031" t="s">
        <v>112</v>
      </c>
      <c r="O1031">
        <v>3</v>
      </c>
      <c r="P1031" t="s">
        <v>113</v>
      </c>
      <c r="Q1031" t="s">
        <v>101</v>
      </c>
      <c r="R1031" t="s">
        <v>5495</v>
      </c>
      <c r="S1031" t="s">
        <v>115</v>
      </c>
      <c r="T1031" t="s">
        <v>42</v>
      </c>
      <c r="U1031">
        <v>322</v>
      </c>
      <c r="V1031">
        <v>546</v>
      </c>
      <c r="W1031">
        <v>225</v>
      </c>
      <c r="X1031" t="s">
        <v>116</v>
      </c>
      <c r="Y1031" t="s">
        <v>5504</v>
      </c>
      <c r="Z1031" t="s">
        <v>530</v>
      </c>
      <c r="AA1031" t="s">
        <v>5505</v>
      </c>
      <c r="AB1031" t="s">
        <v>5506</v>
      </c>
      <c r="AC1031" t="s">
        <v>339</v>
      </c>
      <c r="AD1031" t="s">
        <v>101</v>
      </c>
      <c r="AE1031">
        <v>3472</v>
      </c>
      <c r="AF1031" t="s">
        <v>1864</v>
      </c>
    </row>
    <row r="1032" spans="1:34" x14ac:dyDescent="0.75">
      <c r="A1032" s="22" t="s">
        <v>6051</v>
      </c>
      <c r="B1032" t="s">
        <v>5709</v>
      </c>
      <c r="C1032" t="s">
        <v>104</v>
      </c>
      <c r="D1032" t="s">
        <v>329</v>
      </c>
      <c r="E1032" t="s">
        <v>330</v>
      </c>
      <c r="F1032" t="s">
        <v>5710</v>
      </c>
      <c r="G1032" s="1" t="str">
        <f>HYPERLINK("https://homd.org/jbrowse/?data=homd_V11.02_phage_1.2%2FGCA_937881025.1&amp;loc=GCA_937881025.1%7CCALGFZ010000002.1%3A54440..62083&amp;tracks=prokka,prokka_ncrna,ncbi,ncbi_ncrna,panggolin,cenote,genomad&amp;highlight=","Open JBrowse")</f>
        <v>Open JBrowse</v>
      </c>
      <c r="H1032">
        <v>57440</v>
      </c>
      <c r="I1032">
        <v>59083</v>
      </c>
      <c r="J1032" t="s">
        <v>5713</v>
      </c>
      <c r="K1032" t="s">
        <v>109</v>
      </c>
      <c r="L1032" t="s">
        <v>110</v>
      </c>
      <c r="M1032" t="s">
        <v>333</v>
      </c>
      <c r="N1032" t="s">
        <v>112</v>
      </c>
      <c r="O1032">
        <v>3</v>
      </c>
      <c r="P1032" t="s">
        <v>113</v>
      </c>
      <c r="Q1032" t="s">
        <v>101</v>
      </c>
      <c r="R1032" t="s">
        <v>5712</v>
      </c>
      <c r="S1032" t="s">
        <v>115</v>
      </c>
      <c r="T1032" t="s">
        <v>42</v>
      </c>
      <c r="U1032">
        <v>322</v>
      </c>
      <c r="V1032">
        <v>546</v>
      </c>
      <c r="W1032">
        <v>225</v>
      </c>
      <c r="X1032" t="s">
        <v>116</v>
      </c>
      <c r="Y1032" t="s">
        <v>5714</v>
      </c>
      <c r="Z1032" t="s">
        <v>368</v>
      </c>
      <c r="AA1032" t="s">
        <v>5715</v>
      </c>
      <c r="AB1032" t="s">
        <v>5716</v>
      </c>
      <c r="AC1032" t="s">
        <v>339</v>
      </c>
      <c r="AD1032" t="s">
        <v>101</v>
      </c>
      <c r="AE1032">
        <v>3460</v>
      </c>
      <c r="AF1032" t="s">
        <v>1864</v>
      </c>
    </row>
    <row r="1033" spans="1:34" x14ac:dyDescent="0.75">
      <c r="A1033" s="22" t="s">
        <v>6051</v>
      </c>
      <c r="B1033" t="s">
        <v>5770</v>
      </c>
      <c r="C1033" t="s">
        <v>104</v>
      </c>
      <c r="D1033" t="s">
        <v>105</v>
      </c>
      <c r="E1033" t="s">
        <v>106</v>
      </c>
      <c r="F1033" t="s">
        <v>5775</v>
      </c>
      <c r="G1033" s="1" t="str">
        <f>HYPERLINK("https://homd.org/jbrowse/?data=homd_V11.02_phage_1.2%2FGCA_937926985.1&amp;loc=GCA_937926985.1%7CCALBCK010000143.1%3A8785..16428&amp;tracks=prokka,prokka_ncrna,ncbi,ncbi_ncrna,panggolin,cenote,genomad&amp;highlight=","Open JBrowse")</f>
        <v>Open JBrowse</v>
      </c>
      <c r="H1033">
        <v>11785</v>
      </c>
      <c r="I1033">
        <v>13428</v>
      </c>
      <c r="J1033" t="s">
        <v>5776</v>
      </c>
      <c r="K1033" t="s">
        <v>109</v>
      </c>
      <c r="L1033" t="s">
        <v>110</v>
      </c>
      <c r="M1033" t="s">
        <v>333</v>
      </c>
      <c r="N1033" t="s">
        <v>112</v>
      </c>
      <c r="O1033">
        <v>3</v>
      </c>
      <c r="P1033" t="s">
        <v>113</v>
      </c>
      <c r="Q1033" t="s">
        <v>101</v>
      </c>
      <c r="R1033" t="s">
        <v>5773</v>
      </c>
      <c r="S1033" t="s">
        <v>115</v>
      </c>
      <c r="T1033" t="s">
        <v>42</v>
      </c>
      <c r="U1033">
        <v>322</v>
      </c>
      <c r="V1033">
        <v>546</v>
      </c>
      <c r="W1033">
        <v>225</v>
      </c>
      <c r="X1033" t="s">
        <v>116</v>
      </c>
      <c r="Y1033" t="s">
        <v>5777</v>
      </c>
      <c r="Z1033" t="s">
        <v>530</v>
      </c>
      <c r="AA1033" t="s">
        <v>5778</v>
      </c>
      <c r="AB1033" t="s">
        <v>5779</v>
      </c>
      <c r="AC1033" t="s">
        <v>339</v>
      </c>
      <c r="AD1033" t="s">
        <v>101</v>
      </c>
      <c r="AE1033">
        <v>3601</v>
      </c>
      <c r="AF1033" t="s">
        <v>2803</v>
      </c>
    </row>
    <row r="1034" spans="1:34" x14ac:dyDescent="0.75">
      <c r="A1034" s="22" t="s">
        <v>6051</v>
      </c>
      <c r="B1034" t="s">
        <v>5914</v>
      </c>
      <c r="C1034" t="s">
        <v>104</v>
      </c>
      <c r="D1034" t="s">
        <v>814</v>
      </c>
      <c r="E1034" t="s">
        <v>815</v>
      </c>
      <c r="F1034" t="s">
        <v>5919</v>
      </c>
      <c r="G1034" s="1" t="str">
        <f>HYPERLINK("https://homd.org/jbrowse/?data=homd_V11.02_phage_1.2%2FGCA_938045645.1&amp;loc=GCA_938045645.1%7CCALIAT010000112.1%3A1..7502&amp;tracks=prokka,prokka_ncrna,ncbi,ncbi_ncrna,panggolin,cenote,genomad&amp;highlight=","Open JBrowse")</f>
        <v>Open JBrowse</v>
      </c>
      <c r="H1034">
        <v>2859</v>
      </c>
      <c r="I1034">
        <v>4502</v>
      </c>
      <c r="J1034" t="s">
        <v>5920</v>
      </c>
      <c r="K1034" t="s">
        <v>109</v>
      </c>
      <c r="L1034" t="s">
        <v>110</v>
      </c>
      <c r="M1034" t="s">
        <v>111</v>
      </c>
      <c r="N1034" t="s">
        <v>112</v>
      </c>
      <c r="O1034">
        <v>3</v>
      </c>
      <c r="P1034" t="s">
        <v>113</v>
      </c>
      <c r="Q1034" t="s">
        <v>101</v>
      </c>
      <c r="R1034" t="s">
        <v>5918</v>
      </c>
      <c r="S1034" t="s">
        <v>115</v>
      </c>
      <c r="T1034" t="s">
        <v>42</v>
      </c>
      <c r="U1034">
        <v>322</v>
      </c>
      <c r="V1034">
        <v>546</v>
      </c>
      <c r="W1034">
        <v>225</v>
      </c>
      <c r="X1034" t="s">
        <v>116</v>
      </c>
      <c r="Y1034" t="s">
        <v>5921</v>
      </c>
      <c r="Z1034" t="s">
        <v>743</v>
      </c>
      <c r="AA1034" t="s">
        <v>5922</v>
      </c>
      <c r="AB1034" t="s">
        <v>5923</v>
      </c>
      <c r="AC1034" t="s">
        <v>339</v>
      </c>
      <c r="AD1034" t="s">
        <v>101</v>
      </c>
      <c r="AE1034">
        <v>3478</v>
      </c>
      <c r="AF1034" t="s">
        <v>681</v>
      </c>
    </row>
    <row r="1035" spans="1:34" x14ac:dyDescent="0.75">
      <c r="A1035" s="22" t="s">
        <v>6051</v>
      </c>
      <c r="B1035" t="s">
        <v>1533</v>
      </c>
      <c r="C1035" t="s">
        <v>104</v>
      </c>
      <c r="D1035" t="s">
        <v>1534</v>
      </c>
      <c r="E1035" t="s">
        <v>1535</v>
      </c>
      <c r="F1035" t="s">
        <v>1536</v>
      </c>
      <c r="G1035" s="1" t="str">
        <f>HYPERLINK("https://homd.org/jbrowse/?data=homd_V11.02_phage_1.2%2FGCA_001553545.1&amp;loc=GCA_001553545.1%7CCP014227.1%3A856933..864600&amp;tracks=prokka,prokka_ncrna,ncbi,ncbi_ncrna,panggolin,cenote,genomad&amp;highlight=","Open JBrowse")</f>
        <v>Open JBrowse</v>
      </c>
      <c r="H1035">
        <v>859933</v>
      </c>
      <c r="I1035">
        <v>861600</v>
      </c>
      <c r="J1035" t="s">
        <v>1544</v>
      </c>
      <c r="K1035" t="s">
        <v>109</v>
      </c>
      <c r="L1035" t="s">
        <v>1545</v>
      </c>
      <c r="M1035" t="s">
        <v>1546</v>
      </c>
      <c r="N1035" t="s">
        <v>112</v>
      </c>
      <c r="O1035">
        <v>3</v>
      </c>
      <c r="P1035" t="s">
        <v>113</v>
      </c>
      <c r="Q1035" t="s">
        <v>101</v>
      </c>
      <c r="R1035" t="s">
        <v>1540</v>
      </c>
      <c r="S1035" t="s">
        <v>1547</v>
      </c>
      <c r="T1035" t="s">
        <v>42</v>
      </c>
      <c r="U1035">
        <v>332</v>
      </c>
      <c r="V1035">
        <v>554</v>
      </c>
      <c r="W1035">
        <v>223</v>
      </c>
      <c r="X1035" t="s">
        <v>116</v>
      </c>
      <c r="Y1035" t="s">
        <v>1548</v>
      </c>
      <c r="Z1035" t="s">
        <v>292</v>
      </c>
      <c r="AA1035" t="s">
        <v>1549</v>
      </c>
      <c r="AB1035" t="s">
        <v>1550</v>
      </c>
      <c r="AC1035" t="s">
        <v>1551</v>
      </c>
      <c r="AD1035" t="s">
        <v>101</v>
      </c>
      <c r="AE1035">
        <v>3308</v>
      </c>
      <c r="AF1035" t="s">
        <v>1552</v>
      </c>
      <c r="AG1035" t="s">
        <v>101</v>
      </c>
      <c r="AH1035">
        <v>2</v>
      </c>
    </row>
    <row r="1036" spans="1:34" x14ac:dyDescent="0.75">
      <c r="A1036" s="22" t="s">
        <v>6051</v>
      </c>
      <c r="B1036" t="s">
        <v>5135</v>
      </c>
      <c r="C1036" t="s">
        <v>104</v>
      </c>
      <c r="D1036" t="s">
        <v>1534</v>
      </c>
      <c r="E1036" t="s">
        <v>1535</v>
      </c>
      <c r="F1036" t="s">
        <v>5136</v>
      </c>
      <c r="G1036" s="1" t="str">
        <f>HYPERLINK("https://homd.org/jbrowse/?data=homd_V11.02_phage_1.2%2FGCA_900115315.1&amp;loc=GCA_900115315.1%7CFOVX01000002.1%3A13116..20783&amp;tracks=prokka,prokka_ncrna,ncbi,ncbi_ncrna,panggolin,cenote,genomad&amp;highlight=","Open JBrowse")</f>
        <v>Open JBrowse</v>
      </c>
      <c r="H1036">
        <v>16116</v>
      </c>
      <c r="I1036">
        <v>17783</v>
      </c>
      <c r="J1036" t="s">
        <v>5137</v>
      </c>
      <c r="K1036" t="s">
        <v>109</v>
      </c>
      <c r="L1036" t="s">
        <v>1545</v>
      </c>
      <c r="M1036" t="s">
        <v>1546</v>
      </c>
      <c r="N1036" t="s">
        <v>112</v>
      </c>
      <c r="O1036">
        <v>3</v>
      </c>
      <c r="P1036" t="s">
        <v>113</v>
      </c>
      <c r="Q1036" t="s">
        <v>101</v>
      </c>
      <c r="R1036" t="s">
        <v>5138</v>
      </c>
      <c r="S1036" t="s">
        <v>1547</v>
      </c>
      <c r="T1036" t="s">
        <v>42</v>
      </c>
      <c r="U1036">
        <v>332</v>
      </c>
      <c r="V1036">
        <v>554</v>
      </c>
      <c r="W1036">
        <v>223</v>
      </c>
      <c r="X1036" t="s">
        <v>116</v>
      </c>
      <c r="Y1036" t="s">
        <v>5139</v>
      </c>
      <c r="Z1036" t="s">
        <v>1334</v>
      </c>
      <c r="AA1036" t="s">
        <v>1549</v>
      </c>
      <c r="AB1036" t="s">
        <v>5140</v>
      </c>
      <c r="AC1036" t="s">
        <v>1551</v>
      </c>
      <c r="AD1036" t="s">
        <v>101</v>
      </c>
      <c r="AE1036">
        <v>3308</v>
      </c>
      <c r="AF1036" t="s">
        <v>1552</v>
      </c>
      <c r="AG1036" t="s">
        <v>101</v>
      </c>
      <c r="AH1036">
        <v>2</v>
      </c>
    </row>
    <row r="1037" spans="1:34" x14ac:dyDescent="0.75">
      <c r="A1037" s="22" t="s">
        <v>6051</v>
      </c>
      <c r="B1037" t="s">
        <v>5154</v>
      </c>
      <c r="C1037" t="s">
        <v>104</v>
      </c>
      <c r="D1037" t="s">
        <v>1534</v>
      </c>
      <c r="E1037" t="s">
        <v>1535</v>
      </c>
      <c r="F1037" t="s">
        <v>5155</v>
      </c>
      <c r="G1037" s="1" t="str">
        <f>HYPERLINK("https://homd.org/jbrowse/?data=homd_V11.02_phage_1.2%2FGCA_900187255.1&amp;loc=GCA_900187255.1%7CLT906449.1%3A999731..1007398&amp;tracks=prokka,prokka_ncrna,ncbi,ncbi_ncrna,panggolin,cenote,genomad&amp;highlight=","Open JBrowse")</f>
        <v>Open JBrowse</v>
      </c>
      <c r="H1037">
        <v>1002731</v>
      </c>
      <c r="I1037">
        <v>1004398</v>
      </c>
      <c r="J1037" t="s">
        <v>5159</v>
      </c>
      <c r="K1037" t="s">
        <v>109</v>
      </c>
      <c r="L1037" t="s">
        <v>1545</v>
      </c>
      <c r="M1037" t="s">
        <v>1546</v>
      </c>
      <c r="N1037" t="s">
        <v>112</v>
      </c>
      <c r="O1037">
        <v>3</v>
      </c>
      <c r="P1037" t="s">
        <v>113</v>
      </c>
      <c r="Q1037" t="s">
        <v>101</v>
      </c>
      <c r="R1037" t="s">
        <v>5157</v>
      </c>
      <c r="S1037" t="s">
        <v>1547</v>
      </c>
      <c r="T1037" t="s">
        <v>42</v>
      </c>
      <c r="U1037">
        <v>332</v>
      </c>
      <c r="V1037">
        <v>554</v>
      </c>
      <c r="W1037">
        <v>223</v>
      </c>
      <c r="X1037" t="s">
        <v>116</v>
      </c>
      <c r="Y1037" t="s">
        <v>5160</v>
      </c>
      <c r="Z1037" t="s">
        <v>292</v>
      </c>
      <c r="AA1037" t="s">
        <v>5161</v>
      </c>
      <c r="AB1037" t="s">
        <v>5162</v>
      </c>
      <c r="AC1037" t="s">
        <v>1551</v>
      </c>
      <c r="AD1037" t="s">
        <v>101</v>
      </c>
      <c r="AE1037">
        <v>3308</v>
      </c>
      <c r="AF1037" t="s">
        <v>5163</v>
      </c>
      <c r="AG1037" t="s">
        <v>101</v>
      </c>
      <c r="AH1037">
        <v>2</v>
      </c>
    </row>
    <row r="1038" spans="1:34" x14ac:dyDescent="0.75">
      <c r="A1038" s="22" t="s">
        <v>6051</v>
      </c>
      <c r="B1038" t="s">
        <v>5061</v>
      </c>
      <c r="C1038" t="s">
        <v>104</v>
      </c>
      <c r="D1038" t="s">
        <v>5062</v>
      </c>
      <c r="E1038" t="s">
        <v>784</v>
      </c>
      <c r="F1038" t="s">
        <v>5063</v>
      </c>
      <c r="G1038" s="1" t="str">
        <f>HYPERLINK("https://homd.org/jbrowse/?data=homd_V11.02_phage_1.2%2FGCA_900095835.1&amp;loc=GCA_900095835.1%7CLT608321.1%3A2136593..2144533&amp;tracks=prokka,prokka_ncrna,ncbi,ncbi_ncrna,panggolin,cenote,genomad&amp;highlight=","Open JBrowse")</f>
        <v>Open JBrowse</v>
      </c>
      <c r="H1038">
        <v>2139593</v>
      </c>
      <c r="I1038">
        <v>2141533</v>
      </c>
      <c r="J1038" t="s">
        <v>5064</v>
      </c>
      <c r="K1038" t="s">
        <v>59</v>
      </c>
      <c r="L1038" t="s">
        <v>5065</v>
      </c>
      <c r="M1038" t="s">
        <v>5066</v>
      </c>
      <c r="N1038" t="s">
        <v>59</v>
      </c>
      <c r="O1038">
        <v>2</v>
      </c>
      <c r="P1038" t="s">
        <v>42</v>
      </c>
      <c r="Q1038" t="s">
        <v>59</v>
      </c>
      <c r="R1038" t="s">
        <v>5067</v>
      </c>
      <c r="S1038" t="s">
        <v>5065</v>
      </c>
      <c r="T1038" t="s">
        <v>42</v>
      </c>
      <c r="U1038">
        <v>344</v>
      </c>
      <c r="V1038">
        <v>579</v>
      </c>
      <c r="W1038">
        <v>236</v>
      </c>
      <c r="X1038" t="s">
        <v>160</v>
      </c>
      <c r="Y1038" t="s">
        <v>5068</v>
      </c>
      <c r="Z1038" t="s">
        <v>1450</v>
      </c>
      <c r="AA1038" t="s">
        <v>5069</v>
      </c>
      <c r="AB1038" t="s">
        <v>5070</v>
      </c>
      <c r="AC1038" t="s">
        <v>793</v>
      </c>
      <c r="AD1038" t="s">
        <v>794</v>
      </c>
      <c r="AE1038">
        <v>609</v>
      </c>
      <c r="AF1038" t="s">
        <v>795</v>
      </c>
      <c r="AG1038" t="s">
        <v>796</v>
      </c>
      <c r="AH1038">
        <v>2</v>
      </c>
    </row>
    <row r="1039" spans="1:34" x14ac:dyDescent="0.75">
      <c r="A1039" s="22" t="s">
        <v>6051</v>
      </c>
      <c r="B1039" t="s">
        <v>5332</v>
      </c>
      <c r="C1039" t="s">
        <v>104</v>
      </c>
      <c r="D1039" t="s">
        <v>5062</v>
      </c>
      <c r="E1039" t="s">
        <v>784</v>
      </c>
      <c r="F1039" t="s">
        <v>5333</v>
      </c>
      <c r="G1039" s="1" t="str">
        <f>HYPERLINK("https://homd.org/jbrowse/?data=homd_V11.02_phage_1.2%2FGCA_902376145.1&amp;loc=GCA_902376145.1%7CCABKWU010000006.1%3A2136593..2144533&amp;tracks=prokka,prokka_ncrna,ncbi,ncbi_ncrna,panggolin,cenote,genomad&amp;highlight=","Open JBrowse")</f>
        <v>Open JBrowse</v>
      </c>
      <c r="H1039">
        <v>2139593</v>
      </c>
      <c r="I1039">
        <v>2141533</v>
      </c>
      <c r="J1039" t="s">
        <v>5334</v>
      </c>
      <c r="K1039" t="s">
        <v>59</v>
      </c>
      <c r="L1039" t="s">
        <v>5065</v>
      </c>
      <c r="M1039" t="s">
        <v>5066</v>
      </c>
      <c r="N1039" t="s">
        <v>59</v>
      </c>
      <c r="O1039">
        <v>2</v>
      </c>
      <c r="P1039" t="s">
        <v>42</v>
      </c>
      <c r="Q1039" t="s">
        <v>59</v>
      </c>
      <c r="R1039" t="s">
        <v>5335</v>
      </c>
      <c r="S1039" t="s">
        <v>5065</v>
      </c>
      <c r="T1039" t="s">
        <v>42</v>
      </c>
      <c r="U1039">
        <v>344</v>
      </c>
      <c r="V1039">
        <v>579</v>
      </c>
      <c r="W1039">
        <v>236</v>
      </c>
      <c r="X1039" t="s">
        <v>160</v>
      </c>
      <c r="Y1039" t="s">
        <v>5336</v>
      </c>
      <c r="Z1039" t="s">
        <v>1450</v>
      </c>
      <c r="AA1039" t="s">
        <v>5069</v>
      </c>
      <c r="AB1039" t="s">
        <v>5337</v>
      </c>
      <c r="AC1039" t="s">
        <v>793</v>
      </c>
      <c r="AD1039" t="s">
        <v>794</v>
      </c>
      <c r="AE1039">
        <v>609</v>
      </c>
      <c r="AF1039" t="s">
        <v>795</v>
      </c>
      <c r="AG1039" t="s">
        <v>796</v>
      </c>
      <c r="AH1039">
        <v>2</v>
      </c>
    </row>
    <row r="1040" spans="1:34" x14ac:dyDescent="0.75">
      <c r="A1040" s="22" t="s">
        <v>6051</v>
      </c>
      <c r="B1040" t="s">
        <v>5643</v>
      </c>
      <c r="C1040" t="s">
        <v>104</v>
      </c>
      <c r="D1040" t="s">
        <v>5062</v>
      </c>
      <c r="E1040" t="s">
        <v>784</v>
      </c>
      <c r="F1040" t="s">
        <v>5644</v>
      </c>
      <c r="G1040" s="1" t="str">
        <f>HYPERLINK("https://homd.org/jbrowse/?data=homd_V11.02_phage_1.2%2FGCA_916720475.1&amp;loc=GCA_916720475.1%7CCAKARG010000010.1%3A53124..61064&amp;tracks=prokka,prokka_ncrna,ncbi,ncbi_ncrna,panggolin,cenote,genomad&amp;highlight=","Open JBrowse")</f>
        <v>Open JBrowse</v>
      </c>
      <c r="H1040">
        <v>56124</v>
      </c>
      <c r="I1040">
        <v>58064</v>
      </c>
      <c r="J1040" t="s">
        <v>5645</v>
      </c>
      <c r="K1040" t="s">
        <v>59</v>
      </c>
      <c r="L1040" t="s">
        <v>5065</v>
      </c>
      <c r="M1040" t="s">
        <v>5066</v>
      </c>
      <c r="N1040" t="s">
        <v>59</v>
      </c>
      <c r="O1040">
        <v>2</v>
      </c>
      <c r="P1040" t="s">
        <v>42</v>
      </c>
      <c r="Q1040" t="s">
        <v>59</v>
      </c>
      <c r="R1040" t="s">
        <v>5646</v>
      </c>
      <c r="S1040" t="s">
        <v>5065</v>
      </c>
      <c r="T1040" t="s">
        <v>42</v>
      </c>
      <c r="U1040">
        <v>344</v>
      </c>
      <c r="V1040">
        <v>579</v>
      </c>
      <c r="W1040">
        <v>236</v>
      </c>
      <c r="X1040" t="s">
        <v>160</v>
      </c>
      <c r="Y1040" t="s">
        <v>5647</v>
      </c>
      <c r="Z1040" t="s">
        <v>892</v>
      </c>
      <c r="AA1040" t="s">
        <v>5648</v>
      </c>
      <c r="AB1040" t="s">
        <v>5649</v>
      </c>
      <c r="AC1040" t="s">
        <v>793</v>
      </c>
      <c r="AD1040" t="s">
        <v>794</v>
      </c>
      <c r="AE1040">
        <v>601</v>
      </c>
      <c r="AF1040" t="s">
        <v>795</v>
      </c>
      <c r="AG1040" t="s">
        <v>796</v>
      </c>
      <c r="AH1040">
        <v>2</v>
      </c>
    </row>
    <row r="1041" spans="1:34" x14ac:dyDescent="0.75">
      <c r="A1041" s="22" t="s">
        <v>6051</v>
      </c>
      <c r="B1041" t="s">
        <v>5722</v>
      </c>
      <c r="C1041" t="s">
        <v>104</v>
      </c>
      <c r="D1041" t="s">
        <v>5062</v>
      </c>
      <c r="E1041" t="s">
        <v>784</v>
      </c>
      <c r="F1041" t="s">
        <v>5723</v>
      </c>
      <c r="G1041" s="1" t="str">
        <f>HYPERLINK("https://homd.org/jbrowse/?data=homd_V11.02_phage_1.2%2FGCA_937891685.1&amp;loc=GCA_937891685.1%7CCALAHJ010000038.1%3A57576..65516&amp;tracks=prokka,prokka_ncrna,ncbi,ncbi_ncrna,panggolin,cenote,genomad&amp;highlight=","Open JBrowse")</f>
        <v>Open JBrowse</v>
      </c>
      <c r="H1041">
        <v>60576</v>
      </c>
      <c r="I1041">
        <v>62516</v>
      </c>
      <c r="J1041" t="s">
        <v>5724</v>
      </c>
      <c r="K1041" t="s">
        <v>59</v>
      </c>
      <c r="L1041" t="s">
        <v>5065</v>
      </c>
      <c r="M1041" t="s">
        <v>5066</v>
      </c>
      <c r="N1041" t="s">
        <v>59</v>
      </c>
      <c r="O1041">
        <v>2</v>
      </c>
      <c r="P1041" t="s">
        <v>42</v>
      </c>
      <c r="Q1041" t="s">
        <v>59</v>
      </c>
      <c r="R1041" t="s">
        <v>5725</v>
      </c>
      <c r="S1041" t="s">
        <v>5065</v>
      </c>
      <c r="T1041" t="s">
        <v>42</v>
      </c>
      <c r="U1041">
        <v>344</v>
      </c>
      <c r="V1041">
        <v>579</v>
      </c>
      <c r="W1041">
        <v>236</v>
      </c>
      <c r="X1041" t="s">
        <v>160</v>
      </c>
      <c r="Y1041" t="s">
        <v>5726</v>
      </c>
      <c r="Z1041" t="s">
        <v>811</v>
      </c>
      <c r="AA1041" t="s">
        <v>5069</v>
      </c>
      <c r="AB1041" t="s">
        <v>5727</v>
      </c>
      <c r="AC1041" t="s">
        <v>793</v>
      </c>
      <c r="AD1041" t="s">
        <v>794</v>
      </c>
      <c r="AE1041">
        <v>607</v>
      </c>
      <c r="AF1041" t="s">
        <v>795</v>
      </c>
      <c r="AG1041" t="s">
        <v>796</v>
      </c>
      <c r="AH1041">
        <v>2</v>
      </c>
    </row>
    <row r="1042" spans="1:34" x14ac:dyDescent="0.75">
      <c r="A1042" s="22" t="s">
        <v>6051</v>
      </c>
      <c r="B1042" t="s">
        <v>566</v>
      </c>
      <c r="C1042" t="s">
        <v>104</v>
      </c>
      <c r="D1042" t="s">
        <v>567</v>
      </c>
      <c r="E1042" t="s">
        <v>568</v>
      </c>
      <c r="F1042" t="s">
        <v>569</v>
      </c>
      <c r="G1042" s="1" t="str">
        <f>HYPERLINK("https://homd.org/jbrowse/?data=homd_V11.02_phage_1.2%2FGCA_000234115.1&amp;loc=GCA_000234115.1%7CJH376829.1%3A150431..159649&amp;tracks=prokka,prokka_ncrna,ncbi,ncbi_ncrna,panggolin,cenote,genomad&amp;highlight=","Open JBrowse")</f>
        <v>Open JBrowse</v>
      </c>
      <c r="H1042">
        <v>153431</v>
      </c>
      <c r="I1042">
        <v>156649</v>
      </c>
      <c r="J1042" t="s">
        <v>570</v>
      </c>
      <c r="K1042" t="s">
        <v>59</v>
      </c>
      <c r="L1042" t="s">
        <v>571</v>
      </c>
      <c r="M1042" t="s">
        <v>572</v>
      </c>
      <c r="N1042" t="s">
        <v>573</v>
      </c>
      <c r="O1042">
        <v>3</v>
      </c>
      <c r="P1042" t="s">
        <v>42</v>
      </c>
      <c r="Q1042" t="s">
        <v>59</v>
      </c>
      <c r="R1042" t="s">
        <v>574</v>
      </c>
      <c r="S1042" t="s">
        <v>571</v>
      </c>
      <c r="T1042" t="s">
        <v>42</v>
      </c>
      <c r="U1042">
        <v>793</v>
      </c>
      <c r="V1042">
        <v>1025</v>
      </c>
      <c r="W1042">
        <v>233</v>
      </c>
      <c r="X1042" t="s">
        <v>160</v>
      </c>
      <c r="Y1042" t="s">
        <v>575</v>
      </c>
      <c r="Z1042" t="s">
        <v>458</v>
      </c>
      <c r="AA1042" t="s">
        <v>576</v>
      </c>
    </row>
    <row r="1043" spans="1:34" x14ac:dyDescent="0.75">
      <c r="A1043" s="22" t="s">
        <v>6051</v>
      </c>
      <c r="B1043" t="s">
        <v>2853</v>
      </c>
      <c r="C1043" t="s">
        <v>104</v>
      </c>
      <c r="D1043" t="s">
        <v>567</v>
      </c>
      <c r="E1043" t="s">
        <v>568</v>
      </c>
      <c r="F1043" t="s">
        <v>2854</v>
      </c>
      <c r="G1043" s="1" t="str">
        <f>HYPERLINK("https://homd.org/jbrowse/?data=homd_V11.02_phage_1.2%2FGCA_014195585.1&amp;loc=GCA_014195585.1%7CJACICA010000001.1%3A289256..298474&amp;tracks=prokka,prokka_ncrna,ncbi,ncbi_ncrna,panggolin,cenote,genomad&amp;highlight=","Open JBrowse")</f>
        <v>Open JBrowse</v>
      </c>
      <c r="H1043">
        <v>292256</v>
      </c>
      <c r="I1043">
        <v>295474</v>
      </c>
      <c r="J1043" t="s">
        <v>2855</v>
      </c>
      <c r="K1043" t="s">
        <v>59</v>
      </c>
      <c r="L1043" t="s">
        <v>571</v>
      </c>
      <c r="M1043" t="s">
        <v>572</v>
      </c>
      <c r="N1043" t="s">
        <v>573</v>
      </c>
      <c r="O1043">
        <v>3</v>
      </c>
      <c r="P1043" t="s">
        <v>42</v>
      </c>
      <c r="Q1043" t="s">
        <v>59</v>
      </c>
      <c r="R1043" t="s">
        <v>2856</v>
      </c>
      <c r="S1043" t="s">
        <v>571</v>
      </c>
      <c r="T1043" t="s">
        <v>42</v>
      </c>
      <c r="U1043">
        <v>793</v>
      </c>
      <c r="V1043">
        <v>1025</v>
      </c>
      <c r="W1043">
        <v>233</v>
      </c>
      <c r="X1043" t="s">
        <v>160</v>
      </c>
      <c r="Y1043" t="s">
        <v>2857</v>
      </c>
      <c r="Z1043" t="s">
        <v>586</v>
      </c>
      <c r="AA1043" t="s">
        <v>2858</v>
      </c>
    </row>
    <row r="1044" spans="1:34" x14ac:dyDescent="0.75">
      <c r="A1044" s="22" t="s">
        <v>6051</v>
      </c>
      <c r="B1044" t="s">
        <v>5262</v>
      </c>
      <c r="C1044" t="s">
        <v>104</v>
      </c>
      <c r="D1044" t="s">
        <v>223</v>
      </c>
      <c r="E1044" t="s">
        <v>224</v>
      </c>
      <c r="F1044" t="s">
        <v>5263</v>
      </c>
      <c r="G1044" s="1" t="str">
        <f>HYPERLINK("https://homd.org/jbrowse/?data=homd_V11.02_phage_1.2%2FGCA_900637305.1&amp;loc=GCA_900637305.1%7CLR134365.1%3A2607678..2622629&amp;tracks=prokka,prokka_ncrna,ncbi,ncbi_ncrna,panggolin,cenote,genomad&amp;highlight=","Open JBrowse")</f>
        <v>Open JBrowse</v>
      </c>
      <c r="H1044">
        <v>2610678</v>
      </c>
      <c r="I1044">
        <v>2619629</v>
      </c>
      <c r="J1044" t="s">
        <v>5264</v>
      </c>
      <c r="K1044" t="s">
        <v>231</v>
      </c>
      <c r="L1044" t="s">
        <v>5265</v>
      </c>
      <c r="M1044" t="s">
        <v>5266</v>
      </c>
      <c r="N1044" t="s">
        <v>227</v>
      </c>
      <c r="O1044">
        <v>3</v>
      </c>
      <c r="P1044" t="s">
        <v>234</v>
      </c>
      <c r="Q1044" t="s">
        <v>235</v>
      </c>
      <c r="R1044" t="s">
        <v>5267</v>
      </c>
      <c r="S1044" t="s">
        <v>5268</v>
      </c>
      <c r="T1044" t="s">
        <v>42</v>
      </c>
      <c r="U1044">
        <v>1462</v>
      </c>
      <c r="V1044">
        <v>1718</v>
      </c>
      <c r="W1044">
        <v>257</v>
      </c>
      <c r="X1044" t="s">
        <v>237</v>
      </c>
    </row>
    <row r="1045" spans="1:34" x14ac:dyDescent="0.75">
      <c r="A1045" s="22" t="s">
        <v>6051</v>
      </c>
      <c r="B1045" t="s">
        <v>5038</v>
      </c>
      <c r="C1045" t="s">
        <v>104</v>
      </c>
      <c r="D1045" t="s">
        <v>223</v>
      </c>
      <c r="E1045" t="s">
        <v>224</v>
      </c>
      <c r="F1045" t="s">
        <v>5042</v>
      </c>
      <c r="G1045" s="1" t="str">
        <f>HYPERLINK("https://homd.org/jbrowse/?data=homd_V11.02_phage_1.2%2FGCA_900079085.1&amp;loc=GCA_900079085.1%7CFKLO01000052.1%3A4806..19844&amp;tracks=prokka,prokka_ncrna,ncbi,ncbi_ncrna,panggolin,cenote,genomad&amp;highlight=","Open JBrowse")</f>
        <v>Open JBrowse</v>
      </c>
      <c r="H1045">
        <v>7806</v>
      </c>
      <c r="I1045">
        <v>16844</v>
      </c>
      <c r="J1045" t="s">
        <v>5043</v>
      </c>
      <c r="K1045" t="s">
        <v>5044</v>
      </c>
      <c r="L1045" t="s">
        <v>5045</v>
      </c>
      <c r="M1045" t="s">
        <v>5046</v>
      </c>
      <c r="N1045" t="s">
        <v>5047</v>
      </c>
      <c r="O1045">
        <v>3</v>
      </c>
      <c r="P1045" t="s">
        <v>5048</v>
      </c>
      <c r="Q1045" t="s">
        <v>5049</v>
      </c>
      <c r="R1045" t="s">
        <v>5041</v>
      </c>
      <c r="S1045" t="s">
        <v>5050</v>
      </c>
      <c r="T1045" t="s">
        <v>42</v>
      </c>
      <c r="U1045">
        <v>2017</v>
      </c>
      <c r="V1045">
        <v>2273</v>
      </c>
      <c r="W1045">
        <v>257</v>
      </c>
      <c r="X1045" t="s">
        <v>5051</v>
      </c>
    </row>
    <row r="1046" spans="1:34" x14ac:dyDescent="0.75">
      <c r="A1046" s="22" t="s">
        <v>6051</v>
      </c>
      <c r="B1046" t="s">
        <v>1399</v>
      </c>
      <c r="C1046" t="s">
        <v>104</v>
      </c>
      <c r="D1046" t="s">
        <v>223</v>
      </c>
      <c r="E1046" t="s">
        <v>224</v>
      </c>
      <c r="F1046" t="s">
        <v>1403</v>
      </c>
      <c r="G1046" s="1" t="str">
        <f>HYPERLINK("https://homd.org/jbrowse/?data=homd_V11.02_phage_1.2%2FGCA_001057555.1&amp;loc=GCA_001057555.1%7CJVAB01000175.1%3A1..12484&amp;tracks=prokka,prokka_ncrna,ncbi,ncbi_ncrna,panggolin,cenote,genomad&amp;highlight=","Open JBrowse")</f>
        <v>Open JBrowse</v>
      </c>
      <c r="H1046">
        <v>455</v>
      </c>
      <c r="I1046">
        <v>9484</v>
      </c>
      <c r="J1046" t="s">
        <v>1404</v>
      </c>
      <c r="K1046" t="s">
        <v>627</v>
      </c>
      <c r="L1046" t="s">
        <v>1405</v>
      </c>
      <c r="M1046" t="s">
        <v>1406</v>
      </c>
      <c r="N1046" t="s">
        <v>227</v>
      </c>
      <c r="O1046">
        <v>3</v>
      </c>
      <c r="P1046" t="s">
        <v>1397</v>
      </c>
      <c r="Q1046" t="s">
        <v>59</v>
      </c>
      <c r="R1046" t="s">
        <v>1402</v>
      </c>
      <c r="S1046" t="s">
        <v>1405</v>
      </c>
      <c r="T1046" t="s">
        <v>42</v>
      </c>
      <c r="U1046">
        <v>2061</v>
      </c>
      <c r="V1046">
        <v>2317</v>
      </c>
      <c r="W1046">
        <v>257</v>
      </c>
      <c r="X1046" t="s">
        <v>237</v>
      </c>
    </row>
    <row r="1047" spans="1:34" x14ac:dyDescent="0.75">
      <c r="A1047" s="22" t="s">
        <v>6051</v>
      </c>
      <c r="B1047" t="s">
        <v>1407</v>
      </c>
      <c r="C1047" t="s">
        <v>104</v>
      </c>
      <c r="D1047" t="s">
        <v>223</v>
      </c>
      <c r="E1047" t="s">
        <v>224</v>
      </c>
      <c r="F1047" t="s">
        <v>1411</v>
      </c>
      <c r="G1047" s="1" t="str">
        <f>HYPERLINK("https://homd.org/jbrowse/?data=homd_V11.02_phage_1.2%2FGCA_001063785.1&amp;loc=GCA_001063785.1%7CJVAQ01000123.1%3A1..12146&amp;tracks=prokka,prokka_ncrna,ncbi,ncbi_ncrna,panggolin,cenote,genomad&amp;highlight=","Open JBrowse")</f>
        <v>Open JBrowse</v>
      </c>
      <c r="H1047">
        <v>3</v>
      </c>
      <c r="I1047">
        <v>9146</v>
      </c>
      <c r="J1047" t="s">
        <v>1412</v>
      </c>
      <c r="K1047" t="s">
        <v>627</v>
      </c>
      <c r="L1047" t="s">
        <v>1413</v>
      </c>
      <c r="M1047" t="s">
        <v>1414</v>
      </c>
      <c r="N1047" t="s">
        <v>227</v>
      </c>
      <c r="O1047">
        <v>3</v>
      </c>
      <c r="P1047" t="s">
        <v>1397</v>
      </c>
      <c r="Q1047" t="s">
        <v>59</v>
      </c>
      <c r="R1047" t="s">
        <v>1410</v>
      </c>
      <c r="S1047" t="s">
        <v>1413</v>
      </c>
      <c r="T1047" t="s">
        <v>42</v>
      </c>
      <c r="U1047">
        <v>2099</v>
      </c>
      <c r="V1047">
        <v>2355</v>
      </c>
      <c r="W1047">
        <v>257</v>
      </c>
      <c r="X1047" t="s">
        <v>237</v>
      </c>
    </row>
    <row r="1048" spans="1:34" x14ac:dyDescent="0.75">
      <c r="A1048" s="22" t="s">
        <v>6051</v>
      </c>
      <c r="B1048" t="s">
        <v>1392</v>
      </c>
      <c r="C1048" t="s">
        <v>104</v>
      </c>
      <c r="D1048" t="s">
        <v>223</v>
      </c>
      <c r="E1048" t="s">
        <v>224</v>
      </c>
      <c r="F1048" t="s">
        <v>1393</v>
      </c>
      <c r="G1048" s="1" t="str">
        <f>HYPERLINK("https://homd.org/jbrowse/?data=homd_V11.02_phage_1.2%2FGCA_001057485.1&amp;loc=GCA_001057485.1%7CJVAR01000153.1%3A1..12243&amp;tracks=prokka,prokka_ncrna,ncbi,ncbi_ncrna,panggolin,cenote,genomad&amp;highlight=","Open JBrowse")</f>
        <v>Open JBrowse</v>
      </c>
      <c r="H1048">
        <v>1</v>
      </c>
      <c r="I1048">
        <v>9243</v>
      </c>
      <c r="J1048" t="s">
        <v>1394</v>
      </c>
      <c r="K1048" t="s">
        <v>627</v>
      </c>
      <c r="L1048" t="s">
        <v>1395</v>
      </c>
      <c r="M1048" t="s">
        <v>1396</v>
      </c>
      <c r="N1048" t="s">
        <v>227</v>
      </c>
      <c r="O1048">
        <v>3</v>
      </c>
      <c r="P1048" t="s">
        <v>1397</v>
      </c>
      <c r="Q1048" t="s">
        <v>59</v>
      </c>
      <c r="R1048" t="s">
        <v>1398</v>
      </c>
      <c r="S1048" t="s">
        <v>1395</v>
      </c>
      <c r="T1048" t="s">
        <v>42</v>
      </c>
      <c r="U1048">
        <v>2132</v>
      </c>
      <c r="V1048">
        <v>2388</v>
      </c>
      <c r="W1048">
        <v>257</v>
      </c>
      <c r="X1048" t="s">
        <v>237</v>
      </c>
    </row>
    <row r="1049" spans="1:34" x14ac:dyDescent="0.75">
      <c r="A1049" s="22" t="s">
        <v>6048</v>
      </c>
      <c r="B1049" t="s">
        <v>222</v>
      </c>
      <c r="C1049" t="s">
        <v>104</v>
      </c>
      <c r="D1049" t="s">
        <v>223</v>
      </c>
      <c r="E1049" t="s">
        <v>224</v>
      </c>
      <c r="F1049" t="s">
        <v>225</v>
      </c>
      <c r="G1049" s="1" t="str">
        <f>HYPERLINK("https://homd.org/jbrowse/?data=homd_V11.02_phage_1.2%2FGCA_000160655.1&amp;loc=GCA_000160655.1%7CGG694031.1%3A1..6983&amp;tracks=prokka,prokka_ncrna,ncbi,ncbi_ncrna,panggolin,cenote,genomad&amp;highlight=","Open JBrowse")</f>
        <v>Open JBrowse</v>
      </c>
      <c r="H1049">
        <v>3</v>
      </c>
      <c r="I1049">
        <v>3983</v>
      </c>
      <c r="J1049" t="s">
        <v>226</v>
      </c>
      <c r="K1049" t="s">
        <v>59</v>
      </c>
      <c r="L1049" t="s">
        <v>59</v>
      </c>
      <c r="M1049" t="s">
        <v>59</v>
      </c>
      <c r="N1049" t="s">
        <v>227</v>
      </c>
      <c r="O1049">
        <v>1</v>
      </c>
      <c r="P1049" t="s">
        <v>59</v>
      </c>
      <c r="Q1049" t="s">
        <v>59</v>
      </c>
      <c r="R1049" t="s">
        <v>228</v>
      </c>
      <c r="T1049" t="s">
        <v>42</v>
      </c>
      <c r="X1049" t="s">
        <v>59</v>
      </c>
    </row>
    <row r="1050" spans="1:34" x14ac:dyDescent="0.75">
      <c r="A1050" s="22" t="s">
        <v>6048</v>
      </c>
      <c r="B1050" t="s">
        <v>222</v>
      </c>
      <c r="C1050" t="s">
        <v>104</v>
      </c>
      <c r="D1050" t="s">
        <v>223</v>
      </c>
      <c r="E1050" t="s">
        <v>224</v>
      </c>
      <c r="F1050" t="s">
        <v>238</v>
      </c>
      <c r="G1050" s="1" t="str">
        <f>HYPERLINK("https://homd.org/jbrowse/?data=homd_V11.02_phage_1.2%2FGCA_000160655.1&amp;loc=GCA_000160655.1%7CGG694048.1%3A1..3626&amp;tracks=prokka,prokka_ncrna,ncbi,ncbi_ncrna,panggolin,cenote,genomad&amp;highlight=","Open JBrowse")</f>
        <v>Open JBrowse</v>
      </c>
      <c r="H1050">
        <v>3</v>
      </c>
      <c r="I1050">
        <v>626</v>
      </c>
      <c r="J1050" t="s">
        <v>239</v>
      </c>
      <c r="K1050" t="s">
        <v>59</v>
      </c>
      <c r="L1050" t="s">
        <v>59</v>
      </c>
      <c r="M1050" t="s">
        <v>59</v>
      </c>
      <c r="N1050" t="s">
        <v>227</v>
      </c>
      <c r="O1050">
        <v>1</v>
      </c>
      <c r="P1050" t="s">
        <v>59</v>
      </c>
      <c r="Q1050" t="s">
        <v>59</v>
      </c>
      <c r="R1050" t="s">
        <v>228</v>
      </c>
      <c r="T1050" t="s">
        <v>42</v>
      </c>
      <c r="X1050" t="s">
        <v>59</v>
      </c>
    </row>
    <row r="1051" spans="1:34" x14ac:dyDescent="0.75">
      <c r="A1051" s="22" t="s">
        <v>6048</v>
      </c>
      <c r="B1051" t="s">
        <v>596</v>
      </c>
      <c r="C1051" t="s">
        <v>104</v>
      </c>
      <c r="D1051" t="s">
        <v>597</v>
      </c>
      <c r="E1051" t="s">
        <v>598</v>
      </c>
      <c r="F1051" t="s">
        <v>599</v>
      </c>
      <c r="G1051" s="1" t="str">
        <f>HYPERLINK("https://homd.org/jbrowse/?data=homd_V11.02_phage_1.2%2FGCA_000239355.1&amp;loc=GCA_000239355.1%7CJH417927.1%3A48623..55852&amp;tracks=prokka,prokka_ncrna,ncbi,ncbi_ncrna,panggolin,cenote,genomad&amp;highlight=","Open JBrowse")</f>
        <v>Open JBrowse</v>
      </c>
      <c r="H1051">
        <v>51623</v>
      </c>
      <c r="I1051">
        <v>52852</v>
      </c>
      <c r="J1051" t="s">
        <v>600</v>
      </c>
      <c r="K1051" t="s">
        <v>59</v>
      </c>
      <c r="L1051" t="s">
        <v>59</v>
      </c>
      <c r="M1051" t="s">
        <v>601</v>
      </c>
      <c r="N1051" t="s">
        <v>227</v>
      </c>
      <c r="O1051">
        <v>2</v>
      </c>
      <c r="P1051" t="s">
        <v>602</v>
      </c>
      <c r="Q1051" t="s">
        <v>235</v>
      </c>
      <c r="R1051" t="s">
        <v>603</v>
      </c>
      <c r="T1051" t="s">
        <v>42</v>
      </c>
      <c r="X1051" t="s">
        <v>602</v>
      </c>
    </row>
    <row r="1052" spans="1:34" x14ac:dyDescent="0.75">
      <c r="A1052" s="22" t="s">
        <v>6048</v>
      </c>
      <c r="B1052" t="s">
        <v>596</v>
      </c>
      <c r="C1052" t="s">
        <v>104</v>
      </c>
      <c r="D1052" t="s">
        <v>597</v>
      </c>
      <c r="E1052" t="s">
        <v>598</v>
      </c>
      <c r="F1052" t="s">
        <v>599</v>
      </c>
      <c r="G1052" s="1" t="str">
        <f>HYPERLINK("https://homd.org/jbrowse/?data=homd_V11.02_phage_1.2%2FGCA_000239355.1&amp;loc=GCA_000239355.1%7CJH417927.1%3A49809..58136&amp;tracks=prokka,prokka_ncrna,ncbi,ncbi_ncrna,panggolin,cenote,genomad&amp;highlight=","Open JBrowse")</f>
        <v>Open JBrowse</v>
      </c>
      <c r="H1052">
        <v>52809</v>
      </c>
      <c r="I1052">
        <v>55136</v>
      </c>
      <c r="J1052" t="s">
        <v>604</v>
      </c>
      <c r="K1052" t="s">
        <v>59</v>
      </c>
      <c r="L1052" t="s">
        <v>605</v>
      </c>
      <c r="M1052" t="s">
        <v>606</v>
      </c>
      <c r="N1052" t="s">
        <v>227</v>
      </c>
      <c r="O1052">
        <v>3</v>
      </c>
      <c r="P1052" t="s">
        <v>602</v>
      </c>
      <c r="Q1052" t="s">
        <v>235</v>
      </c>
      <c r="R1052" t="s">
        <v>603</v>
      </c>
      <c r="T1052" t="s">
        <v>42</v>
      </c>
      <c r="X1052" t="s">
        <v>602</v>
      </c>
    </row>
    <row r="1053" spans="1:34" x14ac:dyDescent="0.75">
      <c r="A1053" s="22" t="s">
        <v>6048</v>
      </c>
      <c r="B1053" t="s">
        <v>596</v>
      </c>
      <c r="C1053" t="s">
        <v>104</v>
      </c>
      <c r="D1053" t="s">
        <v>597</v>
      </c>
      <c r="E1053" t="s">
        <v>598</v>
      </c>
      <c r="F1053" t="s">
        <v>607</v>
      </c>
      <c r="G1053" s="1" t="str">
        <f>HYPERLINK("https://homd.org/jbrowse/?data=homd_V11.02_phage_1.2%2FGCA_000239355.1&amp;loc=GCA_000239355.1%7CJH417949.1%3A1..7103&amp;tracks=prokka,prokka_ncrna,ncbi,ncbi_ncrna,panggolin,cenote,genomad&amp;highlight=","Open JBrowse")</f>
        <v>Open JBrowse</v>
      </c>
      <c r="H1053">
        <v>3</v>
      </c>
      <c r="I1053">
        <v>4103</v>
      </c>
      <c r="J1053" t="s">
        <v>608</v>
      </c>
      <c r="K1053" t="s">
        <v>59</v>
      </c>
      <c r="L1053" t="s">
        <v>59</v>
      </c>
      <c r="M1053" t="s">
        <v>59</v>
      </c>
      <c r="N1053" t="s">
        <v>227</v>
      </c>
      <c r="O1053">
        <v>1</v>
      </c>
      <c r="P1053" t="s">
        <v>59</v>
      </c>
      <c r="Q1053" t="s">
        <v>59</v>
      </c>
      <c r="R1053" t="s">
        <v>603</v>
      </c>
      <c r="T1053" t="s">
        <v>42</v>
      </c>
      <c r="X1053" t="s">
        <v>59</v>
      </c>
    </row>
    <row r="1054" spans="1:34" x14ac:dyDescent="0.75">
      <c r="A1054" s="22" t="s">
        <v>6048</v>
      </c>
      <c r="B1054" t="s">
        <v>1399</v>
      </c>
      <c r="C1054" t="s">
        <v>104</v>
      </c>
      <c r="D1054" t="s">
        <v>223</v>
      </c>
      <c r="E1054" t="s">
        <v>224</v>
      </c>
      <c r="F1054" t="s">
        <v>1400</v>
      </c>
      <c r="G1054" s="1" t="str">
        <f>HYPERLINK("https://homd.org/jbrowse/?data=homd_V11.02_phage_1.2%2FGCA_001057555.1&amp;loc=GCA_001057555.1%7CJVAB01000174.1%3A1..4372&amp;tracks=prokka,prokka_ncrna,ncbi,ncbi_ncrna,panggolin,cenote,genomad&amp;highlight=","Open JBrowse")</f>
        <v>Open JBrowse</v>
      </c>
      <c r="H1054">
        <v>2</v>
      </c>
      <c r="I1054">
        <v>1372</v>
      </c>
      <c r="J1054" t="s">
        <v>1401</v>
      </c>
      <c r="K1054" t="s">
        <v>59</v>
      </c>
      <c r="L1054" t="s">
        <v>59</v>
      </c>
      <c r="M1054" t="s">
        <v>59</v>
      </c>
      <c r="N1054" t="s">
        <v>227</v>
      </c>
      <c r="O1054">
        <v>1</v>
      </c>
      <c r="P1054" t="s">
        <v>59</v>
      </c>
      <c r="Q1054" t="s">
        <v>59</v>
      </c>
      <c r="R1054" t="s">
        <v>1402</v>
      </c>
      <c r="T1054" t="s">
        <v>42</v>
      </c>
      <c r="X1054" t="s">
        <v>59</v>
      </c>
    </row>
    <row r="1055" spans="1:34" x14ac:dyDescent="0.75">
      <c r="A1055" s="22" t="s">
        <v>6048</v>
      </c>
      <c r="B1055" t="s">
        <v>1407</v>
      </c>
      <c r="C1055" t="s">
        <v>104</v>
      </c>
      <c r="D1055" t="s">
        <v>223</v>
      </c>
      <c r="E1055" t="s">
        <v>224</v>
      </c>
      <c r="F1055" t="s">
        <v>1408</v>
      </c>
      <c r="G1055" s="1" t="str">
        <f>HYPERLINK("https://homd.org/jbrowse/?data=homd_V11.02_phage_1.2%2FGCA_001063785.1&amp;loc=GCA_001063785.1%7CJVAQ01000069.1%3A1..4377&amp;tracks=prokka,prokka_ncrna,ncbi,ncbi_ncrna,panggolin,cenote,genomad&amp;highlight=","Open JBrowse")</f>
        <v>Open JBrowse</v>
      </c>
      <c r="H1055">
        <v>1</v>
      </c>
      <c r="I1055">
        <v>1377</v>
      </c>
      <c r="J1055" t="s">
        <v>1409</v>
      </c>
      <c r="K1055" t="s">
        <v>59</v>
      </c>
      <c r="L1055" t="s">
        <v>59</v>
      </c>
      <c r="M1055" t="s">
        <v>59</v>
      </c>
      <c r="N1055" t="s">
        <v>227</v>
      </c>
      <c r="O1055">
        <v>1</v>
      </c>
      <c r="P1055" t="s">
        <v>59</v>
      </c>
      <c r="Q1055" t="s">
        <v>59</v>
      </c>
      <c r="R1055" t="s">
        <v>1410</v>
      </c>
      <c r="T1055" t="s">
        <v>42</v>
      </c>
      <c r="X1055" t="s">
        <v>59</v>
      </c>
    </row>
    <row r="1056" spans="1:34" x14ac:dyDescent="0.75">
      <c r="A1056" s="22" t="s">
        <v>6048</v>
      </c>
      <c r="B1056" t="s">
        <v>1991</v>
      </c>
      <c r="C1056" t="s">
        <v>104</v>
      </c>
      <c r="D1056" t="s">
        <v>1992</v>
      </c>
      <c r="E1056" t="s">
        <v>1993</v>
      </c>
      <c r="F1056" t="s">
        <v>1994</v>
      </c>
      <c r="G1056" s="1" t="str">
        <f>HYPERLINK("https://homd.org/jbrowse/?data=homd_V11.02_phage_1.2%2FGCA_002998435.1&amp;loc=GCA_002998435.1%7CCP027231.1%3A817710..824561&amp;tracks=prokka,prokka_ncrna,ncbi,ncbi_ncrna,panggolin,cenote,genomad&amp;highlight=","Open JBrowse")</f>
        <v>Open JBrowse</v>
      </c>
      <c r="H1056">
        <v>820710</v>
      </c>
      <c r="I1056">
        <v>821561</v>
      </c>
      <c r="J1056" t="s">
        <v>1995</v>
      </c>
      <c r="K1056" t="s">
        <v>59</v>
      </c>
      <c r="L1056" t="s">
        <v>59</v>
      </c>
      <c r="M1056" t="s">
        <v>59</v>
      </c>
      <c r="N1056" t="s">
        <v>42</v>
      </c>
      <c r="O1056">
        <v>1</v>
      </c>
      <c r="P1056" t="s">
        <v>59</v>
      </c>
      <c r="Q1056" t="s">
        <v>59</v>
      </c>
      <c r="R1056" t="s">
        <v>1996</v>
      </c>
      <c r="T1056" t="s">
        <v>42</v>
      </c>
      <c r="X1056" t="s">
        <v>59</v>
      </c>
    </row>
    <row r="1057" spans="1:24" x14ac:dyDescent="0.75">
      <c r="A1057" s="22" t="s">
        <v>6048</v>
      </c>
      <c r="B1057" t="s">
        <v>1997</v>
      </c>
      <c r="C1057" t="s">
        <v>104</v>
      </c>
      <c r="D1057" t="s">
        <v>1998</v>
      </c>
      <c r="E1057" t="s">
        <v>1999</v>
      </c>
      <c r="F1057" t="s">
        <v>2000</v>
      </c>
      <c r="G1057" s="1" t="str">
        <f>HYPERLINK("https://homd.org/jbrowse/?data=homd_V11.02_phage_1.2%2FGCA_002998535.1&amp;loc=GCA_002998535.1%7CCP027234.1%3A557620..564471&amp;tracks=prokka,prokka_ncrna,ncbi,ncbi_ncrna,panggolin,cenote,genomad&amp;highlight=","Open JBrowse")</f>
        <v>Open JBrowse</v>
      </c>
      <c r="H1057">
        <v>560620</v>
      </c>
      <c r="I1057">
        <v>561471</v>
      </c>
      <c r="J1057" t="s">
        <v>2001</v>
      </c>
      <c r="K1057" t="s">
        <v>59</v>
      </c>
      <c r="L1057" t="s">
        <v>59</v>
      </c>
      <c r="M1057" t="s">
        <v>59</v>
      </c>
      <c r="N1057" t="s">
        <v>42</v>
      </c>
      <c r="O1057">
        <v>1</v>
      </c>
      <c r="P1057" t="s">
        <v>59</v>
      </c>
      <c r="Q1057" t="s">
        <v>59</v>
      </c>
      <c r="R1057" t="s">
        <v>2002</v>
      </c>
      <c r="T1057" t="s">
        <v>42</v>
      </c>
      <c r="X1057" t="s">
        <v>59</v>
      </c>
    </row>
    <row r="1058" spans="1:24" x14ac:dyDescent="0.75">
      <c r="A1058" s="22" t="s">
        <v>6048</v>
      </c>
      <c r="B1058" t="s">
        <v>2205</v>
      </c>
      <c r="C1058" t="s">
        <v>104</v>
      </c>
      <c r="D1058" t="s">
        <v>1998</v>
      </c>
      <c r="E1058" t="s">
        <v>1999</v>
      </c>
      <c r="F1058" t="s">
        <v>2206</v>
      </c>
      <c r="G1058" s="1" t="str">
        <f>HYPERLINK("https://homd.org/jbrowse/?data=homd_V11.02_phage_1.2%2FGCA_003932775.1&amp;loc=GCA_003932775.1%7CRQYF01000005.1%3A86130..92963&amp;tracks=prokka,prokka_ncrna,ncbi,ncbi_ncrna,panggolin,cenote,genomad&amp;highlight=","Open JBrowse")</f>
        <v>Open JBrowse</v>
      </c>
      <c r="H1058">
        <v>89130</v>
      </c>
      <c r="I1058">
        <v>89963</v>
      </c>
      <c r="J1058" t="s">
        <v>2207</v>
      </c>
      <c r="K1058" t="s">
        <v>59</v>
      </c>
      <c r="L1058" t="s">
        <v>59</v>
      </c>
      <c r="M1058" t="s">
        <v>59</v>
      </c>
      <c r="N1058" t="s">
        <v>42</v>
      </c>
      <c r="O1058">
        <v>1</v>
      </c>
      <c r="P1058" t="s">
        <v>59</v>
      </c>
      <c r="Q1058" t="s">
        <v>59</v>
      </c>
      <c r="R1058" t="s">
        <v>2208</v>
      </c>
      <c r="T1058" t="s">
        <v>42</v>
      </c>
      <c r="X1058" t="s">
        <v>59</v>
      </c>
    </row>
    <row r="1059" spans="1:24" x14ac:dyDescent="0.75">
      <c r="A1059" s="22" t="s">
        <v>6048</v>
      </c>
      <c r="B1059" t="s">
        <v>2260</v>
      </c>
      <c r="C1059" t="s">
        <v>104</v>
      </c>
      <c r="D1059" t="s">
        <v>1998</v>
      </c>
      <c r="E1059" t="s">
        <v>1999</v>
      </c>
      <c r="F1059" t="s">
        <v>2261</v>
      </c>
      <c r="G1059" s="1" t="str">
        <f>HYPERLINK("https://homd.org/jbrowse/?data=homd_V11.02_phage_1.2%2FGCA_004342845.1&amp;loc=GCA_004342845.1%7CSLXB01000019.1%3A76447..83298&amp;tracks=prokka,prokka_ncrna,ncbi,ncbi_ncrna,panggolin,cenote,genomad&amp;highlight=","Open JBrowse")</f>
        <v>Open JBrowse</v>
      </c>
      <c r="H1059">
        <v>79447</v>
      </c>
      <c r="I1059">
        <v>80298</v>
      </c>
      <c r="J1059" t="s">
        <v>2262</v>
      </c>
      <c r="K1059" t="s">
        <v>59</v>
      </c>
      <c r="L1059" t="s">
        <v>59</v>
      </c>
      <c r="M1059" t="s">
        <v>59</v>
      </c>
      <c r="N1059" t="s">
        <v>42</v>
      </c>
      <c r="O1059">
        <v>1</v>
      </c>
      <c r="P1059" t="s">
        <v>59</v>
      </c>
      <c r="Q1059" t="s">
        <v>59</v>
      </c>
      <c r="R1059" t="s">
        <v>2263</v>
      </c>
      <c r="T1059" t="s">
        <v>42</v>
      </c>
      <c r="X1059" t="s">
        <v>59</v>
      </c>
    </row>
    <row r="1060" spans="1:24" x14ac:dyDescent="0.75">
      <c r="A1060" s="22" t="s">
        <v>6048</v>
      </c>
      <c r="B1060" t="s">
        <v>2371</v>
      </c>
      <c r="C1060" t="s">
        <v>104</v>
      </c>
      <c r="D1060" t="s">
        <v>1992</v>
      </c>
      <c r="E1060" t="s">
        <v>1993</v>
      </c>
      <c r="F1060" t="s">
        <v>2372</v>
      </c>
      <c r="G1060" s="1" t="str">
        <f>HYPERLINK("https://homd.org/jbrowse/?data=homd_V11.02_phage_1.2%2FGCA_007830715.1&amp;loc=GCA_007830715.1%7CVLLM01000022.1%3A30358..37209&amp;tracks=prokka,prokka_ncrna,ncbi,ncbi_ncrna,panggolin,cenote,genomad&amp;highlight=","Open JBrowse")</f>
        <v>Open JBrowse</v>
      </c>
      <c r="H1060">
        <v>33358</v>
      </c>
      <c r="I1060">
        <v>34209</v>
      </c>
      <c r="J1060" t="s">
        <v>2373</v>
      </c>
      <c r="K1060" t="s">
        <v>59</v>
      </c>
      <c r="L1060" t="s">
        <v>59</v>
      </c>
      <c r="M1060" t="s">
        <v>59</v>
      </c>
      <c r="N1060" t="s">
        <v>42</v>
      </c>
      <c r="O1060">
        <v>1</v>
      </c>
      <c r="P1060" t="s">
        <v>59</v>
      </c>
      <c r="Q1060" t="s">
        <v>59</v>
      </c>
      <c r="R1060" t="s">
        <v>2374</v>
      </c>
      <c r="T1060" t="s">
        <v>42</v>
      </c>
      <c r="X1060" t="s">
        <v>59</v>
      </c>
    </row>
    <row r="1061" spans="1:24" x14ac:dyDescent="0.75">
      <c r="A1061" s="22" t="s">
        <v>6048</v>
      </c>
      <c r="B1061" t="s">
        <v>2934</v>
      </c>
      <c r="C1061" t="s">
        <v>104</v>
      </c>
      <c r="D1061" t="s">
        <v>2935</v>
      </c>
      <c r="E1061" t="s">
        <v>2936</v>
      </c>
      <c r="F1061" t="s">
        <v>2937</v>
      </c>
      <c r="G1061" s="1" t="str">
        <f>HYPERLINK("https://homd.org/jbrowse/?data=homd_V11.02_phage_1.2%2FGCA_015257785.3&amp;loc=GCA_015257785.3%7CCP076102.2%3A292368..300674&amp;tracks=prokka,prokka_ncrna,ncbi,ncbi_ncrna,panggolin,cenote,genomad&amp;highlight=","Open JBrowse")</f>
        <v>Open JBrowse</v>
      </c>
      <c r="H1061">
        <v>295368</v>
      </c>
      <c r="I1061">
        <v>297674</v>
      </c>
      <c r="J1061" t="s">
        <v>2938</v>
      </c>
      <c r="K1061" t="s">
        <v>59</v>
      </c>
      <c r="L1061" t="s">
        <v>59</v>
      </c>
      <c r="M1061" t="s">
        <v>59</v>
      </c>
      <c r="N1061" t="s">
        <v>227</v>
      </c>
      <c r="O1061">
        <v>1</v>
      </c>
      <c r="P1061" t="s">
        <v>59</v>
      </c>
      <c r="Q1061" t="s">
        <v>59</v>
      </c>
      <c r="R1061" t="s">
        <v>2939</v>
      </c>
      <c r="T1061" t="s">
        <v>42</v>
      </c>
      <c r="X1061" t="s">
        <v>59</v>
      </c>
    </row>
    <row r="1062" spans="1:24" x14ac:dyDescent="0.75">
      <c r="A1062" s="22" t="s">
        <v>6048</v>
      </c>
      <c r="B1062" t="s">
        <v>2940</v>
      </c>
      <c r="C1062" t="s">
        <v>104</v>
      </c>
      <c r="D1062" t="s">
        <v>2935</v>
      </c>
      <c r="E1062" t="s">
        <v>2936</v>
      </c>
      <c r="F1062" t="s">
        <v>2941</v>
      </c>
      <c r="G1062" s="1" t="str">
        <f>HYPERLINK("https://homd.org/jbrowse/?data=homd_V11.02_phage_1.2%2FGCA_015257795.3&amp;loc=GCA_015257795.3%7CCP072208.2%3A292470..300776&amp;tracks=prokka,prokka_ncrna,ncbi,ncbi_ncrna,panggolin,cenote,genomad&amp;highlight=","Open JBrowse")</f>
        <v>Open JBrowse</v>
      </c>
      <c r="H1062">
        <v>295470</v>
      </c>
      <c r="I1062">
        <v>297776</v>
      </c>
      <c r="J1062" t="s">
        <v>2942</v>
      </c>
      <c r="K1062" t="s">
        <v>59</v>
      </c>
      <c r="L1062" t="s">
        <v>59</v>
      </c>
      <c r="M1062" t="s">
        <v>59</v>
      </c>
      <c r="N1062" t="s">
        <v>227</v>
      </c>
      <c r="O1062">
        <v>1</v>
      </c>
      <c r="P1062" t="s">
        <v>59</v>
      </c>
      <c r="Q1062" t="s">
        <v>59</v>
      </c>
      <c r="R1062" t="s">
        <v>2943</v>
      </c>
      <c r="T1062" t="s">
        <v>42</v>
      </c>
      <c r="X1062" t="s">
        <v>59</v>
      </c>
    </row>
    <row r="1063" spans="1:24" x14ac:dyDescent="0.75">
      <c r="A1063" s="22" t="s">
        <v>6048</v>
      </c>
      <c r="B1063" t="s">
        <v>2944</v>
      </c>
      <c r="C1063" t="s">
        <v>104</v>
      </c>
      <c r="D1063" t="s">
        <v>2935</v>
      </c>
      <c r="E1063" t="s">
        <v>2936</v>
      </c>
      <c r="F1063" t="s">
        <v>2945</v>
      </c>
      <c r="G1063" s="1" t="str">
        <f>HYPERLINK("https://homd.org/jbrowse/?data=homd_V11.02_phage_1.2%2FGCA_015257815.1&amp;loc=GCA_015257815.1%7CJABZJL010000006.1%3A7172..15460&amp;tracks=prokka,prokka_ncrna,ncbi,ncbi_ncrna,panggolin,cenote,genomad&amp;highlight=","Open JBrowse")</f>
        <v>Open JBrowse</v>
      </c>
      <c r="H1063">
        <v>10172</v>
      </c>
      <c r="I1063">
        <v>12460</v>
      </c>
      <c r="J1063" t="s">
        <v>2946</v>
      </c>
      <c r="K1063" t="s">
        <v>59</v>
      </c>
      <c r="L1063" t="s">
        <v>59</v>
      </c>
      <c r="M1063" t="s">
        <v>59</v>
      </c>
      <c r="N1063" t="s">
        <v>227</v>
      </c>
      <c r="O1063">
        <v>1</v>
      </c>
      <c r="P1063" t="s">
        <v>59</v>
      </c>
      <c r="Q1063" t="s">
        <v>59</v>
      </c>
      <c r="R1063" t="s">
        <v>2947</v>
      </c>
      <c r="T1063" t="s">
        <v>42</v>
      </c>
      <c r="X1063" t="s">
        <v>59</v>
      </c>
    </row>
    <row r="1064" spans="1:24" x14ac:dyDescent="0.75">
      <c r="A1064" s="22" t="s">
        <v>6048</v>
      </c>
      <c r="B1064" t="s">
        <v>4070</v>
      </c>
      <c r="C1064" t="s">
        <v>104</v>
      </c>
      <c r="D1064" t="s">
        <v>1998</v>
      </c>
      <c r="E1064" t="s">
        <v>1999</v>
      </c>
      <c r="F1064" t="s">
        <v>4071</v>
      </c>
      <c r="G1064" s="1" t="str">
        <f>HYPERLINK("https://homd.org/jbrowse/?data=homd_V11.02_phage_1.2%2FGCA_022772185.1&amp;loc=GCA_022772185.1%7CJALFAM010000004.1%3A54382..61233&amp;tracks=prokka,prokka_ncrna,ncbi,ncbi_ncrna,panggolin,cenote,genomad&amp;highlight=","Open JBrowse")</f>
        <v>Open JBrowse</v>
      </c>
      <c r="H1064">
        <v>57382</v>
      </c>
      <c r="I1064">
        <v>58233</v>
      </c>
      <c r="J1064" t="s">
        <v>4072</v>
      </c>
      <c r="K1064" t="s">
        <v>59</v>
      </c>
      <c r="L1064" t="s">
        <v>59</v>
      </c>
      <c r="M1064" t="s">
        <v>59</v>
      </c>
      <c r="N1064" t="s">
        <v>42</v>
      </c>
      <c r="O1064">
        <v>1</v>
      </c>
      <c r="P1064" t="s">
        <v>59</v>
      </c>
      <c r="Q1064" t="s">
        <v>59</v>
      </c>
      <c r="R1064" t="s">
        <v>4073</v>
      </c>
      <c r="T1064" t="s">
        <v>42</v>
      </c>
      <c r="X1064" t="s">
        <v>59</v>
      </c>
    </row>
    <row r="1065" spans="1:24" x14ac:dyDescent="0.75">
      <c r="A1065" s="22" t="s">
        <v>6048</v>
      </c>
      <c r="B1065" t="s">
        <v>4178</v>
      </c>
      <c r="C1065" t="s">
        <v>104</v>
      </c>
      <c r="D1065" t="s">
        <v>1998</v>
      </c>
      <c r="E1065" t="s">
        <v>1999</v>
      </c>
      <c r="F1065" t="s">
        <v>4179</v>
      </c>
      <c r="G1065" s="1" t="str">
        <f>HYPERLINK("https://homd.org/jbrowse/?data=homd_V11.02_phage_1.2%2FGCA_023425005.1&amp;loc=GCA_023425005.1%7CJAFADK010000005.1%3A1..5361&amp;tracks=prokka,prokka_ncrna,ncbi,ncbi_ncrna,panggolin,cenote,genomad&amp;highlight=","Open JBrowse")</f>
        <v>Open JBrowse</v>
      </c>
      <c r="H1065">
        <v>1510</v>
      </c>
      <c r="I1065">
        <v>2361</v>
      </c>
      <c r="J1065" t="s">
        <v>4180</v>
      </c>
      <c r="K1065" t="s">
        <v>59</v>
      </c>
      <c r="L1065" t="s">
        <v>59</v>
      </c>
      <c r="M1065" t="s">
        <v>59</v>
      </c>
      <c r="N1065" t="s">
        <v>42</v>
      </c>
      <c r="O1065">
        <v>1</v>
      </c>
      <c r="P1065" t="s">
        <v>59</v>
      </c>
      <c r="Q1065" t="s">
        <v>59</v>
      </c>
      <c r="R1065" t="s">
        <v>4181</v>
      </c>
      <c r="T1065" t="s">
        <v>42</v>
      </c>
      <c r="X1065" t="s">
        <v>59</v>
      </c>
    </row>
    <row r="1066" spans="1:24" x14ac:dyDescent="0.75">
      <c r="A1066" s="22" t="s">
        <v>6048</v>
      </c>
      <c r="B1066" t="s">
        <v>4189</v>
      </c>
      <c r="C1066" t="s">
        <v>104</v>
      </c>
      <c r="D1066" t="s">
        <v>1998</v>
      </c>
      <c r="E1066" t="s">
        <v>1999</v>
      </c>
      <c r="F1066" t="s">
        <v>4198</v>
      </c>
      <c r="G1066" s="1" t="str">
        <f>HYPERLINK("https://homd.org/jbrowse/?data=homd_V11.02_phage_1.2%2FGCA_023436275.1&amp;loc=GCA_023436275.1%7CJAEZJU010000045.1%3A21448..28299&amp;tracks=prokka,prokka_ncrna,ncbi,ncbi_ncrna,panggolin,cenote,genomad&amp;highlight=","Open JBrowse")</f>
        <v>Open JBrowse</v>
      </c>
      <c r="H1066">
        <v>24448</v>
      </c>
      <c r="I1066">
        <v>25299</v>
      </c>
      <c r="J1066" t="s">
        <v>4199</v>
      </c>
      <c r="K1066" t="s">
        <v>59</v>
      </c>
      <c r="L1066" t="s">
        <v>59</v>
      </c>
      <c r="M1066" t="s">
        <v>59</v>
      </c>
      <c r="N1066" t="s">
        <v>42</v>
      </c>
      <c r="O1066">
        <v>1</v>
      </c>
      <c r="P1066" t="s">
        <v>59</v>
      </c>
      <c r="Q1066" t="s">
        <v>59</v>
      </c>
      <c r="R1066" t="s">
        <v>4194</v>
      </c>
      <c r="T1066" t="s">
        <v>42</v>
      </c>
      <c r="X1066" t="s">
        <v>59</v>
      </c>
    </row>
    <row r="1067" spans="1:24" x14ac:dyDescent="0.75">
      <c r="A1067" s="22" t="s">
        <v>6048</v>
      </c>
      <c r="B1067" t="s">
        <v>5038</v>
      </c>
      <c r="C1067" t="s">
        <v>104</v>
      </c>
      <c r="D1067" t="s">
        <v>223</v>
      </c>
      <c r="E1067" t="s">
        <v>224</v>
      </c>
      <c r="F1067" t="s">
        <v>5039</v>
      </c>
      <c r="G1067" s="1" t="str">
        <f>HYPERLINK("https://homd.org/jbrowse/?data=homd_V11.02_phage_1.2%2FGCA_900079085.1&amp;loc=GCA_900079085.1%7CFKLO01000004.1%3A20037..32702&amp;tracks=prokka,prokka_ncrna,ncbi,ncbi_ncrna,panggolin,cenote,genomad&amp;highlight=","Open JBrowse")</f>
        <v>Open JBrowse</v>
      </c>
      <c r="H1067">
        <v>23037</v>
      </c>
      <c r="I1067">
        <v>29702</v>
      </c>
      <c r="J1067" t="s">
        <v>5040</v>
      </c>
      <c r="K1067" t="s">
        <v>59</v>
      </c>
      <c r="L1067" t="s">
        <v>59</v>
      </c>
      <c r="M1067" t="s">
        <v>59</v>
      </c>
      <c r="N1067" t="s">
        <v>227</v>
      </c>
      <c r="O1067">
        <v>1</v>
      </c>
      <c r="P1067" t="s">
        <v>59</v>
      </c>
      <c r="Q1067" t="s">
        <v>59</v>
      </c>
      <c r="R1067" t="s">
        <v>5041</v>
      </c>
      <c r="T1067" t="s">
        <v>42</v>
      </c>
      <c r="X1067" t="s">
        <v>59</v>
      </c>
    </row>
    <row r="1068" spans="1:24" x14ac:dyDescent="0.75">
      <c r="A1068" s="22" t="s">
        <v>6048</v>
      </c>
      <c r="B1068" t="s">
        <v>5243</v>
      </c>
      <c r="C1068" t="s">
        <v>104</v>
      </c>
      <c r="D1068" t="s">
        <v>597</v>
      </c>
      <c r="E1068" t="s">
        <v>598</v>
      </c>
      <c r="F1068" t="s">
        <v>5244</v>
      </c>
      <c r="G1068" s="1" t="str">
        <f>HYPERLINK("https://homd.org/jbrowse/?data=homd_V11.02_phage_1.2%2FGCA_900460955.1&amp;loc=GCA_900460955.1%7CUFUW01000001.1%3A530698..542781&amp;tracks=prokka,prokka_ncrna,ncbi,ncbi_ncrna,panggolin,cenote,genomad&amp;highlight=","Open JBrowse")</f>
        <v>Open JBrowse</v>
      </c>
      <c r="H1068">
        <v>533698</v>
      </c>
      <c r="I1068">
        <v>539781</v>
      </c>
      <c r="J1068" t="s">
        <v>5245</v>
      </c>
      <c r="K1068" t="s">
        <v>59</v>
      </c>
      <c r="L1068" t="s">
        <v>59</v>
      </c>
      <c r="M1068" t="s">
        <v>59</v>
      </c>
      <c r="N1068" t="s">
        <v>227</v>
      </c>
      <c r="O1068">
        <v>1</v>
      </c>
      <c r="P1068" t="s">
        <v>59</v>
      </c>
      <c r="Q1068" t="s">
        <v>59</v>
      </c>
      <c r="R1068" t="s">
        <v>5246</v>
      </c>
      <c r="T1068" t="s">
        <v>42</v>
      </c>
      <c r="X1068" t="s">
        <v>59</v>
      </c>
    </row>
    <row r="1069" spans="1:24" x14ac:dyDescent="0.75">
      <c r="A1069" s="22" t="s">
        <v>6048</v>
      </c>
      <c r="B1069" t="s">
        <v>5243</v>
      </c>
      <c r="C1069" t="s">
        <v>104</v>
      </c>
      <c r="D1069" t="s">
        <v>597</v>
      </c>
      <c r="E1069" t="s">
        <v>598</v>
      </c>
      <c r="F1069" t="s">
        <v>5244</v>
      </c>
      <c r="G1069" s="1" t="str">
        <f>HYPERLINK("https://homd.org/jbrowse/?data=homd_V11.02_phage_1.2%2FGCA_900460955.1&amp;loc=GCA_900460955.1%7CUFUW01000001.1%3A817726..829242&amp;tracks=prokka,prokka_ncrna,ncbi,ncbi_ncrna,panggolin,cenote,genomad&amp;highlight=","Open JBrowse")</f>
        <v>Open JBrowse</v>
      </c>
      <c r="H1069">
        <v>820726</v>
      </c>
      <c r="I1069">
        <v>826242</v>
      </c>
      <c r="J1069" t="s">
        <v>5247</v>
      </c>
      <c r="K1069" t="s">
        <v>59</v>
      </c>
      <c r="L1069" t="s">
        <v>5248</v>
      </c>
      <c r="M1069" t="s">
        <v>5249</v>
      </c>
      <c r="N1069" t="s">
        <v>227</v>
      </c>
      <c r="O1069">
        <v>3</v>
      </c>
      <c r="P1069" t="s">
        <v>602</v>
      </c>
      <c r="Q1069" t="s">
        <v>235</v>
      </c>
      <c r="R1069" t="s">
        <v>5246</v>
      </c>
      <c r="T1069" t="s">
        <v>42</v>
      </c>
      <c r="X1069" t="s">
        <v>602</v>
      </c>
    </row>
    <row r="1070" spans="1:24" x14ac:dyDescent="0.75">
      <c r="A1070" s="22" t="s">
        <v>6048</v>
      </c>
      <c r="B1070" t="s">
        <v>5243</v>
      </c>
      <c r="C1070" t="s">
        <v>104</v>
      </c>
      <c r="D1070" t="s">
        <v>597</v>
      </c>
      <c r="E1070" t="s">
        <v>598</v>
      </c>
      <c r="F1070" t="s">
        <v>5244</v>
      </c>
      <c r="G1070" s="1" t="str">
        <f>HYPERLINK("https://homd.org/jbrowse/?data=homd_V11.02_phage_1.2%2FGCA_900460955.1&amp;loc=GCA_900460955.1%7CUFUW01000001.1%3A1056160..1067526&amp;tracks=prokka,prokka_ncrna,ncbi,ncbi_ncrna,panggolin,cenote,genomad&amp;highlight=","Open JBrowse")</f>
        <v>Open JBrowse</v>
      </c>
      <c r="H1070">
        <v>1059160</v>
      </c>
      <c r="I1070">
        <v>1064526</v>
      </c>
      <c r="J1070" t="s">
        <v>5250</v>
      </c>
      <c r="K1070" t="s">
        <v>59</v>
      </c>
      <c r="L1070" t="s">
        <v>59</v>
      </c>
      <c r="M1070" t="s">
        <v>59</v>
      </c>
      <c r="N1070" t="s">
        <v>227</v>
      </c>
      <c r="O1070">
        <v>1</v>
      </c>
      <c r="P1070" t="s">
        <v>59</v>
      </c>
      <c r="Q1070" t="s">
        <v>59</v>
      </c>
      <c r="R1070" t="s">
        <v>5246</v>
      </c>
      <c r="T1070" t="s">
        <v>42</v>
      </c>
      <c r="X1070" t="s">
        <v>59</v>
      </c>
    </row>
    <row r="1071" spans="1:24" x14ac:dyDescent="0.75">
      <c r="A1071" s="22" t="s">
        <v>6048</v>
      </c>
      <c r="B1071" t="s">
        <v>5262</v>
      </c>
      <c r="C1071" t="s">
        <v>104</v>
      </c>
      <c r="D1071" t="s">
        <v>223</v>
      </c>
      <c r="E1071" t="s">
        <v>224</v>
      </c>
      <c r="F1071" t="s">
        <v>5263</v>
      </c>
      <c r="G1071" s="1" t="str">
        <f>HYPERLINK("https://homd.org/jbrowse/?data=homd_V11.02_phage_1.2%2FGCA_900637305.1&amp;loc=GCA_900637305.1%7CLR134365.1%3A2632130..2645461&amp;tracks=prokka,prokka_ncrna,ncbi,ncbi_ncrna,panggolin,cenote,genomad&amp;highlight=","Open JBrowse")</f>
        <v>Open JBrowse</v>
      </c>
      <c r="H1071">
        <v>2635130</v>
      </c>
      <c r="I1071">
        <v>2642461</v>
      </c>
      <c r="J1071" t="s">
        <v>5269</v>
      </c>
      <c r="K1071" t="s">
        <v>59</v>
      </c>
      <c r="L1071" t="s">
        <v>59</v>
      </c>
      <c r="M1071" t="s">
        <v>59</v>
      </c>
      <c r="N1071" t="s">
        <v>227</v>
      </c>
      <c r="O1071">
        <v>1</v>
      </c>
      <c r="P1071" t="s">
        <v>59</v>
      </c>
      <c r="Q1071" t="s">
        <v>59</v>
      </c>
      <c r="R1071" t="s">
        <v>5267</v>
      </c>
      <c r="T1071" t="s">
        <v>42</v>
      </c>
      <c r="X1071" t="s">
        <v>59</v>
      </c>
    </row>
    <row r="1072" spans="1:24" x14ac:dyDescent="0.75">
      <c r="A1072" s="22" t="s">
        <v>6048</v>
      </c>
      <c r="B1072" t="s">
        <v>5282</v>
      </c>
      <c r="C1072" t="s">
        <v>104</v>
      </c>
      <c r="D1072" t="s">
        <v>1998</v>
      </c>
      <c r="E1072" t="s">
        <v>1999</v>
      </c>
      <c r="F1072" t="s">
        <v>5289</v>
      </c>
      <c r="G1072" s="1" t="str">
        <f>HYPERLINK("https://homd.org/jbrowse/?data=homd_V11.02_phage_1.2%2FGCA_900683665.1&amp;loc=GCA_900683665.1%7CCAACYH010000007.1%3A383114..389947&amp;tracks=prokka,prokka_ncrna,ncbi,ncbi_ncrna,panggolin,cenote,genomad&amp;highlight=","Open JBrowse")</f>
        <v>Open JBrowse</v>
      </c>
      <c r="H1072">
        <v>386114</v>
      </c>
      <c r="I1072">
        <v>386947</v>
      </c>
      <c r="J1072" t="s">
        <v>5290</v>
      </c>
      <c r="K1072" t="s">
        <v>59</v>
      </c>
      <c r="L1072" t="s">
        <v>59</v>
      </c>
      <c r="M1072" t="s">
        <v>59</v>
      </c>
      <c r="N1072" t="s">
        <v>42</v>
      </c>
      <c r="O1072">
        <v>1</v>
      </c>
      <c r="P1072" t="s">
        <v>59</v>
      </c>
      <c r="Q1072" t="s">
        <v>59</v>
      </c>
      <c r="R1072" t="s">
        <v>5285</v>
      </c>
      <c r="T1072" t="s">
        <v>42</v>
      </c>
      <c r="X1072" t="s">
        <v>59</v>
      </c>
    </row>
    <row r="1073" spans="1:34" x14ac:dyDescent="0.75">
      <c r="A1073" s="22" t="s">
        <v>6048</v>
      </c>
      <c r="B1073" t="s">
        <v>5338</v>
      </c>
      <c r="C1073" t="s">
        <v>104</v>
      </c>
      <c r="D1073" t="s">
        <v>597</v>
      </c>
      <c r="E1073" t="s">
        <v>598</v>
      </c>
      <c r="F1073" t="s">
        <v>5339</v>
      </c>
      <c r="G1073" s="1" t="str">
        <f>HYPERLINK("https://homd.org/jbrowse/?data=homd_V11.02_phage_1.2%2FGCA_902388165.1&amp;loc=GCA_902388165.1%7CCABMOK010000088.1%3A48623..55852&amp;tracks=prokka,prokka_ncrna,ncbi,ncbi_ncrna,panggolin,cenote,genomad&amp;highlight=","Open JBrowse")</f>
        <v>Open JBrowse</v>
      </c>
      <c r="H1073">
        <v>51623</v>
      </c>
      <c r="I1073">
        <v>52852</v>
      </c>
      <c r="J1073" t="s">
        <v>5340</v>
      </c>
      <c r="K1073" t="s">
        <v>59</v>
      </c>
      <c r="L1073" t="s">
        <v>59</v>
      </c>
      <c r="M1073" t="s">
        <v>601</v>
      </c>
      <c r="N1073" t="s">
        <v>227</v>
      </c>
      <c r="O1073">
        <v>2</v>
      </c>
      <c r="P1073" t="s">
        <v>602</v>
      </c>
      <c r="Q1073" t="s">
        <v>235</v>
      </c>
      <c r="R1073" t="s">
        <v>5341</v>
      </c>
      <c r="T1073" t="s">
        <v>42</v>
      </c>
      <c r="X1073" t="s">
        <v>602</v>
      </c>
    </row>
    <row r="1074" spans="1:34" x14ac:dyDescent="0.75">
      <c r="A1074" s="22" t="s">
        <v>6048</v>
      </c>
      <c r="B1074" t="s">
        <v>5338</v>
      </c>
      <c r="C1074" t="s">
        <v>104</v>
      </c>
      <c r="D1074" t="s">
        <v>597</v>
      </c>
      <c r="E1074" t="s">
        <v>598</v>
      </c>
      <c r="F1074" t="s">
        <v>5339</v>
      </c>
      <c r="G1074" s="1" t="str">
        <f>HYPERLINK("https://homd.org/jbrowse/?data=homd_V11.02_phage_1.2%2FGCA_902388165.1&amp;loc=GCA_902388165.1%7CCABMOK010000088.1%3A49809..58136&amp;tracks=prokka,prokka_ncrna,ncbi,ncbi_ncrna,panggolin,cenote,genomad&amp;highlight=","Open JBrowse")</f>
        <v>Open JBrowse</v>
      </c>
      <c r="H1074">
        <v>52809</v>
      </c>
      <c r="I1074">
        <v>55136</v>
      </c>
      <c r="J1074" t="s">
        <v>5342</v>
      </c>
      <c r="K1074" t="s">
        <v>59</v>
      </c>
      <c r="L1074" t="s">
        <v>605</v>
      </c>
      <c r="M1074" t="s">
        <v>606</v>
      </c>
      <c r="N1074" t="s">
        <v>227</v>
      </c>
      <c r="O1074">
        <v>3</v>
      </c>
      <c r="P1074" t="s">
        <v>602</v>
      </c>
      <c r="Q1074" t="s">
        <v>235</v>
      </c>
      <c r="R1074" t="s">
        <v>5341</v>
      </c>
      <c r="T1074" t="s">
        <v>42</v>
      </c>
      <c r="X1074" t="s">
        <v>602</v>
      </c>
    </row>
    <row r="1075" spans="1:34" x14ac:dyDescent="0.75">
      <c r="A1075" s="22" t="s">
        <v>6048</v>
      </c>
      <c r="B1075" t="s">
        <v>5338</v>
      </c>
      <c r="C1075" t="s">
        <v>104</v>
      </c>
      <c r="D1075" t="s">
        <v>597</v>
      </c>
      <c r="E1075" t="s">
        <v>598</v>
      </c>
      <c r="F1075" t="s">
        <v>5343</v>
      </c>
      <c r="G1075" s="1" t="str">
        <f>HYPERLINK("https://homd.org/jbrowse/?data=homd_V11.02_phage_1.2%2FGCA_902388165.1&amp;loc=GCA_902388165.1%7CCABMOK010000132.1%3A1..6641&amp;tracks=prokka,prokka_ncrna,ncbi,ncbi_ncrna,panggolin,cenote,genomad&amp;highlight=","Open JBrowse")</f>
        <v>Open JBrowse</v>
      </c>
      <c r="H1075">
        <v>3</v>
      </c>
      <c r="I1075">
        <v>3641</v>
      </c>
      <c r="J1075" t="s">
        <v>5344</v>
      </c>
      <c r="K1075" t="s">
        <v>59</v>
      </c>
      <c r="L1075" t="s">
        <v>59</v>
      </c>
      <c r="M1075" t="s">
        <v>59</v>
      </c>
      <c r="N1075" t="s">
        <v>227</v>
      </c>
      <c r="O1075">
        <v>1</v>
      </c>
      <c r="P1075" t="s">
        <v>59</v>
      </c>
      <c r="Q1075" t="s">
        <v>59</v>
      </c>
      <c r="R1075" t="s">
        <v>5341</v>
      </c>
      <c r="T1075" t="s">
        <v>42</v>
      </c>
      <c r="X1075" t="s">
        <v>59</v>
      </c>
    </row>
    <row r="1076" spans="1:34" x14ac:dyDescent="0.75">
      <c r="A1076" s="22" t="s">
        <v>6048</v>
      </c>
      <c r="B1076" t="s">
        <v>5751</v>
      </c>
      <c r="C1076" t="s">
        <v>104</v>
      </c>
      <c r="D1076" t="s">
        <v>223</v>
      </c>
      <c r="E1076" t="s">
        <v>224</v>
      </c>
      <c r="F1076" t="s">
        <v>5752</v>
      </c>
      <c r="G1076" s="1" t="str">
        <f>HYPERLINK("https://homd.org/jbrowse/?data=homd_V11.02_phage_1.2%2FGCA_937919565.1&amp;loc=GCA_937919565.1%7CCALFOW010000230.1%3A1..6703&amp;tracks=prokka,prokka_ncrna,ncbi,ncbi_ncrna,panggolin,cenote,genomad&amp;highlight=","Open JBrowse")</f>
        <v>Open JBrowse</v>
      </c>
      <c r="H1076">
        <v>2</v>
      </c>
      <c r="I1076">
        <v>3703</v>
      </c>
      <c r="J1076" t="s">
        <v>5753</v>
      </c>
      <c r="K1076" t="s">
        <v>59</v>
      </c>
      <c r="L1076" t="s">
        <v>59</v>
      </c>
      <c r="M1076" t="s">
        <v>59</v>
      </c>
      <c r="N1076" t="s">
        <v>227</v>
      </c>
      <c r="O1076">
        <v>1</v>
      </c>
      <c r="P1076" t="s">
        <v>59</v>
      </c>
      <c r="Q1076" t="s">
        <v>59</v>
      </c>
      <c r="R1076" t="s">
        <v>5754</v>
      </c>
      <c r="T1076" t="s">
        <v>42</v>
      </c>
      <c r="X1076" t="s">
        <v>59</v>
      </c>
    </row>
    <row r="1077" spans="1:34" x14ac:dyDescent="0.75">
      <c r="A1077" s="22" t="s">
        <v>6048</v>
      </c>
      <c r="B1077" t="s">
        <v>5891</v>
      </c>
      <c r="C1077" t="s">
        <v>104</v>
      </c>
      <c r="D1077" t="s">
        <v>1992</v>
      </c>
      <c r="E1077" t="s">
        <v>1993</v>
      </c>
      <c r="F1077" t="s">
        <v>5892</v>
      </c>
      <c r="G1077" s="1" t="str">
        <f>HYPERLINK("https://homd.org/jbrowse/?data=homd_V11.02_phage_1.2%2FGCA_938041125.1&amp;loc=GCA_938041125.1%7CCALHZC010000058.1%3A29562..36413&amp;tracks=prokka,prokka_ncrna,ncbi,ncbi_ncrna,panggolin,cenote,genomad&amp;highlight=","Open JBrowse")</f>
        <v>Open JBrowse</v>
      </c>
      <c r="H1077">
        <v>32562</v>
      </c>
      <c r="I1077">
        <v>33413</v>
      </c>
      <c r="J1077" t="s">
        <v>5893</v>
      </c>
      <c r="K1077" t="s">
        <v>59</v>
      </c>
      <c r="L1077" t="s">
        <v>59</v>
      </c>
      <c r="M1077" t="s">
        <v>59</v>
      </c>
      <c r="N1077" t="s">
        <v>42</v>
      </c>
      <c r="O1077">
        <v>1</v>
      </c>
      <c r="P1077" t="s">
        <v>59</v>
      </c>
      <c r="Q1077" t="s">
        <v>59</v>
      </c>
      <c r="R1077" t="s">
        <v>5894</v>
      </c>
      <c r="T1077" t="s">
        <v>42</v>
      </c>
      <c r="X1077" t="s">
        <v>59</v>
      </c>
    </row>
    <row r="1078" spans="1:34" x14ac:dyDescent="0.75">
      <c r="A1078" s="22" t="s">
        <v>6048</v>
      </c>
      <c r="B1078" t="s">
        <v>5936</v>
      </c>
      <c r="C1078" t="s">
        <v>104</v>
      </c>
      <c r="D1078" t="s">
        <v>1998</v>
      </c>
      <c r="E1078" t="s">
        <v>1999</v>
      </c>
      <c r="F1078" t="s">
        <v>5937</v>
      </c>
      <c r="G1078" s="1" t="str">
        <f>HYPERLINK("https://homd.org/jbrowse/?data=homd_V11.02_phage_1.2%2FGCA_945829905.1&amp;loc=GCA_945829905.1%7CCALZWP010000009.1%3A54402..61235&amp;tracks=prokka,prokka_ncrna,ncbi,ncbi_ncrna,panggolin,cenote,genomad&amp;highlight=","Open JBrowse")</f>
        <v>Open JBrowse</v>
      </c>
      <c r="H1078">
        <v>57402</v>
      </c>
      <c r="I1078">
        <v>58235</v>
      </c>
      <c r="J1078" t="s">
        <v>5938</v>
      </c>
      <c r="K1078" t="s">
        <v>59</v>
      </c>
      <c r="L1078" t="s">
        <v>59</v>
      </c>
      <c r="M1078" t="s">
        <v>59</v>
      </c>
      <c r="N1078" t="s">
        <v>42</v>
      </c>
      <c r="O1078">
        <v>1</v>
      </c>
      <c r="P1078" t="s">
        <v>59</v>
      </c>
      <c r="Q1078" t="s">
        <v>59</v>
      </c>
      <c r="R1078" t="s">
        <v>5939</v>
      </c>
      <c r="T1078" t="s">
        <v>42</v>
      </c>
      <c r="X1078" t="s">
        <v>59</v>
      </c>
    </row>
    <row r="1079" spans="1:34" x14ac:dyDescent="0.75">
      <c r="A1079" s="22" t="s">
        <v>6048</v>
      </c>
      <c r="B1079" t="s">
        <v>5951</v>
      </c>
      <c r="C1079" t="s">
        <v>104</v>
      </c>
      <c r="D1079" t="s">
        <v>1998</v>
      </c>
      <c r="E1079" t="s">
        <v>1999</v>
      </c>
      <c r="F1079" t="s">
        <v>5952</v>
      </c>
      <c r="G1079" s="1" t="str">
        <f>HYPERLINK("https://homd.org/jbrowse/?data=homd_V11.02_phage_1.2%2FGCA_945869495.1&amp;loc=GCA_945869495.1%7CCAMBOX010000013.1%3A17270..24103&amp;tracks=prokka,prokka_ncrna,ncbi,ncbi_ncrna,panggolin,cenote,genomad&amp;highlight=","Open JBrowse")</f>
        <v>Open JBrowse</v>
      </c>
      <c r="H1079">
        <v>20270</v>
      </c>
      <c r="I1079">
        <v>21103</v>
      </c>
      <c r="J1079" t="s">
        <v>5953</v>
      </c>
      <c r="K1079" t="s">
        <v>59</v>
      </c>
      <c r="L1079" t="s">
        <v>59</v>
      </c>
      <c r="M1079" t="s">
        <v>59</v>
      </c>
      <c r="N1079" t="s">
        <v>42</v>
      </c>
      <c r="O1079">
        <v>1</v>
      </c>
      <c r="P1079" t="s">
        <v>59</v>
      </c>
      <c r="Q1079" t="s">
        <v>59</v>
      </c>
      <c r="R1079" t="s">
        <v>5954</v>
      </c>
      <c r="T1079" t="s">
        <v>42</v>
      </c>
      <c r="X1079" t="s">
        <v>59</v>
      </c>
    </row>
    <row r="1080" spans="1:34" x14ac:dyDescent="0.75">
      <c r="A1080" s="22" t="s">
        <v>6048</v>
      </c>
      <c r="B1080" t="s">
        <v>5959</v>
      </c>
      <c r="C1080" t="s">
        <v>104</v>
      </c>
      <c r="D1080" t="s">
        <v>1998</v>
      </c>
      <c r="E1080" t="s">
        <v>1999</v>
      </c>
      <c r="F1080" t="s">
        <v>5960</v>
      </c>
      <c r="G1080" s="1" t="str">
        <f>HYPERLINK("https://homd.org/jbrowse/?data=homd_V11.02_phage_1.2%2FGCA_945917645.1&amp;loc=GCA_945917645.1%7CCAMEHQ010000008.1%3A60884..67735&amp;tracks=prokka,prokka_ncrna,ncbi,ncbi_ncrna,panggolin,cenote,genomad&amp;highlight=","Open JBrowse")</f>
        <v>Open JBrowse</v>
      </c>
      <c r="H1080">
        <v>63884</v>
      </c>
      <c r="I1080">
        <v>64735</v>
      </c>
      <c r="J1080" t="s">
        <v>5961</v>
      </c>
      <c r="K1080" t="s">
        <v>59</v>
      </c>
      <c r="L1080" t="s">
        <v>59</v>
      </c>
      <c r="M1080" t="s">
        <v>59</v>
      </c>
      <c r="N1080" t="s">
        <v>42</v>
      </c>
      <c r="O1080">
        <v>1</v>
      </c>
      <c r="P1080" t="s">
        <v>59</v>
      </c>
      <c r="Q1080" t="s">
        <v>59</v>
      </c>
      <c r="R1080" t="s">
        <v>5962</v>
      </c>
      <c r="T1080" t="s">
        <v>42</v>
      </c>
      <c r="X1080" t="s">
        <v>59</v>
      </c>
    </row>
    <row r="1081" spans="1:34" x14ac:dyDescent="0.75">
      <c r="A1081" s="22" t="s">
        <v>6047</v>
      </c>
      <c r="B1081" t="s">
        <v>685</v>
      </c>
      <c r="C1081" t="s">
        <v>686</v>
      </c>
      <c r="D1081" t="s">
        <v>687</v>
      </c>
      <c r="E1081" t="s">
        <v>688</v>
      </c>
      <c r="F1081" t="s">
        <v>689</v>
      </c>
      <c r="G1081" s="1" t="str">
        <f>HYPERLINK("https://homd.org/jbrowse/?data=homd_V11.02_phage_1.2%2FGCA_000279145.1&amp;loc=GCA_000279145.1%7CCP003557.1%3A141873..148967&amp;tracks=prokka,prokka_ncrna,ncbi,ncbi_ncrna,panggolin,cenote,genomad&amp;highlight=","Open JBrowse")</f>
        <v>Open JBrowse</v>
      </c>
      <c r="H1081">
        <v>144873</v>
      </c>
      <c r="I1081">
        <v>145967</v>
      </c>
      <c r="J1081" t="s">
        <v>690</v>
      </c>
      <c r="K1081" t="s">
        <v>375</v>
      </c>
      <c r="L1081" t="s">
        <v>691</v>
      </c>
      <c r="M1081" t="s">
        <v>692</v>
      </c>
      <c r="N1081" t="s">
        <v>42</v>
      </c>
      <c r="O1081">
        <v>3</v>
      </c>
      <c r="P1081" t="s">
        <v>42</v>
      </c>
      <c r="Q1081" t="s">
        <v>101</v>
      </c>
      <c r="R1081" t="s">
        <v>693</v>
      </c>
      <c r="S1081" t="s">
        <v>691</v>
      </c>
      <c r="T1081" t="s">
        <v>42</v>
      </c>
      <c r="U1081">
        <v>29</v>
      </c>
      <c r="V1081">
        <v>261</v>
      </c>
      <c r="W1081">
        <v>233</v>
      </c>
      <c r="X1081" t="s">
        <v>379</v>
      </c>
      <c r="Y1081" t="s">
        <v>694</v>
      </c>
      <c r="Z1081" t="s">
        <v>645</v>
      </c>
      <c r="AA1081" t="s">
        <v>695</v>
      </c>
      <c r="AB1081" t="s">
        <v>696</v>
      </c>
      <c r="AC1081" t="s">
        <v>697</v>
      </c>
      <c r="AD1081" t="s">
        <v>101</v>
      </c>
      <c r="AE1081">
        <v>1662</v>
      </c>
      <c r="AF1081" t="s">
        <v>165</v>
      </c>
      <c r="AG1081" t="s">
        <v>101</v>
      </c>
      <c r="AH1081">
        <v>2</v>
      </c>
    </row>
    <row r="1082" spans="1:34" x14ac:dyDescent="0.75">
      <c r="A1082" s="22" t="s">
        <v>6047</v>
      </c>
      <c r="B1082" t="s">
        <v>685</v>
      </c>
      <c r="C1082" t="s">
        <v>686</v>
      </c>
      <c r="D1082" t="s">
        <v>687</v>
      </c>
      <c r="E1082" t="s">
        <v>688</v>
      </c>
      <c r="F1082" t="s">
        <v>689</v>
      </c>
      <c r="G1082" s="1" t="str">
        <f>HYPERLINK("https://homd.org/jbrowse/?data=homd_V11.02_phage_1.2%2FGCA_000279145.1&amp;loc=GCA_000279145.1%7CCP003557.1%3A1126557..1133852&amp;tracks=prokka,prokka_ncrna,ncbi,ncbi_ncrna,panggolin,cenote,genomad&amp;highlight=","Open JBrowse")</f>
        <v>Open JBrowse</v>
      </c>
      <c r="H1082">
        <v>1129557</v>
      </c>
      <c r="I1082">
        <v>1130852</v>
      </c>
      <c r="J1082" t="s">
        <v>698</v>
      </c>
      <c r="K1082" t="s">
        <v>109</v>
      </c>
      <c r="L1082" t="s">
        <v>699</v>
      </c>
      <c r="M1082" t="s">
        <v>700</v>
      </c>
      <c r="N1082" t="s">
        <v>701</v>
      </c>
      <c r="O1082">
        <v>3</v>
      </c>
      <c r="P1082" t="s">
        <v>702</v>
      </c>
      <c r="Q1082" t="s">
        <v>101</v>
      </c>
      <c r="R1082" t="s">
        <v>693</v>
      </c>
      <c r="S1082" t="s">
        <v>703</v>
      </c>
      <c r="T1082" t="s">
        <v>42</v>
      </c>
      <c r="U1082">
        <v>34</v>
      </c>
      <c r="V1082">
        <v>237</v>
      </c>
      <c r="W1082">
        <v>204</v>
      </c>
      <c r="X1082" t="s">
        <v>248</v>
      </c>
      <c r="Y1082" t="s">
        <v>704</v>
      </c>
      <c r="Z1082" t="s">
        <v>281</v>
      </c>
      <c r="AA1082" t="s">
        <v>705</v>
      </c>
      <c r="AB1082" t="s">
        <v>706</v>
      </c>
      <c r="AC1082" t="s">
        <v>707</v>
      </c>
      <c r="AD1082" t="s">
        <v>708</v>
      </c>
      <c r="AE1082">
        <v>1671.1</v>
      </c>
      <c r="AF1082" t="s">
        <v>709</v>
      </c>
      <c r="AG1082" t="s">
        <v>710</v>
      </c>
      <c r="AH1082">
        <v>3</v>
      </c>
    </row>
    <row r="1083" spans="1:34" x14ac:dyDescent="0.75">
      <c r="A1083" s="22" t="s">
        <v>6047</v>
      </c>
      <c r="B1083" t="s">
        <v>711</v>
      </c>
      <c r="C1083" t="s">
        <v>686</v>
      </c>
      <c r="D1083" t="s">
        <v>712</v>
      </c>
      <c r="E1083" t="s">
        <v>713</v>
      </c>
      <c r="F1083" t="s">
        <v>714</v>
      </c>
      <c r="G1083" s="1" t="str">
        <f>HYPERLINK("https://homd.org/jbrowse/?data=homd_V11.02_phage_1.2%2FGCA_000281175.1&amp;loc=GCA_000281175.1%7CAP012337.1%3A3057078..3064307&amp;tracks=prokka,prokka_ncrna,ncbi,ncbi_ncrna,panggolin,cenote,genomad&amp;highlight=","Open JBrowse")</f>
        <v>Open JBrowse</v>
      </c>
      <c r="H1083">
        <v>3060078</v>
      </c>
      <c r="I1083">
        <v>3061307</v>
      </c>
      <c r="J1083" t="s">
        <v>715</v>
      </c>
      <c r="K1083" t="s">
        <v>716</v>
      </c>
      <c r="L1083" t="s">
        <v>717</v>
      </c>
      <c r="M1083" t="s">
        <v>718</v>
      </c>
      <c r="N1083" t="s">
        <v>42</v>
      </c>
      <c r="O1083">
        <v>3</v>
      </c>
      <c r="P1083" t="s">
        <v>42</v>
      </c>
      <c r="Q1083" t="s">
        <v>101</v>
      </c>
      <c r="R1083" t="s">
        <v>719</v>
      </c>
      <c r="S1083" t="s">
        <v>717</v>
      </c>
      <c r="T1083" t="s">
        <v>42</v>
      </c>
      <c r="U1083">
        <v>68</v>
      </c>
      <c r="V1083">
        <v>294</v>
      </c>
      <c r="W1083">
        <v>227</v>
      </c>
      <c r="X1083" t="s">
        <v>720</v>
      </c>
      <c r="Y1083" t="s">
        <v>721</v>
      </c>
      <c r="Z1083" t="s">
        <v>722</v>
      </c>
      <c r="AA1083" t="s">
        <v>723</v>
      </c>
      <c r="AB1083" t="s">
        <v>724</v>
      </c>
      <c r="AC1083" t="s">
        <v>506</v>
      </c>
      <c r="AD1083" t="s">
        <v>507</v>
      </c>
      <c r="AE1083">
        <v>405</v>
      </c>
      <c r="AF1083" t="s">
        <v>725</v>
      </c>
      <c r="AG1083" t="s">
        <v>101</v>
      </c>
      <c r="AH1083">
        <v>7</v>
      </c>
    </row>
    <row r="1084" spans="1:34" x14ac:dyDescent="0.75">
      <c r="A1084" s="22" t="s">
        <v>6047</v>
      </c>
      <c r="B1084" t="s">
        <v>711</v>
      </c>
      <c r="C1084" t="s">
        <v>686</v>
      </c>
      <c r="D1084" t="s">
        <v>712</v>
      </c>
      <c r="E1084" t="s">
        <v>713</v>
      </c>
      <c r="F1084" t="s">
        <v>714</v>
      </c>
      <c r="G1084" s="1" t="str">
        <f>HYPERLINK("https://homd.org/jbrowse/?data=homd_V11.02_phage_1.2%2FGCA_000281175.1&amp;loc=GCA_000281175.1%7CAP012337.1%3A3058360..3068115&amp;tracks=prokka,prokka_ncrna,ncbi,ncbi_ncrna,panggolin,cenote,genomad&amp;highlight=","Open JBrowse")</f>
        <v>Open JBrowse</v>
      </c>
      <c r="H1084">
        <v>3061360</v>
      </c>
      <c r="I1084">
        <v>3065115</v>
      </c>
      <c r="J1084" t="s">
        <v>726</v>
      </c>
      <c r="K1084" t="s">
        <v>727</v>
      </c>
      <c r="L1084" t="s">
        <v>728</v>
      </c>
      <c r="M1084" t="s">
        <v>729</v>
      </c>
      <c r="N1084" t="s">
        <v>730</v>
      </c>
      <c r="O1084">
        <v>3</v>
      </c>
      <c r="P1084" t="s">
        <v>731</v>
      </c>
      <c r="Q1084" t="s">
        <v>101</v>
      </c>
      <c r="R1084" t="s">
        <v>719</v>
      </c>
      <c r="S1084" t="s">
        <v>732</v>
      </c>
      <c r="T1084" t="s">
        <v>42</v>
      </c>
      <c r="U1084">
        <v>922</v>
      </c>
      <c r="V1084">
        <v>1167</v>
      </c>
      <c r="W1084">
        <v>246</v>
      </c>
      <c r="X1084" t="s">
        <v>733</v>
      </c>
      <c r="Y1084" t="s">
        <v>721</v>
      </c>
      <c r="Z1084" t="s">
        <v>722</v>
      </c>
      <c r="AA1084" t="s">
        <v>723</v>
      </c>
      <c r="AB1084" t="s">
        <v>724</v>
      </c>
      <c r="AC1084" t="s">
        <v>506</v>
      </c>
      <c r="AD1084" t="s">
        <v>507</v>
      </c>
      <c r="AE1084">
        <v>405</v>
      </c>
      <c r="AF1084" t="s">
        <v>725</v>
      </c>
      <c r="AG1084" t="s">
        <v>101</v>
      </c>
      <c r="AH1084">
        <v>7</v>
      </c>
    </row>
    <row r="1085" spans="1:34" x14ac:dyDescent="0.75">
      <c r="A1085" s="22" t="s">
        <v>6047</v>
      </c>
      <c r="B1085" t="s">
        <v>1307</v>
      </c>
      <c r="C1085" t="s">
        <v>1308</v>
      </c>
      <c r="D1085" t="s">
        <v>1309</v>
      </c>
      <c r="E1085" t="s">
        <v>1310</v>
      </c>
      <c r="F1085" t="s">
        <v>1311</v>
      </c>
      <c r="G1085" s="1" t="str">
        <f>HYPERLINK("https://homd.org/jbrowse/?data=homd_V11.02_phage_1.2%2FGCA_000741405.1&amp;loc=GCA_000741405.1%7CJGZO01000004.1%3A145284..152225&amp;tracks=prokka,prokka_ncrna,ncbi,ncbi_ncrna,panggolin,cenote,genomad&amp;highlight=","Open JBrowse")</f>
        <v>Open JBrowse</v>
      </c>
      <c r="H1085">
        <v>148284</v>
      </c>
      <c r="I1085">
        <v>149225</v>
      </c>
      <c r="J1085" t="s">
        <v>1312</v>
      </c>
      <c r="K1085" t="s">
        <v>1313</v>
      </c>
      <c r="L1085" t="s">
        <v>1314</v>
      </c>
      <c r="M1085" t="s">
        <v>1315</v>
      </c>
      <c r="N1085" t="s">
        <v>398</v>
      </c>
      <c r="O1085">
        <v>3</v>
      </c>
      <c r="P1085" t="s">
        <v>42</v>
      </c>
      <c r="Q1085" t="s">
        <v>207</v>
      </c>
      <c r="R1085" t="s">
        <v>1316</v>
      </c>
      <c r="S1085" t="s">
        <v>1314</v>
      </c>
      <c r="T1085" t="s">
        <v>42</v>
      </c>
      <c r="U1085">
        <v>7</v>
      </c>
      <c r="V1085">
        <v>212</v>
      </c>
      <c r="W1085">
        <v>206</v>
      </c>
      <c r="X1085" t="s">
        <v>1317</v>
      </c>
      <c r="Y1085" t="s">
        <v>1318</v>
      </c>
      <c r="Z1085" t="s">
        <v>126</v>
      </c>
      <c r="AA1085" t="s">
        <v>1319</v>
      </c>
      <c r="AB1085" t="s">
        <v>1320</v>
      </c>
      <c r="AG1085" t="s">
        <v>1321</v>
      </c>
      <c r="AH1085">
        <v>2</v>
      </c>
    </row>
    <row r="1086" spans="1:34" x14ac:dyDescent="0.75">
      <c r="A1086" s="22" t="s">
        <v>6047</v>
      </c>
      <c r="B1086" t="s">
        <v>1336</v>
      </c>
      <c r="C1086" t="s">
        <v>1308</v>
      </c>
      <c r="D1086" t="s">
        <v>1309</v>
      </c>
      <c r="E1086" t="s">
        <v>1310</v>
      </c>
      <c r="F1086" t="s">
        <v>1337</v>
      </c>
      <c r="G1086" s="1" t="str">
        <f>HYPERLINK("https://homd.org/jbrowse/?data=homd_V11.02_phage_1.2%2FGCA_000770985.1&amp;loc=GCA_000770985.1%7CJDTN01000092.1%3A1..4560&amp;tracks=prokka,prokka_ncrna,ncbi,ncbi_ncrna,panggolin,cenote,genomad&amp;highlight=","Open JBrowse")</f>
        <v>Open JBrowse</v>
      </c>
      <c r="H1086">
        <v>475</v>
      </c>
      <c r="I1086">
        <v>1560</v>
      </c>
      <c r="J1086" t="s">
        <v>1338</v>
      </c>
      <c r="K1086" t="s">
        <v>375</v>
      </c>
      <c r="L1086" t="s">
        <v>1339</v>
      </c>
      <c r="M1086" t="s">
        <v>1340</v>
      </c>
      <c r="N1086" t="s">
        <v>398</v>
      </c>
      <c r="O1086">
        <v>3</v>
      </c>
      <c r="P1086" t="s">
        <v>42</v>
      </c>
      <c r="Q1086" t="s">
        <v>101</v>
      </c>
      <c r="R1086" t="s">
        <v>1341</v>
      </c>
      <c r="S1086" t="s">
        <v>1339</v>
      </c>
      <c r="T1086" t="s">
        <v>42</v>
      </c>
      <c r="U1086">
        <v>18</v>
      </c>
      <c r="V1086">
        <v>260</v>
      </c>
      <c r="W1086">
        <v>243</v>
      </c>
      <c r="X1086" t="s">
        <v>379</v>
      </c>
    </row>
    <row r="1087" spans="1:34" x14ac:dyDescent="0.75">
      <c r="A1087" s="22" t="s">
        <v>6047</v>
      </c>
      <c r="B1087" t="s">
        <v>1352</v>
      </c>
      <c r="C1087" t="s">
        <v>1308</v>
      </c>
      <c r="D1087" t="s">
        <v>1309</v>
      </c>
      <c r="E1087" t="s">
        <v>1310</v>
      </c>
      <c r="F1087" t="s">
        <v>1353</v>
      </c>
      <c r="G1087" s="1" t="str">
        <f>HYPERLINK("https://homd.org/jbrowse/?data=homd_V11.02_phage_1.2%2FGCA_001005065.1&amp;loc=GCA_001005065.1%7CLBIB01000034.1%3A185565..192650&amp;tracks=prokka,prokka_ncrna,ncbi,ncbi_ncrna,panggolin,cenote,genomad&amp;highlight=","Open JBrowse")</f>
        <v>Open JBrowse</v>
      </c>
      <c r="H1087">
        <v>188565</v>
      </c>
      <c r="I1087">
        <v>189650</v>
      </c>
      <c r="J1087" t="s">
        <v>1354</v>
      </c>
      <c r="K1087" t="s">
        <v>375</v>
      </c>
      <c r="L1087" t="s">
        <v>1339</v>
      </c>
      <c r="M1087" t="s">
        <v>1340</v>
      </c>
      <c r="N1087" t="s">
        <v>398</v>
      </c>
      <c r="O1087">
        <v>3</v>
      </c>
      <c r="P1087" t="s">
        <v>42</v>
      </c>
      <c r="Q1087" t="s">
        <v>101</v>
      </c>
      <c r="R1087" t="s">
        <v>1355</v>
      </c>
      <c r="S1087" t="s">
        <v>1339</v>
      </c>
      <c r="T1087" t="s">
        <v>42</v>
      </c>
      <c r="U1087">
        <v>18</v>
      </c>
      <c r="V1087">
        <v>260</v>
      </c>
      <c r="W1087">
        <v>243</v>
      </c>
      <c r="X1087" t="s">
        <v>379</v>
      </c>
      <c r="Y1087" t="s">
        <v>1356</v>
      </c>
      <c r="Z1087" t="s">
        <v>1357</v>
      </c>
      <c r="AA1087" t="s">
        <v>1319</v>
      </c>
      <c r="AB1087" t="s">
        <v>1358</v>
      </c>
      <c r="AG1087" t="s">
        <v>1321</v>
      </c>
      <c r="AH1087">
        <v>2</v>
      </c>
    </row>
    <row r="1088" spans="1:34" x14ac:dyDescent="0.75">
      <c r="A1088" s="22" t="s">
        <v>6047</v>
      </c>
      <c r="B1088" t="s">
        <v>1370</v>
      </c>
      <c r="C1088" t="s">
        <v>1308</v>
      </c>
      <c r="D1088" t="s">
        <v>1309</v>
      </c>
      <c r="E1088" t="s">
        <v>1310</v>
      </c>
      <c r="F1088" t="s">
        <v>1371</v>
      </c>
      <c r="G1088" s="1" t="str">
        <f>HYPERLINK("https://homd.org/jbrowse/?data=homd_V11.02_phage_1.2%2FGCA_001042635.1&amp;loc=GCA_001042635.1%7CAP012331.1%3A1765226..1772311&amp;tracks=prokka,prokka_ncrna,ncbi,ncbi_ncrna,panggolin,cenote,genomad&amp;highlight=","Open JBrowse")</f>
        <v>Open JBrowse</v>
      </c>
      <c r="H1088">
        <v>1768226</v>
      </c>
      <c r="I1088">
        <v>1769311</v>
      </c>
      <c r="J1088" t="s">
        <v>1372</v>
      </c>
      <c r="K1088" t="s">
        <v>375</v>
      </c>
      <c r="L1088" t="s">
        <v>1339</v>
      </c>
      <c r="M1088" t="s">
        <v>1340</v>
      </c>
      <c r="N1088" t="s">
        <v>398</v>
      </c>
      <c r="O1088">
        <v>3</v>
      </c>
      <c r="P1088" t="s">
        <v>42</v>
      </c>
      <c r="Q1088" t="s">
        <v>101</v>
      </c>
      <c r="R1088" t="s">
        <v>1373</v>
      </c>
      <c r="S1088" t="s">
        <v>1339</v>
      </c>
      <c r="T1088" t="s">
        <v>42</v>
      </c>
      <c r="U1088">
        <v>18</v>
      </c>
      <c r="V1088">
        <v>260</v>
      </c>
      <c r="W1088">
        <v>243</v>
      </c>
      <c r="X1088" t="s">
        <v>379</v>
      </c>
      <c r="Y1088" t="s">
        <v>1374</v>
      </c>
      <c r="Z1088" t="s">
        <v>97</v>
      </c>
      <c r="AA1088" t="s">
        <v>1319</v>
      </c>
      <c r="AB1088" t="s">
        <v>1375</v>
      </c>
      <c r="AG1088" t="s">
        <v>1321</v>
      </c>
      <c r="AH1088">
        <v>2</v>
      </c>
    </row>
    <row r="1089" spans="1:34" x14ac:dyDescent="0.75">
      <c r="A1089" s="22" t="s">
        <v>6047</v>
      </c>
      <c r="B1089" t="s">
        <v>1918</v>
      </c>
      <c r="C1089" t="s">
        <v>1308</v>
      </c>
      <c r="D1089" t="s">
        <v>1919</v>
      </c>
      <c r="E1089" t="s">
        <v>1920</v>
      </c>
      <c r="F1089" t="s">
        <v>1921</v>
      </c>
      <c r="G1089" s="1" t="str">
        <f>HYPERLINK("https://homd.org/jbrowse/?data=homd_V11.02_phage_1.2%2FGCA_002894165.1&amp;loc=GCA_002894165.1%7CNBAX01000001.1%3A357648..366899&amp;tracks=prokka,prokka_ncrna,ncbi,ncbi_ncrna,panggolin,cenote,genomad&amp;highlight=","Open JBrowse")</f>
        <v>Open JBrowse</v>
      </c>
      <c r="H1089">
        <v>360648</v>
      </c>
      <c r="I1089">
        <v>363899</v>
      </c>
      <c r="J1089" t="s">
        <v>1922</v>
      </c>
      <c r="K1089" t="s">
        <v>59</v>
      </c>
      <c r="L1089" t="s">
        <v>1923</v>
      </c>
      <c r="M1089" t="s">
        <v>1924</v>
      </c>
      <c r="N1089" t="s">
        <v>573</v>
      </c>
      <c r="O1089">
        <v>3</v>
      </c>
      <c r="P1089" t="s">
        <v>42</v>
      </c>
      <c r="Q1089" t="s">
        <v>59</v>
      </c>
      <c r="R1089" t="s">
        <v>1925</v>
      </c>
      <c r="S1089" t="s">
        <v>1923</v>
      </c>
      <c r="T1089" t="s">
        <v>42</v>
      </c>
      <c r="U1089">
        <v>802</v>
      </c>
      <c r="V1089">
        <v>1034</v>
      </c>
      <c r="W1089">
        <v>233</v>
      </c>
      <c r="X1089" t="s">
        <v>160</v>
      </c>
      <c r="Y1089" t="s">
        <v>1926</v>
      </c>
      <c r="Z1089" t="s">
        <v>586</v>
      </c>
      <c r="AA1089" t="s">
        <v>1927</v>
      </c>
      <c r="AB1089" t="s">
        <v>1928</v>
      </c>
      <c r="AC1089" t="s">
        <v>1929</v>
      </c>
      <c r="AD1089" t="s">
        <v>1930</v>
      </c>
      <c r="AE1089">
        <v>510</v>
      </c>
      <c r="AF1089" t="s">
        <v>165</v>
      </c>
      <c r="AG1089" t="s">
        <v>185</v>
      </c>
      <c r="AH1089">
        <v>2</v>
      </c>
    </row>
    <row r="1090" spans="1:34" x14ac:dyDescent="0.75">
      <c r="A1090" s="22" t="s">
        <v>6047</v>
      </c>
      <c r="B1090" t="s">
        <v>1918</v>
      </c>
      <c r="C1090" t="s">
        <v>1308</v>
      </c>
      <c r="D1090" t="s">
        <v>1919</v>
      </c>
      <c r="E1090" t="s">
        <v>1920</v>
      </c>
      <c r="F1090" t="s">
        <v>1931</v>
      </c>
      <c r="G1090" s="1" t="str">
        <f>HYPERLINK("https://homd.org/jbrowse/?data=homd_V11.02_phage_1.2%2FGCA_002894165.1&amp;loc=GCA_002894165.1%7CNBAX01000004.1%3A180679..187527&amp;tracks=prokka,prokka_ncrna,ncbi,ncbi_ncrna,panggolin,cenote,genomad&amp;highlight=","Open JBrowse")</f>
        <v>Open JBrowse</v>
      </c>
      <c r="H1090">
        <v>183679</v>
      </c>
      <c r="I1090">
        <v>184527</v>
      </c>
      <c r="J1090" t="s">
        <v>1932</v>
      </c>
      <c r="K1090" t="s">
        <v>59</v>
      </c>
      <c r="L1090" t="s">
        <v>1933</v>
      </c>
      <c r="M1090" t="s">
        <v>1934</v>
      </c>
      <c r="N1090" t="s">
        <v>59</v>
      </c>
      <c r="O1090">
        <v>2</v>
      </c>
      <c r="P1090" t="s">
        <v>42</v>
      </c>
      <c r="Q1090" t="s">
        <v>59</v>
      </c>
      <c r="R1090" t="s">
        <v>1925</v>
      </c>
      <c r="S1090" t="s">
        <v>1933</v>
      </c>
      <c r="T1090" t="s">
        <v>42</v>
      </c>
      <c r="U1090">
        <v>40</v>
      </c>
      <c r="V1090">
        <v>270</v>
      </c>
      <c r="W1090">
        <v>231</v>
      </c>
      <c r="X1090" t="s">
        <v>160</v>
      </c>
      <c r="Y1090" t="s">
        <v>1935</v>
      </c>
      <c r="Z1090" t="s">
        <v>281</v>
      </c>
      <c r="AA1090" t="s">
        <v>1936</v>
      </c>
    </row>
    <row r="1091" spans="1:34" x14ac:dyDescent="0.75">
      <c r="A1091" s="22" t="s">
        <v>6047</v>
      </c>
      <c r="B1091" t="s">
        <v>3079</v>
      </c>
      <c r="C1091" t="s">
        <v>1308</v>
      </c>
      <c r="D1091" t="s">
        <v>1919</v>
      </c>
      <c r="E1091" t="s">
        <v>1920</v>
      </c>
      <c r="F1091" t="s">
        <v>3080</v>
      </c>
      <c r="G1091" s="1" t="str">
        <f>HYPERLINK("https://homd.org/jbrowse/?data=homd_V11.02_phage_1.2%2FGCA_015548615.1&amp;loc=GCA_015548615.1%7CJADMXI010000044.1%3A12594..21845&amp;tracks=prokka,prokka_ncrna,ncbi,ncbi_ncrna,panggolin,cenote,genomad&amp;highlight=","Open JBrowse")</f>
        <v>Open JBrowse</v>
      </c>
      <c r="H1091">
        <v>15594</v>
      </c>
      <c r="I1091">
        <v>18845</v>
      </c>
      <c r="J1091" t="s">
        <v>3081</v>
      </c>
      <c r="K1091" t="s">
        <v>59</v>
      </c>
      <c r="L1091" t="s">
        <v>1923</v>
      </c>
      <c r="M1091" t="s">
        <v>1924</v>
      </c>
      <c r="N1091" t="s">
        <v>573</v>
      </c>
      <c r="O1091">
        <v>3</v>
      </c>
      <c r="P1091" t="s">
        <v>42</v>
      </c>
      <c r="Q1091" t="s">
        <v>59</v>
      </c>
      <c r="R1091" t="s">
        <v>3082</v>
      </c>
      <c r="S1091" t="s">
        <v>1923</v>
      </c>
      <c r="T1091" t="s">
        <v>42</v>
      </c>
      <c r="U1091">
        <v>802</v>
      </c>
      <c r="V1091">
        <v>1034</v>
      </c>
      <c r="W1091">
        <v>233</v>
      </c>
      <c r="X1091" t="s">
        <v>160</v>
      </c>
      <c r="Y1091" t="s">
        <v>3083</v>
      </c>
      <c r="Z1091" t="s">
        <v>1450</v>
      </c>
      <c r="AA1091" t="s">
        <v>3084</v>
      </c>
      <c r="AB1091" t="s">
        <v>3085</v>
      </c>
      <c r="AC1091" t="s">
        <v>1929</v>
      </c>
      <c r="AD1091" t="s">
        <v>1930</v>
      </c>
      <c r="AE1091">
        <v>512</v>
      </c>
      <c r="AF1091" t="s">
        <v>165</v>
      </c>
      <c r="AG1091" t="s">
        <v>185</v>
      </c>
      <c r="AH1091">
        <v>2</v>
      </c>
    </row>
    <row r="1092" spans="1:34" x14ac:dyDescent="0.75">
      <c r="A1092" s="22" t="s">
        <v>6047</v>
      </c>
      <c r="B1092" t="s">
        <v>4200</v>
      </c>
      <c r="C1092" t="s">
        <v>1308</v>
      </c>
      <c r="D1092" t="s">
        <v>1919</v>
      </c>
      <c r="E1092" t="s">
        <v>1920</v>
      </c>
      <c r="F1092" t="s">
        <v>4201</v>
      </c>
      <c r="G1092" s="1" t="str">
        <f>HYPERLINK("https://homd.org/jbrowse/?data=homd_V11.02_phage_1.2%2FGCA_023522295.1&amp;loc=GCA_023522295.1%7CQFFX01000062.1%3A6666..15917&amp;tracks=prokka,prokka_ncrna,ncbi,ncbi_ncrna,panggolin,cenote,genomad&amp;highlight=","Open JBrowse")</f>
        <v>Open JBrowse</v>
      </c>
      <c r="H1092">
        <v>9666</v>
      </c>
      <c r="I1092">
        <v>12917</v>
      </c>
      <c r="J1092" t="s">
        <v>4202</v>
      </c>
      <c r="K1092" t="s">
        <v>59</v>
      </c>
      <c r="L1092" t="s">
        <v>1923</v>
      </c>
      <c r="M1092" t="s">
        <v>1924</v>
      </c>
      <c r="N1092" t="s">
        <v>573</v>
      </c>
      <c r="O1092">
        <v>3</v>
      </c>
      <c r="P1092" t="s">
        <v>42</v>
      </c>
      <c r="Q1092" t="s">
        <v>59</v>
      </c>
      <c r="R1092" t="s">
        <v>4203</v>
      </c>
      <c r="S1092" t="s">
        <v>1923</v>
      </c>
      <c r="T1092" t="s">
        <v>42</v>
      </c>
      <c r="U1092">
        <v>802</v>
      </c>
      <c r="V1092">
        <v>1034</v>
      </c>
      <c r="W1092">
        <v>233</v>
      </c>
      <c r="X1092" t="s">
        <v>160</v>
      </c>
    </row>
    <row r="1093" spans="1:34" x14ac:dyDescent="0.75">
      <c r="A1093" s="22" t="s">
        <v>6047</v>
      </c>
      <c r="B1093" t="s">
        <v>5928</v>
      </c>
      <c r="C1093" t="s">
        <v>1308</v>
      </c>
      <c r="D1093" t="s">
        <v>1919</v>
      </c>
      <c r="E1093" t="s">
        <v>1920</v>
      </c>
      <c r="F1093" t="s">
        <v>5929</v>
      </c>
      <c r="G1093" s="1" t="str">
        <f>HYPERLINK("https://homd.org/jbrowse/?data=homd_V11.02_phage_1.2%2FGCA_943913865.1&amp;loc=GCA_943913865.1%7CCALTZV010000008.1%3A58031..67255&amp;tracks=prokka,prokka_ncrna,ncbi,ncbi_ncrna,panggolin,cenote,genomad&amp;highlight=","Open JBrowse")</f>
        <v>Open JBrowse</v>
      </c>
      <c r="H1093">
        <v>61031</v>
      </c>
      <c r="I1093">
        <v>64255</v>
      </c>
      <c r="J1093" t="s">
        <v>5930</v>
      </c>
      <c r="K1093" t="s">
        <v>59</v>
      </c>
      <c r="L1093" t="s">
        <v>571</v>
      </c>
      <c r="M1093" t="s">
        <v>572</v>
      </c>
      <c r="N1093" t="s">
        <v>573</v>
      </c>
      <c r="O1093">
        <v>3</v>
      </c>
      <c r="P1093" t="s">
        <v>42</v>
      </c>
      <c r="Q1093" t="s">
        <v>59</v>
      </c>
      <c r="R1093" t="s">
        <v>5931</v>
      </c>
      <c r="S1093" t="s">
        <v>571</v>
      </c>
      <c r="T1093" t="s">
        <v>42</v>
      </c>
      <c r="U1093">
        <v>793</v>
      </c>
      <c r="V1093">
        <v>1025</v>
      </c>
      <c r="W1093">
        <v>233</v>
      </c>
      <c r="X1093" t="s">
        <v>160</v>
      </c>
      <c r="Y1093" t="s">
        <v>5932</v>
      </c>
      <c r="Z1093" t="s">
        <v>126</v>
      </c>
      <c r="AA1093" t="s">
        <v>5933</v>
      </c>
      <c r="AB1093" t="s">
        <v>5934</v>
      </c>
      <c r="AC1093" t="s">
        <v>5935</v>
      </c>
      <c r="AD1093" t="s">
        <v>183</v>
      </c>
      <c r="AE1093">
        <v>1210</v>
      </c>
      <c r="AF1093" t="s">
        <v>2449</v>
      </c>
      <c r="AG1093" t="s">
        <v>185</v>
      </c>
      <c r="AH1093">
        <v>2</v>
      </c>
    </row>
    <row r="1094" spans="1:34" x14ac:dyDescent="0.75">
      <c r="A1094" s="22" t="s">
        <v>6047</v>
      </c>
      <c r="B1094" t="s">
        <v>5972</v>
      </c>
      <c r="C1094" t="s">
        <v>1308</v>
      </c>
      <c r="D1094" t="s">
        <v>1919</v>
      </c>
      <c r="E1094" t="s">
        <v>1920</v>
      </c>
      <c r="F1094" t="s">
        <v>5973</v>
      </c>
      <c r="G1094" s="1" t="str">
        <f>HYPERLINK("https://homd.org/jbrowse/?data=homd_V11.02_phage_1.2%2FGCA_947000095.1&amp;loc=GCA_947000095.1%7CCAMQFS010000003.1%3A18034..27285&amp;tracks=prokka,prokka_ncrna,ncbi,ncbi_ncrna,panggolin,cenote,genomad&amp;highlight=","Open JBrowse")</f>
        <v>Open JBrowse</v>
      </c>
      <c r="H1094">
        <v>21034</v>
      </c>
      <c r="I1094">
        <v>24285</v>
      </c>
      <c r="J1094" t="s">
        <v>5974</v>
      </c>
      <c r="K1094" t="s">
        <v>59</v>
      </c>
      <c r="L1094" t="s">
        <v>1923</v>
      </c>
      <c r="M1094" t="s">
        <v>1924</v>
      </c>
      <c r="N1094" t="s">
        <v>573</v>
      </c>
      <c r="O1094">
        <v>3</v>
      </c>
      <c r="P1094" t="s">
        <v>42</v>
      </c>
      <c r="Q1094" t="s">
        <v>59</v>
      </c>
      <c r="R1094" t="s">
        <v>5975</v>
      </c>
      <c r="S1094" t="s">
        <v>1923</v>
      </c>
      <c r="T1094" t="s">
        <v>42</v>
      </c>
      <c r="U1094">
        <v>802</v>
      </c>
      <c r="V1094">
        <v>1034</v>
      </c>
      <c r="W1094">
        <v>233</v>
      </c>
      <c r="X1094" t="s">
        <v>160</v>
      </c>
      <c r="Y1094" t="s">
        <v>5976</v>
      </c>
      <c r="Z1094" t="s">
        <v>645</v>
      </c>
      <c r="AA1094" t="s">
        <v>5977</v>
      </c>
      <c r="AB1094" t="s">
        <v>5978</v>
      </c>
      <c r="AC1094" t="s">
        <v>5935</v>
      </c>
      <c r="AD1094" t="s">
        <v>183</v>
      </c>
      <c r="AE1094">
        <v>1216</v>
      </c>
      <c r="AF1094" t="s">
        <v>1990</v>
      </c>
      <c r="AG1094" t="s">
        <v>5979</v>
      </c>
      <c r="AH1094">
        <v>2</v>
      </c>
    </row>
    <row r="1095" spans="1:34" x14ac:dyDescent="0.75">
      <c r="A1095" s="22" t="s">
        <v>6047</v>
      </c>
      <c r="B1095" t="s">
        <v>5972</v>
      </c>
      <c r="C1095" t="s">
        <v>1308</v>
      </c>
      <c r="D1095" t="s">
        <v>1919</v>
      </c>
      <c r="E1095" t="s">
        <v>1920</v>
      </c>
      <c r="F1095" t="s">
        <v>5980</v>
      </c>
      <c r="G1095" s="1" t="str">
        <f>HYPERLINK("https://homd.org/jbrowse/?data=homd_V11.02_phage_1.2%2FGCA_947000095.1&amp;loc=GCA_947000095.1%7CCAMQFS010000013.1%3A21663..28511&amp;tracks=prokka,prokka_ncrna,ncbi,ncbi_ncrna,panggolin,cenote,genomad&amp;highlight=","Open JBrowse")</f>
        <v>Open JBrowse</v>
      </c>
      <c r="H1095">
        <v>24663</v>
      </c>
      <c r="I1095">
        <v>25511</v>
      </c>
      <c r="J1095" t="s">
        <v>5981</v>
      </c>
      <c r="K1095" t="s">
        <v>59</v>
      </c>
      <c r="L1095" t="s">
        <v>1933</v>
      </c>
      <c r="M1095" t="s">
        <v>1934</v>
      </c>
      <c r="N1095" t="s">
        <v>59</v>
      </c>
      <c r="O1095">
        <v>2</v>
      </c>
      <c r="P1095" t="s">
        <v>42</v>
      </c>
      <c r="Q1095" t="s">
        <v>59</v>
      </c>
      <c r="R1095" t="s">
        <v>5975</v>
      </c>
      <c r="S1095" t="s">
        <v>1933</v>
      </c>
      <c r="T1095" t="s">
        <v>42</v>
      </c>
      <c r="U1095">
        <v>40</v>
      </c>
      <c r="V1095">
        <v>270</v>
      </c>
      <c r="W1095">
        <v>231</v>
      </c>
      <c r="X1095" t="s">
        <v>160</v>
      </c>
      <c r="Y1095" t="s">
        <v>5982</v>
      </c>
      <c r="Z1095" t="s">
        <v>126</v>
      </c>
      <c r="AA1095" t="s">
        <v>1936</v>
      </c>
    </row>
    <row r="1096" spans="1:34" x14ac:dyDescent="0.75">
      <c r="A1096" s="22" t="s">
        <v>6047</v>
      </c>
      <c r="B1096" t="s">
        <v>5997</v>
      </c>
      <c r="C1096" t="s">
        <v>1308</v>
      </c>
      <c r="D1096" t="s">
        <v>1919</v>
      </c>
      <c r="E1096" t="s">
        <v>1920</v>
      </c>
      <c r="F1096" t="s">
        <v>5998</v>
      </c>
      <c r="G1096" s="1" t="str">
        <f>HYPERLINK("https://homd.org/jbrowse/?data=homd_V11.02_phage_1.2%2FGCA_947253705.1&amp;loc=GCA_947253705.1%7CCAMYAI010000004.1%3A15839..22672&amp;tracks=prokka,prokka_ncrna,ncbi,ncbi_ncrna,panggolin,cenote,genomad&amp;highlight=","Open JBrowse")</f>
        <v>Open JBrowse</v>
      </c>
      <c r="H1096">
        <v>18839</v>
      </c>
      <c r="I1096">
        <v>19672</v>
      </c>
      <c r="J1096" t="s">
        <v>5999</v>
      </c>
      <c r="K1096" t="s">
        <v>59</v>
      </c>
      <c r="L1096" t="s">
        <v>6000</v>
      </c>
      <c r="M1096" t="s">
        <v>6001</v>
      </c>
      <c r="N1096" t="s">
        <v>59</v>
      </c>
      <c r="O1096">
        <v>2</v>
      </c>
      <c r="P1096" t="s">
        <v>42</v>
      </c>
      <c r="Q1096" t="s">
        <v>59</v>
      </c>
      <c r="R1096" t="s">
        <v>6002</v>
      </c>
      <c r="S1096" t="s">
        <v>6000</v>
      </c>
      <c r="T1096" t="s">
        <v>42</v>
      </c>
      <c r="U1096">
        <v>35</v>
      </c>
      <c r="V1096">
        <v>265</v>
      </c>
      <c r="W1096">
        <v>231</v>
      </c>
      <c r="X1096" t="s">
        <v>160</v>
      </c>
    </row>
    <row r="1097" spans="1:34" x14ac:dyDescent="0.75">
      <c r="A1097" s="22" t="s">
        <v>6047</v>
      </c>
      <c r="B1097" t="s">
        <v>5997</v>
      </c>
      <c r="C1097" t="s">
        <v>1308</v>
      </c>
      <c r="D1097" t="s">
        <v>1919</v>
      </c>
      <c r="E1097" t="s">
        <v>1920</v>
      </c>
      <c r="F1097" t="s">
        <v>6003</v>
      </c>
      <c r="G1097" s="1" t="str">
        <f>HYPERLINK("https://homd.org/jbrowse/?data=homd_V11.02_phage_1.2%2FGCA_947253705.1&amp;loc=GCA_947253705.1%7CCAMYAI010000019.1%3A17071..26322&amp;tracks=prokka,prokka_ncrna,ncbi,ncbi_ncrna,panggolin,cenote,genomad&amp;highlight=","Open JBrowse")</f>
        <v>Open JBrowse</v>
      </c>
      <c r="H1097">
        <v>20071</v>
      </c>
      <c r="I1097">
        <v>23322</v>
      </c>
      <c r="J1097" t="s">
        <v>6004</v>
      </c>
      <c r="K1097" t="s">
        <v>59</v>
      </c>
      <c r="L1097" t="s">
        <v>1923</v>
      </c>
      <c r="M1097" t="s">
        <v>1924</v>
      </c>
      <c r="N1097" t="s">
        <v>573</v>
      </c>
      <c r="O1097">
        <v>3</v>
      </c>
      <c r="P1097" t="s">
        <v>42</v>
      </c>
      <c r="Q1097" t="s">
        <v>59</v>
      </c>
      <c r="R1097" t="s">
        <v>6002</v>
      </c>
      <c r="S1097" t="s">
        <v>1923</v>
      </c>
      <c r="T1097" t="s">
        <v>42</v>
      </c>
      <c r="U1097">
        <v>802</v>
      </c>
      <c r="V1097">
        <v>1034</v>
      </c>
      <c r="W1097">
        <v>233</v>
      </c>
      <c r="X1097" t="s">
        <v>160</v>
      </c>
      <c r="Y1097" t="s">
        <v>6005</v>
      </c>
      <c r="Z1097" t="s">
        <v>743</v>
      </c>
      <c r="AA1097" t="s">
        <v>6006</v>
      </c>
      <c r="AB1097" t="s">
        <v>6007</v>
      </c>
      <c r="AC1097" t="s">
        <v>1929</v>
      </c>
      <c r="AD1097" t="s">
        <v>1930</v>
      </c>
      <c r="AE1097">
        <v>509</v>
      </c>
      <c r="AF1097" t="s">
        <v>165</v>
      </c>
      <c r="AG1097" t="s">
        <v>185</v>
      </c>
      <c r="AH1097">
        <v>2</v>
      </c>
    </row>
    <row r="1098" spans="1:34" x14ac:dyDescent="0.75">
      <c r="A1098" s="22" t="s">
        <v>6047</v>
      </c>
      <c r="B1098" t="s">
        <v>6008</v>
      </c>
      <c r="C1098" t="s">
        <v>1308</v>
      </c>
      <c r="D1098" t="s">
        <v>1919</v>
      </c>
      <c r="E1098" t="s">
        <v>1920</v>
      </c>
      <c r="F1098" t="s">
        <v>6009</v>
      </c>
      <c r="G1098" s="1" t="str">
        <f>HYPERLINK("https://homd.org/jbrowse/?data=homd_V11.02_phage_1.2%2FGCA_947254935.1&amp;loc=GCA_947254935.1%7CCAMYFC010000109.1%3A1467..8390&amp;tracks=prokka,prokka_ncrna,ncbi,ncbi_ncrna,panggolin,cenote,genomad&amp;highlight=","Open JBrowse")</f>
        <v>Open JBrowse</v>
      </c>
      <c r="H1098">
        <v>4467</v>
      </c>
      <c r="I1098">
        <v>5390</v>
      </c>
      <c r="J1098" t="s">
        <v>6010</v>
      </c>
      <c r="K1098" t="s">
        <v>59</v>
      </c>
      <c r="L1098" t="s">
        <v>6011</v>
      </c>
      <c r="M1098" t="s">
        <v>6012</v>
      </c>
      <c r="N1098" t="s">
        <v>59</v>
      </c>
      <c r="O1098">
        <v>2</v>
      </c>
      <c r="P1098" t="s">
        <v>42</v>
      </c>
      <c r="Q1098" t="s">
        <v>59</v>
      </c>
      <c r="R1098" t="s">
        <v>6013</v>
      </c>
      <c r="S1098" t="s">
        <v>6011</v>
      </c>
      <c r="T1098" t="s">
        <v>42</v>
      </c>
      <c r="U1098">
        <v>26</v>
      </c>
      <c r="V1098">
        <v>258</v>
      </c>
      <c r="W1098">
        <v>233</v>
      </c>
      <c r="X1098" t="s">
        <v>160</v>
      </c>
    </row>
  </sheetData>
  <autoFilter ref="A2:AH1098" xr:uid="{0A0041FC-5AB4-4EE1-8E14-F352EE2557E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BC03-2D60-41FB-B59E-EBDC9B012E1E}">
  <sheetPr>
    <tabColor theme="6" tint="0.79998168889431442"/>
  </sheetPr>
  <dimension ref="A1:BL545"/>
  <sheetViews>
    <sheetView zoomScale="60" zoomScaleNormal="60" workbookViewId="0">
      <pane ySplit="2" topLeftCell="A3" activePane="bottomLeft" state="frozen"/>
      <selection pane="bottomLeft"/>
    </sheetView>
  </sheetViews>
  <sheetFormatPr defaultColWidth="10.86328125" defaultRowHeight="14.75" x14ac:dyDescent="0.75"/>
  <cols>
    <col min="1" max="1" width="17.86328125" bestFit="1" customWidth="1"/>
    <col min="2" max="2" width="12.90625" customWidth="1"/>
    <col min="3" max="3" width="11.1328125" customWidth="1"/>
    <col min="4" max="4" width="33.04296875" bestFit="1" customWidth="1"/>
    <col min="5" max="5" width="22.953125" style="22" bestFit="1" customWidth="1"/>
    <col min="6" max="6" width="22.953125" bestFit="1" customWidth="1"/>
    <col min="8" max="9" width="15.76953125" customWidth="1"/>
    <col min="10" max="10" width="27.58984375" bestFit="1" customWidth="1"/>
    <col min="11" max="11" width="18.04296875" bestFit="1" customWidth="1"/>
    <col min="12" max="12" width="37.81640625" bestFit="1" customWidth="1"/>
    <col min="13" max="13" width="65.90625" bestFit="1" customWidth="1"/>
    <col min="14" max="14" width="18.04296875" bestFit="1" customWidth="1"/>
    <col min="15" max="15" width="18.86328125" bestFit="1" customWidth="1"/>
    <col min="16" max="16" width="29.76953125" bestFit="1" customWidth="1"/>
    <col min="17" max="17" width="23.90625" bestFit="1" customWidth="1"/>
    <col min="18" max="18" width="32.36328125" bestFit="1" customWidth="1"/>
    <col min="19" max="19" width="20.2265625" bestFit="1" customWidth="1"/>
    <col min="20" max="20" width="13" bestFit="1" customWidth="1"/>
    <col min="21" max="21" width="12.58984375" bestFit="1" customWidth="1"/>
    <col min="22" max="22" width="12.04296875" bestFit="1" customWidth="1"/>
    <col min="23" max="23" width="13" bestFit="1" customWidth="1"/>
    <col min="24" max="24" width="13.953125" bestFit="1" customWidth="1"/>
    <col min="25" max="25" width="28" bestFit="1" customWidth="1"/>
    <col min="26" max="26" width="12.04296875" bestFit="1" customWidth="1"/>
    <col min="27" max="27" width="63.04296875" customWidth="1"/>
    <col min="28" max="28" width="30.453125" bestFit="1" customWidth="1"/>
    <col min="29" max="29" width="14.36328125" bestFit="1" customWidth="1"/>
    <col min="30" max="30" width="28.26953125" bestFit="1" customWidth="1"/>
    <col min="31" max="31" width="14.6328125" bestFit="1" customWidth="1"/>
    <col min="32" max="32" width="54.58984375" customWidth="1"/>
    <col min="33" max="33" width="26.90625" bestFit="1" customWidth="1"/>
    <col min="34" max="34" width="24.1796875" customWidth="1"/>
    <col min="35" max="35" width="20.2265625" bestFit="1" customWidth="1"/>
    <col min="36" max="39" width="6.7265625" customWidth="1"/>
    <col min="40" max="40" width="71.2265625" bestFit="1" customWidth="1"/>
    <col min="41" max="41" width="8.6328125" style="11" customWidth="1"/>
    <col min="42" max="46" width="8.6328125" style="10" customWidth="1"/>
    <col min="47" max="47" width="14.6328125" customWidth="1"/>
    <col min="48" max="50" width="8.6328125" customWidth="1"/>
    <col min="51" max="51" width="38.6328125" bestFit="1" customWidth="1"/>
    <col min="52" max="52" width="10.86328125" customWidth="1"/>
    <col min="53" max="53" width="50.2265625" style="22" bestFit="1" customWidth="1"/>
    <col min="54" max="54" width="75.7265625" style="22" bestFit="1" customWidth="1"/>
    <col min="55" max="55" width="26.90625" style="22" bestFit="1" customWidth="1"/>
    <col min="56" max="56" width="11.7265625" style="22" customWidth="1"/>
    <col min="57" max="57" width="18.04296875" style="11" bestFit="1" customWidth="1"/>
    <col min="58" max="58" width="18.453125" style="11" bestFit="1" customWidth="1"/>
    <col min="59" max="59" width="29.76953125" style="11" bestFit="1" customWidth="1"/>
    <col min="60" max="60" width="26.6328125" bestFit="1" customWidth="1"/>
    <col min="61" max="61" width="25.54296875" style="8" bestFit="1" customWidth="1"/>
    <col min="62" max="62" width="19.81640625" bestFit="1" customWidth="1"/>
    <col min="63" max="63" width="22.1328125" style="8" bestFit="1" customWidth="1"/>
  </cols>
  <sheetData>
    <row r="1" spans="1:63" s="23" customFormat="1" x14ac:dyDescent="0.75">
      <c r="A1" s="25" t="s">
        <v>37686</v>
      </c>
      <c r="B1" s="25" t="s">
        <v>37686</v>
      </c>
      <c r="C1" s="25" t="s">
        <v>37686</v>
      </c>
      <c r="D1" s="25" t="s">
        <v>37686</v>
      </c>
      <c r="E1" s="25" t="s">
        <v>37686</v>
      </c>
      <c r="F1" s="25" t="s">
        <v>37686</v>
      </c>
      <c r="G1" s="25" t="s">
        <v>37686</v>
      </c>
      <c r="H1" s="25" t="s">
        <v>37686</v>
      </c>
      <c r="I1" s="25" t="s">
        <v>37686</v>
      </c>
      <c r="J1" s="27" t="s">
        <v>37688</v>
      </c>
      <c r="K1" s="27" t="s">
        <v>37688</v>
      </c>
      <c r="L1" s="27" t="s">
        <v>37688</v>
      </c>
      <c r="M1" s="27" t="s">
        <v>37688</v>
      </c>
      <c r="N1" s="27" t="s">
        <v>37688</v>
      </c>
      <c r="O1" s="27" t="s">
        <v>37688</v>
      </c>
      <c r="P1" s="27" t="s">
        <v>37688</v>
      </c>
      <c r="Q1" s="27" t="s">
        <v>37688</v>
      </c>
      <c r="R1" s="27" t="s">
        <v>37688</v>
      </c>
      <c r="S1" s="27" t="s">
        <v>37688</v>
      </c>
      <c r="T1" s="27" t="s">
        <v>37688</v>
      </c>
      <c r="U1" s="27" t="s">
        <v>37688</v>
      </c>
      <c r="V1" s="27" t="s">
        <v>37688</v>
      </c>
      <c r="W1" s="27" t="s">
        <v>37688</v>
      </c>
      <c r="X1" s="27" t="s">
        <v>37688</v>
      </c>
      <c r="Y1" s="27" t="s">
        <v>37688</v>
      </c>
      <c r="Z1" s="27" t="s">
        <v>37688</v>
      </c>
      <c r="AA1" s="27" t="s">
        <v>37688</v>
      </c>
      <c r="AB1" s="27" t="s">
        <v>37688</v>
      </c>
      <c r="AC1" s="27" t="s">
        <v>37688</v>
      </c>
      <c r="AD1" s="27" t="s">
        <v>37688</v>
      </c>
      <c r="AE1" s="27" t="s">
        <v>37688</v>
      </c>
      <c r="AF1" s="27" t="s">
        <v>37688</v>
      </c>
      <c r="AG1" s="27" t="s">
        <v>37688</v>
      </c>
      <c r="AH1" s="27" t="s">
        <v>37688</v>
      </c>
      <c r="AI1" s="29" t="s">
        <v>37684</v>
      </c>
      <c r="AJ1" s="29" t="s">
        <v>37689</v>
      </c>
      <c r="AK1" s="29" t="s">
        <v>37689</v>
      </c>
      <c r="AL1" s="29" t="s">
        <v>37689</v>
      </c>
      <c r="AM1" s="29" t="s">
        <v>37689</v>
      </c>
      <c r="AN1" s="33" t="s">
        <v>37682</v>
      </c>
      <c r="AO1" s="32" t="s">
        <v>37690</v>
      </c>
      <c r="AP1" s="32" t="s">
        <v>37690</v>
      </c>
      <c r="AQ1" s="32" t="s">
        <v>37690</v>
      </c>
      <c r="AR1" s="32" t="s">
        <v>37690</v>
      </c>
      <c r="AS1" s="32" t="s">
        <v>37690</v>
      </c>
      <c r="AT1" s="32" t="s">
        <v>37690</v>
      </c>
      <c r="AU1" s="33" t="s">
        <v>37690</v>
      </c>
      <c r="AV1" s="33" t="s">
        <v>37690</v>
      </c>
      <c r="AW1" s="33" t="s">
        <v>37690</v>
      </c>
      <c r="AX1" s="33" t="s">
        <v>37690</v>
      </c>
      <c r="AY1" s="33" t="s">
        <v>37684</v>
      </c>
      <c r="AZ1" s="48" t="s">
        <v>37683</v>
      </c>
      <c r="BA1" s="26" t="s">
        <v>37687</v>
      </c>
      <c r="BB1" s="26" t="s">
        <v>37687</v>
      </c>
      <c r="BC1" s="26" t="s">
        <v>37687</v>
      </c>
      <c r="BD1" s="26" t="s">
        <v>37687</v>
      </c>
      <c r="BE1" s="35" t="s">
        <v>37687</v>
      </c>
      <c r="BF1" s="35" t="s">
        <v>37687</v>
      </c>
      <c r="BG1" s="35" t="s">
        <v>37687</v>
      </c>
      <c r="BH1" s="38" t="s">
        <v>37685</v>
      </c>
      <c r="BI1" s="38" t="s">
        <v>37685</v>
      </c>
      <c r="BJ1" s="38" t="s">
        <v>37685</v>
      </c>
      <c r="BK1" s="38" t="s">
        <v>37685</v>
      </c>
    </row>
    <row r="2" spans="1:63" s="7" customFormat="1" ht="98.35" customHeight="1" x14ac:dyDescent="0.75">
      <c r="A2" s="15" t="s">
        <v>0</v>
      </c>
      <c r="B2" s="15" t="s">
        <v>1</v>
      </c>
      <c r="C2" s="15" t="s">
        <v>2</v>
      </c>
      <c r="D2" s="15" t="s">
        <v>3</v>
      </c>
      <c r="E2" s="15" t="s">
        <v>30839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14</v>
      </c>
      <c r="Q2" s="17" t="s">
        <v>15</v>
      </c>
      <c r="R2" s="17" t="s">
        <v>37680</v>
      </c>
      <c r="S2" s="17" t="s">
        <v>17</v>
      </c>
      <c r="T2" s="17" t="s">
        <v>18</v>
      </c>
      <c r="U2" s="17" t="s">
        <v>19</v>
      </c>
      <c r="V2" s="17" t="s">
        <v>20</v>
      </c>
      <c r="W2" s="17" t="s">
        <v>21</v>
      </c>
      <c r="X2" s="17" t="s">
        <v>22</v>
      </c>
      <c r="Y2" s="17" t="s">
        <v>23</v>
      </c>
      <c r="Z2" s="17" t="s">
        <v>24</v>
      </c>
      <c r="AA2" s="17" t="s">
        <v>25</v>
      </c>
      <c r="AB2" s="17" t="s">
        <v>26</v>
      </c>
      <c r="AC2" s="17" t="s">
        <v>27</v>
      </c>
      <c r="AD2" s="17" t="s">
        <v>28</v>
      </c>
      <c r="AE2" s="17" t="s">
        <v>29</v>
      </c>
      <c r="AF2" s="17" t="s">
        <v>30</v>
      </c>
      <c r="AG2" s="17" t="s">
        <v>31</v>
      </c>
      <c r="AH2" s="17" t="s">
        <v>32</v>
      </c>
      <c r="AI2" s="28" t="s">
        <v>37681</v>
      </c>
      <c r="AJ2" s="28" t="s">
        <v>6067</v>
      </c>
      <c r="AK2" s="28" t="s">
        <v>6068</v>
      </c>
      <c r="AL2" s="28" t="s">
        <v>6065</v>
      </c>
      <c r="AM2" s="28" t="s">
        <v>6064</v>
      </c>
      <c r="AN2" s="31" t="s">
        <v>32247</v>
      </c>
      <c r="AO2" s="30" t="s">
        <v>32243</v>
      </c>
      <c r="AP2" s="30" t="s">
        <v>42</v>
      </c>
      <c r="AQ2" s="30" t="s">
        <v>32244</v>
      </c>
      <c r="AR2" s="30" t="s">
        <v>32245</v>
      </c>
      <c r="AS2" s="30" t="s">
        <v>6056</v>
      </c>
      <c r="AT2" s="30" t="s">
        <v>32246</v>
      </c>
      <c r="AU2" s="31" t="s">
        <v>32248</v>
      </c>
      <c r="AV2" s="31" t="s">
        <v>32249</v>
      </c>
      <c r="AW2" s="31" t="s">
        <v>32250</v>
      </c>
      <c r="AX2" s="31" t="s">
        <v>32251</v>
      </c>
      <c r="AY2" s="31" t="s">
        <v>37693</v>
      </c>
      <c r="AZ2" s="43" t="s">
        <v>33157</v>
      </c>
      <c r="BA2" s="16" t="s">
        <v>31705</v>
      </c>
      <c r="BB2" s="16" t="s">
        <v>31706</v>
      </c>
      <c r="BC2" s="16" t="s">
        <v>31703</v>
      </c>
      <c r="BD2" s="16" t="s">
        <v>31704</v>
      </c>
      <c r="BE2" s="34" t="s">
        <v>33158</v>
      </c>
      <c r="BF2" s="34" t="s">
        <v>33159</v>
      </c>
      <c r="BG2" s="34" t="s">
        <v>37366</v>
      </c>
      <c r="BH2" s="36" t="s">
        <v>33160</v>
      </c>
      <c r="BI2" s="37" t="s">
        <v>33559</v>
      </c>
      <c r="BJ2" s="37" t="s">
        <v>33161</v>
      </c>
      <c r="BK2" s="37" t="s">
        <v>33560</v>
      </c>
    </row>
    <row r="3" spans="1:63" x14ac:dyDescent="0.75">
      <c r="A3" t="s">
        <v>2334</v>
      </c>
      <c r="B3" t="s">
        <v>104</v>
      </c>
      <c r="C3" t="s">
        <v>578</v>
      </c>
      <c r="D3" t="s">
        <v>579</v>
      </c>
      <c r="E3" s="22" t="s">
        <v>10866</v>
      </c>
      <c r="F3" t="s">
        <v>2335</v>
      </c>
      <c r="G3" s="1" t="str">
        <f>HYPERLINK("https://homd.org/jbrowse/?data=homd_V11.02_phage_1.2%2FGCA_006385365.1&amp;loc=GCA_006385365.1%7CVFJI01000001.1%3A307953..314900&amp;tracks=prokka,prokka_ncrna,ncbi,ncbi_ncrna,panggolin,cenote,genomad&amp;highlight=","Open JBrowse")</f>
        <v>Open JBrowse</v>
      </c>
      <c r="H3" s="10">
        <v>310953</v>
      </c>
      <c r="I3" s="10">
        <v>311900</v>
      </c>
      <c r="J3" s="10" t="s">
        <v>2339</v>
      </c>
      <c r="K3" s="10" t="s">
        <v>59</v>
      </c>
      <c r="L3" s="10" t="s">
        <v>582</v>
      </c>
      <c r="M3" s="10" t="s">
        <v>583</v>
      </c>
      <c r="N3" s="10" t="s">
        <v>42</v>
      </c>
      <c r="O3" s="10">
        <v>3</v>
      </c>
      <c r="P3" s="10" t="s">
        <v>42</v>
      </c>
      <c r="Q3" s="10" t="s">
        <v>59</v>
      </c>
      <c r="R3" s="10" t="s">
        <v>2337</v>
      </c>
      <c r="S3" s="10" t="s">
        <v>582</v>
      </c>
      <c r="T3" s="10" t="s">
        <v>42</v>
      </c>
      <c r="U3" s="10">
        <v>71</v>
      </c>
      <c r="V3" s="10">
        <v>304</v>
      </c>
      <c r="W3" s="10">
        <v>234</v>
      </c>
      <c r="X3" s="10" t="s">
        <v>63</v>
      </c>
      <c r="Y3" s="10" t="s">
        <v>2340</v>
      </c>
      <c r="Z3" s="10" t="s">
        <v>357</v>
      </c>
      <c r="AA3" s="10" t="s">
        <v>587</v>
      </c>
      <c r="AB3" s="10" t="s">
        <v>2341</v>
      </c>
      <c r="AC3" s="10" t="s">
        <v>589</v>
      </c>
      <c r="AD3" s="10" t="s">
        <v>101</v>
      </c>
      <c r="AE3" s="10">
        <v>822</v>
      </c>
      <c r="AF3" s="10" t="s">
        <v>590</v>
      </c>
      <c r="AG3" s="44"/>
      <c r="AH3" s="44"/>
      <c r="AI3" s="44" t="s">
        <v>6052</v>
      </c>
      <c r="AJ3" s="44" t="s">
        <v>6059</v>
      </c>
      <c r="AK3" s="44" t="s">
        <v>6062</v>
      </c>
      <c r="AL3" s="44" t="s">
        <v>6055</v>
      </c>
      <c r="AM3" s="44" t="s">
        <v>6056</v>
      </c>
      <c r="AN3" s="44" t="s">
        <v>32542</v>
      </c>
      <c r="AO3" s="45">
        <v>11</v>
      </c>
      <c r="AP3" s="45">
        <v>1</v>
      </c>
      <c r="AQ3" s="45">
        <v>1</v>
      </c>
      <c r="AR3" s="45">
        <v>1</v>
      </c>
      <c r="AS3" s="45">
        <v>1</v>
      </c>
      <c r="AT3" s="45">
        <v>1</v>
      </c>
      <c r="AU3" s="10" t="s">
        <v>32543</v>
      </c>
      <c r="AV3" s="10" t="s">
        <v>32544</v>
      </c>
      <c r="AW3" s="10" t="s">
        <v>32545</v>
      </c>
      <c r="AX3" s="10" t="s">
        <v>32546</v>
      </c>
      <c r="AY3" s="10" t="s">
        <v>32259</v>
      </c>
      <c r="AZ3" s="44" t="s">
        <v>33116</v>
      </c>
      <c r="BA3" s="44" t="s">
        <v>30902</v>
      </c>
      <c r="BB3" s="44" t="s">
        <v>31326</v>
      </c>
      <c r="BC3" s="44" t="s">
        <v>8354</v>
      </c>
      <c r="BD3" s="44" t="s">
        <v>37365</v>
      </c>
      <c r="BE3" s="11">
        <v>1</v>
      </c>
      <c r="BF3" s="11">
        <v>1</v>
      </c>
      <c r="BG3" s="11">
        <v>1</v>
      </c>
      <c r="BH3" s="10" t="s">
        <v>31739</v>
      </c>
      <c r="BI3" s="11">
        <v>100</v>
      </c>
      <c r="BJ3" s="10" t="s">
        <v>33174</v>
      </c>
      <c r="BK3" s="11">
        <v>92.4</v>
      </c>
    </row>
    <row r="4" spans="1:63" x14ac:dyDescent="0.75">
      <c r="A4" t="s">
        <v>1877</v>
      </c>
      <c r="B4" t="s">
        <v>104</v>
      </c>
      <c r="C4" t="s">
        <v>578</v>
      </c>
      <c r="D4" t="s">
        <v>579</v>
      </c>
      <c r="E4" s="22" t="s">
        <v>14005</v>
      </c>
      <c r="F4" t="s">
        <v>1883</v>
      </c>
      <c r="G4" s="1" t="str">
        <f>HYPERLINK("https://homd.org/jbrowse/?data=homd_V11.02_phage_1.2%2FGCA_002529295.1&amp;loc=GCA_002529295.1%7CNSLK01000017.1%3A52783..59730&amp;tracks=prokka,prokka_ncrna,ncbi,ncbi_ncrna,panggolin,cenote,genomad&amp;highlight=","Open JBrowse")</f>
        <v>Open JBrowse</v>
      </c>
      <c r="H4" s="10">
        <v>55783</v>
      </c>
      <c r="I4" s="10">
        <v>56730</v>
      </c>
      <c r="J4" s="10" t="s">
        <v>1884</v>
      </c>
      <c r="K4" s="10" t="s">
        <v>59</v>
      </c>
      <c r="L4" s="10" t="s">
        <v>582</v>
      </c>
      <c r="M4" s="10" t="s">
        <v>583</v>
      </c>
      <c r="N4" s="10" t="s">
        <v>42</v>
      </c>
      <c r="O4" s="10">
        <v>3</v>
      </c>
      <c r="P4" s="10" t="s">
        <v>42</v>
      </c>
      <c r="Q4" s="10" t="s">
        <v>59</v>
      </c>
      <c r="R4" s="10" t="s">
        <v>1880</v>
      </c>
      <c r="S4" s="10" t="s">
        <v>582</v>
      </c>
      <c r="T4" s="10" t="s">
        <v>42</v>
      </c>
      <c r="U4" s="10">
        <v>71</v>
      </c>
      <c r="V4" s="10">
        <v>304</v>
      </c>
      <c r="W4" s="10">
        <v>234</v>
      </c>
      <c r="X4" s="10" t="s">
        <v>63</v>
      </c>
      <c r="Y4" s="10" t="s">
        <v>1885</v>
      </c>
      <c r="Z4" s="10" t="s">
        <v>1008</v>
      </c>
      <c r="AA4" s="10" t="s">
        <v>1367</v>
      </c>
      <c r="AB4" s="10" t="s">
        <v>1886</v>
      </c>
      <c r="AC4" s="10" t="s">
        <v>589</v>
      </c>
      <c r="AD4" s="10" t="s">
        <v>101</v>
      </c>
      <c r="AE4" s="10">
        <v>817</v>
      </c>
      <c r="AF4" s="10" t="s">
        <v>1369</v>
      </c>
      <c r="AG4" s="44"/>
      <c r="AH4" s="44"/>
      <c r="AI4" s="44" t="s">
        <v>6052</v>
      </c>
      <c r="AJ4" s="44" t="s">
        <v>6059</v>
      </c>
      <c r="AK4" s="44" t="s">
        <v>6062</v>
      </c>
      <c r="AL4" s="44" t="s">
        <v>6055</v>
      </c>
      <c r="AM4" s="44" t="s">
        <v>6056</v>
      </c>
      <c r="AN4" s="44" t="s">
        <v>33098</v>
      </c>
      <c r="AO4" s="45">
        <v>11</v>
      </c>
      <c r="AP4" s="45">
        <v>1</v>
      </c>
      <c r="AQ4" s="45">
        <v>1</v>
      </c>
      <c r="AR4" s="45">
        <v>1</v>
      </c>
      <c r="AS4" s="45">
        <v>1</v>
      </c>
      <c r="AT4" s="45">
        <v>1</v>
      </c>
      <c r="AU4" s="10" t="s">
        <v>33099</v>
      </c>
      <c r="AV4" s="10" t="s">
        <v>33100</v>
      </c>
      <c r="AW4" s="10" t="s">
        <v>33101</v>
      </c>
      <c r="AX4" s="10" t="s">
        <v>33102</v>
      </c>
      <c r="AY4" s="10" t="s">
        <v>32460</v>
      </c>
      <c r="AZ4" s="44" t="s">
        <v>33116</v>
      </c>
      <c r="BA4" s="44" t="s">
        <v>31158</v>
      </c>
      <c r="BB4" s="44" t="s">
        <v>31700</v>
      </c>
      <c r="BC4" s="44" t="s">
        <v>8354</v>
      </c>
      <c r="BD4" s="44" t="s">
        <v>37365</v>
      </c>
      <c r="BE4" s="11">
        <v>1</v>
      </c>
      <c r="BF4" s="11">
        <v>1</v>
      </c>
      <c r="BG4" s="11">
        <v>1</v>
      </c>
      <c r="BH4" s="10" t="s">
        <v>31732</v>
      </c>
      <c r="BI4" s="11">
        <v>100</v>
      </c>
      <c r="BJ4" s="10" t="s">
        <v>33173</v>
      </c>
      <c r="BK4" s="11">
        <v>92.4</v>
      </c>
    </row>
    <row r="5" spans="1:63" x14ac:dyDescent="0.75">
      <c r="A5" t="s">
        <v>1868</v>
      </c>
      <c r="B5" t="s">
        <v>104</v>
      </c>
      <c r="C5" t="s">
        <v>578</v>
      </c>
      <c r="D5" t="s">
        <v>579</v>
      </c>
      <c r="E5" s="22" t="s">
        <v>13979</v>
      </c>
      <c r="F5" t="s">
        <v>1873</v>
      </c>
      <c r="G5" s="1" t="str">
        <f>HYPERLINK("https://homd.org/jbrowse/?data=homd_V11.02_phage_1.2%2FGCA_002529085.1&amp;loc=GCA_002529085.1%7CNSLJ01000012.1%3A84804..91751&amp;tracks=prokka,prokka_ncrna,ncbi,ncbi_ncrna,panggolin,cenote,genomad&amp;highlight=","Open JBrowse")</f>
        <v>Open JBrowse</v>
      </c>
      <c r="H5" s="10">
        <v>87804</v>
      </c>
      <c r="I5" s="10">
        <v>88751</v>
      </c>
      <c r="J5" s="10" t="s">
        <v>1874</v>
      </c>
      <c r="K5" s="10" t="s">
        <v>59</v>
      </c>
      <c r="L5" s="10" t="s">
        <v>582</v>
      </c>
      <c r="M5" s="10" t="s">
        <v>583</v>
      </c>
      <c r="N5" s="10" t="s">
        <v>42</v>
      </c>
      <c r="O5" s="10">
        <v>3</v>
      </c>
      <c r="P5" s="10" t="s">
        <v>42</v>
      </c>
      <c r="Q5" s="10" t="s">
        <v>59</v>
      </c>
      <c r="R5" s="10" t="s">
        <v>1871</v>
      </c>
      <c r="S5" s="10" t="s">
        <v>582</v>
      </c>
      <c r="T5" s="10" t="s">
        <v>42</v>
      </c>
      <c r="U5" s="10">
        <v>71</v>
      </c>
      <c r="V5" s="10">
        <v>304</v>
      </c>
      <c r="W5" s="10">
        <v>234</v>
      </c>
      <c r="X5" s="10" t="s">
        <v>63</v>
      </c>
      <c r="Y5" s="10" t="s">
        <v>1875</v>
      </c>
      <c r="Z5" s="10" t="s">
        <v>892</v>
      </c>
      <c r="AA5" s="10" t="s">
        <v>587</v>
      </c>
      <c r="AB5" s="10" t="s">
        <v>1876</v>
      </c>
      <c r="AC5" s="10" t="s">
        <v>589</v>
      </c>
      <c r="AD5" s="10" t="s">
        <v>101</v>
      </c>
      <c r="AE5" s="10">
        <v>814</v>
      </c>
      <c r="AF5" s="10" t="s">
        <v>590</v>
      </c>
      <c r="AG5" s="44"/>
      <c r="AH5" s="44"/>
      <c r="AI5" s="44" t="s">
        <v>6052</v>
      </c>
      <c r="AJ5" s="44" t="s">
        <v>6059</v>
      </c>
      <c r="AK5" s="44" t="s">
        <v>6062</v>
      </c>
      <c r="AL5" s="44" t="s">
        <v>6055</v>
      </c>
      <c r="AM5" s="44" t="s">
        <v>6056</v>
      </c>
      <c r="AN5" s="44" t="s">
        <v>33104</v>
      </c>
      <c r="AO5" s="45">
        <v>11</v>
      </c>
      <c r="AP5" s="45">
        <v>1</v>
      </c>
      <c r="AQ5" s="45">
        <v>1</v>
      </c>
      <c r="AR5" s="45">
        <v>1</v>
      </c>
      <c r="AS5" s="45">
        <v>1</v>
      </c>
      <c r="AT5" s="45">
        <v>1</v>
      </c>
      <c r="AU5" s="10" t="s">
        <v>33105</v>
      </c>
      <c r="AV5" s="10" t="s">
        <v>33106</v>
      </c>
      <c r="AW5" s="10" t="s">
        <v>33107</v>
      </c>
      <c r="AX5" s="10" t="s">
        <v>33108</v>
      </c>
      <c r="AY5" s="10" t="s">
        <v>32259</v>
      </c>
      <c r="AZ5" s="44" t="s">
        <v>33116</v>
      </c>
      <c r="BA5" s="44" t="s">
        <v>31159</v>
      </c>
      <c r="BB5" s="44" t="s">
        <v>31702</v>
      </c>
      <c r="BC5" s="44" t="s">
        <v>8354</v>
      </c>
      <c r="BD5" s="44" t="s">
        <v>37365</v>
      </c>
      <c r="BE5" s="11">
        <v>1</v>
      </c>
      <c r="BF5" s="11">
        <v>1</v>
      </c>
      <c r="BG5" s="11">
        <v>1</v>
      </c>
      <c r="BH5" s="10" t="s">
        <v>31737</v>
      </c>
      <c r="BI5" s="11">
        <v>100</v>
      </c>
      <c r="BJ5" s="10" t="s">
        <v>33172</v>
      </c>
      <c r="BK5" s="11">
        <v>92.4</v>
      </c>
    </row>
    <row r="6" spans="1:63" x14ac:dyDescent="0.75">
      <c r="A6" t="s">
        <v>1693</v>
      </c>
      <c r="B6" t="s">
        <v>104</v>
      </c>
      <c r="C6" t="s">
        <v>578</v>
      </c>
      <c r="D6" t="s">
        <v>579</v>
      </c>
      <c r="E6" s="22">
        <v>9610</v>
      </c>
      <c r="F6" t="s">
        <v>1698</v>
      </c>
      <c r="G6" s="1" t="str">
        <f>HYPERLINK("https://homd.org/jbrowse/?data=homd_V11.02_phage_1.2%2FGCA_001938785.1&amp;loc=GCA_001938785.1%7CMEHX01000002.1%3A15359..22306&amp;tracks=prokka,prokka_ncrna,ncbi,ncbi_ncrna,panggolin,cenote,genomad&amp;highlight=","Open JBrowse")</f>
        <v>Open JBrowse</v>
      </c>
      <c r="H6" s="10">
        <v>18359</v>
      </c>
      <c r="I6" s="10">
        <v>19306</v>
      </c>
      <c r="J6" s="10" t="s">
        <v>1699</v>
      </c>
      <c r="K6" s="10" t="s">
        <v>59</v>
      </c>
      <c r="L6" s="10" t="s">
        <v>582</v>
      </c>
      <c r="M6" s="10" t="s">
        <v>1510</v>
      </c>
      <c r="N6" s="10" t="s">
        <v>42</v>
      </c>
      <c r="O6" s="10">
        <v>3</v>
      </c>
      <c r="P6" s="10" t="s">
        <v>42</v>
      </c>
      <c r="Q6" s="10" t="s">
        <v>59</v>
      </c>
      <c r="R6" s="10" t="s">
        <v>1696</v>
      </c>
      <c r="S6" s="10" t="s">
        <v>582</v>
      </c>
      <c r="T6" s="10" t="s">
        <v>42</v>
      </c>
      <c r="U6" s="10">
        <v>71</v>
      </c>
      <c r="V6" s="10">
        <v>304</v>
      </c>
      <c r="W6" s="10">
        <v>234</v>
      </c>
      <c r="X6" s="10" t="s">
        <v>63</v>
      </c>
      <c r="Y6" s="10" t="s">
        <v>1700</v>
      </c>
      <c r="Z6" s="10" t="s">
        <v>1334</v>
      </c>
      <c r="AA6" s="10" t="s">
        <v>587</v>
      </c>
      <c r="AB6" s="10" t="s">
        <v>1701</v>
      </c>
      <c r="AC6" s="10" t="s">
        <v>589</v>
      </c>
      <c r="AD6" s="10" t="s">
        <v>101</v>
      </c>
      <c r="AE6" s="10">
        <v>822</v>
      </c>
      <c r="AF6" s="10" t="s">
        <v>590</v>
      </c>
      <c r="AG6" s="44"/>
      <c r="AH6" s="44"/>
      <c r="AI6" s="44" t="s">
        <v>6052</v>
      </c>
      <c r="AJ6" s="44" t="s">
        <v>6059</v>
      </c>
      <c r="AK6" s="44" t="s">
        <v>6062</v>
      </c>
      <c r="AL6" s="44" t="s">
        <v>6055</v>
      </c>
      <c r="AM6" s="44" t="s">
        <v>6056</v>
      </c>
      <c r="AN6" s="44" t="s">
        <v>32261</v>
      </c>
      <c r="AO6" s="45">
        <v>11</v>
      </c>
      <c r="AP6" s="45">
        <v>1</v>
      </c>
      <c r="AQ6" s="45">
        <v>1</v>
      </c>
      <c r="AR6" s="45">
        <v>1</v>
      </c>
      <c r="AS6" s="45">
        <v>1</v>
      </c>
      <c r="AT6" s="45">
        <v>1</v>
      </c>
      <c r="AU6" s="10" t="s">
        <v>32262</v>
      </c>
      <c r="AV6" s="10" t="s">
        <v>32263</v>
      </c>
      <c r="AW6" s="10" t="s">
        <v>32264</v>
      </c>
      <c r="AX6" s="10" t="s">
        <v>32265</v>
      </c>
      <c r="AY6" s="10" t="s">
        <v>32259</v>
      </c>
      <c r="AZ6" s="44" t="s">
        <v>33116</v>
      </c>
      <c r="BA6" s="44" t="s">
        <v>30846</v>
      </c>
      <c r="BB6" s="44" t="s">
        <v>31163</v>
      </c>
      <c r="BC6" s="44" t="s">
        <v>8354</v>
      </c>
      <c r="BD6" s="44" t="s">
        <v>37365</v>
      </c>
      <c r="BE6" s="11">
        <v>1</v>
      </c>
      <c r="BF6" s="11">
        <v>1</v>
      </c>
      <c r="BG6" s="11">
        <v>1</v>
      </c>
      <c r="BH6" s="10" t="s">
        <v>31738</v>
      </c>
      <c r="BI6" s="11">
        <v>100</v>
      </c>
      <c r="BJ6" s="10" t="s">
        <v>33171</v>
      </c>
      <c r="BK6" s="11">
        <v>92.4</v>
      </c>
    </row>
    <row r="7" spans="1:63" x14ac:dyDescent="0.75">
      <c r="A7" t="s">
        <v>1359</v>
      </c>
      <c r="B7" t="s">
        <v>104</v>
      </c>
      <c r="C7" t="s">
        <v>578</v>
      </c>
      <c r="D7" t="s">
        <v>579</v>
      </c>
      <c r="E7" s="22" t="s">
        <v>10866</v>
      </c>
      <c r="F7" t="s">
        <v>1364</v>
      </c>
      <c r="G7" s="1" t="str">
        <f>HYPERLINK("https://homd.org/jbrowse/?data=homd_V11.02_phage_1.2%2FGCA_001006485.1&amp;loc=GCA_001006485.1%7CJUET01000092.1%3A56715..63662&amp;tracks=prokka,prokka_ncrna,ncbi,ncbi_ncrna,panggolin,cenote,genomad&amp;highlight=","Open JBrowse")</f>
        <v>Open JBrowse</v>
      </c>
      <c r="H7" s="10">
        <v>59715</v>
      </c>
      <c r="I7" s="10">
        <v>60662</v>
      </c>
      <c r="J7" s="10" t="s">
        <v>1365</v>
      </c>
      <c r="K7" s="10" t="s">
        <v>59</v>
      </c>
      <c r="L7" s="10" t="s">
        <v>582</v>
      </c>
      <c r="M7" s="10" t="s">
        <v>583</v>
      </c>
      <c r="N7" s="10" t="s">
        <v>42</v>
      </c>
      <c r="O7" s="10">
        <v>3</v>
      </c>
      <c r="P7" s="10" t="s">
        <v>42</v>
      </c>
      <c r="Q7" s="10" t="s">
        <v>59</v>
      </c>
      <c r="R7" s="10" t="s">
        <v>1362</v>
      </c>
      <c r="S7" s="10" t="s">
        <v>582</v>
      </c>
      <c r="T7" s="10" t="s">
        <v>42</v>
      </c>
      <c r="U7" s="10">
        <v>71</v>
      </c>
      <c r="V7" s="10">
        <v>304</v>
      </c>
      <c r="W7" s="10">
        <v>234</v>
      </c>
      <c r="X7" s="10" t="s">
        <v>63</v>
      </c>
      <c r="Y7" s="10" t="s">
        <v>1366</v>
      </c>
      <c r="Z7" s="10" t="s">
        <v>193</v>
      </c>
      <c r="AA7" s="10" t="s">
        <v>1367</v>
      </c>
      <c r="AB7" s="10" t="s">
        <v>1368</v>
      </c>
      <c r="AC7" s="10" t="s">
        <v>589</v>
      </c>
      <c r="AD7" s="10" t="s">
        <v>101</v>
      </c>
      <c r="AE7" s="10">
        <v>822</v>
      </c>
      <c r="AF7" s="10" t="s">
        <v>1369</v>
      </c>
      <c r="AG7" s="44"/>
      <c r="AH7" s="44"/>
      <c r="AI7" s="44" t="s">
        <v>6052</v>
      </c>
      <c r="AJ7" s="44" t="s">
        <v>6059</v>
      </c>
      <c r="AK7" s="44" t="s">
        <v>6062</v>
      </c>
      <c r="AL7" s="44" t="s">
        <v>6055</v>
      </c>
      <c r="AM7" s="44" t="s">
        <v>6056</v>
      </c>
      <c r="AN7" s="44" t="s">
        <v>32537</v>
      </c>
      <c r="AO7" s="45">
        <v>11</v>
      </c>
      <c r="AP7" s="45">
        <v>1</v>
      </c>
      <c r="AQ7" s="45">
        <v>1</v>
      </c>
      <c r="AR7" s="45">
        <v>1</v>
      </c>
      <c r="AS7" s="45">
        <v>1</v>
      </c>
      <c r="AT7" s="45">
        <v>1</v>
      </c>
      <c r="AU7" s="10" t="s">
        <v>32538</v>
      </c>
      <c r="AV7" s="10" t="s">
        <v>32539</v>
      </c>
      <c r="AW7" s="10" t="s">
        <v>32540</v>
      </c>
      <c r="AX7" s="10" t="s">
        <v>32541</v>
      </c>
      <c r="AY7" s="10" t="s">
        <v>32460</v>
      </c>
      <c r="AZ7" s="44" t="s">
        <v>33116</v>
      </c>
      <c r="BA7" s="44" t="s">
        <v>30902</v>
      </c>
      <c r="BB7" s="44" t="s">
        <v>31325</v>
      </c>
      <c r="BC7" s="44" t="s">
        <v>8354</v>
      </c>
      <c r="BD7" s="44" t="s">
        <v>37365</v>
      </c>
      <c r="BE7" s="11">
        <v>1</v>
      </c>
      <c r="BF7" s="11">
        <v>1</v>
      </c>
      <c r="BG7" s="11">
        <v>1</v>
      </c>
      <c r="BH7" s="10" t="s">
        <v>31740</v>
      </c>
      <c r="BI7" s="11">
        <v>100</v>
      </c>
      <c r="BJ7" s="10" t="s">
        <v>33170</v>
      </c>
      <c r="BK7" s="11">
        <v>92.4</v>
      </c>
    </row>
    <row r="8" spans="1:63" x14ac:dyDescent="0.75">
      <c r="A8" t="s">
        <v>5080</v>
      </c>
      <c r="B8" t="s">
        <v>104</v>
      </c>
      <c r="C8" t="s">
        <v>578</v>
      </c>
      <c r="D8" t="s">
        <v>579</v>
      </c>
      <c r="E8" s="22" t="s">
        <v>27136</v>
      </c>
      <c r="F8" t="s">
        <v>5081</v>
      </c>
      <c r="G8" s="1" t="str">
        <f>HYPERLINK("https://homd.org/jbrowse/?data=homd_V11.02_phage_1.2%2FGCA_900096725.1&amp;loc=GCA_900096725.1%7CFMMN01000012.1%3A14900..21847&amp;tracks=prokka,prokka_ncrna,ncbi,ncbi_ncrna,panggolin,cenote,genomad&amp;highlight=","Open JBrowse")</f>
        <v>Open JBrowse</v>
      </c>
      <c r="H8" s="10">
        <v>17900</v>
      </c>
      <c r="I8" s="10">
        <v>18847</v>
      </c>
      <c r="J8" s="10" t="s">
        <v>5082</v>
      </c>
      <c r="K8" s="10" t="s">
        <v>59</v>
      </c>
      <c r="L8" s="10" t="s">
        <v>582</v>
      </c>
      <c r="M8" s="10" t="s">
        <v>583</v>
      </c>
      <c r="N8" s="10" t="s">
        <v>42</v>
      </c>
      <c r="O8" s="10">
        <v>3</v>
      </c>
      <c r="P8" s="10" t="s">
        <v>42</v>
      </c>
      <c r="Q8" s="10" t="s">
        <v>59</v>
      </c>
      <c r="R8" s="10" t="s">
        <v>5083</v>
      </c>
      <c r="S8" s="10" t="s">
        <v>582</v>
      </c>
      <c r="T8" s="10" t="s">
        <v>42</v>
      </c>
      <c r="U8" s="10">
        <v>71</v>
      </c>
      <c r="V8" s="10">
        <v>304</v>
      </c>
      <c r="W8" s="10">
        <v>234</v>
      </c>
      <c r="X8" s="10" t="s">
        <v>63</v>
      </c>
      <c r="Y8" s="10" t="s">
        <v>5084</v>
      </c>
      <c r="Z8" s="10" t="s">
        <v>1334</v>
      </c>
      <c r="AA8" s="10" t="s">
        <v>587</v>
      </c>
      <c r="AB8" s="10" t="s">
        <v>5085</v>
      </c>
      <c r="AC8" s="10" t="s">
        <v>589</v>
      </c>
      <c r="AD8" s="10" t="s">
        <v>101</v>
      </c>
      <c r="AE8" s="10">
        <v>813</v>
      </c>
      <c r="AF8" s="10" t="s">
        <v>590</v>
      </c>
      <c r="AG8" s="44"/>
      <c r="AH8" s="44"/>
      <c r="AI8" s="44" t="s">
        <v>6052</v>
      </c>
      <c r="AJ8" s="44" t="s">
        <v>6059</v>
      </c>
      <c r="AK8" s="44" t="s">
        <v>6062</v>
      </c>
      <c r="AL8" s="44" t="s">
        <v>6055</v>
      </c>
      <c r="AM8" s="44" t="s">
        <v>6056</v>
      </c>
      <c r="AN8" s="44" t="s">
        <v>33068</v>
      </c>
      <c r="AO8" s="45">
        <v>11</v>
      </c>
      <c r="AP8" s="45">
        <v>1</v>
      </c>
      <c r="AQ8" s="45">
        <v>1</v>
      </c>
      <c r="AR8" s="45">
        <v>1</v>
      </c>
      <c r="AS8" s="45">
        <v>1</v>
      </c>
      <c r="AT8" s="45">
        <v>1</v>
      </c>
      <c r="AU8" s="10" t="s">
        <v>33069</v>
      </c>
      <c r="AV8" s="10" t="s">
        <v>33070</v>
      </c>
      <c r="AW8" s="10" t="s">
        <v>33071</v>
      </c>
      <c r="AX8" s="10" t="s">
        <v>33072</v>
      </c>
      <c r="AY8" s="10" t="s">
        <v>32259</v>
      </c>
      <c r="AZ8" s="44" t="s">
        <v>33116</v>
      </c>
      <c r="BA8" s="44" t="s">
        <v>31147</v>
      </c>
      <c r="BB8" s="44" t="s">
        <v>31680</v>
      </c>
      <c r="BC8" s="44" t="s">
        <v>8354</v>
      </c>
      <c r="BD8" s="44" t="s">
        <v>37365</v>
      </c>
      <c r="BE8" s="11">
        <v>1</v>
      </c>
      <c r="BF8" s="11">
        <v>1</v>
      </c>
      <c r="BG8" s="11">
        <v>1</v>
      </c>
      <c r="BH8" s="10" t="s">
        <v>31736</v>
      </c>
      <c r="BI8" s="11">
        <v>100</v>
      </c>
      <c r="BJ8" s="10" t="s">
        <v>33169</v>
      </c>
      <c r="BK8" s="11">
        <v>100</v>
      </c>
    </row>
    <row r="9" spans="1:63" x14ac:dyDescent="0.75">
      <c r="A9" t="s">
        <v>5089</v>
      </c>
      <c r="B9" t="s">
        <v>104</v>
      </c>
      <c r="C9" t="s">
        <v>578</v>
      </c>
      <c r="D9" t="s">
        <v>579</v>
      </c>
      <c r="E9" s="22" t="s">
        <v>27138</v>
      </c>
      <c r="F9" t="s">
        <v>5090</v>
      </c>
      <c r="G9" s="1" t="str">
        <f>HYPERLINK("https://homd.org/jbrowse/?data=homd_V11.02_phage_1.2%2FGCA_900096735.1&amp;loc=GCA_900096735.1%7CFMMM01000014.1%3A34762..41709&amp;tracks=prokka,prokka_ncrna,ncbi,ncbi_ncrna,panggolin,cenote,genomad&amp;highlight=","Open JBrowse")</f>
        <v>Open JBrowse</v>
      </c>
      <c r="H9" s="10">
        <v>37762</v>
      </c>
      <c r="I9" s="10">
        <v>38709</v>
      </c>
      <c r="J9" s="10" t="s">
        <v>5091</v>
      </c>
      <c r="K9" s="10" t="s">
        <v>59</v>
      </c>
      <c r="L9" s="10" t="s">
        <v>582</v>
      </c>
      <c r="M9" s="10" t="s">
        <v>583</v>
      </c>
      <c r="N9" s="10" t="s">
        <v>42</v>
      </c>
      <c r="O9" s="10">
        <v>3</v>
      </c>
      <c r="P9" s="10" t="s">
        <v>42</v>
      </c>
      <c r="Q9" s="10" t="s">
        <v>59</v>
      </c>
      <c r="R9" s="10" t="s">
        <v>5092</v>
      </c>
      <c r="S9" s="10" t="s">
        <v>582</v>
      </c>
      <c r="T9" s="10" t="s">
        <v>42</v>
      </c>
      <c r="U9" s="10">
        <v>71</v>
      </c>
      <c r="V9" s="10">
        <v>304</v>
      </c>
      <c r="W9" s="10">
        <v>234</v>
      </c>
      <c r="X9" s="10" t="s">
        <v>63</v>
      </c>
      <c r="Y9" s="10" t="s">
        <v>5093</v>
      </c>
      <c r="Z9" s="10" t="s">
        <v>586</v>
      </c>
      <c r="AA9" s="10" t="s">
        <v>5094</v>
      </c>
      <c r="AB9" s="10" t="s">
        <v>5095</v>
      </c>
      <c r="AC9" s="10" t="s">
        <v>589</v>
      </c>
      <c r="AD9" s="10" t="s">
        <v>101</v>
      </c>
      <c r="AE9" s="10">
        <v>817</v>
      </c>
      <c r="AF9" s="10" t="s">
        <v>590</v>
      </c>
      <c r="AG9" s="44"/>
      <c r="AH9" s="44"/>
      <c r="AI9" s="44" t="s">
        <v>6052</v>
      </c>
      <c r="AJ9" s="44" t="s">
        <v>6059</v>
      </c>
      <c r="AK9" s="44" t="s">
        <v>6052</v>
      </c>
      <c r="AL9" s="44" t="s">
        <v>6055</v>
      </c>
      <c r="AM9" s="44" t="s">
        <v>6056</v>
      </c>
      <c r="AN9" s="44" t="s">
        <v>33056</v>
      </c>
      <c r="AO9" s="45">
        <v>11</v>
      </c>
      <c r="AP9" s="45">
        <v>1</v>
      </c>
      <c r="AQ9" s="45">
        <v>1</v>
      </c>
      <c r="AR9" s="45">
        <v>1</v>
      </c>
      <c r="AS9" s="45">
        <v>1</v>
      </c>
      <c r="AT9" s="45">
        <v>1</v>
      </c>
      <c r="AU9" s="10" t="s">
        <v>33057</v>
      </c>
      <c r="AV9" s="10" t="s">
        <v>33058</v>
      </c>
      <c r="AW9" s="10" t="s">
        <v>33059</v>
      </c>
      <c r="AX9" s="10" t="s">
        <v>33060</v>
      </c>
      <c r="AY9" s="10" t="s">
        <v>32259</v>
      </c>
      <c r="AZ9" s="44" t="s">
        <v>33116</v>
      </c>
      <c r="BA9" s="44" t="s">
        <v>31145</v>
      </c>
      <c r="BB9" s="44" t="s">
        <v>31676</v>
      </c>
      <c r="BC9" s="44" t="s">
        <v>8354</v>
      </c>
      <c r="BD9" s="44" t="s">
        <v>37365</v>
      </c>
      <c r="BE9" s="11">
        <v>1</v>
      </c>
      <c r="BF9" s="11">
        <v>1</v>
      </c>
      <c r="BG9" s="11">
        <v>1</v>
      </c>
      <c r="BH9" s="10" t="s">
        <v>31730</v>
      </c>
      <c r="BI9" s="11">
        <v>100</v>
      </c>
      <c r="BJ9" s="10" t="s">
        <v>33168</v>
      </c>
      <c r="BK9" s="11">
        <v>100</v>
      </c>
    </row>
    <row r="10" spans="1:63" x14ac:dyDescent="0.75">
      <c r="A10" t="s">
        <v>5071</v>
      </c>
      <c r="B10" t="s">
        <v>104</v>
      </c>
      <c r="C10" t="s">
        <v>578</v>
      </c>
      <c r="D10" t="s">
        <v>579</v>
      </c>
      <c r="E10" s="22" t="s">
        <v>27134</v>
      </c>
      <c r="F10" t="s">
        <v>5072</v>
      </c>
      <c r="G10" s="1" t="str">
        <f>HYPERLINK("https://homd.org/jbrowse/?data=homd_V11.02_phage_1.2%2FGCA_900096715.1&amp;loc=GCA_900096715.1%7CFMML01000005.1%3A16039..22986&amp;tracks=prokka,prokka_ncrna,ncbi,ncbi_ncrna,panggolin,cenote,genomad&amp;highlight=","Open JBrowse")</f>
        <v>Open JBrowse</v>
      </c>
      <c r="H10" s="10">
        <v>19039</v>
      </c>
      <c r="I10" s="10">
        <v>19986</v>
      </c>
      <c r="J10" s="10" t="s">
        <v>5073</v>
      </c>
      <c r="K10" s="10" t="s">
        <v>59</v>
      </c>
      <c r="L10" s="10" t="s">
        <v>582</v>
      </c>
      <c r="M10" s="10" t="s">
        <v>583</v>
      </c>
      <c r="N10" s="10" t="s">
        <v>42</v>
      </c>
      <c r="O10" s="10">
        <v>3</v>
      </c>
      <c r="P10" s="10" t="s">
        <v>42</v>
      </c>
      <c r="Q10" s="10" t="s">
        <v>59</v>
      </c>
      <c r="R10" s="10" t="s">
        <v>5074</v>
      </c>
      <c r="S10" s="10" t="s">
        <v>582</v>
      </c>
      <c r="T10" s="10" t="s">
        <v>42</v>
      </c>
      <c r="U10" s="10">
        <v>71</v>
      </c>
      <c r="V10" s="10">
        <v>304</v>
      </c>
      <c r="W10" s="10">
        <v>234</v>
      </c>
      <c r="X10" s="10" t="s">
        <v>63</v>
      </c>
      <c r="Y10" s="10" t="s">
        <v>5075</v>
      </c>
      <c r="Z10" s="10" t="s">
        <v>586</v>
      </c>
      <c r="AA10" s="10" t="s">
        <v>587</v>
      </c>
      <c r="AB10" s="10" t="s">
        <v>5076</v>
      </c>
      <c r="AC10" s="10" t="s">
        <v>589</v>
      </c>
      <c r="AD10" s="10" t="s">
        <v>101</v>
      </c>
      <c r="AE10" s="10">
        <v>817</v>
      </c>
      <c r="AF10" s="10" t="s">
        <v>590</v>
      </c>
      <c r="AG10" s="44"/>
      <c r="AH10" s="44"/>
      <c r="AI10" s="44" t="s">
        <v>6052</v>
      </c>
      <c r="AJ10" s="44" t="s">
        <v>6059</v>
      </c>
      <c r="AK10" s="44" t="s">
        <v>6062</v>
      </c>
      <c r="AL10" s="44" t="s">
        <v>6055</v>
      </c>
      <c r="AM10" s="44" t="s">
        <v>6056</v>
      </c>
      <c r="AN10" s="44" t="s">
        <v>33062</v>
      </c>
      <c r="AO10" s="45">
        <v>11</v>
      </c>
      <c r="AP10" s="45">
        <v>1</v>
      </c>
      <c r="AQ10" s="45">
        <v>1</v>
      </c>
      <c r="AR10" s="45">
        <v>1</v>
      </c>
      <c r="AS10" s="45">
        <v>1</v>
      </c>
      <c r="AT10" s="45">
        <v>1</v>
      </c>
      <c r="AU10" s="10" t="s">
        <v>33063</v>
      </c>
      <c r="AV10" s="10" t="s">
        <v>33064</v>
      </c>
      <c r="AW10" s="10" t="s">
        <v>33065</v>
      </c>
      <c r="AX10" s="10" t="s">
        <v>33066</v>
      </c>
      <c r="AY10" s="10" t="s">
        <v>32259</v>
      </c>
      <c r="AZ10" s="44" t="s">
        <v>33116</v>
      </c>
      <c r="BA10" s="44" t="s">
        <v>31146</v>
      </c>
      <c r="BB10" s="44" t="s">
        <v>31678</v>
      </c>
      <c r="BC10" s="44" t="s">
        <v>8354</v>
      </c>
      <c r="BD10" s="44" t="s">
        <v>37365</v>
      </c>
      <c r="BE10" s="11">
        <v>1</v>
      </c>
      <c r="BF10" s="11">
        <v>1</v>
      </c>
      <c r="BG10" s="11">
        <v>1</v>
      </c>
      <c r="BH10" s="10" t="s">
        <v>31731</v>
      </c>
      <c r="BI10" s="11">
        <v>100</v>
      </c>
      <c r="BJ10" s="10" t="s">
        <v>33167</v>
      </c>
      <c r="BK10" s="11">
        <v>100</v>
      </c>
    </row>
    <row r="11" spans="1:63" x14ac:dyDescent="0.75">
      <c r="A11" t="s">
        <v>577</v>
      </c>
      <c r="B11" t="s">
        <v>104</v>
      </c>
      <c r="C11" t="s">
        <v>578</v>
      </c>
      <c r="D11" t="s">
        <v>579</v>
      </c>
      <c r="E11" s="22" t="s">
        <v>8356</v>
      </c>
      <c r="F11" t="s">
        <v>580</v>
      </c>
      <c r="G11" s="1" t="str">
        <f>HYPERLINK("https://homd.org/jbrowse/?data=homd_V11.02_phage_1.2%2FGCA_000238215.1&amp;loc=GCA_000238215.1%7CCP003191.1%3A207330..214277&amp;tracks=prokka,prokka_ncrna,ncbi,ncbi_ncrna,panggolin,cenote,genomad&amp;highlight=","Open JBrowse")</f>
        <v>Open JBrowse</v>
      </c>
      <c r="H11" s="10">
        <v>210330</v>
      </c>
      <c r="I11" s="10">
        <v>211277</v>
      </c>
      <c r="J11" s="10" t="s">
        <v>581</v>
      </c>
      <c r="K11" s="10" t="s">
        <v>59</v>
      </c>
      <c r="L11" s="10" t="s">
        <v>582</v>
      </c>
      <c r="M11" s="10" t="s">
        <v>583</v>
      </c>
      <c r="N11" s="10" t="s">
        <v>42</v>
      </c>
      <c r="O11" s="10">
        <v>3</v>
      </c>
      <c r="P11" s="10" t="s">
        <v>42</v>
      </c>
      <c r="Q11" s="10" t="s">
        <v>59</v>
      </c>
      <c r="R11" s="10" t="s">
        <v>584</v>
      </c>
      <c r="S11" s="10" t="s">
        <v>582</v>
      </c>
      <c r="T11" s="10" t="s">
        <v>42</v>
      </c>
      <c r="U11" s="10">
        <v>71</v>
      </c>
      <c r="V11" s="10">
        <v>304</v>
      </c>
      <c r="W11" s="10">
        <v>234</v>
      </c>
      <c r="X11" s="10" t="s">
        <v>63</v>
      </c>
      <c r="Y11" s="10" t="s">
        <v>585</v>
      </c>
      <c r="Z11" s="10" t="s">
        <v>586</v>
      </c>
      <c r="AA11" s="10" t="s">
        <v>587</v>
      </c>
      <c r="AB11" s="10" t="s">
        <v>588</v>
      </c>
      <c r="AC11" s="10" t="s">
        <v>589</v>
      </c>
      <c r="AD11" s="10" t="s">
        <v>101</v>
      </c>
      <c r="AE11" s="10">
        <v>811</v>
      </c>
      <c r="AF11" s="10" t="s">
        <v>590</v>
      </c>
      <c r="AG11" s="44"/>
      <c r="AH11" s="44"/>
      <c r="AI11" s="44" t="s">
        <v>6052</v>
      </c>
      <c r="AJ11" s="44" t="s">
        <v>6059</v>
      </c>
      <c r="AK11" s="44" t="s">
        <v>6062</v>
      </c>
      <c r="AL11" s="44" t="s">
        <v>6055</v>
      </c>
      <c r="AM11" s="44" t="s">
        <v>6056</v>
      </c>
      <c r="AN11" s="44" t="s">
        <v>32490</v>
      </c>
      <c r="AO11" s="45">
        <v>11</v>
      </c>
      <c r="AP11" s="45">
        <v>1</v>
      </c>
      <c r="AQ11" s="45">
        <v>1</v>
      </c>
      <c r="AR11" s="45">
        <v>1</v>
      </c>
      <c r="AS11" s="45">
        <v>1</v>
      </c>
      <c r="AT11" s="45">
        <v>1</v>
      </c>
      <c r="AU11" s="10" t="s">
        <v>32491</v>
      </c>
      <c r="AV11" s="10" t="s">
        <v>32492</v>
      </c>
      <c r="AW11" s="10" t="s">
        <v>32493</v>
      </c>
      <c r="AX11" s="10" t="s">
        <v>32494</v>
      </c>
      <c r="AY11" s="10" t="s">
        <v>32259</v>
      </c>
      <c r="AZ11" s="44" t="s">
        <v>33116</v>
      </c>
      <c r="BA11" s="44" t="s">
        <v>30888</v>
      </c>
      <c r="BB11" s="44" t="s">
        <v>31299</v>
      </c>
      <c r="BC11" s="44" t="s">
        <v>8354</v>
      </c>
      <c r="BD11" s="44" t="s">
        <v>37365</v>
      </c>
      <c r="BE11" s="11">
        <v>1</v>
      </c>
      <c r="BF11" s="11">
        <v>1</v>
      </c>
      <c r="BG11" s="11">
        <v>1</v>
      </c>
      <c r="BH11" s="10" t="s">
        <v>31729</v>
      </c>
      <c r="BI11" s="11">
        <v>100</v>
      </c>
      <c r="BJ11" s="10" t="s">
        <v>33166</v>
      </c>
      <c r="BK11" s="11">
        <v>92.4</v>
      </c>
    </row>
    <row r="12" spans="1:63" x14ac:dyDescent="0.75">
      <c r="A12" t="s">
        <v>5876</v>
      </c>
      <c r="B12" t="s">
        <v>104</v>
      </c>
      <c r="C12" t="s">
        <v>578</v>
      </c>
      <c r="D12" t="s">
        <v>579</v>
      </c>
      <c r="E12" s="22" t="s">
        <v>30844</v>
      </c>
      <c r="F12" t="s">
        <v>5877</v>
      </c>
      <c r="G12" s="1" t="str">
        <f>HYPERLINK("https://homd.org/jbrowse/?data=homd_V11.02_phage_1.2%2FGCA_938034995.1&amp;loc=GCA_938034995.1%7CCALHNL010000032.1%3A59771..66718&amp;tracks=prokka,prokka_ncrna,ncbi,ncbi_ncrna,panggolin,cenote,genomad&amp;highlight=","Open JBrowse")</f>
        <v>Open JBrowse</v>
      </c>
      <c r="H12" s="10">
        <v>62771</v>
      </c>
      <c r="I12" s="10">
        <v>63718</v>
      </c>
      <c r="J12" s="10" t="s">
        <v>5878</v>
      </c>
      <c r="K12" s="10" t="s">
        <v>59</v>
      </c>
      <c r="L12" s="10" t="s">
        <v>582</v>
      </c>
      <c r="M12" s="10" t="s">
        <v>583</v>
      </c>
      <c r="N12" s="10" t="s">
        <v>42</v>
      </c>
      <c r="O12" s="10">
        <v>3</v>
      </c>
      <c r="P12" s="10" t="s">
        <v>42</v>
      </c>
      <c r="Q12" s="10" t="s">
        <v>59</v>
      </c>
      <c r="R12" s="10" t="s">
        <v>5879</v>
      </c>
      <c r="S12" s="10" t="s">
        <v>582</v>
      </c>
      <c r="T12" s="10" t="s">
        <v>42</v>
      </c>
      <c r="U12" s="10">
        <v>71</v>
      </c>
      <c r="V12" s="10">
        <v>304</v>
      </c>
      <c r="W12" s="10">
        <v>234</v>
      </c>
      <c r="X12" s="10" t="s">
        <v>63</v>
      </c>
      <c r="Y12" s="10" t="s">
        <v>5880</v>
      </c>
      <c r="Z12" s="10" t="s">
        <v>90</v>
      </c>
      <c r="AA12" s="10" t="s">
        <v>1367</v>
      </c>
      <c r="AB12" s="10" t="s">
        <v>5881</v>
      </c>
      <c r="AC12" s="10" t="s">
        <v>589</v>
      </c>
      <c r="AD12" s="10" t="s">
        <v>101</v>
      </c>
      <c r="AE12" s="10">
        <v>821</v>
      </c>
      <c r="AF12" s="10" t="s">
        <v>1369</v>
      </c>
      <c r="AG12" s="44"/>
      <c r="AH12" s="44"/>
      <c r="AI12" s="44" t="s">
        <v>6052</v>
      </c>
      <c r="AJ12" s="44" t="s">
        <v>6059</v>
      </c>
      <c r="AK12" s="44" t="s">
        <v>6062</v>
      </c>
      <c r="AL12" s="44" t="s">
        <v>6055</v>
      </c>
      <c r="AM12" s="44" t="s">
        <v>6056</v>
      </c>
      <c r="AN12" s="44" t="s">
        <v>32455</v>
      </c>
      <c r="AO12" s="45">
        <v>11</v>
      </c>
      <c r="AP12" s="45">
        <v>1</v>
      </c>
      <c r="AQ12" s="45">
        <v>1</v>
      </c>
      <c r="AR12" s="45">
        <v>1</v>
      </c>
      <c r="AS12" s="45">
        <v>1</v>
      </c>
      <c r="AT12" s="45">
        <v>1</v>
      </c>
      <c r="AU12" s="10" t="s">
        <v>32456</v>
      </c>
      <c r="AV12" s="10" t="s">
        <v>32457</v>
      </c>
      <c r="AW12" s="10" t="s">
        <v>32458</v>
      </c>
      <c r="AX12" s="10" t="s">
        <v>32459</v>
      </c>
      <c r="AY12" s="10" t="s">
        <v>32460</v>
      </c>
      <c r="AZ12" s="44" t="s">
        <v>33116</v>
      </c>
      <c r="BA12" s="44" t="s">
        <v>30865</v>
      </c>
      <c r="BB12" s="44" t="s">
        <v>31285</v>
      </c>
      <c r="BC12" s="44" t="s">
        <v>8354</v>
      </c>
      <c r="BD12" s="44" t="s">
        <v>37365</v>
      </c>
      <c r="BE12" s="11">
        <v>1</v>
      </c>
      <c r="BF12" s="11">
        <v>1</v>
      </c>
      <c r="BG12" s="11">
        <v>1</v>
      </c>
      <c r="BH12" s="10" t="s">
        <v>31734</v>
      </c>
      <c r="BI12" s="11">
        <v>100</v>
      </c>
      <c r="BJ12" s="10" t="s">
        <v>33162</v>
      </c>
      <c r="BK12" s="11" t="s">
        <v>33162</v>
      </c>
    </row>
    <row r="13" spans="1:63" x14ac:dyDescent="0.75">
      <c r="A13" t="s">
        <v>5536</v>
      </c>
      <c r="B13" t="s">
        <v>104</v>
      </c>
      <c r="C13" t="s">
        <v>578</v>
      </c>
      <c r="D13" t="s">
        <v>579</v>
      </c>
      <c r="E13" s="22" t="s">
        <v>30844</v>
      </c>
      <c r="F13" t="s">
        <v>5537</v>
      </c>
      <c r="G13" s="1" t="str">
        <f>HYPERLINK("https://homd.org/jbrowse/?data=homd_V11.02_phage_1.2%2FGCA_905373495.1&amp;loc=GCA_905373495.1%7CCAJPTF010000006.1%3A14625..21572&amp;tracks=prokka,prokka_ncrna,ncbi,ncbi_ncrna,panggolin,cenote,genomad&amp;highlight=","Open JBrowse")</f>
        <v>Open JBrowse</v>
      </c>
      <c r="H13" s="10">
        <v>17625</v>
      </c>
      <c r="I13" s="10">
        <v>18572</v>
      </c>
      <c r="J13" s="10" t="s">
        <v>5538</v>
      </c>
      <c r="K13" s="10" t="s">
        <v>59</v>
      </c>
      <c r="L13" s="10" t="s">
        <v>582</v>
      </c>
      <c r="M13" s="10" t="s">
        <v>583</v>
      </c>
      <c r="N13" s="10" t="s">
        <v>42</v>
      </c>
      <c r="O13" s="10">
        <v>3</v>
      </c>
      <c r="P13" s="10" t="s">
        <v>42</v>
      </c>
      <c r="Q13" s="10" t="s">
        <v>59</v>
      </c>
      <c r="R13" s="10" t="s">
        <v>5539</v>
      </c>
      <c r="S13" s="10" t="s">
        <v>582</v>
      </c>
      <c r="T13" s="10" t="s">
        <v>42</v>
      </c>
      <c r="U13" s="10">
        <v>71</v>
      </c>
      <c r="V13" s="10">
        <v>304</v>
      </c>
      <c r="W13" s="10">
        <v>234</v>
      </c>
      <c r="X13" s="10" t="s">
        <v>63</v>
      </c>
      <c r="Y13" s="10" t="s">
        <v>5540</v>
      </c>
      <c r="Z13" s="10" t="s">
        <v>302</v>
      </c>
      <c r="AA13" s="10" t="s">
        <v>587</v>
      </c>
      <c r="AB13" s="10" t="s">
        <v>5541</v>
      </c>
      <c r="AC13" s="10" t="s">
        <v>589</v>
      </c>
      <c r="AD13" s="10" t="s">
        <v>101</v>
      </c>
      <c r="AE13" s="10">
        <v>813</v>
      </c>
      <c r="AF13" s="10" t="s">
        <v>590</v>
      </c>
      <c r="AG13" s="44"/>
      <c r="AH13" s="44"/>
      <c r="AI13" s="44" t="s">
        <v>6052</v>
      </c>
      <c r="AJ13" s="44" t="s">
        <v>6059</v>
      </c>
      <c r="AK13" s="44" t="s">
        <v>6062</v>
      </c>
      <c r="AL13" s="44" t="s">
        <v>6055</v>
      </c>
      <c r="AM13" s="44" t="s">
        <v>6056</v>
      </c>
      <c r="AN13" s="44" t="s">
        <v>32450</v>
      </c>
      <c r="AO13" s="45">
        <v>11</v>
      </c>
      <c r="AP13" s="45">
        <v>1</v>
      </c>
      <c r="AQ13" s="45">
        <v>1</v>
      </c>
      <c r="AR13" s="45">
        <v>1</v>
      </c>
      <c r="AS13" s="45">
        <v>1</v>
      </c>
      <c r="AT13" s="45">
        <v>1</v>
      </c>
      <c r="AU13" s="10" t="s">
        <v>32451</v>
      </c>
      <c r="AV13" s="10" t="s">
        <v>32452</v>
      </c>
      <c r="AW13" s="10" t="s">
        <v>32453</v>
      </c>
      <c r="AX13" s="10" t="s">
        <v>32454</v>
      </c>
      <c r="AY13" s="10" t="s">
        <v>32259</v>
      </c>
      <c r="AZ13" s="44" t="s">
        <v>33116</v>
      </c>
      <c r="BA13" s="44" t="s">
        <v>30865</v>
      </c>
      <c r="BB13" s="44" t="s">
        <v>31284</v>
      </c>
      <c r="BC13" s="44" t="s">
        <v>8354</v>
      </c>
      <c r="BD13" s="44" t="s">
        <v>37365</v>
      </c>
      <c r="BE13" s="11">
        <v>1</v>
      </c>
      <c r="BF13" s="11">
        <v>1</v>
      </c>
      <c r="BG13" s="11">
        <v>1</v>
      </c>
      <c r="BH13" s="10" t="s">
        <v>31735</v>
      </c>
      <c r="BI13" s="11">
        <v>100</v>
      </c>
      <c r="BJ13" s="10" t="s">
        <v>33162</v>
      </c>
      <c r="BK13" s="11" t="s">
        <v>33162</v>
      </c>
    </row>
    <row r="14" spans="1:63" x14ac:dyDescent="0.75">
      <c r="A14" t="s">
        <v>1507</v>
      </c>
      <c r="B14" t="s">
        <v>104</v>
      </c>
      <c r="C14" t="s">
        <v>578</v>
      </c>
      <c r="D14" t="s">
        <v>579</v>
      </c>
      <c r="E14" s="22" t="s">
        <v>11855</v>
      </c>
      <c r="F14" t="s">
        <v>1508</v>
      </c>
      <c r="G14" s="1" t="str">
        <f>HYPERLINK("https://homd.org/jbrowse/?data=homd_V11.02_phage_1.2%2FGCA_001547855.1&amp;loc=GCA_001547855.1%7CAP013045.1%3A226872..233819&amp;tracks=prokka,prokka_ncrna,ncbi,ncbi_ncrna,panggolin,cenote,genomad&amp;highlight=","Open JBrowse")</f>
        <v>Open JBrowse</v>
      </c>
      <c r="H14" s="10">
        <v>229872</v>
      </c>
      <c r="I14" s="10">
        <v>230819</v>
      </c>
      <c r="J14" s="10" t="s">
        <v>1509</v>
      </c>
      <c r="K14" s="10" t="s">
        <v>59</v>
      </c>
      <c r="L14" s="10" t="s">
        <v>582</v>
      </c>
      <c r="M14" s="10" t="s">
        <v>1510</v>
      </c>
      <c r="N14" s="10" t="s">
        <v>42</v>
      </c>
      <c r="O14" s="10">
        <v>3</v>
      </c>
      <c r="P14" s="10" t="s">
        <v>42</v>
      </c>
      <c r="Q14" s="10" t="s">
        <v>59</v>
      </c>
      <c r="R14" s="10" t="s">
        <v>1511</v>
      </c>
      <c r="S14" s="10" t="s">
        <v>582</v>
      </c>
      <c r="T14" s="10" t="s">
        <v>42</v>
      </c>
      <c r="U14" s="10">
        <v>71</v>
      </c>
      <c r="V14" s="10">
        <v>304</v>
      </c>
      <c r="W14" s="10">
        <v>234</v>
      </c>
      <c r="X14" s="10" t="s">
        <v>63</v>
      </c>
      <c r="Y14" s="10" t="s">
        <v>1512</v>
      </c>
      <c r="Z14" s="10" t="s">
        <v>586</v>
      </c>
      <c r="AA14" s="10" t="s">
        <v>1513</v>
      </c>
      <c r="AB14" s="10" t="s">
        <v>1514</v>
      </c>
      <c r="AC14" s="10" t="s">
        <v>589</v>
      </c>
      <c r="AD14" s="10" t="s">
        <v>101</v>
      </c>
      <c r="AE14" s="10">
        <v>813</v>
      </c>
      <c r="AF14" s="10" t="s">
        <v>590</v>
      </c>
      <c r="AG14" s="44"/>
      <c r="AH14" s="44"/>
      <c r="AI14" s="44" t="s">
        <v>6052</v>
      </c>
      <c r="AJ14" s="44" t="s">
        <v>6059</v>
      </c>
      <c r="AK14" s="44" t="s">
        <v>6062</v>
      </c>
      <c r="AL14" s="44" t="s">
        <v>6055</v>
      </c>
      <c r="AM14" s="44" t="s">
        <v>6056</v>
      </c>
      <c r="AN14" s="44" t="s">
        <v>32898</v>
      </c>
      <c r="AO14" s="45">
        <v>11</v>
      </c>
      <c r="AP14" s="45">
        <v>1</v>
      </c>
      <c r="AQ14" s="45">
        <v>1</v>
      </c>
      <c r="AR14" s="45">
        <v>1</v>
      </c>
      <c r="AS14" s="45">
        <v>1</v>
      </c>
      <c r="AT14" s="45">
        <v>1</v>
      </c>
      <c r="AU14" s="10" t="s">
        <v>32899</v>
      </c>
      <c r="AV14" s="10" t="s">
        <v>32900</v>
      </c>
      <c r="AW14" s="10" t="s">
        <v>32901</v>
      </c>
      <c r="AX14" s="10" t="s">
        <v>32902</v>
      </c>
      <c r="AY14" s="10" t="s">
        <v>32903</v>
      </c>
      <c r="AZ14" s="44" t="s">
        <v>33116</v>
      </c>
      <c r="BA14" s="44" t="s">
        <v>31069</v>
      </c>
      <c r="BB14" s="44" t="s">
        <v>31565</v>
      </c>
      <c r="BC14" s="44" t="s">
        <v>8354</v>
      </c>
      <c r="BD14" s="44" t="s">
        <v>37365</v>
      </c>
      <c r="BE14" s="11">
        <v>1</v>
      </c>
      <c r="BF14" s="11">
        <v>1</v>
      </c>
      <c r="BG14" s="11">
        <v>1</v>
      </c>
      <c r="BH14" s="10" t="s">
        <v>31741</v>
      </c>
      <c r="BI14" s="11">
        <v>100</v>
      </c>
      <c r="BJ14" s="10" t="s">
        <v>33165</v>
      </c>
      <c r="BK14" s="11">
        <v>92.4</v>
      </c>
    </row>
    <row r="15" spans="1:63" x14ac:dyDescent="0.75">
      <c r="A15" t="s">
        <v>1517</v>
      </c>
      <c r="B15" t="s">
        <v>104</v>
      </c>
      <c r="C15" t="s">
        <v>578</v>
      </c>
      <c r="D15" t="s">
        <v>579</v>
      </c>
      <c r="E15" s="22">
        <v>3313</v>
      </c>
      <c r="F15" t="s">
        <v>1518</v>
      </c>
      <c r="G15" s="1" t="str">
        <f>HYPERLINK("https://homd.org/jbrowse/?data=homd_V11.02_phage_1.2%2FGCA_001547875.1&amp;loc=GCA_001547875.1%7CAP013044.1%3A179458..186405&amp;tracks=prokka,prokka_ncrna,ncbi,ncbi_ncrna,panggolin,cenote,genomad&amp;highlight=","Open JBrowse")</f>
        <v>Open JBrowse</v>
      </c>
      <c r="H15" s="10">
        <v>182458</v>
      </c>
      <c r="I15" s="10">
        <v>183405</v>
      </c>
      <c r="J15" s="10" t="s">
        <v>1519</v>
      </c>
      <c r="K15" s="10" t="s">
        <v>59</v>
      </c>
      <c r="L15" s="10" t="s">
        <v>582</v>
      </c>
      <c r="M15" s="10" t="s">
        <v>583</v>
      </c>
      <c r="N15" s="10" t="s">
        <v>42</v>
      </c>
      <c r="O15" s="10">
        <v>3</v>
      </c>
      <c r="P15" s="10" t="s">
        <v>42</v>
      </c>
      <c r="Q15" s="10" t="s">
        <v>59</v>
      </c>
      <c r="R15" s="10" t="s">
        <v>1520</v>
      </c>
      <c r="S15" s="10" t="s">
        <v>582</v>
      </c>
      <c r="T15" s="10" t="s">
        <v>42</v>
      </c>
      <c r="U15" s="10">
        <v>71</v>
      </c>
      <c r="V15" s="10">
        <v>304</v>
      </c>
      <c r="W15" s="10">
        <v>234</v>
      </c>
      <c r="X15" s="10" t="s">
        <v>63</v>
      </c>
      <c r="Y15" s="10" t="s">
        <v>1521</v>
      </c>
      <c r="Z15" s="10" t="s">
        <v>586</v>
      </c>
      <c r="AA15" s="10" t="s">
        <v>587</v>
      </c>
      <c r="AB15" s="10" t="s">
        <v>1522</v>
      </c>
      <c r="AC15" s="10" t="s">
        <v>589</v>
      </c>
      <c r="AD15" s="10" t="s">
        <v>101</v>
      </c>
      <c r="AE15" s="10">
        <v>819</v>
      </c>
      <c r="AF15" s="10" t="s">
        <v>590</v>
      </c>
      <c r="AG15" s="44"/>
      <c r="AH15" s="44"/>
      <c r="AI15" s="44" t="s">
        <v>6052</v>
      </c>
      <c r="AJ15" s="44" t="s">
        <v>6059</v>
      </c>
      <c r="AK15" s="44" t="s">
        <v>6062</v>
      </c>
      <c r="AL15" s="44" t="s">
        <v>6055</v>
      </c>
      <c r="AM15" s="44" t="s">
        <v>6056</v>
      </c>
      <c r="AN15" s="44" t="s">
        <v>32254</v>
      </c>
      <c r="AO15" s="45">
        <v>11</v>
      </c>
      <c r="AP15" s="45">
        <v>1</v>
      </c>
      <c r="AQ15" s="45">
        <v>1</v>
      </c>
      <c r="AR15" s="45">
        <v>1</v>
      </c>
      <c r="AS15" s="45">
        <v>1</v>
      </c>
      <c r="AT15" s="45">
        <v>1</v>
      </c>
      <c r="AU15" s="10" t="s">
        <v>32255</v>
      </c>
      <c r="AV15" s="10" t="s">
        <v>32256</v>
      </c>
      <c r="AW15" s="10" t="s">
        <v>32257</v>
      </c>
      <c r="AX15" s="10" t="s">
        <v>32258</v>
      </c>
      <c r="AY15" s="10" t="s">
        <v>32259</v>
      </c>
      <c r="AZ15" s="44" t="s">
        <v>33116</v>
      </c>
      <c r="BA15" s="44" t="s">
        <v>30845</v>
      </c>
      <c r="BB15" s="44" t="s">
        <v>31161</v>
      </c>
      <c r="BC15" s="44" t="s">
        <v>8354</v>
      </c>
      <c r="BD15" s="44" t="s">
        <v>37365</v>
      </c>
      <c r="BE15" s="11">
        <v>1</v>
      </c>
      <c r="BF15" s="11">
        <v>1</v>
      </c>
      <c r="BG15" s="11">
        <v>1</v>
      </c>
      <c r="BH15" s="10" t="s">
        <v>31733</v>
      </c>
      <c r="BI15" s="11">
        <v>100</v>
      </c>
      <c r="BJ15" s="10" t="s">
        <v>33164</v>
      </c>
      <c r="BK15" s="11">
        <v>92.4</v>
      </c>
    </row>
    <row r="16" spans="1:63" x14ac:dyDescent="0.75">
      <c r="A16" t="s">
        <v>4988</v>
      </c>
      <c r="B16" t="s">
        <v>104</v>
      </c>
      <c r="C16" t="s">
        <v>2767</v>
      </c>
      <c r="D16" t="s">
        <v>2768</v>
      </c>
      <c r="E16" s="22" t="s">
        <v>26409</v>
      </c>
      <c r="F16" t="s">
        <v>4989</v>
      </c>
      <c r="G16" s="1" t="str">
        <f>HYPERLINK("https://homd.org/jbrowse/?data=homd_V11.02_phage_1.2%2FGCA_030527845.1&amp;loc=GCA_030527845.1%7CJAUNAA010000005.1%3A63240..70778&amp;tracks=prokka,prokka_ncrna,ncbi,ncbi_ncrna,panggolin,cenote,genomad&amp;highlight=","Open JBrowse")</f>
        <v>Open JBrowse</v>
      </c>
      <c r="H16" s="10">
        <v>66240</v>
      </c>
      <c r="I16" s="10">
        <v>67778</v>
      </c>
      <c r="J16" s="10" t="s">
        <v>4990</v>
      </c>
      <c r="K16" s="10" t="s">
        <v>269</v>
      </c>
      <c r="L16" s="10" t="s">
        <v>2771</v>
      </c>
      <c r="M16" s="10" t="s">
        <v>2772</v>
      </c>
      <c r="N16" s="10" t="s">
        <v>42</v>
      </c>
      <c r="O16" s="10">
        <v>3</v>
      </c>
      <c r="P16" s="10" t="s">
        <v>42</v>
      </c>
      <c r="Q16" s="10" t="s">
        <v>43</v>
      </c>
      <c r="R16" s="10" t="s">
        <v>4991</v>
      </c>
      <c r="S16" s="10" t="s">
        <v>2771</v>
      </c>
      <c r="T16" s="10" t="s">
        <v>42</v>
      </c>
      <c r="U16" s="10">
        <v>245</v>
      </c>
      <c r="V16" s="10">
        <v>506</v>
      </c>
      <c r="W16" s="10">
        <v>262</v>
      </c>
      <c r="X16" s="10" t="s">
        <v>273</v>
      </c>
      <c r="Y16" s="10"/>
      <c r="Z16" s="10"/>
      <c r="AA16" s="10"/>
      <c r="AB16" s="10"/>
      <c r="AC16" s="10"/>
      <c r="AD16" s="10"/>
      <c r="AE16" s="10"/>
      <c r="AF16" s="10"/>
      <c r="AG16" s="44"/>
      <c r="AH16" s="44"/>
      <c r="AI16" s="46" t="s">
        <v>6054</v>
      </c>
      <c r="AJ16" s="44" t="s">
        <v>6052</v>
      </c>
      <c r="AK16" s="44" t="s">
        <v>6052</v>
      </c>
      <c r="AL16" s="44" t="s">
        <v>6052</v>
      </c>
      <c r="AM16" s="44" t="s">
        <v>6052</v>
      </c>
      <c r="AN16" s="44" t="s">
        <v>32996</v>
      </c>
      <c r="AO16" s="45">
        <v>11</v>
      </c>
      <c r="AP16" s="45">
        <v>1</v>
      </c>
      <c r="AQ16" s="45">
        <v>0</v>
      </c>
      <c r="AR16" s="45">
        <v>0</v>
      </c>
      <c r="AS16" s="45">
        <v>0</v>
      </c>
      <c r="AT16" s="45">
        <v>1</v>
      </c>
      <c r="AU16" s="10" t="s">
        <v>6052</v>
      </c>
      <c r="AV16" s="10" t="s">
        <v>6052</v>
      </c>
      <c r="AW16" s="10" t="s">
        <v>6052</v>
      </c>
      <c r="AX16" s="10" t="s">
        <v>32997</v>
      </c>
      <c r="AY16" s="10" t="s">
        <v>32323</v>
      </c>
      <c r="AZ16" s="44" t="s">
        <v>33117</v>
      </c>
      <c r="BA16" s="44" t="s">
        <v>31104</v>
      </c>
      <c r="BB16" s="44" t="s">
        <v>31620</v>
      </c>
      <c r="BC16" s="44" t="s">
        <v>8684</v>
      </c>
      <c r="BD16" s="44" t="s">
        <v>31720</v>
      </c>
      <c r="BE16" s="11">
        <v>1</v>
      </c>
      <c r="BF16" s="11">
        <v>0</v>
      </c>
      <c r="BG16" s="11">
        <v>0</v>
      </c>
      <c r="BH16" s="10" t="s">
        <v>32189</v>
      </c>
      <c r="BI16" s="11">
        <v>100</v>
      </c>
      <c r="BJ16" s="10" t="s">
        <v>33219</v>
      </c>
      <c r="BK16" s="11">
        <v>100</v>
      </c>
    </row>
    <row r="17" spans="1:63" x14ac:dyDescent="0.75">
      <c r="A17" t="s">
        <v>4819</v>
      </c>
      <c r="B17" t="s">
        <v>104</v>
      </c>
      <c r="C17" t="s">
        <v>371</v>
      </c>
      <c r="D17" t="s">
        <v>372</v>
      </c>
      <c r="E17" s="22" t="s">
        <v>24606</v>
      </c>
      <c r="F17" t="s">
        <v>4820</v>
      </c>
      <c r="G17" s="1" t="str">
        <f>HYPERLINK("https://homd.org/jbrowse/?data=homd_V11.02_phage_1.2%2FGCA_027663695.1&amp;loc=GCA_027663695.1%7CJAQDHM010000008.1%3A76015..83190&amp;tracks=prokka,prokka_ncrna,ncbi,ncbi_ncrna,panggolin,cenote,genomad&amp;highlight=","Open JBrowse")</f>
        <v>Open JBrowse</v>
      </c>
      <c r="H17" s="10">
        <v>79015</v>
      </c>
      <c r="I17" s="10">
        <v>80190</v>
      </c>
      <c r="J17" s="10" t="s">
        <v>4821</v>
      </c>
      <c r="K17" s="10" t="s">
        <v>59</v>
      </c>
      <c r="L17" s="10" t="s">
        <v>388</v>
      </c>
      <c r="M17" s="10" t="s">
        <v>389</v>
      </c>
      <c r="N17" s="10" t="s">
        <v>42</v>
      </c>
      <c r="O17" s="10">
        <v>3</v>
      </c>
      <c r="P17" s="10" t="s">
        <v>42</v>
      </c>
      <c r="Q17" s="10" t="s">
        <v>59</v>
      </c>
      <c r="R17" s="10" t="s">
        <v>4822</v>
      </c>
      <c r="S17" s="10" t="s">
        <v>388</v>
      </c>
      <c r="T17" s="10" t="s">
        <v>42</v>
      </c>
      <c r="U17" s="10">
        <v>66</v>
      </c>
      <c r="V17" s="10">
        <v>346</v>
      </c>
      <c r="W17" s="10">
        <v>281</v>
      </c>
      <c r="X17" s="10" t="s">
        <v>390</v>
      </c>
      <c r="Y17" s="10"/>
      <c r="Z17" s="10"/>
      <c r="AA17" s="10"/>
      <c r="AB17" s="10"/>
      <c r="AC17" s="10"/>
      <c r="AD17" s="10"/>
      <c r="AE17" s="10"/>
      <c r="AF17" s="10"/>
      <c r="AG17" s="44"/>
      <c r="AH17" s="44"/>
      <c r="AI17" s="46" t="s">
        <v>6054</v>
      </c>
      <c r="AJ17" s="44" t="s">
        <v>6052</v>
      </c>
      <c r="AK17" s="44" t="s">
        <v>6052</v>
      </c>
      <c r="AL17" s="44" t="s">
        <v>6052</v>
      </c>
      <c r="AM17" s="44" t="s">
        <v>6052</v>
      </c>
      <c r="AN17" s="44" t="s">
        <v>32519</v>
      </c>
      <c r="AO17" s="45">
        <v>11</v>
      </c>
      <c r="AP17" s="45">
        <v>1</v>
      </c>
      <c r="AQ17" s="45">
        <v>0</v>
      </c>
      <c r="AR17" s="45">
        <v>0</v>
      </c>
      <c r="AS17" s="45">
        <v>0</v>
      </c>
      <c r="AT17" s="45">
        <v>1</v>
      </c>
      <c r="AU17" s="10" t="s">
        <v>6052</v>
      </c>
      <c r="AV17" s="10" t="s">
        <v>6052</v>
      </c>
      <c r="AW17" s="10" t="s">
        <v>6052</v>
      </c>
      <c r="AX17" s="10" t="s">
        <v>32520</v>
      </c>
      <c r="AY17" s="10" t="s">
        <v>32521</v>
      </c>
      <c r="AZ17" s="44" t="s">
        <v>33117</v>
      </c>
      <c r="BA17" s="44" t="s">
        <v>30895</v>
      </c>
      <c r="BB17" s="44" t="s">
        <v>31314</v>
      </c>
      <c r="BC17" s="44" t="s">
        <v>6093</v>
      </c>
      <c r="BD17" s="44" t="s">
        <v>31713</v>
      </c>
      <c r="BE17" s="11">
        <v>1</v>
      </c>
      <c r="BF17" s="11">
        <v>0</v>
      </c>
      <c r="BG17" s="11">
        <v>0</v>
      </c>
      <c r="BH17" s="10" t="s">
        <v>33162</v>
      </c>
      <c r="BI17" s="11" t="s">
        <v>33162</v>
      </c>
      <c r="BJ17" s="10" t="s">
        <v>33162</v>
      </c>
      <c r="BK17" s="11" t="s">
        <v>33162</v>
      </c>
    </row>
    <row r="18" spans="1:63" x14ac:dyDescent="0.75">
      <c r="A18" t="s">
        <v>2990</v>
      </c>
      <c r="B18" t="s">
        <v>104</v>
      </c>
      <c r="C18" t="s">
        <v>153</v>
      </c>
      <c r="D18" t="s">
        <v>154</v>
      </c>
      <c r="E18" s="22" t="s">
        <v>19349</v>
      </c>
      <c r="F18" t="s">
        <v>2991</v>
      </c>
      <c r="G18" s="1" t="str">
        <f>HYPERLINK("https://homd.org/jbrowse/?data=homd_V11.02_phage_1.2%2FGCA_015260395.1&amp;loc=GCA_015260395.1%7CJABZWT010000004.1%3A38888..45892&amp;tracks=prokka,prokka_ncrna,ncbi,ncbi_ncrna,panggolin,cenote,genomad&amp;highlight=","Open JBrowse")</f>
        <v>Open JBrowse</v>
      </c>
      <c r="H18" s="10">
        <v>41888</v>
      </c>
      <c r="I18" s="10">
        <v>42892</v>
      </c>
      <c r="J18" s="10" t="s">
        <v>2992</v>
      </c>
      <c r="K18" s="10" t="s">
        <v>59</v>
      </c>
      <c r="L18" s="10" t="s">
        <v>157</v>
      </c>
      <c r="M18" s="10" t="s">
        <v>158</v>
      </c>
      <c r="N18" s="10" t="s">
        <v>42</v>
      </c>
      <c r="O18" s="10">
        <v>3</v>
      </c>
      <c r="P18" s="10" t="s">
        <v>42</v>
      </c>
      <c r="Q18" s="10" t="s">
        <v>59</v>
      </c>
      <c r="R18" s="10" t="s">
        <v>2993</v>
      </c>
      <c r="S18" s="10" t="s">
        <v>157</v>
      </c>
      <c r="T18" s="10" t="s">
        <v>42</v>
      </c>
      <c r="U18" s="10">
        <v>53</v>
      </c>
      <c r="V18" s="10">
        <v>279</v>
      </c>
      <c r="W18" s="10">
        <v>227</v>
      </c>
      <c r="X18" s="10" t="s">
        <v>160</v>
      </c>
      <c r="Y18" s="10" t="s">
        <v>2994</v>
      </c>
      <c r="Z18" s="10" t="s">
        <v>547</v>
      </c>
      <c r="AA18" s="10" t="s">
        <v>2995</v>
      </c>
      <c r="AB18" s="10"/>
      <c r="AC18" s="10"/>
      <c r="AD18" s="10"/>
      <c r="AE18" s="10"/>
      <c r="AF18" s="10"/>
      <c r="AG18" s="44"/>
      <c r="AH18" s="44"/>
      <c r="AI18" s="44" t="s">
        <v>6052</v>
      </c>
      <c r="AJ18" s="44" t="s">
        <v>6052</v>
      </c>
      <c r="AK18" s="44" t="s">
        <v>6052</v>
      </c>
      <c r="AL18" s="44" t="s">
        <v>6055</v>
      </c>
      <c r="AM18" s="44" t="s">
        <v>6052</v>
      </c>
      <c r="AN18" s="44" t="s">
        <v>32853</v>
      </c>
      <c r="AO18" s="45">
        <v>11</v>
      </c>
      <c r="AP18" s="45">
        <v>1</v>
      </c>
      <c r="AQ18" s="45">
        <v>0</v>
      </c>
      <c r="AR18" s="45">
        <v>0</v>
      </c>
      <c r="AS18" s="45">
        <v>0</v>
      </c>
      <c r="AT18" s="45">
        <v>1</v>
      </c>
      <c r="AU18" s="10" t="s">
        <v>6052</v>
      </c>
      <c r="AV18" s="10" t="s">
        <v>6052</v>
      </c>
      <c r="AW18" s="10" t="s">
        <v>6052</v>
      </c>
      <c r="AX18" s="10" t="s">
        <v>32854</v>
      </c>
      <c r="AY18" s="10" t="s">
        <v>32365</v>
      </c>
      <c r="AZ18" s="44" t="s">
        <v>33117</v>
      </c>
      <c r="BA18" s="44" t="s">
        <v>31046</v>
      </c>
      <c r="BB18" s="44" t="s">
        <v>31530</v>
      </c>
      <c r="BC18" s="44" t="s">
        <v>6594</v>
      </c>
      <c r="BD18" s="44" t="s">
        <v>31708</v>
      </c>
      <c r="BE18" s="11">
        <v>1</v>
      </c>
      <c r="BF18" s="11">
        <v>0</v>
      </c>
      <c r="BG18" s="11">
        <v>0</v>
      </c>
      <c r="BH18" s="10" t="s">
        <v>32042</v>
      </c>
      <c r="BI18" s="11">
        <v>100</v>
      </c>
      <c r="BJ18" s="10" t="s">
        <v>33427</v>
      </c>
      <c r="BK18" s="11">
        <v>100</v>
      </c>
    </row>
    <row r="19" spans="1:63" x14ac:dyDescent="0.75">
      <c r="A19" t="s">
        <v>2740</v>
      </c>
      <c r="B19" t="s">
        <v>104</v>
      </c>
      <c r="C19" t="s">
        <v>2741</v>
      </c>
      <c r="D19" t="s">
        <v>2742</v>
      </c>
      <c r="E19" s="22" t="s">
        <v>30844</v>
      </c>
      <c r="F19" t="s">
        <v>2750</v>
      </c>
      <c r="G19" s="1" t="str">
        <f>HYPERLINK("https://homd.org/jbrowse/?data=homd_V11.02_phage_1.2%2FGCA_013333645.2&amp;loc=GCA_013333645.2%7CJABCOK020000016.1%3A90645..97880&amp;tracks=prokka,prokka_ncrna,ncbi,ncbi_ncrna,panggolin,cenote,genomad&amp;highlight=","Open JBrowse")</f>
        <v>Open JBrowse</v>
      </c>
      <c r="H19" s="10">
        <v>93645</v>
      </c>
      <c r="I19" s="10">
        <v>94880</v>
      </c>
      <c r="J19" s="10" t="s">
        <v>2751</v>
      </c>
      <c r="K19" s="10" t="s">
        <v>59</v>
      </c>
      <c r="L19" s="10" t="s">
        <v>2752</v>
      </c>
      <c r="M19" s="10" t="s">
        <v>2753</v>
      </c>
      <c r="N19" s="10" t="s">
        <v>2318</v>
      </c>
      <c r="O19" s="10">
        <v>3</v>
      </c>
      <c r="P19" s="10" t="s">
        <v>42</v>
      </c>
      <c r="Q19" s="10" t="s">
        <v>59</v>
      </c>
      <c r="R19" s="10" t="s">
        <v>2747</v>
      </c>
      <c r="S19" s="10" t="s">
        <v>2752</v>
      </c>
      <c r="T19" s="10" t="s">
        <v>42</v>
      </c>
      <c r="U19" s="10">
        <v>45</v>
      </c>
      <c r="V19" s="10">
        <v>323</v>
      </c>
      <c r="W19" s="10">
        <v>279</v>
      </c>
      <c r="X19" s="10" t="s">
        <v>1629</v>
      </c>
      <c r="Y19" s="10"/>
      <c r="Z19" s="10"/>
      <c r="AA19" s="10"/>
      <c r="AB19" s="10"/>
      <c r="AC19" s="10"/>
      <c r="AD19" s="10"/>
      <c r="AE19" s="10"/>
      <c r="AF19" s="10"/>
      <c r="AG19" s="44"/>
      <c r="AH19" s="44"/>
      <c r="AI19" s="46" t="s">
        <v>6054</v>
      </c>
      <c r="AJ19" s="44" t="s">
        <v>6052</v>
      </c>
      <c r="AK19" s="44" t="s">
        <v>6052</v>
      </c>
      <c r="AL19" s="44" t="s">
        <v>6052</v>
      </c>
      <c r="AM19" s="44" t="s">
        <v>6052</v>
      </c>
      <c r="AN19" s="44" t="s">
        <v>32363</v>
      </c>
      <c r="AO19" s="45">
        <v>11</v>
      </c>
      <c r="AP19" s="45">
        <v>1</v>
      </c>
      <c r="AQ19" s="45">
        <v>0</v>
      </c>
      <c r="AR19" s="45">
        <v>0</v>
      </c>
      <c r="AS19" s="45">
        <v>0</v>
      </c>
      <c r="AT19" s="45">
        <v>1</v>
      </c>
      <c r="AU19" s="10" t="s">
        <v>6052</v>
      </c>
      <c r="AV19" s="10" t="s">
        <v>6052</v>
      </c>
      <c r="AW19" s="10" t="s">
        <v>6052</v>
      </c>
      <c r="AX19" s="10" t="s">
        <v>32364</v>
      </c>
      <c r="AY19" s="10" t="s">
        <v>32365</v>
      </c>
      <c r="AZ19" s="44" t="s">
        <v>33117</v>
      </c>
      <c r="BA19" s="44" t="s">
        <v>30864</v>
      </c>
      <c r="BB19" s="44" t="s">
        <v>31246</v>
      </c>
      <c r="BC19" s="44" t="s">
        <v>9421</v>
      </c>
      <c r="BD19" s="44" t="s">
        <v>31716</v>
      </c>
      <c r="BE19" s="11">
        <v>1</v>
      </c>
      <c r="BF19" s="11">
        <v>0</v>
      </c>
      <c r="BG19" s="11">
        <v>0</v>
      </c>
      <c r="BH19" s="10" t="s">
        <v>32222</v>
      </c>
      <c r="BI19" s="11">
        <v>100</v>
      </c>
      <c r="BJ19" s="10" t="s">
        <v>33453</v>
      </c>
      <c r="BK19" s="11">
        <v>100</v>
      </c>
    </row>
    <row r="20" spans="1:63" x14ac:dyDescent="0.75">
      <c r="A20" t="s">
        <v>2766</v>
      </c>
      <c r="B20" t="s">
        <v>104</v>
      </c>
      <c r="C20" t="s">
        <v>2767</v>
      </c>
      <c r="D20" t="s">
        <v>2768</v>
      </c>
      <c r="E20" s="22" t="s">
        <v>30844</v>
      </c>
      <c r="F20" t="s">
        <v>2769</v>
      </c>
      <c r="G20" s="1" t="str">
        <f>HYPERLINK("https://homd.org/jbrowse/?data=homd_V11.02_phage_1.2%2FGCA_013333735.2&amp;loc=GCA_013333735.2%7CJABCOF020000067.1%3A11874..19412&amp;tracks=prokka,prokka_ncrna,ncbi,ncbi_ncrna,panggolin,cenote,genomad&amp;highlight=","Open JBrowse")</f>
        <v>Open JBrowse</v>
      </c>
      <c r="H20" s="10">
        <v>14874</v>
      </c>
      <c r="I20" s="10">
        <v>16412</v>
      </c>
      <c r="J20" s="10" t="s">
        <v>2770</v>
      </c>
      <c r="K20" s="10" t="s">
        <v>269</v>
      </c>
      <c r="L20" s="10" t="s">
        <v>2771</v>
      </c>
      <c r="M20" s="10" t="s">
        <v>2772</v>
      </c>
      <c r="N20" s="10" t="s">
        <v>42</v>
      </c>
      <c r="O20" s="10">
        <v>3</v>
      </c>
      <c r="P20" s="10" t="s">
        <v>42</v>
      </c>
      <c r="Q20" s="10" t="s">
        <v>43</v>
      </c>
      <c r="R20" s="10" t="s">
        <v>2773</v>
      </c>
      <c r="S20" s="10" t="s">
        <v>2771</v>
      </c>
      <c r="T20" s="10" t="s">
        <v>42</v>
      </c>
      <c r="U20" s="10">
        <v>245</v>
      </c>
      <c r="V20" s="10">
        <v>506</v>
      </c>
      <c r="W20" s="10">
        <v>262</v>
      </c>
      <c r="X20" s="10" t="s">
        <v>273</v>
      </c>
      <c r="Y20" s="10"/>
      <c r="Z20" s="10"/>
      <c r="AA20" s="10"/>
      <c r="AB20" s="10"/>
      <c r="AC20" s="10"/>
      <c r="AD20" s="10"/>
      <c r="AE20" s="10"/>
      <c r="AF20" s="10"/>
      <c r="AG20" s="44"/>
      <c r="AH20" s="44"/>
      <c r="AI20" s="46" t="s">
        <v>6054</v>
      </c>
      <c r="AJ20" s="44" t="s">
        <v>6052</v>
      </c>
      <c r="AK20" s="44" t="s">
        <v>6052</v>
      </c>
      <c r="AL20" s="44" t="s">
        <v>6052</v>
      </c>
      <c r="AM20" s="44" t="s">
        <v>6052</v>
      </c>
      <c r="AN20" s="44" t="s">
        <v>32384</v>
      </c>
      <c r="AO20" s="45">
        <v>11</v>
      </c>
      <c r="AP20" s="45">
        <v>1</v>
      </c>
      <c r="AQ20" s="45">
        <v>0</v>
      </c>
      <c r="AR20" s="45">
        <v>0</v>
      </c>
      <c r="AS20" s="45">
        <v>0</v>
      </c>
      <c r="AT20" s="45">
        <v>1</v>
      </c>
      <c r="AU20" s="10" t="s">
        <v>6052</v>
      </c>
      <c r="AV20" s="10" t="s">
        <v>6052</v>
      </c>
      <c r="AW20" s="10" t="s">
        <v>6052</v>
      </c>
      <c r="AX20" s="10" t="s">
        <v>32385</v>
      </c>
      <c r="AY20" s="10" t="s">
        <v>32323</v>
      </c>
      <c r="AZ20" s="44" t="s">
        <v>33117</v>
      </c>
      <c r="BA20" s="44" t="s">
        <v>30867</v>
      </c>
      <c r="BB20" s="44" t="s">
        <v>31262</v>
      </c>
      <c r="BC20" s="44" t="s">
        <v>8684</v>
      </c>
      <c r="BD20" s="44" t="s">
        <v>31720</v>
      </c>
      <c r="BE20" s="11">
        <v>1</v>
      </c>
      <c r="BF20" s="11">
        <v>0</v>
      </c>
      <c r="BG20" s="11">
        <v>0</v>
      </c>
      <c r="BH20" s="10" t="s">
        <v>32190</v>
      </c>
      <c r="BI20" s="11">
        <v>100</v>
      </c>
      <c r="BJ20" s="10" t="s">
        <v>33218</v>
      </c>
      <c r="BK20" s="11">
        <v>100</v>
      </c>
    </row>
    <row r="21" spans="1:63" x14ac:dyDescent="0.75">
      <c r="A21" t="s">
        <v>755</v>
      </c>
      <c r="B21" t="s">
        <v>104</v>
      </c>
      <c r="C21" t="s">
        <v>756</v>
      </c>
      <c r="D21" t="s">
        <v>757</v>
      </c>
      <c r="E21" s="22" t="s">
        <v>8914</v>
      </c>
      <c r="F21" t="s">
        <v>758</v>
      </c>
      <c r="G21" s="1" t="str">
        <f>HYPERLINK("https://homd.org/jbrowse/?data=homd_V11.02_phage_1.2%2FGCA_000312445.1&amp;loc=GCA_000312445.1%7CHE997182.1%3A494815..501612&amp;tracks=prokka,prokka_ncrna,ncbi,ncbi_ncrna,panggolin,cenote,genomad&amp;highlight=","Open JBrowse")</f>
        <v>Open JBrowse</v>
      </c>
      <c r="H21" s="10">
        <v>497815</v>
      </c>
      <c r="I21" s="10">
        <v>498612</v>
      </c>
      <c r="J21" s="10" t="s">
        <v>759</v>
      </c>
      <c r="K21" s="10" t="s">
        <v>39</v>
      </c>
      <c r="L21" s="10" t="s">
        <v>491</v>
      </c>
      <c r="M21" s="10" t="s">
        <v>592</v>
      </c>
      <c r="N21" s="10" t="s">
        <v>42</v>
      </c>
      <c r="O21" s="10">
        <v>3</v>
      </c>
      <c r="P21" s="10" t="s">
        <v>42</v>
      </c>
      <c r="Q21" s="10" t="s">
        <v>43</v>
      </c>
      <c r="R21" s="10" t="s">
        <v>760</v>
      </c>
      <c r="S21" s="10" t="s">
        <v>491</v>
      </c>
      <c r="T21" s="10" t="s">
        <v>42</v>
      </c>
      <c r="U21" s="10">
        <v>34</v>
      </c>
      <c r="V21" s="10">
        <v>259</v>
      </c>
      <c r="W21" s="10">
        <v>226</v>
      </c>
      <c r="X21" s="10" t="s">
        <v>45</v>
      </c>
      <c r="Y21" s="10" t="s">
        <v>761</v>
      </c>
      <c r="Z21" s="10" t="s">
        <v>357</v>
      </c>
      <c r="AA21" s="10" t="s">
        <v>762</v>
      </c>
      <c r="AB21" s="10" t="s">
        <v>763</v>
      </c>
      <c r="AC21" s="10"/>
      <c r="AD21" s="10"/>
      <c r="AE21" s="10"/>
      <c r="AF21" s="10"/>
      <c r="AG21" s="44" t="s">
        <v>185</v>
      </c>
      <c r="AH21" s="44">
        <v>2</v>
      </c>
      <c r="AI21" s="44" t="s">
        <v>6052</v>
      </c>
      <c r="AJ21" s="44" t="s">
        <v>6057</v>
      </c>
      <c r="AK21" s="44" t="s">
        <v>6062</v>
      </c>
      <c r="AL21" s="44" t="s">
        <v>6055</v>
      </c>
      <c r="AM21" s="44" t="s">
        <v>6056</v>
      </c>
      <c r="AN21" s="44" t="s">
        <v>32572</v>
      </c>
      <c r="AO21" s="45">
        <v>11</v>
      </c>
      <c r="AP21" s="45">
        <v>1</v>
      </c>
      <c r="AQ21" s="45">
        <v>1</v>
      </c>
      <c r="AR21" s="45">
        <v>0</v>
      </c>
      <c r="AS21" s="45">
        <v>0</v>
      </c>
      <c r="AT21" s="45">
        <v>1</v>
      </c>
      <c r="AU21" s="10" t="s">
        <v>32573</v>
      </c>
      <c r="AV21" s="10" t="s">
        <v>6052</v>
      </c>
      <c r="AW21" s="10" t="s">
        <v>6052</v>
      </c>
      <c r="AX21" s="10" t="s">
        <v>32574</v>
      </c>
      <c r="AY21" s="10" t="s">
        <v>32449</v>
      </c>
      <c r="AZ21" s="44" t="s">
        <v>33116</v>
      </c>
      <c r="BA21" s="44" t="s">
        <v>30918</v>
      </c>
      <c r="BB21" s="44" t="s">
        <v>31348</v>
      </c>
      <c r="BC21" s="44" t="s">
        <v>6255</v>
      </c>
      <c r="BD21" s="44" t="s">
        <v>31724</v>
      </c>
      <c r="BE21" s="11">
        <v>1</v>
      </c>
      <c r="BF21" s="11">
        <v>0</v>
      </c>
      <c r="BG21" s="11">
        <v>0</v>
      </c>
      <c r="BH21" s="10" t="s">
        <v>32094</v>
      </c>
      <c r="BI21" s="11">
        <v>100</v>
      </c>
      <c r="BJ21" s="10" t="s">
        <v>33162</v>
      </c>
      <c r="BK21" s="11" t="s">
        <v>33162</v>
      </c>
    </row>
    <row r="22" spans="1:63" x14ac:dyDescent="0.75">
      <c r="A22" t="s">
        <v>4014</v>
      </c>
      <c r="B22" t="s">
        <v>104</v>
      </c>
      <c r="C22" t="s">
        <v>153</v>
      </c>
      <c r="D22" t="s">
        <v>154</v>
      </c>
      <c r="E22" s="22" t="s">
        <v>21853</v>
      </c>
      <c r="F22" t="s">
        <v>4015</v>
      </c>
      <c r="G22" s="1" t="str">
        <f>HYPERLINK("https://homd.org/jbrowse/?data=homd_V11.02_phage_1.2%2FGCA_020735785.1&amp;loc=GCA_020735785.1%7CCP085942.1%3A1358497..1365501&amp;tracks=prokka,prokka_ncrna,ncbi,ncbi_ncrna,panggolin,cenote,genomad&amp;highlight=","Open JBrowse")</f>
        <v>Open JBrowse</v>
      </c>
      <c r="H22" s="10">
        <v>1361497</v>
      </c>
      <c r="I22" s="10">
        <v>1362501</v>
      </c>
      <c r="J22" s="10" t="s">
        <v>4016</v>
      </c>
      <c r="K22" s="10" t="s">
        <v>59</v>
      </c>
      <c r="L22" s="10" t="s">
        <v>157</v>
      </c>
      <c r="M22" s="10" t="s">
        <v>158</v>
      </c>
      <c r="N22" s="10" t="s">
        <v>42</v>
      </c>
      <c r="O22" s="10">
        <v>3</v>
      </c>
      <c r="P22" s="10" t="s">
        <v>42</v>
      </c>
      <c r="Q22" s="10" t="s">
        <v>59</v>
      </c>
      <c r="R22" s="10" t="s">
        <v>4017</v>
      </c>
      <c r="S22" s="10" t="s">
        <v>157</v>
      </c>
      <c r="T22" s="10" t="s">
        <v>42</v>
      </c>
      <c r="U22" s="10">
        <v>53</v>
      </c>
      <c r="V22" s="10">
        <v>279</v>
      </c>
      <c r="W22" s="10">
        <v>227</v>
      </c>
      <c r="X22" s="10" t="s">
        <v>160</v>
      </c>
      <c r="Y22" s="10" t="s">
        <v>4018</v>
      </c>
      <c r="Z22" s="10" t="s">
        <v>132</v>
      </c>
      <c r="AA22" s="10" t="s">
        <v>162</v>
      </c>
      <c r="AB22" s="10" t="s">
        <v>4019</v>
      </c>
      <c r="AC22" s="10" t="s">
        <v>164</v>
      </c>
      <c r="AD22" s="10" t="s">
        <v>51</v>
      </c>
      <c r="AE22" s="10">
        <v>185.3</v>
      </c>
      <c r="AF22" s="10" t="s">
        <v>165</v>
      </c>
      <c r="AG22" s="44"/>
      <c r="AH22" s="44"/>
      <c r="AI22" s="44" t="s">
        <v>6052</v>
      </c>
      <c r="AJ22" s="44" t="s">
        <v>6052</v>
      </c>
      <c r="AK22" s="44" t="s">
        <v>6052</v>
      </c>
      <c r="AL22" s="44" t="s">
        <v>6055</v>
      </c>
      <c r="AM22" s="44" t="s">
        <v>6052</v>
      </c>
      <c r="AN22" s="44" t="s">
        <v>32786</v>
      </c>
      <c r="AO22" s="45">
        <v>11</v>
      </c>
      <c r="AP22" s="45">
        <v>1</v>
      </c>
      <c r="AQ22" s="45">
        <v>0</v>
      </c>
      <c r="AR22" s="45">
        <v>0</v>
      </c>
      <c r="AS22" s="45">
        <v>0</v>
      </c>
      <c r="AT22" s="45">
        <v>1</v>
      </c>
      <c r="AU22" s="10" t="s">
        <v>6052</v>
      </c>
      <c r="AV22" s="10" t="s">
        <v>6052</v>
      </c>
      <c r="AW22" s="10" t="s">
        <v>6052</v>
      </c>
      <c r="AX22" s="10" t="s">
        <v>32787</v>
      </c>
      <c r="AY22" s="10" t="s">
        <v>32323</v>
      </c>
      <c r="AZ22" s="44" t="s">
        <v>33117</v>
      </c>
      <c r="BA22" s="44" t="s">
        <v>31010</v>
      </c>
      <c r="BB22" s="44" t="s">
        <v>31482</v>
      </c>
      <c r="BC22" s="44" t="s">
        <v>6594</v>
      </c>
      <c r="BD22" s="44" t="s">
        <v>31708</v>
      </c>
      <c r="BE22" s="11">
        <v>1</v>
      </c>
      <c r="BF22" s="11">
        <v>0</v>
      </c>
      <c r="BG22" s="11">
        <v>0</v>
      </c>
      <c r="BH22" s="10" t="s">
        <v>32016</v>
      </c>
      <c r="BI22" s="11">
        <v>100</v>
      </c>
      <c r="BJ22" s="10" t="s">
        <v>33425</v>
      </c>
      <c r="BK22" s="11">
        <v>100</v>
      </c>
    </row>
    <row r="23" spans="1:63" x14ac:dyDescent="0.75">
      <c r="A23" t="s">
        <v>3473</v>
      </c>
      <c r="B23" t="s">
        <v>104</v>
      </c>
      <c r="C23" t="s">
        <v>2767</v>
      </c>
      <c r="D23" t="s">
        <v>2768</v>
      </c>
      <c r="E23" s="22" t="s">
        <v>20682</v>
      </c>
      <c r="F23" t="s">
        <v>3474</v>
      </c>
      <c r="G23" s="1" t="str">
        <f>HYPERLINK("https://homd.org/jbrowse/?data=homd_V11.02_phage_1.2%2FGCA_018128325.1&amp;loc=GCA_018128325.1%7CCP072384.1%3A2636367..2643905&amp;tracks=prokka,prokka_ncrna,ncbi,ncbi_ncrna,panggolin,cenote,genomad&amp;highlight=","Open JBrowse")</f>
        <v>Open JBrowse</v>
      </c>
      <c r="H23" s="10">
        <v>2639367</v>
      </c>
      <c r="I23" s="10">
        <v>2640905</v>
      </c>
      <c r="J23" s="10" t="s">
        <v>3475</v>
      </c>
      <c r="K23" s="10" t="s">
        <v>269</v>
      </c>
      <c r="L23" s="10" t="s">
        <v>2771</v>
      </c>
      <c r="M23" s="10" t="s">
        <v>2772</v>
      </c>
      <c r="N23" s="10" t="s">
        <v>42</v>
      </c>
      <c r="O23" s="10">
        <v>3</v>
      </c>
      <c r="P23" s="10" t="s">
        <v>42</v>
      </c>
      <c r="Q23" s="10" t="s">
        <v>43</v>
      </c>
      <c r="R23" s="10" t="s">
        <v>3476</v>
      </c>
      <c r="S23" s="10" t="s">
        <v>2771</v>
      </c>
      <c r="T23" s="10" t="s">
        <v>42</v>
      </c>
      <c r="U23" s="10">
        <v>245</v>
      </c>
      <c r="V23" s="10">
        <v>506</v>
      </c>
      <c r="W23" s="10">
        <v>262</v>
      </c>
      <c r="X23" s="10" t="s">
        <v>273</v>
      </c>
      <c r="Y23" s="10"/>
      <c r="Z23" s="10"/>
      <c r="AA23" s="10"/>
      <c r="AB23" s="10"/>
      <c r="AC23" s="10"/>
      <c r="AD23" s="10"/>
      <c r="AE23" s="10"/>
      <c r="AF23" s="10"/>
      <c r="AG23" s="44"/>
      <c r="AH23" s="44"/>
      <c r="AI23" s="46" t="s">
        <v>6054</v>
      </c>
      <c r="AJ23" s="44" t="s">
        <v>6052</v>
      </c>
      <c r="AK23" s="44" t="s">
        <v>6052</v>
      </c>
      <c r="AL23" s="44" t="s">
        <v>6052</v>
      </c>
      <c r="AM23" s="44" t="s">
        <v>6052</v>
      </c>
      <c r="AN23" s="44" t="s">
        <v>32636</v>
      </c>
      <c r="AO23" s="45">
        <v>11</v>
      </c>
      <c r="AP23" s="45">
        <v>1</v>
      </c>
      <c r="AQ23" s="45">
        <v>0</v>
      </c>
      <c r="AR23" s="45">
        <v>0</v>
      </c>
      <c r="AS23" s="45">
        <v>0</v>
      </c>
      <c r="AT23" s="45">
        <v>1</v>
      </c>
      <c r="AU23" s="10" t="s">
        <v>6052</v>
      </c>
      <c r="AV23" s="10" t="s">
        <v>6052</v>
      </c>
      <c r="AW23" s="10" t="s">
        <v>6052</v>
      </c>
      <c r="AX23" s="10" t="s">
        <v>32637</v>
      </c>
      <c r="AY23" s="10" t="s">
        <v>32323</v>
      </c>
      <c r="AZ23" s="44" t="s">
        <v>33117</v>
      </c>
      <c r="BA23" s="44" t="s">
        <v>30948</v>
      </c>
      <c r="BB23" s="44" t="s">
        <v>31388</v>
      </c>
      <c r="BC23" s="44" t="s">
        <v>8684</v>
      </c>
      <c r="BD23" s="44" t="s">
        <v>31720</v>
      </c>
      <c r="BE23" s="11">
        <v>1</v>
      </c>
      <c r="BF23" s="11">
        <v>0</v>
      </c>
      <c r="BG23" s="11">
        <v>0</v>
      </c>
      <c r="BH23" s="10" t="s">
        <v>32193</v>
      </c>
      <c r="BI23" s="11">
        <v>100</v>
      </c>
      <c r="BJ23" s="10" t="s">
        <v>33217</v>
      </c>
      <c r="BK23" s="11">
        <v>100</v>
      </c>
    </row>
    <row r="24" spans="1:63" x14ac:dyDescent="0.75">
      <c r="A24" t="s">
        <v>3370</v>
      </c>
      <c r="B24" t="s">
        <v>104</v>
      </c>
      <c r="C24" t="s">
        <v>153</v>
      </c>
      <c r="D24" t="s">
        <v>154</v>
      </c>
      <c r="E24" s="22" t="s">
        <v>20646</v>
      </c>
      <c r="F24" t="s">
        <v>3371</v>
      </c>
      <c r="G24" s="1" t="str">
        <f>HYPERLINK("https://homd.org/jbrowse/?data=homd_V11.02_phage_1.2%2FGCA_018127965.1&amp;loc=GCA_018127965.1%7CCP072349.1%3A201732..208736&amp;tracks=prokka,prokka_ncrna,ncbi,ncbi_ncrna,panggolin,cenote,genomad&amp;highlight=","Open JBrowse")</f>
        <v>Open JBrowse</v>
      </c>
      <c r="H24" s="10">
        <v>204732</v>
      </c>
      <c r="I24" s="10">
        <v>205736</v>
      </c>
      <c r="J24" s="10" t="s">
        <v>3377</v>
      </c>
      <c r="K24" s="10" t="s">
        <v>59</v>
      </c>
      <c r="L24" s="10" t="s">
        <v>157</v>
      </c>
      <c r="M24" s="10" t="s">
        <v>158</v>
      </c>
      <c r="N24" s="10" t="s">
        <v>42</v>
      </c>
      <c r="O24" s="10">
        <v>3</v>
      </c>
      <c r="P24" s="10" t="s">
        <v>42</v>
      </c>
      <c r="Q24" s="10" t="s">
        <v>59</v>
      </c>
      <c r="R24" s="10" t="s">
        <v>3373</v>
      </c>
      <c r="S24" s="10" t="s">
        <v>157</v>
      </c>
      <c r="T24" s="10" t="s">
        <v>42</v>
      </c>
      <c r="U24" s="10">
        <v>53</v>
      </c>
      <c r="V24" s="10">
        <v>279</v>
      </c>
      <c r="W24" s="10">
        <v>227</v>
      </c>
      <c r="X24" s="10" t="s">
        <v>160</v>
      </c>
      <c r="Y24" s="10" t="s">
        <v>3378</v>
      </c>
      <c r="Z24" s="10" t="s">
        <v>1257</v>
      </c>
      <c r="AA24" s="10" t="s">
        <v>3379</v>
      </c>
      <c r="AB24" s="10"/>
      <c r="AC24" s="10"/>
      <c r="AD24" s="10"/>
      <c r="AE24" s="10"/>
      <c r="AF24" s="10"/>
      <c r="AG24" s="44"/>
      <c r="AH24" s="44"/>
      <c r="AI24" s="44" t="s">
        <v>6052</v>
      </c>
      <c r="AJ24" s="44" t="s">
        <v>6052</v>
      </c>
      <c r="AK24" s="44" t="s">
        <v>6052</v>
      </c>
      <c r="AL24" s="44" t="s">
        <v>6055</v>
      </c>
      <c r="AM24" s="44" t="s">
        <v>6052</v>
      </c>
      <c r="AN24" s="44" t="s">
        <v>32694</v>
      </c>
      <c r="AO24" s="45">
        <v>11</v>
      </c>
      <c r="AP24" s="45">
        <v>1</v>
      </c>
      <c r="AQ24" s="45">
        <v>0</v>
      </c>
      <c r="AR24" s="45">
        <v>0</v>
      </c>
      <c r="AS24" s="45">
        <v>0</v>
      </c>
      <c r="AT24" s="45">
        <v>1</v>
      </c>
      <c r="AU24" s="10" t="s">
        <v>6052</v>
      </c>
      <c r="AV24" s="10" t="s">
        <v>6052</v>
      </c>
      <c r="AW24" s="10" t="s">
        <v>6052</v>
      </c>
      <c r="AX24" s="10" t="s">
        <v>32695</v>
      </c>
      <c r="AY24" s="10" t="s">
        <v>32696</v>
      </c>
      <c r="AZ24" s="44" t="s">
        <v>33117</v>
      </c>
      <c r="BA24" s="44" t="s">
        <v>30974</v>
      </c>
      <c r="BB24" s="44" t="s">
        <v>31421</v>
      </c>
      <c r="BC24" s="44" t="s">
        <v>6594</v>
      </c>
      <c r="BD24" s="44" t="s">
        <v>31708</v>
      </c>
      <c r="BE24" s="11">
        <v>1</v>
      </c>
      <c r="BF24" s="11">
        <v>0</v>
      </c>
      <c r="BG24" s="11">
        <v>0</v>
      </c>
      <c r="BH24" s="10" t="s">
        <v>32083</v>
      </c>
      <c r="BI24" s="11">
        <v>100</v>
      </c>
      <c r="BJ24" s="10" t="s">
        <v>33424</v>
      </c>
      <c r="BK24" s="11">
        <v>100</v>
      </c>
    </row>
    <row r="25" spans="1:63" x14ac:dyDescent="0.75">
      <c r="A25" t="s">
        <v>3351</v>
      </c>
      <c r="B25" t="s">
        <v>104</v>
      </c>
      <c r="C25" t="s">
        <v>153</v>
      </c>
      <c r="D25" t="s">
        <v>154</v>
      </c>
      <c r="E25" s="22" t="s">
        <v>20642</v>
      </c>
      <c r="F25" t="s">
        <v>3352</v>
      </c>
      <c r="G25" s="1" t="str">
        <f>HYPERLINK("https://homd.org/jbrowse/?data=homd_V11.02_phage_1.2%2FGCA_018127925.1&amp;loc=GCA_018127925.1%7CCP072348.1%3A1594759..1601763&amp;tracks=prokka,prokka_ncrna,ncbi,ncbi_ncrna,panggolin,cenote,genomad&amp;highlight=","Open JBrowse")</f>
        <v>Open JBrowse</v>
      </c>
      <c r="H25" s="10">
        <v>1597759</v>
      </c>
      <c r="I25" s="10">
        <v>1598763</v>
      </c>
      <c r="J25" s="10" t="s">
        <v>3353</v>
      </c>
      <c r="K25" s="10" t="s">
        <v>59</v>
      </c>
      <c r="L25" s="10" t="s">
        <v>157</v>
      </c>
      <c r="M25" s="10" t="s">
        <v>158</v>
      </c>
      <c r="N25" s="10" t="s">
        <v>42</v>
      </c>
      <c r="O25" s="10">
        <v>3</v>
      </c>
      <c r="P25" s="10" t="s">
        <v>42</v>
      </c>
      <c r="Q25" s="10" t="s">
        <v>59</v>
      </c>
      <c r="R25" s="10" t="s">
        <v>3354</v>
      </c>
      <c r="S25" s="10" t="s">
        <v>157</v>
      </c>
      <c r="T25" s="10" t="s">
        <v>42</v>
      </c>
      <c r="U25" s="10">
        <v>53</v>
      </c>
      <c r="V25" s="10">
        <v>279</v>
      </c>
      <c r="W25" s="10">
        <v>227</v>
      </c>
      <c r="X25" s="10" t="s">
        <v>160</v>
      </c>
      <c r="Y25" s="10" t="s">
        <v>3355</v>
      </c>
      <c r="Z25" s="10" t="s">
        <v>193</v>
      </c>
      <c r="AA25" s="10" t="s">
        <v>3356</v>
      </c>
      <c r="AB25" s="10" t="s">
        <v>3357</v>
      </c>
      <c r="AC25" s="10" t="s">
        <v>164</v>
      </c>
      <c r="AD25" s="10" t="s">
        <v>51</v>
      </c>
      <c r="AE25" s="10">
        <v>186.8</v>
      </c>
      <c r="AF25" s="10" t="s">
        <v>165</v>
      </c>
      <c r="AG25" s="44"/>
      <c r="AH25" s="44"/>
      <c r="AI25" s="44" t="s">
        <v>6052</v>
      </c>
      <c r="AJ25" s="44" t="s">
        <v>6052</v>
      </c>
      <c r="AK25" s="44" t="s">
        <v>6052</v>
      </c>
      <c r="AL25" s="44" t="s">
        <v>6055</v>
      </c>
      <c r="AM25" s="44" t="s">
        <v>6052</v>
      </c>
      <c r="AN25" s="44" t="s">
        <v>32756</v>
      </c>
      <c r="AO25" s="45">
        <v>11</v>
      </c>
      <c r="AP25" s="45">
        <v>1</v>
      </c>
      <c r="AQ25" s="45">
        <v>0</v>
      </c>
      <c r="AR25" s="45">
        <v>0</v>
      </c>
      <c r="AS25" s="45">
        <v>0</v>
      </c>
      <c r="AT25" s="45">
        <v>1</v>
      </c>
      <c r="AU25" s="10" t="s">
        <v>6052</v>
      </c>
      <c r="AV25" s="10" t="s">
        <v>6052</v>
      </c>
      <c r="AW25" s="10" t="s">
        <v>6052</v>
      </c>
      <c r="AX25" s="10" t="s">
        <v>32757</v>
      </c>
      <c r="AY25" s="10" t="s">
        <v>32376</v>
      </c>
      <c r="AZ25" s="44" t="s">
        <v>33117</v>
      </c>
      <c r="BA25" s="44" t="s">
        <v>30991</v>
      </c>
      <c r="BB25" s="44" t="s">
        <v>31459</v>
      </c>
      <c r="BC25" s="44" t="s">
        <v>6594</v>
      </c>
      <c r="BD25" s="44" t="s">
        <v>31708</v>
      </c>
      <c r="BE25" s="11">
        <v>1</v>
      </c>
      <c r="BF25" s="11">
        <v>0</v>
      </c>
      <c r="BG25" s="11">
        <v>0</v>
      </c>
      <c r="BH25" s="10" t="s">
        <v>32068</v>
      </c>
      <c r="BI25" s="11">
        <v>100</v>
      </c>
      <c r="BJ25" s="10" t="s">
        <v>33423</v>
      </c>
      <c r="BK25" s="11">
        <v>100</v>
      </c>
    </row>
    <row r="26" spans="1:63" x14ac:dyDescent="0.75">
      <c r="A26" t="s">
        <v>152</v>
      </c>
      <c r="B26" t="s">
        <v>104</v>
      </c>
      <c r="C26" t="s">
        <v>153</v>
      </c>
      <c r="D26" t="s">
        <v>154</v>
      </c>
      <c r="E26" s="22" t="s">
        <v>6596</v>
      </c>
      <c r="F26" t="s">
        <v>155</v>
      </c>
      <c r="G26" s="1" t="str">
        <f>HYPERLINK("https://homd.org/jbrowse/?data=homd_V11.02_phage_1.2%2FGCA_000144405.1&amp;loc=GCA_000144405.1%7CCP002122.1%3A1748132..1755136&amp;tracks=prokka,prokka_ncrna,ncbi,ncbi_ncrna,panggolin,cenote,genomad&amp;highlight=","Open JBrowse")</f>
        <v>Open JBrowse</v>
      </c>
      <c r="H26" s="10">
        <v>1751132</v>
      </c>
      <c r="I26" s="10">
        <v>1752136</v>
      </c>
      <c r="J26" s="10" t="s">
        <v>156</v>
      </c>
      <c r="K26" s="10" t="s">
        <v>59</v>
      </c>
      <c r="L26" s="10" t="s">
        <v>157</v>
      </c>
      <c r="M26" s="10" t="s">
        <v>158</v>
      </c>
      <c r="N26" s="10" t="s">
        <v>42</v>
      </c>
      <c r="O26" s="10">
        <v>3</v>
      </c>
      <c r="P26" s="10" t="s">
        <v>42</v>
      </c>
      <c r="Q26" s="10" t="s">
        <v>59</v>
      </c>
      <c r="R26" s="10" t="s">
        <v>159</v>
      </c>
      <c r="S26" s="10" t="s">
        <v>157</v>
      </c>
      <c r="T26" s="10" t="s">
        <v>42</v>
      </c>
      <c r="U26" s="10">
        <v>53</v>
      </c>
      <c r="V26" s="10">
        <v>279</v>
      </c>
      <c r="W26" s="10">
        <v>227</v>
      </c>
      <c r="X26" s="10" t="s">
        <v>160</v>
      </c>
      <c r="Y26" s="10" t="s">
        <v>161</v>
      </c>
      <c r="Z26" s="10" t="s">
        <v>97</v>
      </c>
      <c r="AA26" s="10" t="s">
        <v>162</v>
      </c>
      <c r="AB26" s="10" t="s">
        <v>163</v>
      </c>
      <c r="AC26" s="10" t="s">
        <v>164</v>
      </c>
      <c r="AD26" s="10" t="s">
        <v>51</v>
      </c>
      <c r="AE26" s="10">
        <v>185.3</v>
      </c>
      <c r="AF26" s="10" t="s">
        <v>165</v>
      </c>
      <c r="AG26" s="44"/>
      <c r="AH26" s="44"/>
      <c r="AI26" s="44" t="s">
        <v>6052</v>
      </c>
      <c r="AJ26" s="44" t="s">
        <v>6052</v>
      </c>
      <c r="AK26" s="44" t="s">
        <v>6052</v>
      </c>
      <c r="AL26" s="44" t="s">
        <v>6055</v>
      </c>
      <c r="AM26" s="44" t="s">
        <v>6052</v>
      </c>
      <c r="AN26" s="44" t="s">
        <v>32528</v>
      </c>
      <c r="AO26" s="45">
        <v>11</v>
      </c>
      <c r="AP26" s="45">
        <v>1</v>
      </c>
      <c r="AQ26" s="45">
        <v>0</v>
      </c>
      <c r="AR26" s="45">
        <v>0</v>
      </c>
      <c r="AS26" s="45">
        <v>0</v>
      </c>
      <c r="AT26" s="45">
        <v>1</v>
      </c>
      <c r="AU26" s="10" t="s">
        <v>6052</v>
      </c>
      <c r="AV26" s="10" t="s">
        <v>6052</v>
      </c>
      <c r="AW26" s="10" t="s">
        <v>6052</v>
      </c>
      <c r="AX26" s="10" t="s">
        <v>32529</v>
      </c>
      <c r="AY26" s="10" t="s">
        <v>32323</v>
      </c>
      <c r="AZ26" s="44" t="s">
        <v>33117</v>
      </c>
      <c r="BA26" s="44" t="s">
        <v>30899</v>
      </c>
      <c r="BB26" s="44" t="s">
        <v>31319</v>
      </c>
      <c r="BC26" s="44" t="s">
        <v>6594</v>
      </c>
      <c r="BD26" s="44" t="s">
        <v>31708</v>
      </c>
      <c r="BE26" s="11">
        <v>1</v>
      </c>
      <c r="BF26" s="11">
        <v>0</v>
      </c>
      <c r="BG26" s="11">
        <v>0</v>
      </c>
      <c r="BH26" s="10" t="s">
        <v>32018</v>
      </c>
      <c r="BI26" s="11">
        <v>100</v>
      </c>
      <c r="BJ26" s="10" t="s">
        <v>33422</v>
      </c>
      <c r="BK26" s="11">
        <v>100</v>
      </c>
    </row>
    <row r="27" spans="1:63" x14ac:dyDescent="0.75">
      <c r="A27" t="s">
        <v>5968</v>
      </c>
      <c r="B27" t="s">
        <v>104</v>
      </c>
      <c r="C27" t="s">
        <v>153</v>
      </c>
      <c r="D27" t="s">
        <v>154</v>
      </c>
      <c r="E27" s="22" t="s">
        <v>30844</v>
      </c>
      <c r="F27" t="s">
        <v>5969</v>
      </c>
      <c r="G27" s="1" t="str">
        <f>HYPERLINK("https://homd.org/jbrowse/?data=homd_V11.02_phage_1.2%2FGCA_946997865.1&amp;loc=GCA_946997865.1%7CCAMPXV010000122.1%3A1..4331&amp;tracks=prokka,prokka_ncrna,ncbi,ncbi_ncrna,panggolin,cenote,genomad&amp;highlight=","Open JBrowse")</f>
        <v>Open JBrowse</v>
      </c>
      <c r="H27" s="10">
        <v>327</v>
      </c>
      <c r="I27" s="10">
        <v>1331</v>
      </c>
      <c r="J27" s="10" t="s">
        <v>5970</v>
      </c>
      <c r="K27" s="10" t="s">
        <v>59</v>
      </c>
      <c r="L27" s="10" t="s">
        <v>157</v>
      </c>
      <c r="M27" s="10" t="s">
        <v>158</v>
      </c>
      <c r="N27" s="10" t="s">
        <v>42</v>
      </c>
      <c r="O27" s="10">
        <v>3</v>
      </c>
      <c r="P27" s="10" t="s">
        <v>42</v>
      </c>
      <c r="Q27" s="10" t="s">
        <v>59</v>
      </c>
      <c r="R27" s="10" t="s">
        <v>5971</v>
      </c>
      <c r="S27" s="10" t="s">
        <v>157</v>
      </c>
      <c r="T27" s="10" t="s">
        <v>42</v>
      </c>
      <c r="U27" s="10">
        <v>53</v>
      </c>
      <c r="V27" s="10">
        <v>279</v>
      </c>
      <c r="W27" s="10">
        <v>227</v>
      </c>
      <c r="X27" s="10" t="s">
        <v>160</v>
      </c>
      <c r="Y27" s="10"/>
      <c r="Z27" s="10"/>
      <c r="AA27" s="10"/>
      <c r="AB27" s="10"/>
      <c r="AC27" s="10"/>
      <c r="AD27" s="10"/>
      <c r="AE27" s="10"/>
      <c r="AF27" s="10"/>
      <c r="AG27" s="44"/>
      <c r="AH27" s="44"/>
      <c r="AI27" s="46" t="s">
        <v>6054</v>
      </c>
      <c r="AJ27" s="44" t="s">
        <v>6052</v>
      </c>
      <c r="AK27" s="44" t="s">
        <v>6052</v>
      </c>
      <c r="AL27" s="44" t="s">
        <v>6052</v>
      </c>
      <c r="AM27" s="44" t="s">
        <v>6052</v>
      </c>
      <c r="AN27" s="44" t="s">
        <v>32374</v>
      </c>
      <c r="AO27" s="45">
        <v>11</v>
      </c>
      <c r="AP27" s="45">
        <v>1</v>
      </c>
      <c r="AQ27" s="45">
        <v>0</v>
      </c>
      <c r="AR27" s="45">
        <v>0</v>
      </c>
      <c r="AS27" s="45">
        <v>0</v>
      </c>
      <c r="AT27" s="45">
        <v>1</v>
      </c>
      <c r="AU27" s="10" t="s">
        <v>6052</v>
      </c>
      <c r="AV27" s="10" t="s">
        <v>6052</v>
      </c>
      <c r="AW27" s="10" t="s">
        <v>6052</v>
      </c>
      <c r="AX27" s="10" t="s">
        <v>32375</v>
      </c>
      <c r="AY27" s="10" t="s">
        <v>32376</v>
      </c>
      <c r="AZ27" s="44" t="s">
        <v>33117</v>
      </c>
      <c r="BA27" s="44" t="s">
        <v>30851</v>
      </c>
      <c r="BB27" s="44" t="s">
        <v>31255</v>
      </c>
      <c r="BC27" s="44" t="s">
        <v>6594</v>
      </c>
      <c r="BD27" s="44" t="s">
        <v>31708</v>
      </c>
      <c r="BE27" s="11">
        <v>1</v>
      </c>
      <c r="BF27" s="11">
        <v>0</v>
      </c>
      <c r="BG27" s="11">
        <v>0</v>
      </c>
      <c r="BH27" s="10" t="s">
        <v>32066</v>
      </c>
      <c r="BI27" s="11">
        <v>100</v>
      </c>
      <c r="BJ27" s="10" t="s">
        <v>33162</v>
      </c>
      <c r="BK27" s="11" t="s">
        <v>33162</v>
      </c>
    </row>
    <row r="28" spans="1:63" x14ac:dyDescent="0.75">
      <c r="A28" t="s">
        <v>5796</v>
      </c>
      <c r="B28" t="s">
        <v>104</v>
      </c>
      <c r="C28" t="s">
        <v>2767</v>
      </c>
      <c r="D28" t="s">
        <v>2768</v>
      </c>
      <c r="E28" s="22" t="s">
        <v>30844</v>
      </c>
      <c r="F28" t="s">
        <v>5797</v>
      </c>
      <c r="G28" s="1" t="str">
        <f>HYPERLINK("https://homd.org/jbrowse/?data=homd_V11.02_phage_1.2%2FGCA_937974815.1&amp;loc=GCA_937974815.1%7CCALJVG010000177.1%3A45394..52932&amp;tracks=prokka,prokka_ncrna,ncbi,ncbi_ncrna,panggolin,cenote,genomad&amp;highlight=","Open JBrowse")</f>
        <v>Open JBrowse</v>
      </c>
      <c r="H28" s="10">
        <v>48394</v>
      </c>
      <c r="I28" s="10">
        <v>49932</v>
      </c>
      <c r="J28" s="10" t="s">
        <v>5798</v>
      </c>
      <c r="K28" s="10" t="s">
        <v>269</v>
      </c>
      <c r="L28" s="10" t="s">
        <v>2771</v>
      </c>
      <c r="M28" s="10" t="s">
        <v>2772</v>
      </c>
      <c r="N28" s="10" t="s">
        <v>42</v>
      </c>
      <c r="O28" s="10">
        <v>3</v>
      </c>
      <c r="P28" s="10" t="s">
        <v>42</v>
      </c>
      <c r="Q28" s="10" t="s">
        <v>43</v>
      </c>
      <c r="R28" s="10" t="s">
        <v>5799</v>
      </c>
      <c r="S28" s="10" t="s">
        <v>2771</v>
      </c>
      <c r="T28" s="10" t="s">
        <v>42</v>
      </c>
      <c r="U28" s="10">
        <v>245</v>
      </c>
      <c r="V28" s="10">
        <v>506</v>
      </c>
      <c r="W28" s="10">
        <v>262</v>
      </c>
      <c r="X28" s="10" t="s">
        <v>273</v>
      </c>
      <c r="Y28" s="10"/>
      <c r="Z28" s="10"/>
      <c r="AA28" s="10"/>
      <c r="AB28" s="10"/>
      <c r="AC28" s="10"/>
      <c r="AD28" s="10"/>
      <c r="AE28" s="10"/>
      <c r="AF28" s="10"/>
      <c r="AG28" s="44"/>
      <c r="AH28" s="44"/>
      <c r="AI28" s="46" t="s">
        <v>6054</v>
      </c>
      <c r="AJ28" s="44" t="s">
        <v>6052</v>
      </c>
      <c r="AK28" s="44" t="s">
        <v>6052</v>
      </c>
      <c r="AL28" s="44" t="s">
        <v>6052</v>
      </c>
      <c r="AM28" s="44" t="s">
        <v>6052</v>
      </c>
      <c r="AN28" s="44" t="s">
        <v>32387</v>
      </c>
      <c r="AO28" s="45">
        <v>11</v>
      </c>
      <c r="AP28" s="45">
        <v>1</v>
      </c>
      <c r="AQ28" s="45">
        <v>0</v>
      </c>
      <c r="AR28" s="45">
        <v>0</v>
      </c>
      <c r="AS28" s="45">
        <v>0</v>
      </c>
      <c r="AT28" s="45">
        <v>1</v>
      </c>
      <c r="AU28" s="10" t="s">
        <v>6052</v>
      </c>
      <c r="AV28" s="10" t="s">
        <v>6052</v>
      </c>
      <c r="AW28" s="10" t="s">
        <v>6052</v>
      </c>
      <c r="AX28" s="10" t="s">
        <v>32388</v>
      </c>
      <c r="AY28" s="10" t="s">
        <v>32323</v>
      </c>
      <c r="AZ28" s="44" t="s">
        <v>33117</v>
      </c>
      <c r="BA28" s="44" t="s">
        <v>30867</v>
      </c>
      <c r="BB28" s="44" t="s">
        <v>31264</v>
      </c>
      <c r="BC28" s="44" t="s">
        <v>8684</v>
      </c>
      <c r="BD28" s="44" t="s">
        <v>31720</v>
      </c>
      <c r="BE28" s="11">
        <v>1</v>
      </c>
      <c r="BF28" s="11">
        <v>0</v>
      </c>
      <c r="BG28" s="11">
        <v>0</v>
      </c>
      <c r="BH28" s="10" t="s">
        <v>32191</v>
      </c>
      <c r="BI28" s="11">
        <v>100</v>
      </c>
      <c r="BJ28" s="10" t="s">
        <v>33162</v>
      </c>
      <c r="BK28" s="11" t="s">
        <v>33162</v>
      </c>
    </row>
    <row r="29" spans="1:63" x14ac:dyDescent="0.75">
      <c r="A29" t="s">
        <v>5552</v>
      </c>
      <c r="B29" t="s">
        <v>104</v>
      </c>
      <c r="C29" t="s">
        <v>756</v>
      </c>
      <c r="D29" t="s">
        <v>757</v>
      </c>
      <c r="E29" s="22" t="s">
        <v>30844</v>
      </c>
      <c r="F29" t="s">
        <v>5553</v>
      </c>
      <c r="G29" s="1" t="str">
        <f>HYPERLINK("https://homd.org/jbrowse/?data=homd_V11.02_phage_1.2%2FGCA_905373595.1&amp;loc=GCA_905373595.1%7CCAJPTI010000012.1%3A7992..14789&amp;tracks=prokka,prokka_ncrna,ncbi,ncbi_ncrna,panggolin,cenote,genomad&amp;highlight=","Open JBrowse")</f>
        <v>Open JBrowse</v>
      </c>
      <c r="H29" s="10">
        <v>10992</v>
      </c>
      <c r="I29" s="10">
        <v>11789</v>
      </c>
      <c r="J29" s="10" t="s">
        <v>5554</v>
      </c>
      <c r="K29" s="10" t="s">
        <v>39</v>
      </c>
      <c r="L29" s="10" t="s">
        <v>491</v>
      </c>
      <c r="M29" s="10" t="s">
        <v>592</v>
      </c>
      <c r="N29" s="10" t="s">
        <v>42</v>
      </c>
      <c r="O29" s="10">
        <v>3</v>
      </c>
      <c r="P29" s="10" t="s">
        <v>42</v>
      </c>
      <c r="Q29" s="10" t="s">
        <v>43</v>
      </c>
      <c r="R29" s="10" t="s">
        <v>5555</v>
      </c>
      <c r="S29" s="10" t="s">
        <v>491</v>
      </c>
      <c r="T29" s="10" t="s">
        <v>42</v>
      </c>
      <c r="U29" s="10">
        <v>34</v>
      </c>
      <c r="V29" s="10">
        <v>259</v>
      </c>
      <c r="W29" s="10">
        <v>226</v>
      </c>
      <c r="X29" s="10" t="s">
        <v>45</v>
      </c>
      <c r="Y29" s="10" t="s">
        <v>5556</v>
      </c>
      <c r="Z29" s="10" t="s">
        <v>836</v>
      </c>
      <c r="AA29" s="10" t="s">
        <v>5557</v>
      </c>
      <c r="AB29" s="10" t="s">
        <v>5558</v>
      </c>
      <c r="AC29" s="10"/>
      <c r="AD29" s="10"/>
      <c r="AE29" s="10"/>
      <c r="AF29" s="10"/>
      <c r="AG29" s="44" t="s">
        <v>185</v>
      </c>
      <c r="AH29" s="44">
        <v>2</v>
      </c>
      <c r="AI29" s="44" t="s">
        <v>6052</v>
      </c>
      <c r="AJ29" s="44" t="s">
        <v>6052</v>
      </c>
      <c r="AK29" s="44" t="s">
        <v>6062</v>
      </c>
      <c r="AL29" s="44" t="s">
        <v>6055</v>
      </c>
      <c r="AM29" s="44" t="s">
        <v>6052</v>
      </c>
      <c r="AN29" s="44" t="s">
        <v>32446</v>
      </c>
      <c r="AO29" s="45">
        <v>11</v>
      </c>
      <c r="AP29" s="45">
        <v>1</v>
      </c>
      <c r="AQ29" s="45">
        <v>1</v>
      </c>
      <c r="AR29" s="45">
        <v>0</v>
      </c>
      <c r="AS29" s="45">
        <v>0</v>
      </c>
      <c r="AT29" s="45">
        <v>1</v>
      </c>
      <c r="AU29" s="10" t="s">
        <v>32447</v>
      </c>
      <c r="AV29" s="10" t="s">
        <v>6052</v>
      </c>
      <c r="AW29" s="10" t="s">
        <v>6052</v>
      </c>
      <c r="AX29" s="10" t="s">
        <v>32448</v>
      </c>
      <c r="AY29" s="10" t="s">
        <v>32449</v>
      </c>
      <c r="AZ29" s="44" t="s">
        <v>33116</v>
      </c>
      <c r="BA29" s="44" t="s">
        <v>30881</v>
      </c>
      <c r="BB29" s="44" t="s">
        <v>31283</v>
      </c>
      <c r="BC29" s="44" t="s">
        <v>6255</v>
      </c>
      <c r="BD29" s="44" t="s">
        <v>31724</v>
      </c>
      <c r="BE29" s="11">
        <v>1</v>
      </c>
      <c r="BF29" s="11">
        <v>0</v>
      </c>
      <c r="BG29" s="11">
        <v>0</v>
      </c>
      <c r="BH29" s="10" t="s">
        <v>32096</v>
      </c>
      <c r="BI29" s="11">
        <v>100</v>
      </c>
      <c r="BJ29" s="10" t="s">
        <v>33162</v>
      </c>
      <c r="BK29" s="11" t="s">
        <v>33162</v>
      </c>
    </row>
    <row r="30" spans="1:63" x14ac:dyDescent="0.75">
      <c r="A30" t="s">
        <v>5463</v>
      </c>
      <c r="B30" t="s">
        <v>104</v>
      </c>
      <c r="C30" t="s">
        <v>2767</v>
      </c>
      <c r="D30" t="s">
        <v>2768</v>
      </c>
      <c r="E30" s="22" t="s">
        <v>30844</v>
      </c>
      <c r="F30" t="s">
        <v>5464</v>
      </c>
      <c r="G30" s="1" t="str">
        <f>HYPERLINK("https://homd.org/jbrowse/?data=homd_V11.02_phage_1.2%2FGCA_905372475.1&amp;loc=GCA_905372475.1%7CCAJPPP010000049.1%3A13786..21324&amp;tracks=prokka,prokka_ncrna,ncbi,ncbi_ncrna,panggolin,cenote,genomad&amp;highlight=","Open JBrowse")</f>
        <v>Open JBrowse</v>
      </c>
      <c r="H30" s="10">
        <v>16786</v>
      </c>
      <c r="I30" s="10">
        <v>18324</v>
      </c>
      <c r="J30" s="47" t="s">
        <v>5465</v>
      </c>
      <c r="K30" s="10" t="s">
        <v>269</v>
      </c>
      <c r="L30" s="10" t="s">
        <v>2771</v>
      </c>
      <c r="M30" s="10" t="s">
        <v>2772</v>
      </c>
      <c r="N30" s="10" t="s">
        <v>42</v>
      </c>
      <c r="O30" s="10">
        <v>3</v>
      </c>
      <c r="P30" s="10" t="s">
        <v>42</v>
      </c>
      <c r="Q30" s="10" t="s">
        <v>43</v>
      </c>
      <c r="R30" s="10" t="s">
        <v>5466</v>
      </c>
      <c r="S30" s="10" t="s">
        <v>2771</v>
      </c>
      <c r="T30" s="10" t="s">
        <v>42</v>
      </c>
      <c r="U30" s="10">
        <v>245</v>
      </c>
      <c r="V30" s="10">
        <v>506</v>
      </c>
      <c r="W30" s="10">
        <v>262</v>
      </c>
      <c r="X30" s="10" t="s">
        <v>273</v>
      </c>
      <c r="Y30" s="10" t="s">
        <v>5467</v>
      </c>
      <c r="Z30" s="10" t="s">
        <v>530</v>
      </c>
      <c r="AA30" s="10" t="s">
        <v>5468</v>
      </c>
      <c r="AB30" s="10"/>
      <c r="AC30" s="10"/>
      <c r="AD30" s="10"/>
      <c r="AE30" s="10"/>
      <c r="AF30" s="10"/>
      <c r="AG30" s="44"/>
      <c r="AH30" s="44"/>
      <c r="AI30" s="44" t="s">
        <v>6052</v>
      </c>
      <c r="AJ30" s="44" t="s">
        <v>6052</v>
      </c>
      <c r="AK30" s="44" t="s">
        <v>6052</v>
      </c>
      <c r="AL30" s="44" t="s">
        <v>6052</v>
      </c>
      <c r="AM30" s="44" t="s">
        <v>6052</v>
      </c>
      <c r="AN30" s="44" t="s">
        <v>32321</v>
      </c>
      <c r="AO30" s="45">
        <v>11</v>
      </c>
      <c r="AP30" s="45">
        <v>1</v>
      </c>
      <c r="AQ30" s="45">
        <v>0</v>
      </c>
      <c r="AR30" s="45">
        <v>0</v>
      </c>
      <c r="AS30" s="45">
        <v>0</v>
      </c>
      <c r="AT30" s="45">
        <v>1</v>
      </c>
      <c r="AU30" s="10" t="s">
        <v>6052</v>
      </c>
      <c r="AV30" s="10" t="s">
        <v>6052</v>
      </c>
      <c r="AW30" s="10" t="s">
        <v>6052</v>
      </c>
      <c r="AX30" s="10" t="s">
        <v>32322</v>
      </c>
      <c r="AY30" s="10" t="s">
        <v>32323</v>
      </c>
      <c r="AZ30" s="44" t="s">
        <v>33117</v>
      </c>
      <c r="BA30" s="44" t="s">
        <v>30867</v>
      </c>
      <c r="BB30" s="44" t="s">
        <v>31211</v>
      </c>
      <c r="BC30" s="44" t="s">
        <v>8684</v>
      </c>
      <c r="BD30" s="44" t="s">
        <v>31720</v>
      </c>
      <c r="BE30" s="11">
        <v>1</v>
      </c>
      <c r="BF30" s="11">
        <v>0</v>
      </c>
      <c r="BG30" s="11">
        <v>0</v>
      </c>
      <c r="BH30" s="10" t="s">
        <v>32188</v>
      </c>
      <c r="BI30" s="11">
        <v>100</v>
      </c>
      <c r="BJ30" s="10" t="s">
        <v>33162</v>
      </c>
      <c r="BK30" s="11" t="s">
        <v>33162</v>
      </c>
    </row>
    <row r="31" spans="1:63" x14ac:dyDescent="0.75">
      <c r="A31" t="s">
        <v>1240</v>
      </c>
      <c r="B31" t="s">
        <v>104</v>
      </c>
      <c r="C31" t="s">
        <v>948</v>
      </c>
      <c r="D31" t="s">
        <v>949</v>
      </c>
      <c r="E31" s="22" t="s">
        <v>10279</v>
      </c>
      <c r="F31" t="s">
        <v>1247</v>
      </c>
      <c r="G31" s="1" t="str">
        <f>HYPERLINK("https://homd.org/jbrowse/?data=homd_V11.02_phage_1.2%2FGCA_000613565.1&amp;loc=GCA_000613565.1%7CBAJF01000022.1%3A17040..23456&amp;tracks=prokka,prokka_ncrna,ncbi,ncbi_ncrna,panggolin,cenote,genomad&amp;highlight=","Open JBrowse")</f>
        <v>Open JBrowse</v>
      </c>
      <c r="H31" s="10">
        <v>20040</v>
      </c>
      <c r="I31" s="10">
        <v>20456</v>
      </c>
      <c r="J31" s="10" t="s">
        <v>1248</v>
      </c>
      <c r="K31" s="10" t="s">
        <v>59</v>
      </c>
      <c r="L31" s="10" t="s">
        <v>1249</v>
      </c>
      <c r="M31" s="10" t="s">
        <v>1250</v>
      </c>
      <c r="N31" s="10" t="s">
        <v>59</v>
      </c>
      <c r="O31" s="10">
        <v>2</v>
      </c>
      <c r="P31" s="10" t="s">
        <v>42</v>
      </c>
      <c r="Q31" s="10" t="s">
        <v>59</v>
      </c>
      <c r="R31" s="10" t="s">
        <v>1243</v>
      </c>
      <c r="S31" s="10" t="s">
        <v>1249</v>
      </c>
      <c r="T31" s="10" t="s">
        <v>42</v>
      </c>
      <c r="U31" s="10">
        <v>2</v>
      </c>
      <c r="V31" s="10">
        <v>130</v>
      </c>
      <c r="W31" s="10">
        <v>129</v>
      </c>
      <c r="X31" s="10" t="s">
        <v>1251</v>
      </c>
      <c r="Y31" s="10"/>
      <c r="Z31" s="10"/>
      <c r="AA31" s="10"/>
      <c r="AB31" s="10"/>
      <c r="AC31" s="10"/>
      <c r="AD31" s="10"/>
      <c r="AE31" s="10"/>
      <c r="AF31" s="10"/>
      <c r="AG31" s="44"/>
      <c r="AH31" s="44"/>
      <c r="AI31" s="46" t="s">
        <v>6054</v>
      </c>
      <c r="AJ31" s="44" t="s">
        <v>6052</v>
      </c>
      <c r="AK31" s="44" t="s">
        <v>6052</v>
      </c>
      <c r="AL31" s="44" t="s">
        <v>6052</v>
      </c>
      <c r="AM31" s="44" t="s">
        <v>6052</v>
      </c>
      <c r="AN31" s="44" t="s">
        <v>32823</v>
      </c>
      <c r="AO31" s="45">
        <v>11</v>
      </c>
      <c r="AP31" s="45">
        <v>1</v>
      </c>
      <c r="AQ31" s="45">
        <v>0</v>
      </c>
      <c r="AR31" s="45">
        <v>0</v>
      </c>
      <c r="AS31" s="45">
        <v>0</v>
      </c>
      <c r="AT31" s="45">
        <v>1</v>
      </c>
      <c r="AU31" s="10" t="s">
        <v>6052</v>
      </c>
      <c r="AV31" s="10" t="s">
        <v>6052</v>
      </c>
      <c r="AW31" s="10" t="s">
        <v>6052</v>
      </c>
      <c r="AX31" s="10" t="s">
        <v>32824</v>
      </c>
      <c r="AY31" s="10" t="s">
        <v>32376</v>
      </c>
      <c r="AZ31" s="44" t="s">
        <v>33110</v>
      </c>
      <c r="BA31" s="44" t="s">
        <v>31024</v>
      </c>
      <c r="BB31" s="44" t="s">
        <v>31502</v>
      </c>
      <c r="BC31" s="44" t="s">
        <v>6564</v>
      </c>
      <c r="BD31" s="44" t="s">
        <v>31710</v>
      </c>
      <c r="BE31" s="11">
        <v>1</v>
      </c>
      <c r="BF31" s="11">
        <v>0</v>
      </c>
      <c r="BG31" s="11">
        <v>0</v>
      </c>
      <c r="BH31" s="10" t="s">
        <v>32219</v>
      </c>
      <c r="BI31" s="11">
        <v>100</v>
      </c>
      <c r="BJ31" s="10" t="s">
        <v>33162</v>
      </c>
      <c r="BK31" s="11" t="s">
        <v>33162</v>
      </c>
    </row>
    <row r="32" spans="1:63" x14ac:dyDescent="0.75">
      <c r="A32" t="s">
        <v>1059</v>
      </c>
      <c r="B32" t="s">
        <v>104</v>
      </c>
      <c r="C32" t="s">
        <v>948</v>
      </c>
      <c r="D32" t="s">
        <v>949</v>
      </c>
      <c r="E32" s="22" t="s">
        <v>9819</v>
      </c>
      <c r="F32" t="s">
        <v>1060</v>
      </c>
      <c r="G32" s="1" t="str">
        <f>HYPERLINK("https://homd.org/jbrowse/?data=homd_V11.02_phage_1.2%2FGCA_000468635.1&amp;loc=GCA_000468635.1%7CAWEY01000008.1%3A453240..460046&amp;tracks=prokka,prokka_ncrna,ncbi,ncbi_ncrna,panggolin,cenote,genomad&amp;highlight=","Open JBrowse")</f>
        <v>Open JBrowse</v>
      </c>
      <c r="H32" s="10">
        <v>456240</v>
      </c>
      <c r="I32" s="10">
        <v>457046</v>
      </c>
      <c r="J32" s="10" t="s">
        <v>1061</v>
      </c>
      <c r="K32" s="10" t="s">
        <v>39</v>
      </c>
      <c r="L32" s="10" t="s">
        <v>960</v>
      </c>
      <c r="M32" s="10" t="s">
        <v>961</v>
      </c>
      <c r="N32" s="10" t="s">
        <v>42</v>
      </c>
      <c r="O32" s="10">
        <v>3</v>
      </c>
      <c r="P32" s="10" t="s">
        <v>42</v>
      </c>
      <c r="Q32" s="10" t="s">
        <v>43</v>
      </c>
      <c r="R32" s="10" t="s">
        <v>1062</v>
      </c>
      <c r="S32" s="10" t="s">
        <v>960</v>
      </c>
      <c r="T32" s="10" t="s">
        <v>42</v>
      </c>
      <c r="U32" s="10">
        <v>35</v>
      </c>
      <c r="V32" s="10">
        <v>260</v>
      </c>
      <c r="W32" s="10">
        <v>226</v>
      </c>
      <c r="X32" s="10" t="s">
        <v>45</v>
      </c>
      <c r="Y32" s="10"/>
      <c r="Z32" s="10"/>
      <c r="AA32" s="10"/>
      <c r="AB32" s="10"/>
      <c r="AC32" s="10"/>
      <c r="AD32" s="10"/>
      <c r="AE32" s="10"/>
      <c r="AF32" s="10"/>
      <c r="AG32" s="44"/>
      <c r="AH32" s="44"/>
      <c r="AI32" s="46" t="s">
        <v>6054</v>
      </c>
      <c r="AJ32" s="44" t="s">
        <v>6052</v>
      </c>
      <c r="AK32" s="44" t="s">
        <v>6052</v>
      </c>
      <c r="AL32" s="44" t="s">
        <v>6052</v>
      </c>
      <c r="AM32" s="44" t="s">
        <v>6052</v>
      </c>
      <c r="AN32" s="44" t="s">
        <v>32646</v>
      </c>
      <c r="AO32" s="45">
        <v>11</v>
      </c>
      <c r="AP32" s="45">
        <v>1</v>
      </c>
      <c r="AQ32" s="45">
        <v>0</v>
      </c>
      <c r="AR32" s="45">
        <v>0</v>
      </c>
      <c r="AS32" s="45">
        <v>0</v>
      </c>
      <c r="AT32" s="45">
        <v>2</v>
      </c>
      <c r="AU32" s="10" t="s">
        <v>6052</v>
      </c>
      <c r="AV32" s="10" t="s">
        <v>6052</v>
      </c>
      <c r="AW32" s="10" t="s">
        <v>6052</v>
      </c>
      <c r="AX32" s="10" t="s">
        <v>32647</v>
      </c>
      <c r="AY32" s="10" t="s">
        <v>32610</v>
      </c>
      <c r="AZ32" s="44" t="s">
        <v>33116</v>
      </c>
      <c r="BA32" s="44" t="s">
        <v>30953</v>
      </c>
      <c r="BB32" s="44" t="s">
        <v>31394</v>
      </c>
      <c r="BC32" s="44" t="s">
        <v>6564</v>
      </c>
      <c r="BD32" s="44" t="s">
        <v>31710</v>
      </c>
      <c r="BE32" s="11">
        <v>1</v>
      </c>
      <c r="BF32" s="11">
        <v>0</v>
      </c>
      <c r="BG32" s="11">
        <v>0</v>
      </c>
      <c r="BH32" s="10" t="s">
        <v>32141</v>
      </c>
      <c r="BI32" s="11">
        <v>100</v>
      </c>
      <c r="BJ32" s="10" t="s">
        <v>33460</v>
      </c>
      <c r="BK32" s="11">
        <v>100</v>
      </c>
    </row>
    <row r="33" spans="1:63" x14ac:dyDescent="0.75">
      <c r="A33" t="s">
        <v>1028</v>
      </c>
      <c r="B33" t="s">
        <v>104</v>
      </c>
      <c r="C33" t="s">
        <v>756</v>
      </c>
      <c r="D33" t="s">
        <v>757</v>
      </c>
      <c r="E33" s="22" t="s">
        <v>9618</v>
      </c>
      <c r="F33" t="s">
        <v>1029</v>
      </c>
      <c r="G33" s="1" t="str">
        <f>HYPERLINK("https://homd.org/jbrowse/?data=homd_V11.02_phage_1.2%2FGCA_000442105.1&amp;loc=GCA_000442105.1%7CAUTU01000019.1%3A25655..32452&amp;tracks=prokka,prokka_ncrna,ncbi,ncbi_ncrna,panggolin,cenote,genomad&amp;highlight=","Open JBrowse")</f>
        <v>Open JBrowse</v>
      </c>
      <c r="H33" s="10">
        <v>28655</v>
      </c>
      <c r="I33" s="10">
        <v>29452</v>
      </c>
      <c r="J33" s="10" t="s">
        <v>1030</v>
      </c>
      <c r="K33" s="10" t="s">
        <v>39</v>
      </c>
      <c r="L33" s="10" t="s">
        <v>491</v>
      </c>
      <c r="M33" s="10" t="s">
        <v>592</v>
      </c>
      <c r="N33" s="10" t="s">
        <v>42</v>
      </c>
      <c r="O33" s="10">
        <v>3</v>
      </c>
      <c r="P33" s="10" t="s">
        <v>42</v>
      </c>
      <c r="Q33" s="10" t="s">
        <v>43</v>
      </c>
      <c r="R33" s="10" t="s">
        <v>1031</v>
      </c>
      <c r="S33" s="10" t="s">
        <v>491</v>
      </c>
      <c r="T33" s="10" t="s">
        <v>42</v>
      </c>
      <c r="U33" s="10">
        <v>34</v>
      </c>
      <c r="V33" s="10">
        <v>259</v>
      </c>
      <c r="W33" s="10">
        <v>226</v>
      </c>
      <c r="X33" s="10" t="s">
        <v>45</v>
      </c>
      <c r="Y33" s="10" t="s">
        <v>1032</v>
      </c>
      <c r="Z33" s="10" t="s">
        <v>892</v>
      </c>
      <c r="AA33" s="10" t="s">
        <v>1033</v>
      </c>
      <c r="AB33" s="10"/>
      <c r="AC33" s="10"/>
      <c r="AD33" s="10"/>
      <c r="AE33" s="10"/>
      <c r="AF33" s="10"/>
      <c r="AG33" s="44"/>
      <c r="AH33" s="44"/>
      <c r="AI33" s="44" t="s">
        <v>6052</v>
      </c>
      <c r="AJ33" s="44" t="s">
        <v>6057</v>
      </c>
      <c r="AK33" s="44" t="s">
        <v>6062</v>
      </c>
      <c r="AL33" s="44" t="s">
        <v>6055</v>
      </c>
      <c r="AM33" s="44" t="s">
        <v>6056</v>
      </c>
      <c r="AN33" s="44" t="s">
        <v>32678</v>
      </c>
      <c r="AO33" s="45">
        <v>11</v>
      </c>
      <c r="AP33" s="45">
        <v>1</v>
      </c>
      <c r="AQ33" s="45">
        <v>1</v>
      </c>
      <c r="AR33" s="45">
        <v>0</v>
      </c>
      <c r="AS33" s="45">
        <v>0</v>
      </c>
      <c r="AT33" s="45">
        <v>1</v>
      </c>
      <c r="AU33" s="10" t="s">
        <v>32679</v>
      </c>
      <c r="AV33" s="10" t="s">
        <v>6052</v>
      </c>
      <c r="AW33" s="10" t="s">
        <v>6052</v>
      </c>
      <c r="AX33" s="10" t="s">
        <v>32680</v>
      </c>
      <c r="AY33" s="10" t="s">
        <v>32449</v>
      </c>
      <c r="AZ33" s="44" t="s">
        <v>33116</v>
      </c>
      <c r="BA33" s="44" t="s">
        <v>30970</v>
      </c>
      <c r="BB33" s="44" t="s">
        <v>31415</v>
      </c>
      <c r="BC33" s="44" t="s">
        <v>6255</v>
      </c>
      <c r="BD33" s="44" t="s">
        <v>31724</v>
      </c>
      <c r="BE33" s="11">
        <v>1</v>
      </c>
      <c r="BF33" s="11">
        <v>0</v>
      </c>
      <c r="BG33" s="11">
        <v>0</v>
      </c>
      <c r="BH33" s="10" t="s">
        <v>32105</v>
      </c>
      <c r="BI33" s="11">
        <v>100</v>
      </c>
      <c r="BJ33" s="10" t="s">
        <v>33163</v>
      </c>
      <c r="BK33" s="11">
        <v>99.2</v>
      </c>
    </row>
    <row r="34" spans="1:63" x14ac:dyDescent="0.75">
      <c r="A34" t="s">
        <v>947</v>
      </c>
      <c r="B34" t="s">
        <v>104</v>
      </c>
      <c r="C34" t="s">
        <v>948</v>
      </c>
      <c r="D34" t="s">
        <v>949</v>
      </c>
      <c r="E34" s="22" t="s">
        <v>9569</v>
      </c>
      <c r="F34" t="s">
        <v>958</v>
      </c>
      <c r="G34" s="1" t="str">
        <f>HYPERLINK("https://homd.org/jbrowse/?data=homd_V11.02_phage_1.2%2FGCA_000426585.1&amp;loc=GCA_000426585.1%7CAUFQ01000014.1%3A17002..23808&amp;tracks=prokka,prokka_ncrna,ncbi,ncbi_ncrna,panggolin,cenote,genomad&amp;highlight=","Open JBrowse")</f>
        <v>Open JBrowse</v>
      </c>
      <c r="H34" s="10">
        <v>20002</v>
      </c>
      <c r="I34" s="10">
        <v>20808</v>
      </c>
      <c r="J34" s="10" t="s">
        <v>959</v>
      </c>
      <c r="K34" s="10" t="s">
        <v>39</v>
      </c>
      <c r="L34" s="10" t="s">
        <v>960</v>
      </c>
      <c r="M34" s="10" t="s">
        <v>961</v>
      </c>
      <c r="N34" s="10" t="s">
        <v>42</v>
      </c>
      <c r="O34" s="10">
        <v>3</v>
      </c>
      <c r="P34" s="10" t="s">
        <v>42</v>
      </c>
      <c r="Q34" s="10" t="s">
        <v>43</v>
      </c>
      <c r="R34" s="10" t="s">
        <v>954</v>
      </c>
      <c r="S34" s="10" t="s">
        <v>960</v>
      </c>
      <c r="T34" s="10" t="s">
        <v>42</v>
      </c>
      <c r="U34" s="10">
        <v>35</v>
      </c>
      <c r="V34" s="10">
        <v>260</v>
      </c>
      <c r="W34" s="10">
        <v>226</v>
      </c>
      <c r="X34" s="10" t="s">
        <v>45</v>
      </c>
      <c r="Y34" s="10"/>
      <c r="Z34" s="10"/>
      <c r="AA34" s="10"/>
      <c r="AB34" s="10"/>
      <c r="AC34" s="10"/>
      <c r="AD34" s="10"/>
      <c r="AE34" s="10"/>
      <c r="AF34" s="10"/>
      <c r="AG34" s="44"/>
      <c r="AH34" s="44"/>
      <c r="AI34" s="46" t="s">
        <v>6054</v>
      </c>
      <c r="AJ34" s="44" t="s">
        <v>6052</v>
      </c>
      <c r="AK34" s="44" t="s">
        <v>6052</v>
      </c>
      <c r="AL34" s="44" t="s">
        <v>6052</v>
      </c>
      <c r="AM34" s="44" t="s">
        <v>6052</v>
      </c>
      <c r="AN34" s="44" t="s">
        <v>32608</v>
      </c>
      <c r="AO34" s="45">
        <v>11</v>
      </c>
      <c r="AP34" s="45">
        <v>1</v>
      </c>
      <c r="AQ34" s="45">
        <v>0</v>
      </c>
      <c r="AR34" s="45">
        <v>0</v>
      </c>
      <c r="AS34" s="45">
        <v>0</v>
      </c>
      <c r="AT34" s="45">
        <v>2</v>
      </c>
      <c r="AU34" s="10" t="s">
        <v>6052</v>
      </c>
      <c r="AV34" s="10" t="s">
        <v>6052</v>
      </c>
      <c r="AW34" s="10" t="s">
        <v>6052</v>
      </c>
      <c r="AX34" s="10" t="s">
        <v>32609</v>
      </c>
      <c r="AY34" s="10" t="s">
        <v>32610</v>
      </c>
      <c r="AZ34" s="44" t="s">
        <v>33116</v>
      </c>
      <c r="BA34" s="44" t="s">
        <v>30934</v>
      </c>
      <c r="BB34" s="44" t="s">
        <v>31371</v>
      </c>
      <c r="BC34" s="44" t="s">
        <v>6564</v>
      </c>
      <c r="BD34" s="44" t="s">
        <v>31710</v>
      </c>
      <c r="BE34" s="11">
        <v>1</v>
      </c>
      <c r="BF34" s="11">
        <v>0</v>
      </c>
      <c r="BG34" s="11">
        <v>0</v>
      </c>
      <c r="BH34" s="10" t="s">
        <v>32142</v>
      </c>
      <c r="BI34" s="11">
        <v>100</v>
      </c>
      <c r="BJ34" s="10" t="s">
        <v>33162</v>
      </c>
      <c r="BK34" s="11" t="s">
        <v>33162</v>
      </c>
    </row>
    <row r="35" spans="1:63" x14ac:dyDescent="0.75">
      <c r="A35" t="s">
        <v>3904</v>
      </c>
      <c r="B35" t="s">
        <v>104</v>
      </c>
      <c r="C35" t="s">
        <v>2767</v>
      </c>
      <c r="D35" t="s">
        <v>2768</v>
      </c>
      <c r="E35" s="22" t="s">
        <v>21691</v>
      </c>
      <c r="F35" t="s">
        <v>3905</v>
      </c>
      <c r="G35" s="1" t="str">
        <f>HYPERLINK("https://homd.org/jbrowse/?data=homd_V11.02_phage_1.2%2FGCA_019973735.1&amp;loc=GCA_019973735.1%7CAP024463.1%3A2616939..2624477&amp;tracks=prokka,prokka_ncrna,ncbi,ncbi_ncrna,panggolin,cenote,genomad&amp;highlight=","Open JBrowse")</f>
        <v>Open JBrowse</v>
      </c>
      <c r="H35" s="10">
        <v>2619939</v>
      </c>
      <c r="I35" s="10">
        <v>2621477</v>
      </c>
      <c r="J35" s="10" t="s">
        <v>3906</v>
      </c>
      <c r="K35" s="10" t="s">
        <v>269</v>
      </c>
      <c r="L35" s="10" t="s">
        <v>2771</v>
      </c>
      <c r="M35" s="10" t="s">
        <v>2772</v>
      </c>
      <c r="N35" s="10" t="s">
        <v>42</v>
      </c>
      <c r="O35" s="10">
        <v>3</v>
      </c>
      <c r="P35" s="10" t="s">
        <v>42</v>
      </c>
      <c r="Q35" s="10" t="s">
        <v>43</v>
      </c>
      <c r="R35" s="10" t="s">
        <v>3907</v>
      </c>
      <c r="S35" s="10" t="s">
        <v>2771</v>
      </c>
      <c r="T35" s="10" t="s">
        <v>42</v>
      </c>
      <c r="U35" s="10">
        <v>245</v>
      </c>
      <c r="V35" s="10">
        <v>506</v>
      </c>
      <c r="W35" s="10">
        <v>262</v>
      </c>
      <c r="X35" s="10" t="s">
        <v>273</v>
      </c>
      <c r="Y35" s="10"/>
      <c r="Z35" s="10"/>
      <c r="AA35" s="10"/>
      <c r="AB35" s="10"/>
      <c r="AC35" s="10"/>
      <c r="AD35" s="10"/>
      <c r="AE35" s="10"/>
      <c r="AF35" s="10"/>
      <c r="AG35" s="44"/>
      <c r="AH35" s="44"/>
      <c r="AI35" s="46" t="s">
        <v>6054</v>
      </c>
      <c r="AJ35" s="44" t="s">
        <v>6052</v>
      </c>
      <c r="AK35" s="44" t="s">
        <v>6052</v>
      </c>
      <c r="AL35" s="44" t="s">
        <v>6052</v>
      </c>
      <c r="AM35" s="44" t="s">
        <v>6052</v>
      </c>
      <c r="AN35" s="44" t="s">
        <v>33026</v>
      </c>
      <c r="AO35" s="45">
        <v>11</v>
      </c>
      <c r="AP35" s="45">
        <v>1</v>
      </c>
      <c r="AQ35" s="45">
        <v>0</v>
      </c>
      <c r="AR35" s="45">
        <v>0</v>
      </c>
      <c r="AS35" s="45">
        <v>0</v>
      </c>
      <c r="AT35" s="45">
        <v>1</v>
      </c>
      <c r="AU35" s="10" t="s">
        <v>6052</v>
      </c>
      <c r="AV35" s="10" t="s">
        <v>6052</v>
      </c>
      <c r="AW35" s="10" t="s">
        <v>6052</v>
      </c>
      <c r="AX35" s="10" t="s">
        <v>33027</v>
      </c>
      <c r="AY35" s="10" t="s">
        <v>32323</v>
      </c>
      <c r="AZ35" s="44" t="s">
        <v>33117</v>
      </c>
      <c r="BA35" s="44" t="s">
        <v>31130</v>
      </c>
      <c r="BB35" s="44" t="s">
        <v>31647</v>
      </c>
      <c r="BC35" s="44" t="s">
        <v>8684</v>
      </c>
      <c r="BD35" s="44" t="s">
        <v>31720</v>
      </c>
      <c r="BE35" s="11">
        <v>1</v>
      </c>
      <c r="BF35" s="11">
        <v>0</v>
      </c>
      <c r="BG35" s="11">
        <v>0</v>
      </c>
      <c r="BH35" s="10" t="s">
        <v>32192</v>
      </c>
      <c r="BI35" s="11">
        <v>100</v>
      </c>
      <c r="BJ35" s="10" t="s">
        <v>33216</v>
      </c>
      <c r="BK35" s="11">
        <v>100</v>
      </c>
    </row>
    <row r="36" spans="1:63" x14ac:dyDescent="0.75">
      <c r="A36" t="s">
        <v>5006</v>
      </c>
      <c r="B36" t="s">
        <v>104</v>
      </c>
      <c r="C36" t="s">
        <v>2200</v>
      </c>
      <c r="D36" t="s">
        <v>2201</v>
      </c>
      <c r="E36" s="22" t="s">
        <v>26483</v>
      </c>
      <c r="F36" t="s">
        <v>5007</v>
      </c>
      <c r="G36" s="1" t="str">
        <f>HYPERLINK("https://homd.org/jbrowse/?data=homd_V11.02_phage_1.2%2FGCA_030644345.1&amp;loc=GCA_030644345.1%7CCP130059.1%3A851506..858867&amp;tracks=prokka,prokka_ncrna,ncbi,ncbi_ncrna,panggolin,cenote,genomad&amp;highlight=","Open JBrowse")</f>
        <v>Open JBrowse</v>
      </c>
      <c r="H36" s="10">
        <v>854506</v>
      </c>
      <c r="I36" s="10">
        <v>855867</v>
      </c>
      <c r="J36" s="10" t="s">
        <v>5008</v>
      </c>
      <c r="K36" s="10" t="s">
        <v>375</v>
      </c>
      <c r="L36" s="10" t="s">
        <v>1025</v>
      </c>
      <c r="M36" s="10" t="s">
        <v>1026</v>
      </c>
      <c r="N36" s="10" t="s">
        <v>42</v>
      </c>
      <c r="O36" s="10">
        <v>3</v>
      </c>
      <c r="P36" s="10" t="s">
        <v>42</v>
      </c>
      <c r="Q36" s="10" t="s">
        <v>101</v>
      </c>
      <c r="R36" s="10" t="s">
        <v>5009</v>
      </c>
      <c r="S36" s="10" t="s">
        <v>1025</v>
      </c>
      <c r="T36" s="10" t="s">
        <v>42</v>
      </c>
      <c r="U36" s="10">
        <v>48</v>
      </c>
      <c r="V36" s="10">
        <v>301</v>
      </c>
      <c r="W36" s="10">
        <v>254</v>
      </c>
      <c r="X36" s="10" t="s">
        <v>379</v>
      </c>
      <c r="Y36" s="10"/>
      <c r="Z36" s="10"/>
      <c r="AA36" s="10"/>
      <c r="AB36" s="10"/>
      <c r="AC36" s="10"/>
      <c r="AD36" s="10"/>
      <c r="AE36" s="10"/>
      <c r="AF36" s="10"/>
      <c r="AG36" s="44"/>
      <c r="AH36" s="44"/>
      <c r="AI36" s="46" t="s">
        <v>6054</v>
      </c>
      <c r="AJ36" s="44" t="s">
        <v>6052</v>
      </c>
      <c r="AK36" s="44" t="s">
        <v>6052</v>
      </c>
      <c r="AL36" s="44" t="s">
        <v>6052</v>
      </c>
      <c r="AM36" s="44" t="s">
        <v>6052</v>
      </c>
      <c r="AN36" s="44" t="s">
        <v>32759</v>
      </c>
      <c r="AO36" s="45">
        <v>11</v>
      </c>
      <c r="AP36" s="45">
        <v>1</v>
      </c>
      <c r="AQ36" s="45">
        <v>0</v>
      </c>
      <c r="AR36" s="45">
        <v>0</v>
      </c>
      <c r="AS36" s="45">
        <v>0</v>
      </c>
      <c r="AT36" s="45">
        <v>0</v>
      </c>
      <c r="AU36" s="10" t="s">
        <v>6052</v>
      </c>
      <c r="AV36" s="10" t="s">
        <v>6052</v>
      </c>
      <c r="AW36" s="10" t="s">
        <v>6052</v>
      </c>
      <c r="AX36" s="10" t="s">
        <v>6052</v>
      </c>
      <c r="AY36" s="10" t="s">
        <v>32253</v>
      </c>
      <c r="AZ36" s="44" t="s">
        <v>33117</v>
      </c>
      <c r="BA36" s="44" t="s">
        <v>30993</v>
      </c>
      <c r="BB36" s="44" t="s">
        <v>31461</v>
      </c>
      <c r="BC36" s="44" t="s">
        <v>6696</v>
      </c>
      <c r="BD36" s="44" t="s">
        <v>31714</v>
      </c>
      <c r="BE36" s="11">
        <v>1</v>
      </c>
      <c r="BF36" s="11">
        <v>0</v>
      </c>
      <c r="BG36" s="11">
        <v>0</v>
      </c>
      <c r="BH36" s="10" t="s">
        <v>32081</v>
      </c>
      <c r="BI36" s="11">
        <v>100</v>
      </c>
      <c r="BJ36" s="10" t="s">
        <v>33454</v>
      </c>
      <c r="BK36" s="11">
        <v>100</v>
      </c>
    </row>
    <row r="37" spans="1:63" x14ac:dyDescent="0.75">
      <c r="A37" t="s">
        <v>4999</v>
      </c>
      <c r="B37" t="s">
        <v>104</v>
      </c>
      <c r="C37" t="s">
        <v>1103</v>
      </c>
      <c r="D37" t="s">
        <v>1069</v>
      </c>
      <c r="E37" s="22" t="s">
        <v>1103</v>
      </c>
      <c r="F37" t="s">
        <v>5000</v>
      </c>
      <c r="G37" s="1" t="str">
        <f>HYPERLINK("https://homd.org/jbrowse/?data=homd_V11.02_phage_1.2%2FGCA_030644325.1&amp;loc=GCA_030644325.1%7CCP130323.1%3A257345..264367&amp;tracks=prokka,prokka_ncrna,ncbi,ncbi_ncrna,panggolin,cenote,genomad&amp;highlight=","Open JBrowse")</f>
        <v>Open JBrowse</v>
      </c>
      <c r="H37" s="10">
        <v>260345</v>
      </c>
      <c r="I37" s="10">
        <v>261367</v>
      </c>
      <c r="J37" s="10" t="s">
        <v>5001</v>
      </c>
      <c r="K37" s="10" t="s">
        <v>59</v>
      </c>
      <c r="L37" s="10" t="s">
        <v>1106</v>
      </c>
      <c r="M37" s="10" t="s">
        <v>1107</v>
      </c>
      <c r="N37" s="10" t="s">
        <v>42</v>
      </c>
      <c r="O37" s="10">
        <v>3</v>
      </c>
      <c r="P37" s="10" t="s">
        <v>42</v>
      </c>
      <c r="Q37" s="10" t="s">
        <v>59</v>
      </c>
      <c r="R37" s="10" t="s">
        <v>5002</v>
      </c>
      <c r="S37" s="10" t="s">
        <v>1106</v>
      </c>
      <c r="T37" s="10" t="s">
        <v>42</v>
      </c>
      <c r="U37" s="10">
        <v>81</v>
      </c>
      <c r="V37" s="10">
        <v>337</v>
      </c>
      <c r="W37" s="10">
        <v>257</v>
      </c>
      <c r="X37" s="10" t="s">
        <v>142</v>
      </c>
      <c r="Y37" s="10" t="s">
        <v>5003</v>
      </c>
      <c r="Z37" s="10" t="s">
        <v>47</v>
      </c>
      <c r="AA37" s="10" t="s">
        <v>5004</v>
      </c>
      <c r="AB37" s="10" t="s">
        <v>5005</v>
      </c>
      <c r="AC37" s="10" t="s">
        <v>295</v>
      </c>
      <c r="AD37" s="10" t="s">
        <v>183</v>
      </c>
      <c r="AE37" s="10">
        <v>610</v>
      </c>
      <c r="AF37" s="10" t="s">
        <v>1019</v>
      </c>
      <c r="AG37" s="44"/>
      <c r="AH37" s="44"/>
      <c r="AI37" s="44" t="s">
        <v>6052</v>
      </c>
      <c r="AJ37" s="44" t="s">
        <v>6052</v>
      </c>
      <c r="AK37" s="44" t="s">
        <v>6052</v>
      </c>
      <c r="AL37" s="44" t="s">
        <v>6052</v>
      </c>
      <c r="AM37" s="44" t="s">
        <v>6052</v>
      </c>
      <c r="AN37" s="44" t="s">
        <v>32812</v>
      </c>
      <c r="AO37" s="45">
        <v>11</v>
      </c>
      <c r="AP37" s="45">
        <v>1</v>
      </c>
      <c r="AQ37" s="45">
        <v>0</v>
      </c>
      <c r="AR37" s="45">
        <v>0</v>
      </c>
      <c r="AS37" s="45">
        <v>0</v>
      </c>
      <c r="AT37" s="45">
        <v>0</v>
      </c>
      <c r="AU37" s="10" t="s">
        <v>6052</v>
      </c>
      <c r="AV37" s="10" t="s">
        <v>6052</v>
      </c>
      <c r="AW37" s="10" t="s">
        <v>6052</v>
      </c>
      <c r="AX37" s="10" t="s">
        <v>6052</v>
      </c>
      <c r="AY37" s="10" t="s">
        <v>32253</v>
      </c>
      <c r="AZ37" s="44" t="s">
        <v>33117</v>
      </c>
      <c r="BA37" s="44" t="s">
        <v>31020</v>
      </c>
      <c r="BB37" s="44" t="s">
        <v>31496</v>
      </c>
      <c r="BC37" s="44" t="s">
        <v>6425</v>
      </c>
      <c r="BD37" s="44" t="s">
        <v>31709</v>
      </c>
      <c r="BE37" s="11">
        <v>1</v>
      </c>
      <c r="BF37" s="11">
        <v>0</v>
      </c>
      <c r="BG37" s="11">
        <v>0</v>
      </c>
      <c r="BH37" s="10" t="s">
        <v>31903</v>
      </c>
      <c r="BI37" s="11">
        <v>100</v>
      </c>
      <c r="BJ37" s="10" t="s">
        <v>33307</v>
      </c>
      <c r="BK37" s="11">
        <v>100</v>
      </c>
    </row>
    <row r="38" spans="1:63" x14ac:dyDescent="0.75">
      <c r="A38" t="s">
        <v>5312</v>
      </c>
      <c r="B38" t="s">
        <v>104</v>
      </c>
      <c r="C38" t="s">
        <v>153</v>
      </c>
      <c r="D38" t="s">
        <v>154</v>
      </c>
      <c r="E38" s="22" t="s">
        <v>30841</v>
      </c>
      <c r="F38" t="s">
        <v>5313</v>
      </c>
      <c r="G38" s="1" t="str">
        <f>HYPERLINK("https://homd.org/jbrowse/?data=homd_V11.02_phage_1.2%2FGCA_901875335.1&amp;loc=GCA_901875335.1%7CCABFMA010000009.1%3A1..6221&amp;tracks=prokka,prokka_ncrna,ncbi,ncbi_ncrna,panggolin,cenote,genomad&amp;highlight=","Open JBrowse")</f>
        <v>Open JBrowse</v>
      </c>
      <c r="H38" s="10">
        <v>2244</v>
      </c>
      <c r="I38" s="10">
        <v>3221</v>
      </c>
      <c r="J38" s="10" t="s">
        <v>5314</v>
      </c>
      <c r="K38" s="10" t="s">
        <v>59</v>
      </c>
      <c r="L38" s="10" t="s">
        <v>563</v>
      </c>
      <c r="M38" s="10" t="s">
        <v>564</v>
      </c>
      <c r="N38" s="10" t="s">
        <v>42</v>
      </c>
      <c r="O38" s="10">
        <v>3</v>
      </c>
      <c r="P38" s="10" t="s">
        <v>42</v>
      </c>
      <c r="Q38" s="10" t="s">
        <v>59</v>
      </c>
      <c r="R38" s="10" t="s">
        <v>5315</v>
      </c>
      <c r="S38" s="10" t="s">
        <v>563</v>
      </c>
      <c r="T38" s="10" t="s">
        <v>42</v>
      </c>
      <c r="U38" s="10">
        <v>44</v>
      </c>
      <c r="V38" s="10">
        <v>270</v>
      </c>
      <c r="W38" s="10">
        <v>227</v>
      </c>
      <c r="X38" s="10" t="s">
        <v>160</v>
      </c>
      <c r="Y38" s="10"/>
      <c r="Z38" s="10"/>
      <c r="AA38" s="10"/>
      <c r="AB38" s="10"/>
      <c r="AC38" s="10"/>
      <c r="AD38" s="10"/>
      <c r="AE38" s="10"/>
      <c r="AF38" s="10"/>
      <c r="AG38" s="44"/>
      <c r="AH38" s="44"/>
      <c r="AI38" s="46" t="s">
        <v>6054</v>
      </c>
      <c r="AJ38" s="44" t="s">
        <v>6052</v>
      </c>
      <c r="AK38" s="44" t="s">
        <v>6052</v>
      </c>
      <c r="AL38" s="44" t="s">
        <v>6052</v>
      </c>
      <c r="AM38" s="44" t="s">
        <v>6052</v>
      </c>
      <c r="AN38" s="44" t="s">
        <v>32550</v>
      </c>
      <c r="AO38" s="45">
        <v>11</v>
      </c>
      <c r="AP38" s="45">
        <v>1</v>
      </c>
      <c r="AQ38" s="45">
        <v>0</v>
      </c>
      <c r="AR38" s="45">
        <v>0</v>
      </c>
      <c r="AS38" s="45">
        <v>0</v>
      </c>
      <c r="AT38" s="45">
        <v>0</v>
      </c>
      <c r="AU38" s="10" t="s">
        <v>6052</v>
      </c>
      <c r="AV38" s="10" t="s">
        <v>6052</v>
      </c>
      <c r="AW38" s="10" t="s">
        <v>6052</v>
      </c>
      <c r="AX38" s="10" t="s">
        <v>6052</v>
      </c>
      <c r="AY38" s="10" t="s">
        <v>32253</v>
      </c>
      <c r="AZ38" s="44" t="s">
        <v>33117</v>
      </c>
      <c r="BA38" s="44" t="s">
        <v>30906</v>
      </c>
      <c r="BB38" s="44" t="s">
        <v>31330</v>
      </c>
      <c r="BC38" s="44" t="s">
        <v>6594</v>
      </c>
      <c r="BD38" s="44" t="s">
        <v>31708</v>
      </c>
      <c r="BE38" s="11">
        <v>1</v>
      </c>
      <c r="BF38" s="11">
        <v>0</v>
      </c>
      <c r="BG38" s="11">
        <v>0</v>
      </c>
      <c r="BH38" s="10" t="s">
        <v>32090</v>
      </c>
      <c r="BI38" s="11">
        <v>100</v>
      </c>
      <c r="BJ38" s="10" t="s">
        <v>33408</v>
      </c>
      <c r="BK38" s="11">
        <v>100</v>
      </c>
    </row>
    <row r="39" spans="1:63" x14ac:dyDescent="0.75">
      <c r="A39" t="s">
        <v>5306</v>
      </c>
      <c r="B39" t="s">
        <v>104</v>
      </c>
      <c r="C39" t="s">
        <v>1674</v>
      </c>
      <c r="D39" t="s">
        <v>393</v>
      </c>
      <c r="E39" s="22" t="s">
        <v>30842</v>
      </c>
      <c r="F39" t="s">
        <v>5307</v>
      </c>
      <c r="G39" s="1" t="str">
        <f>HYPERLINK("https://homd.org/jbrowse/?data=homd_V11.02_phage_1.2%2FGCA_901873715.1&amp;loc=GCA_901873715.1%7CCABFLV010000015.1%3A102277..109137&amp;tracks=prokka,prokka_ncrna,ncbi,ncbi_ncrna,panggolin,cenote,genomad&amp;highlight=","Open JBrowse")</f>
        <v>Open JBrowse</v>
      </c>
      <c r="H39" s="10">
        <v>105277</v>
      </c>
      <c r="I39" s="10">
        <v>106137</v>
      </c>
      <c r="J39" s="10" t="s">
        <v>5308</v>
      </c>
      <c r="K39" s="10" t="s">
        <v>59</v>
      </c>
      <c r="L39" s="10" t="s">
        <v>396</v>
      </c>
      <c r="M39" s="10" t="s">
        <v>397</v>
      </c>
      <c r="N39" s="10" t="s">
        <v>398</v>
      </c>
      <c r="O39" s="10">
        <v>3</v>
      </c>
      <c r="P39" s="10" t="s">
        <v>42</v>
      </c>
      <c r="Q39" s="10" t="s">
        <v>59</v>
      </c>
      <c r="R39" s="10" t="s">
        <v>5309</v>
      </c>
      <c r="S39" s="10" t="s">
        <v>396</v>
      </c>
      <c r="T39" s="10" t="s">
        <v>42</v>
      </c>
      <c r="U39" s="10">
        <v>46</v>
      </c>
      <c r="V39" s="10">
        <v>282</v>
      </c>
      <c r="W39" s="10">
        <v>237</v>
      </c>
      <c r="X39" s="10" t="s">
        <v>400</v>
      </c>
      <c r="Y39" s="10" t="s">
        <v>5310</v>
      </c>
      <c r="Z39" s="10" t="s">
        <v>743</v>
      </c>
      <c r="AA39" s="10" t="s">
        <v>5311</v>
      </c>
      <c r="AB39" s="10"/>
      <c r="AC39" s="10"/>
      <c r="AD39" s="10"/>
      <c r="AE39" s="10"/>
      <c r="AF39" s="10"/>
      <c r="AG39" s="44"/>
      <c r="AH39" s="44"/>
      <c r="AI39" s="44" t="s">
        <v>6052</v>
      </c>
      <c r="AJ39" s="44" t="s">
        <v>6052</v>
      </c>
      <c r="AK39" s="44" t="s">
        <v>6052</v>
      </c>
      <c r="AL39" s="44" t="s">
        <v>6052</v>
      </c>
      <c r="AM39" s="44" t="s">
        <v>6052</v>
      </c>
      <c r="AN39" s="44" t="s">
        <v>32549</v>
      </c>
      <c r="AO39" s="45">
        <v>11</v>
      </c>
      <c r="AP39" s="45">
        <v>1</v>
      </c>
      <c r="AQ39" s="45">
        <v>0</v>
      </c>
      <c r="AR39" s="45">
        <v>0</v>
      </c>
      <c r="AS39" s="45">
        <v>0</v>
      </c>
      <c r="AT39" s="45">
        <v>0</v>
      </c>
      <c r="AU39" s="10" t="s">
        <v>6052</v>
      </c>
      <c r="AV39" s="10" t="s">
        <v>6052</v>
      </c>
      <c r="AW39" s="10" t="s">
        <v>6052</v>
      </c>
      <c r="AX39" s="10" t="s">
        <v>6052</v>
      </c>
      <c r="AY39" s="10" t="s">
        <v>32253</v>
      </c>
      <c r="AZ39" s="44" t="s">
        <v>33118</v>
      </c>
      <c r="BA39" s="44" t="s">
        <v>30905</v>
      </c>
      <c r="BB39" s="44" t="s">
        <v>31329</v>
      </c>
      <c r="BC39" s="44" t="s">
        <v>7190</v>
      </c>
      <c r="BD39" s="44" t="s">
        <v>31712</v>
      </c>
      <c r="BE39" s="11">
        <v>1</v>
      </c>
      <c r="BF39" s="11">
        <v>0</v>
      </c>
      <c r="BG39" s="11">
        <v>0</v>
      </c>
      <c r="BH39" s="10" t="s">
        <v>33186</v>
      </c>
      <c r="BI39" s="11">
        <v>100</v>
      </c>
      <c r="BJ39" s="10" t="s">
        <v>33187</v>
      </c>
      <c r="BK39" s="11">
        <v>100</v>
      </c>
    </row>
    <row r="40" spans="1:63" x14ac:dyDescent="0.75">
      <c r="A40" t="s">
        <v>5299</v>
      </c>
      <c r="B40" t="s">
        <v>104</v>
      </c>
      <c r="C40" t="s">
        <v>2405</v>
      </c>
      <c r="D40" t="s">
        <v>1069</v>
      </c>
      <c r="E40" s="22" t="s">
        <v>6504</v>
      </c>
      <c r="F40" t="s">
        <v>5300</v>
      </c>
      <c r="G40" s="1" t="str">
        <f>HYPERLINK("https://homd.org/jbrowse/?data=homd_V11.02_phage_1.2%2FGCA_901873485.1&amp;loc=GCA_901873485.1%7CCABFLH010000008.1%3A44351..51367&amp;tracks=prokka,prokka_ncrna,ncbi,ncbi_ncrna,panggolin,cenote,genomad&amp;highlight=","Open JBrowse")</f>
        <v>Open JBrowse</v>
      </c>
      <c r="H40" s="10">
        <v>47351</v>
      </c>
      <c r="I40" s="10">
        <v>48367</v>
      </c>
      <c r="J40" s="10" t="s">
        <v>5301</v>
      </c>
      <c r="K40" s="10" t="s">
        <v>59</v>
      </c>
      <c r="L40" s="10" t="s">
        <v>877</v>
      </c>
      <c r="M40" s="10" t="s">
        <v>878</v>
      </c>
      <c r="N40" s="10" t="s">
        <v>42</v>
      </c>
      <c r="O40" s="10">
        <v>3</v>
      </c>
      <c r="P40" s="10" t="s">
        <v>42</v>
      </c>
      <c r="Q40" s="10" t="s">
        <v>59</v>
      </c>
      <c r="R40" s="10" t="s">
        <v>5302</v>
      </c>
      <c r="S40" s="10" t="s">
        <v>877</v>
      </c>
      <c r="T40" s="10" t="s">
        <v>42</v>
      </c>
      <c r="U40" s="10">
        <v>79</v>
      </c>
      <c r="V40" s="10">
        <v>335</v>
      </c>
      <c r="W40" s="10">
        <v>257</v>
      </c>
      <c r="X40" s="10" t="s">
        <v>142</v>
      </c>
      <c r="Y40" s="10" t="s">
        <v>5303</v>
      </c>
      <c r="Z40" s="10" t="s">
        <v>1334</v>
      </c>
      <c r="AA40" s="10" t="s">
        <v>5304</v>
      </c>
      <c r="AB40" s="10" t="s">
        <v>5305</v>
      </c>
      <c r="AC40" s="10" t="s">
        <v>2831</v>
      </c>
      <c r="AD40" s="10" t="s">
        <v>2832</v>
      </c>
      <c r="AE40" s="10">
        <v>332</v>
      </c>
      <c r="AF40" s="10" t="s">
        <v>2833</v>
      </c>
      <c r="AG40" s="44"/>
      <c r="AH40" s="44"/>
      <c r="AI40" s="44" t="s">
        <v>6052</v>
      </c>
      <c r="AJ40" s="44" t="s">
        <v>6052</v>
      </c>
      <c r="AK40" s="44" t="s">
        <v>6052</v>
      </c>
      <c r="AL40" s="44" t="s">
        <v>6052</v>
      </c>
      <c r="AM40" s="44" t="s">
        <v>6052</v>
      </c>
      <c r="AN40" s="44" t="s">
        <v>32931</v>
      </c>
      <c r="AO40" s="45">
        <v>11</v>
      </c>
      <c r="AP40" s="45">
        <v>1</v>
      </c>
      <c r="AQ40" s="45">
        <v>0</v>
      </c>
      <c r="AR40" s="45">
        <v>0</v>
      </c>
      <c r="AS40" s="45">
        <v>0</v>
      </c>
      <c r="AT40" s="45">
        <v>0</v>
      </c>
      <c r="AU40" s="10" t="s">
        <v>6052</v>
      </c>
      <c r="AV40" s="10" t="s">
        <v>6052</v>
      </c>
      <c r="AW40" s="10" t="s">
        <v>6052</v>
      </c>
      <c r="AX40" s="10" t="s">
        <v>6052</v>
      </c>
      <c r="AY40" s="10" t="s">
        <v>32253</v>
      </c>
      <c r="AZ40" s="44" t="s">
        <v>33117</v>
      </c>
      <c r="BA40" s="44" t="s">
        <v>31083</v>
      </c>
      <c r="BB40" s="44" t="s">
        <v>31583</v>
      </c>
      <c r="BC40" s="44" t="s">
        <v>6425</v>
      </c>
      <c r="BD40" s="44" t="s">
        <v>31709</v>
      </c>
      <c r="BE40" s="11">
        <v>1</v>
      </c>
      <c r="BF40" s="11">
        <v>0</v>
      </c>
      <c r="BG40" s="11">
        <v>0</v>
      </c>
      <c r="BH40" s="10" t="s">
        <v>31843</v>
      </c>
      <c r="BI40" s="11">
        <v>100</v>
      </c>
      <c r="BJ40" s="10" t="s">
        <v>33302</v>
      </c>
      <c r="BK40" s="11">
        <v>100</v>
      </c>
    </row>
    <row r="41" spans="1:63" x14ac:dyDescent="0.75">
      <c r="A41" t="s">
        <v>5270</v>
      </c>
      <c r="B41" t="s">
        <v>104</v>
      </c>
      <c r="C41" t="s">
        <v>329</v>
      </c>
      <c r="D41" t="s">
        <v>330</v>
      </c>
      <c r="E41" s="22" t="s">
        <v>28022</v>
      </c>
      <c r="F41" t="s">
        <v>5271</v>
      </c>
      <c r="G41" s="1" t="str">
        <f>HYPERLINK("https://homd.org/jbrowse/?data=homd_V11.02_phage_1.2%2FGCA_900638125.1&amp;loc=GCA_900638125.1%7CLR134489.1%3A2097745..2104566&amp;tracks=prokka,prokka_ncrna,ncbi,ncbi_ncrna,panggolin,cenote,genomad&amp;highlight=","Open JBrowse")</f>
        <v>Open JBrowse</v>
      </c>
      <c r="H41" s="10">
        <v>2100745</v>
      </c>
      <c r="I41" s="10">
        <v>2101566</v>
      </c>
      <c r="J41" s="10" t="s">
        <v>5279</v>
      </c>
      <c r="K41" s="10" t="s">
        <v>39</v>
      </c>
      <c r="L41" s="10" t="s">
        <v>343</v>
      </c>
      <c r="M41" s="10" t="s">
        <v>1833</v>
      </c>
      <c r="N41" s="10" t="s">
        <v>42</v>
      </c>
      <c r="O41" s="10">
        <v>3</v>
      </c>
      <c r="P41" s="10" t="s">
        <v>42</v>
      </c>
      <c r="Q41" s="10" t="s">
        <v>43</v>
      </c>
      <c r="R41" s="10" t="s">
        <v>5273</v>
      </c>
      <c r="S41" s="10" t="s">
        <v>343</v>
      </c>
      <c r="T41" s="10" t="s">
        <v>42</v>
      </c>
      <c r="U41" s="10">
        <v>38</v>
      </c>
      <c r="V41" s="10">
        <v>270</v>
      </c>
      <c r="W41" s="10">
        <v>233</v>
      </c>
      <c r="X41" s="10" t="s">
        <v>45</v>
      </c>
      <c r="Y41" s="10" t="s">
        <v>5280</v>
      </c>
      <c r="Z41" s="10" t="s">
        <v>667</v>
      </c>
      <c r="AA41" s="10" t="s">
        <v>5281</v>
      </c>
      <c r="AB41" s="10"/>
      <c r="AC41" s="10"/>
      <c r="AD41" s="10"/>
      <c r="AE41" s="10"/>
      <c r="AF41" s="10"/>
      <c r="AG41" s="44"/>
      <c r="AH41" s="44"/>
      <c r="AI41" s="44" t="s">
        <v>6052</v>
      </c>
      <c r="AJ41" s="44" t="s">
        <v>6052</v>
      </c>
      <c r="AK41" s="44" t="s">
        <v>6052</v>
      </c>
      <c r="AL41" s="44" t="s">
        <v>6052</v>
      </c>
      <c r="AM41" s="44" t="s">
        <v>6052</v>
      </c>
      <c r="AN41" s="44" t="s">
        <v>32938</v>
      </c>
      <c r="AO41" s="45">
        <v>11</v>
      </c>
      <c r="AP41" s="45">
        <v>1</v>
      </c>
      <c r="AQ41" s="45">
        <v>0</v>
      </c>
      <c r="AR41" s="45">
        <v>0</v>
      </c>
      <c r="AS41" s="45">
        <v>0</v>
      </c>
      <c r="AT41" s="45">
        <v>0</v>
      </c>
      <c r="AU41" s="10" t="s">
        <v>6052</v>
      </c>
      <c r="AV41" s="10" t="s">
        <v>6052</v>
      </c>
      <c r="AW41" s="10" t="s">
        <v>6052</v>
      </c>
      <c r="AX41" s="10" t="s">
        <v>6052</v>
      </c>
      <c r="AY41" s="10" t="s">
        <v>32253</v>
      </c>
      <c r="AZ41" s="44" t="s">
        <v>33116</v>
      </c>
      <c r="BA41" s="44" t="s">
        <v>31086</v>
      </c>
      <c r="BB41" s="44" t="s">
        <v>31588</v>
      </c>
      <c r="BC41" s="44" t="s">
        <v>6415</v>
      </c>
      <c r="BD41" s="44" t="s">
        <v>31707</v>
      </c>
      <c r="BE41" s="11">
        <v>1</v>
      </c>
      <c r="BF41" s="11">
        <v>0</v>
      </c>
      <c r="BG41" s="11">
        <v>0</v>
      </c>
      <c r="BH41" s="10" t="s">
        <v>31883</v>
      </c>
      <c r="BI41" s="11">
        <v>100</v>
      </c>
      <c r="BJ41" s="10" t="s">
        <v>33285</v>
      </c>
      <c r="BK41" s="11">
        <v>100</v>
      </c>
    </row>
    <row r="42" spans="1:63" x14ac:dyDescent="0.75">
      <c r="A42" t="s">
        <v>5270</v>
      </c>
      <c r="B42" t="s">
        <v>104</v>
      </c>
      <c r="C42" t="s">
        <v>329</v>
      </c>
      <c r="D42" t="s">
        <v>330</v>
      </c>
      <c r="E42" s="22" t="s">
        <v>28022</v>
      </c>
      <c r="F42" t="s">
        <v>5271</v>
      </c>
      <c r="G42" s="1" t="str">
        <f>HYPERLINK("https://homd.org/jbrowse/?data=homd_V11.02_phage_1.2%2FGCA_900638125.1&amp;loc=GCA_900638125.1%7CLR134489.1%3A1897996..1904781&amp;tracks=prokka,prokka_ncrna,ncbi,ncbi_ncrna,panggolin,cenote,genomad&amp;highlight=","Open JBrowse")</f>
        <v>Open JBrowse</v>
      </c>
      <c r="H42" s="10">
        <v>1900996</v>
      </c>
      <c r="I42" s="10">
        <v>1901781</v>
      </c>
      <c r="J42" s="10" t="s">
        <v>5272</v>
      </c>
      <c r="K42" s="10" t="s">
        <v>39</v>
      </c>
      <c r="L42" s="10" t="s">
        <v>1866</v>
      </c>
      <c r="M42" s="10" t="s">
        <v>1867</v>
      </c>
      <c r="N42" s="10" t="s">
        <v>42</v>
      </c>
      <c r="O42" s="10">
        <v>3</v>
      </c>
      <c r="P42" s="10" t="s">
        <v>42</v>
      </c>
      <c r="Q42" s="10" t="s">
        <v>43</v>
      </c>
      <c r="R42" s="10" t="s">
        <v>5273</v>
      </c>
      <c r="S42" s="10" t="s">
        <v>1866</v>
      </c>
      <c r="T42" s="10" t="s">
        <v>42</v>
      </c>
      <c r="U42" s="10">
        <v>29</v>
      </c>
      <c r="V42" s="10">
        <v>257</v>
      </c>
      <c r="W42" s="10">
        <v>229</v>
      </c>
      <c r="X42" s="10" t="s">
        <v>45</v>
      </c>
      <c r="Y42" s="10"/>
      <c r="Z42" s="10"/>
      <c r="AA42" s="10"/>
      <c r="AB42" s="10"/>
      <c r="AC42" s="10"/>
      <c r="AD42" s="10"/>
      <c r="AE42" s="10"/>
      <c r="AF42" s="10"/>
      <c r="AG42" s="44"/>
      <c r="AH42" s="44"/>
      <c r="AI42" s="46" t="s">
        <v>6054</v>
      </c>
      <c r="AJ42" s="44" t="s">
        <v>6052</v>
      </c>
      <c r="AK42" s="44" t="s">
        <v>6052</v>
      </c>
      <c r="AL42" s="44" t="s">
        <v>6052</v>
      </c>
      <c r="AM42" s="44" t="s">
        <v>6052</v>
      </c>
      <c r="AN42" s="44" t="s">
        <v>32939</v>
      </c>
      <c r="AO42" s="45">
        <v>11</v>
      </c>
      <c r="AP42" s="45">
        <v>1</v>
      </c>
      <c r="AQ42" s="45">
        <v>0</v>
      </c>
      <c r="AR42" s="45">
        <v>0</v>
      </c>
      <c r="AS42" s="45">
        <v>0</v>
      </c>
      <c r="AT42" s="45">
        <v>0</v>
      </c>
      <c r="AU42" s="10" t="s">
        <v>6052</v>
      </c>
      <c r="AV42" s="10" t="s">
        <v>6052</v>
      </c>
      <c r="AW42" s="10" t="s">
        <v>6052</v>
      </c>
      <c r="AX42" s="10" t="s">
        <v>6052</v>
      </c>
      <c r="AY42" s="10" t="s">
        <v>32253</v>
      </c>
      <c r="AZ42" s="44" t="s">
        <v>33117</v>
      </c>
      <c r="BA42" s="44" t="s">
        <v>31086</v>
      </c>
      <c r="BB42" s="44" t="s">
        <v>31589</v>
      </c>
      <c r="BC42" s="44" t="s">
        <v>6415</v>
      </c>
      <c r="BD42" s="44" t="s">
        <v>31707</v>
      </c>
      <c r="BE42" s="11">
        <v>1</v>
      </c>
      <c r="BF42" s="11">
        <v>0</v>
      </c>
      <c r="BG42" s="11">
        <v>0</v>
      </c>
      <c r="BH42" s="10" t="s">
        <v>31963</v>
      </c>
      <c r="BI42" s="11">
        <v>100</v>
      </c>
      <c r="BJ42" s="10" t="s">
        <v>33284</v>
      </c>
      <c r="BK42" s="11">
        <v>100</v>
      </c>
    </row>
    <row r="43" spans="1:63" x14ac:dyDescent="0.75">
      <c r="A43" t="s">
        <v>5262</v>
      </c>
      <c r="B43" t="s">
        <v>104</v>
      </c>
      <c r="C43" t="s">
        <v>223</v>
      </c>
      <c r="D43" t="s">
        <v>224</v>
      </c>
      <c r="E43" s="22" t="s">
        <v>27969</v>
      </c>
      <c r="F43" t="s">
        <v>5263</v>
      </c>
      <c r="G43" s="1" t="str">
        <f>HYPERLINK("https://homd.org/jbrowse/?data=homd_V11.02_phage_1.2%2FGCA_900637305.1&amp;loc=GCA_900637305.1%7CLR134365.1%3A2607678..2622629&amp;tracks=prokka,prokka_ncrna,ncbi,ncbi_ncrna,panggolin,cenote,genomad&amp;highlight=","Open JBrowse")</f>
        <v>Open JBrowse</v>
      </c>
      <c r="H43" s="10">
        <v>2610678</v>
      </c>
      <c r="I43" s="10">
        <v>2619629</v>
      </c>
      <c r="J43" s="10" t="s">
        <v>5264</v>
      </c>
      <c r="K43" s="10" t="s">
        <v>231</v>
      </c>
      <c r="L43" s="10" t="s">
        <v>5265</v>
      </c>
      <c r="M43" s="10" t="s">
        <v>5266</v>
      </c>
      <c r="N43" s="10" t="s">
        <v>227</v>
      </c>
      <c r="O43" s="10">
        <v>3</v>
      </c>
      <c r="P43" s="10" t="s">
        <v>234</v>
      </c>
      <c r="Q43" s="10" t="s">
        <v>235</v>
      </c>
      <c r="R43" s="10" t="s">
        <v>5267</v>
      </c>
      <c r="S43" s="10" t="s">
        <v>5268</v>
      </c>
      <c r="T43" s="10" t="s">
        <v>42</v>
      </c>
      <c r="U43" s="10">
        <v>1462</v>
      </c>
      <c r="V43" s="10">
        <v>1718</v>
      </c>
      <c r="W43" s="10">
        <v>257</v>
      </c>
      <c r="X43" s="10" t="s">
        <v>237</v>
      </c>
      <c r="Y43" s="10"/>
      <c r="Z43" s="10"/>
      <c r="AA43" s="10"/>
      <c r="AB43" s="10"/>
      <c r="AC43" s="10"/>
      <c r="AD43" s="10"/>
      <c r="AE43" s="10"/>
      <c r="AF43" s="10"/>
      <c r="AG43" s="44"/>
      <c r="AH43" s="44"/>
      <c r="AI43" s="46" t="s">
        <v>6054</v>
      </c>
      <c r="AJ43" s="44" t="s">
        <v>6052</v>
      </c>
      <c r="AK43" s="44" t="s">
        <v>6052</v>
      </c>
      <c r="AL43" s="44" t="s">
        <v>6052</v>
      </c>
      <c r="AM43" s="44" t="s">
        <v>6052</v>
      </c>
      <c r="AN43" s="44" t="s">
        <v>32937</v>
      </c>
      <c r="AO43" s="45">
        <v>11</v>
      </c>
      <c r="AP43" s="45">
        <v>1</v>
      </c>
      <c r="AQ43" s="45">
        <v>0</v>
      </c>
      <c r="AR43" s="45">
        <v>0</v>
      </c>
      <c r="AS43" s="45">
        <v>0</v>
      </c>
      <c r="AT43" s="45">
        <v>0</v>
      </c>
      <c r="AU43" s="10" t="s">
        <v>6052</v>
      </c>
      <c r="AV43" s="10" t="s">
        <v>6052</v>
      </c>
      <c r="AW43" s="10" t="s">
        <v>6052</v>
      </c>
      <c r="AX43" s="10" t="s">
        <v>6052</v>
      </c>
      <c r="AY43" s="10" t="s">
        <v>32253</v>
      </c>
      <c r="AZ43" s="44" t="s">
        <v>33110</v>
      </c>
      <c r="BA43" s="44" t="s">
        <v>31085</v>
      </c>
      <c r="BB43" s="44" t="s">
        <v>31587</v>
      </c>
      <c r="BC43" s="44" t="s">
        <v>6927</v>
      </c>
      <c r="BD43" s="44" t="s">
        <v>31721</v>
      </c>
      <c r="BE43" s="11">
        <v>1</v>
      </c>
      <c r="BF43" s="11">
        <v>0</v>
      </c>
      <c r="BG43" s="11">
        <v>0</v>
      </c>
      <c r="BH43" s="10" t="s">
        <v>31873</v>
      </c>
      <c r="BI43" s="11">
        <v>100</v>
      </c>
      <c r="BJ43" s="10" t="s">
        <v>33291</v>
      </c>
      <c r="BK43" s="11">
        <v>100</v>
      </c>
    </row>
    <row r="44" spans="1:63" x14ac:dyDescent="0.75">
      <c r="A44" t="s">
        <v>5251</v>
      </c>
      <c r="B44" t="s">
        <v>104</v>
      </c>
      <c r="C44" t="s">
        <v>105</v>
      </c>
      <c r="D44" t="s">
        <v>106</v>
      </c>
      <c r="E44" s="22" t="s">
        <v>27896</v>
      </c>
      <c r="F44" t="s">
        <v>5252</v>
      </c>
      <c r="G44" s="1" t="str">
        <f>HYPERLINK("https://homd.org/jbrowse/?data=homd_V11.02_phage_1.2%2FGCA_900618145.1&amp;loc=GCA_900618145.1%7CUYIQ01000001.1%3A1952183..1958974&amp;tracks=prokka,prokka_ncrna,ncbi,ncbi_ncrna,panggolin,cenote,genomad&amp;highlight=","Open JBrowse")</f>
        <v>Open JBrowse</v>
      </c>
      <c r="H44" s="10">
        <v>1955183</v>
      </c>
      <c r="I44" s="10">
        <v>1955974</v>
      </c>
      <c r="J44" s="10" t="s">
        <v>5258</v>
      </c>
      <c r="K44" s="10" t="s">
        <v>39</v>
      </c>
      <c r="L44" s="10" t="s">
        <v>123</v>
      </c>
      <c r="M44" s="10" t="s">
        <v>124</v>
      </c>
      <c r="N44" s="10" t="s">
        <v>42</v>
      </c>
      <c r="O44" s="10">
        <v>3</v>
      </c>
      <c r="P44" s="10" t="s">
        <v>42</v>
      </c>
      <c r="Q44" s="10" t="s">
        <v>43</v>
      </c>
      <c r="R44" s="10" t="s">
        <v>5254</v>
      </c>
      <c r="S44" s="10" t="s">
        <v>123</v>
      </c>
      <c r="T44" s="10" t="s">
        <v>42</v>
      </c>
      <c r="U44" s="10">
        <v>35</v>
      </c>
      <c r="V44" s="10">
        <v>261</v>
      </c>
      <c r="W44" s="10">
        <v>227</v>
      </c>
      <c r="X44" s="10" t="s">
        <v>45</v>
      </c>
      <c r="Y44" s="10" t="s">
        <v>5259</v>
      </c>
      <c r="Z44" s="10" t="s">
        <v>416</v>
      </c>
      <c r="AA44" s="10" t="s">
        <v>841</v>
      </c>
      <c r="AB44" s="10"/>
      <c r="AC44" s="10"/>
      <c r="AD44" s="10"/>
      <c r="AE44" s="10"/>
      <c r="AF44" s="10"/>
      <c r="AG44" s="44"/>
      <c r="AH44" s="44"/>
      <c r="AI44" s="44" t="s">
        <v>6052</v>
      </c>
      <c r="AJ44" s="44" t="s">
        <v>6052</v>
      </c>
      <c r="AK44" s="44" t="s">
        <v>6052</v>
      </c>
      <c r="AL44" s="44" t="s">
        <v>6052</v>
      </c>
      <c r="AM44" s="44" t="s">
        <v>6052</v>
      </c>
      <c r="AN44" s="44" t="s">
        <v>32944</v>
      </c>
      <c r="AO44" s="45">
        <v>11</v>
      </c>
      <c r="AP44" s="45">
        <v>1</v>
      </c>
      <c r="AQ44" s="45">
        <v>0</v>
      </c>
      <c r="AR44" s="45">
        <v>0</v>
      </c>
      <c r="AS44" s="45">
        <v>0</v>
      </c>
      <c r="AT44" s="45">
        <v>0</v>
      </c>
      <c r="AU44" s="10" t="s">
        <v>6052</v>
      </c>
      <c r="AV44" s="10" t="s">
        <v>6052</v>
      </c>
      <c r="AW44" s="10" t="s">
        <v>6052</v>
      </c>
      <c r="AX44" s="10" t="s">
        <v>6052</v>
      </c>
      <c r="AY44" s="10" t="s">
        <v>32253</v>
      </c>
      <c r="AZ44" s="44" t="s">
        <v>33116</v>
      </c>
      <c r="BA44" s="44" t="s">
        <v>31087</v>
      </c>
      <c r="BB44" s="44" t="s">
        <v>31592</v>
      </c>
      <c r="BC44" s="44" t="s">
        <v>6415</v>
      </c>
      <c r="BD44" s="44" t="s">
        <v>31707</v>
      </c>
      <c r="BE44" s="11">
        <v>1</v>
      </c>
      <c r="BF44" s="11">
        <v>0</v>
      </c>
      <c r="BG44" s="11">
        <v>0</v>
      </c>
      <c r="BH44" s="10" t="s">
        <v>32063</v>
      </c>
      <c r="BI44" s="11">
        <v>100</v>
      </c>
      <c r="BJ44" s="10" t="s">
        <v>33258</v>
      </c>
      <c r="BK44" s="11">
        <v>100</v>
      </c>
    </row>
    <row r="45" spans="1:63" x14ac:dyDescent="0.75">
      <c r="A45" t="s">
        <v>5251</v>
      </c>
      <c r="B45" t="s">
        <v>104</v>
      </c>
      <c r="C45" t="s">
        <v>105</v>
      </c>
      <c r="D45" t="s">
        <v>106</v>
      </c>
      <c r="E45" s="22" t="s">
        <v>27896</v>
      </c>
      <c r="F45" t="s">
        <v>5252</v>
      </c>
      <c r="G45" s="1" t="str">
        <f>HYPERLINK("https://homd.org/jbrowse/?data=homd_V11.02_phage_1.2%2FGCA_900618145.1&amp;loc=GCA_900618145.1%7CUYIQ01000001.1%3A965614..972447&amp;tracks=prokka,prokka_ncrna,ncbi,ncbi_ncrna,panggolin,cenote,genomad&amp;highlight=","Open JBrowse")</f>
        <v>Open JBrowse</v>
      </c>
      <c r="H45" s="10">
        <v>968614</v>
      </c>
      <c r="I45" s="10">
        <v>969447</v>
      </c>
      <c r="J45" s="10" t="s">
        <v>5260</v>
      </c>
      <c r="K45" s="10" t="s">
        <v>39</v>
      </c>
      <c r="L45" s="10" t="s">
        <v>129</v>
      </c>
      <c r="M45" s="10" t="s">
        <v>130</v>
      </c>
      <c r="N45" s="10" t="s">
        <v>42</v>
      </c>
      <c r="O45" s="10">
        <v>3</v>
      </c>
      <c r="P45" s="10" t="s">
        <v>42</v>
      </c>
      <c r="Q45" s="10" t="s">
        <v>43</v>
      </c>
      <c r="R45" s="10" t="s">
        <v>5254</v>
      </c>
      <c r="S45" s="10" t="s">
        <v>129</v>
      </c>
      <c r="T45" s="10" t="s">
        <v>42</v>
      </c>
      <c r="U45" s="10">
        <v>43</v>
      </c>
      <c r="V45" s="10">
        <v>275</v>
      </c>
      <c r="W45" s="10">
        <v>233</v>
      </c>
      <c r="X45" s="10" t="s">
        <v>45</v>
      </c>
      <c r="Y45" s="10" t="s">
        <v>5261</v>
      </c>
      <c r="Z45" s="10" t="s">
        <v>90</v>
      </c>
      <c r="AA45" s="10" t="s">
        <v>133</v>
      </c>
      <c r="AB45" s="10"/>
      <c r="AC45" s="10"/>
      <c r="AD45" s="10"/>
      <c r="AE45" s="10"/>
      <c r="AF45" s="10"/>
      <c r="AG45" s="44"/>
      <c r="AH45" s="44"/>
      <c r="AI45" s="44" t="s">
        <v>6052</v>
      </c>
      <c r="AJ45" s="44" t="s">
        <v>6052</v>
      </c>
      <c r="AK45" s="44" t="s">
        <v>6052</v>
      </c>
      <c r="AL45" s="44" t="s">
        <v>6052</v>
      </c>
      <c r="AM45" s="44" t="s">
        <v>6052</v>
      </c>
      <c r="AN45" s="44" t="s">
        <v>32943</v>
      </c>
      <c r="AO45" s="45">
        <v>11</v>
      </c>
      <c r="AP45" s="45">
        <v>1</v>
      </c>
      <c r="AQ45" s="45">
        <v>0</v>
      </c>
      <c r="AR45" s="45">
        <v>0</v>
      </c>
      <c r="AS45" s="45">
        <v>0</v>
      </c>
      <c r="AT45" s="45">
        <v>0</v>
      </c>
      <c r="AU45" s="10" t="s">
        <v>6052</v>
      </c>
      <c r="AV45" s="10" t="s">
        <v>6052</v>
      </c>
      <c r="AW45" s="10" t="s">
        <v>6052</v>
      </c>
      <c r="AX45" s="10" t="s">
        <v>6052</v>
      </c>
      <c r="AY45" s="10" t="s">
        <v>32253</v>
      </c>
      <c r="AZ45" s="44" t="s">
        <v>33116</v>
      </c>
      <c r="BA45" s="44" t="s">
        <v>31087</v>
      </c>
      <c r="BB45" s="44" t="s">
        <v>31591</v>
      </c>
      <c r="BC45" s="44" t="s">
        <v>6415</v>
      </c>
      <c r="BD45" s="44" t="s">
        <v>31707</v>
      </c>
      <c r="BE45" s="11">
        <v>1</v>
      </c>
      <c r="BF45" s="11">
        <v>0</v>
      </c>
      <c r="BG45" s="11">
        <v>0</v>
      </c>
      <c r="BH45" s="10" t="s">
        <v>31868</v>
      </c>
      <c r="BI45" s="11">
        <v>100</v>
      </c>
      <c r="BJ45" s="10" t="s">
        <v>33259</v>
      </c>
      <c r="BK45" s="11">
        <v>100</v>
      </c>
    </row>
    <row r="46" spans="1:63" x14ac:dyDescent="0.75">
      <c r="A46" t="s">
        <v>4794</v>
      </c>
      <c r="B46" t="s">
        <v>104</v>
      </c>
      <c r="C46" t="s">
        <v>105</v>
      </c>
      <c r="D46" t="s">
        <v>106</v>
      </c>
      <c r="E46" s="22" t="s">
        <v>24254</v>
      </c>
      <c r="F46" t="s">
        <v>4795</v>
      </c>
      <c r="G46" s="1" t="str">
        <f>HYPERLINK("https://homd.org/jbrowse/?data=homd_V11.02_phage_1.2%2FGCA_026013825.1&amp;loc=GCA_026013825.1%7CCP110230.1%3A1952110..1958901&amp;tracks=prokka,prokka_ncrna,ncbi,ncbi_ncrna,panggolin,cenote,genomad&amp;highlight=","Open JBrowse")</f>
        <v>Open JBrowse</v>
      </c>
      <c r="H46" s="10">
        <v>1955110</v>
      </c>
      <c r="I46" s="10">
        <v>1955901</v>
      </c>
      <c r="J46" s="10" t="s">
        <v>4804</v>
      </c>
      <c r="K46" s="10" t="s">
        <v>39</v>
      </c>
      <c r="L46" s="10" t="s">
        <v>123</v>
      </c>
      <c r="M46" s="10" t="s">
        <v>124</v>
      </c>
      <c r="N46" s="10" t="s">
        <v>42</v>
      </c>
      <c r="O46" s="10">
        <v>3</v>
      </c>
      <c r="P46" s="10" t="s">
        <v>42</v>
      </c>
      <c r="Q46" s="10" t="s">
        <v>43</v>
      </c>
      <c r="R46" s="10" t="s">
        <v>4797</v>
      </c>
      <c r="S46" s="10" t="s">
        <v>123</v>
      </c>
      <c r="T46" s="10" t="s">
        <v>42</v>
      </c>
      <c r="U46" s="10">
        <v>35</v>
      </c>
      <c r="V46" s="10">
        <v>261</v>
      </c>
      <c r="W46" s="10">
        <v>227</v>
      </c>
      <c r="X46" s="10" t="s">
        <v>45</v>
      </c>
      <c r="Y46" s="10" t="s">
        <v>4805</v>
      </c>
      <c r="Z46" s="10" t="s">
        <v>416</v>
      </c>
      <c r="AA46" s="10" t="s">
        <v>4806</v>
      </c>
      <c r="AB46" s="10"/>
      <c r="AC46" s="10"/>
      <c r="AD46" s="10"/>
      <c r="AE46" s="10"/>
      <c r="AF46" s="10"/>
      <c r="AG46" s="44"/>
      <c r="AH46" s="44"/>
      <c r="AI46" s="44" t="s">
        <v>6052</v>
      </c>
      <c r="AJ46" s="44" t="s">
        <v>6052</v>
      </c>
      <c r="AK46" s="44" t="s">
        <v>6052</v>
      </c>
      <c r="AL46" s="44" t="s">
        <v>6052</v>
      </c>
      <c r="AM46" s="44" t="s">
        <v>6052</v>
      </c>
      <c r="AN46" s="44" t="s">
        <v>32893</v>
      </c>
      <c r="AO46" s="45">
        <v>11</v>
      </c>
      <c r="AP46" s="45">
        <v>1</v>
      </c>
      <c r="AQ46" s="45">
        <v>0</v>
      </c>
      <c r="AR46" s="45">
        <v>0</v>
      </c>
      <c r="AS46" s="45">
        <v>0</v>
      </c>
      <c r="AT46" s="45">
        <v>0</v>
      </c>
      <c r="AU46" s="10" t="s">
        <v>6052</v>
      </c>
      <c r="AV46" s="10" t="s">
        <v>6052</v>
      </c>
      <c r="AW46" s="10" t="s">
        <v>6052</v>
      </c>
      <c r="AX46" s="10" t="s">
        <v>6052</v>
      </c>
      <c r="AY46" s="10" t="s">
        <v>32253</v>
      </c>
      <c r="AZ46" s="44" t="s">
        <v>33116</v>
      </c>
      <c r="BA46" s="44" t="s">
        <v>31068</v>
      </c>
      <c r="BB46" s="44" t="s">
        <v>31562</v>
      </c>
      <c r="BC46" s="44" t="s">
        <v>6415</v>
      </c>
      <c r="BD46" s="44" t="s">
        <v>31707</v>
      </c>
      <c r="BE46" s="11">
        <v>1</v>
      </c>
      <c r="BF46" s="11">
        <v>0</v>
      </c>
      <c r="BG46" s="11">
        <v>0</v>
      </c>
      <c r="BH46" s="10" t="s">
        <v>32107</v>
      </c>
      <c r="BI46" s="11">
        <v>100</v>
      </c>
      <c r="BJ46" s="10" t="s">
        <v>33246</v>
      </c>
      <c r="BK46" s="11">
        <v>100</v>
      </c>
    </row>
    <row r="47" spans="1:63" x14ac:dyDescent="0.75">
      <c r="A47" t="s">
        <v>4783</v>
      </c>
      <c r="B47" t="s">
        <v>104</v>
      </c>
      <c r="C47" t="s">
        <v>105</v>
      </c>
      <c r="D47" t="s">
        <v>106</v>
      </c>
      <c r="E47" s="22" t="s">
        <v>24252</v>
      </c>
      <c r="F47" t="s">
        <v>4784</v>
      </c>
      <c r="G47" s="1" t="str">
        <f>HYPERLINK("https://homd.org/jbrowse/?data=homd_V11.02_phage_1.2%2FGCA_026013805.1&amp;loc=GCA_026013805.1%7CCP110229.1%3A756017..762808&amp;tracks=prokka,prokka_ncrna,ncbi,ncbi_ncrna,panggolin,cenote,genomad&amp;highlight=","Open JBrowse")</f>
        <v>Open JBrowse</v>
      </c>
      <c r="H47" s="10">
        <v>759017</v>
      </c>
      <c r="I47" s="10">
        <v>759808</v>
      </c>
      <c r="J47" s="10" t="s">
        <v>4792</v>
      </c>
      <c r="K47" s="10" t="s">
        <v>39</v>
      </c>
      <c r="L47" s="10" t="s">
        <v>123</v>
      </c>
      <c r="M47" s="10" t="s">
        <v>124</v>
      </c>
      <c r="N47" s="10" t="s">
        <v>398</v>
      </c>
      <c r="O47" s="10">
        <v>3</v>
      </c>
      <c r="P47" s="10" t="s">
        <v>42</v>
      </c>
      <c r="Q47" s="10" t="s">
        <v>43</v>
      </c>
      <c r="R47" s="10" t="s">
        <v>4786</v>
      </c>
      <c r="S47" s="10" t="s">
        <v>123</v>
      </c>
      <c r="T47" s="10" t="s">
        <v>42</v>
      </c>
      <c r="U47" s="10">
        <v>35</v>
      </c>
      <c r="V47" s="10">
        <v>261</v>
      </c>
      <c r="W47" s="10">
        <v>227</v>
      </c>
      <c r="X47" s="10" t="s">
        <v>45</v>
      </c>
      <c r="Y47" s="10" t="s">
        <v>4793</v>
      </c>
      <c r="Z47" s="10" t="s">
        <v>292</v>
      </c>
      <c r="AA47" s="10" t="s">
        <v>841</v>
      </c>
      <c r="AB47" s="10"/>
      <c r="AC47" s="10"/>
      <c r="AD47" s="10"/>
      <c r="AE47" s="10"/>
      <c r="AF47" s="10"/>
      <c r="AG47" s="44"/>
      <c r="AH47" s="44"/>
      <c r="AI47" s="44" t="s">
        <v>6052</v>
      </c>
      <c r="AJ47" s="44" t="s">
        <v>6052</v>
      </c>
      <c r="AK47" s="44" t="s">
        <v>6052</v>
      </c>
      <c r="AL47" s="44" t="s">
        <v>6052</v>
      </c>
      <c r="AM47" s="44" t="s">
        <v>6052</v>
      </c>
      <c r="AN47" s="44" t="s">
        <v>32888</v>
      </c>
      <c r="AO47" s="45">
        <v>11</v>
      </c>
      <c r="AP47" s="45">
        <v>1</v>
      </c>
      <c r="AQ47" s="45">
        <v>0</v>
      </c>
      <c r="AR47" s="45">
        <v>0</v>
      </c>
      <c r="AS47" s="45">
        <v>0</v>
      </c>
      <c r="AT47" s="45">
        <v>0</v>
      </c>
      <c r="AU47" s="10" t="s">
        <v>6052</v>
      </c>
      <c r="AV47" s="10" t="s">
        <v>6052</v>
      </c>
      <c r="AW47" s="10" t="s">
        <v>6052</v>
      </c>
      <c r="AX47" s="10" t="s">
        <v>6052</v>
      </c>
      <c r="AY47" s="10" t="s">
        <v>32253</v>
      </c>
      <c r="AZ47" s="44" t="s">
        <v>33116</v>
      </c>
      <c r="BA47" s="44" t="s">
        <v>31067</v>
      </c>
      <c r="BB47" s="44" t="s">
        <v>31559</v>
      </c>
      <c r="BC47" s="44" t="s">
        <v>6415</v>
      </c>
      <c r="BD47" s="44" t="s">
        <v>31707</v>
      </c>
      <c r="BE47" s="11">
        <v>1</v>
      </c>
      <c r="BF47" s="11">
        <v>0</v>
      </c>
      <c r="BG47" s="11">
        <v>0</v>
      </c>
      <c r="BH47" s="10" t="s">
        <v>32112</v>
      </c>
      <c r="BI47" s="11">
        <v>100</v>
      </c>
      <c r="BJ47" s="10" t="s">
        <v>33245</v>
      </c>
      <c r="BK47" s="11">
        <v>100</v>
      </c>
    </row>
    <row r="48" spans="1:63" x14ac:dyDescent="0.75">
      <c r="A48" t="s">
        <v>4783</v>
      </c>
      <c r="B48" t="s">
        <v>104</v>
      </c>
      <c r="C48" t="s">
        <v>105</v>
      </c>
      <c r="D48" t="s">
        <v>106</v>
      </c>
      <c r="E48" s="22" t="s">
        <v>24252</v>
      </c>
      <c r="F48" t="s">
        <v>4784</v>
      </c>
      <c r="G48" s="1" t="str">
        <f>HYPERLINK("https://homd.org/jbrowse/?data=homd_V11.02_phage_1.2%2FGCA_026013805.1&amp;loc=GCA_026013805.1%7CCP110229.1%3A723591..730424&amp;tracks=prokka,prokka_ncrna,ncbi,ncbi_ncrna,panggolin,cenote,genomad&amp;highlight=","Open JBrowse")</f>
        <v>Open JBrowse</v>
      </c>
      <c r="H48" s="10">
        <v>726591</v>
      </c>
      <c r="I48" s="10">
        <v>727424</v>
      </c>
      <c r="J48" s="10" t="s">
        <v>4790</v>
      </c>
      <c r="K48" s="10" t="s">
        <v>39</v>
      </c>
      <c r="L48" s="10" t="s">
        <v>129</v>
      </c>
      <c r="M48" s="10" t="s">
        <v>130</v>
      </c>
      <c r="N48" s="10" t="s">
        <v>42</v>
      </c>
      <c r="O48" s="10">
        <v>3</v>
      </c>
      <c r="P48" s="10" t="s">
        <v>42</v>
      </c>
      <c r="Q48" s="10" t="s">
        <v>43</v>
      </c>
      <c r="R48" s="10" t="s">
        <v>4786</v>
      </c>
      <c r="S48" s="10" t="s">
        <v>129</v>
      </c>
      <c r="T48" s="10" t="s">
        <v>42</v>
      </c>
      <c r="U48" s="10">
        <v>43</v>
      </c>
      <c r="V48" s="10">
        <v>275</v>
      </c>
      <c r="W48" s="10">
        <v>233</v>
      </c>
      <c r="X48" s="10" t="s">
        <v>45</v>
      </c>
      <c r="Y48" s="10" t="s">
        <v>4791</v>
      </c>
      <c r="Z48" s="10" t="s">
        <v>932</v>
      </c>
      <c r="AA48" s="10" t="s">
        <v>417</v>
      </c>
      <c r="AB48" s="10"/>
      <c r="AC48" s="10"/>
      <c r="AD48" s="10"/>
      <c r="AE48" s="10"/>
      <c r="AF48" s="10"/>
      <c r="AG48" s="44"/>
      <c r="AH48" s="44"/>
      <c r="AI48" s="44" t="s">
        <v>6052</v>
      </c>
      <c r="AJ48" s="44" t="s">
        <v>6052</v>
      </c>
      <c r="AK48" s="44" t="s">
        <v>6052</v>
      </c>
      <c r="AL48" s="44" t="s">
        <v>6052</v>
      </c>
      <c r="AM48" s="44" t="s">
        <v>6052</v>
      </c>
      <c r="AN48" s="44" t="s">
        <v>32887</v>
      </c>
      <c r="AO48" s="45">
        <v>11</v>
      </c>
      <c r="AP48" s="45">
        <v>1</v>
      </c>
      <c r="AQ48" s="45">
        <v>0</v>
      </c>
      <c r="AR48" s="45">
        <v>0</v>
      </c>
      <c r="AS48" s="45">
        <v>0</v>
      </c>
      <c r="AT48" s="45">
        <v>0</v>
      </c>
      <c r="AU48" s="10" t="s">
        <v>6052</v>
      </c>
      <c r="AV48" s="10" t="s">
        <v>6052</v>
      </c>
      <c r="AW48" s="10" t="s">
        <v>6052</v>
      </c>
      <c r="AX48" s="10" t="s">
        <v>6052</v>
      </c>
      <c r="AY48" s="10" t="s">
        <v>32253</v>
      </c>
      <c r="AZ48" s="44" t="s">
        <v>33116</v>
      </c>
      <c r="BA48" s="44" t="s">
        <v>31067</v>
      </c>
      <c r="BB48" s="44" t="s">
        <v>31558</v>
      </c>
      <c r="BC48" s="44" t="s">
        <v>6415</v>
      </c>
      <c r="BD48" s="44" t="s">
        <v>31707</v>
      </c>
      <c r="BE48" s="11">
        <v>1</v>
      </c>
      <c r="BF48" s="11">
        <v>0</v>
      </c>
      <c r="BG48" s="11">
        <v>0</v>
      </c>
      <c r="BH48" s="10" t="s">
        <v>31834</v>
      </c>
      <c r="BI48" s="11">
        <v>100</v>
      </c>
      <c r="BJ48" s="10" t="s">
        <v>33244</v>
      </c>
      <c r="BK48" s="11">
        <v>100</v>
      </c>
    </row>
    <row r="49" spans="1:63" x14ac:dyDescent="0.75">
      <c r="A49" t="s">
        <v>4771</v>
      </c>
      <c r="B49" t="s">
        <v>104</v>
      </c>
      <c r="C49" t="s">
        <v>105</v>
      </c>
      <c r="D49" t="s">
        <v>106</v>
      </c>
      <c r="E49" s="22" t="s">
        <v>24250</v>
      </c>
      <c r="F49" t="s">
        <v>4772</v>
      </c>
      <c r="G49" s="1" t="str">
        <f>HYPERLINK("https://homd.org/jbrowse/?data=homd_V11.02_phage_1.2%2FGCA_026013785.1&amp;loc=GCA_026013785.1%7CCP110228.1%3A91436..98269&amp;tracks=prokka,prokka_ncrna,ncbi,ncbi_ncrna,panggolin,cenote,genomad&amp;highlight=","Open JBrowse")</f>
        <v>Open JBrowse</v>
      </c>
      <c r="H49" s="10">
        <v>94436</v>
      </c>
      <c r="I49" s="10">
        <v>95269</v>
      </c>
      <c r="J49" s="10" t="s">
        <v>4781</v>
      </c>
      <c r="K49" s="10" t="s">
        <v>39</v>
      </c>
      <c r="L49" s="10" t="s">
        <v>129</v>
      </c>
      <c r="M49" s="10" t="s">
        <v>130</v>
      </c>
      <c r="N49" s="10" t="s">
        <v>42</v>
      </c>
      <c r="O49" s="10">
        <v>3</v>
      </c>
      <c r="P49" s="10" t="s">
        <v>42</v>
      </c>
      <c r="Q49" s="10" t="s">
        <v>43</v>
      </c>
      <c r="R49" s="10" t="s">
        <v>4774</v>
      </c>
      <c r="S49" s="10" t="s">
        <v>129</v>
      </c>
      <c r="T49" s="10" t="s">
        <v>42</v>
      </c>
      <c r="U49" s="10">
        <v>43</v>
      </c>
      <c r="V49" s="10">
        <v>275</v>
      </c>
      <c r="W49" s="10">
        <v>233</v>
      </c>
      <c r="X49" s="10" t="s">
        <v>45</v>
      </c>
      <c r="Y49" s="10" t="s">
        <v>4782</v>
      </c>
      <c r="Z49" s="10" t="s">
        <v>47</v>
      </c>
      <c r="AA49" s="10" t="s">
        <v>133</v>
      </c>
      <c r="AB49" s="10"/>
      <c r="AC49" s="10"/>
      <c r="AD49" s="10"/>
      <c r="AE49" s="10"/>
      <c r="AF49" s="10"/>
      <c r="AG49" s="44"/>
      <c r="AH49" s="44"/>
      <c r="AI49" s="44" t="s">
        <v>6052</v>
      </c>
      <c r="AJ49" s="44" t="s">
        <v>6052</v>
      </c>
      <c r="AK49" s="44" t="s">
        <v>6052</v>
      </c>
      <c r="AL49" s="44" t="s">
        <v>6052</v>
      </c>
      <c r="AM49" s="44" t="s">
        <v>6052</v>
      </c>
      <c r="AN49" s="44" t="s">
        <v>32882</v>
      </c>
      <c r="AO49" s="45">
        <v>11</v>
      </c>
      <c r="AP49" s="45">
        <v>1</v>
      </c>
      <c r="AQ49" s="45">
        <v>0</v>
      </c>
      <c r="AR49" s="45">
        <v>0</v>
      </c>
      <c r="AS49" s="45">
        <v>0</v>
      </c>
      <c r="AT49" s="45">
        <v>0</v>
      </c>
      <c r="AU49" s="10" t="s">
        <v>6052</v>
      </c>
      <c r="AV49" s="10" t="s">
        <v>6052</v>
      </c>
      <c r="AW49" s="10" t="s">
        <v>6052</v>
      </c>
      <c r="AX49" s="10" t="s">
        <v>6052</v>
      </c>
      <c r="AY49" s="10" t="s">
        <v>32253</v>
      </c>
      <c r="AZ49" s="44" t="s">
        <v>33116</v>
      </c>
      <c r="BA49" s="44" t="s">
        <v>31066</v>
      </c>
      <c r="BB49" s="44" t="s">
        <v>31556</v>
      </c>
      <c r="BC49" s="44" t="s">
        <v>6415</v>
      </c>
      <c r="BD49" s="44" t="s">
        <v>31707</v>
      </c>
      <c r="BE49" s="11">
        <v>1</v>
      </c>
      <c r="BF49" s="11">
        <v>0</v>
      </c>
      <c r="BG49" s="11">
        <v>0</v>
      </c>
      <c r="BH49" s="10" t="s">
        <v>31871</v>
      </c>
      <c r="BI49" s="11">
        <v>100</v>
      </c>
      <c r="BJ49" s="10" t="s">
        <v>33243</v>
      </c>
      <c r="BK49" s="11">
        <v>100</v>
      </c>
    </row>
    <row r="50" spans="1:63" x14ac:dyDescent="0.75">
      <c r="A50" t="s">
        <v>4771</v>
      </c>
      <c r="B50" t="s">
        <v>104</v>
      </c>
      <c r="C50" t="s">
        <v>105</v>
      </c>
      <c r="D50" t="s">
        <v>106</v>
      </c>
      <c r="E50" s="22" t="s">
        <v>24250</v>
      </c>
      <c r="F50" t="s">
        <v>4772</v>
      </c>
      <c r="G50" s="1" t="str">
        <f>HYPERLINK("https://homd.org/jbrowse/?data=homd_V11.02_phage_1.2%2FGCA_026013785.1&amp;loc=GCA_026013785.1%7CCP110228.1%3A56298..63089&amp;tracks=prokka,prokka_ncrna,ncbi,ncbi_ncrna,panggolin,cenote,genomad&amp;highlight=","Open JBrowse")</f>
        <v>Open JBrowse</v>
      </c>
      <c r="H50" s="10">
        <v>59298</v>
      </c>
      <c r="I50" s="10">
        <v>60089</v>
      </c>
      <c r="J50" s="10" t="s">
        <v>4773</v>
      </c>
      <c r="K50" s="10" t="s">
        <v>39</v>
      </c>
      <c r="L50" s="10" t="s">
        <v>123</v>
      </c>
      <c r="M50" s="10" t="s">
        <v>124</v>
      </c>
      <c r="N50" s="10" t="s">
        <v>42</v>
      </c>
      <c r="O50" s="10">
        <v>3</v>
      </c>
      <c r="P50" s="10" t="s">
        <v>42</v>
      </c>
      <c r="Q50" s="10" t="s">
        <v>43</v>
      </c>
      <c r="R50" s="10" t="s">
        <v>4774</v>
      </c>
      <c r="S50" s="10" t="s">
        <v>123</v>
      </c>
      <c r="T50" s="10" t="s">
        <v>42</v>
      </c>
      <c r="U50" s="10">
        <v>35</v>
      </c>
      <c r="V50" s="10">
        <v>261</v>
      </c>
      <c r="W50" s="10">
        <v>227</v>
      </c>
      <c r="X50" s="10" t="s">
        <v>45</v>
      </c>
      <c r="Y50" s="10" t="s">
        <v>4775</v>
      </c>
      <c r="Z50" s="10" t="s">
        <v>645</v>
      </c>
      <c r="AA50" s="10" t="s">
        <v>4776</v>
      </c>
      <c r="AB50" s="10"/>
      <c r="AC50" s="10"/>
      <c r="AD50" s="10"/>
      <c r="AE50" s="10"/>
      <c r="AF50" s="10"/>
      <c r="AG50" s="44"/>
      <c r="AH50" s="44"/>
      <c r="AI50" s="44" t="s">
        <v>6052</v>
      </c>
      <c r="AJ50" s="44" t="s">
        <v>6052</v>
      </c>
      <c r="AK50" s="44" t="s">
        <v>6052</v>
      </c>
      <c r="AL50" s="44" t="s">
        <v>6052</v>
      </c>
      <c r="AM50" s="44" t="s">
        <v>6052</v>
      </c>
      <c r="AN50" s="44" t="s">
        <v>32881</v>
      </c>
      <c r="AO50" s="45">
        <v>11</v>
      </c>
      <c r="AP50" s="45">
        <v>1</v>
      </c>
      <c r="AQ50" s="45">
        <v>0</v>
      </c>
      <c r="AR50" s="45">
        <v>0</v>
      </c>
      <c r="AS50" s="45">
        <v>0</v>
      </c>
      <c r="AT50" s="45">
        <v>0</v>
      </c>
      <c r="AU50" s="10" t="s">
        <v>6052</v>
      </c>
      <c r="AV50" s="10" t="s">
        <v>6052</v>
      </c>
      <c r="AW50" s="10" t="s">
        <v>6052</v>
      </c>
      <c r="AX50" s="10" t="s">
        <v>6052</v>
      </c>
      <c r="AY50" s="10" t="s">
        <v>32253</v>
      </c>
      <c r="AZ50" s="44" t="s">
        <v>33116</v>
      </c>
      <c r="BA50" s="44" t="s">
        <v>31066</v>
      </c>
      <c r="BB50" s="44" t="s">
        <v>31555</v>
      </c>
      <c r="BC50" s="44" t="s">
        <v>6415</v>
      </c>
      <c r="BD50" s="44" t="s">
        <v>31707</v>
      </c>
      <c r="BE50" s="11">
        <v>1</v>
      </c>
      <c r="BF50" s="11">
        <v>0</v>
      </c>
      <c r="BG50" s="11">
        <v>0</v>
      </c>
      <c r="BH50" s="10" t="s">
        <v>32029</v>
      </c>
      <c r="BI50" s="11">
        <v>100</v>
      </c>
      <c r="BJ50" s="10" t="s">
        <v>33242</v>
      </c>
      <c r="BK50" s="11">
        <v>100</v>
      </c>
    </row>
    <row r="51" spans="1:63" x14ac:dyDescent="0.75">
      <c r="A51" t="s">
        <v>4074</v>
      </c>
      <c r="B51" t="s">
        <v>104</v>
      </c>
      <c r="C51" t="s">
        <v>2376</v>
      </c>
      <c r="D51" t="s">
        <v>2377</v>
      </c>
      <c r="E51" s="22" t="s">
        <v>22915</v>
      </c>
      <c r="F51" t="s">
        <v>4075</v>
      </c>
      <c r="G51" s="1" t="str">
        <f>HYPERLINK("https://homd.org/jbrowse/?data=homd_V11.02_phage_1.2%2FGCA_022819345.1&amp;loc=GCA_022819345.1%7CCP089288.1%3A196308..204086&amp;tracks=prokka,prokka_ncrna,ncbi,ncbi_ncrna,panggolin,cenote,genomad&amp;highlight=","Open JBrowse")</f>
        <v>Open JBrowse</v>
      </c>
      <c r="H51" s="10">
        <v>199308</v>
      </c>
      <c r="I51" s="10">
        <v>201086</v>
      </c>
      <c r="J51" s="10" t="s">
        <v>4081</v>
      </c>
      <c r="K51" s="10" t="s">
        <v>59</v>
      </c>
      <c r="L51" s="10" t="s">
        <v>2913</v>
      </c>
      <c r="M51" s="10" t="s">
        <v>2914</v>
      </c>
      <c r="N51" s="10" t="s">
        <v>42</v>
      </c>
      <c r="O51" s="10">
        <v>3</v>
      </c>
      <c r="P51" s="10" t="s">
        <v>42</v>
      </c>
      <c r="Q51" s="10" t="s">
        <v>59</v>
      </c>
      <c r="R51" s="10" t="s">
        <v>4077</v>
      </c>
      <c r="S51" s="10" t="s">
        <v>2913</v>
      </c>
      <c r="T51" s="10" t="s">
        <v>42</v>
      </c>
      <c r="U51" s="10">
        <v>58</v>
      </c>
      <c r="V51" s="10">
        <v>320</v>
      </c>
      <c r="W51" s="10">
        <v>263</v>
      </c>
      <c r="X51" s="10" t="s">
        <v>237</v>
      </c>
      <c r="Y51" s="10" t="s">
        <v>4078</v>
      </c>
      <c r="Z51" s="10" t="s">
        <v>1257</v>
      </c>
      <c r="AA51" s="10" t="s">
        <v>4079</v>
      </c>
      <c r="AB51" s="10" t="s">
        <v>4080</v>
      </c>
      <c r="AC51" s="10" t="s">
        <v>506</v>
      </c>
      <c r="AD51" s="10" t="s">
        <v>507</v>
      </c>
      <c r="AE51" s="10">
        <v>239</v>
      </c>
      <c r="AF51" s="10" t="s">
        <v>725</v>
      </c>
      <c r="AG51" s="44"/>
      <c r="AH51" s="44"/>
      <c r="AI51" s="44" t="s">
        <v>6052</v>
      </c>
      <c r="AJ51" s="44" t="s">
        <v>6052</v>
      </c>
      <c r="AK51" s="44" t="s">
        <v>6052</v>
      </c>
      <c r="AL51" s="44" t="s">
        <v>6052</v>
      </c>
      <c r="AM51" s="44" t="s">
        <v>6052</v>
      </c>
      <c r="AN51" s="44" t="s">
        <v>33039</v>
      </c>
      <c r="AO51" s="45">
        <v>11</v>
      </c>
      <c r="AP51" s="45">
        <v>1</v>
      </c>
      <c r="AQ51" s="45">
        <v>0</v>
      </c>
      <c r="AR51" s="45">
        <v>0</v>
      </c>
      <c r="AS51" s="45">
        <v>0</v>
      </c>
      <c r="AT51" s="45">
        <v>0</v>
      </c>
      <c r="AU51" s="10" t="s">
        <v>6052</v>
      </c>
      <c r="AV51" s="10" t="s">
        <v>6052</v>
      </c>
      <c r="AW51" s="10" t="s">
        <v>6052</v>
      </c>
      <c r="AX51" s="10" t="s">
        <v>6052</v>
      </c>
      <c r="AY51" s="10" t="s">
        <v>32253</v>
      </c>
      <c r="AZ51" s="44" t="s">
        <v>33117</v>
      </c>
      <c r="BA51" s="44" t="s">
        <v>31137</v>
      </c>
      <c r="BB51" s="44" t="s">
        <v>31659</v>
      </c>
      <c r="BC51" s="44" t="s">
        <v>10700</v>
      </c>
      <c r="BD51" s="44" t="s">
        <v>31711</v>
      </c>
      <c r="BE51" s="11">
        <v>1</v>
      </c>
      <c r="BF51" s="11">
        <v>0</v>
      </c>
      <c r="BG51" s="11">
        <v>0</v>
      </c>
      <c r="BH51" s="10" t="s">
        <v>32062</v>
      </c>
      <c r="BI51" s="11">
        <v>100</v>
      </c>
      <c r="BJ51" s="10" t="s">
        <v>33325</v>
      </c>
      <c r="BK51" s="11">
        <v>97</v>
      </c>
    </row>
    <row r="52" spans="1:63" x14ac:dyDescent="0.75">
      <c r="A52" t="s">
        <v>4074</v>
      </c>
      <c r="B52" t="s">
        <v>104</v>
      </c>
      <c r="C52" t="s">
        <v>2376</v>
      </c>
      <c r="D52" t="s">
        <v>2377</v>
      </c>
      <c r="E52" s="22" t="s">
        <v>22915</v>
      </c>
      <c r="F52" t="s">
        <v>4075</v>
      </c>
      <c r="G52" s="1" t="str">
        <f>HYPERLINK("https://homd.org/jbrowse/?data=homd_V11.02_phage_1.2%2FGCA_022819345.1&amp;loc=GCA_022819345.1%7CCP089288.1%3A194872..202119&amp;tracks=prokka,prokka_ncrna,ncbi,ncbi_ncrna,panggolin,cenote,genomad&amp;highlight=","Open JBrowse")</f>
        <v>Open JBrowse</v>
      </c>
      <c r="H52" s="10">
        <v>197872</v>
      </c>
      <c r="I52" s="10">
        <v>199119</v>
      </c>
      <c r="J52" s="10" t="s">
        <v>4076</v>
      </c>
      <c r="K52" s="10" t="s">
        <v>59</v>
      </c>
      <c r="L52" s="10" t="s">
        <v>2380</v>
      </c>
      <c r="M52" s="10" t="s">
        <v>2381</v>
      </c>
      <c r="N52" s="10" t="s">
        <v>42</v>
      </c>
      <c r="O52" s="10">
        <v>3</v>
      </c>
      <c r="P52" s="10" t="s">
        <v>42</v>
      </c>
      <c r="Q52" s="10" t="s">
        <v>59</v>
      </c>
      <c r="R52" s="10" t="s">
        <v>4077</v>
      </c>
      <c r="S52" s="10" t="s">
        <v>2380</v>
      </c>
      <c r="T52" s="10" t="s">
        <v>42</v>
      </c>
      <c r="U52" s="10">
        <v>59</v>
      </c>
      <c r="V52" s="10">
        <v>310</v>
      </c>
      <c r="W52" s="10">
        <v>252</v>
      </c>
      <c r="X52" s="10" t="s">
        <v>237</v>
      </c>
      <c r="Y52" s="10" t="s">
        <v>4078</v>
      </c>
      <c r="Z52" s="10" t="s">
        <v>1257</v>
      </c>
      <c r="AA52" s="10" t="s">
        <v>4079</v>
      </c>
      <c r="AB52" s="10" t="s">
        <v>4080</v>
      </c>
      <c r="AC52" s="10" t="s">
        <v>506</v>
      </c>
      <c r="AD52" s="10" t="s">
        <v>507</v>
      </c>
      <c r="AE52" s="10">
        <v>239</v>
      </c>
      <c r="AF52" s="10" t="s">
        <v>725</v>
      </c>
      <c r="AG52" s="44"/>
      <c r="AH52" s="44"/>
      <c r="AI52" s="44" t="s">
        <v>6052</v>
      </c>
      <c r="AJ52" s="44" t="s">
        <v>6052</v>
      </c>
      <c r="AK52" s="44" t="s">
        <v>6052</v>
      </c>
      <c r="AL52" s="44" t="s">
        <v>6052</v>
      </c>
      <c r="AM52" s="44" t="s">
        <v>6052</v>
      </c>
      <c r="AN52" s="44" t="s">
        <v>33040</v>
      </c>
      <c r="AO52" s="45">
        <v>11</v>
      </c>
      <c r="AP52" s="45">
        <v>1</v>
      </c>
      <c r="AQ52" s="45">
        <v>0</v>
      </c>
      <c r="AR52" s="45">
        <v>0</v>
      </c>
      <c r="AS52" s="45">
        <v>0</v>
      </c>
      <c r="AT52" s="45">
        <v>0</v>
      </c>
      <c r="AU52" s="10" t="s">
        <v>6052</v>
      </c>
      <c r="AV52" s="10" t="s">
        <v>6052</v>
      </c>
      <c r="AW52" s="10" t="s">
        <v>6052</v>
      </c>
      <c r="AX52" s="10" t="s">
        <v>6052</v>
      </c>
      <c r="AY52" s="10" t="s">
        <v>32253</v>
      </c>
      <c r="AZ52" s="44" t="s">
        <v>33117</v>
      </c>
      <c r="BA52" s="44" t="s">
        <v>31137</v>
      </c>
      <c r="BB52" s="44" t="s">
        <v>31660</v>
      </c>
      <c r="BC52" s="44" t="s">
        <v>10700</v>
      </c>
      <c r="BD52" s="44" t="s">
        <v>31711</v>
      </c>
      <c r="BE52" s="11">
        <v>1</v>
      </c>
      <c r="BF52" s="11">
        <v>0</v>
      </c>
      <c r="BG52" s="11">
        <v>0</v>
      </c>
      <c r="BH52" s="10" t="s">
        <v>31908</v>
      </c>
      <c r="BI52" s="11">
        <v>100</v>
      </c>
      <c r="BJ52" s="10" t="s">
        <v>33324</v>
      </c>
      <c r="BK52" s="11">
        <v>100</v>
      </c>
    </row>
    <row r="53" spans="1:63" x14ac:dyDescent="0.75">
      <c r="A53" t="s">
        <v>4082</v>
      </c>
      <c r="B53" t="s">
        <v>104</v>
      </c>
      <c r="C53" t="s">
        <v>2376</v>
      </c>
      <c r="D53" t="s">
        <v>2377</v>
      </c>
      <c r="E53" s="22" t="s">
        <v>22917</v>
      </c>
      <c r="F53" t="s">
        <v>4083</v>
      </c>
      <c r="G53" s="1" t="str">
        <f>HYPERLINK("https://homd.org/jbrowse/?data=homd_V11.02_phage_1.2%2FGCA_022819365.1&amp;loc=GCA_022819365.1%7CCP089289.1%3A18088..25281&amp;tracks=prokka,prokka_ncrna,ncbi,ncbi_ncrna,panggolin,cenote,genomad&amp;highlight=","Open JBrowse")</f>
        <v>Open JBrowse</v>
      </c>
      <c r="H53" s="10">
        <v>21088</v>
      </c>
      <c r="I53" s="10">
        <v>22281</v>
      </c>
      <c r="J53" s="10" t="s">
        <v>4089</v>
      </c>
      <c r="K53" s="10" t="s">
        <v>59</v>
      </c>
      <c r="L53" s="10" t="s">
        <v>4044</v>
      </c>
      <c r="M53" s="10" t="s">
        <v>4045</v>
      </c>
      <c r="N53" s="10" t="s">
        <v>42</v>
      </c>
      <c r="O53" s="10">
        <v>3</v>
      </c>
      <c r="P53" s="10" t="s">
        <v>42</v>
      </c>
      <c r="Q53" s="10" t="s">
        <v>59</v>
      </c>
      <c r="R53" s="10" t="s">
        <v>4085</v>
      </c>
      <c r="S53" s="10" t="s">
        <v>4044</v>
      </c>
      <c r="T53" s="10" t="s">
        <v>42</v>
      </c>
      <c r="U53" s="10">
        <v>41</v>
      </c>
      <c r="V53" s="10">
        <v>292</v>
      </c>
      <c r="W53" s="10">
        <v>252</v>
      </c>
      <c r="X53" s="10" t="s">
        <v>237</v>
      </c>
      <c r="Y53" s="10" t="s">
        <v>4086</v>
      </c>
      <c r="Z53" s="10" t="s">
        <v>368</v>
      </c>
      <c r="AA53" s="10" t="s">
        <v>4087</v>
      </c>
      <c r="AB53" s="10" t="s">
        <v>4088</v>
      </c>
      <c r="AC53" s="10" t="s">
        <v>506</v>
      </c>
      <c r="AD53" s="10" t="s">
        <v>507</v>
      </c>
      <c r="AE53" s="10">
        <v>245</v>
      </c>
      <c r="AF53" s="10" t="s">
        <v>725</v>
      </c>
      <c r="AG53" s="44"/>
      <c r="AH53" s="44"/>
      <c r="AI53" s="44" t="s">
        <v>6052</v>
      </c>
      <c r="AJ53" s="44" t="s">
        <v>6052</v>
      </c>
      <c r="AK53" s="44" t="s">
        <v>6052</v>
      </c>
      <c r="AL53" s="44" t="s">
        <v>6052</v>
      </c>
      <c r="AM53" s="44" t="s">
        <v>6052</v>
      </c>
      <c r="AN53" s="44" t="s">
        <v>33045</v>
      </c>
      <c r="AO53" s="45">
        <v>11</v>
      </c>
      <c r="AP53" s="45">
        <v>1</v>
      </c>
      <c r="AQ53" s="45">
        <v>0</v>
      </c>
      <c r="AR53" s="45">
        <v>0</v>
      </c>
      <c r="AS53" s="45">
        <v>0</v>
      </c>
      <c r="AT53" s="45">
        <v>0</v>
      </c>
      <c r="AU53" s="10" t="s">
        <v>6052</v>
      </c>
      <c r="AV53" s="10" t="s">
        <v>6052</v>
      </c>
      <c r="AW53" s="10" t="s">
        <v>6052</v>
      </c>
      <c r="AX53" s="10" t="s">
        <v>6052</v>
      </c>
      <c r="AY53" s="10" t="s">
        <v>32253</v>
      </c>
      <c r="AZ53" s="44" t="s">
        <v>33117</v>
      </c>
      <c r="BA53" s="44" t="s">
        <v>31140</v>
      </c>
      <c r="BB53" s="44" t="s">
        <v>31665</v>
      </c>
      <c r="BC53" s="44" t="s">
        <v>10700</v>
      </c>
      <c r="BD53" s="44" t="s">
        <v>31711</v>
      </c>
      <c r="BE53" s="11">
        <v>1</v>
      </c>
      <c r="BF53" s="11">
        <v>0</v>
      </c>
      <c r="BG53" s="11">
        <v>0</v>
      </c>
      <c r="BH53" s="10" t="s">
        <v>31892</v>
      </c>
      <c r="BI53" s="11">
        <v>100</v>
      </c>
      <c r="BJ53" s="10" t="s">
        <v>33327</v>
      </c>
      <c r="BK53" s="11">
        <v>100</v>
      </c>
    </row>
    <row r="54" spans="1:63" x14ac:dyDescent="0.75">
      <c r="A54" t="s">
        <v>4082</v>
      </c>
      <c r="B54" t="s">
        <v>104</v>
      </c>
      <c r="C54" t="s">
        <v>2376</v>
      </c>
      <c r="D54" t="s">
        <v>2377</v>
      </c>
      <c r="E54" s="22" t="s">
        <v>22917</v>
      </c>
      <c r="F54" t="s">
        <v>4083</v>
      </c>
      <c r="G54" s="1" t="str">
        <f>HYPERLINK("https://homd.org/jbrowse/?data=homd_V11.02_phage_1.2%2FGCA_022819365.1&amp;loc=GCA_022819365.1%7CCP089289.1%3A16187..23899&amp;tracks=prokka,prokka_ncrna,ncbi,ncbi_ncrna,panggolin,cenote,genomad&amp;highlight=","Open JBrowse")</f>
        <v>Open JBrowse</v>
      </c>
      <c r="H54" s="10">
        <v>19187</v>
      </c>
      <c r="I54" s="10">
        <v>20899</v>
      </c>
      <c r="J54" s="10" t="s">
        <v>4084</v>
      </c>
      <c r="K54" s="10" t="s">
        <v>59</v>
      </c>
      <c r="L54" s="10" t="s">
        <v>4051</v>
      </c>
      <c r="M54" s="10" t="s">
        <v>4052</v>
      </c>
      <c r="N54" s="10" t="s">
        <v>42</v>
      </c>
      <c r="O54" s="10">
        <v>3</v>
      </c>
      <c r="P54" s="10" t="s">
        <v>42</v>
      </c>
      <c r="Q54" s="10" t="s">
        <v>59</v>
      </c>
      <c r="R54" s="10" t="s">
        <v>4085</v>
      </c>
      <c r="S54" s="10" t="s">
        <v>4051</v>
      </c>
      <c r="T54" s="10" t="s">
        <v>42</v>
      </c>
      <c r="U54" s="10">
        <v>55</v>
      </c>
      <c r="V54" s="10">
        <v>308</v>
      </c>
      <c r="W54" s="10">
        <v>254</v>
      </c>
      <c r="X54" s="10" t="s">
        <v>237</v>
      </c>
      <c r="Y54" s="10" t="s">
        <v>4086</v>
      </c>
      <c r="Z54" s="10" t="s">
        <v>368</v>
      </c>
      <c r="AA54" s="10" t="s">
        <v>4087</v>
      </c>
      <c r="AB54" s="10" t="s">
        <v>4088</v>
      </c>
      <c r="AC54" s="10" t="s">
        <v>506</v>
      </c>
      <c r="AD54" s="10" t="s">
        <v>507</v>
      </c>
      <c r="AE54" s="10">
        <v>245</v>
      </c>
      <c r="AF54" s="10" t="s">
        <v>725</v>
      </c>
      <c r="AG54" s="44"/>
      <c r="AH54" s="44"/>
      <c r="AI54" s="44" t="s">
        <v>6052</v>
      </c>
      <c r="AJ54" s="44" t="s">
        <v>6052</v>
      </c>
      <c r="AK54" s="44" t="s">
        <v>6052</v>
      </c>
      <c r="AL54" s="44" t="s">
        <v>6052</v>
      </c>
      <c r="AM54" s="44" t="s">
        <v>6052</v>
      </c>
      <c r="AN54" s="44" t="s">
        <v>33046</v>
      </c>
      <c r="AO54" s="45">
        <v>11</v>
      </c>
      <c r="AP54" s="45">
        <v>1</v>
      </c>
      <c r="AQ54" s="45">
        <v>0</v>
      </c>
      <c r="AR54" s="45">
        <v>0</v>
      </c>
      <c r="AS54" s="45">
        <v>0</v>
      </c>
      <c r="AT54" s="45">
        <v>0</v>
      </c>
      <c r="AU54" s="10" t="s">
        <v>6052</v>
      </c>
      <c r="AV54" s="10" t="s">
        <v>6052</v>
      </c>
      <c r="AW54" s="10" t="s">
        <v>6052</v>
      </c>
      <c r="AX54" s="10" t="s">
        <v>6052</v>
      </c>
      <c r="AY54" s="10" t="s">
        <v>32253</v>
      </c>
      <c r="AZ54" s="44" t="s">
        <v>33117</v>
      </c>
      <c r="BA54" s="44" t="s">
        <v>31140</v>
      </c>
      <c r="BB54" s="44" t="s">
        <v>31666</v>
      </c>
      <c r="BC54" s="44" t="s">
        <v>10700</v>
      </c>
      <c r="BD54" s="44" t="s">
        <v>31711</v>
      </c>
      <c r="BE54" s="11">
        <v>1</v>
      </c>
      <c r="BF54" s="11">
        <v>0</v>
      </c>
      <c r="BG54" s="11">
        <v>0</v>
      </c>
      <c r="BH54" s="10" t="s">
        <v>31927</v>
      </c>
      <c r="BI54" s="11">
        <v>100</v>
      </c>
      <c r="BJ54" s="10" t="s">
        <v>33326</v>
      </c>
      <c r="BK54" s="11">
        <v>100</v>
      </c>
    </row>
    <row r="55" spans="1:63" x14ac:dyDescent="0.75">
      <c r="A55" t="s">
        <v>4090</v>
      </c>
      <c r="B55" t="s">
        <v>104</v>
      </c>
      <c r="C55" t="s">
        <v>2376</v>
      </c>
      <c r="D55" t="s">
        <v>2377</v>
      </c>
      <c r="E55" s="22" t="s">
        <v>22919</v>
      </c>
      <c r="F55" t="s">
        <v>4091</v>
      </c>
      <c r="G55" s="1" t="str">
        <f>HYPERLINK("https://homd.org/jbrowse/?data=homd_V11.02_phage_1.2%2FGCA_022819385.1&amp;loc=GCA_022819385.1%7CCP089290.1%3A87592..95310&amp;tracks=prokka,prokka_ncrna,ncbi,ncbi_ncrna,panggolin,cenote,genomad&amp;highlight=","Open JBrowse")</f>
        <v>Open JBrowse</v>
      </c>
      <c r="H55" s="10">
        <v>90592</v>
      </c>
      <c r="I55" s="10">
        <v>92310</v>
      </c>
      <c r="J55" s="10" t="s">
        <v>4097</v>
      </c>
      <c r="K55" s="10" t="s">
        <v>59</v>
      </c>
      <c r="L55" s="10" t="s">
        <v>4051</v>
      </c>
      <c r="M55" s="10" t="s">
        <v>4052</v>
      </c>
      <c r="N55" s="10" t="s">
        <v>42</v>
      </c>
      <c r="O55" s="10">
        <v>3</v>
      </c>
      <c r="P55" s="10" t="s">
        <v>42</v>
      </c>
      <c r="Q55" s="10" t="s">
        <v>59</v>
      </c>
      <c r="R55" s="10" t="s">
        <v>4093</v>
      </c>
      <c r="S55" s="10" t="s">
        <v>4051</v>
      </c>
      <c r="T55" s="10" t="s">
        <v>42</v>
      </c>
      <c r="U55" s="10">
        <v>55</v>
      </c>
      <c r="V55" s="10">
        <v>308</v>
      </c>
      <c r="W55" s="10">
        <v>254</v>
      </c>
      <c r="X55" s="10" t="s">
        <v>237</v>
      </c>
      <c r="Y55" s="10" t="s">
        <v>4094</v>
      </c>
      <c r="Z55" s="10" t="s">
        <v>645</v>
      </c>
      <c r="AA55" s="10" t="s">
        <v>4095</v>
      </c>
      <c r="AB55" s="10" t="s">
        <v>4096</v>
      </c>
      <c r="AC55" s="10" t="s">
        <v>506</v>
      </c>
      <c r="AD55" s="10" t="s">
        <v>507</v>
      </c>
      <c r="AE55" s="10">
        <v>262</v>
      </c>
      <c r="AF55" s="10" t="s">
        <v>725</v>
      </c>
      <c r="AG55" s="44"/>
      <c r="AH55" s="44"/>
      <c r="AI55" s="44" t="s">
        <v>6052</v>
      </c>
      <c r="AJ55" s="44" t="s">
        <v>6052</v>
      </c>
      <c r="AK55" s="44" t="s">
        <v>6052</v>
      </c>
      <c r="AL55" s="44" t="s">
        <v>6052</v>
      </c>
      <c r="AM55" s="44" t="s">
        <v>6052</v>
      </c>
      <c r="AN55" s="44" t="s">
        <v>33034</v>
      </c>
      <c r="AO55" s="45">
        <v>11</v>
      </c>
      <c r="AP55" s="45">
        <v>1</v>
      </c>
      <c r="AQ55" s="45">
        <v>0</v>
      </c>
      <c r="AR55" s="45">
        <v>0</v>
      </c>
      <c r="AS55" s="45">
        <v>0</v>
      </c>
      <c r="AT55" s="45">
        <v>0</v>
      </c>
      <c r="AU55" s="10" t="s">
        <v>6052</v>
      </c>
      <c r="AV55" s="10" t="s">
        <v>6052</v>
      </c>
      <c r="AW55" s="10" t="s">
        <v>6052</v>
      </c>
      <c r="AX55" s="10" t="s">
        <v>6052</v>
      </c>
      <c r="AY55" s="10" t="s">
        <v>32253</v>
      </c>
      <c r="AZ55" s="44" t="s">
        <v>33117</v>
      </c>
      <c r="BA55" s="44" t="s">
        <v>31134</v>
      </c>
      <c r="BB55" s="44" t="s">
        <v>31654</v>
      </c>
      <c r="BC55" s="44" t="s">
        <v>10700</v>
      </c>
      <c r="BD55" s="44" t="s">
        <v>31711</v>
      </c>
      <c r="BE55" s="11">
        <v>1</v>
      </c>
      <c r="BF55" s="11">
        <v>0</v>
      </c>
      <c r="BG55" s="11">
        <v>0</v>
      </c>
      <c r="BH55" s="10" t="s">
        <v>31896</v>
      </c>
      <c r="BI55" s="11">
        <v>100</v>
      </c>
      <c r="BJ55" s="10" t="s">
        <v>33329</v>
      </c>
      <c r="BK55" s="11">
        <v>96.9</v>
      </c>
    </row>
    <row r="56" spans="1:63" x14ac:dyDescent="0.75">
      <c r="A56" t="s">
        <v>4090</v>
      </c>
      <c r="B56" t="s">
        <v>104</v>
      </c>
      <c r="C56" t="s">
        <v>2376</v>
      </c>
      <c r="D56" t="s">
        <v>2377</v>
      </c>
      <c r="E56" s="22" t="s">
        <v>22919</v>
      </c>
      <c r="F56" t="s">
        <v>4091</v>
      </c>
      <c r="G56" s="1" t="str">
        <f>HYPERLINK("https://homd.org/jbrowse/?data=homd_V11.02_phage_1.2%2FGCA_022819385.1&amp;loc=GCA_022819385.1%7CCP089290.1%3A86211..93404&amp;tracks=prokka,prokka_ncrna,ncbi,ncbi_ncrna,panggolin,cenote,genomad&amp;highlight=","Open JBrowse")</f>
        <v>Open JBrowse</v>
      </c>
      <c r="H56" s="10">
        <v>89211</v>
      </c>
      <c r="I56" s="10">
        <v>90404</v>
      </c>
      <c r="J56" s="10" t="s">
        <v>4092</v>
      </c>
      <c r="K56" s="10" t="s">
        <v>59</v>
      </c>
      <c r="L56" s="10" t="s">
        <v>4044</v>
      </c>
      <c r="M56" s="10" t="s">
        <v>4045</v>
      </c>
      <c r="N56" s="10" t="s">
        <v>42</v>
      </c>
      <c r="O56" s="10">
        <v>3</v>
      </c>
      <c r="P56" s="10" t="s">
        <v>42</v>
      </c>
      <c r="Q56" s="10" t="s">
        <v>59</v>
      </c>
      <c r="R56" s="10" t="s">
        <v>4093</v>
      </c>
      <c r="S56" s="10" t="s">
        <v>4044</v>
      </c>
      <c r="T56" s="10" t="s">
        <v>42</v>
      </c>
      <c r="U56" s="10">
        <v>41</v>
      </c>
      <c r="V56" s="10">
        <v>292</v>
      </c>
      <c r="W56" s="10">
        <v>252</v>
      </c>
      <c r="X56" s="10" t="s">
        <v>237</v>
      </c>
      <c r="Y56" s="10" t="s">
        <v>4094</v>
      </c>
      <c r="Z56" s="10" t="s">
        <v>645</v>
      </c>
      <c r="AA56" s="10" t="s">
        <v>4095</v>
      </c>
      <c r="AB56" s="10" t="s">
        <v>4096</v>
      </c>
      <c r="AC56" s="10" t="s">
        <v>506</v>
      </c>
      <c r="AD56" s="10" t="s">
        <v>507</v>
      </c>
      <c r="AE56" s="10">
        <v>262</v>
      </c>
      <c r="AF56" s="10" t="s">
        <v>725</v>
      </c>
      <c r="AG56" s="44"/>
      <c r="AH56" s="44"/>
      <c r="AI56" s="44" t="s">
        <v>6052</v>
      </c>
      <c r="AJ56" s="44" t="s">
        <v>6052</v>
      </c>
      <c r="AK56" s="44" t="s">
        <v>6052</v>
      </c>
      <c r="AL56" s="44" t="s">
        <v>6052</v>
      </c>
      <c r="AM56" s="44" t="s">
        <v>6052</v>
      </c>
      <c r="AN56" s="44" t="s">
        <v>33033</v>
      </c>
      <c r="AO56" s="45">
        <v>11</v>
      </c>
      <c r="AP56" s="45">
        <v>1</v>
      </c>
      <c r="AQ56" s="45">
        <v>0</v>
      </c>
      <c r="AR56" s="45">
        <v>0</v>
      </c>
      <c r="AS56" s="45">
        <v>0</v>
      </c>
      <c r="AT56" s="45">
        <v>0</v>
      </c>
      <c r="AU56" s="10" t="s">
        <v>6052</v>
      </c>
      <c r="AV56" s="10" t="s">
        <v>6052</v>
      </c>
      <c r="AW56" s="10" t="s">
        <v>6052</v>
      </c>
      <c r="AX56" s="10" t="s">
        <v>6052</v>
      </c>
      <c r="AY56" s="10" t="s">
        <v>32253</v>
      </c>
      <c r="AZ56" s="44" t="s">
        <v>33117</v>
      </c>
      <c r="BA56" s="44" t="s">
        <v>31134</v>
      </c>
      <c r="BB56" s="44" t="s">
        <v>31653</v>
      </c>
      <c r="BC56" s="44" t="s">
        <v>10700</v>
      </c>
      <c r="BD56" s="44" t="s">
        <v>31711</v>
      </c>
      <c r="BE56" s="11">
        <v>1</v>
      </c>
      <c r="BF56" s="11">
        <v>0</v>
      </c>
      <c r="BG56" s="11">
        <v>0</v>
      </c>
      <c r="BH56" s="10" t="s">
        <v>31899</v>
      </c>
      <c r="BI56" s="11">
        <v>100</v>
      </c>
      <c r="BJ56" s="10" t="s">
        <v>33328</v>
      </c>
      <c r="BK56" s="11">
        <v>100</v>
      </c>
    </row>
    <row r="57" spans="1:63" x14ac:dyDescent="0.75">
      <c r="A57" t="s">
        <v>4041</v>
      </c>
      <c r="B57" t="s">
        <v>104</v>
      </c>
      <c r="C57" t="s">
        <v>2376</v>
      </c>
      <c r="D57" t="s">
        <v>2377</v>
      </c>
      <c r="E57" s="22" t="s">
        <v>21953</v>
      </c>
      <c r="F57" t="s">
        <v>4042</v>
      </c>
      <c r="G57" s="1" t="str">
        <f>HYPERLINK("https://homd.org/jbrowse/?data=homd_V11.02_phage_1.2%2FGCA_021222645.1&amp;loc=GCA_021222645.1%7CCP089520.1%3A593156..600922&amp;tracks=prokka,prokka_ncrna,ncbi,ncbi_ncrna,panggolin,cenote,genomad&amp;highlight=","Open JBrowse")</f>
        <v>Open JBrowse</v>
      </c>
      <c r="H57" s="10">
        <v>596156</v>
      </c>
      <c r="I57" s="10">
        <v>597922</v>
      </c>
      <c r="J57" s="10" t="s">
        <v>4050</v>
      </c>
      <c r="K57" s="10" t="s">
        <v>59</v>
      </c>
      <c r="L57" s="10" t="s">
        <v>4051</v>
      </c>
      <c r="M57" s="10" t="s">
        <v>4052</v>
      </c>
      <c r="N57" s="10" t="s">
        <v>42</v>
      </c>
      <c r="O57" s="10">
        <v>3</v>
      </c>
      <c r="P57" s="10" t="s">
        <v>42</v>
      </c>
      <c r="Q57" s="10" t="s">
        <v>59</v>
      </c>
      <c r="R57" s="10" t="s">
        <v>4046</v>
      </c>
      <c r="S57" s="10" t="s">
        <v>4051</v>
      </c>
      <c r="T57" s="10" t="s">
        <v>42</v>
      </c>
      <c r="U57" s="10">
        <v>55</v>
      </c>
      <c r="V57" s="10">
        <v>308</v>
      </c>
      <c r="W57" s="10">
        <v>254</v>
      </c>
      <c r="X57" s="10" t="s">
        <v>237</v>
      </c>
      <c r="Y57" s="10" t="s">
        <v>4047</v>
      </c>
      <c r="Z57" s="10" t="s">
        <v>302</v>
      </c>
      <c r="AA57" s="10" t="s">
        <v>4048</v>
      </c>
      <c r="AB57" s="10" t="s">
        <v>4049</v>
      </c>
      <c r="AC57" s="10" t="s">
        <v>506</v>
      </c>
      <c r="AD57" s="10" t="s">
        <v>507</v>
      </c>
      <c r="AE57" s="10">
        <v>259</v>
      </c>
      <c r="AF57" s="10" t="s">
        <v>725</v>
      </c>
      <c r="AG57" s="44"/>
      <c r="AH57" s="44"/>
      <c r="AI57" s="44" t="s">
        <v>6052</v>
      </c>
      <c r="AJ57" s="44" t="s">
        <v>6052</v>
      </c>
      <c r="AK57" s="44" t="s">
        <v>6052</v>
      </c>
      <c r="AL57" s="44" t="s">
        <v>6052</v>
      </c>
      <c r="AM57" s="44" t="s">
        <v>6052</v>
      </c>
      <c r="AN57" s="44" t="s">
        <v>32875</v>
      </c>
      <c r="AO57" s="45">
        <v>11</v>
      </c>
      <c r="AP57" s="45">
        <v>1</v>
      </c>
      <c r="AQ57" s="45">
        <v>0</v>
      </c>
      <c r="AR57" s="45">
        <v>0</v>
      </c>
      <c r="AS57" s="45">
        <v>0</v>
      </c>
      <c r="AT57" s="45">
        <v>0</v>
      </c>
      <c r="AU57" s="10" t="s">
        <v>6052</v>
      </c>
      <c r="AV57" s="10" t="s">
        <v>6052</v>
      </c>
      <c r="AW57" s="10" t="s">
        <v>6052</v>
      </c>
      <c r="AX57" s="10" t="s">
        <v>6052</v>
      </c>
      <c r="AY57" s="10" t="s">
        <v>32253</v>
      </c>
      <c r="AZ57" s="44" t="s">
        <v>33117</v>
      </c>
      <c r="BA57" s="44" t="s">
        <v>31063</v>
      </c>
      <c r="BB57" s="44" t="s">
        <v>31551</v>
      </c>
      <c r="BC57" s="44" t="s">
        <v>10700</v>
      </c>
      <c r="BD57" s="44" t="s">
        <v>31711</v>
      </c>
      <c r="BE57" s="11">
        <v>1</v>
      </c>
      <c r="BF57" s="11">
        <v>0</v>
      </c>
      <c r="BG57" s="11">
        <v>0</v>
      </c>
      <c r="BH57" s="10" t="s">
        <v>31872</v>
      </c>
      <c r="BI57" s="11">
        <v>100</v>
      </c>
      <c r="BJ57" s="10" t="s">
        <v>33331</v>
      </c>
      <c r="BK57" s="11">
        <v>100</v>
      </c>
    </row>
    <row r="58" spans="1:63" x14ac:dyDescent="0.75">
      <c r="A58" t="s">
        <v>4041</v>
      </c>
      <c r="B58" t="s">
        <v>104</v>
      </c>
      <c r="C58" t="s">
        <v>2376</v>
      </c>
      <c r="D58" t="s">
        <v>2377</v>
      </c>
      <c r="E58" s="22" t="s">
        <v>21953</v>
      </c>
      <c r="F58" t="s">
        <v>4042</v>
      </c>
      <c r="G58" s="1" t="str">
        <f>HYPERLINK("https://homd.org/jbrowse/?data=homd_V11.02_phage_1.2%2FGCA_021222645.1&amp;loc=GCA_021222645.1%7CCP089520.1%3A591775..598968&amp;tracks=prokka,prokka_ncrna,ncbi,ncbi_ncrna,panggolin,cenote,genomad&amp;highlight=","Open JBrowse")</f>
        <v>Open JBrowse</v>
      </c>
      <c r="H58" s="10">
        <v>594775</v>
      </c>
      <c r="I58" s="10">
        <v>595968</v>
      </c>
      <c r="J58" s="10" t="s">
        <v>4043</v>
      </c>
      <c r="K58" s="10" t="s">
        <v>59</v>
      </c>
      <c r="L58" s="10" t="s">
        <v>4044</v>
      </c>
      <c r="M58" s="10" t="s">
        <v>4045</v>
      </c>
      <c r="N58" s="10" t="s">
        <v>42</v>
      </c>
      <c r="O58" s="10">
        <v>3</v>
      </c>
      <c r="P58" s="10" t="s">
        <v>42</v>
      </c>
      <c r="Q58" s="10" t="s">
        <v>59</v>
      </c>
      <c r="R58" s="10" t="s">
        <v>4046</v>
      </c>
      <c r="S58" s="10" t="s">
        <v>4044</v>
      </c>
      <c r="T58" s="10" t="s">
        <v>42</v>
      </c>
      <c r="U58" s="10">
        <v>41</v>
      </c>
      <c r="V58" s="10">
        <v>292</v>
      </c>
      <c r="W58" s="10">
        <v>252</v>
      </c>
      <c r="X58" s="10" t="s">
        <v>237</v>
      </c>
      <c r="Y58" s="10" t="s">
        <v>4047</v>
      </c>
      <c r="Z58" s="10" t="s">
        <v>302</v>
      </c>
      <c r="AA58" s="10" t="s">
        <v>4048</v>
      </c>
      <c r="AB58" s="10" t="s">
        <v>4049</v>
      </c>
      <c r="AC58" s="10" t="s">
        <v>506</v>
      </c>
      <c r="AD58" s="10" t="s">
        <v>507</v>
      </c>
      <c r="AE58" s="10">
        <v>259</v>
      </c>
      <c r="AF58" s="10" t="s">
        <v>725</v>
      </c>
      <c r="AG58" s="44"/>
      <c r="AH58" s="44"/>
      <c r="AI58" s="44" t="s">
        <v>6052</v>
      </c>
      <c r="AJ58" s="44" t="s">
        <v>6052</v>
      </c>
      <c r="AK58" s="44" t="s">
        <v>6052</v>
      </c>
      <c r="AL58" s="44" t="s">
        <v>6052</v>
      </c>
      <c r="AM58" s="44" t="s">
        <v>6052</v>
      </c>
      <c r="AN58" s="44" t="s">
        <v>32874</v>
      </c>
      <c r="AO58" s="45">
        <v>11</v>
      </c>
      <c r="AP58" s="45">
        <v>1</v>
      </c>
      <c r="AQ58" s="45">
        <v>0</v>
      </c>
      <c r="AR58" s="45">
        <v>0</v>
      </c>
      <c r="AS58" s="45">
        <v>0</v>
      </c>
      <c r="AT58" s="45">
        <v>0</v>
      </c>
      <c r="AU58" s="10" t="s">
        <v>6052</v>
      </c>
      <c r="AV58" s="10" t="s">
        <v>6052</v>
      </c>
      <c r="AW58" s="10" t="s">
        <v>6052</v>
      </c>
      <c r="AX58" s="10" t="s">
        <v>6052</v>
      </c>
      <c r="AY58" s="10" t="s">
        <v>32253</v>
      </c>
      <c r="AZ58" s="44" t="s">
        <v>33117</v>
      </c>
      <c r="BA58" s="44" t="s">
        <v>31063</v>
      </c>
      <c r="BB58" s="44" t="s">
        <v>31550</v>
      </c>
      <c r="BC58" s="44" t="s">
        <v>10700</v>
      </c>
      <c r="BD58" s="44" t="s">
        <v>31711</v>
      </c>
      <c r="BE58" s="11">
        <v>1</v>
      </c>
      <c r="BF58" s="11">
        <v>0</v>
      </c>
      <c r="BG58" s="11">
        <v>0</v>
      </c>
      <c r="BH58" s="10" t="s">
        <v>31885</v>
      </c>
      <c r="BI58" s="11">
        <v>100</v>
      </c>
      <c r="BJ58" s="10" t="s">
        <v>33330</v>
      </c>
      <c r="BK58" s="11">
        <v>100</v>
      </c>
    </row>
    <row r="59" spans="1:63" x14ac:dyDescent="0.75">
      <c r="A59" t="s">
        <v>4026</v>
      </c>
      <c r="B59" t="s">
        <v>104</v>
      </c>
      <c r="C59" t="s">
        <v>105</v>
      </c>
      <c r="D59" t="s">
        <v>106</v>
      </c>
      <c r="E59" s="22" t="s">
        <v>21872</v>
      </c>
      <c r="F59" t="s">
        <v>4027</v>
      </c>
      <c r="G59" s="1" t="str">
        <f>HYPERLINK("https://homd.org/jbrowse/?data=homd_V11.02_phage_1.2%2FGCA_020736165.1&amp;loc=GCA_020736165.1%7CCP085961.1%3A1278567..1285394&amp;tracks=prokka,prokka_ncrna,ncbi,ncbi_ncrna,panggolin,cenote,genomad&amp;highlight=","Open JBrowse")</f>
        <v>Open JBrowse</v>
      </c>
      <c r="H59" s="10">
        <v>1281567</v>
      </c>
      <c r="I59" s="10">
        <v>1282394</v>
      </c>
      <c r="J59" s="10" t="s">
        <v>4031</v>
      </c>
      <c r="K59" s="10" t="s">
        <v>39</v>
      </c>
      <c r="L59" s="10" t="s">
        <v>413</v>
      </c>
      <c r="M59" s="10" t="s">
        <v>414</v>
      </c>
      <c r="N59" s="10" t="s">
        <v>42</v>
      </c>
      <c r="O59" s="10">
        <v>3</v>
      </c>
      <c r="P59" s="10" t="s">
        <v>42</v>
      </c>
      <c r="Q59" s="10" t="s">
        <v>43</v>
      </c>
      <c r="R59" s="10" t="s">
        <v>4029</v>
      </c>
      <c r="S59" s="10" t="s">
        <v>413</v>
      </c>
      <c r="T59" s="10" t="s">
        <v>42</v>
      </c>
      <c r="U59" s="10">
        <v>43</v>
      </c>
      <c r="V59" s="10">
        <v>273</v>
      </c>
      <c r="W59" s="10">
        <v>231</v>
      </c>
      <c r="X59" s="10" t="s">
        <v>45</v>
      </c>
      <c r="Y59" s="10" t="s">
        <v>4032</v>
      </c>
      <c r="Z59" s="10" t="s">
        <v>97</v>
      </c>
      <c r="AA59" s="10" t="s">
        <v>417</v>
      </c>
      <c r="AB59" s="10"/>
      <c r="AC59" s="10"/>
      <c r="AD59" s="10"/>
      <c r="AE59" s="10"/>
      <c r="AF59" s="10"/>
      <c r="AG59" s="44"/>
      <c r="AH59" s="44"/>
      <c r="AI59" s="44" t="s">
        <v>6052</v>
      </c>
      <c r="AJ59" s="44" t="s">
        <v>6052</v>
      </c>
      <c r="AK59" s="44" t="s">
        <v>6052</v>
      </c>
      <c r="AL59" s="44" t="s">
        <v>6052</v>
      </c>
      <c r="AM59" s="44" t="s">
        <v>6052</v>
      </c>
      <c r="AN59" s="44" t="s">
        <v>32782</v>
      </c>
      <c r="AO59" s="45">
        <v>11</v>
      </c>
      <c r="AP59" s="45">
        <v>1</v>
      </c>
      <c r="AQ59" s="45">
        <v>0</v>
      </c>
      <c r="AR59" s="45">
        <v>0</v>
      </c>
      <c r="AS59" s="45">
        <v>0</v>
      </c>
      <c r="AT59" s="45">
        <v>0</v>
      </c>
      <c r="AU59" s="10" t="s">
        <v>6052</v>
      </c>
      <c r="AV59" s="10" t="s">
        <v>6052</v>
      </c>
      <c r="AW59" s="10" t="s">
        <v>6052</v>
      </c>
      <c r="AX59" s="10" t="s">
        <v>6052</v>
      </c>
      <c r="AY59" s="10" t="s">
        <v>32253</v>
      </c>
      <c r="AZ59" s="44" t="s">
        <v>33116</v>
      </c>
      <c r="BA59" s="44" t="s">
        <v>31009</v>
      </c>
      <c r="BB59" s="44" t="s">
        <v>31480</v>
      </c>
      <c r="BC59" s="44" t="s">
        <v>6415</v>
      </c>
      <c r="BD59" s="44" t="s">
        <v>31707</v>
      </c>
      <c r="BE59" s="11">
        <v>1</v>
      </c>
      <c r="BF59" s="11">
        <v>0</v>
      </c>
      <c r="BG59" s="11">
        <v>0</v>
      </c>
      <c r="BH59" s="10" t="s">
        <v>31826</v>
      </c>
      <c r="BI59" s="11">
        <v>100</v>
      </c>
      <c r="BJ59" s="10" t="s">
        <v>33241</v>
      </c>
      <c r="BK59" s="11">
        <v>100</v>
      </c>
    </row>
    <row r="60" spans="1:63" x14ac:dyDescent="0.75">
      <c r="A60" t="s">
        <v>4026</v>
      </c>
      <c r="B60" t="s">
        <v>104</v>
      </c>
      <c r="C60" t="s">
        <v>105</v>
      </c>
      <c r="D60" t="s">
        <v>106</v>
      </c>
      <c r="E60" s="22" t="s">
        <v>21872</v>
      </c>
      <c r="F60" t="s">
        <v>4027</v>
      </c>
      <c r="G60" s="1" t="str">
        <f>HYPERLINK("https://homd.org/jbrowse/?data=homd_V11.02_phage_1.2%2FGCA_020736165.1&amp;loc=GCA_020736165.1%7CCP085961.1%3A1274089..1280874&amp;tracks=prokka,prokka_ncrna,ncbi,ncbi_ncrna,panggolin,cenote,genomad&amp;highlight=","Open JBrowse")</f>
        <v>Open JBrowse</v>
      </c>
      <c r="H60" s="10">
        <v>1277089</v>
      </c>
      <c r="I60" s="10">
        <v>1277874</v>
      </c>
      <c r="J60" s="10" t="s">
        <v>4028</v>
      </c>
      <c r="K60" s="10" t="s">
        <v>39</v>
      </c>
      <c r="L60" s="10" t="s">
        <v>406</v>
      </c>
      <c r="M60" s="10" t="s">
        <v>407</v>
      </c>
      <c r="N60" s="10" t="s">
        <v>42</v>
      </c>
      <c r="O60" s="10">
        <v>3</v>
      </c>
      <c r="P60" s="10" t="s">
        <v>42</v>
      </c>
      <c r="Q60" s="10" t="s">
        <v>43</v>
      </c>
      <c r="R60" s="10" t="s">
        <v>4029</v>
      </c>
      <c r="S60" s="10" t="s">
        <v>406</v>
      </c>
      <c r="T60" s="10" t="s">
        <v>42</v>
      </c>
      <c r="U60" s="10">
        <v>33</v>
      </c>
      <c r="V60" s="10">
        <v>259</v>
      </c>
      <c r="W60" s="10">
        <v>227</v>
      </c>
      <c r="X60" s="10" t="s">
        <v>45</v>
      </c>
      <c r="Y60" s="10" t="s">
        <v>4030</v>
      </c>
      <c r="Z60" s="10" t="s">
        <v>904</v>
      </c>
      <c r="AA60" s="10" t="s">
        <v>411</v>
      </c>
      <c r="AB60" s="10"/>
      <c r="AC60" s="10"/>
      <c r="AD60" s="10"/>
      <c r="AE60" s="10"/>
      <c r="AF60" s="10"/>
      <c r="AG60" s="44"/>
      <c r="AH60" s="44"/>
      <c r="AI60" s="44" t="s">
        <v>6052</v>
      </c>
      <c r="AJ60" s="44" t="s">
        <v>6052</v>
      </c>
      <c r="AK60" s="44" t="s">
        <v>6052</v>
      </c>
      <c r="AL60" s="44" t="s">
        <v>6052</v>
      </c>
      <c r="AM60" s="44" t="s">
        <v>6052</v>
      </c>
      <c r="AN60" s="44" t="s">
        <v>32781</v>
      </c>
      <c r="AO60" s="45">
        <v>11</v>
      </c>
      <c r="AP60" s="45">
        <v>1</v>
      </c>
      <c r="AQ60" s="45">
        <v>0</v>
      </c>
      <c r="AR60" s="45">
        <v>0</v>
      </c>
      <c r="AS60" s="45">
        <v>0</v>
      </c>
      <c r="AT60" s="45">
        <v>0</v>
      </c>
      <c r="AU60" s="10" t="s">
        <v>6052</v>
      </c>
      <c r="AV60" s="10" t="s">
        <v>6052</v>
      </c>
      <c r="AW60" s="10" t="s">
        <v>6052</v>
      </c>
      <c r="AX60" s="10" t="s">
        <v>6052</v>
      </c>
      <c r="AY60" s="10" t="s">
        <v>32253</v>
      </c>
      <c r="AZ60" s="44" t="s">
        <v>33116</v>
      </c>
      <c r="BA60" s="44" t="s">
        <v>31009</v>
      </c>
      <c r="BB60" s="44" t="s">
        <v>31479</v>
      </c>
      <c r="BC60" s="44" t="s">
        <v>6415</v>
      </c>
      <c r="BD60" s="44" t="s">
        <v>31707</v>
      </c>
      <c r="BE60" s="11">
        <v>1</v>
      </c>
      <c r="BF60" s="11">
        <v>0</v>
      </c>
      <c r="BG60" s="11">
        <v>0</v>
      </c>
      <c r="BH60" s="10" t="s">
        <v>32030</v>
      </c>
      <c r="BI60" s="11">
        <v>100</v>
      </c>
      <c r="BJ60" s="10" t="s">
        <v>33240</v>
      </c>
      <c r="BK60" s="11">
        <v>100</v>
      </c>
    </row>
    <row r="61" spans="1:63" x14ac:dyDescent="0.75">
      <c r="A61" t="s">
        <v>3894</v>
      </c>
      <c r="B61" t="s">
        <v>104</v>
      </c>
      <c r="C61" t="s">
        <v>105</v>
      </c>
      <c r="D61" t="s">
        <v>106</v>
      </c>
      <c r="E61" s="22" t="s">
        <v>21659</v>
      </c>
      <c r="F61" t="s">
        <v>3895</v>
      </c>
      <c r="G61" s="1" t="str">
        <f>HYPERLINK("https://homd.org/jbrowse/?data=homd_V11.02_phage_1.2%2FGCA_019930725.1&amp;loc=GCA_019930725.1%7CCP082870.1%3A2190950..2197783&amp;tracks=prokka,prokka_ncrna,ncbi,ncbi_ncrna,panggolin,cenote,genomad&amp;highlight=","Open JBrowse")</f>
        <v>Open JBrowse</v>
      </c>
      <c r="H61" s="10">
        <v>2193950</v>
      </c>
      <c r="I61" s="10">
        <v>2194783</v>
      </c>
      <c r="J61" s="10" t="s">
        <v>3902</v>
      </c>
      <c r="K61" s="10" t="s">
        <v>39</v>
      </c>
      <c r="L61" s="10" t="s">
        <v>129</v>
      </c>
      <c r="M61" s="10" t="s">
        <v>130</v>
      </c>
      <c r="N61" s="10" t="s">
        <v>42</v>
      </c>
      <c r="O61" s="10">
        <v>3</v>
      </c>
      <c r="P61" s="10" t="s">
        <v>42</v>
      </c>
      <c r="Q61" s="10" t="s">
        <v>43</v>
      </c>
      <c r="R61" s="10" t="s">
        <v>3897</v>
      </c>
      <c r="S61" s="10" t="s">
        <v>129</v>
      </c>
      <c r="T61" s="10" t="s">
        <v>42</v>
      </c>
      <c r="U61" s="10">
        <v>43</v>
      </c>
      <c r="V61" s="10">
        <v>275</v>
      </c>
      <c r="W61" s="10">
        <v>233</v>
      </c>
      <c r="X61" s="10" t="s">
        <v>45</v>
      </c>
      <c r="Y61" s="10" t="s">
        <v>3903</v>
      </c>
      <c r="Z61" s="10" t="s">
        <v>840</v>
      </c>
      <c r="AA61" s="10" t="s">
        <v>133</v>
      </c>
      <c r="AB61" s="10"/>
      <c r="AC61" s="10"/>
      <c r="AD61" s="10"/>
      <c r="AE61" s="10"/>
      <c r="AF61" s="10"/>
      <c r="AG61" s="44"/>
      <c r="AH61" s="44"/>
      <c r="AI61" s="44" t="s">
        <v>6052</v>
      </c>
      <c r="AJ61" s="44" t="s">
        <v>6052</v>
      </c>
      <c r="AK61" s="44" t="s">
        <v>6052</v>
      </c>
      <c r="AL61" s="44" t="s">
        <v>6052</v>
      </c>
      <c r="AM61" s="44" t="s">
        <v>6052</v>
      </c>
      <c r="AN61" s="44" t="s">
        <v>32777</v>
      </c>
      <c r="AO61" s="45">
        <v>11</v>
      </c>
      <c r="AP61" s="45">
        <v>1</v>
      </c>
      <c r="AQ61" s="45">
        <v>0</v>
      </c>
      <c r="AR61" s="45">
        <v>0</v>
      </c>
      <c r="AS61" s="45">
        <v>0</v>
      </c>
      <c r="AT61" s="45">
        <v>0</v>
      </c>
      <c r="AU61" s="10" t="s">
        <v>6052</v>
      </c>
      <c r="AV61" s="10" t="s">
        <v>6052</v>
      </c>
      <c r="AW61" s="10" t="s">
        <v>6052</v>
      </c>
      <c r="AX61" s="10" t="s">
        <v>6052</v>
      </c>
      <c r="AY61" s="10" t="s">
        <v>32253</v>
      </c>
      <c r="AZ61" s="44" t="s">
        <v>33116</v>
      </c>
      <c r="BA61" s="44" t="s">
        <v>31008</v>
      </c>
      <c r="BB61" s="44" t="s">
        <v>31477</v>
      </c>
      <c r="BC61" s="44" t="s">
        <v>6415</v>
      </c>
      <c r="BD61" s="44" t="s">
        <v>31707</v>
      </c>
      <c r="BE61" s="11">
        <v>1</v>
      </c>
      <c r="BF61" s="11">
        <v>0</v>
      </c>
      <c r="BG61" s="11">
        <v>0</v>
      </c>
      <c r="BH61" s="10" t="s">
        <v>31849</v>
      </c>
      <c r="BI61" s="11">
        <v>100</v>
      </c>
      <c r="BJ61" s="10" t="s">
        <v>33239</v>
      </c>
      <c r="BK61" s="11">
        <v>100</v>
      </c>
    </row>
    <row r="62" spans="1:63" x14ac:dyDescent="0.75">
      <c r="A62" t="s">
        <v>3894</v>
      </c>
      <c r="B62" t="s">
        <v>104</v>
      </c>
      <c r="C62" t="s">
        <v>105</v>
      </c>
      <c r="D62" t="s">
        <v>106</v>
      </c>
      <c r="E62" s="22" t="s">
        <v>21659</v>
      </c>
      <c r="F62" t="s">
        <v>3895</v>
      </c>
      <c r="G62" s="1" t="str">
        <f>HYPERLINK("https://homd.org/jbrowse/?data=homd_V11.02_phage_1.2%2FGCA_019930725.1&amp;loc=GCA_019930725.1%7CCP082870.1%3A2158417..2165208&amp;tracks=prokka,prokka_ncrna,ncbi,ncbi_ncrna,panggolin,cenote,genomad&amp;highlight=","Open JBrowse")</f>
        <v>Open JBrowse</v>
      </c>
      <c r="H62" s="10">
        <v>2161417</v>
      </c>
      <c r="I62" s="10">
        <v>2162208</v>
      </c>
      <c r="J62" s="10" t="s">
        <v>3900</v>
      </c>
      <c r="K62" s="10" t="s">
        <v>39</v>
      </c>
      <c r="L62" s="10" t="s">
        <v>123</v>
      </c>
      <c r="M62" s="10" t="s">
        <v>124</v>
      </c>
      <c r="N62" s="10" t="s">
        <v>42</v>
      </c>
      <c r="O62" s="10">
        <v>3</v>
      </c>
      <c r="P62" s="10" t="s">
        <v>42</v>
      </c>
      <c r="Q62" s="10" t="s">
        <v>43</v>
      </c>
      <c r="R62" s="10" t="s">
        <v>3897</v>
      </c>
      <c r="S62" s="10" t="s">
        <v>123</v>
      </c>
      <c r="T62" s="10" t="s">
        <v>42</v>
      </c>
      <c r="U62" s="10">
        <v>35</v>
      </c>
      <c r="V62" s="10">
        <v>261</v>
      </c>
      <c r="W62" s="10">
        <v>227</v>
      </c>
      <c r="X62" s="10" t="s">
        <v>45</v>
      </c>
      <c r="Y62" s="10" t="s">
        <v>3901</v>
      </c>
      <c r="Z62" s="10" t="s">
        <v>1236</v>
      </c>
      <c r="AA62" s="10" t="s">
        <v>127</v>
      </c>
      <c r="AB62" s="10"/>
      <c r="AC62" s="10"/>
      <c r="AD62" s="10"/>
      <c r="AE62" s="10"/>
      <c r="AF62" s="10"/>
      <c r="AG62" s="44"/>
      <c r="AH62" s="44"/>
      <c r="AI62" s="44" t="s">
        <v>6052</v>
      </c>
      <c r="AJ62" s="44" t="s">
        <v>6052</v>
      </c>
      <c r="AK62" s="44" t="s">
        <v>6052</v>
      </c>
      <c r="AL62" s="44" t="s">
        <v>6052</v>
      </c>
      <c r="AM62" s="44" t="s">
        <v>6052</v>
      </c>
      <c r="AN62" s="44" t="s">
        <v>32776</v>
      </c>
      <c r="AO62" s="45">
        <v>11</v>
      </c>
      <c r="AP62" s="45">
        <v>1</v>
      </c>
      <c r="AQ62" s="45">
        <v>0</v>
      </c>
      <c r="AR62" s="45">
        <v>0</v>
      </c>
      <c r="AS62" s="45">
        <v>0</v>
      </c>
      <c r="AT62" s="45">
        <v>0</v>
      </c>
      <c r="AU62" s="10" t="s">
        <v>6052</v>
      </c>
      <c r="AV62" s="10" t="s">
        <v>6052</v>
      </c>
      <c r="AW62" s="10" t="s">
        <v>6052</v>
      </c>
      <c r="AX62" s="10" t="s">
        <v>6052</v>
      </c>
      <c r="AY62" s="10" t="s">
        <v>32253</v>
      </c>
      <c r="AZ62" s="44" t="s">
        <v>33116</v>
      </c>
      <c r="BA62" s="44" t="s">
        <v>31008</v>
      </c>
      <c r="BB62" s="44" t="s">
        <v>31476</v>
      </c>
      <c r="BC62" s="44" t="s">
        <v>6415</v>
      </c>
      <c r="BD62" s="44" t="s">
        <v>31707</v>
      </c>
      <c r="BE62" s="11">
        <v>1</v>
      </c>
      <c r="BF62" s="11">
        <v>0</v>
      </c>
      <c r="BG62" s="11">
        <v>0</v>
      </c>
      <c r="BH62" s="10" t="s">
        <v>32043</v>
      </c>
      <c r="BI62" s="11">
        <v>100</v>
      </c>
      <c r="BJ62" s="10" t="s">
        <v>33238</v>
      </c>
      <c r="BK62" s="11">
        <v>100</v>
      </c>
    </row>
    <row r="63" spans="1:63" x14ac:dyDescent="0.75">
      <c r="A63" t="s">
        <v>2375</v>
      </c>
      <c r="B63" t="s">
        <v>104</v>
      </c>
      <c r="C63" t="s">
        <v>2376</v>
      </c>
      <c r="D63" t="s">
        <v>2377</v>
      </c>
      <c r="E63" s="22" t="s">
        <v>17169</v>
      </c>
      <c r="F63" t="s">
        <v>2378</v>
      </c>
      <c r="G63" s="1" t="str">
        <f>HYPERLINK("https://homd.org/jbrowse/?data=homd_V11.02_phage_1.2%2FGCA_007845265.1&amp;loc=GCA_007845265.1%7CSDRM01000007.1%3A31953..39758&amp;tracks=prokka,prokka_ncrna,ncbi,ncbi_ncrna,panggolin,cenote,genomad&amp;highlight=","Open JBrowse")</f>
        <v>Open JBrowse</v>
      </c>
      <c r="H63" s="10">
        <v>34953</v>
      </c>
      <c r="I63" s="10">
        <v>36758</v>
      </c>
      <c r="J63" s="10" t="s">
        <v>2386</v>
      </c>
      <c r="K63" s="10" t="s">
        <v>59</v>
      </c>
      <c r="L63" s="10" t="s">
        <v>2387</v>
      </c>
      <c r="M63" s="10" t="s">
        <v>2388</v>
      </c>
      <c r="N63" s="10" t="s">
        <v>42</v>
      </c>
      <c r="O63" s="10">
        <v>3</v>
      </c>
      <c r="P63" s="10" t="s">
        <v>42</v>
      </c>
      <c r="Q63" s="10" t="s">
        <v>59</v>
      </c>
      <c r="R63" s="10" t="s">
        <v>2382</v>
      </c>
      <c r="S63" s="10" t="s">
        <v>2387</v>
      </c>
      <c r="T63" s="10" t="s">
        <v>42</v>
      </c>
      <c r="U63" s="10">
        <v>58</v>
      </c>
      <c r="V63" s="10">
        <v>315</v>
      </c>
      <c r="W63" s="10">
        <v>258</v>
      </c>
      <c r="X63" s="10" t="s">
        <v>237</v>
      </c>
      <c r="Y63" s="10" t="s">
        <v>2383</v>
      </c>
      <c r="Z63" s="10" t="s">
        <v>357</v>
      </c>
      <c r="AA63" s="10" t="s">
        <v>2384</v>
      </c>
      <c r="AB63" s="10" t="s">
        <v>2385</v>
      </c>
      <c r="AC63" s="10" t="s">
        <v>506</v>
      </c>
      <c r="AD63" s="10" t="s">
        <v>507</v>
      </c>
      <c r="AE63" s="10">
        <v>240</v>
      </c>
      <c r="AF63" s="10" t="s">
        <v>725</v>
      </c>
      <c r="AG63" s="44"/>
      <c r="AH63" s="44"/>
      <c r="AI63" s="44" t="s">
        <v>6052</v>
      </c>
      <c r="AJ63" s="44" t="s">
        <v>6052</v>
      </c>
      <c r="AK63" s="44" t="s">
        <v>6052</v>
      </c>
      <c r="AL63" s="44" t="s">
        <v>6052</v>
      </c>
      <c r="AM63" s="44" t="s">
        <v>6052</v>
      </c>
      <c r="AN63" s="44" t="s">
        <v>33031</v>
      </c>
      <c r="AO63" s="45">
        <v>11</v>
      </c>
      <c r="AP63" s="45">
        <v>1</v>
      </c>
      <c r="AQ63" s="45">
        <v>0</v>
      </c>
      <c r="AR63" s="45">
        <v>0</v>
      </c>
      <c r="AS63" s="45">
        <v>0</v>
      </c>
      <c r="AT63" s="45">
        <v>0</v>
      </c>
      <c r="AU63" s="10" t="s">
        <v>6052</v>
      </c>
      <c r="AV63" s="10" t="s">
        <v>6052</v>
      </c>
      <c r="AW63" s="10" t="s">
        <v>6052</v>
      </c>
      <c r="AX63" s="10" t="s">
        <v>6052</v>
      </c>
      <c r="AY63" s="10" t="s">
        <v>32253</v>
      </c>
      <c r="AZ63" s="44" t="s">
        <v>33117</v>
      </c>
      <c r="BA63" s="44" t="s">
        <v>31133</v>
      </c>
      <c r="BB63" s="44" t="s">
        <v>31651</v>
      </c>
      <c r="BC63" s="44" t="s">
        <v>10700</v>
      </c>
      <c r="BD63" s="44" t="s">
        <v>31711</v>
      </c>
      <c r="BE63" s="11">
        <v>1</v>
      </c>
      <c r="BF63" s="11">
        <v>0</v>
      </c>
      <c r="BG63" s="11">
        <v>0</v>
      </c>
      <c r="BH63" s="10" t="s">
        <v>31875</v>
      </c>
      <c r="BI63" s="11">
        <v>100</v>
      </c>
      <c r="BJ63" s="10" t="s">
        <v>33351</v>
      </c>
      <c r="BK63" s="11">
        <v>100</v>
      </c>
    </row>
    <row r="64" spans="1:63" x14ac:dyDescent="0.75">
      <c r="A64" t="s">
        <v>2375</v>
      </c>
      <c r="B64" t="s">
        <v>104</v>
      </c>
      <c r="C64" t="s">
        <v>2376</v>
      </c>
      <c r="D64" t="s">
        <v>2377</v>
      </c>
      <c r="E64" s="22" t="s">
        <v>17169</v>
      </c>
      <c r="F64" t="s">
        <v>2378</v>
      </c>
      <c r="G64" s="1" t="str">
        <f>HYPERLINK("https://homd.org/jbrowse/?data=homd_V11.02_phage_1.2%2FGCA_007845265.1&amp;loc=GCA_007845265.1%7CSDRM01000007.1%3A30517..37764&amp;tracks=prokka,prokka_ncrna,ncbi,ncbi_ncrna,panggolin,cenote,genomad&amp;highlight=","Open JBrowse")</f>
        <v>Open JBrowse</v>
      </c>
      <c r="H64" s="10">
        <v>33517</v>
      </c>
      <c r="I64" s="10">
        <v>34764</v>
      </c>
      <c r="J64" s="10" t="s">
        <v>2379</v>
      </c>
      <c r="K64" s="10" t="s">
        <v>59</v>
      </c>
      <c r="L64" s="10" t="s">
        <v>2380</v>
      </c>
      <c r="M64" s="10" t="s">
        <v>2381</v>
      </c>
      <c r="N64" s="10" t="s">
        <v>42</v>
      </c>
      <c r="O64" s="10">
        <v>3</v>
      </c>
      <c r="P64" s="10" t="s">
        <v>42</v>
      </c>
      <c r="Q64" s="10" t="s">
        <v>59</v>
      </c>
      <c r="R64" s="10" t="s">
        <v>2382</v>
      </c>
      <c r="S64" s="10" t="s">
        <v>2380</v>
      </c>
      <c r="T64" s="10" t="s">
        <v>42</v>
      </c>
      <c r="U64" s="10">
        <v>59</v>
      </c>
      <c r="V64" s="10">
        <v>310</v>
      </c>
      <c r="W64" s="10">
        <v>252</v>
      </c>
      <c r="X64" s="10" t="s">
        <v>237</v>
      </c>
      <c r="Y64" s="10" t="s">
        <v>2383</v>
      </c>
      <c r="Z64" s="10" t="s">
        <v>357</v>
      </c>
      <c r="AA64" s="10" t="s">
        <v>2384</v>
      </c>
      <c r="AB64" s="10" t="s">
        <v>2385</v>
      </c>
      <c r="AC64" s="10" t="s">
        <v>506</v>
      </c>
      <c r="AD64" s="10" t="s">
        <v>507</v>
      </c>
      <c r="AE64" s="10">
        <v>240</v>
      </c>
      <c r="AF64" s="10" t="s">
        <v>725</v>
      </c>
      <c r="AG64" s="44"/>
      <c r="AH64" s="44"/>
      <c r="AI64" s="44" t="s">
        <v>6052</v>
      </c>
      <c r="AJ64" s="44" t="s">
        <v>6052</v>
      </c>
      <c r="AK64" s="44" t="s">
        <v>6052</v>
      </c>
      <c r="AL64" s="44" t="s">
        <v>6052</v>
      </c>
      <c r="AM64" s="44" t="s">
        <v>6052</v>
      </c>
      <c r="AN64" s="44" t="s">
        <v>33032</v>
      </c>
      <c r="AO64" s="45">
        <v>11</v>
      </c>
      <c r="AP64" s="45">
        <v>1</v>
      </c>
      <c r="AQ64" s="45">
        <v>0</v>
      </c>
      <c r="AR64" s="45">
        <v>0</v>
      </c>
      <c r="AS64" s="45">
        <v>0</v>
      </c>
      <c r="AT64" s="45">
        <v>0</v>
      </c>
      <c r="AU64" s="10" t="s">
        <v>6052</v>
      </c>
      <c r="AV64" s="10" t="s">
        <v>6052</v>
      </c>
      <c r="AW64" s="10" t="s">
        <v>6052</v>
      </c>
      <c r="AX64" s="10" t="s">
        <v>6052</v>
      </c>
      <c r="AY64" s="10" t="s">
        <v>32253</v>
      </c>
      <c r="AZ64" s="44" t="s">
        <v>33117</v>
      </c>
      <c r="BA64" s="44" t="s">
        <v>31133</v>
      </c>
      <c r="BB64" s="44" t="s">
        <v>31652</v>
      </c>
      <c r="BC64" s="44" t="s">
        <v>10700</v>
      </c>
      <c r="BD64" s="44" t="s">
        <v>31711</v>
      </c>
      <c r="BE64" s="11">
        <v>1</v>
      </c>
      <c r="BF64" s="11">
        <v>0</v>
      </c>
      <c r="BG64" s="11">
        <v>0</v>
      </c>
      <c r="BH64" s="10" t="s">
        <v>31925</v>
      </c>
      <c r="BI64" s="11">
        <v>100</v>
      </c>
      <c r="BJ64" s="10" t="s">
        <v>33350</v>
      </c>
      <c r="BK64" s="11">
        <v>100</v>
      </c>
    </row>
    <row r="65" spans="1:63" x14ac:dyDescent="0.75">
      <c r="A65" t="s">
        <v>2334</v>
      </c>
      <c r="B65" t="s">
        <v>104</v>
      </c>
      <c r="C65" t="s">
        <v>578</v>
      </c>
      <c r="D65" t="s">
        <v>579</v>
      </c>
      <c r="E65" s="22" t="s">
        <v>10866</v>
      </c>
      <c r="F65" t="s">
        <v>2335</v>
      </c>
      <c r="G65" s="1" t="str">
        <f>HYPERLINK("https://homd.org/jbrowse/?data=homd_V11.02_phage_1.2%2FGCA_006385365.1&amp;loc=GCA_006385365.1%7CVFJI01000001.1%3A1405832..1412623&amp;tracks=prokka,prokka_ncrna,ncbi,ncbi_ncrna,panggolin,cenote,genomad&amp;highlight=","Open JBrowse")</f>
        <v>Open JBrowse</v>
      </c>
      <c r="H65" s="10">
        <v>1408832</v>
      </c>
      <c r="I65" s="10">
        <v>1409623</v>
      </c>
      <c r="J65" s="10" t="s">
        <v>2336</v>
      </c>
      <c r="K65" s="10" t="s">
        <v>39</v>
      </c>
      <c r="L65" s="10" t="s">
        <v>491</v>
      </c>
      <c r="M65" s="10" t="s">
        <v>592</v>
      </c>
      <c r="N65" s="10" t="s">
        <v>42</v>
      </c>
      <c r="O65" s="10">
        <v>3</v>
      </c>
      <c r="P65" s="10" t="s">
        <v>42</v>
      </c>
      <c r="Q65" s="10" t="s">
        <v>43</v>
      </c>
      <c r="R65" s="10" t="s">
        <v>2337</v>
      </c>
      <c r="S65" s="10" t="s">
        <v>491</v>
      </c>
      <c r="T65" s="10" t="s">
        <v>42</v>
      </c>
      <c r="U65" s="10">
        <v>34</v>
      </c>
      <c r="V65" s="10">
        <v>259</v>
      </c>
      <c r="W65" s="10">
        <v>226</v>
      </c>
      <c r="X65" s="10" t="s">
        <v>45</v>
      </c>
      <c r="Y65" s="10" t="s">
        <v>2338</v>
      </c>
      <c r="Z65" s="10" t="s">
        <v>653</v>
      </c>
      <c r="AA65" s="10" t="s">
        <v>595</v>
      </c>
      <c r="AB65" s="10"/>
      <c r="AC65" s="10"/>
      <c r="AD65" s="10"/>
      <c r="AE65" s="10"/>
      <c r="AF65" s="10"/>
      <c r="AG65" s="44"/>
      <c r="AH65" s="44"/>
      <c r="AI65" s="44" t="s">
        <v>6052</v>
      </c>
      <c r="AJ65" s="44" t="s">
        <v>6052</v>
      </c>
      <c r="AK65" s="44" t="s">
        <v>6052</v>
      </c>
      <c r="AL65" s="44" t="s">
        <v>6052</v>
      </c>
      <c r="AM65" s="44" t="s">
        <v>6052</v>
      </c>
      <c r="AN65" s="44" t="s">
        <v>32536</v>
      </c>
      <c r="AO65" s="45">
        <v>11</v>
      </c>
      <c r="AP65" s="45">
        <v>1</v>
      </c>
      <c r="AQ65" s="45">
        <v>0</v>
      </c>
      <c r="AR65" s="45">
        <v>0</v>
      </c>
      <c r="AS65" s="45">
        <v>0</v>
      </c>
      <c r="AT65" s="45">
        <v>0</v>
      </c>
      <c r="AU65" s="10" t="s">
        <v>6052</v>
      </c>
      <c r="AV65" s="10" t="s">
        <v>6052</v>
      </c>
      <c r="AW65" s="10" t="s">
        <v>6052</v>
      </c>
      <c r="AX65" s="10" t="s">
        <v>6052</v>
      </c>
      <c r="AY65" s="10" t="s">
        <v>32253</v>
      </c>
      <c r="AZ65" s="44" t="s">
        <v>33116</v>
      </c>
      <c r="BA65" s="44" t="s">
        <v>30902</v>
      </c>
      <c r="BB65" s="44" t="s">
        <v>31324</v>
      </c>
      <c r="BC65" s="44" t="s">
        <v>8354</v>
      </c>
      <c r="BD65" s="44" t="s">
        <v>37365</v>
      </c>
      <c r="BE65" s="11">
        <v>1</v>
      </c>
      <c r="BF65" s="11">
        <v>0</v>
      </c>
      <c r="BG65" s="11">
        <v>0</v>
      </c>
      <c r="BH65" s="10" t="s">
        <v>31979</v>
      </c>
      <c r="BI65" s="11">
        <v>100</v>
      </c>
      <c r="BJ65" s="10" t="s">
        <v>33492</v>
      </c>
      <c r="BK65" s="11">
        <v>100</v>
      </c>
    </row>
    <row r="66" spans="1:63" x14ac:dyDescent="0.75">
      <c r="A66" t="s">
        <v>5216</v>
      </c>
      <c r="B66" t="s">
        <v>104</v>
      </c>
      <c r="C66" t="s">
        <v>462</v>
      </c>
      <c r="D66" t="s">
        <v>463</v>
      </c>
      <c r="E66" s="22" t="s">
        <v>27557</v>
      </c>
      <c r="F66" t="s">
        <v>5217</v>
      </c>
      <c r="G66" s="1" t="str">
        <f>HYPERLINK("https://homd.org/jbrowse/?data=homd_V11.02_phage_1.2%2FGCA_900454835.1&amp;loc=GCA_900454835.1%7CUGTM01000001.1%3A1907624..1914583&amp;tracks=prokka,prokka_ncrna,ncbi,ncbi_ncrna,panggolin,cenote,genomad&amp;highlight=","Open JBrowse")</f>
        <v>Open JBrowse</v>
      </c>
      <c r="H66" s="10">
        <v>1910624</v>
      </c>
      <c r="I66" s="10">
        <v>1911583</v>
      </c>
      <c r="J66" s="10" t="s">
        <v>5218</v>
      </c>
      <c r="K66" s="10" t="s">
        <v>59</v>
      </c>
      <c r="L66" s="10" t="s">
        <v>466</v>
      </c>
      <c r="M66" s="10" t="s">
        <v>467</v>
      </c>
      <c r="N66" s="10" t="s">
        <v>398</v>
      </c>
      <c r="O66" s="10">
        <v>3</v>
      </c>
      <c r="P66" s="10" t="s">
        <v>42</v>
      </c>
      <c r="Q66" s="10" t="s">
        <v>59</v>
      </c>
      <c r="R66" s="10" t="s">
        <v>5219</v>
      </c>
      <c r="S66" s="10" t="s">
        <v>466</v>
      </c>
      <c r="T66" s="10" t="s">
        <v>42</v>
      </c>
      <c r="U66" s="10">
        <v>41</v>
      </c>
      <c r="V66" s="10">
        <v>267</v>
      </c>
      <c r="W66" s="10">
        <v>227</v>
      </c>
      <c r="X66" s="10" t="s">
        <v>160</v>
      </c>
      <c r="Y66" s="10" t="s">
        <v>5220</v>
      </c>
      <c r="Z66" s="10" t="s">
        <v>530</v>
      </c>
      <c r="AA66" s="10" t="s">
        <v>1335</v>
      </c>
      <c r="AB66" s="10"/>
      <c r="AC66" s="10"/>
      <c r="AD66" s="10"/>
      <c r="AE66" s="10"/>
      <c r="AF66" s="10"/>
      <c r="AG66" s="44"/>
      <c r="AH66" s="44"/>
      <c r="AI66" s="44" t="s">
        <v>6052</v>
      </c>
      <c r="AJ66" s="44" t="s">
        <v>6052</v>
      </c>
      <c r="AK66" s="44" t="s">
        <v>6052</v>
      </c>
      <c r="AL66" s="44" t="s">
        <v>6052</v>
      </c>
      <c r="AM66" s="44" t="s">
        <v>6052</v>
      </c>
      <c r="AN66" s="44" t="s">
        <v>32971</v>
      </c>
      <c r="AO66" s="45">
        <v>11</v>
      </c>
      <c r="AP66" s="45">
        <v>1</v>
      </c>
      <c r="AQ66" s="45">
        <v>0</v>
      </c>
      <c r="AR66" s="45">
        <v>0</v>
      </c>
      <c r="AS66" s="45">
        <v>0</v>
      </c>
      <c r="AT66" s="45">
        <v>0</v>
      </c>
      <c r="AU66" s="10" t="s">
        <v>6052</v>
      </c>
      <c r="AV66" s="10" t="s">
        <v>6052</v>
      </c>
      <c r="AW66" s="10" t="s">
        <v>6052</v>
      </c>
      <c r="AX66" s="10" t="s">
        <v>6052</v>
      </c>
      <c r="AY66" s="10" t="s">
        <v>32253</v>
      </c>
      <c r="AZ66" s="44" t="s">
        <v>33117</v>
      </c>
      <c r="BA66" s="44" t="s">
        <v>31093</v>
      </c>
      <c r="BB66" s="44" t="s">
        <v>31605</v>
      </c>
      <c r="BC66" s="44" t="s">
        <v>6594</v>
      </c>
      <c r="BD66" s="44" t="s">
        <v>31708</v>
      </c>
      <c r="BE66" s="11">
        <v>1</v>
      </c>
      <c r="BF66" s="11">
        <v>0</v>
      </c>
      <c r="BG66" s="11">
        <v>0</v>
      </c>
      <c r="BH66" s="10" t="s">
        <v>32159</v>
      </c>
      <c r="BI66" s="11">
        <v>100</v>
      </c>
      <c r="BJ66" s="10" t="s">
        <v>33367</v>
      </c>
      <c r="BK66" s="11">
        <v>100</v>
      </c>
    </row>
    <row r="67" spans="1:63" x14ac:dyDescent="0.75">
      <c r="A67" t="s">
        <v>5227</v>
      </c>
      <c r="B67" t="s">
        <v>104</v>
      </c>
      <c r="C67" t="s">
        <v>105</v>
      </c>
      <c r="D67" t="s">
        <v>106</v>
      </c>
      <c r="E67" s="22" t="s">
        <v>27647</v>
      </c>
      <c r="F67" t="s">
        <v>5228</v>
      </c>
      <c r="G67" s="1" t="str">
        <f>HYPERLINK("https://homd.org/jbrowse/?data=homd_V11.02_phage_1.2%2FGCA_900460915.1&amp;loc=GCA_900460915.1%7CUAVS01000001.1%3A758901..765692&amp;tracks=prokka,prokka_ncrna,ncbi,ncbi_ncrna,panggolin,cenote,genomad&amp;highlight=","Open JBrowse")</f>
        <v>Open JBrowse</v>
      </c>
      <c r="H67" s="10">
        <v>761901</v>
      </c>
      <c r="I67" s="10">
        <v>762692</v>
      </c>
      <c r="J67" s="10" t="s">
        <v>5240</v>
      </c>
      <c r="K67" s="10" t="s">
        <v>39</v>
      </c>
      <c r="L67" s="10" t="s">
        <v>123</v>
      </c>
      <c r="M67" s="10" t="s">
        <v>41</v>
      </c>
      <c r="N67" s="10" t="s">
        <v>42</v>
      </c>
      <c r="O67" s="10">
        <v>3</v>
      </c>
      <c r="P67" s="10" t="s">
        <v>42</v>
      </c>
      <c r="Q67" s="10" t="s">
        <v>43</v>
      </c>
      <c r="R67" s="10" t="s">
        <v>5232</v>
      </c>
      <c r="S67" s="10" t="s">
        <v>123</v>
      </c>
      <c r="T67" s="10" t="s">
        <v>42</v>
      </c>
      <c r="U67" s="10">
        <v>35</v>
      </c>
      <c r="V67" s="10">
        <v>261</v>
      </c>
      <c r="W67" s="10">
        <v>227</v>
      </c>
      <c r="X67" s="10" t="s">
        <v>45</v>
      </c>
      <c r="Y67" s="10" t="s">
        <v>5241</v>
      </c>
      <c r="Z67" s="10" t="s">
        <v>336</v>
      </c>
      <c r="AA67" s="10" t="s">
        <v>5242</v>
      </c>
      <c r="AB67" s="10"/>
      <c r="AC67" s="10"/>
      <c r="AD67" s="10"/>
      <c r="AE67" s="10"/>
      <c r="AF67" s="10"/>
      <c r="AG67" s="44"/>
      <c r="AH67" s="44"/>
      <c r="AI67" s="44" t="s">
        <v>6052</v>
      </c>
      <c r="AJ67" s="44" t="s">
        <v>6052</v>
      </c>
      <c r="AK67" s="44" t="s">
        <v>6052</v>
      </c>
      <c r="AL67" s="44" t="s">
        <v>6052</v>
      </c>
      <c r="AM67" s="44" t="s">
        <v>6052</v>
      </c>
      <c r="AN67" s="44" t="s">
        <v>32948</v>
      </c>
      <c r="AO67" s="45">
        <v>11</v>
      </c>
      <c r="AP67" s="45">
        <v>1</v>
      </c>
      <c r="AQ67" s="45">
        <v>0</v>
      </c>
      <c r="AR67" s="45">
        <v>0</v>
      </c>
      <c r="AS67" s="45">
        <v>0</v>
      </c>
      <c r="AT67" s="45">
        <v>0</v>
      </c>
      <c r="AU67" s="10" t="s">
        <v>6052</v>
      </c>
      <c r="AV67" s="10" t="s">
        <v>6052</v>
      </c>
      <c r="AW67" s="10" t="s">
        <v>6052</v>
      </c>
      <c r="AX67" s="10" t="s">
        <v>6052</v>
      </c>
      <c r="AY67" s="10" t="s">
        <v>32253</v>
      </c>
      <c r="AZ67" s="44" t="s">
        <v>33116</v>
      </c>
      <c r="BA67" s="44" t="s">
        <v>31088</v>
      </c>
      <c r="BB67" s="44" t="s">
        <v>31594</v>
      </c>
      <c r="BC67" s="44" t="s">
        <v>6415</v>
      </c>
      <c r="BD67" s="44" t="s">
        <v>31707</v>
      </c>
      <c r="BE67" s="11">
        <v>1</v>
      </c>
      <c r="BF67" s="11">
        <v>0</v>
      </c>
      <c r="BG67" s="11">
        <v>0</v>
      </c>
      <c r="BH67" s="10" t="s">
        <v>32131</v>
      </c>
      <c r="BI67" s="11">
        <v>100</v>
      </c>
      <c r="BJ67" s="10" t="s">
        <v>33257</v>
      </c>
      <c r="BK67" s="11">
        <v>100</v>
      </c>
    </row>
    <row r="68" spans="1:63" x14ac:dyDescent="0.75">
      <c r="A68" t="s">
        <v>5227</v>
      </c>
      <c r="B68" t="s">
        <v>104</v>
      </c>
      <c r="C68" t="s">
        <v>105</v>
      </c>
      <c r="D68" t="s">
        <v>106</v>
      </c>
      <c r="E68" s="22" t="s">
        <v>27647</v>
      </c>
      <c r="F68" t="s">
        <v>5228</v>
      </c>
      <c r="G68" s="1" t="str">
        <f>HYPERLINK("https://homd.org/jbrowse/?data=homd_V11.02_phage_1.2%2FGCA_900460915.1&amp;loc=GCA_900460915.1%7CUAVS01000001.1%3A723219..730046&amp;tracks=prokka,prokka_ncrna,ncbi,ncbi_ncrna,panggolin,cenote,genomad&amp;highlight=","Open JBrowse")</f>
        <v>Open JBrowse</v>
      </c>
      <c r="H68" s="10">
        <v>726219</v>
      </c>
      <c r="I68" s="10">
        <v>727046</v>
      </c>
      <c r="J68" s="10" t="s">
        <v>5237</v>
      </c>
      <c r="K68" s="10" t="s">
        <v>39</v>
      </c>
      <c r="L68" s="10" t="s">
        <v>413</v>
      </c>
      <c r="M68" s="10" t="s">
        <v>414</v>
      </c>
      <c r="N68" s="10" t="s">
        <v>42</v>
      </c>
      <c r="O68" s="10">
        <v>3</v>
      </c>
      <c r="P68" s="10" t="s">
        <v>42</v>
      </c>
      <c r="Q68" s="10" t="s">
        <v>43</v>
      </c>
      <c r="R68" s="10" t="s">
        <v>5232</v>
      </c>
      <c r="S68" s="10" t="s">
        <v>413</v>
      </c>
      <c r="T68" s="10" t="s">
        <v>42</v>
      </c>
      <c r="U68" s="10">
        <v>43</v>
      </c>
      <c r="V68" s="10">
        <v>273</v>
      </c>
      <c r="W68" s="10">
        <v>231</v>
      </c>
      <c r="X68" s="10" t="s">
        <v>45</v>
      </c>
      <c r="Y68" s="10" t="s">
        <v>5238</v>
      </c>
      <c r="Z68" s="10" t="s">
        <v>302</v>
      </c>
      <c r="AA68" s="10" t="s">
        <v>5239</v>
      </c>
      <c r="AB68" s="10"/>
      <c r="AC68" s="10"/>
      <c r="AD68" s="10"/>
      <c r="AE68" s="10"/>
      <c r="AF68" s="10"/>
      <c r="AG68" s="44"/>
      <c r="AH68" s="44"/>
      <c r="AI68" s="44" t="s">
        <v>6052</v>
      </c>
      <c r="AJ68" s="44" t="s">
        <v>6060</v>
      </c>
      <c r="AK68" s="44" t="s">
        <v>6052</v>
      </c>
      <c r="AL68" s="44" t="s">
        <v>6052</v>
      </c>
      <c r="AM68" s="44" t="s">
        <v>6052</v>
      </c>
      <c r="AN68" s="44" t="s">
        <v>32949</v>
      </c>
      <c r="AO68" s="45">
        <v>11</v>
      </c>
      <c r="AP68" s="45">
        <v>1</v>
      </c>
      <c r="AQ68" s="45">
        <v>0</v>
      </c>
      <c r="AR68" s="45">
        <v>0</v>
      </c>
      <c r="AS68" s="45">
        <v>0</v>
      </c>
      <c r="AT68" s="45">
        <v>0</v>
      </c>
      <c r="AU68" s="10" t="s">
        <v>6052</v>
      </c>
      <c r="AV68" s="10" t="s">
        <v>6052</v>
      </c>
      <c r="AW68" s="10" t="s">
        <v>6052</v>
      </c>
      <c r="AX68" s="10" t="s">
        <v>6052</v>
      </c>
      <c r="AY68" s="10" t="s">
        <v>32253</v>
      </c>
      <c r="AZ68" s="44" t="s">
        <v>33116</v>
      </c>
      <c r="BA68" s="44" t="s">
        <v>31088</v>
      </c>
      <c r="BB68" s="44" t="s">
        <v>31595</v>
      </c>
      <c r="BC68" s="44" t="s">
        <v>6415</v>
      </c>
      <c r="BD68" s="44" t="s">
        <v>31707</v>
      </c>
      <c r="BE68" s="11">
        <v>1</v>
      </c>
      <c r="BF68" s="11">
        <v>0</v>
      </c>
      <c r="BG68" s="11">
        <v>0</v>
      </c>
      <c r="BH68" s="10" t="s">
        <v>31836</v>
      </c>
      <c r="BI68" s="11">
        <v>100</v>
      </c>
      <c r="BJ68" s="10" t="s">
        <v>33558</v>
      </c>
      <c r="BK68" s="11">
        <v>100</v>
      </c>
    </row>
    <row r="69" spans="1:63" x14ac:dyDescent="0.75">
      <c r="A69" t="s">
        <v>5198</v>
      </c>
      <c r="B69" t="s">
        <v>104</v>
      </c>
      <c r="C69" t="s">
        <v>105</v>
      </c>
      <c r="D69" t="s">
        <v>106</v>
      </c>
      <c r="E69" s="22" t="s">
        <v>27434</v>
      </c>
      <c r="F69" t="s">
        <v>5199</v>
      </c>
      <c r="G69" s="1" t="str">
        <f>HYPERLINK("https://homd.org/jbrowse/?data=homd_V11.02_phage_1.2%2FGCA_900446705.1&amp;loc=GCA_900446705.1%7CUARG01000017.1%3A1098290..1105117&amp;tracks=prokka,prokka_ncrna,ncbi,ncbi_ncrna,panggolin,cenote,genomad&amp;highlight=","Open JBrowse")</f>
        <v>Open JBrowse</v>
      </c>
      <c r="H69" s="10">
        <v>1101290</v>
      </c>
      <c r="I69" s="10">
        <v>1102117</v>
      </c>
      <c r="J69" s="10" t="s">
        <v>5208</v>
      </c>
      <c r="K69" s="10" t="s">
        <v>39</v>
      </c>
      <c r="L69" s="10" t="s">
        <v>413</v>
      </c>
      <c r="M69" s="10" t="s">
        <v>414</v>
      </c>
      <c r="N69" s="10" t="s">
        <v>42</v>
      </c>
      <c r="O69" s="10">
        <v>3</v>
      </c>
      <c r="P69" s="10" t="s">
        <v>42</v>
      </c>
      <c r="Q69" s="10" t="s">
        <v>43</v>
      </c>
      <c r="R69" s="10" t="s">
        <v>5201</v>
      </c>
      <c r="S69" s="10" t="s">
        <v>413</v>
      </c>
      <c r="T69" s="10" t="s">
        <v>42</v>
      </c>
      <c r="U69" s="10">
        <v>43</v>
      </c>
      <c r="V69" s="10">
        <v>273</v>
      </c>
      <c r="W69" s="10">
        <v>231</v>
      </c>
      <c r="X69" s="10" t="s">
        <v>45</v>
      </c>
      <c r="Y69" s="10" t="s">
        <v>5209</v>
      </c>
      <c r="Z69" s="10" t="s">
        <v>132</v>
      </c>
      <c r="AA69" s="10" t="s">
        <v>133</v>
      </c>
      <c r="AB69" s="10"/>
      <c r="AC69" s="10"/>
      <c r="AD69" s="10"/>
      <c r="AE69" s="10"/>
      <c r="AF69" s="10"/>
      <c r="AG69" s="44"/>
      <c r="AH69" s="44"/>
      <c r="AI69" s="44" t="s">
        <v>6052</v>
      </c>
      <c r="AJ69" s="44" t="s">
        <v>6052</v>
      </c>
      <c r="AK69" s="44" t="s">
        <v>6052</v>
      </c>
      <c r="AL69" s="44" t="s">
        <v>6052</v>
      </c>
      <c r="AM69" s="44" t="s">
        <v>6052</v>
      </c>
      <c r="AN69" s="44" t="s">
        <v>32955</v>
      </c>
      <c r="AO69" s="45">
        <v>11</v>
      </c>
      <c r="AP69" s="45">
        <v>1</v>
      </c>
      <c r="AQ69" s="45">
        <v>0</v>
      </c>
      <c r="AR69" s="45">
        <v>0</v>
      </c>
      <c r="AS69" s="45">
        <v>0</v>
      </c>
      <c r="AT69" s="45">
        <v>0</v>
      </c>
      <c r="AU69" s="10" t="s">
        <v>6052</v>
      </c>
      <c r="AV69" s="10" t="s">
        <v>6052</v>
      </c>
      <c r="AW69" s="10" t="s">
        <v>6052</v>
      </c>
      <c r="AX69" s="10" t="s">
        <v>6052</v>
      </c>
      <c r="AY69" s="10" t="s">
        <v>32253</v>
      </c>
      <c r="AZ69" s="44" t="s">
        <v>33116</v>
      </c>
      <c r="BA69" s="44" t="s">
        <v>31089</v>
      </c>
      <c r="BB69" s="44" t="s">
        <v>31598</v>
      </c>
      <c r="BC69" s="44" t="s">
        <v>6415</v>
      </c>
      <c r="BD69" s="44" t="s">
        <v>31707</v>
      </c>
      <c r="BE69" s="11">
        <v>1</v>
      </c>
      <c r="BF69" s="11">
        <v>0</v>
      </c>
      <c r="BG69" s="11">
        <v>0</v>
      </c>
      <c r="BH69" s="10" t="s">
        <v>31824</v>
      </c>
      <c r="BI69" s="11">
        <v>100</v>
      </c>
      <c r="BJ69" s="10" t="s">
        <v>33256</v>
      </c>
      <c r="BK69" s="11">
        <v>100</v>
      </c>
    </row>
    <row r="70" spans="1:63" x14ac:dyDescent="0.75">
      <c r="A70" t="s">
        <v>5198</v>
      </c>
      <c r="B70" t="s">
        <v>104</v>
      </c>
      <c r="C70" t="s">
        <v>105</v>
      </c>
      <c r="D70" t="s">
        <v>106</v>
      </c>
      <c r="E70" s="22" t="s">
        <v>27434</v>
      </c>
      <c r="F70" t="s">
        <v>5199</v>
      </c>
      <c r="G70" s="1" t="str">
        <f>HYPERLINK("https://homd.org/jbrowse/?data=homd_V11.02_phage_1.2%2FGCA_900446705.1&amp;loc=GCA_900446705.1%7CUARG01000017.1%3A1064707..1071498&amp;tracks=prokka,prokka_ncrna,ncbi,ncbi_ncrna,panggolin,cenote,genomad&amp;highlight=","Open JBrowse")</f>
        <v>Open JBrowse</v>
      </c>
      <c r="H70" s="10">
        <v>1067707</v>
      </c>
      <c r="I70" s="10">
        <v>1068498</v>
      </c>
      <c r="J70" s="10" t="s">
        <v>5206</v>
      </c>
      <c r="K70" s="10" t="s">
        <v>39</v>
      </c>
      <c r="L70" s="10" t="s">
        <v>123</v>
      </c>
      <c r="M70" s="10" t="s">
        <v>124</v>
      </c>
      <c r="N70" s="10" t="s">
        <v>42</v>
      </c>
      <c r="O70" s="10">
        <v>3</v>
      </c>
      <c r="P70" s="10" t="s">
        <v>42</v>
      </c>
      <c r="Q70" s="10" t="s">
        <v>43</v>
      </c>
      <c r="R70" s="10" t="s">
        <v>5201</v>
      </c>
      <c r="S70" s="10" t="s">
        <v>123</v>
      </c>
      <c r="T70" s="10" t="s">
        <v>42</v>
      </c>
      <c r="U70" s="10">
        <v>35</v>
      </c>
      <c r="V70" s="10">
        <v>261</v>
      </c>
      <c r="W70" s="10">
        <v>227</v>
      </c>
      <c r="X70" s="10" t="s">
        <v>45</v>
      </c>
      <c r="Y70" s="10" t="s">
        <v>5207</v>
      </c>
      <c r="Z70" s="10" t="s">
        <v>126</v>
      </c>
      <c r="AA70" s="10" t="s">
        <v>2806</v>
      </c>
      <c r="AB70" s="10"/>
      <c r="AC70" s="10"/>
      <c r="AD70" s="10"/>
      <c r="AE70" s="10"/>
      <c r="AF70" s="10"/>
      <c r="AG70" s="44"/>
      <c r="AH70" s="44"/>
      <c r="AI70" s="44" t="s">
        <v>6052</v>
      </c>
      <c r="AJ70" s="44" t="s">
        <v>6052</v>
      </c>
      <c r="AK70" s="44" t="s">
        <v>6052</v>
      </c>
      <c r="AL70" s="44" t="s">
        <v>6052</v>
      </c>
      <c r="AM70" s="44" t="s">
        <v>6052</v>
      </c>
      <c r="AN70" s="44" t="s">
        <v>32954</v>
      </c>
      <c r="AO70" s="45">
        <v>11</v>
      </c>
      <c r="AP70" s="45">
        <v>1</v>
      </c>
      <c r="AQ70" s="45">
        <v>0</v>
      </c>
      <c r="AR70" s="45">
        <v>0</v>
      </c>
      <c r="AS70" s="45">
        <v>0</v>
      </c>
      <c r="AT70" s="45">
        <v>0</v>
      </c>
      <c r="AU70" s="10" t="s">
        <v>6052</v>
      </c>
      <c r="AV70" s="10" t="s">
        <v>6052</v>
      </c>
      <c r="AW70" s="10" t="s">
        <v>6052</v>
      </c>
      <c r="AX70" s="10" t="s">
        <v>6052</v>
      </c>
      <c r="AY70" s="10" t="s">
        <v>32253</v>
      </c>
      <c r="AZ70" s="44" t="s">
        <v>33116</v>
      </c>
      <c r="BA70" s="44" t="s">
        <v>31089</v>
      </c>
      <c r="BB70" s="44" t="s">
        <v>31597</v>
      </c>
      <c r="BC70" s="44" t="s">
        <v>6415</v>
      </c>
      <c r="BD70" s="44" t="s">
        <v>31707</v>
      </c>
      <c r="BE70" s="11">
        <v>1</v>
      </c>
      <c r="BF70" s="11">
        <v>0</v>
      </c>
      <c r="BG70" s="11">
        <v>0</v>
      </c>
      <c r="BH70" s="10" t="s">
        <v>32108</v>
      </c>
      <c r="BI70" s="11">
        <v>100</v>
      </c>
      <c r="BJ70" s="10" t="s">
        <v>33255</v>
      </c>
      <c r="BK70" s="11">
        <v>100</v>
      </c>
    </row>
    <row r="71" spans="1:63" x14ac:dyDescent="0.75">
      <c r="A71" t="s">
        <v>5189</v>
      </c>
      <c r="B71" t="s">
        <v>104</v>
      </c>
      <c r="C71" t="s">
        <v>329</v>
      </c>
      <c r="D71" t="s">
        <v>330</v>
      </c>
      <c r="E71" s="22" t="s">
        <v>27432</v>
      </c>
      <c r="F71" t="s">
        <v>5190</v>
      </c>
      <c r="G71" s="1" t="str">
        <f>HYPERLINK("https://homd.org/jbrowse/?data=homd_V11.02_phage_1.2%2FGCA_900446695.1&amp;loc=GCA_900446695.1%7CUAVP01000008.1%3A130384..137211&amp;tracks=prokka,prokka_ncrna,ncbi,ncbi_ncrna,panggolin,cenote,genomad&amp;highlight=","Open JBrowse")</f>
        <v>Open JBrowse</v>
      </c>
      <c r="H71" s="10">
        <v>133384</v>
      </c>
      <c r="I71" s="10">
        <v>134211</v>
      </c>
      <c r="J71" s="10" t="s">
        <v>5191</v>
      </c>
      <c r="K71" s="10" t="s">
        <v>39</v>
      </c>
      <c r="L71" s="10" t="s">
        <v>343</v>
      </c>
      <c r="M71" s="10" t="s">
        <v>344</v>
      </c>
      <c r="N71" s="10" t="s">
        <v>42</v>
      </c>
      <c r="O71" s="10">
        <v>3</v>
      </c>
      <c r="P71" s="10" t="s">
        <v>42</v>
      </c>
      <c r="Q71" s="10" t="s">
        <v>43</v>
      </c>
      <c r="R71" s="10" t="s">
        <v>5192</v>
      </c>
      <c r="S71" s="10" t="s">
        <v>343</v>
      </c>
      <c r="T71" s="10" t="s">
        <v>42</v>
      </c>
      <c r="U71" s="10">
        <v>38</v>
      </c>
      <c r="V71" s="10">
        <v>270</v>
      </c>
      <c r="W71" s="10">
        <v>233</v>
      </c>
      <c r="X71" s="10" t="s">
        <v>45</v>
      </c>
      <c r="Y71" s="10" t="s">
        <v>5193</v>
      </c>
      <c r="Z71" s="10" t="s">
        <v>743</v>
      </c>
      <c r="AA71" s="10" t="s">
        <v>347</v>
      </c>
      <c r="AB71" s="10"/>
      <c r="AC71" s="10"/>
      <c r="AD71" s="10"/>
      <c r="AE71" s="10"/>
      <c r="AF71" s="10"/>
      <c r="AG71" s="44"/>
      <c r="AH71" s="44"/>
      <c r="AI71" s="44" t="s">
        <v>6052</v>
      </c>
      <c r="AJ71" s="44" t="s">
        <v>6052</v>
      </c>
      <c r="AK71" s="44" t="s">
        <v>6052</v>
      </c>
      <c r="AL71" s="44" t="s">
        <v>6052</v>
      </c>
      <c r="AM71" s="44" t="s">
        <v>6052</v>
      </c>
      <c r="AN71" s="44" t="s">
        <v>32960</v>
      </c>
      <c r="AO71" s="45">
        <v>11</v>
      </c>
      <c r="AP71" s="45">
        <v>1</v>
      </c>
      <c r="AQ71" s="45">
        <v>0</v>
      </c>
      <c r="AR71" s="45">
        <v>0</v>
      </c>
      <c r="AS71" s="45">
        <v>0</v>
      </c>
      <c r="AT71" s="45">
        <v>0</v>
      </c>
      <c r="AU71" s="10" t="s">
        <v>6052</v>
      </c>
      <c r="AV71" s="10" t="s">
        <v>6052</v>
      </c>
      <c r="AW71" s="10" t="s">
        <v>6052</v>
      </c>
      <c r="AX71" s="10" t="s">
        <v>6052</v>
      </c>
      <c r="AY71" s="10" t="s">
        <v>32253</v>
      </c>
      <c r="AZ71" s="44" t="s">
        <v>33116</v>
      </c>
      <c r="BA71" s="44" t="s">
        <v>31090</v>
      </c>
      <c r="BB71" s="44" t="s">
        <v>31600</v>
      </c>
      <c r="BC71" s="44" t="s">
        <v>6415</v>
      </c>
      <c r="BD71" s="44" t="s">
        <v>31707</v>
      </c>
      <c r="BE71" s="11">
        <v>1</v>
      </c>
      <c r="BF71" s="11">
        <v>0</v>
      </c>
      <c r="BG71" s="11">
        <v>0</v>
      </c>
      <c r="BH71" s="10" t="s">
        <v>31879</v>
      </c>
      <c r="BI71" s="11">
        <v>100</v>
      </c>
      <c r="BJ71" s="10" t="s">
        <v>33288</v>
      </c>
      <c r="BK71" s="11">
        <v>100</v>
      </c>
    </row>
    <row r="72" spans="1:63" x14ac:dyDescent="0.75">
      <c r="A72" t="s">
        <v>5154</v>
      </c>
      <c r="B72" t="s">
        <v>104</v>
      </c>
      <c r="C72" t="s">
        <v>1534</v>
      </c>
      <c r="D72" t="s">
        <v>1535</v>
      </c>
      <c r="E72" s="22" t="s">
        <v>27316</v>
      </c>
      <c r="F72" t="s">
        <v>5155</v>
      </c>
      <c r="G72" s="1" t="str">
        <f>HYPERLINK("https://homd.org/jbrowse/?data=homd_V11.02_phage_1.2%2FGCA_900187255.1&amp;loc=GCA_900187255.1%7CLT906449.1%3A1949890..1956849&amp;tracks=prokka,prokka_ncrna,ncbi,ncbi_ncrna,panggolin,cenote,genomad&amp;highlight=","Open JBrowse")</f>
        <v>Open JBrowse</v>
      </c>
      <c r="H72" s="10">
        <v>1952890</v>
      </c>
      <c r="I72" s="10">
        <v>1953849</v>
      </c>
      <c r="J72" s="10" t="s">
        <v>5156</v>
      </c>
      <c r="K72" s="10" t="s">
        <v>59</v>
      </c>
      <c r="L72" s="10" t="s">
        <v>1538</v>
      </c>
      <c r="M72" s="10" t="s">
        <v>1539</v>
      </c>
      <c r="N72" s="10" t="s">
        <v>398</v>
      </c>
      <c r="O72" s="10">
        <v>3</v>
      </c>
      <c r="P72" s="10" t="s">
        <v>42</v>
      </c>
      <c r="Q72" s="10" t="s">
        <v>59</v>
      </c>
      <c r="R72" s="10" t="s">
        <v>5157</v>
      </c>
      <c r="S72" s="10" t="s">
        <v>1538</v>
      </c>
      <c r="T72" s="10" t="s">
        <v>42</v>
      </c>
      <c r="U72" s="10">
        <v>51</v>
      </c>
      <c r="V72" s="10">
        <v>314</v>
      </c>
      <c r="W72" s="10">
        <v>264</v>
      </c>
      <c r="X72" s="10" t="s">
        <v>1541</v>
      </c>
      <c r="Y72" s="10" t="s">
        <v>5158</v>
      </c>
      <c r="Z72" s="10" t="s">
        <v>416</v>
      </c>
      <c r="AA72" s="10" t="s">
        <v>5144</v>
      </c>
      <c r="AB72" s="10"/>
      <c r="AC72" s="10"/>
      <c r="AD72" s="10"/>
      <c r="AE72" s="10"/>
      <c r="AF72" s="10"/>
      <c r="AG72" s="44"/>
      <c r="AH72" s="44"/>
      <c r="AI72" s="44" t="s">
        <v>6052</v>
      </c>
      <c r="AJ72" s="44" t="s">
        <v>6052</v>
      </c>
      <c r="AK72" s="44" t="s">
        <v>6052</v>
      </c>
      <c r="AL72" s="44" t="s">
        <v>6052</v>
      </c>
      <c r="AM72" s="44" t="s">
        <v>6052</v>
      </c>
      <c r="AN72" s="44" t="s">
        <v>32964</v>
      </c>
      <c r="AO72" s="45">
        <v>11</v>
      </c>
      <c r="AP72" s="45">
        <v>1</v>
      </c>
      <c r="AQ72" s="45">
        <v>0</v>
      </c>
      <c r="AR72" s="45">
        <v>0</v>
      </c>
      <c r="AS72" s="45">
        <v>0</v>
      </c>
      <c r="AT72" s="45">
        <v>0</v>
      </c>
      <c r="AU72" s="10" t="s">
        <v>6052</v>
      </c>
      <c r="AV72" s="10" t="s">
        <v>6052</v>
      </c>
      <c r="AW72" s="10" t="s">
        <v>6052</v>
      </c>
      <c r="AX72" s="10" t="s">
        <v>6052</v>
      </c>
      <c r="AY72" s="10" t="s">
        <v>32253</v>
      </c>
      <c r="AZ72" s="44" t="s">
        <v>33116</v>
      </c>
      <c r="BA72" s="44" t="s">
        <v>31091</v>
      </c>
      <c r="BB72" s="44" t="s">
        <v>31602</v>
      </c>
      <c r="BC72" s="44" t="s">
        <v>6415</v>
      </c>
      <c r="BD72" s="44" t="s">
        <v>31707</v>
      </c>
      <c r="BE72" s="11">
        <v>1</v>
      </c>
      <c r="BF72" s="11">
        <v>0</v>
      </c>
      <c r="BG72" s="11">
        <v>0</v>
      </c>
      <c r="BH72" s="10" t="s">
        <v>32223</v>
      </c>
      <c r="BI72" s="11">
        <v>100</v>
      </c>
      <c r="BJ72" s="10" t="s">
        <v>33223</v>
      </c>
      <c r="BK72" s="11">
        <v>100</v>
      </c>
    </row>
    <row r="73" spans="1:63" x14ac:dyDescent="0.75">
      <c r="A73" t="s">
        <v>5164</v>
      </c>
      <c r="B73" t="s">
        <v>104</v>
      </c>
      <c r="C73" t="s">
        <v>550</v>
      </c>
      <c r="D73" t="s">
        <v>551</v>
      </c>
      <c r="E73" s="22" t="s">
        <v>27318</v>
      </c>
      <c r="F73" t="s">
        <v>5165</v>
      </c>
      <c r="G73" s="1" t="str">
        <f>HYPERLINK("https://homd.org/jbrowse/?data=homd_V11.02_phage_1.2%2FGCA_900187995.1&amp;loc=GCA_900187995.1%7CFZNZ01000032.1%3A1571..8575&amp;tracks=prokka,prokka_ncrna,ncbi,ncbi_ncrna,panggolin,cenote,genomad&amp;highlight=","Open JBrowse")</f>
        <v>Open JBrowse</v>
      </c>
      <c r="H73" s="10">
        <v>4571</v>
      </c>
      <c r="I73" s="10">
        <v>5575</v>
      </c>
      <c r="J73" s="10" t="s">
        <v>5166</v>
      </c>
      <c r="K73" s="10" t="s">
        <v>59</v>
      </c>
      <c r="L73" s="10" t="s">
        <v>157</v>
      </c>
      <c r="M73" s="10" t="s">
        <v>158</v>
      </c>
      <c r="N73" s="10" t="s">
        <v>42</v>
      </c>
      <c r="O73" s="10">
        <v>3</v>
      </c>
      <c r="P73" s="10" t="s">
        <v>42</v>
      </c>
      <c r="Q73" s="10" t="s">
        <v>59</v>
      </c>
      <c r="R73" s="10" t="s">
        <v>5167</v>
      </c>
      <c r="S73" s="10" t="s">
        <v>157</v>
      </c>
      <c r="T73" s="10" t="s">
        <v>42</v>
      </c>
      <c r="U73" s="10">
        <v>53</v>
      </c>
      <c r="V73" s="10">
        <v>279</v>
      </c>
      <c r="W73" s="10">
        <v>227</v>
      </c>
      <c r="X73" s="10" t="s">
        <v>160</v>
      </c>
      <c r="Y73" s="10" t="s">
        <v>5168</v>
      </c>
      <c r="Z73" s="10" t="s">
        <v>420</v>
      </c>
      <c r="AA73" s="10" t="s">
        <v>2061</v>
      </c>
      <c r="AB73" s="10"/>
      <c r="AC73" s="10"/>
      <c r="AD73" s="10"/>
      <c r="AE73" s="10"/>
      <c r="AF73" s="10"/>
      <c r="AG73" s="44"/>
      <c r="AH73" s="44"/>
      <c r="AI73" s="44" t="s">
        <v>6052</v>
      </c>
      <c r="AJ73" s="44" t="s">
        <v>6052</v>
      </c>
      <c r="AK73" s="44" t="s">
        <v>6052</v>
      </c>
      <c r="AL73" s="44" t="s">
        <v>6052</v>
      </c>
      <c r="AM73" s="44" t="s">
        <v>6052</v>
      </c>
      <c r="AN73" s="44" t="s">
        <v>32629</v>
      </c>
      <c r="AO73" s="45">
        <v>11</v>
      </c>
      <c r="AP73" s="45">
        <v>1</v>
      </c>
      <c r="AQ73" s="45">
        <v>0</v>
      </c>
      <c r="AR73" s="45">
        <v>0</v>
      </c>
      <c r="AS73" s="45">
        <v>0</v>
      </c>
      <c r="AT73" s="45">
        <v>0</v>
      </c>
      <c r="AU73" s="10" t="s">
        <v>6052</v>
      </c>
      <c r="AV73" s="10" t="s">
        <v>6052</v>
      </c>
      <c r="AW73" s="10" t="s">
        <v>6052</v>
      </c>
      <c r="AX73" s="10" t="s">
        <v>6052</v>
      </c>
      <c r="AY73" s="10" t="s">
        <v>32253</v>
      </c>
      <c r="AZ73" s="44" t="s">
        <v>33117</v>
      </c>
      <c r="BA73" s="44" t="s">
        <v>30945</v>
      </c>
      <c r="BB73" s="44" t="s">
        <v>31383</v>
      </c>
      <c r="BC73" s="44" t="s">
        <v>6594</v>
      </c>
      <c r="BD73" s="44" t="s">
        <v>31708</v>
      </c>
      <c r="BE73" s="11">
        <v>1</v>
      </c>
      <c r="BF73" s="11">
        <v>0</v>
      </c>
      <c r="BG73" s="11">
        <v>0</v>
      </c>
      <c r="BH73" s="10" t="s">
        <v>32058</v>
      </c>
      <c r="BI73" s="11">
        <v>100</v>
      </c>
      <c r="BJ73" s="10" t="s">
        <v>33390</v>
      </c>
      <c r="BK73" s="11">
        <v>100</v>
      </c>
    </row>
    <row r="74" spans="1:63" x14ac:dyDescent="0.75">
      <c r="A74" t="s">
        <v>5135</v>
      </c>
      <c r="B74" t="s">
        <v>104</v>
      </c>
      <c r="C74" t="s">
        <v>1534</v>
      </c>
      <c r="D74" t="s">
        <v>1535</v>
      </c>
      <c r="E74" s="22" t="s">
        <v>27197</v>
      </c>
      <c r="F74" t="s">
        <v>5141</v>
      </c>
      <c r="G74" s="1" t="str">
        <f>HYPERLINK("https://homd.org/jbrowse/?data=homd_V11.02_phage_1.2%2FGCA_900115315.1&amp;loc=GCA_900115315.1%7CFOVX01000011.1%3A36886..43845&amp;tracks=prokka,prokka_ncrna,ncbi,ncbi_ncrna,panggolin,cenote,genomad&amp;highlight=","Open JBrowse")</f>
        <v>Open JBrowse</v>
      </c>
      <c r="H74" s="10">
        <v>39886</v>
      </c>
      <c r="I74" s="10">
        <v>40845</v>
      </c>
      <c r="J74" s="10" t="s">
        <v>5142</v>
      </c>
      <c r="K74" s="10" t="s">
        <v>59</v>
      </c>
      <c r="L74" s="10" t="s">
        <v>1538</v>
      </c>
      <c r="M74" s="10" t="s">
        <v>1539</v>
      </c>
      <c r="N74" s="10" t="s">
        <v>398</v>
      </c>
      <c r="O74" s="10">
        <v>3</v>
      </c>
      <c r="P74" s="10" t="s">
        <v>42</v>
      </c>
      <c r="Q74" s="10" t="s">
        <v>59</v>
      </c>
      <c r="R74" s="10" t="s">
        <v>5138</v>
      </c>
      <c r="S74" s="10" t="s">
        <v>1538</v>
      </c>
      <c r="T74" s="10" t="s">
        <v>42</v>
      </c>
      <c r="U74" s="10">
        <v>51</v>
      </c>
      <c r="V74" s="10">
        <v>314</v>
      </c>
      <c r="W74" s="10">
        <v>264</v>
      </c>
      <c r="X74" s="10" t="s">
        <v>1541</v>
      </c>
      <c r="Y74" s="10" t="s">
        <v>5143</v>
      </c>
      <c r="Z74" s="10" t="s">
        <v>470</v>
      </c>
      <c r="AA74" s="10" t="s">
        <v>5144</v>
      </c>
      <c r="AB74" s="10"/>
      <c r="AC74" s="10"/>
      <c r="AD74" s="10"/>
      <c r="AE74" s="10"/>
      <c r="AF74" s="10"/>
      <c r="AG74" s="44"/>
      <c r="AH74" s="44"/>
      <c r="AI74" s="44" t="s">
        <v>6052</v>
      </c>
      <c r="AJ74" s="44" t="s">
        <v>6052</v>
      </c>
      <c r="AK74" s="44" t="s">
        <v>6052</v>
      </c>
      <c r="AL74" s="44" t="s">
        <v>6052</v>
      </c>
      <c r="AM74" s="44" t="s">
        <v>6052</v>
      </c>
      <c r="AN74" s="44" t="s">
        <v>32604</v>
      </c>
      <c r="AO74" s="45">
        <v>11</v>
      </c>
      <c r="AP74" s="45">
        <v>1</v>
      </c>
      <c r="AQ74" s="45">
        <v>0</v>
      </c>
      <c r="AR74" s="45">
        <v>0</v>
      </c>
      <c r="AS74" s="45">
        <v>0</v>
      </c>
      <c r="AT74" s="45">
        <v>0</v>
      </c>
      <c r="AU74" s="10" t="s">
        <v>6052</v>
      </c>
      <c r="AV74" s="10" t="s">
        <v>6052</v>
      </c>
      <c r="AW74" s="10" t="s">
        <v>6052</v>
      </c>
      <c r="AX74" s="10" t="s">
        <v>6052</v>
      </c>
      <c r="AY74" s="10" t="s">
        <v>32253</v>
      </c>
      <c r="AZ74" s="44" t="s">
        <v>33116</v>
      </c>
      <c r="BA74" s="44" t="s">
        <v>30932</v>
      </c>
      <c r="BB74" s="44" t="s">
        <v>31368</v>
      </c>
      <c r="BC74" s="44" t="s">
        <v>6415</v>
      </c>
      <c r="BD74" s="44" t="s">
        <v>31707</v>
      </c>
      <c r="BE74" s="11">
        <v>1</v>
      </c>
      <c r="BF74" s="11">
        <v>0</v>
      </c>
      <c r="BG74" s="11">
        <v>0</v>
      </c>
      <c r="BH74" s="10" t="s">
        <v>32224</v>
      </c>
      <c r="BI74" s="11">
        <v>100</v>
      </c>
      <c r="BJ74" s="10" t="s">
        <v>33222</v>
      </c>
      <c r="BK74" s="11">
        <v>100</v>
      </c>
    </row>
    <row r="75" spans="1:63" x14ac:dyDescent="0.75">
      <c r="A75" t="s">
        <v>5071</v>
      </c>
      <c r="B75" t="s">
        <v>104</v>
      </c>
      <c r="C75" t="s">
        <v>578</v>
      </c>
      <c r="D75" t="s">
        <v>579</v>
      </c>
      <c r="E75" s="22" t="s">
        <v>27134</v>
      </c>
      <c r="F75" t="s">
        <v>5077</v>
      </c>
      <c r="G75" s="1" t="str">
        <f>HYPERLINK("https://homd.org/jbrowse/?data=homd_V11.02_phage_1.2%2FGCA_900096715.1&amp;loc=GCA_900096715.1%7CFMML01000082.1%3A35157..41948&amp;tracks=prokka,prokka_ncrna,ncbi,ncbi_ncrna,panggolin,cenote,genomad&amp;highlight=","Open JBrowse")</f>
        <v>Open JBrowse</v>
      </c>
      <c r="H75" s="10">
        <v>38157</v>
      </c>
      <c r="I75" s="10">
        <v>38948</v>
      </c>
      <c r="J75" s="10" t="s">
        <v>5078</v>
      </c>
      <c r="K75" s="10" t="s">
        <v>39</v>
      </c>
      <c r="L75" s="10" t="s">
        <v>491</v>
      </c>
      <c r="M75" s="10" t="s">
        <v>592</v>
      </c>
      <c r="N75" s="10" t="s">
        <v>42</v>
      </c>
      <c r="O75" s="10">
        <v>3</v>
      </c>
      <c r="P75" s="10" t="s">
        <v>42</v>
      </c>
      <c r="Q75" s="10" t="s">
        <v>43</v>
      </c>
      <c r="R75" s="10" t="s">
        <v>5074</v>
      </c>
      <c r="S75" s="10" t="s">
        <v>491</v>
      </c>
      <c r="T75" s="10" t="s">
        <v>42</v>
      </c>
      <c r="U75" s="10">
        <v>34</v>
      </c>
      <c r="V75" s="10">
        <v>259</v>
      </c>
      <c r="W75" s="10">
        <v>226</v>
      </c>
      <c r="X75" s="10" t="s">
        <v>45</v>
      </c>
      <c r="Y75" s="10" t="s">
        <v>5079</v>
      </c>
      <c r="Z75" s="10" t="s">
        <v>594</v>
      </c>
      <c r="AA75" s="10" t="s">
        <v>595</v>
      </c>
      <c r="AB75" s="10"/>
      <c r="AC75" s="10"/>
      <c r="AD75" s="10"/>
      <c r="AE75" s="10"/>
      <c r="AF75" s="10"/>
      <c r="AG75" s="44"/>
      <c r="AH75" s="44"/>
      <c r="AI75" s="44" t="s">
        <v>6052</v>
      </c>
      <c r="AJ75" s="44" t="s">
        <v>6052</v>
      </c>
      <c r="AK75" s="44" t="s">
        <v>6052</v>
      </c>
      <c r="AL75" s="44" t="s">
        <v>6052</v>
      </c>
      <c r="AM75" s="44" t="s">
        <v>6052</v>
      </c>
      <c r="AN75" s="44" t="s">
        <v>33061</v>
      </c>
      <c r="AO75" s="45">
        <v>11</v>
      </c>
      <c r="AP75" s="45">
        <v>1</v>
      </c>
      <c r="AQ75" s="45">
        <v>0</v>
      </c>
      <c r="AR75" s="45">
        <v>0</v>
      </c>
      <c r="AS75" s="45">
        <v>0</v>
      </c>
      <c r="AT75" s="45">
        <v>0</v>
      </c>
      <c r="AU75" s="10" t="s">
        <v>6052</v>
      </c>
      <c r="AV75" s="10" t="s">
        <v>6052</v>
      </c>
      <c r="AW75" s="10" t="s">
        <v>6052</v>
      </c>
      <c r="AX75" s="10" t="s">
        <v>6052</v>
      </c>
      <c r="AY75" s="10" t="s">
        <v>32253</v>
      </c>
      <c r="AZ75" s="44" t="s">
        <v>33116</v>
      </c>
      <c r="BA75" s="44" t="s">
        <v>31146</v>
      </c>
      <c r="BB75" s="44" t="s">
        <v>31677</v>
      </c>
      <c r="BC75" s="44" t="s">
        <v>8354</v>
      </c>
      <c r="BD75" s="44" t="s">
        <v>37365</v>
      </c>
      <c r="BE75" s="11">
        <v>1</v>
      </c>
      <c r="BF75" s="11">
        <v>0</v>
      </c>
      <c r="BG75" s="11">
        <v>0</v>
      </c>
      <c r="BH75" s="10" t="s">
        <v>31989</v>
      </c>
      <c r="BI75" s="11">
        <v>100</v>
      </c>
      <c r="BJ75" s="10" t="s">
        <v>33485</v>
      </c>
      <c r="BK75" s="11">
        <v>100</v>
      </c>
    </row>
    <row r="76" spans="1:63" x14ac:dyDescent="0.75">
      <c r="A76" t="s">
        <v>5089</v>
      </c>
      <c r="B76" t="s">
        <v>104</v>
      </c>
      <c r="C76" t="s">
        <v>578</v>
      </c>
      <c r="D76" t="s">
        <v>579</v>
      </c>
      <c r="E76" s="22" t="s">
        <v>27138</v>
      </c>
      <c r="F76" t="s">
        <v>5096</v>
      </c>
      <c r="G76" s="1" t="str">
        <f>HYPERLINK("https://homd.org/jbrowse/?data=homd_V11.02_phage_1.2%2FGCA_900096735.1&amp;loc=GCA_900096735.1%7CFMMM01000078.1%3A94338..101129&amp;tracks=prokka,prokka_ncrna,ncbi,ncbi_ncrna,panggolin,cenote,genomad&amp;highlight=","Open JBrowse")</f>
        <v>Open JBrowse</v>
      </c>
      <c r="H76" s="10">
        <v>97338</v>
      </c>
      <c r="I76" s="10">
        <v>98129</v>
      </c>
      <c r="J76" s="10" t="s">
        <v>5097</v>
      </c>
      <c r="K76" s="10" t="s">
        <v>39</v>
      </c>
      <c r="L76" s="10" t="s">
        <v>491</v>
      </c>
      <c r="M76" s="10" t="s">
        <v>592</v>
      </c>
      <c r="N76" s="10" t="s">
        <v>42</v>
      </c>
      <c r="O76" s="10">
        <v>3</v>
      </c>
      <c r="P76" s="10" t="s">
        <v>42</v>
      </c>
      <c r="Q76" s="10" t="s">
        <v>43</v>
      </c>
      <c r="R76" s="10" t="s">
        <v>5092</v>
      </c>
      <c r="S76" s="10" t="s">
        <v>491</v>
      </c>
      <c r="T76" s="10" t="s">
        <v>42</v>
      </c>
      <c r="U76" s="10">
        <v>34</v>
      </c>
      <c r="V76" s="10">
        <v>259</v>
      </c>
      <c r="W76" s="10">
        <v>226</v>
      </c>
      <c r="X76" s="10" t="s">
        <v>45</v>
      </c>
      <c r="Y76" s="10" t="s">
        <v>5098</v>
      </c>
      <c r="Z76" s="10" t="s">
        <v>5099</v>
      </c>
      <c r="AA76" s="10" t="s">
        <v>595</v>
      </c>
      <c r="AB76" s="10"/>
      <c r="AC76" s="10"/>
      <c r="AD76" s="10"/>
      <c r="AE76" s="10"/>
      <c r="AF76" s="10"/>
      <c r="AG76" s="44"/>
      <c r="AH76" s="44"/>
      <c r="AI76" s="44" t="s">
        <v>6052</v>
      </c>
      <c r="AJ76" s="44" t="s">
        <v>6052</v>
      </c>
      <c r="AK76" s="44" t="s">
        <v>6052</v>
      </c>
      <c r="AL76" s="44" t="s">
        <v>6052</v>
      </c>
      <c r="AM76" s="44" t="s">
        <v>6052</v>
      </c>
      <c r="AN76" s="44" t="s">
        <v>33055</v>
      </c>
      <c r="AO76" s="45">
        <v>11</v>
      </c>
      <c r="AP76" s="45">
        <v>1</v>
      </c>
      <c r="AQ76" s="45">
        <v>0</v>
      </c>
      <c r="AR76" s="45">
        <v>0</v>
      </c>
      <c r="AS76" s="45">
        <v>0</v>
      </c>
      <c r="AT76" s="45">
        <v>0</v>
      </c>
      <c r="AU76" s="10" t="s">
        <v>6052</v>
      </c>
      <c r="AV76" s="10" t="s">
        <v>6052</v>
      </c>
      <c r="AW76" s="10" t="s">
        <v>6052</v>
      </c>
      <c r="AX76" s="10" t="s">
        <v>6052</v>
      </c>
      <c r="AY76" s="10" t="s">
        <v>32253</v>
      </c>
      <c r="AZ76" s="44" t="s">
        <v>33116</v>
      </c>
      <c r="BA76" s="44" t="s">
        <v>31145</v>
      </c>
      <c r="BB76" s="44" t="s">
        <v>31675</v>
      </c>
      <c r="BC76" s="44" t="s">
        <v>8354</v>
      </c>
      <c r="BD76" s="44" t="s">
        <v>37365</v>
      </c>
      <c r="BE76" s="11">
        <v>1</v>
      </c>
      <c r="BF76" s="11">
        <v>0</v>
      </c>
      <c r="BG76" s="11">
        <v>0</v>
      </c>
      <c r="BH76" s="10" t="s">
        <v>31960</v>
      </c>
      <c r="BI76" s="11">
        <v>100</v>
      </c>
      <c r="BJ76" s="10" t="s">
        <v>33486</v>
      </c>
      <c r="BK76" s="11">
        <v>100</v>
      </c>
    </row>
    <row r="77" spans="1:63" x14ac:dyDescent="0.75">
      <c r="A77" t="s">
        <v>5080</v>
      </c>
      <c r="B77" t="s">
        <v>104</v>
      </c>
      <c r="C77" t="s">
        <v>578</v>
      </c>
      <c r="D77" t="s">
        <v>579</v>
      </c>
      <c r="E77" s="22" t="s">
        <v>27136</v>
      </c>
      <c r="F77" t="s">
        <v>5086</v>
      </c>
      <c r="G77" s="1" t="str">
        <f>HYPERLINK("https://homd.org/jbrowse/?data=homd_V11.02_phage_1.2%2FGCA_900096725.1&amp;loc=GCA_900096725.1%7CFMMN01000061.1%3A111928..118719&amp;tracks=prokka,prokka_ncrna,ncbi,ncbi_ncrna,panggolin,cenote,genomad&amp;highlight=","Open JBrowse")</f>
        <v>Open JBrowse</v>
      </c>
      <c r="H77" s="10">
        <v>114928</v>
      </c>
      <c r="I77" s="10">
        <v>115719</v>
      </c>
      <c r="J77" s="10" t="s">
        <v>5087</v>
      </c>
      <c r="K77" s="10" t="s">
        <v>39</v>
      </c>
      <c r="L77" s="10" t="s">
        <v>491</v>
      </c>
      <c r="M77" s="10" t="s">
        <v>592</v>
      </c>
      <c r="N77" s="10" t="s">
        <v>42</v>
      </c>
      <c r="O77" s="10">
        <v>3</v>
      </c>
      <c r="P77" s="10" t="s">
        <v>42</v>
      </c>
      <c r="Q77" s="10" t="s">
        <v>43</v>
      </c>
      <c r="R77" s="10" t="s">
        <v>5083</v>
      </c>
      <c r="S77" s="10" t="s">
        <v>491</v>
      </c>
      <c r="T77" s="10" t="s">
        <v>42</v>
      </c>
      <c r="U77" s="10">
        <v>34</v>
      </c>
      <c r="V77" s="10">
        <v>259</v>
      </c>
      <c r="W77" s="10">
        <v>226</v>
      </c>
      <c r="X77" s="10" t="s">
        <v>45</v>
      </c>
      <c r="Y77" s="10" t="s">
        <v>5088</v>
      </c>
      <c r="Z77" s="10" t="s">
        <v>83</v>
      </c>
      <c r="AA77" s="10" t="s">
        <v>595</v>
      </c>
      <c r="AB77" s="10"/>
      <c r="AC77" s="10"/>
      <c r="AD77" s="10"/>
      <c r="AE77" s="10"/>
      <c r="AF77" s="10"/>
      <c r="AG77" s="44"/>
      <c r="AH77" s="44"/>
      <c r="AI77" s="44" t="s">
        <v>6052</v>
      </c>
      <c r="AJ77" s="44" t="s">
        <v>6052</v>
      </c>
      <c r="AK77" s="44" t="s">
        <v>6052</v>
      </c>
      <c r="AL77" s="44" t="s">
        <v>6052</v>
      </c>
      <c r="AM77" s="44" t="s">
        <v>6052</v>
      </c>
      <c r="AN77" s="44" t="s">
        <v>33067</v>
      </c>
      <c r="AO77" s="45">
        <v>11</v>
      </c>
      <c r="AP77" s="45">
        <v>1</v>
      </c>
      <c r="AQ77" s="45">
        <v>0</v>
      </c>
      <c r="AR77" s="45">
        <v>0</v>
      </c>
      <c r="AS77" s="45">
        <v>0</v>
      </c>
      <c r="AT77" s="45">
        <v>0</v>
      </c>
      <c r="AU77" s="10" t="s">
        <v>6052</v>
      </c>
      <c r="AV77" s="10" t="s">
        <v>6052</v>
      </c>
      <c r="AW77" s="10" t="s">
        <v>6052</v>
      </c>
      <c r="AX77" s="10" t="s">
        <v>6052</v>
      </c>
      <c r="AY77" s="10" t="s">
        <v>32253</v>
      </c>
      <c r="AZ77" s="44" t="s">
        <v>33116</v>
      </c>
      <c r="BA77" s="44" t="s">
        <v>31147</v>
      </c>
      <c r="BB77" s="44" t="s">
        <v>31679</v>
      </c>
      <c r="BC77" s="44" t="s">
        <v>8354</v>
      </c>
      <c r="BD77" s="44" t="s">
        <v>37365</v>
      </c>
      <c r="BE77" s="11">
        <v>1</v>
      </c>
      <c r="BF77" s="11">
        <v>0</v>
      </c>
      <c r="BG77" s="11">
        <v>0</v>
      </c>
      <c r="BH77" s="10" t="s">
        <v>31978</v>
      </c>
      <c r="BI77" s="11">
        <v>100</v>
      </c>
      <c r="BJ77" s="10" t="s">
        <v>33487</v>
      </c>
      <c r="BK77" s="11">
        <v>100</v>
      </c>
    </row>
    <row r="78" spans="1:63" x14ac:dyDescent="0.75">
      <c r="A78" t="s">
        <v>1877</v>
      </c>
      <c r="B78" t="s">
        <v>104</v>
      </c>
      <c r="C78" t="s">
        <v>578</v>
      </c>
      <c r="D78" t="s">
        <v>579</v>
      </c>
      <c r="E78" s="22" t="s">
        <v>14005</v>
      </c>
      <c r="F78" t="s">
        <v>1878</v>
      </c>
      <c r="G78" s="1" t="str">
        <f>HYPERLINK("https://homd.org/jbrowse/?data=homd_V11.02_phage_1.2%2FGCA_002529295.1&amp;loc=GCA_002529295.1%7CNSLK01000002.1%3A198458..205255&amp;tracks=prokka,prokka_ncrna,ncbi,ncbi_ncrna,panggolin,cenote,genomad&amp;highlight=","Open JBrowse")</f>
        <v>Open JBrowse</v>
      </c>
      <c r="H78" s="10">
        <v>201458</v>
      </c>
      <c r="I78" s="10">
        <v>202255</v>
      </c>
      <c r="J78" s="10" t="s">
        <v>1879</v>
      </c>
      <c r="K78" s="10" t="s">
        <v>39</v>
      </c>
      <c r="L78" s="10" t="s">
        <v>491</v>
      </c>
      <c r="M78" s="10" t="s">
        <v>592</v>
      </c>
      <c r="N78" s="10" t="s">
        <v>42</v>
      </c>
      <c r="O78" s="10">
        <v>3</v>
      </c>
      <c r="P78" s="10" t="s">
        <v>42</v>
      </c>
      <c r="Q78" s="10" t="s">
        <v>43</v>
      </c>
      <c r="R78" s="10" t="s">
        <v>1880</v>
      </c>
      <c r="S78" s="10" t="s">
        <v>491</v>
      </c>
      <c r="T78" s="10" t="s">
        <v>42</v>
      </c>
      <c r="U78" s="10">
        <v>34</v>
      </c>
      <c r="V78" s="10">
        <v>259</v>
      </c>
      <c r="W78" s="10">
        <v>226</v>
      </c>
      <c r="X78" s="10" t="s">
        <v>45</v>
      </c>
      <c r="Y78" s="10" t="s">
        <v>1881</v>
      </c>
      <c r="Z78" s="10" t="s">
        <v>302</v>
      </c>
      <c r="AA78" s="10" t="s">
        <v>1882</v>
      </c>
      <c r="AB78" s="10"/>
      <c r="AC78" s="10"/>
      <c r="AD78" s="10"/>
      <c r="AE78" s="10"/>
      <c r="AF78" s="10"/>
      <c r="AG78" s="44"/>
      <c r="AH78" s="44"/>
      <c r="AI78" s="44" t="s">
        <v>6052</v>
      </c>
      <c r="AJ78" s="44" t="s">
        <v>6052</v>
      </c>
      <c r="AK78" s="44" t="s">
        <v>6052</v>
      </c>
      <c r="AL78" s="44" t="s">
        <v>6052</v>
      </c>
      <c r="AM78" s="44" t="s">
        <v>6052</v>
      </c>
      <c r="AN78" s="44" t="s">
        <v>33097</v>
      </c>
      <c r="AO78" s="45">
        <v>11</v>
      </c>
      <c r="AP78" s="45">
        <v>1</v>
      </c>
      <c r="AQ78" s="45">
        <v>0</v>
      </c>
      <c r="AR78" s="45">
        <v>0</v>
      </c>
      <c r="AS78" s="45">
        <v>0</v>
      </c>
      <c r="AT78" s="45">
        <v>0</v>
      </c>
      <c r="AU78" s="10" t="s">
        <v>6052</v>
      </c>
      <c r="AV78" s="10" t="s">
        <v>6052</v>
      </c>
      <c r="AW78" s="10" t="s">
        <v>6052</v>
      </c>
      <c r="AX78" s="10" t="s">
        <v>6052</v>
      </c>
      <c r="AY78" s="10" t="s">
        <v>32253</v>
      </c>
      <c r="AZ78" s="44" t="s">
        <v>33116</v>
      </c>
      <c r="BA78" s="44" t="s">
        <v>31158</v>
      </c>
      <c r="BB78" s="44" t="s">
        <v>31699</v>
      </c>
      <c r="BC78" s="44" t="s">
        <v>8354</v>
      </c>
      <c r="BD78" s="44" t="s">
        <v>37365</v>
      </c>
      <c r="BE78" s="11">
        <v>1</v>
      </c>
      <c r="BF78" s="11">
        <v>0</v>
      </c>
      <c r="BG78" s="11">
        <v>0</v>
      </c>
      <c r="BH78" s="10" t="s">
        <v>32011</v>
      </c>
      <c r="BI78" s="11">
        <v>100</v>
      </c>
      <c r="BJ78" s="10" t="s">
        <v>33491</v>
      </c>
      <c r="BK78" s="11">
        <v>100</v>
      </c>
    </row>
    <row r="79" spans="1:63" x14ac:dyDescent="0.75">
      <c r="A79" t="s">
        <v>1868</v>
      </c>
      <c r="B79" t="s">
        <v>104</v>
      </c>
      <c r="C79" t="s">
        <v>578</v>
      </c>
      <c r="D79" t="s">
        <v>579</v>
      </c>
      <c r="E79" s="22" t="s">
        <v>13979</v>
      </c>
      <c r="F79" t="s">
        <v>1869</v>
      </c>
      <c r="G79" s="1" t="str">
        <f>HYPERLINK("https://homd.org/jbrowse/?data=homd_V11.02_phage_1.2%2FGCA_002529085.1&amp;loc=GCA_002529085.1%7CNSLJ01000005.1%3A1..6618&amp;tracks=prokka,prokka_ncrna,ncbi,ncbi_ncrna,panggolin,cenote,genomad&amp;highlight=","Open JBrowse")</f>
        <v>Open JBrowse</v>
      </c>
      <c r="H79" s="10">
        <v>2827</v>
      </c>
      <c r="I79" s="10">
        <v>3618</v>
      </c>
      <c r="J79" s="10" t="s">
        <v>1870</v>
      </c>
      <c r="K79" s="10" t="s">
        <v>39</v>
      </c>
      <c r="L79" s="10" t="s">
        <v>491</v>
      </c>
      <c r="M79" s="10" t="s">
        <v>592</v>
      </c>
      <c r="N79" s="10" t="s">
        <v>42</v>
      </c>
      <c r="O79" s="10">
        <v>3</v>
      </c>
      <c r="P79" s="10" t="s">
        <v>42</v>
      </c>
      <c r="Q79" s="10" t="s">
        <v>43</v>
      </c>
      <c r="R79" s="10" t="s">
        <v>1871</v>
      </c>
      <c r="S79" s="10" t="s">
        <v>491</v>
      </c>
      <c r="T79" s="10" t="s">
        <v>42</v>
      </c>
      <c r="U79" s="10">
        <v>34</v>
      </c>
      <c r="V79" s="10">
        <v>259</v>
      </c>
      <c r="W79" s="10">
        <v>226</v>
      </c>
      <c r="X79" s="10" t="s">
        <v>45</v>
      </c>
      <c r="Y79" s="10" t="s">
        <v>1872</v>
      </c>
      <c r="Z79" s="10" t="s">
        <v>336</v>
      </c>
      <c r="AA79" s="10" t="s">
        <v>595</v>
      </c>
      <c r="AB79" s="10"/>
      <c r="AC79" s="10"/>
      <c r="AD79" s="10"/>
      <c r="AE79" s="10"/>
      <c r="AF79" s="10"/>
      <c r="AG79" s="44"/>
      <c r="AH79" s="44"/>
      <c r="AI79" s="44" t="s">
        <v>6052</v>
      </c>
      <c r="AJ79" s="44" t="s">
        <v>6052</v>
      </c>
      <c r="AK79" s="44" t="s">
        <v>6052</v>
      </c>
      <c r="AL79" s="44" t="s">
        <v>6052</v>
      </c>
      <c r="AM79" s="44" t="s">
        <v>6052</v>
      </c>
      <c r="AN79" s="44" t="s">
        <v>33103</v>
      </c>
      <c r="AO79" s="45">
        <v>11</v>
      </c>
      <c r="AP79" s="45">
        <v>1</v>
      </c>
      <c r="AQ79" s="45">
        <v>0</v>
      </c>
      <c r="AR79" s="45">
        <v>0</v>
      </c>
      <c r="AS79" s="45">
        <v>0</v>
      </c>
      <c r="AT79" s="45">
        <v>0</v>
      </c>
      <c r="AU79" s="10" t="s">
        <v>6052</v>
      </c>
      <c r="AV79" s="10" t="s">
        <v>6052</v>
      </c>
      <c r="AW79" s="10" t="s">
        <v>6052</v>
      </c>
      <c r="AX79" s="10" t="s">
        <v>6052</v>
      </c>
      <c r="AY79" s="10" t="s">
        <v>32253</v>
      </c>
      <c r="AZ79" s="44" t="s">
        <v>33116</v>
      </c>
      <c r="BA79" s="44" t="s">
        <v>31159</v>
      </c>
      <c r="BB79" s="44" t="s">
        <v>31701</v>
      </c>
      <c r="BC79" s="44" t="s">
        <v>8354</v>
      </c>
      <c r="BD79" s="44" t="s">
        <v>37365</v>
      </c>
      <c r="BE79" s="11">
        <v>1</v>
      </c>
      <c r="BF79" s="11">
        <v>0</v>
      </c>
      <c r="BG79" s="11">
        <v>0</v>
      </c>
      <c r="BH79" s="10" t="s">
        <v>31961</v>
      </c>
      <c r="BI79" s="11">
        <v>100</v>
      </c>
      <c r="BJ79" s="10" t="s">
        <v>33490</v>
      </c>
      <c r="BK79" s="11">
        <v>100</v>
      </c>
    </row>
    <row r="80" spans="1:63" x14ac:dyDescent="0.75">
      <c r="A80" t="s">
        <v>5038</v>
      </c>
      <c r="B80" t="s">
        <v>104</v>
      </c>
      <c r="C80" t="s">
        <v>223</v>
      </c>
      <c r="D80" t="s">
        <v>224</v>
      </c>
      <c r="E80" s="22" t="s">
        <v>27109</v>
      </c>
      <c r="F80" t="s">
        <v>5042</v>
      </c>
      <c r="G80" s="1" t="str">
        <f>HYPERLINK("https://homd.org/jbrowse/?data=homd_V11.02_phage_1.2%2FGCA_900079085.1&amp;loc=GCA_900079085.1%7CFKLO01000052.1%3A4806..19844&amp;tracks=prokka,prokka_ncrna,ncbi,ncbi_ncrna,panggolin,cenote,genomad&amp;highlight=","Open JBrowse")</f>
        <v>Open JBrowse</v>
      </c>
      <c r="H80" s="10">
        <v>7806</v>
      </c>
      <c r="I80" s="10">
        <v>16844</v>
      </c>
      <c r="J80" s="10" t="s">
        <v>5043</v>
      </c>
      <c r="K80" s="10" t="s">
        <v>5044</v>
      </c>
      <c r="L80" s="10" t="s">
        <v>5045</v>
      </c>
      <c r="M80" s="10" t="s">
        <v>5046</v>
      </c>
      <c r="N80" s="10" t="s">
        <v>5047</v>
      </c>
      <c r="O80" s="10">
        <v>3</v>
      </c>
      <c r="P80" s="10" t="s">
        <v>5048</v>
      </c>
      <c r="Q80" s="10" t="s">
        <v>5049</v>
      </c>
      <c r="R80" s="10" t="s">
        <v>5041</v>
      </c>
      <c r="S80" s="10" t="s">
        <v>5050</v>
      </c>
      <c r="T80" s="10" t="s">
        <v>42</v>
      </c>
      <c r="U80" s="10">
        <v>2017</v>
      </c>
      <c r="V80" s="10">
        <v>2273</v>
      </c>
      <c r="W80" s="10">
        <v>257</v>
      </c>
      <c r="X80" s="10" t="s">
        <v>5051</v>
      </c>
      <c r="Y80" s="10"/>
      <c r="Z80" s="10"/>
      <c r="AA80" s="10"/>
      <c r="AB80" s="10"/>
      <c r="AC80" s="10"/>
      <c r="AD80" s="10"/>
      <c r="AE80" s="10"/>
      <c r="AF80" s="10"/>
      <c r="AG80" s="44"/>
      <c r="AH80" s="44"/>
      <c r="AI80" s="46" t="s">
        <v>6054</v>
      </c>
      <c r="AJ80" s="44" t="s">
        <v>6052</v>
      </c>
      <c r="AK80" s="44" t="s">
        <v>6052</v>
      </c>
      <c r="AL80" s="44" t="s">
        <v>6052</v>
      </c>
      <c r="AM80" s="44" t="s">
        <v>6052</v>
      </c>
      <c r="AN80" s="44" t="s">
        <v>32581</v>
      </c>
      <c r="AO80" s="45">
        <v>11</v>
      </c>
      <c r="AP80" s="45">
        <v>1</v>
      </c>
      <c r="AQ80" s="45">
        <v>0</v>
      </c>
      <c r="AR80" s="45">
        <v>0</v>
      </c>
      <c r="AS80" s="45">
        <v>0</v>
      </c>
      <c r="AT80" s="45">
        <v>0</v>
      </c>
      <c r="AU80" s="10" t="s">
        <v>6052</v>
      </c>
      <c r="AV80" s="10" t="s">
        <v>6052</v>
      </c>
      <c r="AW80" s="10" t="s">
        <v>6052</v>
      </c>
      <c r="AX80" s="10" t="s">
        <v>6052</v>
      </c>
      <c r="AY80" s="10" t="s">
        <v>32253</v>
      </c>
      <c r="AZ80" s="44" t="s">
        <v>33110</v>
      </c>
      <c r="BA80" s="44" t="s">
        <v>30921</v>
      </c>
      <c r="BB80" s="44" t="s">
        <v>31353</v>
      </c>
      <c r="BC80" s="44" t="s">
        <v>6927</v>
      </c>
      <c r="BD80" s="44" t="s">
        <v>31721</v>
      </c>
      <c r="BE80" s="11">
        <v>1</v>
      </c>
      <c r="BF80" s="11">
        <v>0</v>
      </c>
      <c r="BG80" s="11">
        <v>0</v>
      </c>
      <c r="BH80" s="10" t="s">
        <v>31867</v>
      </c>
      <c r="BI80" s="11">
        <v>100</v>
      </c>
      <c r="BJ80" s="10" t="s">
        <v>33289</v>
      </c>
      <c r="BK80" s="11">
        <v>100</v>
      </c>
    </row>
    <row r="81" spans="1:63" x14ac:dyDescent="0.75">
      <c r="A81" t="s">
        <v>2192</v>
      </c>
      <c r="B81" t="s">
        <v>104</v>
      </c>
      <c r="C81" t="s">
        <v>1794</v>
      </c>
      <c r="D81" t="s">
        <v>1069</v>
      </c>
      <c r="E81" s="22" t="s">
        <v>15959</v>
      </c>
      <c r="F81" t="s">
        <v>2193</v>
      </c>
      <c r="G81" s="1" t="str">
        <f>HYPERLINK("https://homd.org/jbrowse/?data=homd_V11.02_phage_1.2%2FGCA_003638725.1&amp;loc=GCA_003638725.1%7CRBKD01000048.1%3A1..4306&amp;tracks=prokka,prokka_ncrna,ncbi,ncbi_ncrna,panggolin,cenote,genomad&amp;highlight=","Open JBrowse")</f>
        <v>Open JBrowse</v>
      </c>
      <c r="H81" s="10">
        <v>209</v>
      </c>
      <c r="I81" s="10">
        <v>1306</v>
      </c>
      <c r="J81" s="10" t="s">
        <v>2194</v>
      </c>
      <c r="K81" s="10" t="s">
        <v>59</v>
      </c>
      <c r="L81" s="10" t="s">
        <v>1797</v>
      </c>
      <c r="M81" s="10" t="s">
        <v>1798</v>
      </c>
      <c r="N81" s="10" t="s">
        <v>42</v>
      </c>
      <c r="O81" s="10">
        <v>3</v>
      </c>
      <c r="P81" s="10" t="s">
        <v>42</v>
      </c>
      <c r="Q81" s="10" t="s">
        <v>59</v>
      </c>
      <c r="R81" s="10" t="s">
        <v>2195</v>
      </c>
      <c r="S81" s="10" t="s">
        <v>1797</v>
      </c>
      <c r="T81" s="10" t="s">
        <v>42</v>
      </c>
      <c r="U81" s="10">
        <v>105</v>
      </c>
      <c r="V81" s="10">
        <v>361</v>
      </c>
      <c r="W81" s="10">
        <v>257</v>
      </c>
      <c r="X81" s="10" t="s">
        <v>142</v>
      </c>
      <c r="Y81" s="10" t="s">
        <v>2196</v>
      </c>
      <c r="Z81" s="10" t="s">
        <v>1463</v>
      </c>
      <c r="AA81" s="10" t="s">
        <v>2197</v>
      </c>
      <c r="AB81" s="10" t="s">
        <v>2198</v>
      </c>
      <c r="AC81" s="10" t="s">
        <v>1803</v>
      </c>
      <c r="AD81" s="10" t="s">
        <v>51</v>
      </c>
      <c r="AE81" s="10">
        <v>379.3</v>
      </c>
      <c r="AF81" s="10" t="s">
        <v>1214</v>
      </c>
      <c r="AG81" s="44"/>
      <c r="AH81" s="44"/>
      <c r="AI81" s="44" t="s">
        <v>6052</v>
      </c>
      <c r="AJ81" s="44" t="s">
        <v>6052</v>
      </c>
      <c r="AK81" s="44" t="s">
        <v>6052</v>
      </c>
      <c r="AL81" s="44" t="s">
        <v>6052</v>
      </c>
      <c r="AM81" s="44" t="s">
        <v>6052</v>
      </c>
      <c r="AN81" s="44" t="s">
        <v>32552</v>
      </c>
      <c r="AO81" s="45">
        <v>11</v>
      </c>
      <c r="AP81" s="45">
        <v>1</v>
      </c>
      <c r="AQ81" s="45">
        <v>0</v>
      </c>
      <c r="AR81" s="45">
        <v>0</v>
      </c>
      <c r="AS81" s="45">
        <v>0</v>
      </c>
      <c r="AT81" s="45">
        <v>0</v>
      </c>
      <c r="AU81" s="10" t="s">
        <v>6052</v>
      </c>
      <c r="AV81" s="10" t="s">
        <v>6052</v>
      </c>
      <c r="AW81" s="10" t="s">
        <v>6052</v>
      </c>
      <c r="AX81" s="10" t="s">
        <v>6052</v>
      </c>
      <c r="AY81" s="10" t="s">
        <v>32253</v>
      </c>
      <c r="AZ81" s="44" t="s">
        <v>33116</v>
      </c>
      <c r="BA81" s="44" t="s">
        <v>30908</v>
      </c>
      <c r="BB81" s="44" t="s">
        <v>31332</v>
      </c>
      <c r="BC81" s="44" t="s">
        <v>6425</v>
      </c>
      <c r="BD81" s="44" t="s">
        <v>31709</v>
      </c>
      <c r="BE81" s="11">
        <v>1</v>
      </c>
      <c r="BF81" s="11">
        <v>0</v>
      </c>
      <c r="BG81" s="11">
        <v>0</v>
      </c>
      <c r="BH81" s="10" t="s">
        <v>32077</v>
      </c>
      <c r="BI81" s="11">
        <v>100</v>
      </c>
      <c r="BJ81" s="10" t="s">
        <v>33313</v>
      </c>
      <c r="BK81" s="11">
        <v>90.4</v>
      </c>
    </row>
    <row r="82" spans="1:63" x14ac:dyDescent="0.75">
      <c r="A82" t="s">
        <v>2199</v>
      </c>
      <c r="B82" t="s">
        <v>104</v>
      </c>
      <c r="C82" t="s">
        <v>2200</v>
      </c>
      <c r="D82" t="s">
        <v>2201</v>
      </c>
      <c r="E82" s="22" t="s">
        <v>15961</v>
      </c>
      <c r="F82" t="s">
        <v>2202</v>
      </c>
      <c r="G82" s="1" t="str">
        <f>HYPERLINK("https://homd.org/jbrowse/?data=homd_V11.02_phage_1.2%2FGCA_003639045.1&amp;loc=GCA_003639045.1%7CRBJH01000131.1%3A1..5119&amp;tracks=prokka,prokka_ncrna,ncbi,ncbi_ncrna,panggolin,cenote,genomad&amp;highlight=","Open JBrowse")</f>
        <v>Open JBrowse</v>
      </c>
      <c r="H82" s="10">
        <v>758</v>
      </c>
      <c r="I82" s="10">
        <v>2119</v>
      </c>
      <c r="J82" s="10" t="s">
        <v>2203</v>
      </c>
      <c r="K82" s="10" t="s">
        <v>375</v>
      </c>
      <c r="L82" s="10" t="s">
        <v>1025</v>
      </c>
      <c r="M82" s="10" t="s">
        <v>1026</v>
      </c>
      <c r="N82" s="10" t="s">
        <v>42</v>
      </c>
      <c r="O82" s="10">
        <v>3</v>
      </c>
      <c r="P82" s="10" t="s">
        <v>42</v>
      </c>
      <c r="Q82" s="10" t="s">
        <v>101</v>
      </c>
      <c r="R82" s="10" t="s">
        <v>2204</v>
      </c>
      <c r="S82" s="10" t="s">
        <v>1025</v>
      </c>
      <c r="T82" s="10" t="s">
        <v>42</v>
      </c>
      <c r="U82" s="10">
        <v>48</v>
      </c>
      <c r="V82" s="10">
        <v>301</v>
      </c>
      <c r="W82" s="10">
        <v>254</v>
      </c>
      <c r="X82" s="10" t="s">
        <v>379</v>
      </c>
      <c r="Y82" s="10"/>
      <c r="Z82" s="10"/>
      <c r="AA82" s="10"/>
      <c r="AB82" s="10"/>
      <c r="AC82" s="10"/>
      <c r="AD82" s="10"/>
      <c r="AE82" s="10"/>
      <c r="AF82" s="10"/>
      <c r="AG82" s="44"/>
      <c r="AH82" s="44"/>
      <c r="AI82" s="46" t="s">
        <v>6054</v>
      </c>
      <c r="AJ82" s="44" t="s">
        <v>6052</v>
      </c>
      <c r="AK82" s="44" t="s">
        <v>6052</v>
      </c>
      <c r="AL82" s="44" t="s">
        <v>6052</v>
      </c>
      <c r="AM82" s="44" t="s">
        <v>6052</v>
      </c>
      <c r="AN82" s="44" t="s">
        <v>32551</v>
      </c>
      <c r="AO82" s="45">
        <v>11</v>
      </c>
      <c r="AP82" s="45">
        <v>1</v>
      </c>
      <c r="AQ82" s="45">
        <v>0</v>
      </c>
      <c r="AR82" s="45">
        <v>0</v>
      </c>
      <c r="AS82" s="45">
        <v>0</v>
      </c>
      <c r="AT82" s="45">
        <v>0</v>
      </c>
      <c r="AU82" s="10" t="s">
        <v>6052</v>
      </c>
      <c r="AV82" s="10" t="s">
        <v>6052</v>
      </c>
      <c r="AW82" s="10" t="s">
        <v>6052</v>
      </c>
      <c r="AX82" s="10" t="s">
        <v>6052</v>
      </c>
      <c r="AY82" s="10" t="s">
        <v>32253</v>
      </c>
      <c r="AZ82" s="44" t="s">
        <v>33117</v>
      </c>
      <c r="BA82" s="44" t="s">
        <v>30907</v>
      </c>
      <c r="BB82" s="44" t="s">
        <v>31331</v>
      </c>
      <c r="BC82" s="44" t="s">
        <v>6696</v>
      </c>
      <c r="BD82" s="44" t="s">
        <v>31714</v>
      </c>
      <c r="BE82" s="11">
        <v>1</v>
      </c>
      <c r="BF82" s="11">
        <v>0</v>
      </c>
      <c r="BG82" s="11">
        <v>0</v>
      </c>
      <c r="BH82" s="10" t="s">
        <v>32084</v>
      </c>
      <c r="BI82" s="11">
        <v>100</v>
      </c>
      <c r="BJ82" s="10" t="s">
        <v>33455</v>
      </c>
      <c r="BK82" s="11">
        <v>94.7</v>
      </c>
    </row>
    <row r="83" spans="1:63" x14ac:dyDescent="0.75">
      <c r="A83" t="s">
        <v>2139</v>
      </c>
      <c r="B83" t="s">
        <v>104</v>
      </c>
      <c r="C83" t="s">
        <v>371</v>
      </c>
      <c r="D83" t="s">
        <v>372</v>
      </c>
      <c r="E83" s="22" t="s">
        <v>15598</v>
      </c>
      <c r="F83" t="s">
        <v>2140</v>
      </c>
      <c r="G83" s="1" t="str">
        <f>HYPERLINK("https://homd.org/jbrowse/?data=homd_V11.02_phage_1.2%2FGCA_003469565.1&amp;loc=GCA_003469565.1%7CQSKM01000011.1%3A1..4202&amp;tracks=prokka,prokka_ncrna,ncbi,ncbi_ncrna,panggolin,cenote,genomad&amp;highlight=","Open JBrowse")</f>
        <v>Open JBrowse</v>
      </c>
      <c r="H83" s="10">
        <v>3</v>
      </c>
      <c r="I83" s="10">
        <v>1202</v>
      </c>
      <c r="J83" s="10" t="s">
        <v>2141</v>
      </c>
      <c r="K83" s="10" t="s">
        <v>59</v>
      </c>
      <c r="L83" s="10" t="s">
        <v>388</v>
      </c>
      <c r="M83" s="10" t="s">
        <v>389</v>
      </c>
      <c r="N83" s="10" t="s">
        <v>42</v>
      </c>
      <c r="O83" s="10">
        <v>3</v>
      </c>
      <c r="P83" s="10" t="s">
        <v>42</v>
      </c>
      <c r="Q83" s="10" t="s">
        <v>59</v>
      </c>
      <c r="R83" s="10" t="s">
        <v>2142</v>
      </c>
      <c r="S83" s="10" t="s">
        <v>388</v>
      </c>
      <c r="T83" s="10" t="s">
        <v>42</v>
      </c>
      <c r="U83" s="10">
        <v>66</v>
      </c>
      <c r="V83" s="10">
        <v>346</v>
      </c>
      <c r="W83" s="10">
        <v>281</v>
      </c>
      <c r="X83" s="10" t="s">
        <v>390</v>
      </c>
      <c r="Y83" s="10"/>
      <c r="Z83" s="10"/>
      <c r="AA83" s="10"/>
      <c r="AB83" s="10"/>
      <c r="AC83" s="10"/>
      <c r="AD83" s="10"/>
      <c r="AE83" s="10"/>
      <c r="AF83" s="10"/>
      <c r="AG83" s="44"/>
      <c r="AH83" s="44"/>
      <c r="AI83" s="46" t="s">
        <v>6054</v>
      </c>
      <c r="AJ83" s="44" t="s">
        <v>6052</v>
      </c>
      <c r="AK83" s="44" t="s">
        <v>6052</v>
      </c>
      <c r="AL83" s="44" t="s">
        <v>6052</v>
      </c>
      <c r="AM83" s="44" t="s">
        <v>6052</v>
      </c>
      <c r="AN83" s="44" t="s">
        <v>32523</v>
      </c>
      <c r="AO83" s="45">
        <v>11</v>
      </c>
      <c r="AP83" s="45">
        <v>1</v>
      </c>
      <c r="AQ83" s="45">
        <v>0</v>
      </c>
      <c r="AR83" s="45">
        <v>0</v>
      </c>
      <c r="AS83" s="45">
        <v>0</v>
      </c>
      <c r="AT83" s="45">
        <v>0</v>
      </c>
      <c r="AU83" s="10" t="s">
        <v>6052</v>
      </c>
      <c r="AV83" s="10" t="s">
        <v>6052</v>
      </c>
      <c r="AW83" s="10" t="s">
        <v>6052</v>
      </c>
      <c r="AX83" s="10" t="s">
        <v>6052</v>
      </c>
      <c r="AY83" s="10" t="s">
        <v>32253</v>
      </c>
      <c r="AZ83" s="44" t="s">
        <v>33117</v>
      </c>
      <c r="BA83" s="44" t="s">
        <v>30896</v>
      </c>
      <c r="BB83" s="44" t="s">
        <v>31316</v>
      </c>
      <c r="BC83" s="44" t="s">
        <v>6093</v>
      </c>
      <c r="BD83" s="44" t="s">
        <v>31713</v>
      </c>
      <c r="BE83" s="11">
        <v>1</v>
      </c>
      <c r="BF83" s="11">
        <v>0</v>
      </c>
      <c r="BG83" s="11">
        <v>0</v>
      </c>
      <c r="BH83" s="10" t="s">
        <v>33162</v>
      </c>
      <c r="BI83" s="11" t="s">
        <v>33162</v>
      </c>
      <c r="BJ83" s="10" t="s">
        <v>33471</v>
      </c>
      <c r="BK83" s="11">
        <v>100</v>
      </c>
    </row>
    <row r="84" spans="1:63" x14ac:dyDescent="0.75">
      <c r="A84" t="s">
        <v>2139</v>
      </c>
      <c r="B84" t="s">
        <v>104</v>
      </c>
      <c r="C84" t="s">
        <v>371</v>
      </c>
      <c r="D84" t="s">
        <v>372</v>
      </c>
      <c r="E84" s="22" t="s">
        <v>15598</v>
      </c>
      <c r="F84" t="s">
        <v>2143</v>
      </c>
      <c r="G84" s="1" t="str">
        <f>HYPERLINK("https://homd.org/jbrowse/?data=homd_V11.02_phage_1.2%2FGCA_003469565.1&amp;loc=GCA_003469565.1%7CQSKM01000035.1%3A1..4415&amp;tracks=prokka,prokka_ncrna,ncbi,ncbi_ncrna,panggolin,cenote,genomad&amp;highlight=","Open JBrowse")</f>
        <v>Open JBrowse</v>
      </c>
      <c r="H84" s="10">
        <v>3</v>
      </c>
      <c r="I84" s="10">
        <v>1415</v>
      </c>
      <c r="J84" s="10" t="s">
        <v>2144</v>
      </c>
      <c r="K84" s="10" t="s">
        <v>375</v>
      </c>
      <c r="L84" s="10" t="s">
        <v>534</v>
      </c>
      <c r="M84" s="10" t="s">
        <v>535</v>
      </c>
      <c r="N84" s="10" t="s">
        <v>42</v>
      </c>
      <c r="O84" s="10">
        <v>3</v>
      </c>
      <c r="P84" s="10" t="s">
        <v>42</v>
      </c>
      <c r="Q84" s="10" t="s">
        <v>101</v>
      </c>
      <c r="R84" s="10" t="s">
        <v>2142</v>
      </c>
      <c r="S84" s="10" t="s">
        <v>534</v>
      </c>
      <c r="T84" s="10" t="s">
        <v>42</v>
      </c>
      <c r="U84" s="10">
        <v>62</v>
      </c>
      <c r="V84" s="10">
        <v>343</v>
      </c>
      <c r="W84" s="10">
        <v>282</v>
      </c>
      <c r="X84" s="10" t="s">
        <v>379</v>
      </c>
      <c r="Y84" s="10"/>
      <c r="Z84" s="10"/>
      <c r="AA84" s="10"/>
      <c r="AB84" s="10"/>
      <c r="AC84" s="10"/>
      <c r="AD84" s="10"/>
      <c r="AE84" s="10"/>
      <c r="AF84" s="10"/>
      <c r="AG84" s="44"/>
      <c r="AH84" s="44"/>
      <c r="AI84" s="46" t="s">
        <v>6054</v>
      </c>
      <c r="AJ84" s="44" t="s">
        <v>6052</v>
      </c>
      <c r="AK84" s="44" t="s">
        <v>6052</v>
      </c>
      <c r="AL84" s="44" t="s">
        <v>6052</v>
      </c>
      <c r="AM84" s="44" t="s">
        <v>6052</v>
      </c>
      <c r="AN84" s="44" t="s">
        <v>32522</v>
      </c>
      <c r="AO84" s="45">
        <v>11</v>
      </c>
      <c r="AP84" s="45">
        <v>1</v>
      </c>
      <c r="AQ84" s="45">
        <v>0</v>
      </c>
      <c r="AR84" s="45">
        <v>0</v>
      </c>
      <c r="AS84" s="45">
        <v>0</v>
      </c>
      <c r="AT84" s="45">
        <v>0</v>
      </c>
      <c r="AU84" s="10" t="s">
        <v>6052</v>
      </c>
      <c r="AV84" s="10" t="s">
        <v>6052</v>
      </c>
      <c r="AW84" s="10" t="s">
        <v>6052</v>
      </c>
      <c r="AX84" s="10" t="s">
        <v>6052</v>
      </c>
      <c r="AY84" s="10" t="s">
        <v>32253</v>
      </c>
      <c r="AZ84" s="44" t="s">
        <v>33117</v>
      </c>
      <c r="BA84" s="44" t="s">
        <v>30896</v>
      </c>
      <c r="BB84" s="44" t="s">
        <v>31315</v>
      </c>
      <c r="BC84" s="44" t="s">
        <v>6093</v>
      </c>
      <c r="BD84" s="44" t="s">
        <v>31713</v>
      </c>
      <c r="BE84" s="11">
        <v>1</v>
      </c>
      <c r="BF84" s="11">
        <v>0</v>
      </c>
      <c r="BG84" s="11">
        <v>0</v>
      </c>
      <c r="BH84" s="10" t="s">
        <v>33472</v>
      </c>
      <c r="BI84" s="11">
        <v>27.8</v>
      </c>
      <c r="BJ84" s="10" t="s">
        <v>33473</v>
      </c>
      <c r="BK84" s="11">
        <v>100</v>
      </c>
    </row>
    <row r="85" spans="1:63" x14ac:dyDescent="0.75">
      <c r="A85" t="s">
        <v>3477</v>
      </c>
      <c r="B85" t="s">
        <v>104</v>
      </c>
      <c r="C85" t="s">
        <v>462</v>
      </c>
      <c r="D85" t="s">
        <v>463</v>
      </c>
      <c r="E85" s="22" t="s">
        <v>20702</v>
      </c>
      <c r="F85" t="s">
        <v>3478</v>
      </c>
      <c r="G85" s="1" t="str">
        <f>HYPERLINK("https://homd.org/jbrowse/?data=homd_V11.02_phage_1.2%2FGCA_018141825.1&amp;loc=GCA_018141825.1%7CCP073339.1%3A316587..323531&amp;tracks=prokka,prokka_ncrna,ncbi,ncbi_ncrna,panggolin,cenote,genomad&amp;highlight=","Open JBrowse")</f>
        <v>Open JBrowse</v>
      </c>
      <c r="H85" s="10">
        <v>319587</v>
      </c>
      <c r="I85" s="10">
        <v>320531</v>
      </c>
      <c r="J85" s="10" t="s">
        <v>3479</v>
      </c>
      <c r="K85" s="10" t="s">
        <v>59</v>
      </c>
      <c r="L85" s="10" t="s">
        <v>466</v>
      </c>
      <c r="M85" s="10" t="s">
        <v>467</v>
      </c>
      <c r="N85" s="10" t="s">
        <v>398</v>
      </c>
      <c r="O85" s="10">
        <v>3</v>
      </c>
      <c r="P85" s="10" t="s">
        <v>42</v>
      </c>
      <c r="Q85" s="10" t="s">
        <v>59</v>
      </c>
      <c r="R85" s="10" t="s">
        <v>3480</v>
      </c>
      <c r="S85" s="10" t="s">
        <v>466</v>
      </c>
      <c r="T85" s="10" t="s">
        <v>42</v>
      </c>
      <c r="U85" s="10">
        <v>41</v>
      </c>
      <c r="V85" s="10">
        <v>267</v>
      </c>
      <c r="W85" s="10">
        <v>227</v>
      </c>
      <c r="X85" s="10" t="s">
        <v>160</v>
      </c>
      <c r="Y85" s="10" t="s">
        <v>3481</v>
      </c>
      <c r="Z85" s="10" t="s">
        <v>1463</v>
      </c>
      <c r="AA85" s="10" t="s">
        <v>471</v>
      </c>
      <c r="AB85" s="10"/>
      <c r="AC85" s="10"/>
      <c r="AD85" s="10"/>
      <c r="AE85" s="10"/>
      <c r="AF85" s="10"/>
      <c r="AG85" s="44"/>
      <c r="AH85" s="44"/>
      <c r="AI85" s="44" t="s">
        <v>6052</v>
      </c>
      <c r="AJ85" s="44" t="s">
        <v>6052</v>
      </c>
      <c r="AK85" s="44" t="s">
        <v>6052</v>
      </c>
      <c r="AL85" s="44" t="s">
        <v>6052</v>
      </c>
      <c r="AM85" s="44" t="s">
        <v>6052</v>
      </c>
      <c r="AN85" s="44" t="s">
        <v>32658</v>
      </c>
      <c r="AO85" s="45">
        <v>11</v>
      </c>
      <c r="AP85" s="45">
        <v>1</v>
      </c>
      <c r="AQ85" s="45">
        <v>0</v>
      </c>
      <c r="AR85" s="45">
        <v>0</v>
      </c>
      <c r="AS85" s="45">
        <v>0</v>
      </c>
      <c r="AT85" s="45">
        <v>0</v>
      </c>
      <c r="AU85" s="10" t="s">
        <v>6052</v>
      </c>
      <c r="AV85" s="10" t="s">
        <v>6052</v>
      </c>
      <c r="AW85" s="10" t="s">
        <v>6052</v>
      </c>
      <c r="AX85" s="10" t="s">
        <v>6052</v>
      </c>
      <c r="AY85" s="10" t="s">
        <v>32253</v>
      </c>
      <c r="AZ85" s="44" t="s">
        <v>33110</v>
      </c>
      <c r="BA85" s="44" t="s">
        <v>30957</v>
      </c>
      <c r="BB85" s="44" t="s">
        <v>31400</v>
      </c>
      <c r="BC85" s="44" t="s">
        <v>6594</v>
      </c>
      <c r="BD85" s="44" t="s">
        <v>31708</v>
      </c>
      <c r="BE85" s="11">
        <v>1</v>
      </c>
      <c r="BF85" s="11">
        <v>0</v>
      </c>
      <c r="BG85" s="11">
        <v>0</v>
      </c>
      <c r="BH85" s="10" t="s">
        <v>32143</v>
      </c>
      <c r="BI85" s="11">
        <v>100</v>
      </c>
      <c r="BJ85" s="10" t="s">
        <v>33361</v>
      </c>
      <c r="BK85" s="11">
        <v>100</v>
      </c>
    </row>
    <row r="86" spans="1:63" x14ac:dyDescent="0.75">
      <c r="A86" t="s">
        <v>3455</v>
      </c>
      <c r="B86" t="s">
        <v>104</v>
      </c>
      <c r="C86" t="s">
        <v>3456</v>
      </c>
      <c r="D86" t="s">
        <v>1069</v>
      </c>
      <c r="E86" s="22" t="s">
        <v>20670</v>
      </c>
      <c r="F86" t="s">
        <v>3457</v>
      </c>
      <c r="G86" s="1" t="str">
        <f>HYPERLINK("https://homd.org/jbrowse/?data=homd_V11.02_phage_1.2%2FGCA_018128245.1&amp;loc=GCA_018128245.1%7CCP072378.1%3A1988767..1995858&amp;tracks=prokka,prokka_ncrna,ncbi,ncbi_ncrna,panggolin,cenote,genomad&amp;highlight=","Open JBrowse")</f>
        <v>Open JBrowse</v>
      </c>
      <c r="H86" s="10">
        <v>1991767</v>
      </c>
      <c r="I86" s="10">
        <v>1992858</v>
      </c>
      <c r="J86" s="10" t="s">
        <v>3458</v>
      </c>
      <c r="K86" s="10" t="s">
        <v>59</v>
      </c>
      <c r="L86" s="10" t="s">
        <v>3459</v>
      </c>
      <c r="M86" s="10" t="s">
        <v>3460</v>
      </c>
      <c r="N86" s="10" t="s">
        <v>42</v>
      </c>
      <c r="O86" s="10">
        <v>3</v>
      </c>
      <c r="P86" s="10" t="s">
        <v>42</v>
      </c>
      <c r="Q86" s="10" t="s">
        <v>59</v>
      </c>
      <c r="R86" s="10" t="s">
        <v>3461</v>
      </c>
      <c r="S86" s="10" t="s">
        <v>3459</v>
      </c>
      <c r="T86" s="10" t="s">
        <v>42</v>
      </c>
      <c r="U86" s="10">
        <v>104</v>
      </c>
      <c r="V86" s="10">
        <v>360</v>
      </c>
      <c r="W86" s="10">
        <v>257</v>
      </c>
      <c r="X86" s="10" t="s">
        <v>142</v>
      </c>
      <c r="Y86" s="10" t="s">
        <v>3462</v>
      </c>
      <c r="Z86" s="10" t="s">
        <v>281</v>
      </c>
      <c r="AA86" s="10" t="s">
        <v>3463</v>
      </c>
      <c r="AB86" s="10"/>
      <c r="AC86" s="10"/>
      <c r="AD86" s="10"/>
      <c r="AE86" s="10"/>
      <c r="AF86" s="10"/>
      <c r="AG86" s="44"/>
      <c r="AH86" s="44"/>
      <c r="AI86" s="44" t="s">
        <v>6052</v>
      </c>
      <c r="AJ86" s="44" t="s">
        <v>6052</v>
      </c>
      <c r="AK86" s="44" t="s">
        <v>6052</v>
      </c>
      <c r="AL86" s="44" t="s">
        <v>6052</v>
      </c>
      <c r="AM86" s="44" t="s">
        <v>6052</v>
      </c>
      <c r="AN86" s="44" t="s">
        <v>32772</v>
      </c>
      <c r="AO86" s="45">
        <v>11</v>
      </c>
      <c r="AP86" s="45">
        <v>1</v>
      </c>
      <c r="AQ86" s="45">
        <v>0</v>
      </c>
      <c r="AR86" s="45">
        <v>0</v>
      </c>
      <c r="AS86" s="45">
        <v>0</v>
      </c>
      <c r="AT86" s="45">
        <v>0</v>
      </c>
      <c r="AU86" s="10" t="s">
        <v>6052</v>
      </c>
      <c r="AV86" s="10" t="s">
        <v>6052</v>
      </c>
      <c r="AW86" s="10" t="s">
        <v>6052</v>
      </c>
      <c r="AX86" s="10" t="s">
        <v>6052</v>
      </c>
      <c r="AY86" s="10" t="s">
        <v>32253</v>
      </c>
      <c r="AZ86" s="44" t="s">
        <v>33117</v>
      </c>
      <c r="BA86" s="44" t="s">
        <v>31004</v>
      </c>
      <c r="BB86" s="44" t="s">
        <v>31472</v>
      </c>
      <c r="BC86" s="44" t="s">
        <v>6425</v>
      </c>
      <c r="BD86" s="44" t="s">
        <v>31709</v>
      </c>
      <c r="BE86" s="11">
        <v>1</v>
      </c>
      <c r="BF86" s="11">
        <v>0</v>
      </c>
      <c r="BG86" s="11">
        <v>0</v>
      </c>
      <c r="BH86" s="10" t="s">
        <v>32091</v>
      </c>
      <c r="BI86" s="11">
        <v>100</v>
      </c>
      <c r="BJ86" s="10" t="s">
        <v>33306</v>
      </c>
      <c r="BK86" s="11">
        <v>100</v>
      </c>
    </row>
    <row r="87" spans="1:63" x14ac:dyDescent="0.75">
      <c r="A87" t="s">
        <v>3446</v>
      </c>
      <c r="B87" t="s">
        <v>104</v>
      </c>
      <c r="C87" t="s">
        <v>3447</v>
      </c>
      <c r="D87" t="s">
        <v>1069</v>
      </c>
      <c r="E87" s="22" t="s">
        <v>20668</v>
      </c>
      <c r="F87" t="s">
        <v>3448</v>
      </c>
      <c r="G87" s="1" t="str">
        <f>HYPERLINK("https://homd.org/jbrowse/?data=homd_V11.02_phage_1.2%2FGCA_018128225.1&amp;loc=GCA_018128225.1%7CCP072377.1%3A2112045..2119139&amp;tracks=prokka,prokka_ncrna,ncbi,ncbi_ncrna,panggolin,cenote,genomad&amp;highlight=","Open JBrowse")</f>
        <v>Open JBrowse</v>
      </c>
      <c r="H87" s="10">
        <v>2115045</v>
      </c>
      <c r="I87" s="10">
        <v>2116139</v>
      </c>
      <c r="J87" s="10" t="s">
        <v>3449</v>
      </c>
      <c r="K87" s="10" t="s">
        <v>59</v>
      </c>
      <c r="L87" s="10" t="s">
        <v>3450</v>
      </c>
      <c r="M87" s="10" t="s">
        <v>3451</v>
      </c>
      <c r="N87" s="10" t="s">
        <v>42</v>
      </c>
      <c r="O87" s="10">
        <v>3</v>
      </c>
      <c r="P87" s="10" t="s">
        <v>42</v>
      </c>
      <c r="Q87" s="10" t="s">
        <v>59</v>
      </c>
      <c r="R87" s="10" t="s">
        <v>3452</v>
      </c>
      <c r="S87" s="10" t="s">
        <v>3450</v>
      </c>
      <c r="T87" s="10" t="s">
        <v>42</v>
      </c>
      <c r="U87" s="10">
        <v>105</v>
      </c>
      <c r="V87" s="10">
        <v>360</v>
      </c>
      <c r="W87" s="10">
        <v>256</v>
      </c>
      <c r="X87" s="10" t="s">
        <v>142</v>
      </c>
      <c r="Y87" s="10" t="s">
        <v>3453</v>
      </c>
      <c r="Z87" s="10" t="s">
        <v>1327</v>
      </c>
      <c r="AA87" s="10" t="s">
        <v>3454</v>
      </c>
      <c r="AB87" s="10"/>
      <c r="AC87" s="10"/>
      <c r="AD87" s="10"/>
      <c r="AE87" s="10"/>
      <c r="AF87" s="10"/>
      <c r="AG87" s="44"/>
      <c r="AH87" s="44"/>
      <c r="AI87" s="44" t="s">
        <v>6052</v>
      </c>
      <c r="AJ87" s="44" t="s">
        <v>6052</v>
      </c>
      <c r="AK87" s="44" t="s">
        <v>6052</v>
      </c>
      <c r="AL87" s="44" t="s">
        <v>6052</v>
      </c>
      <c r="AM87" s="44" t="s">
        <v>6052</v>
      </c>
      <c r="AN87" s="44" t="s">
        <v>32773</v>
      </c>
      <c r="AO87" s="45">
        <v>11</v>
      </c>
      <c r="AP87" s="45">
        <v>1</v>
      </c>
      <c r="AQ87" s="45">
        <v>0</v>
      </c>
      <c r="AR87" s="45">
        <v>0</v>
      </c>
      <c r="AS87" s="45">
        <v>0</v>
      </c>
      <c r="AT87" s="45">
        <v>0</v>
      </c>
      <c r="AU87" s="10" t="s">
        <v>6052</v>
      </c>
      <c r="AV87" s="10" t="s">
        <v>6052</v>
      </c>
      <c r="AW87" s="10" t="s">
        <v>6052</v>
      </c>
      <c r="AX87" s="10" t="s">
        <v>6052</v>
      </c>
      <c r="AY87" s="10" t="s">
        <v>32253</v>
      </c>
      <c r="AZ87" s="44" t="s">
        <v>33116</v>
      </c>
      <c r="BA87" s="44" t="s">
        <v>31005</v>
      </c>
      <c r="BB87" s="44" t="s">
        <v>31473</v>
      </c>
      <c r="BC87" s="44" t="s">
        <v>6425</v>
      </c>
      <c r="BD87" s="44" t="s">
        <v>31709</v>
      </c>
      <c r="BE87" s="11">
        <v>1</v>
      </c>
      <c r="BF87" s="11">
        <v>0</v>
      </c>
      <c r="BG87" s="11">
        <v>0</v>
      </c>
      <c r="BH87" s="10" t="s">
        <v>32009</v>
      </c>
      <c r="BI87" s="11">
        <v>100</v>
      </c>
      <c r="BJ87" s="10" t="s">
        <v>33305</v>
      </c>
      <c r="BK87" s="11">
        <v>90.4</v>
      </c>
    </row>
    <row r="88" spans="1:63" x14ac:dyDescent="0.75">
      <c r="A88" t="s">
        <v>3441</v>
      </c>
      <c r="B88" t="s">
        <v>104</v>
      </c>
      <c r="C88" t="s">
        <v>462</v>
      </c>
      <c r="D88" t="s">
        <v>463</v>
      </c>
      <c r="E88" s="22" t="s">
        <v>20665</v>
      </c>
      <c r="F88" t="s">
        <v>3442</v>
      </c>
      <c r="G88" s="1" t="str">
        <f>HYPERLINK("https://homd.org/jbrowse/?data=homd_V11.02_phage_1.2%2FGCA_018128205.1&amp;loc=GCA_018128205.1%7CCP072374.1%3A1814979..1821938&amp;tracks=prokka,prokka_ncrna,ncbi,ncbi_ncrna,panggolin,cenote,genomad&amp;highlight=","Open JBrowse")</f>
        <v>Open JBrowse</v>
      </c>
      <c r="H88" s="10">
        <v>1817979</v>
      </c>
      <c r="I88" s="10">
        <v>1818938</v>
      </c>
      <c r="J88" s="10" t="s">
        <v>3443</v>
      </c>
      <c r="K88" s="10" t="s">
        <v>59</v>
      </c>
      <c r="L88" s="10" t="s">
        <v>466</v>
      </c>
      <c r="M88" s="10" t="s">
        <v>467</v>
      </c>
      <c r="N88" s="10" t="s">
        <v>398</v>
      </c>
      <c r="O88" s="10">
        <v>3</v>
      </c>
      <c r="P88" s="10" t="s">
        <v>42</v>
      </c>
      <c r="Q88" s="10" t="s">
        <v>59</v>
      </c>
      <c r="R88" s="10" t="s">
        <v>3444</v>
      </c>
      <c r="S88" s="10" t="s">
        <v>466</v>
      </c>
      <c r="T88" s="10" t="s">
        <v>42</v>
      </c>
      <c r="U88" s="10">
        <v>41</v>
      </c>
      <c r="V88" s="10">
        <v>267</v>
      </c>
      <c r="W88" s="10">
        <v>227</v>
      </c>
      <c r="X88" s="10" t="s">
        <v>160</v>
      </c>
      <c r="Y88" s="10" t="s">
        <v>3445</v>
      </c>
      <c r="Z88" s="10" t="s">
        <v>118</v>
      </c>
      <c r="AA88" s="10" t="s">
        <v>1335</v>
      </c>
      <c r="AB88" s="10"/>
      <c r="AC88" s="10"/>
      <c r="AD88" s="10"/>
      <c r="AE88" s="10"/>
      <c r="AF88" s="10"/>
      <c r="AG88" s="44"/>
      <c r="AH88" s="44"/>
      <c r="AI88" s="44" t="s">
        <v>6052</v>
      </c>
      <c r="AJ88" s="44" t="s">
        <v>6052</v>
      </c>
      <c r="AK88" s="44" t="s">
        <v>6052</v>
      </c>
      <c r="AL88" s="44" t="s">
        <v>6052</v>
      </c>
      <c r="AM88" s="44" t="s">
        <v>6052</v>
      </c>
      <c r="AN88" s="44" t="s">
        <v>32663</v>
      </c>
      <c r="AO88" s="45">
        <v>11</v>
      </c>
      <c r="AP88" s="45">
        <v>1</v>
      </c>
      <c r="AQ88" s="45">
        <v>0</v>
      </c>
      <c r="AR88" s="45">
        <v>0</v>
      </c>
      <c r="AS88" s="45">
        <v>0</v>
      </c>
      <c r="AT88" s="45">
        <v>0</v>
      </c>
      <c r="AU88" s="10" t="s">
        <v>6052</v>
      </c>
      <c r="AV88" s="10" t="s">
        <v>6052</v>
      </c>
      <c r="AW88" s="10" t="s">
        <v>6052</v>
      </c>
      <c r="AX88" s="10" t="s">
        <v>6052</v>
      </c>
      <c r="AY88" s="10" t="s">
        <v>32253</v>
      </c>
      <c r="AZ88" s="44" t="s">
        <v>33117</v>
      </c>
      <c r="BA88" s="44" t="s">
        <v>30960</v>
      </c>
      <c r="BB88" s="44" t="s">
        <v>31403</v>
      </c>
      <c r="BC88" s="44" t="s">
        <v>6594</v>
      </c>
      <c r="BD88" s="44" t="s">
        <v>31708</v>
      </c>
      <c r="BE88" s="11">
        <v>1</v>
      </c>
      <c r="BF88" s="11">
        <v>0</v>
      </c>
      <c r="BG88" s="11">
        <v>0</v>
      </c>
      <c r="BH88" s="10" t="s">
        <v>32163</v>
      </c>
      <c r="BI88" s="11">
        <v>100</v>
      </c>
      <c r="BJ88" s="10" t="s">
        <v>33360</v>
      </c>
      <c r="BK88" s="11">
        <v>100</v>
      </c>
    </row>
    <row r="89" spans="1:63" x14ac:dyDescent="0.75">
      <c r="A89" t="s">
        <v>3430</v>
      </c>
      <c r="B89" t="s">
        <v>104</v>
      </c>
      <c r="C89" t="s">
        <v>462</v>
      </c>
      <c r="D89" t="s">
        <v>463</v>
      </c>
      <c r="E89" s="22" t="s">
        <v>20661</v>
      </c>
      <c r="F89" t="s">
        <v>3431</v>
      </c>
      <c r="G89" s="1" t="str">
        <f>HYPERLINK("https://homd.org/jbrowse/?data=homd_V11.02_phage_1.2%2FGCA_018128165.1&amp;loc=GCA_018128165.1%7CCP072371.1%3A1708593..1715552&amp;tracks=prokka,prokka_ncrna,ncbi,ncbi_ncrna,panggolin,cenote,genomad&amp;highlight=","Open JBrowse")</f>
        <v>Open JBrowse</v>
      </c>
      <c r="H89" s="10">
        <v>1711593</v>
      </c>
      <c r="I89" s="10">
        <v>1712552</v>
      </c>
      <c r="J89" s="10" t="s">
        <v>3432</v>
      </c>
      <c r="K89" s="10" t="s">
        <v>59</v>
      </c>
      <c r="L89" s="10" t="s">
        <v>466</v>
      </c>
      <c r="M89" s="10" t="s">
        <v>467</v>
      </c>
      <c r="N89" s="10" t="s">
        <v>398</v>
      </c>
      <c r="O89" s="10">
        <v>3</v>
      </c>
      <c r="P89" s="10" t="s">
        <v>42</v>
      </c>
      <c r="Q89" s="10" t="s">
        <v>59</v>
      </c>
      <c r="R89" s="10" t="s">
        <v>3433</v>
      </c>
      <c r="S89" s="10" t="s">
        <v>466</v>
      </c>
      <c r="T89" s="10" t="s">
        <v>42</v>
      </c>
      <c r="U89" s="10">
        <v>41</v>
      </c>
      <c r="V89" s="10">
        <v>267</v>
      </c>
      <c r="W89" s="10">
        <v>227</v>
      </c>
      <c r="X89" s="10" t="s">
        <v>160</v>
      </c>
      <c r="Y89" s="10" t="s">
        <v>3434</v>
      </c>
      <c r="Z89" s="10" t="s">
        <v>743</v>
      </c>
      <c r="AA89" s="10" t="s">
        <v>471</v>
      </c>
      <c r="AB89" s="10"/>
      <c r="AC89" s="10"/>
      <c r="AD89" s="10"/>
      <c r="AE89" s="10"/>
      <c r="AF89" s="10"/>
      <c r="AG89" s="44"/>
      <c r="AH89" s="44"/>
      <c r="AI89" s="44" t="s">
        <v>6052</v>
      </c>
      <c r="AJ89" s="44" t="s">
        <v>6052</v>
      </c>
      <c r="AK89" s="44" t="s">
        <v>6052</v>
      </c>
      <c r="AL89" s="44" t="s">
        <v>6052</v>
      </c>
      <c r="AM89" s="44" t="s">
        <v>6052</v>
      </c>
      <c r="AN89" s="44" t="s">
        <v>32676</v>
      </c>
      <c r="AO89" s="45">
        <v>11</v>
      </c>
      <c r="AP89" s="45">
        <v>1</v>
      </c>
      <c r="AQ89" s="45">
        <v>0</v>
      </c>
      <c r="AR89" s="45">
        <v>0</v>
      </c>
      <c r="AS89" s="45">
        <v>0</v>
      </c>
      <c r="AT89" s="45">
        <v>0</v>
      </c>
      <c r="AU89" s="10" t="s">
        <v>6052</v>
      </c>
      <c r="AV89" s="10" t="s">
        <v>6052</v>
      </c>
      <c r="AW89" s="10" t="s">
        <v>6052</v>
      </c>
      <c r="AX89" s="10" t="s">
        <v>6052</v>
      </c>
      <c r="AY89" s="10" t="s">
        <v>32253</v>
      </c>
      <c r="AZ89" s="44" t="s">
        <v>33117</v>
      </c>
      <c r="BA89" s="44" t="s">
        <v>30968</v>
      </c>
      <c r="BB89" s="44" t="s">
        <v>31413</v>
      </c>
      <c r="BC89" s="44" t="s">
        <v>6594</v>
      </c>
      <c r="BD89" s="44" t="s">
        <v>31708</v>
      </c>
      <c r="BE89" s="11">
        <v>1</v>
      </c>
      <c r="BF89" s="11">
        <v>0</v>
      </c>
      <c r="BG89" s="11">
        <v>0</v>
      </c>
      <c r="BH89" s="10" t="s">
        <v>32156</v>
      </c>
      <c r="BI89" s="11">
        <v>100</v>
      </c>
      <c r="BJ89" s="10" t="s">
        <v>33359</v>
      </c>
      <c r="BK89" s="11">
        <v>100</v>
      </c>
    </row>
    <row r="90" spans="1:63" x14ac:dyDescent="0.75">
      <c r="A90" t="s">
        <v>3424</v>
      </c>
      <c r="B90" t="s">
        <v>104</v>
      </c>
      <c r="C90" t="s">
        <v>1273</v>
      </c>
      <c r="D90" t="s">
        <v>1274</v>
      </c>
      <c r="E90" s="22" t="s">
        <v>11430</v>
      </c>
      <c r="F90" t="s">
        <v>3425</v>
      </c>
      <c r="G90" s="1" t="str">
        <f>HYPERLINK("https://homd.org/jbrowse/?data=homd_V11.02_phage_1.2%2FGCA_018128145.1&amp;loc=GCA_018128145.1%7CCP072370.1%3A219181..226185&amp;tracks=prokka,prokka_ncrna,ncbi,ncbi_ncrna,panggolin,cenote,genomad&amp;highlight=","Open JBrowse")</f>
        <v>Open JBrowse</v>
      </c>
      <c r="H90" s="10">
        <v>222181</v>
      </c>
      <c r="I90" s="10">
        <v>223185</v>
      </c>
      <c r="J90" s="10" t="s">
        <v>3426</v>
      </c>
      <c r="K90" s="10" t="s">
        <v>59</v>
      </c>
      <c r="L90" s="10" t="s">
        <v>157</v>
      </c>
      <c r="M90" s="10" t="s">
        <v>158</v>
      </c>
      <c r="N90" s="10" t="s">
        <v>42</v>
      </c>
      <c r="O90" s="10">
        <v>3</v>
      </c>
      <c r="P90" s="10" t="s">
        <v>42</v>
      </c>
      <c r="Q90" s="10" t="s">
        <v>59</v>
      </c>
      <c r="R90" s="10" t="s">
        <v>3427</v>
      </c>
      <c r="S90" s="10" t="s">
        <v>157</v>
      </c>
      <c r="T90" s="10" t="s">
        <v>42</v>
      </c>
      <c r="U90" s="10">
        <v>53</v>
      </c>
      <c r="V90" s="10">
        <v>279</v>
      </c>
      <c r="W90" s="10">
        <v>227</v>
      </c>
      <c r="X90" s="10" t="s">
        <v>160</v>
      </c>
      <c r="Y90" s="10" t="s">
        <v>3428</v>
      </c>
      <c r="Z90" s="10" t="s">
        <v>620</v>
      </c>
      <c r="AA90" s="10" t="s">
        <v>1425</v>
      </c>
      <c r="AB90" s="10" t="s">
        <v>3429</v>
      </c>
      <c r="AC90" s="10" t="s">
        <v>164</v>
      </c>
      <c r="AD90" s="10" t="s">
        <v>51</v>
      </c>
      <c r="AE90" s="10">
        <v>192</v>
      </c>
      <c r="AF90" s="10" t="s">
        <v>165</v>
      </c>
      <c r="AG90" s="44"/>
      <c r="AH90" s="44"/>
      <c r="AI90" s="44" t="s">
        <v>6052</v>
      </c>
      <c r="AJ90" s="44" t="s">
        <v>6052</v>
      </c>
      <c r="AK90" s="44" t="s">
        <v>6052</v>
      </c>
      <c r="AL90" s="44" t="s">
        <v>6052</v>
      </c>
      <c r="AM90" s="44" t="s">
        <v>6052</v>
      </c>
      <c r="AN90" s="44" t="s">
        <v>33090</v>
      </c>
      <c r="AO90" s="45">
        <v>11</v>
      </c>
      <c r="AP90" s="45">
        <v>1</v>
      </c>
      <c r="AQ90" s="45">
        <v>0</v>
      </c>
      <c r="AR90" s="45">
        <v>0</v>
      </c>
      <c r="AS90" s="45">
        <v>0</v>
      </c>
      <c r="AT90" s="45">
        <v>0</v>
      </c>
      <c r="AU90" s="10" t="s">
        <v>6052</v>
      </c>
      <c r="AV90" s="10" t="s">
        <v>6052</v>
      </c>
      <c r="AW90" s="10" t="s">
        <v>6052</v>
      </c>
      <c r="AX90" s="10" t="s">
        <v>6052</v>
      </c>
      <c r="AY90" s="10" t="s">
        <v>32253</v>
      </c>
      <c r="AZ90" s="44" t="s">
        <v>33117</v>
      </c>
      <c r="BA90" s="44" t="s">
        <v>31155</v>
      </c>
      <c r="BB90" s="44" t="s">
        <v>31694</v>
      </c>
      <c r="BC90" s="44" t="s">
        <v>6594</v>
      </c>
      <c r="BD90" s="44" t="s">
        <v>31708</v>
      </c>
      <c r="BE90" s="11">
        <v>1</v>
      </c>
      <c r="BF90" s="11">
        <v>0</v>
      </c>
      <c r="BG90" s="11">
        <v>0</v>
      </c>
      <c r="BH90" s="10" t="s">
        <v>32101</v>
      </c>
      <c r="BI90" s="11">
        <v>100</v>
      </c>
      <c r="BJ90" s="10" t="s">
        <v>33369</v>
      </c>
      <c r="BK90" s="11">
        <v>100</v>
      </c>
    </row>
    <row r="91" spans="1:63" x14ac:dyDescent="0.75">
      <c r="A91" t="s">
        <v>3420</v>
      </c>
      <c r="B91" t="s">
        <v>104</v>
      </c>
      <c r="C91" t="s">
        <v>559</v>
      </c>
      <c r="D91" t="s">
        <v>560</v>
      </c>
      <c r="E91" s="22" t="s">
        <v>8296</v>
      </c>
      <c r="F91" t="s">
        <v>3421</v>
      </c>
      <c r="G91" s="1" t="str">
        <f>HYPERLINK("https://homd.org/jbrowse/?data=homd_V11.02_phage_1.2%2FGCA_018128125.1&amp;loc=GCA_018128125.1%7CCP072367.1%3A81117..87974&amp;tracks=prokka,prokka_ncrna,ncbi,ncbi_ncrna,panggolin,cenote,genomad&amp;highlight=","Open JBrowse")</f>
        <v>Open JBrowse</v>
      </c>
      <c r="H91" s="10">
        <v>84117</v>
      </c>
      <c r="I91" s="10">
        <v>84974</v>
      </c>
      <c r="J91" s="10" t="s">
        <v>3422</v>
      </c>
      <c r="K91" s="10" t="s">
        <v>59</v>
      </c>
      <c r="L91" s="10" t="s">
        <v>563</v>
      </c>
      <c r="M91" s="10" t="s">
        <v>564</v>
      </c>
      <c r="N91" s="10" t="s">
        <v>42</v>
      </c>
      <c r="O91" s="10">
        <v>3</v>
      </c>
      <c r="P91" s="10" t="s">
        <v>42</v>
      </c>
      <c r="Q91" s="10" t="s">
        <v>59</v>
      </c>
      <c r="R91" s="10" t="s">
        <v>3423</v>
      </c>
      <c r="S91" s="10" t="s">
        <v>563</v>
      </c>
      <c r="T91" s="10" t="s">
        <v>42</v>
      </c>
      <c r="U91" s="10">
        <v>44</v>
      </c>
      <c r="V91" s="10">
        <v>270</v>
      </c>
      <c r="W91" s="10">
        <v>227</v>
      </c>
      <c r="X91" s="10" t="s">
        <v>160</v>
      </c>
      <c r="Y91" s="10"/>
      <c r="Z91" s="10"/>
      <c r="AA91" s="10"/>
      <c r="AB91" s="10"/>
      <c r="AC91" s="10"/>
      <c r="AD91" s="10"/>
      <c r="AE91" s="10"/>
      <c r="AF91" s="10"/>
      <c r="AG91" s="44"/>
      <c r="AH91" s="44"/>
      <c r="AI91" s="46" t="s">
        <v>6054</v>
      </c>
      <c r="AJ91" s="44" t="s">
        <v>6052</v>
      </c>
      <c r="AK91" s="44" t="s">
        <v>6052</v>
      </c>
      <c r="AL91" s="44" t="s">
        <v>6052</v>
      </c>
      <c r="AM91" s="44" t="s">
        <v>6052</v>
      </c>
      <c r="AN91" s="44" t="s">
        <v>32721</v>
      </c>
      <c r="AO91" s="45">
        <v>11</v>
      </c>
      <c r="AP91" s="45">
        <v>1</v>
      </c>
      <c r="AQ91" s="45">
        <v>0</v>
      </c>
      <c r="AR91" s="45">
        <v>0</v>
      </c>
      <c r="AS91" s="45">
        <v>0</v>
      </c>
      <c r="AT91" s="45">
        <v>0</v>
      </c>
      <c r="AU91" s="10" t="s">
        <v>6052</v>
      </c>
      <c r="AV91" s="10" t="s">
        <v>6052</v>
      </c>
      <c r="AW91" s="10" t="s">
        <v>6052</v>
      </c>
      <c r="AX91" s="10" t="s">
        <v>6052</v>
      </c>
      <c r="AY91" s="10" t="s">
        <v>32253</v>
      </c>
      <c r="AZ91" s="44" t="s">
        <v>33117</v>
      </c>
      <c r="BA91" s="44" t="s">
        <v>30983</v>
      </c>
      <c r="BB91" s="44" t="s">
        <v>31439</v>
      </c>
      <c r="BC91" s="44" t="s">
        <v>6594</v>
      </c>
      <c r="BD91" s="44" t="s">
        <v>31708</v>
      </c>
      <c r="BE91" s="11">
        <v>1</v>
      </c>
      <c r="BF91" s="11">
        <v>0</v>
      </c>
      <c r="BG91" s="11">
        <v>0</v>
      </c>
      <c r="BH91" s="10" t="s">
        <v>32129</v>
      </c>
      <c r="BI91" s="11">
        <v>100</v>
      </c>
      <c r="BJ91" s="10" t="s">
        <v>33370</v>
      </c>
      <c r="BK91" s="11">
        <v>100</v>
      </c>
    </row>
    <row r="92" spans="1:63" x14ac:dyDescent="0.75">
      <c r="A92" t="s">
        <v>3415</v>
      </c>
      <c r="B92" t="s">
        <v>104</v>
      </c>
      <c r="C92" t="s">
        <v>550</v>
      </c>
      <c r="D92" t="s">
        <v>551</v>
      </c>
      <c r="E92" s="22" t="s">
        <v>20657</v>
      </c>
      <c r="F92" t="s">
        <v>3416</v>
      </c>
      <c r="G92" s="1" t="str">
        <f>HYPERLINK("https://homd.org/jbrowse/?data=homd_V11.02_phage_1.2%2FGCA_018128105.1&amp;loc=GCA_018128105.1%7CCP072365.1%3A756242..763246&amp;tracks=prokka,prokka_ncrna,ncbi,ncbi_ncrna,panggolin,cenote,genomad&amp;highlight=","Open JBrowse")</f>
        <v>Open JBrowse</v>
      </c>
      <c r="H92" s="10">
        <v>759242</v>
      </c>
      <c r="I92" s="10">
        <v>760246</v>
      </c>
      <c r="J92" s="10" t="s">
        <v>3417</v>
      </c>
      <c r="K92" s="10" t="s">
        <v>59</v>
      </c>
      <c r="L92" s="10" t="s">
        <v>157</v>
      </c>
      <c r="M92" s="10" t="s">
        <v>158</v>
      </c>
      <c r="N92" s="10" t="s">
        <v>42</v>
      </c>
      <c r="O92" s="10">
        <v>3</v>
      </c>
      <c r="P92" s="10" t="s">
        <v>42</v>
      </c>
      <c r="Q92" s="10" t="s">
        <v>59</v>
      </c>
      <c r="R92" s="10" t="s">
        <v>3418</v>
      </c>
      <c r="S92" s="10" t="s">
        <v>157</v>
      </c>
      <c r="T92" s="10" t="s">
        <v>42</v>
      </c>
      <c r="U92" s="10">
        <v>53</v>
      </c>
      <c r="V92" s="10">
        <v>279</v>
      </c>
      <c r="W92" s="10">
        <v>227</v>
      </c>
      <c r="X92" s="10" t="s">
        <v>160</v>
      </c>
      <c r="Y92" s="10" t="s">
        <v>3419</v>
      </c>
      <c r="Z92" s="10" t="s">
        <v>357</v>
      </c>
      <c r="AA92" s="10" t="s">
        <v>557</v>
      </c>
      <c r="AB92" s="10"/>
      <c r="AC92" s="10"/>
      <c r="AD92" s="10"/>
      <c r="AE92" s="10"/>
      <c r="AF92" s="10"/>
      <c r="AG92" s="44"/>
      <c r="AH92" s="44"/>
      <c r="AI92" s="44" t="s">
        <v>6052</v>
      </c>
      <c r="AJ92" s="44" t="s">
        <v>6052</v>
      </c>
      <c r="AK92" s="44" t="s">
        <v>6052</v>
      </c>
      <c r="AL92" s="44" t="s">
        <v>6052</v>
      </c>
      <c r="AM92" s="44" t="s">
        <v>6052</v>
      </c>
      <c r="AN92" s="44" t="s">
        <v>32659</v>
      </c>
      <c r="AO92" s="45">
        <v>11</v>
      </c>
      <c r="AP92" s="45">
        <v>1</v>
      </c>
      <c r="AQ92" s="45">
        <v>0</v>
      </c>
      <c r="AR92" s="45">
        <v>0</v>
      </c>
      <c r="AS92" s="45">
        <v>0</v>
      </c>
      <c r="AT92" s="45">
        <v>0</v>
      </c>
      <c r="AU92" s="10" t="s">
        <v>6052</v>
      </c>
      <c r="AV92" s="10" t="s">
        <v>6052</v>
      </c>
      <c r="AW92" s="10" t="s">
        <v>6052</v>
      </c>
      <c r="AX92" s="10" t="s">
        <v>6052</v>
      </c>
      <c r="AY92" s="10" t="s">
        <v>32253</v>
      </c>
      <c r="AZ92" s="44" t="s">
        <v>33117</v>
      </c>
      <c r="BA92" s="44" t="s">
        <v>30958</v>
      </c>
      <c r="BB92" s="44" t="s">
        <v>31401</v>
      </c>
      <c r="BC92" s="44" t="s">
        <v>6594</v>
      </c>
      <c r="BD92" s="44" t="s">
        <v>31708</v>
      </c>
      <c r="BE92" s="11">
        <v>1</v>
      </c>
      <c r="BF92" s="11">
        <v>0</v>
      </c>
      <c r="BG92" s="11">
        <v>0</v>
      </c>
      <c r="BH92" s="10" t="s">
        <v>32071</v>
      </c>
      <c r="BI92" s="11">
        <v>100</v>
      </c>
      <c r="BJ92" s="10" t="s">
        <v>33389</v>
      </c>
      <c r="BK92" s="11">
        <v>100</v>
      </c>
    </row>
    <row r="93" spans="1:63" x14ac:dyDescent="0.75">
      <c r="A93" t="s">
        <v>3398</v>
      </c>
      <c r="B93" t="s">
        <v>104</v>
      </c>
      <c r="C93" t="s">
        <v>1054</v>
      </c>
      <c r="D93" t="s">
        <v>1055</v>
      </c>
      <c r="E93" s="22" t="s">
        <v>20652</v>
      </c>
      <c r="F93" t="s">
        <v>3399</v>
      </c>
      <c r="G93" s="1" t="str">
        <f>HYPERLINK("https://homd.org/jbrowse/?data=homd_V11.02_phage_1.2%2FGCA_018128045.1&amp;loc=GCA_018128045.1%7CCP072361.1%3A153810..160814&amp;tracks=prokka,prokka_ncrna,ncbi,ncbi_ncrna,panggolin,cenote,genomad&amp;highlight=","Open JBrowse")</f>
        <v>Open JBrowse</v>
      </c>
      <c r="H93" s="10">
        <v>156810</v>
      </c>
      <c r="I93" s="10">
        <v>157814</v>
      </c>
      <c r="J93" s="10" t="s">
        <v>3400</v>
      </c>
      <c r="K93" s="10" t="s">
        <v>59</v>
      </c>
      <c r="L93" s="10" t="s">
        <v>157</v>
      </c>
      <c r="M93" s="10" t="s">
        <v>158</v>
      </c>
      <c r="N93" s="10" t="s">
        <v>42</v>
      </c>
      <c r="O93" s="10">
        <v>3</v>
      </c>
      <c r="P93" s="10" t="s">
        <v>42</v>
      </c>
      <c r="Q93" s="10" t="s">
        <v>59</v>
      </c>
      <c r="R93" s="10" t="s">
        <v>3401</v>
      </c>
      <c r="S93" s="10" t="s">
        <v>157</v>
      </c>
      <c r="T93" s="10" t="s">
        <v>42</v>
      </c>
      <c r="U93" s="10">
        <v>53</v>
      </c>
      <c r="V93" s="10">
        <v>279</v>
      </c>
      <c r="W93" s="10">
        <v>227</v>
      </c>
      <c r="X93" s="10" t="s">
        <v>160</v>
      </c>
      <c r="Y93" s="10"/>
      <c r="Z93" s="10"/>
      <c r="AA93" s="10"/>
      <c r="AB93" s="10"/>
      <c r="AC93" s="10"/>
      <c r="AD93" s="10"/>
      <c r="AE93" s="10"/>
      <c r="AF93" s="10"/>
      <c r="AG93" s="44"/>
      <c r="AH93" s="44"/>
      <c r="AI93" s="46" t="s">
        <v>6054</v>
      </c>
      <c r="AJ93" s="44" t="s">
        <v>6052</v>
      </c>
      <c r="AK93" s="44" t="s">
        <v>6052</v>
      </c>
      <c r="AL93" s="44" t="s">
        <v>6052</v>
      </c>
      <c r="AM93" s="44" t="s">
        <v>6052</v>
      </c>
      <c r="AN93" s="44" t="s">
        <v>32640</v>
      </c>
      <c r="AO93" s="45">
        <v>11</v>
      </c>
      <c r="AP93" s="45">
        <v>1</v>
      </c>
      <c r="AQ93" s="45">
        <v>0</v>
      </c>
      <c r="AR93" s="45">
        <v>0</v>
      </c>
      <c r="AS93" s="45">
        <v>0</v>
      </c>
      <c r="AT93" s="45">
        <v>0</v>
      </c>
      <c r="AU93" s="10" t="s">
        <v>6052</v>
      </c>
      <c r="AV93" s="10" t="s">
        <v>6052</v>
      </c>
      <c r="AW93" s="10" t="s">
        <v>6052</v>
      </c>
      <c r="AX93" s="10" t="s">
        <v>6052</v>
      </c>
      <c r="AY93" s="10" t="s">
        <v>32253</v>
      </c>
      <c r="AZ93" s="44" t="s">
        <v>33117</v>
      </c>
      <c r="BA93" s="44" t="s">
        <v>30951</v>
      </c>
      <c r="BB93" s="44" t="s">
        <v>31391</v>
      </c>
      <c r="BC93" s="44" t="s">
        <v>6594</v>
      </c>
      <c r="BD93" s="44" t="s">
        <v>31708</v>
      </c>
      <c r="BE93" s="11">
        <v>1</v>
      </c>
      <c r="BF93" s="11">
        <v>0</v>
      </c>
      <c r="BG93" s="11">
        <v>0</v>
      </c>
      <c r="BH93" s="10" t="s">
        <v>31974</v>
      </c>
      <c r="BI93" s="11">
        <v>100</v>
      </c>
      <c r="BJ93" s="10" t="s">
        <v>33432</v>
      </c>
      <c r="BK93" s="11">
        <v>100</v>
      </c>
    </row>
    <row r="94" spans="1:63" x14ac:dyDescent="0.75">
      <c r="A94" t="s">
        <v>3406</v>
      </c>
      <c r="B94" t="s">
        <v>104</v>
      </c>
      <c r="C94" t="s">
        <v>1054</v>
      </c>
      <c r="D94" t="s">
        <v>1055</v>
      </c>
      <c r="E94" s="22" t="s">
        <v>9778</v>
      </c>
      <c r="F94" t="s">
        <v>3407</v>
      </c>
      <c r="G94" s="1" t="str">
        <f>HYPERLINK("https://homd.org/jbrowse/?data=homd_V11.02_phage_1.2%2FGCA_018128065.1&amp;loc=GCA_018128065.1%7CCP072360.1%3A313146..320150&amp;tracks=prokka,prokka_ncrna,ncbi,ncbi_ncrna,panggolin,cenote,genomad&amp;highlight=","Open JBrowse")</f>
        <v>Open JBrowse</v>
      </c>
      <c r="H94" s="10">
        <v>316146</v>
      </c>
      <c r="I94" s="10">
        <v>317150</v>
      </c>
      <c r="J94" s="10" t="s">
        <v>3408</v>
      </c>
      <c r="K94" s="10" t="s">
        <v>59</v>
      </c>
      <c r="L94" s="10" t="s">
        <v>157</v>
      </c>
      <c r="M94" s="10" t="s">
        <v>158</v>
      </c>
      <c r="N94" s="10" t="s">
        <v>42</v>
      </c>
      <c r="O94" s="10">
        <v>3</v>
      </c>
      <c r="P94" s="10" t="s">
        <v>42</v>
      </c>
      <c r="Q94" s="10" t="s">
        <v>59</v>
      </c>
      <c r="R94" s="10" t="s">
        <v>3409</v>
      </c>
      <c r="S94" s="10" t="s">
        <v>157</v>
      </c>
      <c r="T94" s="10" t="s">
        <v>42</v>
      </c>
      <c r="U94" s="10">
        <v>53</v>
      </c>
      <c r="V94" s="10">
        <v>279</v>
      </c>
      <c r="W94" s="10">
        <v>227</v>
      </c>
      <c r="X94" s="10" t="s">
        <v>160</v>
      </c>
      <c r="Y94" s="10"/>
      <c r="Z94" s="10"/>
      <c r="AA94" s="10"/>
      <c r="AB94" s="10"/>
      <c r="AC94" s="10"/>
      <c r="AD94" s="10"/>
      <c r="AE94" s="10"/>
      <c r="AF94" s="10"/>
      <c r="AG94" s="44"/>
      <c r="AH94" s="44"/>
      <c r="AI94" s="46" t="s">
        <v>6054</v>
      </c>
      <c r="AJ94" s="44" t="s">
        <v>6052</v>
      </c>
      <c r="AK94" s="44" t="s">
        <v>6052</v>
      </c>
      <c r="AL94" s="44" t="s">
        <v>6052</v>
      </c>
      <c r="AM94" s="44" t="s">
        <v>6052</v>
      </c>
      <c r="AN94" s="44" t="s">
        <v>32656</v>
      </c>
      <c r="AO94" s="45">
        <v>11</v>
      </c>
      <c r="AP94" s="45">
        <v>1</v>
      </c>
      <c r="AQ94" s="45">
        <v>0</v>
      </c>
      <c r="AR94" s="45">
        <v>0</v>
      </c>
      <c r="AS94" s="45">
        <v>0</v>
      </c>
      <c r="AT94" s="45">
        <v>0</v>
      </c>
      <c r="AU94" s="10" t="s">
        <v>6052</v>
      </c>
      <c r="AV94" s="10" t="s">
        <v>6052</v>
      </c>
      <c r="AW94" s="10" t="s">
        <v>6052</v>
      </c>
      <c r="AX94" s="10" t="s">
        <v>6052</v>
      </c>
      <c r="AY94" s="10" t="s">
        <v>32253</v>
      </c>
      <c r="AZ94" s="44" t="s">
        <v>33117</v>
      </c>
      <c r="BA94" s="44" t="s">
        <v>30955</v>
      </c>
      <c r="BB94" s="44" t="s">
        <v>31398</v>
      </c>
      <c r="BC94" s="44" t="s">
        <v>6594</v>
      </c>
      <c r="BD94" s="44" t="s">
        <v>31708</v>
      </c>
      <c r="BE94" s="11">
        <v>1</v>
      </c>
      <c r="BF94" s="11">
        <v>0</v>
      </c>
      <c r="BG94" s="11">
        <v>0</v>
      </c>
      <c r="BH94" s="10" t="s">
        <v>31991</v>
      </c>
      <c r="BI94" s="11">
        <v>100</v>
      </c>
      <c r="BJ94" s="10" t="s">
        <v>33431</v>
      </c>
      <c r="BK94" s="11">
        <v>100</v>
      </c>
    </row>
    <row r="95" spans="1:63" x14ac:dyDescent="0.75">
      <c r="A95" t="s">
        <v>3380</v>
      </c>
      <c r="B95" t="s">
        <v>104</v>
      </c>
      <c r="C95" t="s">
        <v>450</v>
      </c>
      <c r="D95" t="s">
        <v>451</v>
      </c>
      <c r="E95" s="22" t="s">
        <v>20648</v>
      </c>
      <c r="F95" t="s">
        <v>3381</v>
      </c>
      <c r="G95" s="1" t="str">
        <f>HYPERLINK("https://homd.org/jbrowse/?data=homd_V11.02_phage_1.2%2FGCA_018127985.1&amp;loc=GCA_018127985.1%7CCP072357.1%3A1430104..1437156&amp;tracks=prokka,prokka_ncrna,ncbi,ncbi_ncrna,panggolin,cenote,genomad&amp;highlight=","Open JBrowse")</f>
        <v>Open JBrowse</v>
      </c>
      <c r="H95" s="10">
        <v>1433104</v>
      </c>
      <c r="I95" s="10">
        <v>1434156</v>
      </c>
      <c r="J95" s="10" t="s">
        <v>3382</v>
      </c>
      <c r="K95" s="10" t="s">
        <v>59</v>
      </c>
      <c r="L95" s="10" t="s">
        <v>3383</v>
      </c>
      <c r="M95" s="10" t="s">
        <v>3384</v>
      </c>
      <c r="N95" s="10" t="s">
        <v>42</v>
      </c>
      <c r="O95" s="10">
        <v>3</v>
      </c>
      <c r="P95" s="10" t="s">
        <v>42</v>
      </c>
      <c r="Q95" s="10" t="s">
        <v>59</v>
      </c>
      <c r="R95" s="10" t="s">
        <v>3385</v>
      </c>
      <c r="S95" s="10" t="s">
        <v>3383</v>
      </c>
      <c r="T95" s="10" t="s">
        <v>42</v>
      </c>
      <c r="U95" s="10">
        <v>68</v>
      </c>
      <c r="V95" s="10">
        <v>293</v>
      </c>
      <c r="W95" s="10">
        <v>226</v>
      </c>
      <c r="X95" s="10" t="s">
        <v>160</v>
      </c>
      <c r="Y95" s="10" t="s">
        <v>3386</v>
      </c>
      <c r="Z95" s="10" t="s">
        <v>346</v>
      </c>
      <c r="AA95" s="10" t="s">
        <v>3387</v>
      </c>
      <c r="AB95" s="10"/>
      <c r="AC95" s="10"/>
      <c r="AD95" s="10"/>
      <c r="AE95" s="10"/>
      <c r="AF95" s="10"/>
      <c r="AG95" s="44"/>
      <c r="AH95" s="44"/>
      <c r="AI95" s="44" t="s">
        <v>6052</v>
      </c>
      <c r="AJ95" s="44" t="s">
        <v>6052</v>
      </c>
      <c r="AK95" s="44" t="s">
        <v>6052</v>
      </c>
      <c r="AL95" s="44" t="s">
        <v>6052</v>
      </c>
      <c r="AM95" s="44" t="s">
        <v>6052</v>
      </c>
      <c r="AN95" s="44" t="s">
        <v>32657</v>
      </c>
      <c r="AO95" s="45">
        <v>11</v>
      </c>
      <c r="AP95" s="45">
        <v>1</v>
      </c>
      <c r="AQ95" s="45">
        <v>0</v>
      </c>
      <c r="AR95" s="45">
        <v>0</v>
      </c>
      <c r="AS95" s="45">
        <v>0</v>
      </c>
      <c r="AT95" s="45">
        <v>0</v>
      </c>
      <c r="AU95" s="10" t="s">
        <v>6052</v>
      </c>
      <c r="AV95" s="10" t="s">
        <v>6052</v>
      </c>
      <c r="AW95" s="10" t="s">
        <v>6052</v>
      </c>
      <c r="AX95" s="10" t="s">
        <v>6052</v>
      </c>
      <c r="AY95" s="10" t="s">
        <v>32253</v>
      </c>
      <c r="AZ95" s="44" t="s">
        <v>33117</v>
      </c>
      <c r="BA95" s="44" t="s">
        <v>30956</v>
      </c>
      <c r="BB95" s="44" t="s">
        <v>31399</v>
      </c>
      <c r="BC95" s="44" t="s">
        <v>6594</v>
      </c>
      <c r="BD95" s="44" t="s">
        <v>31708</v>
      </c>
      <c r="BE95" s="11">
        <v>1</v>
      </c>
      <c r="BF95" s="11">
        <v>0</v>
      </c>
      <c r="BG95" s="11">
        <v>0</v>
      </c>
      <c r="BH95" s="10" t="s">
        <v>32135</v>
      </c>
      <c r="BI95" s="11">
        <v>100</v>
      </c>
      <c r="BJ95" s="10" t="s">
        <v>33429</v>
      </c>
      <c r="BK95" s="11">
        <v>94</v>
      </c>
    </row>
    <row r="96" spans="1:63" x14ac:dyDescent="0.75">
      <c r="A96" t="s">
        <v>3388</v>
      </c>
      <c r="B96" t="s">
        <v>104</v>
      </c>
      <c r="C96" t="s">
        <v>153</v>
      </c>
      <c r="D96" t="s">
        <v>154</v>
      </c>
      <c r="E96" s="22" t="s">
        <v>20650</v>
      </c>
      <c r="F96" t="s">
        <v>3389</v>
      </c>
      <c r="G96" s="1" t="str">
        <f>HYPERLINK("https://homd.org/jbrowse/?data=homd_V11.02_phage_1.2%2FGCA_018128005.1&amp;loc=GCA_018128005.1%7CCP072354.1%3A55220..62224&amp;tracks=prokka,prokka_ncrna,ncbi,ncbi_ncrna,panggolin,cenote,genomad&amp;highlight=","Open JBrowse")</f>
        <v>Open JBrowse</v>
      </c>
      <c r="H96" s="10">
        <v>58220</v>
      </c>
      <c r="I96" s="10">
        <v>59224</v>
      </c>
      <c r="J96" s="10" t="s">
        <v>3395</v>
      </c>
      <c r="K96" s="10" t="s">
        <v>59</v>
      </c>
      <c r="L96" s="10" t="s">
        <v>157</v>
      </c>
      <c r="M96" s="10" t="s">
        <v>158</v>
      </c>
      <c r="N96" s="10" t="s">
        <v>42</v>
      </c>
      <c r="O96" s="10">
        <v>3</v>
      </c>
      <c r="P96" s="10" t="s">
        <v>42</v>
      </c>
      <c r="Q96" s="10" t="s">
        <v>59</v>
      </c>
      <c r="R96" s="10" t="s">
        <v>3391</v>
      </c>
      <c r="S96" s="10" t="s">
        <v>157</v>
      </c>
      <c r="T96" s="10" t="s">
        <v>42</v>
      </c>
      <c r="U96" s="10">
        <v>53</v>
      </c>
      <c r="V96" s="10">
        <v>279</v>
      </c>
      <c r="W96" s="10">
        <v>227</v>
      </c>
      <c r="X96" s="10" t="s">
        <v>160</v>
      </c>
      <c r="Y96" s="10" t="s">
        <v>3396</v>
      </c>
      <c r="Z96" s="10" t="s">
        <v>1257</v>
      </c>
      <c r="AA96" s="10" t="s">
        <v>3397</v>
      </c>
      <c r="AB96" s="10"/>
      <c r="AC96" s="10"/>
      <c r="AD96" s="10"/>
      <c r="AE96" s="10"/>
      <c r="AF96" s="10"/>
      <c r="AG96" s="44"/>
      <c r="AH96" s="44"/>
      <c r="AI96" s="44" t="s">
        <v>6052</v>
      </c>
      <c r="AJ96" s="44" t="s">
        <v>6052</v>
      </c>
      <c r="AK96" s="44" t="s">
        <v>6052</v>
      </c>
      <c r="AL96" s="44" t="s">
        <v>6052</v>
      </c>
      <c r="AM96" s="44" t="s">
        <v>6052</v>
      </c>
      <c r="AN96" s="44" t="s">
        <v>32684</v>
      </c>
      <c r="AO96" s="45">
        <v>11</v>
      </c>
      <c r="AP96" s="45">
        <v>1</v>
      </c>
      <c r="AQ96" s="45">
        <v>0</v>
      </c>
      <c r="AR96" s="45">
        <v>0</v>
      </c>
      <c r="AS96" s="45">
        <v>0</v>
      </c>
      <c r="AT96" s="45">
        <v>0</v>
      </c>
      <c r="AU96" s="10" t="s">
        <v>6052</v>
      </c>
      <c r="AV96" s="10" t="s">
        <v>6052</v>
      </c>
      <c r="AW96" s="10" t="s">
        <v>6052</v>
      </c>
      <c r="AX96" s="10" t="s">
        <v>6052</v>
      </c>
      <c r="AY96" s="10" t="s">
        <v>32253</v>
      </c>
      <c r="AZ96" s="44" t="s">
        <v>33117</v>
      </c>
      <c r="BA96" s="44" t="s">
        <v>30972</v>
      </c>
      <c r="BB96" s="44" t="s">
        <v>31417</v>
      </c>
      <c r="BC96" s="44" t="s">
        <v>6594</v>
      </c>
      <c r="BD96" s="44" t="s">
        <v>31708</v>
      </c>
      <c r="BE96" s="11">
        <v>1</v>
      </c>
      <c r="BF96" s="11">
        <v>0</v>
      </c>
      <c r="BG96" s="11">
        <v>0</v>
      </c>
      <c r="BH96" s="10" t="s">
        <v>32069</v>
      </c>
      <c r="BI96" s="11">
        <v>100</v>
      </c>
      <c r="BJ96" s="10" t="s">
        <v>33414</v>
      </c>
      <c r="BK96" s="11">
        <v>100</v>
      </c>
    </row>
    <row r="97" spans="1:63" x14ac:dyDescent="0.75">
      <c r="A97" t="s">
        <v>3358</v>
      </c>
      <c r="B97" t="s">
        <v>104</v>
      </c>
      <c r="C97" t="s">
        <v>153</v>
      </c>
      <c r="D97" t="s">
        <v>154</v>
      </c>
      <c r="E97" s="22" t="s">
        <v>20644</v>
      </c>
      <c r="F97" t="s">
        <v>3359</v>
      </c>
      <c r="G97" s="1" t="str">
        <f>HYPERLINK("https://homd.org/jbrowse/?data=homd_V11.02_phage_1.2%2FGCA_018127945.1&amp;loc=GCA_018127945.1%7CCP072351.1%3A1782712..1789716&amp;tracks=prokka,prokka_ncrna,ncbi,ncbi_ncrna,panggolin,cenote,genomad&amp;highlight=","Open JBrowse")</f>
        <v>Open JBrowse</v>
      </c>
      <c r="H97" s="10">
        <v>1785712</v>
      </c>
      <c r="I97" s="10">
        <v>1786716</v>
      </c>
      <c r="J97" s="10" t="s">
        <v>3360</v>
      </c>
      <c r="K97" s="10" t="s">
        <v>59</v>
      </c>
      <c r="L97" s="10" t="s">
        <v>157</v>
      </c>
      <c r="M97" s="10" t="s">
        <v>158</v>
      </c>
      <c r="N97" s="10" t="s">
        <v>42</v>
      </c>
      <c r="O97" s="10">
        <v>3</v>
      </c>
      <c r="P97" s="10" t="s">
        <v>42</v>
      </c>
      <c r="Q97" s="10" t="s">
        <v>59</v>
      </c>
      <c r="R97" s="10" t="s">
        <v>3361</v>
      </c>
      <c r="S97" s="10" t="s">
        <v>157</v>
      </c>
      <c r="T97" s="10" t="s">
        <v>42</v>
      </c>
      <c r="U97" s="10">
        <v>53</v>
      </c>
      <c r="V97" s="10">
        <v>279</v>
      </c>
      <c r="W97" s="10">
        <v>227</v>
      </c>
      <c r="X97" s="10" t="s">
        <v>160</v>
      </c>
      <c r="Y97" s="10" t="s">
        <v>3362</v>
      </c>
      <c r="Z97" s="10" t="s">
        <v>118</v>
      </c>
      <c r="AA97" s="10" t="s">
        <v>2983</v>
      </c>
      <c r="AB97" s="10"/>
      <c r="AC97" s="10"/>
      <c r="AD97" s="10"/>
      <c r="AE97" s="10"/>
      <c r="AF97" s="10"/>
      <c r="AG97" s="44"/>
      <c r="AH97" s="44"/>
      <c r="AI97" s="44" t="s">
        <v>6052</v>
      </c>
      <c r="AJ97" s="44" t="s">
        <v>6052</v>
      </c>
      <c r="AK97" s="44" t="s">
        <v>6052</v>
      </c>
      <c r="AL97" s="44" t="s">
        <v>6052</v>
      </c>
      <c r="AM97" s="44" t="s">
        <v>6052</v>
      </c>
      <c r="AN97" s="44" t="s">
        <v>32689</v>
      </c>
      <c r="AO97" s="45">
        <v>11</v>
      </c>
      <c r="AP97" s="45">
        <v>1</v>
      </c>
      <c r="AQ97" s="45">
        <v>0</v>
      </c>
      <c r="AR97" s="45">
        <v>0</v>
      </c>
      <c r="AS97" s="45">
        <v>0</v>
      </c>
      <c r="AT97" s="45">
        <v>0</v>
      </c>
      <c r="AU97" s="10" t="s">
        <v>6052</v>
      </c>
      <c r="AV97" s="10" t="s">
        <v>6052</v>
      </c>
      <c r="AW97" s="10" t="s">
        <v>6052</v>
      </c>
      <c r="AX97" s="10" t="s">
        <v>6052</v>
      </c>
      <c r="AY97" s="10" t="s">
        <v>32253</v>
      </c>
      <c r="AZ97" s="44" t="s">
        <v>33117</v>
      </c>
      <c r="BA97" s="44" t="s">
        <v>30973</v>
      </c>
      <c r="BB97" s="44" t="s">
        <v>31419</v>
      </c>
      <c r="BC97" s="44" t="s">
        <v>6594</v>
      </c>
      <c r="BD97" s="44" t="s">
        <v>31708</v>
      </c>
      <c r="BE97" s="11">
        <v>1</v>
      </c>
      <c r="BF97" s="11">
        <v>0</v>
      </c>
      <c r="BG97" s="11">
        <v>0</v>
      </c>
      <c r="BH97" s="10" t="s">
        <v>32007</v>
      </c>
      <c r="BI97" s="11">
        <v>100</v>
      </c>
      <c r="BJ97" s="10" t="s">
        <v>33413</v>
      </c>
      <c r="BK97" s="11">
        <v>100</v>
      </c>
    </row>
    <row r="98" spans="1:63" x14ac:dyDescent="0.75">
      <c r="A98" t="s">
        <v>3346</v>
      </c>
      <c r="B98" t="s">
        <v>104</v>
      </c>
      <c r="C98" t="s">
        <v>153</v>
      </c>
      <c r="D98" t="s">
        <v>154</v>
      </c>
      <c r="E98" s="22" t="s">
        <v>20640</v>
      </c>
      <c r="F98" t="s">
        <v>3347</v>
      </c>
      <c r="G98" s="1" t="str">
        <f>HYPERLINK("https://homd.org/jbrowse/?data=homd_V11.02_phage_1.2%2FGCA_018127905.1&amp;loc=GCA_018127905.1%7CCP072345.1%3A368272..375249&amp;tracks=prokka,prokka_ncrna,ncbi,ncbi_ncrna,panggolin,cenote,genomad&amp;highlight=","Open JBrowse")</f>
        <v>Open JBrowse</v>
      </c>
      <c r="H98" s="10">
        <v>371272</v>
      </c>
      <c r="I98" s="10">
        <v>372249</v>
      </c>
      <c r="J98" s="10" t="s">
        <v>3348</v>
      </c>
      <c r="K98" s="10" t="s">
        <v>59</v>
      </c>
      <c r="L98" s="10" t="s">
        <v>563</v>
      </c>
      <c r="M98" s="10" t="s">
        <v>564</v>
      </c>
      <c r="N98" s="10" t="s">
        <v>42</v>
      </c>
      <c r="O98" s="10">
        <v>3</v>
      </c>
      <c r="P98" s="10" t="s">
        <v>42</v>
      </c>
      <c r="Q98" s="10" t="s">
        <v>59</v>
      </c>
      <c r="R98" s="10" t="s">
        <v>3349</v>
      </c>
      <c r="S98" s="10" t="s">
        <v>563</v>
      </c>
      <c r="T98" s="10" t="s">
        <v>42</v>
      </c>
      <c r="U98" s="10">
        <v>44</v>
      </c>
      <c r="V98" s="10">
        <v>270</v>
      </c>
      <c r="W98" s="10">
        <v>227</v>
      </c>
      <c r="X98" s="10" t="s">
        <v>160</v>
      </c>
      <c r="Y98" s="10" t="s">
        <v>3350</v>
      </c>
      <c r="Z98" s="10" t="s">
        <v>1334</v>
      </c>
      <c r="AA98" s="10" t="s">
        <v>2983</v>
      </c>
      <c r="AB98" s="10"/>
      <c r="AC98" s="10"/>
      <c r="AD98" s="10"/>
      <c r="AE98" s="10"/>
      <c r="AF98" s="10"/>
      <c r="AG98" s="44"/>
      <c r="AH98" s="44"/>
      <c r="AI98" s="44" t="s">
        <v>6052</v>
      </c>
      <c r="AJ98" s="44" t="s">
        <v>6052</v>
      </c>
      <c r="AK98" s="44" t="s">
        <v>6052</v>
      </c>
      <c r="AL98" s="44" t="s">
        <v>6052</v>
      </c>
      <c r="AM98" s="44" t="s">
        <v>6052</v>
      </c>
      <c r="AN98" s="44" t="s">
        <v>32768</v>
      </c>
      <c r="AO98" s="45">
        <v>11</v>
      </c>
      <c r="AP98" s="45">
        <v>1</v>
      </c>
      <c r="AQ98" s="45">
        <v>0</v>
      </c>
      <c r="AR98" s="45">
        <v>0</v>
      </c>
      <c r="AS98" s="45">
        <v>0</v>
      </c>
      <c r="AT98" s="45">
        <v>0</v>
      </c>
      <c r="AU98" s="10" t="s">
        <v>6052</v>
      </c>
      <c r="AV98" s="10" t="s">
        <v>6052</v>
      </c>
      <c r="AW98" s="10" t="s">
        <v>6052</v>
      </c>
      <c r="AX98" s="10" t="s">
        <v>6052</v>
      </c>
      <c r="AY98" s="10" t="s">
        <v>32253</v>
      </c>
      <c r="AZ98" s="44" t="s">
        <v>33117</v>
      </c>
      <c r="BA98" s="44" t="s">
        <v>31000</v>
      </c>
      <c r="BB98" s="44" t="s">
        <v>31468</v>
      </c>
      <c r="BC98" s="44" t="s">
        <v>6594</v>
      </c>
      <c r="BD98" s="44" t="s">
        <v>31708</v>
      </c>
      <c r="BE98" s="11">
        <v>1</v>
      </c>
      <c r="BF98" s="11">
        <v>0</v>
      </c>
      <c r="BG98" s="11">
        <v>0</v>
      </c>
      <c r="BH98" s="10" t="s">
        <v>32000</v>
      </c>
      <c r="BI98" s="11">
        <v>100</v>
      </c>
      <c r="BJ98" s="10" t="s">
        <v>33412</v>
      </c>
      <c r="BK98" s="11">
        <v>100</v>
      </c>
    </row>
    <row r="99" spans="1:63" x14ac:dyDescent="0.75">
      <c r="A99" t="s">
        <v>3341</v>
      </c>
      <c r="B99" t="s">
        <v>104</v>
      </c>
      <c r="C99" t="s">
        <v>153</v>
      </c>
      <c r="D99" t="s">
        <v>154</v>
      </c>
      <c r="E99" s="22" t="s">
        <v>20638</v>
      </c>
      <c r="F99" t="s">
        <v>3342</v>
      </c>
      <c r="G99" s="1" t="str">
        <f>HYPERLINK("https://homd.org/jbrowse/?data=homd_V11.02_phage_1.2%2FGCA_018127885.1&amp;loc=GCA_018127885.1%7CCP072343.1%3A1740953..1747930&amp;tracks=prokka,prokka_ncrna,ncbi,ncbi_ncrna,panggolin,cenote,genomad&amp;highlight=","Open JBrowse")</f>
        <v>Open JBrowse</v>
      </c>
      <c r="H99" s="10">
        <v>1743953</v>
      </c>
      <c r="I99" s="10">
        <v>1744930</v>
      </c>
      <c r="J99" s="10" t="s">
        <v>3343</v>
      </c>
      <c r="K99" s="10" t="s">
        <v>59</v>
      </c>
      <c r="L99" s="10" t="s">
        <v>563</v>
      </c>
      <c r="M99" s="10" t="s">
        <v>564</v>
      </c>
      <c r="N99" s="10" t="s">
        <v>42</v>
      </c>
      <c r="O99" s="10">
        <v>3</v>
      </c>
      <c r="P99" s="10" t="s">
        <v>42</v>
      </c>
      <c r="Q99" s="10" t="s">
        <v>59</v>
      </c>
      <c r="R99" s="10" t="s">
        <v>3344</v>
      </c>
      <c r="S99" s="10" t="s">
        <v>563</v>
      </c>
      <c r="T99" s="10" t="s">
        <v>42</v>
      </c>
      <c r="U99" s="10">
        <v>44</v>
      </c>
      <c r="V99" s="10">
        <v>270</v>
      </c>
      <c r="W99" s="10">
        <v>227</v>
      </c>
      <c r="X99" s="10" t="s">
        <v>160</v>
      </c>
      <c r="Y99" s="10" t="s">
        <v>3345</v>
      </c>
      <c r="Z99" s="10" t="s">
        <v>904</v>
      </c>
      <c r="AA99" s="10" t="s">
        <v>2983</v>
      </c>
      <c r="AB99" s="10"/>
      <c r="AC99" s="10"/>
      <c r="AD99" s="10"/>
      <c r="AE99" s="10"/>
      <c r="AF99" s="10"/>
      <c r="AG99" s="44"/>
      <c r="AH99" s="44"/>
      <c r="AI99" s="44" t="s">
        <v>6052</v>
      </c>
      <c r="AJ99" s="44" t="s">
        <v>6052</v>
      </c>
      <c r="AK99" s="44" t="s">
        <v>6052</v>
      </c>
      <c r="AL99" s="44" t="s">
        <v>6052</v>
      </c>
      <c r="AM99" s="44" t="s">
        <v>6052</v>
      </c>
      <c r="AN99" s="44" t="s">
        <v>32769</v>
      </c>
      <c r="AO99" s="45">
        <v>11</v>
      </c>
      <c r="AP99" s="45">
        <v>1</v>
      </c>
      <c r="AQ99" s="45">
        <v>0</v>
      </c>
      <c r="AR99" s="45">
        <v>0</v>
      </c>
      <c r="AS99" s="45">
        <v>0</v>
      </c>
      <c r="AT99" s="45">
        <v>0</v>
      </c>
      <c r="AU99" s="10" t="s">
        <v>6052</v>
      </c>
      <c r="AV99" s="10" t="s">
        <v>6052</v>
      </c>
      <c r="AW99" s="10" t="s">
        <v>6052</v>
      </c>
      <c r="AX99" s="10" t="s">
        <v>6052</v>
      </c>
      <c r="AY99" s="10" t="s">
        <v>32253</v>
      </c>
      <c r="AZ99" s="44" t="s">
        <v>33117</v>
      </c>
      <c r="BA99" s="44" t="s">
        <v>31001</v>
      </c>
      <c r="BB99" s="44" t="s">
        <v>31469</v>
      </c>
      <c r="BC99" s="44" t="s">
        <v>6594</v>
      </c>
      <c r="BD99" s="44" t="s">
        <v>31708</v>
      </c>
      <c r="BE99" s="11">
        <v>1</v>
      </c>
      <c r="BF99" s="11">
        <v>0</v>
      </c>
      <c r="BG99" s="11">
        <v>0</v>
      </c>
      <c r="BH99" s="10" t="s">
        <v>32001</v>
      </c>
      <c r="BI99" s="11">
        <v>100</v>
      </c>
      <c r="BJ99" s="10" t="s">
        <v>33411</v>
      </c>
      <c r="BK99" s="11">
        <v>100</v>
      </c>
    </row>
    <row r="100" spans="1:63" x14ac:dyDescent="0.75">
      <c r="A100" t="s">
        <v>3336</v>
      </c>
      <c r="B100" t="s">
        <v>104</v>
      </c>
      <c r="C100" t="s">
        <v>275</v>
      </c>
      <c r="D100" t="s">
        <v>276</v>
      </c>
      <c r="E100" s="22" t="s">
        <v>7016</v>
      </c>
      <c r="F100" t="s">
        <v>3337</v>
      </c>
      <c r="G100" s="1" t="str">
        <f>HYPERLINK("https://homd.org/jbrowse/?data=homd_V11.02_phage_1.2%2FGCA_018127765.1&amp;loc=GCA_018127765.1%7CCP072330.1%3A26907..33755&amp;tracks=prokka,prokka_ncrna,ncbi,ncbi_ncrna,panggolin,cenote,genomad&amp;highlight=","Open JBrowse")</f>
        <v>Open JBrowse</v>
      </c>
      <c r="H100" s="10">
        <v>29907</v>
      </c>
      <c r="I100" s="10">
        <v>30755</v>
      </c>
      <c r="J100" s="10" t="s">
        <v>3338</v>
      </c>
      <c r="K100" s="10" t="s">
        <v>59</v>
      </c>
      <c r="L100" s="10" t="s">
        <v>157</v>
      </c>
      <c r="M100" s="10" t="s">
        <v>158</v>
      </c>
      <c r="N100" s="10" t="s">
        <v>42</v>
      </c>
      <c r="O100" s="10">
        <v>3</v>
      </c>
      <c r="P100" s="10" t="s">
        <v>42</v>
      </c>
      <c r="Q100" s="10" t="s">
        <v>59</v>
      </c>
      <c r="R100" s="10" t="s">
        <v>3339</v>
      </c>
      <c r="S100" s="10" t="s">
        <v>157</v>
      </c>
      <c r="T100" s="10" t="s">
        <v>42</v>
      </c>
      <c r="U100" s="10">
        <v>53</v>
      </c>
      <c r="V100" s="10">
        <v>279</v>
      </c>
      <c r="W100" s="10">
        <v>227</v>
      </c>
      <c r="X100" s="10" t="s">
        <v>160</v>
      </c>
      <c r="Y100" s="10" t="s">
        <v>3340</v>
      </c>
      <c r="Z100" s="10" t="s">
        <v>368</v>
      </c>
      <c r="AA100" s="10" t="s">
        <v>282</v>
      </c>
      <c r="AB100" s="10"/>
      <c r="AC100" s="10"/>
      <c r="AD100" s="10"/>
      <c r="AE100" s="10"/>
      <c r="AF100" s="10"/>
      <c r="AG100" s="44"/>
      <c r="AH100" s="44"/>
      <c r="AI100" s="44" t="s">
        <v>6052</v>
      </c>
      <c r="AJ100" s="44" t="s">
        <v>6052</v>
      </c>
      <c r="AK100" s="44" t="s">
        <v>6052</v>
      </c>
      <c r="AL100" s="44" t="s">
        <v>6052</v>
      </c>
      <c r="AM100" s="44" t="s">
        <v>6052</v>
      </c>
      <c r="AN100" s="44" t="s">
        <v>32700</v>
      </c>
      <c r="AO100" s="45">
        <v>11</v>
      </c>
      <c r="AP100" s="45">
        <v>1</v>
      </c>
      <c r="AQ100" s="45">
        <v>0</v>
      </c>
      <c r="AR100" s="45">
        <v>0</v>
      </c>
      <c r="AS100" s="45">
        <v>0</v>
      </c>
      <c r="AT100" s="45">
        <v>0</v>
      </c>
      <c r="AU100" s="10" t="s">
        <v>6052</v>
      </c>
      <c r="AV100" s="10" t="s">
        <v>6052</v>
      </c>
      <c r="AW100" s="10" t="s">
        <v>6052</v>
      </c>
      <c r="AX100" s="10" t="s">
        <v>6052</v>
      </c>
      <c r="AY100" s="10" t="s">
        <v>32253</v>
      </c>
      <c r="AZ100" s="44" t="s">
        <v>33117</v>
      </c>
      <c r="BA100" s="44" t="s">
        <v>30975</v>
      </c>
      <c r="BB100" s="44" t="s">
        <v>31423</v>
      </c>
      <c r="BC100" s="44" t="s">
        <v>6594</v>
      </c>
      <c r="BD100" s="44" t="s">
        <v>31708</v>
      </c>
      <c r="BE100" s="11">
        <v>1</v>
      </c>
      <c r="BF100" s="11">
        <v>0</v>
      </c>
      <c r="BG100" s="11">
        <v>0</v>
      </c>
      <c r="BH100" s="10" t="s">
        <v>32139</v>
      </c>
      <c r="BI100" s="11">
        <v>100</v>
      </c>
      <c r="BJ100" s="10" t="s">
        <v>33434</v>
      </c>
      <c r="BK100" s="11">
        <v>100</v>
      </c>
    </row>
    <row r="101" spans="1:63" x14ac:dyDescent="0.75">
      <c r="A101" t="s">
        <v>3158</v>
      </c>
      <c r="B101" t="s">
        <v>104</v>
      </c>
      <c r="C101" t="s">
        <v>1888</v>
      </c>
      <c r="D101" t="s">
        <v>393</v>
      </c>
      <c r="E101" s="22" t="s">
        <v>20175</v>
      </c>
      <c r="F101" t="s">
        <v>3159</v>
      </c>
      <c r="G101" s="1" t="str">
        <f>HYPERLINK("https://homd.org/jbrowse/?data=homd_V11.02_phage_1.2%2FGCA_016694895.1&amp;loc=GCA_016694895.1%7CCP068012.1%3A524151..531011&amp;tracks=prokka,prokka_ncrna,ncbi,ncbi_ncrna,panggolin,cenote,genomad&amp;highlight=","Open JBrowse")</f>
        <v>Open JBrowse</v>
      </c>
      <c r="H101" s="10">
        <v>527151</v>
      </c>
      <c r="I101" s="10">
        <v>528011</v>
      </c>
      <c r="J101" s="10" t="s">
        <v>3160</v>
      </c>
      <c r="K101" s="10" t="s">
        <v>59</v>
      </c>
      <c r="L101" s="10" t="s">
        <v>396</v>
      </c>
      <c r="M101" s="10" t="s">
        <v>397</v>
      </c>
      <c r="N101" s="10" t="s">
        <v>398</v>
      </c>
      <c r="O101" s="10">
        <v>3</v>
      </c>
      <c r="P101" s="10" t="s">
        <v>42</v>
      </c>
      <c r="Q101" s="10" t="s">
        <v>59</v>
      </c>
      <c r="R101" s="10" t="s">
        <v>3161</v>
      </c>
      <c r="S101" s="10" t="s">
        <v>396</v>
      </c>
      <c r="T101" s="10" t="s">
        <v>42</v>
      </c>
      <c r="U101" s="10">
        <v>46</v>
      </c>
      <c r="V101" s="10">
        <v>282</v>
      </c>
      <c r="W101" s="10">
        <v>237</v>
      </c>
      <c r="X101" s="10" t="s">
        <v>400</v>
      </c>
      <c r="Y101" s="10" t="s">
        <v>3162</v>
      </c>
      <c r="Z101" s="10" t="s">
        <v>357</v>
      </c>
      <c r="AA101" s="10" t="s">
        <v>3163</v>
      </c>
      <c r="AB101" s="10"/>
      <c r="AC101" s="10"/>
      <c r="AD101" s="10"/>
      <c r="AE101" s="10"/>
      <c r="AF101" s="10"/>
      <c r="AG101" s="44"/>
      <c r="AH101" s="44"/>
      <c r="AI101" s="44" t="s">
        <v>6052</v>
      </c>
      <c r="AJ101" s="44" t="s">
        <v>6052</v>
      </c>
      <c r="AK101" s="44" t="s">
        <v>6052</v>
      </c>
      <c r="AL101" s="44" t="s">
        <v>6052</v>
      </c>
      <c r="AM101" s="44" t="s">
        <v>6052</v>
      </c>
      <c r="AN101" s="44" t="s">
        <v>32811</v>
      </c>
      <c r="AO101" s="45">
        <v>11</v>
      </c>
      <c r="AP101" s="45">
        <v>1</v>
      </c>
      <c r="AQ101" s="45">
        <v>0</v>
      </c>
      <c r="AR101" s="45">
        <v>0</v>
      </c>
      <c r="AS101" s="45">
        <v>0</v>
      </c>
      <c r="AT101" s="45">
        <v>0</v>
      </c>
      <c r="AU101" s="10" t="s">
        <v>6052</v>
      </c>
      <c r="AV101" s="10" t="s">
        <v>6052</v>
      </c>
      <c r="AW101" s="10" t="s">
        <v>6052</v>
      </c>
      <c r="AX101" s="10" t="s">
        <v>6052</v>
      </c>
      <c r="AY101" s="10" t="s">
        <v>32253</v>
      </c>
      <c r="AZ101" s="44" t="s">
        <v>33118</v>
      </c>
      <c r="BA101" s="44" t="s">
        <v>31019</v>
      </c>
      <c r="BB101" s="44" t="s">
        <v>31495</v>
      </c>
      <c r="BC101" s="44" t="s">
        <v>7190</v>
      </c>
      <c r="BD101" s="44" t="s">
        <v>31712</v>
      </c>
      <c r="BE101" s="11">
        <v>1</v>
      </c>
      <c r="BF101" s="11">
        <v>0</v>
      </c>
      <c r="BG101" s="11">
        <v>0</v>
      </c>
      <c r="BH101" s="10" t="s">
        <v>33195</v>
      </c>
      <c r="BI101" s="11">
        <v>100</v>
      </c>
      <c r="BJ101" s="10" t="s">
        <v>33196</v>
      </c>
      <c r="BK101" s="11">
        <v>100</v>
      </c>
    </row>
    <row r="102" spans="1:63" x14ac:dyDescent="0.75">
      <c r="A102" t="s">
        <v>2790</v>
      </c>
      <c r="B102" t="s">
        <v>104</v>
      </c>
      <c r="C102" t="s">
        <v>1674</v>
      </c>
      <c r="D102" t="s">
        <v>393</v>
      </c>
      <c r="E102" s="22" t="s">
        <v>18739</v>
      </c>
      <c r="F102" t="s">
        <v>2791</v>
      </c>
      <c r="G102" s="1" t="str">
        <f>HYPERLINK("https://homd.org/jbrowse/?data=homd_V11.02_phage_1.2%2FGCA_013394715.1&amp;loc=GCA_013394715.1%7CCP058259.1%3A505625..512485&amp;tracks=prokka,prokka_ncrna,ncbi,ncbi_ncrna,panggolin,cenote,genomad&amp;highlight=","Open JBrowse")</f>
        <v>Open JBrowse</v>
      </c>
      <c r="H102" s="10">
        <v>508625</v>
      </c>
      <c r="I102" s="10">
        <v>509485</v>
      </c>
      <c r="J102" s="10" t="s">
        <v>2792</v>
      </c>
      <c r="K102" s="10" t="s">
        <v>59</v>
      </c>
      <c r="L102" s="10" t="s">
        <v>396</v>
      </c>
      <c r="M102" s="10" t="s">
        <v>397</v>
      </c>
      <c r="N102" s="10" t="s">
        <v>398</v>
      </c>
      <c r="O102" s="10">
        <v>3</v>
      </c>
      <c r="P102" s="10" t="s">
        <v>42</v>
      </c>
      <c r="Q102" s="10" t="s">
        <v>59</v>
      </c>
      <c r="R102" s="10" t="s">
        <v>2793</v>
      </c>
      <c r="S102" s="10" t="s">
        <v>396</v>
      </c>
      <c r="T102" s="10" t="s">
        <v>42</v>
      </c>
      <c r="U102" s="10">
        <v>46</v>
      </c>
      <c r="V102" s="10">
        <v>282</v>
      </c>
      <c r="W102" s="10">
        <v>237</v>
      </c>
      <c r="X102" s="10" t="s">
        <v>400</v>
      </c>
      <c r="Y102" s="10" t="s">
        <v>2794</v>
      </c>
      <c r="Z102" s="10" t="s">
        <v>357</v>
      </c>
      <c r="AA102" s="10" t="s">
        <v>2795</v>
      </c>
      <c r="AB102" s="10"/>
      <c r="AC102" s="10"/>
      <c r="AD102" s="10"/>
      <c r="AE102" s="10"/>
      <c r="AF102" s="10"/>
      <c r="AG102" s="44"/>
      <c r="AH102" s="44"/>
      <c r="AI102" s="44" t="s">
        <v>6052</v>
      </c>
      <c r="AJ102" s="44" t="s">
        <v>6052</v>
      </c>
      <c r="AK102" s="44" t="s">
        <v>6052</v>
      </c>
      <c r="AL102" s="44" t="s">
        <v>6052</v>
      </c>
      <c r="AM102" s="44" t="s">
        <v>6052</v>
      </c>
      <c r="AN102" s="44" t="s">
        <v>32744</v>
      </c>
      <c r="AO102" s="45">
        <v>11</v>
      </c>
      <c r="AP102" s="45">
        <v>1</v>
      </c>
      <c r="AQ102" s="45">
        <v>0</v>
      </c>
      <c r="AR102" s="45">
        <v>0</v>
      </c>
      <c r="AS102" s="45">
        <v>0</v>
      </c>
      <c r="AT102" s="45">
        <v>0</v>
      </c>
      <c r="AU102" s="10" t="s">
        <v>6052</v>
      </c>
      <c r="AV102" s="10" t="s">
        <v>6052</v>
      </c>
      <c r="AW102" s="10" t="s">
        <v>6052</v>
      </c>
      <c r="AX102" s="10" t="s">
        <v>6052</v>
      </c>
      <c r="AY102" s="10" t="s">
        <v>32253</v>
      </c>
      <c r="AZ102" s="44" t="s">
        <v>33118</v>
      </c>
      <c r="BA102" s="44" t="s">
        <v>30988</v>
      </c>
      <c r="BB102" s="44" t="s">
        <v>31452</v>
      </c>
      <c r="BC102" s="44" t="s">
        <v>7190</v>
      </c>
      <c r="BD102" s="44" t="s">
        <v>31712</v>
      </c>
      <c r="BE102" s="11">
        <v>1</v>
      </c>
      <c r="BF102" s="11">
        <v>0</v>
      </c>
      <c r="BG102" s="11">
        <v>0</v>
      </c>
      <c r="BH102" s="10" t="s">
        <v>33193</v>
      </c>
      <c r="BI102" s="11">
        <v>100</v>
      </c>
      <c r="BJ102" s="10" t="s">
        <v>33194</v>
      </c>
      <c r="BK102" s="11">
        <v>100</v>
      </c>
    </row>
    <row r="103" spans="1:63" x14ac:dyDescent="0.75">
      <c r="A103" t="s">
        <v>2796</v>
      </c>
      <c r="B103" t="s">
        <v>104</v>
      </c>
      <c r="C103" t="s">
        <v>105</v>
      </c>
      <c r="D103" t="s">
        <v>106</v>
      </c>
      <c r="E103" s="22" t="s">
        <v>18741</v>
      </c>
      <c r="F103" t="s">
        <v>2797</v>
      </c>
      <c r="G103" s="1" t="str">
        <f>HYPERLINK("https://homd.org/jbrowse/?data=homd_V11.02_phage_1.2%2FGCA_013394735.1&amp;loc=GCA_013394735.1%7CCP058261.1%3A1020362..1027180&amp;tracks=prokka,prokka_ncrna,ncbi,ncbi_ncrna,panggolin,cenote,genomad&amp;highlight=","Open JBrowse")</f>
        <v>Open JBrowse</v>
      </c>
      <c r="H103" s="10">
        <v>1023362</v>
      </c>
      <c r="I103" s="10">
        <v>1024180</v>
      </c>
      <c r="J103" s="10" t="s">
        <v>2807</v>
      </c>
      <c r="K103" s="10" t="s">
        <v>39</v>
      </c>
      <c r="L103" s="10" t="s">
        <v>1379</v>
      </c>
      <c r="M103" s="10" t="s">
        <v>1380</v>
      </c>
      <c r="N103" s="10" t="s">
        <v>42</v>
      </c>
      <c r="O103" s="10">
        <v>3</v>
      </c>
      <c r="P103" s="10" t="s">
        <v>42</v>
      </c>
      <c r="Q103" s="10" t="s">
        <v>43</v>
      </c>
      <c r="R103" s="10" t="s">
        <v>2799</v>
      </c>
      <c r="S103" s="10" t="s">
        <v>1379</v>
      </c>
      <c r="T103" s="10" t="s">
        <v>42</v>
      </c>
      <c r="U103" s="10">
        <v>43</v>
      </c>
      <c r="V103" s="10">
        <v>270</v>
      </c>
      <c r="W103" s="10">
        <v>228</v>
      </c>
      <c r="X103" s="10" t="s">
        <v>45</v>
      </c>
      <c r="Y103" s="10" t="s">
        <v>2808</v>
      </c>
      <c r="Z103" s="10" t="s">
        <v>1327</v>
      </c>
      <c r="AA103" s="10" t="s">
        <v>133</v>
      </c>
      <c r="AB103" s="10"/>
      <c r="AC103" s="10"/>
      <c r="AD103" s="10"/>
      <c r="AE103" s="10"/>
      <c r="AF103" s="10"/>
      <c r="AG103" s="44"/>
      <c r="AH103" s="44"/>
      <c r="AI103" s="44" t="s">
        <v>6052</v>
      </c>
      <c r="AJ103" s="44" t="s">
        <v>6052</v>
      </c>
      <c r="AK103" s="44" t="s">
        <v>6052</v>
      </c>
      <c r="AL103" s="44" t="s">
        <v>6052</v>
      </c>
      <c r="AM103" s="44" t="s">
        <v>6052</v>
      </c>
      <c r="AN103" s="44" t="s">
        <v>33078</v>
      </c>
      <c r="AO103" s="45">
        <v>11</v>
      </c>
      <c r="AP103" s="45">
        <v>1</v>
      </c>
      <c r="AQ103" s="45">
        <v>0</v>
      </c>
      <c r="AR103" s="45">
        <v>0</v>
      </c>
      <c r="AS103" s="45">
        <v>0</v>
      </c>
      <c r="AT103" s="45">
        <v>0</v>
      </c>
      <c r="AU103" s="10" t="s">
        <v>6052</v>
      </c>
      <c r="AV103" s="10" t="s">
        <v>6052</v>
      </c>
      <c r="AW103" s="10" t="s">
        <v>6052</v>
      </c>
      <c r="AX103" s="10" t="s">
        <v>6052</v>
      </c>
      <c r="AY103" s="10" t="s">
        <v>32253</v>
      </c>
      <c r="AZ103" s="44" t="s">
        <v>33116</v>
      </c>
      <c r="BA103" s="44" t="s">
        <v>31151</v>
      </c>
      <c r="BB103" s="44" t="s">
        <v>31686</v>
      </c>
      <c r="BC103" s="44" t="s">
        <v>6415</v>
      </c>
      <c r="BD103" s="44" t="s">
        <v>31707</v>
      </c>
      <c r="BE103" s="11">
        <v>1</v>
      </c>
      <c r="BF103" s="11">
        <v>0</v>
      </c>
      <c r="BG103" s="11">
        <v>0</v>
      </c>
      <c r="BH103" s="10" t="s">
        <v>31844</v>
      </c>
      <c r="BI103" s="11">
        <v>100</v>
      </c>
      <c r="BJ103" s="10" t="s">
        <v>33237</v>
      </c>
      <c r="BK103" s="11">
        <v>100</v>
      </c>
    </row>
    <row r="104" spans="1:63" x14ac:dyDescent="0.75">
      <c r="A104" t="s">
        <v>2796</v>
      </c>
      <c r="B104" t="s">
        <v>104</v>
      </c>
      <c r="C104" t="s">
        <v>105</v>
      </c>
      <c r="D104" t="s">
        <v>106</v>
      </c>
      <c r="E104" s="22" t="s">
        <v>18741</v>
      </c>
      <c r="F104" t="s">
        <v>2797</v>
      </c>
      <c r="G104" s="1" t="str">
        <f>HYPERLINK("https://homd.org/jbrowse/?data=homd_V11.02_phage_1.2%2FGCA_013394735.1&amp;loc=GCA_013394735.1%7CCP058261.1%3A977935..984726&amp;tracks=prokka,prokka_ncrna,ncbi,ncbi_ncrna,panggolin,cenote,genomad&amp;highlight=","Open JBrowse")</f>
        <v>Open JBrowse</v>
      </c>
      <c r="H104" s="10">
        <v>980935</v>
      </c>
      <c r="I104" s="10">
        <v>981726</v>
      </c>
      <c r="J104" s="10" t="s">
        <v>2804</v>
      </c>
      <c r="K104" s="10" t="s">
        <v>39</v>
      </c>
      <c r="L104" s="10" t="s">
        <v>123</v>
      </c>
      <c r="M104" s="10" t="s">
        <v>124</v>
      </c>
      <c r="N104" s="10" t="s">
        <v>42</v>
      </c>
      <c r="O104" s="10">
        <v>3</v>
      </c>
      <c r="P104" s="10" t="s">
        <v>42</v>
      </c>
      <c r="Q104" s="10" t="s">
        <v>43</v>
      </c>
      <c r="R104" s="10" t="s">
        <v>2799</v>
      </c>
      <c r="S104" s="10" t="s">
        <v>123</v>
      </c>
      <c r="T104" s="10" t="s">
        <v>42</v>
      </c>
      <c r="U104" s="10">
        <v>35</v>
      </c>
      <c r="V104" s="10">
        <v>261</v>
      </c>
      <c r="W104" s="10">
        <v>227</v>
      </c>
      <c r="X104" s="10" t="s">
        <v>45</v>
      </c>
      <c r="Y104" s="10" t="s">
        <v>2805</v>
      </c>
      <c r="Z104" s="10" t="s">
        <v>281</v>
      </c>
      <c r="AA104" s="10" t="s">
        <v>2806</v>
      </c>
      <c r="AB104" s="10"/>
      <c r="AC104" s="10"/>
      <c r="AD104" s="10"/>
      <c r="AE104" s="10"/>
      <c r="AF104" s="10"/>
      <c r="AG104" s="44"/>
      <c r="AH104" s="44"/>
      <c r="AI104" s="44" t="s">
        <v>6052</v>
      </c>
      <c r="AJ104" s="44" t="s">
        <v>6052</v>
      </c>
      <c r="AK104" s="44" t="s">
        <v>6052</v>
      </c>
      <c r="AL104" s="44" t="s">
        <v>6052</v>
      </c>
      <c r="AM104" s="44" t="s">
        <v>6052</v>
      </c>
      <c r="AN104" s="44" t="s">
        <v>33077</v>
      </c>
      <c r="AO104" s="45">
        <v>11</v>
      </c>
      <c r="AP104" s="45">
        <v>1</v>
      </c>
      <c r="AQ104" s="45">
        <v>0</v>
      </c>
      <c r="AR104" s="45">
        <v>0</v>
      </c>
      <c r="AS104" s="45">
        <v>0</v>
      </c>
      <c r="AT104" s="45">
        <v>0</v>
      </c>
      <c r="AU104" s="10" t="s">
        <v>6052</v>
      </c>
      <c r="AV104" s="10" t="s">
        <v>6052</v>
      </c>
      <c r="AW104" s="10" t="s">
        <v>6052</v>
      </c>
      <c r="AX104" s="10" t="s">
        <v>6052</v>
      </c>
      <c r="AY104" s="10" t="s">
        <v>32253</v>
      </c>
      <c r="AZ104" s="44" t="s">
        <v>33116</v>
      </c>
      <c r="BA104" s="44" t="s">
        <v>31151</v>
      </c>
      <c r="BB104" s="44" t="s">
        <v>31685</v>
      </c>
      <c r="BC104" s="44" t="s">
        <v>6415</v>
      </c>
      <c r="BD104" s="44" t="s">
        <v>31707</v>
      </c>
      <c r="BE104" s="11">
        <v>1</v>
      </c>
      <c r="BF104" s="11">
        <v>0</v>
      </c>
      <c r="BG104" s="11">
        <v>0</v>
      </c>
      <c r="BH104" s="10" t="s">
        <v>31997</v>
      </c>
      <c r="BI104" s="11">
        <v>100</v>
      </c>
      <c r="BJ104" s="10" t="s">
        <v>33236</v>
      </c>
      <c r="BK104" s="11">
        <v>100</v>
      </c>
    </row>
    <row r="105" spans="1:63" x14ac:dyDescent="0.75">
      <c r="A105" t="s">
        <v>2714</v>
      </c>
      <c r="B105" t="s">
        <v>104</v>
      </c>
      <c r="C105" t="s">
        <v>153</v>
      </c>
      <c r="D105" t="s">
        <v>154</v>
      </c>
      <c r="E105" s="22" t="s">
        <v>18470</v>
      </c>
      <c r="F105" t="s">
        <v>2715</v>
      </c>
      <c r="G105" s="1" t="str">
        <f>HYPERLINK("https://homd.org/jbrowse/?data=homd_V11.02_phage_1.2%2FGCA_013267595.1&amp;loc=GCA_013267595.1%7CCP054011.1%3A1568573..1575577&amp;tracks=prokka,prokka_ncrna,ncbi,ncbi_ncrna,panggolin,cenote,genomad&amp;highlight=","Open JBrowse")</f>
        <v>Open JBrowse</v>
      </c>
      <c r="H105" s="10">
        <v>1571573</v>
      </c>
      <c r="I105" s="10">
        <v>1572577</v>
      </c>
      <c r="J105" s="10" t="s">
        <v>2716</v>
      </c>
      <c r="K105" s="10" t="s">
        <v>59</v>
      </c>
      <c r="L105" s="10" t="s">
        <v>157</v>
      </c>
      <c r="M105" s="10" t="s">
        <v>158</v>
      </c>
      <c r="N105" s="10" t="s">
        <v>42</v>
      </c>
      <c r="O105" s="10">
        <v>3</v>
      </c>
      <c r="P105" s="10" t="s">
        <v>42</v>
      </c>
      <c r="Q105" s="10" t="s">
        <v>59</v>
      </c>
      <c r="R105" s="10" t="s">
        <v>2717</v>
      </c>
      <c r="S105" s="10" t="s">
        <v>157</v>
      </c>
      <c r="T105" s="10" t="s">
        <v>42</v>
      </c>
      <c r="U105" s="10">
        <v>53</v>
      </c>
      <c r="V105" s="10">
        <v>279</v>
      </c>
      <c r="W105" s="10">
        <v>227</v>
      </c>
      <c r="X105" s="10" t="s">
        <v>160</v>
      </c>
      <c r="Y105" s="10" t="s">
        <v>2718</v>
      </c>
      <c r="Z105" s="10" t="s">
        <v>870</v>
      </c>
      <c r="AA105" s="10" t="s">
        <v>2719</v>
      </c>
      <c r="AB105" s="10" t="s">
        <v>2720</v>
      </c>
      <c r="AC105" s="10" t="s">
        <v>164</v>
      </c>
      <c r="AD105" s="10" t="s">
        <v>51</v>
      </c>
      <c r="AE105" s="10">
        <v>186.8</v>
      </c>
      <c r="AF105" s="10" t="s">
        <v>165</v>
      </c>
      <c r="AG105" s="44"/>
      <c r="AH105" s="44"/>
      <c r="AI105" s="44" t="s">
        <v>6052</v>
      </c>
      <c r="AJ105" s="44" t="s">
        <v>6052</v>
      </c>
      <c r="AK105" s="44" t="s">
        <v>6052</v>
      </c>
      <c r="AL105" s="44" t="s">
        <v>6052</v>
      </c>
      <c r="AM105" s="44" t="s">
        <v>6052</v>
      </c>
      <c r="AN105" s="44" t="s">
        <v>32794</v>
      </c>
      <c r="AO105" s="45">
        <v>11</v>
      </c>
      <c r="AP105" s="45">
        <v>1</v>
      </c>
      <c r="AQ105" s="45">
        <v>0</v>
      </c>
      <c r="AR105" s="45">
        <v>0</v>
      </c>
      <c r="AS105" s="45">
        <v>0</v>
      </c>
      <c r="AT105" s="45">
        <v>0</v>
      </c>
      <c r="AU105" s="10" t="s">
        <v>6052</v>
      </c>
      <c r="AV105" s="10" t="s">
        <v>6052</v>
      </c>
      <c r="AW105" s="10" t="s">
        <v>6052</v>
      </c>
      <c r="AX105" s="10" t="s">
        <v>6052</v>
      </c>
      <c r="AY105" s="10" t="s">
        <v>32253</v>
      </c>
      <c r="AZ105" s="44" t="s">
        <v>33117</v>
      </c>
      <c r="BA105" s="44" t="s">
        <v>31013</v>
      </c>
      <c r="BB105" s="44" t="s">
        <v>31485</v>
      </c>
      <c r="BC105" s="44" t="s">
        <v>6594</v>
      </c>
      <c r="BD105" s="44" t="s">
        <v>31708</v>
      </c>
      <c r="BE105" s="11">
        <v>1</v>
      </c>
      <c r="BF105" s="11">
        <v>0</v>
      </c>
      <c r="BG105" s="11">
        <v>0</v>
      </c>
      <c r="BH105" s="10" t="s">
        <v>32064</v>
      </c>
      <c r="BI105" s="11">
        <v>100</v>
      </c>
      <c r="BJ105" s="10" t="s">
        <v>33410</v>
      </c>
      <c r="BK105" s="11">
        <v>100</v>
      </c>
    </row>
    <row r="106" spans="1:63" x14ac:dyDescent="0.75">
      <c r="A106" t="s">
        <v>2311</v>
      </c>
      <c r="B106" t="s">
        <v>104</v>
      </c>
      <c r="C106" t="s">
        <v>2312</v>
      </c>
      <c r="D106" t="s">
        <v>2313</v>
      </c>
      <c r="E106" s="22" t="s">
        <v>16755</v>
      </c>
      <c r="F106" t="s">
        <v>2314</v>
      </c>
      <c r="G106" s="1" t="str">
        <f>HYPERLINK("https://homd.org/jbrowse/?data=homd_V11.02_phage_1.2%2FGCA_005697565.1&amp;loc=GCA_005697565.1%7CCP040004.1%3A642432..651749&amp;tracks=prokka,prokka_ncrna,ncbi,ncbi_ncrna,panggolin,cenote,genomad&amp;highlight=","Open JBrowse")</f>
        <v>Open JBrowse</v>
      </c>
      <c r="H106" s="10">
        <v>645432</v>
      </c>
      <c r="I106" s="10">
        <v>648749</v>
      </c>
      <c r="J106" s="10" t="s">
        <v>2315</v>
      </c>
      <c r="K106" s="10" t="s">
        <v>59</v>
      </c>
      <c r="L106" s="10" t="s">
        <v>2316</v>
      </c>
      <c r="M106" s="10" t="s">
        <v>2317</v>
      </c>
      <c r="N106" s="10" t="s">
        <v>2318</v>
      </c>
      <c r="O106" s="10">
        <v>3</v>
      </c>
      <c r="P106" s="10" t="s">
        <v>42</v>
      </c>
      <c r="Q106" s="10" t="s">
        <v>59</v>
      </c>
      <c r="R106" s="10" t="s">
        <v>2319</v>
      </c>
      <c r="S106" s="10" t="s">
        <v>2316</v>
      </c>
      <c r="T106" s="10" t="s">
        <v>42</v>
      </c>
      <c r="U106" s="10">
        <v>35</v>
      </c>
      <c r="V106" s="10">
        <v>329</v>
      </c>
      <c r="W106" s="10">
        <v>295</v>
      </c>
      <c r="X106" s="10" t="s">
        <v>1629</v>
      </c>
      <c r="Y106" s="10" t="s">
        <v>2320</v>
      </c>
      <c r="Z106" s="10" t="s">
        <v>357</v>
      </c>
      <c r="AA106" s="10" t="s">
        <v>2321</v>
      </c>
      <c r="AB106" s="10"/>
      <c r="AC106" s="10"/>
      <c r="AD106" s="10"/>
      <c r="AE106" s="10"/>
      <c r="AF106" s="10"/>
      <c r="AG106" s="44"/>
      <c r="AH106" s="44"/>
      <c r="AI106" s="44" t="s">
        <v>6052</v>
      </c>
      <c r="AJ106" s="44" t="s">
        <v>6052</v>
      </c>
      <c r="AK106" s="44" t="s">
        <v>6052</v>
      </c>
      <c r="AL106" s="44" t="s">
        <v>6052</v>
      </c>
      <c r="AM106" s="44" t="s">
        <v>6052</v>
      </c>
      <c r="AN106" s="44" t="s">
        <v>32548</v>
      </c>
      <c r="AO106" s="45">
        <v>11</v>
      </c>
      <c r="AP106" s="45">
        <v>1</v>
      </c>
      <c r="AQ106" s="45">
        <v>0</v>
      </c>
      <c r="AR106" s="45">
        <v>0</v>
      </c>
      <c r="AS106" s="45">
        <v>0</v>
      </c>
      <c r="AT106" s="45">
        <v>0</v>
      </c>
      <c r="AU106" s="10" t="s">
        <v>6052</v>
      </c>
      <c r="AV106" s="10" t="s">
        <v>6052</v>
      </c>
      <c r="AW106" s="10" t="s">
        <v>6052</v>
      </c>
      <c r="AX106" s="10" t="s">
        <v>6052</v>
      </c>
      <c r="AY106" s="10" t="s">
        <v>32253</v>
      </c>
      <c r="AZ106" s="44" t="s">
        <v>33117</v>
      </c>
      <c r="BA106" s="44" t="s">
        <v>30904</v>
      </c>
      <c r="BB106" s="44" t="s">
        <v>31328</v>
      </c>
      <c r="BC106" s="44" t="s">
        <v>10700</v>
      </c>
      <c r="BD106" s="44" t="s">
        <v>31711</v>
      </c>
      <c r="BE106" s="11">
        <v>1</v>
      </c>
      <c r="BF106" s="11">
        <v>0</v>
      </c>
      <c r="BG106" s="11">
        <v>0</v>
      </c>
      <c r="BH106" s="10" t="s">
        <v>32221</v>
      </c>
      <c r="BI106" s="11">
        <v>100</v>
      </c>
      <c r="BJ106" s="10" t="s">
        <v>33321</v>
      </c>
      <c r="BK106" s="11">
        <v>100</v>
      </c>
    </row>
    <row r="107" spans="1:63" x14ac:dyDescent="0.75">
      <c r="A107" t="s">
        <v>2306</v>
      </c>
      <c r="B107" t="s">
        <v>104</v>
      </c>
      <c r="C107" t="s">
        <v>1343</v>
      </c>
      <c r="D107" t="s">
        <v>1344</v>
      </c>
      <c r="E107" s="22" t="s">
        <v>10702</v>
      </c>
      <c r="F107" t="s">
        <v>2307</v>
      </c>
      <c r="G107" s="1" t="str">
        <f>HYPERLINK("https://homd.org/jbrowse/?data=homd_V11.02_phage_1.2%2FGCA_005697395.1&amp;loc=GCA_005697395.1%7CCP040011.1%3A670191..677819&amp;tracks=prokka,prokka_ncrna,ncbi,ncbi_ncrna,panggolin,cenote,genomad&amp;highlight=","Open JBrowse")</f>
        <v>Open JBrowse</v>
      </c>
      <c r="H107" s="10">
        <v>673191</v>
      </c>
      <c r="I107" s="10">
        <v>674819</v>
      </c>
      <c r="J107" s="10" t="s">
        <v>2308</v>
      </c>
      <c r="K107" s="10" t="s">
        <v>59</v>
      </c>
      <c r="L107" s="10" t="s">
        <v>1347</v>
      </c>
      <c r="M107" s="10" t="s">
        <v>1348</v>
      </c>
      <c r="N107" s="10" t="s">
        <v>42</v>
      </c>
      <c r="O107" s="10">
        <v>3</v>
      </c>
      <c r="P107" s="10" t="s">
        <v>42</v>
      </c>
      <c r="Q107" s="10" t="s">
        <v>59</v>
      </c>
      <c r="R107" s="10" t="s">
        <v>2309</v>
      </c>
      <c r="S107" s="10" t="s">
        <v>1347</v>
      </c>
      <c r="T107" s="10" t="s">
        <v>42</v>
      </c>
      <c r="U107" s="10">
        <v>55</v>
      </c>
      <c r="V107" s="10">
        <v>297</v>
      </c>
      <c r="W107" s="10">
        <v>243</v>
      </c>
      <c r="X107" s="10" t="s">
        <v>237</v>
      </c>
      <c r="Y107" s="10" t="s">
        <v>2310</v>
      </c>
      <c r="Z107" s="10" t="s">
        <v>836</v>
      </c>
      <c r="AA107" s="10" t="s">
        <v>1351</v>
      </c>
      <c r="AB107" s="10"/>
      <c r="AC107" s="10"/>
      <c r="AD107" s="10"/>
      <c r="AE107" s="10"/>
      <c r="AF107" s="10"/>
      <c r="AG107" s="44"/>
      <c r="AH107" s="44"/>
      <c r="AI107" s="44" t="s">
        <v>6052</v>
      </c>
      <c r="AJ107" s="44" t="s">
        <v>6052</v>
      </c>
      <c r="AK107" s="44" t="s">
        <v>6052</v>
      </c>
      <c r="AL107" s="44" t="s">
        <v>6052</v>
      </c>
      <c r="AM107" s="44" t="s">
        <v>6052</v>
      </c>
      <c r="AN107" s="44" t="s">
        <v>33054</v>
      </c>
      <c r="AO107" s="45">
        <v>11</v>
      </c>
      <c r="AP107" s="45">
        <v>1</v>
      </c>
      <c r="AQ107" s="45">
        <v>0</v>
      </c>
      <c r="AR107" s="45">
        <v>0</v>
      </c>
      <c r="AS107" s="45">
        <v>0</v>
      </c>
      <c r="AT107" s="45">
        <v>0</v>
      </c>
      <c r="AU107" s="10" t="s">
        <v>6052</v>
      </c>
      <c r="AV107" s="10" t="s">
        <v>6052</v>
      </c>
      <c r="AW107" s="10" t="s">
        <v>6052</v>
      </c>
      <c r="AX107" s="10" t="s">
        <v>6052</v>
      </c>
      <c r="AY107" s="10" t="s">
        <v>32253</v>
      </c>
      <c r="AZ107" s="44" t="s">
        <v>33117</v>
      </c>
      <c r="BA107" s="44" t="s">
        <v>31144</v>
      </c>
      <c r="BB107" s="44" t="s">
        <v>31674</v>
      </c>
      <c r="BC107" s="44" t="s">
        <v>10700</v>
      </c>
      <c r="BD107" s="44" t="s">
        <v>31711</v>
      </c>
      <c r="BE107" s="11">
        <v>1</v>
      </c>
      <c r="BF107" s="11">
        <v>0</v>
      </c>
      <c r="BG107" s="11">
        <v>0</v>
      </c>
      <c r="BH107" s="10" t="s">
        <v>31921</v>
      </c>
      <c r="BI107" s="11">
        <v>100</v>
      </c>
      <c r="BJ107" s="10" t="s">
        <v>33323</v>
      </c>
      <c r="BK107" s="11">
        <v>100</v>
      </c>
    </row>
    <row r="108" spans="1:63" x14ac:dyDescent="0.75">
      <c r="A108" t="s">
        <v>2300</v>
      </c>
      <c r="B108" t="s">
        <v>104</v>
      </c>
      <c r="C108" t="s">
        <v>1687</v>
      </c>
      <c r="D108" t="s">
        <v>393</v>
      </c>
      <c r="E108" s="22" t="s">
        <v>16736</v>
      </c>
      <c r="F108" t="s">
        <v>2301</v>
      </c>
      <c r="G108" s="1" t="str">
        <f>HYPERLINK("https://homd.org/jbrowse/?data=homd_V11.02_phage_1.2%2FGCA_005696555.1&amp;loc=GCA_005696555.1%7CCP040005.1%3A560820..567680&amp;tracks=prokka,prokka_ncrna,ncbi,ncbi_ncrna,panggolin,cenote,genomad&amp;highlight=","Open JBrowse")</f>
        <v>Open JBrowse</v>
      </c>
      <c r="H108" s="10">
        <v>563820</v>
      </c>
      <c r="I108" s="10">
        <v>564680</v>
      </c>
      <c r="J108" s="10" t="s">
        <v>2302</v>
      </c>
      <c r="K108" s="10" t="s">
        <v>59</v>
      </c>
      <c r="L108" s="10" t="s">
        <v>396</v>
      </c>
      <c r="M108" s="10" t="s">
        <v>397</v>
      </c>
      <c r="N108" s="10" t="s">
        <v>398</v>
      </c>
      <c r="O108" s="10">
        <v>3</v>
      </c>
      <c r="P108" s="10" t="s">
        <v>42</v>
      </c>
      <c r="Q108" s="10" t="s">
        <v>59</v>
      </c>
      <c r="R108" s="10" t="s">
        <v>2303</v>
      </c>
      <c r="S108" s="10" t="s">
        <v>396</v>
      </c>
      <c r="T108" s="10" t="s">
        <v>42</v>
      </c>
      <c r="U108" s="10">
        <v>46</v>
      </c>
      <c r="V108" s="10">
        <v>282</v>
      </c>
      <c r="W108" s="10">
        <v>237</v>
      </c>
      <c r="X108" s="10" t="s">
        <v>400</v>
      </c>
      <c r="Y108" s="10" t="s">
        <v>2304</v>
      </c>
      <c r="Z108" s="10" t="s">
        <v>836</v>
      </c>
      <c r="AA108" s="10" t="s">
        <v>2305</v>
      </c>
      <c r="AB108" s="10"/>
      <c r="AC108" s="10"/>
      <c r="AD108" s="10"/>
      <c r="AE108" s="10"/>
      <c r="AF108" s="10"/>
      <c r="AG108" s="44"/>
      <c r="AH108" s="44"/>
      <c r="AI108" s="44" t="s">
        <v>6052</v>
      </c>
      <c r="AJ108" s="44" t="s">
        <v>6052</v>
      </c>
      <c r="AK108" s="44" t="s">
        <v>6052</v>
      </c>
      <c r="AL108" s="44" t="s">
        <v>6052</v>
      </c>
      <c r="AM108" s="44" t="s">
        <v>6052</v>
      </c>
      <c r="AN108" s="44" t="s">
        <v>32705</v>
      </c>
      <c r="AO108" s="45">
        <v>11</v>
      </c>
      <c r="AP108" s="45">
        <v>1</v>
      </c>
      <c r="AQ108" s="45">
        <v>0</v>
      </c>
      <c r="AR108" s="45">
        <v>0</v>
      </c>
      <c r="AS108" s="45">
        <v>0</v>
      </c>
      <c r="AT108" s="45">
        <v>0</v>
      </c>
      <c r="AU108" s="10" t="s">
        <v>6052</v>
      </c>
      <c r="AV108" s="10" t="s">
        <v>6052</v>
      </c>
      <c r="AW108" s="10" t="s">
        <v>6052</v>
      </c>
      <c r="AX108" s="10" t="s">
        <v>6052</v>
      </c>
      <c r="AY108" s="10" t="s">
        <v>32253</v>
      </c>
      <c r="AZ108" s="44" t="s">
        <v>33118</v>
      </c>
      <c r="BA108" s="44" t="s">
        <v>30978</v>
      </c>
      <c r="BB108" s="44" t="s">
        <v>31428</v>
      </c>
      <c r="BC108" s="44" t="s">
        <v>7190</v>
      </c>
      <c r="BD108" s="44" t="s">
        <v>31712</v>
      </c>
      <c r="BE108" s="11">
        <v>1</v>
      </c>
      <c r="BF108" s="11">
        <v>0</v>
      </c>
      <c r="BG108" s="11">
        <v>0</v>
      </c>
      <c r="BH108" s="10" t="s">
        <v>33191</v>
      </c>
      <c r="BI108" s="11">
        <v>100</v>
      </c>
      <c r="BJ108" s="10" t="s">
        <v>33192</v>
      </c>
      <c r="BK108" s="11">
        <v>100</v>
      </c>
    </row>
    <row r="109" spans="1:63" x14ac:dyDescent="0.75">
      <c r="A109" t="s">
        <v>2062</v>
      </c>
      <c r="B109" t="s">
        <v>104</v>
      </c>
      <c r="C109" t="s">
        <v>514</v>
      </c>
      <c r="D109" t="s">
        <v>515</v>
      </c>
      <c r="E109" s="22" t="s">
        <v>14984</v>
      </c>
      <c r="F109" t="s">
        <v>2063</v>
      </c>
      <c r="G109" s="1" t="str">
        <f>HYPERLINK("https://homd.org/jbrowse/?data=homd_V11.02_phage_1.2%2FGCA_003054025.1&amp;loc=GCA_003054025.1%7CQBKG01000008.1%3A22742..29536&amp;tracks=prokka,prokka_ncrna,ncbi,ncbi_ncrna,panggolin,cenote,genomad&amp;highlight=","Open JBrowse")</f>
        <v>Open JBrowse</v>
      </c>
      <c r="H109" s="10">
        <v>25742</v>
      </c>
      <c r="I109" s="10">
        <v>26536</v>
      </c>
      <c r="J109" s="10" t="s">
        <v>2064</v>
      </c>
      <c r="K109" s="10" t="s">
        <v>39</v>
      </c>
      <c r="L109" s="10" t="s">
        <v>2065</v>
      </c>
      <c r="M109" s="10" t="s">
        <v>2066</v>
      </c>
      <c r="N109" s="10" t="s">
        <v>42</v>
      </c>
      <c r="O109" s="10">
        <v>3</v>
      </c>
      <c r="P109" s="10" t="s">
        <v>42</v>
      </c>
      <c r="Q109" s="10" t="s">
        <v>43</v>
      </c>
      <c r="R109" s="10" t="s">
        <v>2067</v>
      </c>
      <c r="S109" s="10" t="s">
        <v>2065</v>
      </c>
      <c r="T109" s="10" t="s">
        <v>42</v>
      </c>
      <c r="U109" s="10">
        <v>29</v>
      </c>
      <c r="V109" s="10">
        <v>262</v>
      </c>
      <c r="W109" s="10">
        <v>234</v>
      </c>
      <c r="X109" s="10" t="s">
        <v>45</v>
      </c>
      <c r="Y109" s="10" t="s">
        <v>2068</v>
      </c>
      <c r="Z109" s="10" t="s">
        <v>381</v>
      </c>
      <c r="AA109" s="10" t="s">
        <v>2069</v>
      </c>
      <c r="AB109" s="10"/>
      <c r="AC109" s="10"/>
      <c r="AD109" s="10"/>
      <c r="AE109" s="10"/>
      <c r="AF109" s="10"/>
      <c r="AG109" s="44"/>
      <c r="AH109" s="44"/>
      <c r="AI109" s="44" t="s">
        <v>6052</v>
      </c>
      <c r="AJ109" s="44" t="s">
        <v>6052</v>
      </c>
      <c r="AK109" s="44" t="s">
        <v>6052</v>
      </c>
      <c r="AL109" s="44" t="s">
        <v>6052</v>
      </c>
      <c r="AM109" s="44" t="s">
        <v>6052</v>
      </c>
      <c r="AN109" s="44" t="s">
        <v>32625</v>
      </c>
      <c r="AO109" s="45">
        <v>11</v>
      </c>
      <c r="AP109" s="45">
        <v>1</v>
      </c>
      <c r="AQ109" s="45">
        <v>0</v>
      </c>
      <c r="AR109" s="45">
        <v>0</v>
      </c>
      <c r="AS109" s="45">
        <v>0</v>
      </c>
      <c r="AT109" s="45">
        <v>0</v>
      </c>
      <c r="AU109" s="10" t="s">
        <v>6052</v>
      </c>
      <c r="AV109" s="10" t="s">
        <v>6052</v>
      </c>
      <c r="AW109" s="10" t="s">
        <v>6052</v>
      </c>
      <c r="AX109" s="10" t="s">
        <v>6052</v>
      </c>
      <c r="AY109" s="10" t="s">
        <v>32253</v>
      </c>
      <c r="AZ109" s="44" t="s">
        <v>33116</v>
      </c>
      <c r="BA109" s="44" t="s">
        <v>30943</v>
      </c>
      <c r="BB109" s="44" t="s">
        <v>31381</v>
      </c>
      <c r="BC109" s="44" t="s">
        <v>6415</v>
      </c>
      <c r="BD109" s="44" t="s">
        <v>31707</v>
      </c>
      <c r="BE109" s="11">
        <v>1</v>
      </c>
      <c r="BF109" s="11">
        <v>0</v>
      </c>
      <c r="BG109" s="11">
        <v>0</v>
      </c>
      <c r="BH109" s="10" t="s">
        <v>31909</v>
      </c>
      <c r="BI109" s="11">
        <v>100</v>
      </c>
      <c r="BJ109" s="10" t="s">
        <v>33224</v>
      </c>
      <c r="BK109" s="11">
        <v>100</v>
      </c>
    </row>
    <row r="110" spans="1:63" x14ac:dyDescent="0.75">
      <c r="A110" t="s">
        <v>2056</v>
      </c>
      <c r="B110" t="s">
        <v>104</v>
      </c>
      <c r="C110" t="s">
        <v>550</v>
      </c>
      <c r="D110" t="s">
        <v>551</v>
      </c>
      <c r="E110" s="22" t="s">
        <v>14795</v>
      </c>
      <c r="F110" t="s">
        <v>2057</v>
      </c>
      <c r="G110" s="1" t="str">
        <f>HYPERLINK("https://homd.org/jbrowse/?data=homd_V11.02_phage_1.2%2FGCA_003043935.1&amp;loc=GCA_003043935.1%7CPYXE01000001.1%3A2633172..2640176&amp;tracks=prokka,prokka_ncrna,ncbi,ncbi_ncrna,panggolin,cenote,genomad&amp;highlight=","Open JBrowse")</f>
        <v>Open JBrowse</v>
      </c>
      <c r="H110" s="10">
        <v>2636172</v>
      </c>
      <c r="I110" s="10">
        <v>2637176</v>
      </c>
      <c r="J110" s="10" t="s">
        <v>2058</v>
      </c>
      <c r="K110" s="10" t="s">
        <v>59</v>
      </c>
      <c r="L110" s="10" t="s">
        <v>157</v>
      </c>
      <c r="M110" s="10" t="s">
        <v>158</v>
      </c>
      <c r="N110" s="10" t="s">
        <v>42</v>
      </c>
      <c r="O110" s="10">
        <v>3</v>
      </c>
      <c r="P110" s="10" t="s">
        <v>42</v>
      </c>
      <c r="Q110" s="10" t="s">
        <v>59</v>
      </c>
      <c r="R110" s="10" t="s">
        <v>2059</v>
      </c>
      <c r="S110" s="10" t="s">
        <v>157</v>
      </c>
      <c r="T110" s="10" t="s">
        <v>42</v>
      </c>
      <c r="U110" s="10">
        <v>53</v>
      </c>
      <c r="V110" s="10">
        <v>279</v>
      </c>
      <c r="W110" s="10">
        <v>227</v>
      </c>
      <c r="X110" s="10" t="s">
        <v>160</v>
      </c>
      <c r="Y110" s="10" t="s">
        <v>2060</v>
      </c>
      <c r="Z110" s="10" t="s">
        <v>667</v>
      </c>
      <c r="AA110" s="10" t="s">
        <v>2061</v>
      </c>
      <c r="AB110" s="10"/>
      <c r="AC110" s="10"/>
      <c r="AD110" s="10"/>
      <c r="AE110" s="10"/>
      <c r="AF110" s="10"/>
      <c r="AG110" s="44"/>
      <c r="AH110" s="44"/>
      <c r="AI110" s="44" t="s">
        <v>6052</v>
      </c>
      <c r="AJ110" s="44" t="s">
        <v>6052</v>
      </c>
      <c r="AK110" s="44" t="s">
        <v>6052</v>
      </c>
      <c r="AL110" s="44" t="s">
        <v>6052</v>
      </c>
      <c r="AM110" s="44" t="s">
        <v>6052</v>
      </c>
      <c r="AN110" s="44" t="s">
        <v>32767</v>
      </c>
      <c r="AO110" s="45">
        <v>11</v>
      </c>
      <c r="AP110" s="45">
        <v>1</v>
      </c>
      <c r="AQ110" s="45">
        <v>0</v>
      </c>
      <c r="AR110" s="45">
        <v>0</v>
      </c>
      <c r="AS110" s="45">
        <v>0</v>
      </c>
      <c r="AT110" s="45">
        <v>0</v>
      </c>
      <c r="AU110" s="10" t="s">
        <v>6052</v>
      </c>
      <c r="AV110" s="10" t="s">
        <v>6052</v>
      </c>
      <c r="AW110" s="10" t="s">
        <v>6052</v>
      </c>
      <c r="AX110" s="10" t="s">
        <v>6052</v>
      </c>
      <c r="AY110" s="10" t="s">
        <v>32253</v>
      </c>
      <c r="AZ110" s="44" t="s">
        <v>33117</v>
      </c>
      <c r="BA110" s="44" t="s">
        <v>30999</v>
      </c>
      <c r="BB110" s="44" t="s">
        <v>31467</v>
      </c>
      <c r="BC110" s="44" t="s">
        <v>6594</v>
      </c>
      <c r="BD110" s="44" t="s">
        <v>31708</v>
      </c>
      <c r="BE110" s="11">
        <v>1</v>
      </c>
      <c r="BF110" s="11">
        <v>0</v>
      </c>
      <c r="BG110" s="11">
        <v>0</v>
      </c>
      <c r="BH110" s="10" t="s">
        <v>32050</v>
      </c>
      <c r="BI110" s="11">
        <v>100</v>
      </c>
      <c r="BJ110" s="10" t="s">
        <v>33393</v>
      </c>
      <c r="BK110" s="11">
        <v>100</v>
      </c>
    </row>
    <row r="111" spans="1:63" x14ac:dyDescent="0.75">
      <c r="A111" t="s">
        <v>1899</v>
      </c>
      <c r="B111" t="s">
        <v>104</v>
      </c>
      <c r="C111" t="s">
        <v>610</v>
      </c>
      <c r="D111" t="s">
        <v>611</v>
      </c>
      <c r="E111" s="22" t="s">
        <v>14393</v>
      </c>
      <c r="F111" t="s">
        <v>1900</v>
      </c>
      <c r="G111" s="1" t="str">
        <f>HYPERLINK("https://homd.org/jbrowse/?data=homd_V11.02_phage_1.2%2FGCA_002871975.1&amp;loc=GCA_002871975.1%7CPNHV01000005.1%3A55682..62626&amp;tracks=prokka,prokka_ncrna,ncbi,ncbi_ncrna,panggolin,cenote,genomad&amp;highlight=","Open JBrowse")</f>
        <v>Open JBrowse</v>
      </c>
      <c r="H111" s="10">
        <v>58682</v>
      </c>
      <c r="I111" s="10">
        <v>59626</v>
      </c>
      <c r="J111" s="10" t="s">
        <v>1901</v>
      </c>
      <c r="K111" s="10" t="s">
        <v>614</v>
      </c>
      <c r="L111" s="10" t="s">
        <v>615</v>
      </c>
      <c r="M111" s="10" t="s">
        <v>616</v>
      </c>
      <c r="N111" s="10" t="s">
        <v>59</v>
      </c>
      <c r="O111" s="10">
        <v>2</v>
      </c>
      <c r="P111" s="10" t="s">
        <v>42</v>
      </c>
      <c r="Q111" s="10" t="s">
        <v>101</v>
      </c>
      <c r="R111" s="10" t="s">
        <v>1902</v>
      </c>
      <c r="S111" s="10" t="s">
        <v>615</v>
      </c>
      <c r="T111" s="10" t="s">
        <v>42</v>
      </c>
      <c r="U111" s="10">
        <v>52</v>
      </c>
      <c r="V111" s="10">
        <v>311</v>
      </c>
      <c r="W111" s="10">
        <v>260</v>
      </c>
      <c r="X111" s="10" t="s">
        <v>618</v>
      </c>
      <c r="Y111" s="10" t="s">
        <v>1903</v>
      </c>
      <c r="Z111" s="10" t="s">
        <v>281</v>
      </c>
      <c r="AA111" s="10" t="s">
        <v>1904</v>
      </c>
      <c r="AB111" s="10"/>
      <c r="AC111" s="10"/>
      <c r="AD111" s="10"/>
      <c r="AE111" s="10"/>
      <c r="AF111" s="10"/>
      <c r="AG111" s="44"/>
      <c r="AH111" s="44"/>
      <c r="AI111" s="44" t="s">
        <v>6052</v>
      </c>
      <c r="AJ111" s="44" t="s">
        <v>6052</v>
      </c>
      <c r="AK111" s="44" t="s">
        <v>6052</v>
      </c>
      <c r="AL111" s="44" t="s">
        <v>6052</v>
      </c>
      <c r="AM111" s="44" t="s">
        <v>6052</v>
      </c>
      <c r="AN111" s="44" t="s">
        <v>33074</v>
      </c>
      <c r="AO111" s="45">
        <v>11</v>
      </c>
      <c r="AP111" s="45">
        <v>1</v>
      </c>
      <c r="AQ111" s="45">
        <v>0</v>
      </c>
      <c r="AR111" s="45">
        <v>0</v>
      </c>
      <c r="AS111" s="45">
        <v>0</v>
      </c>
      <c r="AT111" s="45">
        <v>0</v>
      </c>
      <c r="AU111" s="10" t="s">
        <v>6052</v>
      </c>
      <c r="AV111" s="10" t="s">
        <v>6052</v>
      </c>
      <c r="AW111" s="10" t="s">
        <v>6052</v>
      </c>
      <c r="AX111" s="10" t="s">
        <v>6052</v>
      </c>
      <c r="AY111" s="10" t="s">
        <v>32253</v>
      </c>
      <c r="AZ111" s="44" t="s">
        <v>33118</v>
      </c>
      <c r="BA111" s="44" t="s">
        <v>31149</v>
      </c>
      <c r="BB111" s="44" t="s">
        <v>31682</v>
      </c>
      <c r="BC111" s="44" t="s">
        <v>7190</v>
      </c>
      <c r="BD111" s="44" t="s">
        <v>31712</v>
      </c>
      <c r="BE111" s="11">
        <v>1</v>
      </c>
      <c r="BF111" s="11">
        <v>0</v>
      </c>
      <c r="BG111" s="11">
        <v>0</v>
      </c>
      <c r="BH111" s="10" t="s">
        <v>31999</v>
      </c>
      <c r="BI111" s="11">
        <v>100</v>
      </c>
      <c r="BJ111" s="10" t="s">
        <v>33182</v>
      </c>
      <c r="BK111" s="11">
        <v>100</v>
      </c>
    </row>
    <row r="112" spans="1:63" x14ac:dyDescent="0.75">
      <c r="A112" t="s">
        <v>1887</v>
      </c>
      <c r="B112" t="s">
        <v>104</v>
      </c>
      <c r="C112" t="s">
        <v>1888</v>
      </c>
      <c r="D112" t="s">
        <v>393</v>
      </c>
      <c r="E112" s="22" t="s">
        <v>14273</v>
      </c>
      <c r="F112" t="s">
        <v>1889</v>
      </c>
      <c r="G112" s="1" t="str">
        <f>HYPERLINK("https://homd.org/jbrowse/?data=homd_V11.02_phage_1.2%2FGCA_002847555.1&amp;loc=GCA_002847555.1%7CPKKL01000003.1%3A31516..38376&amp;tracks=prokka,prokka_ncrna,ncbi,ncbi_ncrna,panggolin,cenote,genomad&amp;highlight=","Open JBrowse")</f>
        <v>Open JBrowse</v>
      </c>
      <c r="H112" s="10">
        <v>34516</v>
      </c>
      <c r="I112" s="10">
        <v>35376</v>
      </c>
      <c r="J112" s="10" t="s">
        <v>1890</v>
      </c>
      <c r="K112" s="10" t="s">
        <v>59</v>
      </c>
      <c r="L112" s="10" t="s">
        <v>396</v>
      </c>
      <c r="M112" s="10" t="s">
        <v>397</v>
      </c>
      <c r="N112" s="10" t="s">
        <v>398</v>
      </c>
      <c r="O112" s="10">
        <v>3</v>
      </c>
      <c r="P112" s="10" t="s">
        <v>42</v>
      </c>
      <c r="Q112" s="10" t="s">
        <v>59</v>
      </c>
      <c r="R112" s="10" t="s">
        <v>1891</v>
      </c>
      <c r="S112" s="10" t="s">
        <v>396</v>
      </c>
      <c r="T112" s="10" t="s">
        <v>42</v>
      </c>
      <c r="U112" s="10">
        <v>46</v>
      </c>
      <c r="V112" s="10">
        <v>282</v>
      </c>
      <c r="W112" s="10">
        <v>237</v>
      </c>
      <c r="X112" s="10" t="s">
        <v>400</v>
      </c>
      <c r="Y112" s="10" t="s">
        <v>1892</v>
      </c>
      <c r="Z112" s="10" t="s">
        <v>281</v>
      </c>
      <c r="AA112" s="10" t="s">
        <v>1893</v>
      </c>
      <c r="AB112" s="10"/>
      <c r="AC112" s="10"/>
      <c r="AD112" s="10"/>
      <c r="AE112" s="10"/>
      <c r="AF112" s="10"/>
      <c r="AG112" s="44"/>
      <c r="AH112" s="44"/>
      <c r="AI112" s="44" t="s">
        <v>6052</v>
      </c>
      <c r="AJ112" s="44" t="s">
        <v>6052</v>
      </c>
      <c r="AK112" s="44" t="s">
        <v>6052</v>
      </c>
      <c r="AL112" s="44" t="s">
        <v>6052</v>
      </c>
      <c r="AM112" s="44" t="s">
        <v>6052</v>
      </c>
      <c r="AN112" s="44" t="s">
        <v>33073</v>
      </c>
      <c r="AO112" s="45">
        <v>11</v>
      </c>
      <c r="AP112" s="45">
        <v>1</v>
      </c>
      <c r="AQ112" s="45">
        <v>0</v>
      </c>
      <c r="AR112" s="45">
        <v>0</v>
      </c>
      <c r="AS112" s="45">
        <v>0</v>
      </c>
      <c r="AT112" s="45">
        <v>0</v>
      </c>
      <c r="AU112" s="10" t="s">
        <v>6052</v>
      </c>
      <c r="AV112" s="10" t="s">
        <v>6052</v>
      </c>
      <c r="AW112" s="10" t="s">
        <v>6052</v>
      </c>
      <c r="AX112" s="10" t="s">
        <v>6052</v>
      </c>
      <c r="AY112" s="10" t="s">
        <v>32253</v>
      </c>
      <c r="AZ112" s="44" t="s">
        <v>33118</v>
      </c>
      <c r="BA112" s="44" t="s">
        <v>31148</v>
      </c>
      <c r="BB112" s="44" t="s">
        <v>31681</v>
      </c>
      <c r="BC112" s="44" t="s">
        <v>7190</v>
      </c>
      <c r="BD112" s="44" t="s">
        <v>31712</v>
      </c>
      <c r="BE112" s="11">
        <v>1</v>
      </c>
      <c r="BF112" s="11">
        <v>0</v>
      </c>
      <c r="BG112" s="11">
        <v>0</v>
      </c>
      <c r="BH112" s="10" t="s">
        <v>33209</v>
      </c>
      <c r="BI112" s="11">
        <v>100</v>
      </c>
      <c r="BJ112" s="10" t="s">
        <v>33210</v>
      </c>
      <c r="BK112" s="11">
        <v>100</v>
      </c>
    </row>
    <row r="113" spans="1:63" x14ac:dyDescent="0.75">
      <c r="A113" t="s">
        <v>1693</v>
      </c>
      <c r="B113" t="s">
        <v>104</v>
      </c>
      <c r="C113" t="s">
        <v>578</v>
      </c>
      <c r="D113" t="s">
        <v>579</v>
      </c>
      <c r="E113" s="22">
        <v>9610</v>
      </c>
      <c r="F113" t="s">
        <v>1694</v>
      </c>
      <c r="G113" s="1" t="str">
        <f>HYPERLINK("https://homd.org/jbrowse/?data=homd_V11.02_phage_1.2%2FGCA_001938785.1&amp;loc=GCA_001938785.1%7CMEHX01000001.1%3A35053..41844&amp;tracks=prokka,prokka_ncrna,ncbi,ncbi_ncrna,panggolin,cenote,genomad&amp;highlight=","Open JBrowse")</f>
        <v>Open JBrowse</v>
      </c>
      <c r="H113" s="10">
        <v>38053</v>
      </c>
      <c r="I113" s="10">
        <v>38844</v>
      </c>
      <c r="J113" s="10" t="s">
        <v>1695</v>
      </c>
      <c r="K113" s="10" t="s">
        <v>39</v>
      </c>
      <c r="L113" s="10" t="s">
        <v>491</v>
      </c>
      <c r="M113" s="10" t="s">
        <v>592</v>
      </c>
      <c r="N113" s="10" t="s">
        <v>42</v>
      </c>
      <c r="O113" s="10">
        <v>3</v>
      </c>
      <c r="P113" s="10" t="s">
        <v>42</v>
      </c>
      <c r="Q113" s="10" t="s">
        <v>43</v>
      </c>
      <c r="R113" s="10" t="s">
        <v>1696</v>
      </c>
      <c r="S113" s="10" t="s">
        <v>491</v>
      </c>
      <c r="T113" s="10" t="s">
        <v>42</v>
      </c>
      <c r="U113" s="10">
        <v>34</v>
      </c>
      <c r="V113" s="10">
        <v>259</v>
      </c>
      <c r="W113" s="10">
        <v>226</v>
      </c>
      <c r="X113" s="10" t="s">
        <v>45</v>
      </c>
      <c r="Y113" s="10" t="s">
        <v>1697</v>
      </c>
      <c r="Z113" s="10" t="s">
        <v>645</v>
      </c>
      <c r="AA113" s="10" t="s">
        <v>595</v>
      </c>
      <c r="AB113" s="10"/>
      <c r="AC113" s="10"/>
      <c r="AD113" s="10"/>
      <c r="AE113" s="10"/>
      <c r="AF113" s="10"/>
      <c r="AG113" s="44"/>
      <c r="AH113" s="44"/>
      <c r="AI113" s="44" t="s">
        <v>6052</v>
      </c>
      <c r="AJ113" s="44" t="s">
        <v>6052</v>
      </c>
      <c r="AK113" s="44" t="s">
        <v>6052</v>
      </c>
      <c r="AL113" s="44" t="s">
        <v>6052</v>
      </c>
      <c r="AM113" s="44" t="s">
        <v>6052</v>
      </c>
      <c r="AN113" s="44" t="s">
        <v>32260</v>
      </c>
      <c r="AO113" s="45">
        <v>11</v>
      </c>
      <c r="AP113" s="45">
        <v>1</v>
      </c>
      <c r="AQ113" s="45">
        <v>0</v>
      </c>
      <c r="AR113" s="45">
        <v>0</v>
      </c>
      <c r="AS113" s="45">
        <v>0</v>
      </c>
      <c r="AT113" s="45">
        <v>0</v>
      </c>
      <c r="AU113" s="10" t="s">
        <v>6052</v>
      </c>
      <c r="AV113" s="10" t="s">
        <v>6052</v>
      </c>
      <c r="AW113" s="10" t="s">
        <v>6052</v>
      </c>
      <c r="AX113" s="10" t="s">
        <v>6052</v>
      </c>
      <c r="AY113" s="10" t="s">
        <v>32253</v>
      </c>
      <c r="AZ113" s="44" t="s">
        <v>33116</v>
      </c>
      <c r="BA113" s="44" t="s">
        <v>30846</v>
      </c>
      <c r="BB113" s="44" t="s">
        <v>31162</v>
      </c>
      <c r="BC113" s="44" t="s">
        <v>8354</v>
      </c>
      <c r="BD113" s="44" t="s">
        <v>37365</v>
      </c>
      <c r="BE113" s="11">
        <v>1</v>
      </c>
      <c r="BF113" s="11">
        <v>0</v>
      </c>
      <c r="BG113" s="11">
        <v>0</v>
      </c>
      <c r="BH113" s="10" t="s">
        <v>31987</v>
      </c>
      <c r="BI113" s="11">
        <v>100</v>
      </c>
      <c r="BJ113" s="10" t="s">
        <v>33489</v>
      </c>
      <c r="BK113" s="11">
        <v>100</v>
      </c>
    </row>
    <row r="114" spans="1:63" x14ac:dyDescent="0.75">
      <c r="A114" t="s">
        <v>5536</v>
      </c>
      <c r="B114" t="s">
        <v>104</v>
      </c>
      <c r="C114" t="s">
        <v>578</v>
      </c>
      <c r="D114" t="s">
        <v>579</v>
      </c>
      <c r="E114" s="22" t="s">
        <v>30844</v>
      </c>
      <c r="F114" t="s">
        <v>5542</v>
      </c>
      <c r="G114" s="1" t="str">
        <f>HYPERLINK("https://homd.org/jbrowse/?data=homd_V11.02_phage_1.2%2FGCA_905373495.1&amp;loc=GCA_905373495.1%7CCAJPTF010000023.1%3A34943..41734&amp;tracks=prokka,prokka_ncrna,ncbi,ncbi_ncrna,panggolin,cenote,genomad&amp;highlight=","Open JBrowse")</f>
        <v>Open JBrowse</v>
      </c>
      <c r="H114" s="10">
        <v>37943</v>
      </c>
      <c r="I114" s="10">
        <v>38734</v>
      </c>
      <c r="J114" s="10" t="s">
        <v>5543</v>
      </c>
      <c r="K114" s="10" t="s">
        <v>39</v>
      </c>
      <c r="L114" s="10" t="s">
        <v>491</v>
      </c>
      <c r="M114" s="10" t="s">
        <v>592</v>
      </c>
      <c r="N114" s="10" t="s">
        <v>42</v>
      </c>
      <c r="O114" s="10">
        <v>3</v>
      </c>
      <c r="P114" s="10" t="s">
        <v>42</v>
      </c>
      <c r="Q114" s="10" t="s">
        <v>43</v>
      </c>
      <c r="R114" s="10" t="s">
        <v>5539</v>
      </c>
      <c r="S114" s="10" t="s">
        <v>491</v>
      </c>
      <c r="T114" s="10" t="s">
        <v>42</v>
      </c>
      <c r="U114" s="10">
        <v>34</v>
      </c>
      <c r="V114" s="10">
        <v>259</v>
      </c>
      <c r="W114" s="10">
        <v>226</v>
      </c>
      <c r="X114" s="10" t="s">
        <v>45</v>
      </c>
      <c r="Y114" s="10" t="s">
        <v>5544</v>
      </c>
      <c r="Z114" s="10" t="s">
        <v>667</v>
      </c>
      <c r="AA114" s="10" t="s">
        <v>595</v>
      </c>
      <c r="AB114" s="10"/>
      <c r="AC114" s="10"/>
      <c r="AD114" s="10"/>
      <c r="AE114" s="10"/>
      <c r="AF114" s="10"/>
      <c r="AG114" s="44"/>
      <c r="AH114" s="44"/>
      <c r="AI114" s="44" t="s">
        <v>6052</v>
      </c>
      <c r="AJ114" s="44" t="s">
        <v>6052</v>
      </c>
      <c r="AK114" s="44" t="s">
        <v>6052</v>
      </c>
      <c r="AL114" s="44" t="s">
        <v>6052</v>
      </c>
      <c r="AM114" s="44" t="s">
        <v>6052</v>
      </c>
      <c r="AN114" s="44" t="s">
        <v>32325</v>
      </c>
      <c r="AO114" s="45">
        <v>11</v>
      </c>
      <c r="AP114" s="45">
        <v>1</v>
      </c>
      <c r="AQ114" s="45">
        <v>0</v>
      </c>
      <c r="AR114" s="45">
        <v>0</v>
      </c>
      <c r="AS114" s="45">
        <v>0</v>
      </c>
      <c r="AT114" s="45">
        <v>0</v>
      </c>
      <c r="AU114" s="10" t="s">
        <v>6052</v>
      </c>
      <c r="AV114" s="10" t="s">
        <v>6052</v>
      </c>
      <c r="AW114" s="10" t="s">
        <v>6052</v>
      </c>
      <c r="AX114" s="10" t="s">
        <v>6052</v>
      </c>
      <c r="AY114" s="10" t="s">
        <v>32253</v>
      </c>
      <c r="AZ114" s="44" t="s">
        <v>33116</v>
      </c>
      <c r="BA114" s="44" t="s">
        <v>30865</v>
      </c>
      <c r="BB114" s="44" t="s">
        <v>31213</v>
      </c>
      <c r="BC114" s="44" t="s">
        <v>8354</v>
      </c>
      <c r="BD114" s="44" t="s">
        <v>37365</v>
      </c>
      <c r="BE114" s="11">
        <v>1</v>
      </c>
      <c r="BF114" s="11">
        <v>0</v>
      </c>
      <c r="BG114" s="11">
        <v>0</v>
      </c>
      <c r="BH114" s="10" t="s">
        <v>31959</v>
      </c>
      <c r="BI114" s="11">
        <v>100</v>
      </c>
      <c r="BJ114" s="10" t="s">
        <v>33162</v>
      </c>
      <c r="BK114" s="11" t="s">
        <v>33162</v>
      </c>
    </row>
    <row r="115" spans="1:63" x14ac:dyDescent="0.75">
      <c r="A115" t="s">
        <v>5876</v>
      </c>
      <c r="B115" t="s">
        <v>104</v>
      </c>
      <c r="C115" t="s">
        <v>578</v>
      </c>
      <c r="D115" t="s">
        <v>579</v>
      </c>
      <c r="E115" s="22" t="s">
        <v>30844</v>
      </c>
      <c r="F115" t="s">
        <v>5882</v>
      </c>
      <c r="G115" s="1" t="str">
        <f>HYPERLINK("https://homd.org/jbrowse/?data=homd_V11.02_phage_1.2%2FGCA_938034995.1&amp;loc=GCA_938034995.1%7CCALHNL010000052.1%3A51947..58738&amp;tracks=prokka,prokka_ncrna,ncbi,ncbi_ncrna,panggolin,cenote,genomad&amp;highlight=","Open JBrowse")</f>
        <v>Open JBrowse</v>
      </c>
      <c r="H115" s="10">
        <v>54947</v>
      </c>
      <c r="I115" s="10">
        <v>55738</v>
      </c>
      <c r="J115" s="10" t="s">
        <v>5883</v>
      </c>
      <c r="K115" s="10" t="s">
        <v>39</v>
      </c>
      <c r="L115" s="10" t="s">
        <v>491</v>
      </c>
      <c r="M115" s="10" t="s">
        <v>592</v>
      </c>
      <c r="N115" s="10" t="s">
        <v>42</v>
      </c>
      <c r="O115" s="10">
        <v>3</v>
      </c>
      <c r="P115" s="10" t="s">
        <v>42</v>
      </c>
      <c r="Q115" s="10" t="s">
        <v>43</v>
      </c>
      <c r="R115" s="10" t="s">
        <v>5879</v>
      </c>
      <c r="S115" s="10" t="s">
        <v>491</v>
      </c>
      <c r="T115" s="10" t="s">
        <v>42</v>
      </c>
      <c r="U115" s="10">
        <v>34</v>
      </c>
      <c r="V115" s="10">
        <v>259</v>
      </c>
      <c r="W115" s="10">
        <v>226</v>
      </c>
      <c r="X115" s="10" t="s">
        <v>45</v>
      </c>
      <c r="Y115" s="10" t="s">
        <v>5884</v>
      </c>
      <c r="Z115" s="10" t="s">
        <v>410</v>
      </c>
      <c r="AA115" s="10" t="s">
        <v>595</v>
      </c>
      <c r="AB115" s="10"/>
      <c r="AC115" s="10"/>
      <c r="AD115" s="10"/>
      <c r="AE115" s="10"/>
      <c r="AF115" s="10"/>
      <c r="AG115" s="44"/>
      <c r="AH115" s="44"/>
      <c r="AI115" s="44" t="s">
        <v>6052</v>
      </c>
      <c r="AJ115" s="44" t="s">
        <v>6052</v>
      </c>
      <c r="AK115" s="44" t="s">
        <v>6052</v>
      </c>
      <c r="AL115" s="44" t="s">
        <v>6052</v>
      </c>
      <c r="AM115" s="44" t="s">
        <v>6052</v>
      </c>
      <c r="AN115" s="44" t="s">
        <v>32318</v>
      </c>
      <c r="AO115" s="45">
        <v>11</v>
      </c>
      <c r="AP115" s="45">
        <v>1</v>
      </c>
      <c r="AQ115" s="45">
        <v>0</v>
      </c>
      <c r="AR115" s="45">
        <v>0</v>
      </c>
      <c r="AS115" s="45">
        <v>0</v>
      </c>
      <c r="AT115" s="45">
        <v>0</v>
      </c>
      <c r="AU115" s="10" t="s">
        <v>6052</v>
      </c>
      <c r="AV115" s="10" t="s">
        <v>6052</v>
      </c>
      <c r="AW115" s="10" t="s">
        <v>6052</v>
      </c>
      <c r="AX115" s="10" t="s">
        <v>6052</v>
      </c>
      <c r="AY115" s="10" t="s">
        <v>32253</v>
      </c>
      <c r="AZ115" s="44" t="s">
        <v>33116</v>
      </c>
      <c r="BA115" s="44" t="s">
        <v>30865</v>
      </c>
      <c r="BB115" s="44" t="s">
        <v>31208</v>
      </c>
      <c r="BC115" s="44" t="s">
        <v>8354</v>
      </c>
      <c r="BD115" s="44" t="s">
        <v>37365</v>
      </c>
      <c r="BE115" s="11">
        <v>1</v>
      </c>
      <c r="BF115" s="11">
        <v>0</v>
      </c>
      <c r="BG115" s="11">
        <v>0</v>
      </c>
      <c r="BH115" s="10" t="s">
        <v>31983</v>
      </c>
      <c r="BI115" s="11">
        <v>100</v>
      </c>
      <c r="BJ115" s="10" t="s">
        <v>33162</v>
      </c>
      <c r="BK115" s="11" t="s">
        <v>33162</v>
      </c>
    </row>
    <row r="116" spans="1:63" x14ac:dyDescent="0.75">
      <c r="A116" t="s">
        <v>1359</v>
      </c>
      <c r="B116" t="s">
        <v>104</v>
      </c>
      <c r="C116" t="s">
        <v>578</v>
      </c>
      <c r="D116" t="s">
        <v>579</v>
      </c>
      <c r="E116" s="22" t="s">
        <v>10866</v>
      </c>
      <c r="F116" t="s">
        <v>1360</v>
      </c>
      <c r="G116" s="1" t="str">
        <f>HYPERLINK("https://homd.org/jbrowse/?data=homd_V11.02_phage_1.2%2FGCA_001006485.1&amp;loc=GCA_001006485.1%7CJUET01000076.1%3A89195..95986&amp;tracks=prokka,prokka_ncrna,ncbi,ncbi_ncrna,panggolin,cenote,genomad&amp;highlight=","Open JBrowse")</f>
        <v>Open JBrowse</v>
      </c>
      <c r="H116" s="10">
        <v>92195</v>
      </c>
      <c r="I116" s="10">
        <v>92986</v>
      </c>
      <c r="J116" s="10" t="s">
        <v>1361</v>
      </c>
      <c r="K116" s="10" t="s">
        <v>39</v>
      </c>
      <c r="L116" s="10" t="s">
        <v>491</v>
      </c>
      <c r="M116" s="10" t="s">
        <v>592</v>
      </c>
      <c r="N116" s="10" t="s">
        <v>42</v>
      </c>
      <c r="O116" s="10">
        <v>3</v>
      </c>
      <c r="P116" s="10" t="s">
        <v>42</v>
      </c>
      <c r="Q116" s="10" t="s">
        <v>43</v>
      </c>
      <c r="R116" s="10" t="s">
        <v>1362</v>
      </c>
      <c r="S116" s="10" t="s">
        <v>491</v>
      </c>
      <c r="T116" s="10" t="s">
        <v>42</v>
      </c>
      <c r="U116" s="10">
        <v>34</v>
      </c>
      <c r="V116" s="10">
        <v>259</v>
      </c>
      <c r="W116" s="10">
        <v>226</v>
      </c>
      <c r="X116" s="10" t="s">
        <v>45</v>
      </c>
      <c r="Y116" s="10" t="s">
        <v>1363</v>
      </c>
      <c r="Z116" s="10" t="s">
        <v>824</v>
      </c>
      <c r="AA116" s="10" t="s">
        <v>595</v>
      </c>
      <c r="AB116" s="10"/>
      <c r="AC116" s="10"/>
      <c r="AD116" s="10"/>
      <c r="AE116" s="10"/>
      <c r="AF116" s="10"/>
      <c r="AG116" s="44"/>
      <c r="AH116" s="44"/>
      <c r="AI116" s="44" t="s">
        <v>6052</v>
      </c>
      <c r="AJ116" s="44" t="s">
        <v>6052</v>
      </c>
      <c r="AK116" s="44" t="s">
        <v>6052</v>
      </c>
      <c r="AL116" s="44" t="s">
        <v>6052</v>
      </c>
      <c r="AM116" s="44" t="s">
        <v>6052</v>
      </c>
      <c r="AN116" s="44" t="s">
        <v>32535</v>
      </c>
      <c r="AO116" s="45">
        <v>11</v>
      </c>
      <c r="AP116" s="45">
        <v>1</v>
      </c>
      <c r="AQ116" s="45">
        <v>0</v>
      </c>
      <c r="AR116" s="45">
        <v>0</v>
      </c>
      <c r="AS116" s="45">
        <v>0</v>
      </c>
      <c r="AT116" s="45">
        <v>0</v>
      </c>
      <c r="AU116" s="10" t="s">
        <v>6052</v>
      </c>
      <c r="AV116" s="10" t="s">
        <v>6052</v>
      </c>
      <c r="AW116" s="10" t="s">
        <v>6052</v>
      </c>
      <c r="AX116" s="10" t="s">
        <v>6052</v>
      </c>
      <c r="AY116" s="10" t="s">
        <v>32253</v>
      </c>
      <c r="AZ116" s="44" t="s">
        <v>33116</v>
      </c>
      <c r="BA116" s="44" t="s">
        <v>30902</v>
      </c>
      <c r="BB116" s="44" t="s">
        <v>31323</v>
      </c>
      <c r="BC116" s="44" t="s">
        <v>8354</v>
      </c>
      <c r="BD116" s="44" t="s">
        <v>37365</v>
      </c>
      <c r="BE116" s="11">
        <v>1</v>
      </c>
      <c r="BF116" s="11">
        <v>0</v>
      </c>
      <c r="BG116" s="11">
        <v>0</v>
      </c>
      <c r="BH116" s="10" t="s">
        <v>31980</v>
      </c>
      <c r="BI116" s="11">
        <v>100</v>
      </c>
      <c r="BJ116" s="10" t="s">
        <v>33488</v>
      </c>
      <c r="BK116" s="11">
        <v>100</v>
      </c>
    </row>
    <row r="117" spans="1:63" x14ac:dyDescent="0.75">
      <c r="A117" t="s">
        <v>1854</v>
      </c>
      <c r="B117" t="s">
        <v>104</v>
      </c>
      <c r="C117" t="s">
        <v>329</v>
      </c>
      <c r="D117" t="s">
        <v>330</v>
      </c>
      <c r="E117" s="22" t="s">
        <v>13911</v>
      </c>
      <c r="F117" t="s">
        <v>1855</v>
      </c>
      <c r="G117" s="1" t="str">
        <f>HYPERLINK("https://homd.org/jbrowse/?data=homd_V11.02_phage_1.2%2FGCA_002312885.1&amp;loc=GCA_002312885.1%7CNIBW01000001.1%3A545300..552088&amp;tracks=prokka,prokka_ncrna,ncbi,ncbi_ncrna,panggolin,cenote,genomad&amp;highlight=","Open JBrowse")</f>
        <v>Open JBrowse</v>
      </c>
      <c r="H117" s="10">
        <v>548300</v>
      </c>
      <c r="I117" s="10">
        <v>549088</v>
      </c>
      <c r="J117" s="10" t="s">
        <v>1865</v>
      </c>
      <c r="K117" s="10" t="s">
        <v>39</v>
      </c>
      <c r="L117" s="10" t="s">
        <v>1866</v>
      </c>
      <c r="M117" s="10" t="s">
        <v>1867</v>
      </c>
      <c r="N117" s="10" t="s">
        <v>42</v>
      </c>
      <c r="O117" s="10">
        <v>3</v>
      </c>
      <c r="P117" s="10" t="s">
        <v>42</v>
      </c>
      <c r="Q117" s="10" t="s">
        <v>43</v>
      </c>
      <c r="R117" s="10" t="s">
        <v>1857</v>
      </c>
      <c r="S117" s="10" t="s">
        <v>1866</v>
      </c>
      <c r="T117" s="10" t="s">
        <v>42</v>
      </c>
      <c r="U117" s="10">
        <v>29</v>
      </c>
      <c r="V117" s="10">
        <v>257</v>
      </c>
      <c r="W117" s="10">
        <v>229</v>
      </c>
      <c r="X117" s="10" t="s">
        <v>45</v>
      </c>
      <c r="Y117" s="10"/>
      <c r="Z117" s="10"/>
      <c r="AA117" s="10"/>
      <c r="AB117" s="10"/>
      <c r="AC117" s="10"/>
      <c r="AD117" s="10"/>
      <c r="AE117" s="10"/>
      <c r="AF117" s="10"/>
      <c r="AG117" s="44"/>
      <c r="AH117" s="44"/>
      <c r="AI117" s="46" t="s">
        <v>6054</v>
      </c>
      <c r="AJ117" s="44" t="s">
        <v>6052</v>
      </c>
      <c r="AK117" s="44" t="s">
        <v>6052</v>
      </c>
      <c r="AL117" s="44" t="s">
        <v>6052</v>
      </c>
      <c r="AM117" s="44" t="s">
        <v>6052</v>
      </c>
      <c r="AN117" s="44" t="s">
        <v>32807</v>
      </c>
      <c r="AO117" s="45">
        <v>11</v>
      </c>
      <c r="AP117" s="45">
        <v>1</v>
      </c>
      <c r="AQ117" s="45">
        <v>0</v>
      </c>
      <c r="AR117" s="45">
        <v>0</v>
      </c>
      <c r="AS117" s="45">
        <v>0</v>
      </c>
      <c r="AT117" s="45">
        <v>0</v>
      </c>
      <c r="AU117" s="10" t="s">
        <v>6052</v>
      </c>
      <c r="AV117" s="10" t="s">
        <v>6052</v>
      </c>
      <c r="AW117" s="10" t="s">
        <v>6052</v>
      </c>
      <c r="AX117" s="10" t="s">
        <v>6052</v>
      </c>
      <c r="AY117" s="10" t="s">
        <v>32253</v>
      </c>
      <c r="AZ117" s="44" t="s">
        <v>33117</v>
      </c>
      <c r="BA117" s="44" t="s">
        <v>31018</v>
      </c>
      <c r="BB117" s="44" t="s">
        <v>31493</v>
      </c>
      <c r="BC117" s="44" t="s">
        <v>6415</v>
      </c>
      <c r="BD117" s="44" t="s">
        <v>31707</v>
      </c>
      <c r="BE117" s="11">
        <v>1</v>
      </c>
      <c r="BF117" s="11">
        <v>0</v>
      </c>
      <c r="BG117" s="11">
        <v>0</v>
      </c>
      <c r="BH117" s="10" t="s">
        <v>31914</v>
      </c>
      <c r="BI117" s="11">
        <v>100</v>
      </c>
      <c r="BJ117" s="10" t="s">
        <v>33287</v>
      </c>
      <c r="BK117" s="11">
        <v>100</v>
      </c>
    </row>
    <row r="118" spans="1:63" x14ac:dyDescent="0.75">
      <c r="A118" t="s">
        <v>1854</v>
      </c>
      <c r="B118" t="s">
        <v>104</v>
      </c>
      <c r="C118" t="s">
        <v>329</v>
      </c>
      <c r="D118" t="s">
        <v>330</v>
      </c>
      <c r="E118" s="22" t="s">
        <v>13911</v>
      </c>
      <c r="F118" t="s">
        <v>1855</v>
      </c>
      <c r="G118" s="1" t="str">
        <f>HYPERLINK("https://homd.org/jbrowse/?data=homd_V11.02_phage_1.2%2FGCA_002312885.1&amp;loc=GCA_002312885.1%7CNIBW01000001.1%3A334268..341089&amp;tracks=prokka,prokka_ncrna,ncbi,ncbi_ncrna,panggolin,cenote,genomad&amp;highlight=","Open JBrowse")</f>
        <v>Open JBrowse</v>
      </c>
      <c r="H118" s="10">
        <v>337268</v>
      </c>
      <c r="I118" s="10">
        <v>338089</v>
      </c>
      <c r="J118" s="10" t="s">
        <v>1856</v>
      </c>
      <c r="K118" s="10" t="s">
        <v>39</v>
      </c>
      <c r="L118" s="10" t="s">
        <v>343</v>
      </c>
      <c r="M118" s="10" t="s">
        <v>1833</v>
      </c>
      <c r="N118" s="10" t="s">
        <v>42</v>
      </c>
      <c r="O118" s="10">
        <v>3</v>
      </c>
      <c r="P118" s="10" t="s">
        <v>42</v>
      </c>
      <c r="Q118" s="10" t="s">
        <v>43</v>
      </c>
      <c r="R118" s="10" t="s">
        <v>1857</v>
      </c>
      <c r="S118" s="10" t="s">
        <v>343</v>
      </c>
      <c r="T118" s="10" t="s">
        <v>42</v>
      </c>
      <c r="U118" s="10">
        <v>38</v>
      </c>
      <c r="V118" s="10">
        <v>270</v>
      </c>
      <c r="W118" s="10">
        <v>233</v>
      </c>
      <c r="X118" s="10" t="s">
        <v>45</v>
      </c>
      <c r="Y118" s="10" t="s">
        <v>1858</v>
      </c>
      <c r="Z118" s="10" t="s">
        <v>1334</v>
      </c>
      <c r="AA118" s="10" t="s">
        <v>1859</v>
      </c>
      <c r="AB118" s="10"/>
      <c r="AC118" s="10"/>
      <c r="AD118" s="10"/>
      <c r="AE118" s="10"/>
      <c r="AF118" s="10"/>
      <c r="AG118" s="44"/>
      <c r="AH118" s="44"/>
      <c r="AI118" s="44" t="s">
        <v>6052</v>
      </c>
      <c r="AJ118" s="44" t="s">
        <v>6052</v>
      </c>
      <c r="AK118" s="44" t="s">
        <v>6052</v>
      </c>
      <c r="AL118" s="44" t="s">
        <v>6052</v>
      </c>
      <c r="AM118" s="44" t="s">
        <v>6052</v>
      </c>
      <c r="AN118" s="44" t="s">
        <v>32806</v>
      </c>
      <c r="AO118" s="45">
        <v>11</v>
      </c>
      <c r="AP118" s="45">
        <v>1</v>
      </c>
      <c r="AQ118" s="45">
        <v>0</v>
      </c>
      <c r="AR118" s="45">
        <v>0</v>
      </c>
      <c r="AS118" s="45">
        <v>0</v>
      </c>
      <c r="AT118" s="45">
        <v>0</v>
      </c>
      <c r="AU118" s="10" t="s">
        <v>6052</v>
      </c>
      <c r="AV118" s="10" t="s">
        <v>6052</v>
      </c>
      <c r="AW118" s="10" t="s">
        <v>6052</v>
      </c>
      <c r="AX118" s="10" t="s">
        <v>6052</v>
      </c>
      <c r="AY118" s="10" t="s">
        <v>32253</v>
      </c>
      <c r="AZ118" s="44" t="s">
        <v>33116</v>
      </c>
      <c r="BA118" s="44" t="s">
        <v>31018</v>
      </c>
      <c r="BB118" s="44" t="s">
        <v>31492</v>
      </c>
      <c r="BC118" s="44" t="s">
        <v>6415</v>
      </c>
      <c r="BD118" s="44" t="s">
        <v>31707</v>
      </c>
      <c r="BE118" s="11">
        <v>1</v>
      </c>
      <c r="BF118" s="11">
        <v>0</v>
      </c>
      <c r="BG118" s="11">
        <v>0</v>
      </c>
      <c r="BH118" s="10" t="s">
        <v>31891</v>
      </c>
      <c r="BI118" s="11">
        <v>100</v>
      </c>
      <c r="BJ118" s="10" t="s">
        <v>33286</v>
      </c>
      <c r="BK118" s="11">
        <v>100</v>
      </c>
    </row>
    <row r="119" spans="1:63" x14ac:dyDescent="0.75">
      <c r="A119" t="s">
        <v>1507</v>
      </c>
      <c r="B119" t="s">
        <v>104</v>
      </c>
      <c r="C119" t="s">
        <v>578</v>
      </c>
      <c r="D119" t="s">
        <v>579</v>
      </c>
      <c r="E119" s="22" t="s">
        <v>11855</v>
      </c>
      <c r="F119" t="s">
        <v>1508</v>
      </c>
      <c r="G119" s="1" t="str">
        <f>HYPERLINK("https://homd.org/jbrowse/?data=homd_V11.02_phage_1.2%2FGCA_001547855.1&amp;loc=GCA_001547855.1%7CAP013045.1%3A2802574..2809365&amp;tracks=prokka,prokka_ncrna,ncbi,ncbi_ncrna,panggolin,cenote,genomad&amp;highlight=","Open JBrowse")</f>
        <v>Open JBrowse</v>
      </c>
      <c r="H119" s="10">
        <v>2805574</v>
      </c>
      <c r="I119" s="10">
        <v>2806365</v>
      </c>
      <c r="J119" s="10" t="s">
        <v>1515</v>
      </c>
      <c r="K119" s="10" t="s">
        <v>39</v>
      </c>
      <c r="L119" s="10" t="s">
        <v>491</v>
      </c>
      <c r="M119" s="10" t="s">
        <v>592</v>
      </c>
      <c r="N119" s="10" t="s">
        <v>42</v>
      </c>
      <c r="O119" s="10">
        <v>3</v>
      </c>
      <c r="P119" s="10" t="s">
        <v>42</v>
      </c>
      <c r="Q119" s="10" t="s">
        <v>43</v>
      </c>
      <c r="R119" s="10" t="s">
        <v>1511</v>
      </c>
      <c r="S119" s="10" t="s">
        <v>491</v>
      </c>
      <c r="T119" s="10" t="s">
        <v>42</v>
      </c>
      <c r="U119" s="10">
        <v>34</v>
      </c>
      <c r="V119" s="10">
        <v>259</v>
      </c>
      <c r="W119" s="10">
        <v>226</v>
      </c>
      <c r="X119" s="10" t="s">
        <v>45</v>
      </c>
      <c r="Y119" s="10" t="s">
        <v>1516</v>
      </c>
      <c r="Z119" s="10" t="s">
        <v>594</v>
      </c>
      <c r="AA119" s="10" t="s">
        <v>595</v>
      </c>
      <c r="AB119" s="10"/>
      <c r="AC119" s="10"/>
      <c r="AD119" s="10"/>
      <c r="AE119" s="10"/>
      <c r="AF119" s="10"/>
      <c r="AG119" s="44"/>
      <c r="AH119" s="44"/>
      <c r="AI119" s="44" t="s">
        <v>6052</v>
      </c>
      <c r="AJ119" s="44" t="s">
        <v>6052</v>
      </c>
      <c r="AK119" s="44" t="s">
        <v>6052</v>
      </c>
      <c r="AL119" s="44" t="s">
        <v>6052</v>
      </c>
      <c r="AM119" s="44" t="s">
        <v>6052</v>
      </c>
      <c r="AN119" s="44" t="s">
        <v>32897</v>
      </c>
      <c r="AO119" s="45">
        <v>11</v>
      </c>
      <c r="AP119" s="45">
        <v>1</v>
      </c>
      <c r="AQ119" s="45">
        <v>0</v>
      </c>
      <c r="AR119" s="45">
        <v>0</v>
      </c>
      <c r="AS119" s="45">
        <v>0</v>
      </c>
      <c r="AT119" s="45">
        <v>0</v>
      </c>
      <c r="AU119" s="10" t="s">
        <v>6052</v>
      </c>
      <c r="AV119" s="10" t="s">
        <v>6052</v>
      </c>
      <c r="AW119" s="10" t="s">
        <v>6052</v>
      </c>
      <c r="AX119" s="10" t="s">
        <v>6052</v>
      </c>
      <c r="AY119" s="10" t="s">
        <v>32253</v>
      </c>
      <c r="AZ119" s="44" t="s">
        <v>33116</v>
      </c>
      <c r="BA119" s="44" t="s">
        <v>31069</v>
      </c>
      <c r="BB119" s="44" t="s">
        <v>31564</v>
      </c>
      <c r="BC119" s="44" t="s">
        <v>8354</v>
      </c>
      <c r="BD119" s="44" t="s">
        <v>37365</v>
      </c>
      <c r="BE119" s="11">
        <v>1</v>
      </c>
      <c r="BF119" s="11">
        <v>0</v>
      </c>
      <c r="BG119" s="11">
        <v>0</v>
      </c>
      <c r="BH119" s="10" t="s">
        <v>31962</v>
      </c>
      <c r="BI119" s="11">
        <v>100</v>
      </c>
      <c r="BJ119" s="10" t="s">
        <v>33483</v>
      </c>
      <c r="BK119" s="11">
        <v>100</v>
      </c>
    </row>
    <row r="120" spans="1:63" x14ac:dyDescent="0.75">
      <c r="A120" t="s">
        <v>1517</v>
      </c>
      <c r="B120" t="s">
        <v>104</v>
      </c>
      <c r="C120" t="s">
        <v>578</v>
      </c>
      <c r="D120" t="s">
        <v>579</v>
      </c>
      <c r="E120" s="22">
        <v>3313</v>
      </c>
      <c r="F120" t="s">
        <v>1518</v>
      </c>
      <c r="G120" s="1" t="str">
        <f>HYPERLINK("https://homd.org/jbrowse/?data=homd_V11.02_phage_1.2%2FGCA_001547875.1&amp;loc=GCA_001547875.1%7CAP013044.1%3A2745720..2752517&amp;tracks=prokka,prokka_ncrna,ncbi,ncbi_ncrna,panggolin,cenote,genomad&amp;highlight=","Open JBrowse")</f>
        <v>Open JBrowse</v>
      </c>
      <c r="H120" s="10">
        <v>2748720</v>
      </c>
      <c r="I120" s="10">
        <v>2749517</v>
      </c>
      <c r="J120" s="10" t="s">
        <v>1523</v>
      </c>
      <c r="K120" s="10" t="s">
        <v>39</v>
      </c>
      <c r="L120" s="10" t="s">
        <v>491</v>
      </c>
      <c r="M120" s="10" t="s">
        <v>592</v>
      </c>
      <c r="N120" s="10" t="s">
        <v>42</v>
      </c>
      <c r="O120" s="10">
        <v>3</v>
      </c>
      <c r="P120" s="10" t="s">
        <v>42</v>
      </c>
      <c r="Q120" s="10" t="s">
        <v>43</v>
      </c>
      <c r="R120" s="10" t="s">
        <v>1520</v>
      </c>
      <c r="S120" s="10" t="s">
        <v>491</v>
      </c>
      <c r="T120" s="10" t="s">
        <v>42</v>
      </c>
      <c r="U120" s="10">
        <v>34</v>
      </c>
      <c r="V120" s="10">
        <v>259</v>
      </c>
      <c r="W120" s="10">
        <v>226</v>
      </c>
      <c r="X120" s="10" t="s">
        <v>45</v>
      </c>
      <c r="Y120" s="10" t="s">
        <v>1524</v>
      </c>
      <c r="Z120" s="10" t="s">
        <v>594</v>
      </c>
      <c r="AA120" s="10" t="s">
        <v>595</v>
      </c>
      <c r="AB120" s="10"/>
      <c r="AC120" s="10"/>
      <c r="AD120" s="10"/>
      <c r="AE120" s="10"/>
      <c r="AF120" s="10"/>
      <c r="AG120" s="44"/>
      <c r="AH120" s="44"/>
      <c r="AI120" s="44" t="s">
        <v>6052</v>
      </c>
      <c r="AJ120" s="44" t="s">
        <v>6052</v>
      </c>
      <c r="AK120" s="44" t="s">
        <v>6052</v>
      </c>
      <c r="AL120" s="44" t="s">
        <v>6052</v>
      </c>
      <c r="AM120" s="44" t="s">
        <v>6052</v>
      </c>
      <c r="AN120" s="44" t="s">
        <v>32252</v>
      </c>
      <c r="AO120" s="45">
        <v>11</v>
      </c>
      <c r="AP120" s="45">
        <v>1</v>
      </c>
      <c r="AQ120" s="45">
        <v>0</v>
      </c>
      <c r="AR120" s="45">
        <v>0</v>
      </c>
      <c r="AS120" s="45">
        <v>0</v>
      </c>
      <c r="AT120" s="45">
        <v>0</v>
      </c>
      <c r="AU120" s="10" t="s">
        <v>6052</v>
      </c>
      <c r="AV120" s="10" t="s">
        <v>6052</v>
      </c>
      <c r="AW120" s="10" t="s">
        <v>6052</v>
      </c>
      <c r="AX120" s="10" t="s">
        <v>6052</v>
      </c>
      <c r="AY120" s="10" t="s">
        <v>32253</v>
      </c>
      <c r="AZ120" s="44" t="s">
        <v>33116</v>
      </c>
      <c r="BA120" s="44" t="s">
        <v>30845</v>
      </c>
      <c r="BB120" s="44" t="s">
        <v>31160</v>
      </c>
      <c r="BC120" s="44" t="s">
        <v>8354</v>
      </c>
      <c r="BD120" s="44" t="s">
        <v>37365</v>
      </c>
      <c r="BE120" s="11">
        <v>1</v>
      </c>
      <c r="BF120" s="11">
        <v>0</v>
      </c>
      <c r="BG120" s="11">
        <v>0</v>
      </c>
      <c r="BH120" s="10" t="s">
        <v>31977</v>
      </c>
      <c r="BI120" s="11">
        <v>100</v>
      </c>
      <c r="BJ120" s="10" t="s">
        <v>33482</v>
      </c>
      <c r="BK120" s="11">
        <v>100</v>
      </c>
    </row>
    <row r="121" spans="1:63" x14ac:dyDescent="0.75">
      <c r="A121" t="s">
        <v>1680</v>
      </c>
      <c r="B121" t="s">
        <v>104</v>
      </c>
      <c r="C121" t="s">
        <v>1674</v>
      </c>
      <c r="D121" t="s">
        <v>393</v>
      </c>
      <c r="E121" s="22" t="s">
        <v>13212</v>
      </c>
      <c r="F121" t="s">
        <v>1681</v>
      </c>
      <c r="G121" s="1" t="str">
        <f>HYPERLINK("https://homd.org/jbrowse/?data=homd_V11.02_phage_1.2%2FGCA_001937545.1&amp;loc=GCA_001937545.1%7CMSKV01000004.1%3A66638..73498&amp;tracks=prokka,prokka_ncrna,ncbi,ncbi_ncrna,panggolin,cenote,genomad&amp;highlight=","Open JBrowse")</f>
        <v>Open JBrowse</v>
      </c>
      <c r="H121" s="10">
        <v>69638</v>
      </c>
      <c r="I121" s="10">
        <v>70498</v>
      </c>
      <c r="J121" s="10" t="s">
        <v>1682</v>
      </c>
      <c r="K121" s="10" t="s">
        <v>59</v>
      </c>
      <c r="L121" s="10" t="s">
        <v>396</v>
      </c>
      <c r="M121" s="10" t="s">
        <v>397</v>
      </c>
      <c r="N121" s="10" t="s">
        <v>398</v>
      </c>
      <c r="O121" s="10">
        <v>3</v>
      </c>
      <c r="P121" s="10" t="s">
        <v>42</v>
      </c>
      <c r="Q121" s="10" t="s">
        <v>59</v>
      </c>
      <c r="R121" s="10" t="s">
        <v>1683</v>
      </c>
      <c r="S121" s="10" t="s">
        <v>396</v>
      </c>
      <c r="T121" s="10" t="s">
        <v>42</v>
      </c>
      <c r="U121" s="10">
        <v>46</v>
      </c>
      <c r="V121" s="10">
        <v>282</v>
      </c>
      <c r="W121" s="10">
        <v>237</v>
      </c>
      <c r="X121" s="10" t="s">
        <v>400</v>
      </c>
      <c r="Y121" s="10" t="s">
        <v>1684</v>
      </c>
      <c r="Z121" s="10" t="s">
        <v>302</v>
      </c>
      <c r="AA121" s="10" t="s">
        <v>1685</v>
      </c>
      <c r="AB121" s="10"/>
      <c r="AC121" s="10"/>
      <c r="AD121" s="10"/>
      <c r="AE121" s="10"/>
      <c r="AF121" s="10"/>
      <c r="AG121" s="44"/>
      <c r="AH121" s="44"/>
      <c r="AI121" s="44" t="s">
        <v>6052</v>
      </c>
      <c r="AJ121" s="44" t="s">
        <v>6052</v>
      </c>
      <c r="AK121" s="44" t="s">
        <v>6052</v>
      </c>
      <c r="AL121" s="44" t="s">
        <v>6052</v>
      </c>
      <c r="AM121" s="44" t="s">
        <v>6052</v>
      </c>
      <c r="AN121" s="44" t="s">
        <v>33087</v>
      </c>
      <c r="AO121" s="45">
        <v>11</v>
      </c>
      <c r="AP121" s="45">
        <v>1</v>
      </c>
      <c r="AQ121" s="45">
        <v>0</v>
      </c>
      <c r="AR121" s="45">
        <v>0</v>
      </c>
      <c r="AS121" s="45">
        <v>0</v>
      </c>
      <c r="AT121" s="45">
        <v>0</v>
      </c>
      <c r="AU121" s="10" t="s">
        <v>6052</v>
      </c>
      <c r="AV121" s="10" t="s">
        <v>6052</v>
      </c>
      <c r="AW121" s="10" t="s">
        <v>6052</v>
      </c>
      <c r="AX121" s="10" t="s">
        <v>6052</v>
      </c>
      <c r="AY121" s="10" t="s">
        <v>32253</v>
      </c>
      <c r="AZ121" s="44" t="s">
        <v>33118</v>
      </c>
      <c r="BA121" s="44" t="s">
        <v>31153</v>
      </c>
      <c r="BB121" s="44" t="s">
        <v>31691</v>
      </c>
      <c r="BC121" s="44" t="s">
        <v>7190</v>
      </c>
      <c r="BD121" s="44" t="s">
        <v>31712</v>
      </c>
      <c r="BE121" s="11">
        <v>1</v>
      </c>
      <c r="BF121" s="11">
        <v>0</v>
      </c>
      <c r="BG121" s="11">
        <v>0</v>
      </c>
      <c r="BH121" s="10" t="s">
        <v>33205</v>
      </c>
      <c r="BI121" s="11">
        <v>100</v>
      </c>
      <c r="BJ121" s="10" t="s">
        <v>33206</v>
      </c>
      <c r="BK121" s="11">
        <v>100</v>
      </c>
    </row>
    <row r="122" spans="1:63" x14ac:dyDescent="0.75">
      <c r="A122" t="s">
        <v>1686</v>
      </c>
      <c r="B122" t="s">
        <v>104</v>
      </c>
      <c r="C122" t="s">
        <v>1687</v>
      </c>
      <c r="D122" t="s">
        <v>393</v>
      </c>
      <c r="E122" s="22" t="s">
        <v>13230</v>
      </c>
      <c r="F122" t="s">
        <v>1688</v>
      </c>
      <c r="G122" s="1" t="str">
        <f>HYPERLINK("https://homd.org/jbrowse/?data=homd_V11.02_phage_1.2%2FGCA_001937675.1&amp;loc=GCA_001937675.1%7CMSKJ01000001.1%3A30292..37152&amp;tracks=prokka,prokka_ncrna,ncbi,ncbi_ncrna,panggolin,cenote,genomad&amp;highlight=","Open JBrowse")</f>
        <v>Open JBrowse</v>
      </c>
      <c r="H122" s="10">
        <v>33292</v>
      </c>
      <c r="I122" s="10">
        <v>34152</v>
      </c>
      <c r="J122" s="10" t="s">
        <v>1689</v>
      </c>
      <c r="K122" s="10" t="s">
        <v>59</v>
      </c>
      <c r="L122" s="10" t="s">
        <v>396</v>
      </c>
      <c r="M122" s="10" t="s">
        <v>397</v>
      </c>
      <c r="N122" s="10" t="s">
        <v>398</v>
      </c>
      <c r="O122" s="10">
        <v>3</v>
      </c>
      <c r="P122" s="10" t="s">
        <v>42</v>
      </c>
      <c r="Q122" s="10" t="s">
        <v>59</v>
      </c>
      <c r="R122" s="10" t="s">
        <v>1690</v>
      </c>
      <c r="S122" s="10" t="s">
        <v>396</v>
      </c>
      <c r="T122" s="10" t="s">
        <v>42</v>
      </c>
      <c r="U122" s="10">
        <v>46</v>
      </c>
      <c r="V122" s="10">
        <v>282</v>
      </c>
      <c r="W122" s="10">
        <v>237</v>
      </c>
      <c r="X122" s="10" t="s">
        <v>400</v>
      </c>
      <c r="Y122" s="10" t="s">
        <v>1691</v>
      </c>
      <c r="Z122" s="10" t="s">
        <v>368</v>
      </c>
      <c r="AA122" s="10" t="s">
        <v>1692</v>
      </c>
      <c r="AB122" s="10"/>
      <c r="AC122" s="10"/>
      <c r="AD122" s="10"/>
      <c r="AE122" s="10"/>
      <c r="AF122" s="10"/>
      <c r="AG122" s="44"/>
      <c r="AH122" s="44"/>
      <c r="AI122" s="44" t="s">
        <v>6052</v>
      </c>
      <c r="AJ122" s="44" t="s">
        <v>6052</v>
      </c>
      <c r="AK122" s="44" t="s">
        <v>6052</v>
      </c>
      <c r="AL122" s="44" t="s">
        <v>6052</v>
      </c>
      <c r="AM122" s="44" t="s">
        <v>6052</v>
      </c>
      <c r="AN122" s="44" t="s">
        <v>32571</v>
      </c>
      <c r="AO122" s="45">
        <v>11</v>
      </c>
      <c r="AP122" s="45">
        <v>1</v>
      </c>
      <c r="AQ122" s="45">
        <v>0</v>
      </c>
      <c r="AR122" s="45">
        <v>0</v>
      </c>
      <c r="AS122" s="45">
        <v>0</v>
      </c>
      <c r="AT122" s="45">
        <v>0</v>
      </c>
      <c r="AU122" s="10" t="s">
        <v>6052</v>
      </c>
      <c r="AV122" s="10" t="s">
        <v>6052</v>
      </c>
      <c r="AW122" s="10" t="s">
        <v>6052</v>
      </c>
      <c r="AX122" s="10" t="s">
        <v>6052</v>
      </c>
      <c r="AY122" s="10" t="s">
        <v>32253</v>
      </c>
      <c r="AZ122" s="44" t="s">
        <v>33118</v>
      </c>
      <c r="BA122" s="44" t="s">
        <v>30917</v>
      </c>
      <c r="BB122" s="44" t="s">
        <v>31347</v>
      </c>
      <c r="BC122" s="44" t="s">
        <v>7190</v>
      </c>
      <c r="BD122" s="44" t="s">
        <v>31712</v>
      </c>
      <c r="BE122" s="11">
        <v>1</v>
      </c>
      <c r="BF122" s="11">
        <v>0</v>
      </c>
      <c r="BG122" s="11">
        <v>0</v>
      </c>
      <c r="BH122" s="10" t="s">
        <v>33203</v>
      </c>
      <c r="BI122" s="11">
        <v>100</v>
      </c>
      <c r="BJ122" s="10" t="s">
        <v>33204</v>
      </c>
      <c r="BK122" s="11">
        <v>100</v>
      </c>
    </row>
    <row r="123" spans="1:63" x14ac:dyDescent="0.75">
      <c r="A123" t="s">
        <v>1673</v>
      </c>
      <c r="B123" t="s">
        <v>104</v>
      </c>
      <c r="C123" t="s">
        <v>1674</v>
      </c>
      <c r="D123" t="s">
        <v>393</v>
      </c>
      <c r="E123" s="22" t="s">
        <v>13175</v>
      </c>
      <c r="F123" t="s">
        <v>1675</v>
      </c>
      <c r="G123" s="1" t="str">
        <f>HYPERLINK("https://homd.org/jbrowse/?data=homd_V11.02_phage_1.2%2FGCA_001929365.1&amp;loc=GCA_001929365.1%7CMSQE01000004.1%3A18627..25487&amp;tracks=prokka,prokka_ncrna,ncbi,ncbi_ncrna,panggolin,cenote,genomad&amp;highlight=","Open JBrowse")</f>
        <v>Open JBrowse</v>
      </c>
      <c r="H123" s="10">
        <v>21627</v>
      </c>
      <c r="I123" s="10">
        <v>22487</v>
      </c>
      <c r="J123" s="10" t="s">
        <v>1676</v>
      </c>
      <c r="K123" s="10" t="s">
        <v>59</v>
      </c>
      <c r="L123" s="10" t="s">
        <v>396</v>
      </c>
      <c r="M123" s="10" t="s">
        <v>397</v>
      </c>
      <c r="N123" s="10" t="s">
        <v>398</v>
      </c>
      <c r="O123" s="10">
        <v>3</v>
      </c>
      <c r="P123" s="10" t="s">
        <v>42</v>
      </c>
      <c r="Q123" s="10" t="s">
        <v>59</v>
      </c>
      <c r="R123" s="10" t="s">
        <v>1677</v>
      </c>
      <c r="S123" s="10" t="s">
        <v>396</v>
      </c>
      <c r="T123" s="10" t="s">
        <v>42</v>
      </c>
      <c r="U123" s="10">
        <v>46</v>
      </c>
      <c r="V123" s="10">
        <v>282</v>
      </c>
      <c r="W123" s="10">
        <v>237</v>
      </c>
      <c r="X123" s="10" t="s">
        <v>400</v>
      </c>
      <c r="Y123" s="10" t="s">
        <v>1678</v>
      </c>
      <c r="Z123" s="10" t="s">
        <v>1257</v>
      </c>
      <c r="AA123" s="10" t="s">
        <v>1679</v>
      </c>
      <c r="AB123" s="10"/>
      <c r="AC123" s="10"/>
      <c r="AD123" s="10"/>
      <c r="AE123" s="10"/>
      <c r="AF123" s="10"/>
      <c r="AG123" s="44"/>
      <c r="AH123" s="44"/>
      <c r="AI123" s="44" t="s">
        <v>6052</v>
      </c>
      <c r="AJ123" s="44" t="s">
        <v>6052</v>
      </c>
      <c r="AK123" s="44" t="s">
        <v>6052</v>
      </c>
      <c r="AL123" s="44" t="s">
        <v>6052</v>
      </c>
      <c r="AM123" s="44" t="s">
        <v>6052</v>
      </c>
      <c r="AN123" s="44" t="s">
        <v>32775</v>
      </c>
      <c r="AO123" s="45">
        <v>11</v>
      </c>
      <c r="AP123" s="45">
        <v>1</v>
      </c>
      <c r="AQ123" s="45">
        <v>0</v>
      </c>
      <c r="AR123" s="45">
        <v>0</v>
      </c>
      <c r="AS123" s="45">
        <v>0</v>
      </c>
      <c r="AT123" s="45">
        <v>0</v>
      </c>
      <c r="AU123" s="10" t="s">
        <v>6052</v>
      </c>
      <c r="AV123" s="10" t="s">
        <v>6052</v>
      </c>
      <c r="AW123" s="10" t="s">
        <v>6052</v>
      </c>
      <c r="AX123" s="10" t="s">
        <v>6052</v>
      </c>
      <c r="AY123" s="10" t="s">
        <v>32253</v>
      </c>
      <c r="AZ123" s="44" t="s">
        <v>33118</v>
      </c>
      <c r="BA123" s="44" t="s">
        <v>31007</v>
      </c>
      <c r="BB123" s="44" t="s">
        <v>31475</v>
      </c>
      <c r="BC123" s="44" t="s">
        <v>7190</v>
      </c>
      <c r="BD123" s="44" t="s">
        <v>31712</v>
      </c>
      <c r="BE123" s="11">
        <v>1</v>
      </c>
      <c r="BF123" s="11">
        <v>0</v>
      </c>
      <c r="BG123" s="11">
        <v>0</v>
      </c>
      <c r="BH123" s="10" t="s">
        <v>33207</v>
      </c>
      <c r="BI123" s="11">
        <v>100</v>
      </c>
      <c r="BJ123" s="10" t="s">
        <v>33208</v>
      </c>
      <c r="BK123" s="11">
        <v>100</v>
      </c>
    </row>
    <row r="124" spans="1:63" x14ac:dyDescent="0.75">
      <c r="A124" t="s">
        <v>1630</v>
      </c>
      <c r="B124" t="s">
        <v>104</v>
      </c>
      <c r="C124" t="s">
        <v>265</v>
      </c>
      <c r="D124" t="s">
        <v>266</v>
      </c>
      <c r="E124" s="22" t="s">
        <v>12267</v>
      </c>
      <c r="F124" t="s">
        <v>1631</v>
      </c>
      <c r="G124" s="1" t="str">
        <f>HYPERLINK("https://homd.org/jbrowse/?data=homd_V11.02_phage_1.2%2FGCA_001652275.1&amp;loc=GCA_001652275.1%7CLVZK01000001.1%3A1845197..1852177&amp;tracks=prokka,prokka_ncrna,ncbi,ncbi_ncrna,panggolin,cenote,genomad&amp;highlight=","Open JBrowse")</f>
        <v>Open JBrowse</v>
      </c>
      <c r="H124" s="10">
        <v>1848197</v>
      </c>
      <c r="I124" s="10">
        <v>1849177</v>
      </c>
      <c r="J124" s="10" t="s">
        <v>1632</v>
      </c>
      <c r="K124" s="10" t="s">
        <v>269</v>
      </c>
      <c r="L124" s="10" t="s">
        <v>270</v>
      </c>
      <c r="M124" s="10" t="s">
        <v>271</v>
      </c>
      <c r="N124" s="10" t="s">
        <v>59</v>
      </c>
      <c r="O124" s="10">
        <v>2</v>
      </c>
      <c r="P124" s="10" t="s">
        <v>42</v>
      </c>
      <c r="Q124" s="10" t="s">
        <v>43</v>
      </c>
      <c r="R124" s="10" t="s">
        <v>1633</v>
      </c>
      <c r="S124" s="10" t="s">
        <v>270</v>
      </c>
      <c r="T124" s="10" t="s">
        <v>42</v>
      </c>
      <c r="U124" s="10">
        <v>74</v>
      </c>
      <c r="V124" s="10">
        <v>322</v>
      </c>
      <c r="W124" s="10">
        <v>249</v>
      </c>
      <c r="X124" s="10" t="s">
        <v>273</v>
      </c>
      <c r="Y124" s="10"/>
      <c r="Z124" s="10"/>
      <c r="AA124" s="10"/>
      <c r="AB124" s="10"/>
      <c r="AC124" s="10"/>
      <c r="AD124" s="10"/>
      <c r="AE124" s="10"/>
      <c r="AF124" s="10"/>
      <c r="AG124" s="44"/>
      <c r="AH124" s="44"/>
      <c r="AI124" s="46" t="s">
        <v>6054</v>
      </c>
      <c r="AJ124" s="44" t="s">
        <v>6052</v>
      </c>
      <c r="AK124" s="44" t="s">
        <v>6052</v>
      </c>
      <c r="AL124" s="44" t="s">
        <v>6052</v>
      </c>
      <c r="AM124" s="44" t="s">
        <v>6052</v>
      </c>
      <c r="AN124" s="44" t="s">
        <v>32547</v>
      </c>
      <c r="AO124" s="45">
        <v>11</v>
      </c>
      <c r="AP124" s="45">
        <v>1</v>
      </c>
      <c r="AQ124" s="45">
        <v>0</v>
      </c>
      <c r="AR124" s="45">
        <v>0</v>
      </c>
      <c r="AS124" s="45">
        <v>0</v>
      </c>
      <c r="AT124" s="45">
        <v>0</v>
      </c>
      <c r="AU124" s="10" t="s">
        <v>6052</v>
      </c>
      <c r="AV124" s="10" t="s">
        <v>6052</v>
      </c>
      <c r="AW124" s="10" t="s">
        <v>6052</v>
      </c>
      <c r="AX124" s="10" t="s">
        <v>6052</v>
      </c>
      <c r="AY124" s="10" t="s">
        <v>32253</v>
      </c>
      <c r="AZ124" s="44" t="s">
        <v>33117</v>
      </c>
      <c r="BA124" s="44" t="s">
        <v>30903</v>
      </c>
      <c r="BB124" s="44" t="s">
        <v>31327</v>
      </c>
      <c r="BC124" s="44" t="s">
        <v>7008</v>
      </c>
      <c r="BD124" s="44" t="s">
        <v>31719</v>
      </c>
      <c r="BE124" s="11">
        <v>1</v>
      </c>
      <c r="BF124" s="11">
        <v>0</v>
      </c>
      <c r="BG124" s="11">
        <v>0</v>
      </c>
      <c r="BH124" s="10" t="s">
        <v>32177</v>
      </c>
      <c r="BI124" s="11">
        <v>100</v>
      </c>
      <c r="BJ124" s="10" t="s">
        <v>33354</v>
      </c>
      <c r="BK124" s="11">
        <v>100</v>
      </c>
    </row>
    <row r="125" spans="1:63" x14ac:dyDescent="0.75">
      <c r="A125" t="s">
        <v>1620</v>
      </c>
      <c r="B125" t="s">
        <v>104</v>
      </c>
      <c r="C125" t="s">
        <v>1621</v>
      </c>
      <c r="D125" t="s">
        <v>1622</v>
      </c>
      <c r="E125" s="22" t="s">
        <v>12254</v>
      </c>
      <c r="F125" t="s">
        <v>1623</v>
      </c>
      <c r="G125" s="1" t="str">
        <f>HYPERLINK("https://homd.org/jbrowse/?data=homd_V11.02_phage_1.2%2FGCA_001648265.1&amp;loc=GCA_001648265.1%7CLXSH01000028.1%3A34166..41482&amp;tracks=prokka,prokka_ncrna,ncbi,ncbi_ncrna,panggolin,cenote,genomad&amp;highlight=","Open JBrowse")</f>
        <v>Open JBrowse</v>
      </c>
      <c r="H125" s="10">
        <v>37166</v>
      </c>
      <c r="I125" s="10">
        <v>38482</v>
      </c>
      <c r="J125" s="10" t="s">
        <v>1624</v>
      </c>
      <c r="K125" s="10" t="s">
        <v>59</v>
      </c>
      <c r="L125" s="10" t="s">
        <v>1625</v>
      </c>
      <c r="M125" s="10" t="s">
        <v>1626</v>
      </c>
      <c r="N125" s="10" t="s">
        <v>1627</v>
      </c>
      <c r="O125" s="10">
        <v>3</v>
      </c>
      <c r="P125" s="10" t="s">
        <v>42</v>
      </c>
      <c r="Q125" s="10" t="s">
        <v>59</v>
      </c>
      <c r="R125" s="10" t="s">
        <v>1628</v>
      </c>
      <c r="S125" s="10" t="s">
        <v>1625</v>
      </c>
      <c r="T125" s="10" t="s">
        <v>42</v>
      </c>
      <c r="U125" s="10">
        <v>161</v>
      </c>
      <c r="V125" s="10">
        <v>435</v>
      </c>
      <c r="W125" s="10">
        <v>275</v>
      </c>
      <c r="X125" s="10" t="s">
        <v>1629</v>
      </c>
      <c r="Y125" s="10"/>
      <c r="Z125" s="10"/>
      <c r="AA125" s="10"/>
      <c r="AB125" s="10"/>
      <c r="AC125" s="10"/>
      <c r="AD125" s="10"/>
      <c r="AE125" s="10"/>
      <c r="AF125" s="10"/>
      <c r="AG125" s="44"/>
      <c r="AH125" s="44"/>
      <c r="AI125" s="46" t="s">
        <v>6054</v>
      </c>
      <c r="AJ125" s="44" t="s">
        <v>6052</v>
      </c>
      <c r="AK125" s="44" t="s">
        <v>6052</v>
      </c>
      <c r="AL125" s="44" t="s">
        <v>6052</v>
      </c>
      <c r="AM125" s="44" t="s">
        <v>6052</v>
      </c>
      <c r="AN125" s="44" t="s">
        <v>32972</v>
      </c>
      <c r="AO125" s="45">
        <v>11</v>
      </c>
      <c r="AP125" s="45">
        <v>1</v>
      </c>
      <c r="AQ125" s="45">
        <v>0</v>
      </c>
      <c r="AR125" s="45">
        <v>0</v>
      </c>
      <c r="AS125" s="45">
        <v>0</v>
      </c>
      <c r="AT125" s="45">
        <v>0</v>
      </c>
      <c r="AU125" s="10" t="s">
        <v>6052</v>
      </c>
      <c r="AV125" s="10" t="s">
        <v>6052</v>
      </c>
      <c r="AW125" s="10" t="s">
        <v>6052</v>
      </c>
      <c r="AX125" s="10" t="s">
        <v>6052</v>
      </c>
      <c r="AY125" s="10" t="s">
        <v>32253</v>
      </c>
      <c r="AZ125" s="44" t="s">
        <v>33116</v>
      </c>
      <c r="BA125" s="44" t="s">
        <v>31094</v>
      </c>
      <c r="BB125" s="44" t="s">
        <v>31606</v>
      </c>
      <c r="BC125" s="44" t="s">
        <v>6782</v>
      </c>
      <c r="BD125" s="44" t="s">
        <v>31728</v>
      </c>
      <c r="BE125" s="11">
        <v>1</v>
      </c>
      <c r="BF125" s="11">
        <v>0</v>
      </c>
      <c r="BG125" s="11">
        <v>0</v>
      </c>
      <c r="BH125" s="10" t="s">
        <v>33292</v>
      </c>
      <c r="BI125" s="11">
        <v>100</v>
      </c>
      <c r="BJ125" s="10" t="s">
        <v>33293</v>
      </c>
      <c r="BK125" s="11">
        <v>58.8</v>
      </c>
    </row>
    <row r="126" spans="1:63" x14ac:dyDescent="0.75">
      <c r="A126" t="s">
        <v>2809</v>
      </c>
      <c r="B126" t="s">
        <v>104</v>
      </c>
      <c r="C126" t="s">
        <v>105</v>
      </c>
      <c r="D126" t="s">
        <v>106</v>
      </c>
      <c r="E126" s="22" t="s">
        <v>18751</v>
      </c>
      <c r="F126" t="s">
        <v>2810</v>
      </c>
      <c r="G126" s="1" t="str">
        <f>HYPERLINK("https://homd.org/jbrowse/?data=homd_V11.02_phage_1.2%2FGCA_013394785.1&amp;loc=GCA_013394785.1%7CJABXYW010000002.1%3A649684..656469&amp;tracks=prokka,prokka_ncrna,ncbi,ncbi_ncrna,panggolin,cenote,genomad&amp;highlight=","Open JBrowse")</f>
        <v>Open JBrowse</v>
      </c>
      <c r="H126" s="10">
        <v>652684</v>
      </c>
      <c r="I126" s="10">
        <v>653469</v>
      </c>
      <c r="J126" s="10" t="s">
        <v>2816</v>
      </c>
      <c r="K126" s="10" t="s">
        <v>39</v>
      </c>
      <c r="L126" s="10" t="s">
        <v>406</v>
      </c>
      <c r="M126" s="10" t="s">
        <v>407</v>
      </c>
      <c r="N126" s="10" t="s">
        <v>42</v>
      </c>
      <c r="O126" s="10">
        <v>3</v>
      </c>
      <c r="P126" s="10" t="s">
        <v>42</v>
      </c>
      <c r="Q126" s="10" t="s">
        <v>43</v>
      </c>
      <c r="R126" s="10" t="s">
        <v>2812</v>
      </c>
      <c r="S126" s="10" t="s">
        <v>406</v>
      </c>
      <c r="T126" s="10" t="s">
        <v>42</v>
      </c>
      <c r="U126" s="10">
        <v>33</v>
      </c>
      <c r="V126" s="10">
        <v>259</v>
      </c>
      <c r="W126" s="10">
        <v>227</v>
      </c>
      <c r="X126" s="10" t="s">
        <v>45</v>
      </c>
      <c r="Y126" s="10" t="s">
        <v>2817</v>
      </c>
      <c r="Z126" s="10" t="s">
        <v>126</v>
      </c>
      <c r="AA126" s="10" t="s">
        <v>2818</v>
      </c>
      <c r="AB126" s="10"/>
      <c r="AC126" s="10"/>
      <c r="AD126" s="10"/>
      <c r="AE126" s="10"/>
      <c r="AF126" s="10"/>
      <c r="AG126" s="44"/>
      <c r="AH126" s="44"/>
      <c r="AI126" s="44" t="s">
        <v>6052</v>
      </c>
      <c r="AJ126" s="44" t="s">
        <v>6052</v>
      </c>
      <c r="AK126" s="44" t="s">
        <v>6052</v>
      </c>
      <c r="AL126" s="44" t="s">
        <v>6052</v>
      </c>
      <c r="AM126" s="44" t="s">
        <v>6052</v>
      </c>
      <c r="AN126" s="44" t="s">
        <v>33082</v>
      </c>
      <c r="AO126" s="45">
        <v>11</v>
      </c>
      <c r="AP126" s="45">
        <v>1</v>
      </c>
      <c r="AQ126" s="45">
        <v>0</v>
      </c>
      <c r="AR126" s="45">
        <v>0</v>
      </c>
      <c r="AS126" s="45">
        <v>0</v>
      </c>
      <c r="AT126" s="45">
        <v>0</v>
      </c>
      <c r="AU126" s="10" t="s">
        <v>6052</v>
      </c>
      <c r="AV126" s="10" t="s">
        <v>6052</v>
      </c>
      <c r="AW126" s="10" t="s">
        <v>6052</v>
      </c>
      <c r="AX126" s="10" t="s">
        <v>6052</v>
      </c>
      <c r="AY126" s="10" t="s">
        <v>32253</v>
      </c>
      <c r="AZ126" s="44" t="s">
        <v>33116</v>
      </c>
      <c r="BA126" s="44" t="s">
        <v>31152</v>
      </c>
      <c r="BB126" s="44" t="s">
        <v>31688</v>
      </c>
      <c r="BC126" s="44" t="s">
        <v>6415</v>
      </c>
      <c r="BD126" s="44" t="s">
        <v>31707</v>
      </c>
      <c r="BE126" s="11">
        <v>1</v>
      </c>
      <c r="BF126" s="11">
        <v>0</v>
      </c>
      <c r="BG126" s="11">
        <v>0</v>
      </c>
      <c r="BH126" s="10" t="s">
        <v>32119</v>
      </c>
      <c r="BI126" s="11">
        <v>100</v>
      </c>
      <c r="BJ126" s="10" t="s">
        <v>33249</v>
      </c>
      <c r="BK126" s="11">
        <v>100</v>
      </c>
    </row>
    <row r="127" spans="1:63" x14ac:dyDescent="0.75">
      <c r="A127" t="s">
        <v>2834</v>
      </c>
      <c r="B127" t="s">
        <v>104</v>
      </c>
      <c r="C127" t="s">
        <v>2405</v>
      </c>
      <c r="D127" t="s">
        <v>1069</v>
      </c>
      <c r="E127" s="22" t="s">
        <v>18759</v>
      </c>
      <c r="F127" t="s">
        <v>2835</v>
      </c>
      <c r="G127" s="1" t="str">
        <f>HYPERLINK("https://homd.org/jbrowse/?data=homd_V11.02_phage_1.2%2FGCA_013394865.1&amp;loc=GCA_013394865.1%7CJABXYV010000001.1%3A2398968..2405984&amp;tracks=prokka,prokka_ncrna,ncbi,ncbi_ncrna,panggolin,cenote,genomad&amp;highlight=","Open JBrowse")</f>
        <v>Open JBrowse</v>
      </c>
      <c r="H127" s="10">
        <v>2401968</v>
      </c>
      <c r="I127" s="10">
        <v>2402984</v>
      </c>
      <c r="J127" s="10" t="s">
        <v>2836</v>
      </c>
      <c r="K127" s="10" t="s">
        <v>59</v>
      </c>
      <c r="L127" s="10" t="s">
        <v>877</v>
      </c>
      <c r="M127" s="10" t="s">
        <v>878</v>
      </c>
      <c r="N127" s="10" t="s">
        <v>42</v>
      </c>
      <c r="O127" s="10">
        <v>3</v>
      </c>
      <c r="P127" s="10" t="s">
        <v>42</v>
      </c>
      <c r="Q127" s="10" t="s">
        <v>59</v>
      </c>
      <c r="R127" s="10" t="s">
        <v>2837</v>
      </c>
      <c r="S127" s="10" t="s">
        <v>877</v>
      </c>
      <c r="T127" s="10" t="s">
        <v>42</v>
      </c>
      <c r="U127" s="10">
        <v>79</v>
      </c>
      <c r="V127" s="10">
        <v>335</v>
      </c>
      <c r="W127" s="10">
        <v>257</v>
      </c>
      <c r="X127" s="10" t="s">
        <v>142</v>
      </c>
      <c r="Y127" s="10"/>
      <c r="Z127" s="10"/>
      <c r="AA127" s="10"/>
      <c r="AB127" s="10"/>
      <c r="AC127" s="10"/>
      <c r="AD127" s="10"/>
      <c r="AE127" s="10"/>
      <c r="AF127" s="10"/>
      <c r="AG127" s="44"/>
      <c r="AH127" s="44"/>
      <c r="AI127" s="46" t="s">
        <v>6054</v>
      </c>
      <c r="AJ127" s="44" t="s">
        <v>6052</v>
      </c>
      <c r="AK127" s="44" t="s">
        <v>6052</v>
      </c>
      <c r="AL127" s="44" t="s">
        <v>6052</v>
      </c>
      <c r="AM127" s="44" t="s">
        <v>6052</v>
      </c>
      <c r="AN127" s="44" t="s">
        <v>32771</v>
      </c>
      <c r="AO127" s="45">
        <v>11</v>
      </c>
      <c r="AP127" s="45">
        <v>1</v>
      </c>
      <c r="AQ127" s="45">
        <v>0</v>
      </c>
      <c r="AR127" s="45">
        <v>0</v>
      </c>
      <c r="AS127" s="45">
        <v>0</v>
      </c>
      <c r="AT127" s="45">
        <v>0</v>
      </c>
      <c r="AU127" s="10" t="s">
        <v>6052</v>
      </c>
      <c r="AV127" s="10" t="s">
        <v>6052</v>
      </c>
      <c r="AW127" s="10" t="s">
        <v>6052</v>
      </c>
      <c r="AX127" s="10" t="s">
        <v>6052</v>
      </c>
      <c r="AY127" s="10" t="s">
        <v>32253</v>
      </c>
      <c r="AZ127" s="44" t="s">
        <v>33117</v>
      </c>
      <c r="BA127" s="44" t="s">
        <v>31003</v>
      </c>
      <c r="BB127" s="44" t="s">
        <v>31471</v>
      </c>
      <c r="BC127" s="44" t="s">
        <v>6425</v>
      </c>
      <c r="BD127" s="44" t="s">
        <v>31709</v>
      </c>
      <c r="BE127" s="11">
        <v>1</v>
      </c>
      <c r="BF127" s="11">
        <v>0</v>
      </c>
      <c r="BG127" s="11">
        <v>0</v>
      </c>
      <c r="BH127" s="10" t="s">
        <v>31858</v>
      </c>
      <c r="BI127" s="11">
        <v>100</v>
      </c>
      <c r="BJ127" s="10" t="s">
        <v>33309</v>
      </c>
      <c r="BK127" s="11">
        <v>100</v>
      </c>
    </row>
    <row r="128" spans="1:63" x14ac:dyDescent="0.75">
      <c r="A128" t="s">
        <v>2823</v>
      </c>
      <c r="B128" t="s">
        <v>104</v>
      </c>
      <c r="C128" t="s">
        <v>2824</v>
      </c>
      <c r="D128" t="s">
        <v>1069</v>
      </c>
      <c r="E128" s="22" t="s">
        <v>18754</v>
      </c>
      <c r="F128" t="s">
        <v>2825</v>
      </c>
      <c r="G128" s="1" t="str">
        <f>HYPERLINK("https://homd.org/jbrowse/?data=homd_V11.02_phage_1.2%2FGCA_013394795.1&amp;loc=GCA_013394795.1%7CJABXYU010000001.1%3A1193193..1200212&amp;tracks=prokka,prokka_ncrna,ncbi,ncbi_ncrna,panggolin,cenote,genomad&amp;highlight=","Open JBrowse")</f>
        <v>Open JBrowse</v>
      </c>
      <c r="H128" s="10">
        <v>1196193</v>
      </c>
      <c r="I128" s="10">
        <v>1197212</v>
      </c>
      <c r="J128" s="10" t="s">
        <v>2826</v>
      </c>
      <c r="K128" s="10" t="s">
        <v>59</v>
      </c>
      <c r="L128" s="10" t="s">
        <v>857</v>
      </c>
      <c r="M128" s="10" t="s">
        <v>858</v>
      </c>
      <c r="N128" s="10" t="s">
        <v>42</v>
      </c>
      <c r="O128" s="10">
        <v>3</v>
      </c>
      <c r="P128" s="10" t="s">
        <v>42</v>
      </c>
      <c r="Q128" s="10" t="s">
        <v>59</v>
      </c>
      <c r="R128" s="10" t="s">
        <v>2827</v>
      </c>
      <c r="S128" s="10" t="s">
        <v>857</v>
      </c>
      <c r="T128" s="10" t="s">
        <v>42</v>
      </c>
      <c r="U128" s="10">
        <v>80</v>
      </c>
      <c r="V128" s="10">
        <v>336</v>
      </c>
      <c r="W128" s="10">
        <v>257</v>
      </c>
      <c r="X128" s="10" t="s">
        <v>142</v>
      </c>
      <c r="Y128" s="10" t="s">
        <v>2828</v>
      </c>
      <c r="Z128" s="10" t="s">
        <v>336</v>
      </c>
      <c r="AA128" s="10" t="s">
        <v>2829</v>
      </c>
      <c r="AB128" s="10" t="s">
        <v>2830</v>
      </c>
      <c r="AC128" s="10" t="s">
        <v>2831</v>
      </c>
      <c r="AD128" s="10" t="s">
        <v>2832</v>
      </c>
      <c r="AE128" s="10">
        <v>337</v>
      </c>
      <c r="AF128" s="10" t="s">
        <v>2833</v>
      </c>
      <c r="AG128" s="44"/>
      <c r="AH128" s="44"/>
      <c r="AI128" s="44" t="s">
        <v>6052</v>
      </c>
      <c r="AJ128" s="44" t="s">
        <v>6052</v>
      </c>
      <c r="AK128" s="44" t="s">
        <v>6052</v>
      </c>
      <c r="AL128" s="44" t="s">
        <v>6052</v>
      </c>
      <c r="AM128" s="44" t="s">
        <v>6052</v>
      </c>
      <c r="AN128" s="44" t="s">
        <v>32774</v>
      </c>
      <c r="AO128" s="45">
        <v>11</v>
      </c>
      <c r="AP128" s="45">
        <v>1</v>
      </c>
      <c r="AQ128" s="45">
        <v>0</v>
      </c>
      <c r="AR128" s="45">
        <v>0</v>
      </c>
      <c r="AS128" s="45">
        <v>0</v>
      </c>
      <c r="AT128" s="45">
        <v>0</v>
      </c>
      <c r="AU128" s="10" t="s">
        <v>6052</v>
      </c>
      <c r="AV128" s="10" t="s">
        <v>6052</v>
      </c>
      <c r="AW128" s="10" t="s">
        <v>6052</v>
      </c>
      <c r="AX128" s="10" t="s">
        <v>6052</v>
      </c>
      <c r="AY128" s="10" t="s">
        <v>32253</v>
      </c>
      <c r="AZ128" s="44" t="s">
        <v>33117</v>
      </c>
      <c r="BA128" s="44" t="s">
        <v>31006</v>
      </c>
      <c r="BB128" s="44" t="s">
        <v>31474</v>
      </c>
      <c r="BC128" s="44" t="s">
        <v>6425</v>
      </c>
      <c r="BD128" s="44" t="s">
        <v>31709</v>
      </c>
      <c r="BE128" s="11">
        <v>1</v>
      </c>
      <c r="BF128" s="11">
        <v>0</v>
      </c>
      <c r="BG128" s="11">
        <v>0</v>
      </c>
      <c r="BH128" s="10" t="s">
        <v>31854</v>
      </c>
      <c r="BI128" s="11">
        <v>100</v>
      </c>
      <c r="BJ128" s="10" t="s">
        <v>33308</v>
      </c>
      <c r="BK128" s="11">
        <v>100</v>
      </c>
    </row>
    <row r="129" spans="1:63" x14ac:dyDescent="0.75">
      <c r="A129" t="s">
        <v>577</v>
      </c>
      <c r="B129" t="s">
        <v>104</v>
      </c>
      <c r="C129" t="s">
        <v>578</v>
      </c>
      <c r="D129" t="s">
        <v>579</v>
      </c>
      <c r="E129" s="22" t="s">
        <v>8356</v>
      </c>
      <c r="F129" t="s">
        <v>580</v>
      </c>
      <c r="G129" s="1" t="str">
        <f>HYPERLINK("https://homd.org/jbrowse/?data=homd_V11.02_phage_1.2%2FGCA_000238215.1&amp;loc=GCA_000238215.1%7CCP003191.1%3A2799394..2806185&amp;tracks=prokka,prokka_ncrna,ncbi,ncbi_ncrna,panggolin,cenote,genomad&amp;highlight=","Open JBrowse")</f>
        <v>Open JBrowse</v>
      </c>
      <c r="H129" s="10">
        <v>2802394</v>
      </c>
      <c r="I129" s="10">
        <v>2803185</v>
      </c>
      <c r="J129" s="10" t="s">
        <v>591</v>
      </c>
      <c r="K129" s="10" t="s">
        <v>39</v>
      </c>
      <c r="L129" s="10" t="s">
        <v>491</v>
      </c>
      <c r="M129" s="10" t="s">
        <v>592</v>
      </c>
      <c r="N129" s="10" t="s">
        <v>42</v>
      </c>
      <c r="O129" s="10">
        <v>3</v>
      </c>
      <c r="P129" s="10" t="s">
        <v>42</v>
      </c>
      <c r="Q129" s="10" t="s">
        <v>43</v>
      </c>
      <c r="R129" s="10" t="s">
        <v>584</v>
      </c>
      <c r="S129" s="10" t="s">
        <v>491</v>
      </c>
      <c r="T129" s="10" t="s">
        <v>42</v>
      </c>
      <c r="U129" s="10">
        <v>34</v>
      </c>
      <c r="V129" s="10">
        <v>259</v>
      </c>
      <c r="W129" s="10">
        <v>226</v>
      </c>
      <c r="X129" s="10" t="s">
        <v>45</v>
      </c>
      <c r="Y129" s="10" t="s">
        <v>593</v>
      </c>
      <c r="Z129" s="10" t="s">
        <v>594</v>
      </c>
      <c r="AA129" s="10" t="s">
        <v>595</v>
      </c>
      <c r="AB129" s="10"/>
      <c r="AC129" s="10"/>
      <c r="AD129" s="10"/>
      <c r="AE129" s="10"/>
      <c r="AF129" s="10"/>
      <c r="AG129" s="44"/>
      <c r="AH129" s="44"/>
      <c r="AI129" s="44" t="s">
        <v>6052</v>
      </c>
      <c r="AJ129" s="44" t="s">
        <v>6052</v>
      </c>
      <c r="AK129" s="44" t="s">
        <v>6052</v>
      </c>
      <c r="AL129" s="44" t="s">
        <v>6052</v>
      </c>
      <c r="AM129" s="44" t="s">
        <v>6052</v>
      </c>
      <c r="AN129" s="44" t="s">
        <v>32489</v>
      </c>
      <c r="AO129" s="45">
        <v>11</v>
      </c>
      <c r="AP129" s="45">
        <v>1</v>
      </c>
      <c r="AQ129" s="45">
        <v>0</v>
      </c>
      <c r="AR129" s="45">
        <v>0</v>
      </c>
      <c r="AS129" s="45">
        <v>0</v>
      </c>
      <c r="AT129" s="45">
        <v>0</v>
      </c>
      <c r="AU129" s="10" t="s">
        <v>6052</v>
      </c>
      <c r="AV129" s="10" t="s">
        <v>6052</v>
      </c>
      <c r="AW129" s="10" t="s">
        <v>6052</v>
      </c>
      <c r="AX129" s="10" t="s">
        <v>6052</v>
      </c>
      <c r="AY129" s="10" t="s">
        <v>32253</v>
      </c>
      <c r="AZ129" s="44" t="s">
        <v>33116</v>
      </c>
      <c r="BA129" s="44" t="s">
        <v>30888</v>
      </c>
      <c r="BB129" s="44" t="s">
        <v>31298</v>
      </c>
      <c r="BC129" s="44" t="s">
        <v>8354</v>
      </c>
      <c r="BD129" s="44" t="s">
        <v>37365</v>
      </c>
      <c r="BE129" s="11">
        <v>1</v>
      </c>
      <c r="BF129" s="11">
        <v>0</v>
      </c>
      <c r="BG129" s="11">
        <v>0</v>
      </c>
      <c r="BH129" s="10" t="s">
        <v>31969</v>
      </c>
      <c r="BI129" s="11">
        <v>100</v>
      </c>
      <c r="BJ129" s="10" t="s">
        <v>33484</v>
      </c>
      <c r="BK129" s="11">
        <v>100</v>
      </c>
    </row>
    <row r="130" spans="1:63" x14ac:dyDescent="0.75">
      <c r="A130" t="s">
        <v>5371</v>
      </c>
      <c r="B130" t="s">
        <v>104</v>
      </c>
      <c r="C130" t="s">
        <v>610</v>
      </c>
      <c r="D130" t="s">
        <v>611</v>
      </c>
      <c r="E130" s="22" t="s">
        <v>28517</v>
      </c>
      <c r="F130" t="s">
        <v>5372</v>
      </c>
      <c r="G130" s="1" t="str">
        <f>HYPERLINK("https://homd.org/jbrowse/?data=homd_V11.02_phage_1.2%2FGCA_902480825.1&amp;loc=GCA_902480825.1%7CCABSUF010000012.1%3A33255..40199&amp;tracks=prokka,prokka_ncrna,ncbi,ncbi_ncrna,panggolin,cenote,genomad&amp;highlight=","Open JBrowse")</f>
        <v>Open JBrowse</v>
      </c>
      <c r="H130" s="10">
        <v>36255</v>
      </c>
      <c r="I130" s="10">
        <v>37199</v>
      </c>
      <c r="J130" s="10" t="s">
        <v>5373</v>
      </c>
      <c r="K130" s="10" t="s">
        <v>614</v>
      </c>
      <c r="L130" s="10" t="s">
        <v>615</v>
      </c>
      <c r="M130" s="10" t="s">
        <v>616</v>
      </c>
      <c r="N130" s="10" t="s">
        <v>59</v>
      </c>
      <c r="O130" s="10">
        <v>2</v>
      </c>
      <c r="P130" s="10" t="s">
        <v>42</v>
      </c>
      <c r="Q130" s="10" t="s">
        <v>101</v>
      </c>
      <c r="R130" s="10" t="s">
        <v>5374</v>
      </c>
      <c r="S130" s="10" t="s">
        <v>615</v>
      </c>
      <c r="T130" s="10" t="s">
        <v>42</v>
      </c>
      <c r="U130" s="10">
        <v>52</v>
      </c>
      <c r="V130" s="10">
        <v>311</v>
      </c>
      <c r="W130" s="10">
        <v>260</v>
      </c>
      <c r="X130" s="10" t="s">
        <v>618</v>
      </c>
      <c r="Y130" s="10" t="s">
        <v>5375</v>
      </c>
      <c r="Z130" s="10" t="s">
        <v>2007</v>
      </c>
      <c r="AA130" s="10" t="s">
        <v>5376</v>
      </c>
      <c r="AB130" s="10"/>
      <c r="AC130" s="10"/>
      <c r="AD130" s="10"/>
      <c r="AE130" s="10"/>
      <c r="AF130" s="10"/>
      <c r="AG130" s="44"/>
      <c r="AH130" s="44"/>
      <c r="AI130" s="44" t="s">
        <v>6052</v>
      </c>
      <c r="AJ130" s="44" t="s">
        <v>6052</v>
      </c>
      <c r="AK130" s="44" t="s">
        <v>6052</v>
      </c>
      <c r="AL130" s="44" t="s">
        <v>6052</v>
      </c>
      <c r="AM130" s="44" t="s">
        <v>6052</v>
      </c>
      <c r="AN130" s="44" t="s">
        <v>32914</v>
      </c>
      <c r="AO130" s="45">
        <v>11</v>
      </c>
      <c r="AP130" s="45">
        <v>1</v>
      </c>
      <c r="AQ130" s="45">
        <v>0</v>
      </c>
      <c r="AR130" s="45">
        <v>0</v>
      </c>
      <c r="AS130" s="45">
        <v>0</v>
      </c>
      <c r="AT130" s="45">
        <v>0</v>
      </c>
      <c r="AU130" s="10" t="s">
        <v>6052</v>
      </c>
      <c r="AV130" s="10" t="s">
        <v>6052</v>
      </c>
      <c r="AW130" s="10" t="s">
        <v>6052</v>
      </c>
      <c r="AX130" s="10" t="s">
        <v>6052</v>
      </c>
      <c r="AY130" s="10" t="s">
        <v>32253</v>
      </c>
      <c r="AZ130" s="44" t="s">
        <v>33118</v>
      </c>
      <c r="BA130" s="44" t="s">
        <v>31075</v>
      </c>
      <c r="BB130" s="44" t="s">
        <v>31572</v>
      </c>
      <c r="BC130" s="44" t="s">
        <v>7190</v>
      </c>
      <c r="BD130" s="44" t="s">
        <v>31712</v>
      </c>
      <c r="BE130" s="11">
        <v>1</v>
      </c>
      <c r="BF130" s="11">
        <v>0</v>
      </c>
      <c r="BG130" s="11">
        <v>0</v>
      </c>
      <c r="BH130" s="10" t="s">
        <v>31939</v>
      </c>
      <c r="BI130" s="11">
        <v>100</v>
      </c>
      <c r="BJ130" s="10" t="s">
        <v>33162</v>
      </c>
      <c r="BK130" s="11" t="s">
        <v>33162</v>
      </c>
    </row>
    <row r="131" spans="1:63" x14ac:dyDescent="0.75">
      <c r="A131" t="s">
        <v>5377</v>
      </c>
      <c r="B131" t="s">
        <v>104</v>
      </c>
      <c r="C131" t="s">
        <v>610</v>
      </c>
      <c r="D131" t="s">
        <v>611</v>
      </c>
      <c r="E131" s="22" t="s">
        <v>28531</v>
      </c>
      <c r="F131" t="s">
        <v>5378</v>
      </c>
      <c r="G131" s="1" t="str">
        <f>HYPERLINK("https://homd.org/jbrowse/?data=homd_V11.02_phage_1.2%2FGCA_902481625.1&amp;loc=GCA_902481625.1%7CCABSXG010000004.1%3A33264..40208&amp;tracks=prokka,prokka_ncrna,ncbi,ncbi_ncrna,panggolin,cenote,genomad&amp;highlight=","Open JBrowse")</f>
        <v>Open JBrowse</v>
      </c>
      <c r="H131" s="10">
        <v>36264</v>
      </c>
      <c r="I131" s="10">
        <v>37208</v>
      </c>
      <c r="J131" s="10" t="s">
        <v>5379</v>
      </c>
      <c r="K131" s="10" t="s">
        <v>614</v>
      </c>
      <c r="L131" s="10" t="s">
        <v>615</v>
      </c>
      <c r="M131" s="10" t="s">
        <v>616</v>
      </c>
      <c r="N131" s="10" t="s">
        <v>59</v>
      </c>
      <c r="O131" s="10">
        <v>2</v>
      </c>
      <c r="P131" s="10" t="s">
        <v>42</v>
      </c>
      <c r="Q131" s="10" t="s">
        <v>101</v>
      </c>
      <c r="R131" s="10" t="s">
        <v>5380</v>
      </c>
      <c r="S131" s="10" t="s">
        <v>615</v>
      </c>
      <c r="T131" s="10" t="s">
        <v>42</v>
      </c>
      <c r="U131" s="10">
        <v>52</v>
      </c>
      <c r="V131" s="10">
        <v>311</v>
      </c>
      <c r="W131" s="10">
        <v>260</v>
      </c>
      <c r="X131" s="10" t="s">
        <v>618</v>
      </c>
      <c r="Y131" s="10" t="s">
        <v>5381</v>
      </c>
      <c r="Z131" s="10" t="s">
        <v>1334</v>
      </c>
      <c r="AA131" s="10" t="s">
        <v>5382</v>
      </c>
      <c r="AB131" s="10"/>
      <c r="AC131" s="10"/>
      <c r="AD131" s="10"/>
      <c r="AE131" s="10"/>
      <c r="AF131" s="10"/>
      <c r="AG131" s="44"/>
      <c r="AH131" s="44"/>
      <c r="AI131" s="44" t="s">
        <v>6052</v>
      </c>
      <c r="AJ131" s="44" t="s">
        <v>6052</v>
      </c>
      <c r="AK131" s="44" t="s">
        <v>6052</v>
      </c>
      <c r="AL131" s="44" t="s">
        <v>6052</v>
      </c>
      <c r="AM131" s="44" t="s">
        <v>6052</v>
      </c>
      <c r="AN131" s="44" t="s">
        <v>32915</v>
      </c>
      <c r="AO131" s="45">
        <v>11</v>
      </c>
      <c r="AP131" s="45">
        <v>1</v>
      </c>
      <c r="AQ131" s="45">
        <v>0</v>
      </c>
      <c r="AR131" s="45">
        <v>0</v>
      </c>
      <c r="AS131" s="45">
        <v>0</v>
      </c>
      <c r="AT131" s="45">
        <v>0</v>
      </c>
      <c r="AU131" s="10" t="s">
        <v>6052</v>
      </c>
      <c r="AV131" s="10" t="s">
        <v>6052</v>
      </c>
      <c r="AW131" s="10" t="s">
        <v>6052</v>
      </c>
      <c r="AX131" s="10" t="s">
        <v>6052</v>
      </c>
      <c r="AY131" s="10" t="s">
        <v>32253</v>
      </c>
      <c r="AZ131" s="44" t="s">
        <v>33118</v>
      </c>
      <c r="BA131" s="44" t="s">
        <v>31076</v>
      </c>
      <c r="BB131" s="44" t="s">
        <v>31573</v>
      </c>
      <c r="BC131" s="44" t="s">
        <v>7190</v>
      </c>
      <c r="BD131" s="44" t="s">
        <v>31712</v>
      </c>
      <c r="BE131" s="11">
        <v>1</v>
      </c>
      <c r="BF131" s="11">
        <v>0</v>
      </c>
      <c r="BG131" s="11">
        <v>0</v>
      </c>
      <c r="BH131" s="10" t="s">
        <v>31971</v>
      </c>
      <c r="BI131" s="11">
        <v>100</v>
      </c>
      <c r="BJ131" s="10" t="s">
        <v>33162</v>
      </c>
      <c r="BK131" s="11" t="s">
        <v>33162</v>
      </c>
    </row>
    <row r="132" spans="1:63" x14ac:dyDescent="0.75">
      <c r="A132" t="s">
        <v>5415</v>
      </c>
      <c r="B132" t="s">
        <v>104</v>
      </c>
      <c r="C132" t="s">
        <v>610</v>
      </c>
      <c r="D132" t="s">
        <v>611</v>
      </c>
      <c r="E132" s="22" t="s">
        <v>30844</v>
      </c>
      <c r="F132" t="s">
        <v>5416</v>
      </c>
      <c r="G132" s="1" t="str">
        <f>HYPERLINK("https://homd.org/jbrowse/?data=homd_V11.02_phage_1.2%2FGCA_905369945.1&amp;loc=GCA_905369945.1%7CCAJPJJ010000023.1%3A1313..8257&amp;tracks=prokka,prokka_ncrna,ncbi,ncbi_ncrna,panggolin,cenote,genomad&amp;highlight=","Open JBrowse")</f>
        <v>Open JBrowse</v>
      </c>
      <c r="H132" s="10">
        <v>4313</v>
      </c>
      <c r="I132" s="10">
        <v>5257</v>
      </c>
      <c r="J132" s="10" t="s">
        <v>5417</v>
      </c>
      <c r="K132" s="10" t="s">
        <v>614</v>
      </c>
      <c r="L132" s="10" t="s">
        <v>615</v>
      </c>
      <c r="M132" s="10" t="s">
        <v>616</v>
      </c>
      <c r="N132" s="10" t="s">
        <v>59</v>
      </c>
      <c r="O132" s="10">
        <v>2</v>
      </c>
      <c r="P132" s="10" t="s">
        <v>42</v>
      </c>
      <c r="Q132" s="10" t="s">
        <v>101</v>
      </c>
      <c r="R132" s="10" t="s">
        <v>5418</v>
      </c>
      <c r="S132" s="10" t="s">
        <v>615</v>
      </c>
      <c r="T132" s="10" t="s">
        <v>42</v>
      </c>
      <c r="U132" s="10">
        <v>52</v>
      </c>
      <c r="V132" s="10">
        <v>311</v>
      </c>
      <c r="W132" s="10">
        <v>260</v>
      </c>
      <c r="X132" s="10" t="s">
        <v>618</v>
      </c>
      <c r="Y132" s="10" t="s">
        <v>5419</v>
      </c>
      <c r="Z132" s="10" t="s">
        <v>932</v>
      </c>
      <c r="AA132" s="10" t="s">
        <v>621</v>
      </c>
      <c r="AB132" s="10"/>
      <c r="AC132" s="10"/>
      <c r="AD132" s="10"/>
      <c r="AE132" s="10"/>
      <c r="AF132" s="10"/>
      <c r="AG132" s="44"/>
      <c r="AH132" s="44"/>
      <c r="AI132" s="44" t="s">
        <v>6052</v>
      </c>
      <c r="AJ132" s="44" t="s">
        <v>6052</v>
      </c>
      <c r="AK132" s="44" t="s">
        <v>6052</v>
      </c>
      <c r="AL132" s="44" t="s">
        <v>6052</v>
      </c>
      <c r="AM132" s="44" t="s">
        <v>6052</v>
      </c>
      <c r="AN132" s="44" t="s">
        <v>32279</v>
      </c>
      <c r="AO132" s="45">
        <v>11</v>
      </c>
      <c r="AP132" s="45">
        <v>1</v>
      </c>
      <c r="AQ132" s="45">
        <v>0</v>
      </c>
      <c r="AR132" s="45">
        <v>0</v>
      </c>
      <c r="AS132" s="45">
        <v>0</v>
      </c>
      <c r="AT132" s="45">
        <v>0</v>
      </c>
      <c r="AU132" s="10" t="s">
        <v>6052</v>
      </c>
      <c r="AV132" s="10" t="s">
        <v>6052</v>
      </c>
      <c r="AW132" s="10" t="s">
        <v>6052</v>
      </c>
      <c r="AX132" s="10" t="s">
        <v>6052</v>
      </c>
      <c r="AY132" s="10" t="s">
        <v>32253</v>
      </c>
      <c r="AZ132" s="44" t="s">
        <v>33118</v>
      </c>
      <c r="BA132" s="44" t="s">
        <v>30850</v>
      </c>
      <c r="BB132" s="44" t="s">
        <v>31174</v>
      </c>
      <c r="BC132" s="44" t="s">
        <v>7190</v>
      </c>
      <c r="BD132" s="44" t="s">
        <v>31712</v>
      </c>
      <c r="BE132" s="11">
        <v>1</v>
      </c>
      <c r="BF132" s="11">
        <v>0</v>
      </c>
      <c r="BG132" s="11">
        <v>0</v>
      </c>
      <c r="BH132" s="10" t="s">
        <v>31926</v>
      </c>
      <c r="BI132" s="11">
        <v>100</v>
      </c>
      <c r="BJ132" s="10" t="s">
        <v>33162</v>
      </c>
      <c r="BK132" s="11" t="s">
        <v>33162</v>
      </c>
    </row>
    <row r="133" spans="1:63" x14ac:dyDescent="0.75">
      <c r="A133" t="s">
        <v>5573</v>
      </c>
      <c r="B133" t="s">
        <v>104</v>
      </c>
      <c r="C133" t="s">
        <v>610</v>
      </c>
      <c r="D133" t="s">
        <v>611</v>
      </c>
      <c r="E133" s="22" t="s">
        <v>30844</v>
      </c>
      <c r="F133" t="s">
        <v>5574</v>
      </c>
      <c r="G133" s="1" t="str">
        <f>HYPERLINK("https://homd.org/jbrowse/?data=homd_V11.02_phage_1.2%2FGCA_916050455.1&amp;loc=GCA_916050455.1%7CCAJZKW010000002.1%3A55620..62564&amp;tracks=prokka,prokka_ncrna,ncbi,ncbi_ncrna,panggolin,cenote,genomad&amp;highlight=","Open JBrowse")</f>
        <v>Open JBrowse</v>
      </c>
      <c r="H133" s="10">
        <v>58620</v>
      </c>
      <c r="I133" s="10">
        <v>59564</v>
      </c>
      <c r="J133" s="10" t="s">
        <v>5575</v>
      </c>
      <c r="K133" s="10" t="s">
        <v>614</v>
      </c>
      <c r="L133" s="10" t="s">
        <v>615</v>
      </c>
      <c r="M133" s="10" t="s">
        <v>616</v>
      </c>
      <c r="N133" s="10" t="s">
        <v>59</v>
      </c>
      <c r="O133" s="10">
        <v>2</v>
      </c>
      <c r="P133" s="10" t="s">
        <v>42</v>
      </c>
      <c r="Q133" s="10" t="s">
        <v>101</v>
      </c>
      <c r="R133" s="10" t="s">
        <v>5576</v>
      </c>
      <c r="S133" s="10" t="s">
        <v>615</v>
      </c>
      <c r="T133" s="10" t="s">
        <v>42</v>
      </c>
      <c r="U133" s="10">
        <v>52</v>
      </c>
      <c r="V133" s="10">
        <v>311</v>
      </c>
      <c r="W133" s="10">
        <v>260</v>
      </c>
      <c r="X133" s="10" t="s">
        <v>618</v>
      </c>
      <c r="Y133" s="10" t="s">
        <v>5577</v>
      </c>
      <c r="Z133" s="10" t="s">
        <v>645</v>
      </c>
      <c r="AA133" s="10" t="s">
        <v>5382</v>
      </c>
      <c r="AB133" s="10"/>
      <c r="AC133" s="10"/>
      <c r="AD133" s="10"/>
      <c r="AE133" s="10"/>
      <c r="AF133" s="10"/>
      <c r="AG133" s="44"/>
      <c r="AH133" s="44"/>
      <c r="AI133" s="44" t="s">
        <v>6052</v>
      </c>
      <c r="AJ133" s="44" t="s">
        <v>6052</v>
      </c>
      <c r="AK133" s="44" t="s">
        <v>6052</v>
      </c>
      <c r="AL133" s="44" t="s">
        <v>6052</v>
      </c>
      <c r="AM133" s="44" t="s">
        <v>6052</v>
      </c>
      <c r="AN133" s="44" t="s">
        <v>32288</v>
      </c>
      <c r="AO133" s="45">
        <v>11</v>
      </c>
      <c r="AP133" s="45">
        <v>1</v>
      </c>
      <c r="AQ133" s="45">
        <v>0</v>
      </c>
      <c r="AR133" s="45">
        <v>0</v>
      </c>
      <c r="AS133" s="45">
        <v>0</v>
      </c>
      <c r="AT133" s="45">
        <v>0</v>
      </c>
      <c r="AU133" s="10" t="s">
        <v>6052</v>
      </c>
      <c r="AV133" s="10" t="s">
        <v>6052</v>
      </c>
      <c r="AW133" s="10" t="s">
        <v>6052</v>
      </c>
      <c r="AX133" s="10" t="s">
        <v>6052</v>
      </c>
      <c r="AY133" s="10" t="s">
        <v>32253</v>
      </c>
      <c r="AZ133" s="44" t="s">
        <v>33118</v>
      </c>
      <c r="BA133" s="44" t="s">
        <v>30850</v>
      </c>
      <c r="BB133" s="44" t="s">
        <v>31183</v>
      </c>
      <c r="BC133" s="44" t="s">
        <v>7190</v>
      </c>
      <c r="BD133" s="44" t="s">
        <v>31712</v>
      </c>
      <c r="BE133" s="11">
        <v>1</v>
      </c>
      <c r="BF133" s="11">
        <v>0</v>
      </c>
      <c r="BG133" s="11">
        <v>0</v>
      </c>
      <c r="BH133" s="10" t="s">
        <v>31970</v>
      </c>
      <c r="BI133" s="11">
        <v>100</v>
      </c>
      <c r="BJ133" s="10" t="s">
        <v>33162</v>
      </c>
      <c r="BK133" s="11" t="s">
        <v>33162</v>
      </c>
    </row>
    <row r="134" spans="1:63" x14ac:dyDescent="0.75">
      <c r="A134" t="s">
        <v>5628</v>
      </c>
      <c r="B134" t="s">
        <v>104</v>
      </c>
      <c r="C134" t="s">
        <v>610</v>
      </c>
      <c r="D134" t="s">
        <v>611</v>
      </c>
      <c r="E134" s="22" t="s">
        <v>30844</v>
      </c>
      <c r="F134" t="s">
        <v>5629</v>
      </c>
      <c r="G134" s="1" t="str">
        <f>HYPERLINK("https://homd.org/jbrowse/?data=homd_V11.02_phage_1.2%2FGCA_916720025.1&amp;loc=GCA_916720025.1%7CCAKAPV010000042.1%3A9091..16035&amp;tracks=prokka,prokka_ncrna,ncbi,ncbi_ncrna,panggolin,cenote,genomad&amp;highlight=","Open JBrowse")</f>
        <v>Open JBrowse</v>
      </c>
      <c r="H134" s="10">
        <v>12091</v>
      </c>
      <c r="I134" s="10">
        <v>13035</v>
      </c>
      <c r="J134" s="10" t="s">
        <v>5630</v>
      </c>
      <c r="K134" s="10" t="s">
        <v>614</v>
      </c>
      <c r="L134" s="10" t="s">
        <v>615</v>
      </c>
      <c r="M134" s="10" t="s">
        <v>616</v>
      </c>
      <c r="N134" s="10" t="s">
        <v>59</v>
      </c>
      <c r="O134" s="10">
        <v>2</v>
      </c>
      <c r="P134" s="10" t="s">
        <v>42</v>
      </c>
      <c r="Q134" s="10" t="s">
        <v>101</v>
      </c>
      <c r="R134" s="10" t="s">
        <v>5631</v>
      </c>
      <c r="S134" s="10" t="s">
        <v>615</v>
      </c>
      <c r="T134" s="10" t="s">
        <v>42</v>
      </c>
      <c r="U134" s="10">
        <v>52</v>
      </c>
      <c r="V134" s="10">
        <v>311</v>
      </c>
      <c r="W134" s="10">
        <v>260</v>
      </c>
      <c r="X134" s="10" t="s">
        <v>618</v>
      </c>
      <c r="Y134" s="10" t="s">
        <v>5632</v>
      </c>
      <c r="Z134" s="10" t="s">
        <v>904</v>
      </c>
      <c r="AA134" s="10" t="s">
        <v>1904</v>
      </c>
      <c r="AB134" s="10"/>
      <c r="AC134" s="10"/>
      <c r="AD134" s="10"/>
      <c r="AE134" s="10"/>
      <c r="AF134" s="10"/>
      <c r="AG134" s="44"/>
      <c r="AH134" s="44"/>
      <c r="AI134" s="44" t="s">
        <v>6052</v>
      </c>
      <c r="AJ134" s="44" t="s">
        <v>6052</v>
      </c>
      <c r="AK134" s="44" t="s">
        <v>6052</v>
      </c>
      <c r="AL134" s="44" t="s">
        <v>6052</v>
      </c>
      <c r="AM134" s="44" t="s">
        <v>6052</v>
      </c>
      <c r="AN134" s="44" t="s">
        <v>32306</v>
      </c>
      <c r="AO134" s="45">
        <v>11</v>
      </c>
      <c r="AP134" s="45">
        <v>1</v>
      </c>
      <c r="AQ134" s="45">
        <v>0</v>
      </c>
      <c r="AR134" s="45">
        <v>0</v>
      </c>
      <c r="AS134" s="45">
        <v>0</v>
      </c>
      <c r="AT134" s="45">
        <v>0</v>
      </c>
      <c r="AU134" s="10" t="s">
        <v>6052</v>
      </c>
      <c r="AV134" s="10" t="s">
        <v>6052</v>
      </c>
      <c r="AW134" s="10" t="s">
        <v>6052</v>
      </c>
      <c r="AX134" s="10" t="s">
        <v>6052</v>
      </c>
      <c r="AY134" s="10" t="s">
        <v>32253</v>
      </c>
      <c r="AZ134" s="44" t="s">
        <v>33118</v>
      </c>
      <c r="BA134" s="44" t="s">
        <v>30850</v>
      </c>
      <c r="BB134" s="44" t="s">
        <v>31198</v>
      </c>
      <c r="BC134" s="44" t="s">
        <v>7190</v>
      </c>
      <c r="BD134" s="44" t="s">
        <v>31712</v>
      </c>
      <c r="BE134" s="11">
        <v>1</v>
      </c>
      <c r="BF134" s="11">
        <v>0</v>
      </c>
      <c r="BG134" s="11">
        <v>0</v>
      </c>
      <c r="BH134" s="10" t="s">
        <v>31949</v>
      </c>
      <c r="BI134" s="11">
        <v>100</v>
      </c>
      <c r="BJ134" s="10" t="s">
        <v>33162</v>
      </c>
      <c r="BK134" s="11" t="s">
        <v>33162</v>
      </c>
    </row>
    <row r="135" spans="1:63" x14ac:dyDescent="0.75">
      <c r="A135" t="s">
        <v>5695</v>
      </c>
      <c r="B135" t="s">
        <v>104</v>
      </c>
      <c r="C135" t="s">
        <v>610</v>
      </c>
      <c r="D135" t="s">
        <v>611</v>
      </c>
      <c r="E135" s="22" t="s">
        <v>30844</v>
      </c>
      <c r="F135" t="s">
        <v>5696</v>
      </c>
      <c r="G135" s="1" t="str">
        <f>HYPERLINK("https://homd.org/jbrowse/?data=homd_V11.02_phage_1.2%2FGCA_927911435.1&amp;loc=GCA_927911435.1%7CCAKMPM010000093.1%3A1..5188&amp;tracks=prokka,prokka_ncrna,ncbi,ncbi_ncrna,panggolin,cenote,genomad&amp;highlight=","Open JBrowse")</f>
        <v>Open JBrowse</v>
      </c>
      <c r="H135" s="10">
        <v>1244</v>
      </c>
      <c r="I135" s="10">
        <v>2188</v>
      </c>
      <c r="J135" s="10" t="s">
        <v>5697</v>
      </c>
      <c r="K135" s="10" t="s">
        <v>614</v>
      </c>
      <c r="L135" s="10" t="s">
        <v>615</v>
      </c>
      <c r="M135" s="10" t="s">
        <v>616</v>
      </c>
      <c r="N135" s="10" t="s">
        <v>59</v>
      </c>
      <c r="O135" s="10">
        <v>2</v>
      </c>
      <c r="P135" s="10" t="s">
        <v>42</v>
      </c>
      <c r="Q135" s="10" t="s">
        <v>101</v>
      </c>
      <c r="R135" s="10" t="s">
        <v>5698</v>
      </c>
      <c r="S135" s="10" t="s">
        <v>615</v>
      </c>
      <c r="T135" s="10" t="s">
        <v>42</v>
      </c>
      <c r="U135" s="10">
        <v>52</v>
      </c>
      <c r="V135" s="10">
        <v>311</v>
      </c>
      <c r="W135" s="10">
        <v>260</v>
      </c>
      <c r="X135" s="10" t="s">
        <v>618</v>
      </c>
      <c r="Y135" s="10" t="s">
        <v>5699</v>
      </c>
      <c r="Z135" s="10" t="s">
        <v>346</v>
      </c>
      <c r="AA135" s="10" t="s">
        <v>5700</v>
      </c>
      <c r="AB135" s="10"/>
      <c r="AC135" s="10"/>
      <c r="AD135" s="10"/>
      <c r="AE135" s="10"/>
      <c r="AF135" s="10"/>
      <c r="AG135" s="44"/>
      <c r="AH135" s="44"/>
      <c r="AI135" s="44" t="s">
        <v>6052</v>
      </c>
      <c r="AJ135" s="44" t="s">
        <v>6052</v>
      </c>
      <c r="AK135" s="44" t="s">
        <v>6052</v>
      </c>
      <c r="AL135" s="44" t="s">
        <v>6052</v>
      </c>
      <c r="AM135" s="44" t="s">
        <v>6052</v>
      </c>
      <c r="AN135" s="44" t="s">
        <v>32303</v>
      </c>
      <c r="AO135" s="45">
        <v>11</v>
      </c>
      <c r="AP135" s="45">
        <v>1</v>
      </c>
      <c r="AQ135" s="45">
        <v>0</v>
      </c>
      <c r="AR135" s="45">
        <v>0</v>
      </c>
      <c r="AS135" s="45">
        <v>0</v>
      </c>
      <c r="AT135" s="45">
        <v>0</v>
      </c>
      <c r="AU135" s="10" t="s">
        <v>6052</v>
      </c>
      <c r="AV135" s="10" t="s">
        <v>6052</v>
      </c>
      <c r="AW135" s="10" t="s">
        <v>6052</v>
      </c>
      <c r="AX135" s="10" t="s">
        <v>6052</v>
      </c>
      <c r="AY135" s="10" t="s">
        <v>32253</v>
      </c>
      <c r="AZ135" s="44" t="s">
        <v>33118</v>
      </c>
      <c r="BA135" s="44" t="s">
        <v>30850</v>
      </c>
      <c r="BB135" s="44" t="s">
        <v>31195</v>
      </c>
      <c r="BC135" s="44" t="s">
        <v>7190</v>
      </c>
      <c r="BD135" s="44" t="s">
        <v>31712</v>
      </c>
      <c r="BE135" s="11">
        <v>1</v>
      </c>
      <c r="BF135" s="11">
        <v>0</v>
      </c>
      <c r="BG135" s="11">
        <v>0</v>
      </c>
      <c r="BH135" s="10" t="s">
        <v>31988</v>
      </c>
      <c r="BI135" s="11">
        <v>100</v>
      </c>
      <c r="BJ135" s="10" t="s">
        <v>33162</v>
      </c>
      <c r="BK135" s="11" t="s">
        <v>33162</v>
      </c>
    </row>
    <row r="136" spans="1:63" x14ac:dyDescent="0.75">
      <c r="A136" t="s">
        <v>5903</v>
      </c>
      <c r="B136" t="s">
        <v>104</v>
      </c>
      <c r="C136" t="s">
        <v>610</v>
      </c>
      <c r="D136" t="s">
        <v>611</v>
      </c>
      <c r="E136" s="22" t="s">
        <v>30844</v>
      </c>
      <c r="F136" t="s">
        <v>5904</v>
      </c>
      <c r="G136" s="1" t="str">
        <f>HYPERLINK("https://homd.org/jbrowse/?data=homd_V11.02_phage_1.2%2FGCA_938043945.1&amp;loc=GCA_938043945.1%7CCALIQV010000004.1%3A191503..198447&amp;tracks=prokka,prokka_ncrna,ncbi,ncbi_ncrna,panggolin,cenote,genomad&amp;highlight=","Open JBrowse")</f>
        <v>Open JBrowse</v>
      </c>
      <c r="H136" s="10">
        <v>194503</v>
      </c>
      <c r="I136" s="10">
        <v>195447</v>
      </c>
      <c r="J136" s="10" t="s">
        <v>5905</v>
      </c>
      <c r="K136" s="10" t="s">
        <v>614</v>
      </c>
      <c r="L136" s="10" t="s">
        <v>615</v>
      </c>
      <c r="M136" s="10" t="s">
        <v>616</v>
      </c>
      <c r="N136" s="10" t="s">
        <v>59</v>
      </c>
      <c r="O136" s="10">
        <v>2</v>
      </c>
      <c r="P136" s="10" t="s">
        <v>42</v>
      </c>
      <c r="Q136" s="10" t="s">
        <v>101</v>
      </c>
      <c r="R136" s="10" t="s">
        <v>5906</v>
      </c>
      <c r="S136" s="10" t="s">
        <v>615</v>
      </c>
      <c r="T136" s="10" t="s">
        <v>42</v>
      </c>
      <c r="U136" s="10">
        <v>52</v>
      </c>
      <c r="V136" s="10">
        <v>311</v>
      </c>
      <c r="W136" s="10">
        <v>260</v>
      </c>
      <c r="X136" s="10" t="s">
        <v>618</v>
      </c>
      <c r="Y136" s="10" t="s">
        <v>5907</v>
      </c>
      <c r="Z136" s="10" t="s">
        <v>1257</v>
      </c>
      <c r="AA136" s="10" t="s">
        <v>621</v>
      </c>
      <c r="AB136" s="10"/>
      <c r="AC136" s="10"/>
      <c r="AD136" s="10"/>
      <c r="AE136" s="10"/>
      <c r="AF136" s="10"/>
      <c r="AG136" s="44"/>
      <c r="AH136" s="44"/>
      <c r="AI136" s="44" t="s">
        <v>6052</v>
      </c>
      <c r="AJ136" s="44" t="s">
        <v>6052</v>
      </c>
      <c r="AK136" s="44" t="s">
        <v>6052</v>
      </c>
      <c r="AL136" s="44" t="s">
        <v>6052</v>
      </c>
      <c r="AM136" s="44" t="s">
        <v>6052</v>
      </c>
      <c r="AN136" s="44" t="s">
        <v>32333</v>
      </c>
      <c r="AO136" s="45">
        <v>11</v>
      </c>
      <c r="AP136" s="45">
        <v>1</v>
      </c>
      <c r="AQ136" s="45">
        <v>0</v>
      </c>
      <c r="AR136" s="45">
        <v>0</v>
      </c>
      <c r="AS136" s="45">
        <v>0</v>
      </c>
      <c r="AT136" s="45">
        <v>0</v>
      </c>
      <c r="AU136" s="10" t="s">
        <v>6052</v>
      </c>
      <c r="AV136" s="10" t="s">
        <v>6052</v>
      </c>
      <c r="AW136" s="10" t="s">
        <v>6052</v>
      </c>
      <c r="AX136" s="10" t="s">
        <v>6052</v>
      </c>
      <c r="AY136" s="10" t="s">
        <v>32253</v>
      </c>
      <c r="AZ136" s="44" t="s">
        <v>33118</v>
      </c>
      <c r="BA136" s="44" t="s">
        <v>30850</v>
      </c>
      <c r="BB136" s="44" t="s">
        <v>31221</v>
      </c>
      <c r="BC136" s="44" t="s">
        <v>7190</v>
      </c>
      <c r="BD136" s="44" t="s">
        <v>31712</v>
      </c>
      <c r="BE136" s="11">
        <v>1</v>
      </c>
      <c r="BF136" s="11">
        <v>0</v>
      </c>
      <c r="BG136" s="11">
        <v>0</v>
      </c>
      <c r="BH136" s="10" t="s">
        <v>31956</v>
      </c>
      <c r="BI136" s="11">
        <v>100</v>
      </c>
      <c r="BJ136" s="10" t="s">
        <v>33162</v>
      </c>
      <c r="BK136" s="11" t="s">
        <v>33162</v>
      </c>
    </row>
    <row r="137" spans="1:63" x14ac:dyDescent="0.75">
      <c r="A137" t="s">
        <v>5828</v>
      </c>
      <c r="B137" t="s">
        <v>104</v>
      </c>
      <c r="C137" t="s">
        <v>610</v>
      </c>
      <c r="D137" t="s">
        <v>611</v>
      </c>
      <c r="E137" s="22" t="s">
        <v>30844</v>
      </c>
      <c r="F137" t="s">
        <v>5829</v>
      </c>
      <c r="G137" s="1" t="str">
        <f>HYPERLINK("https://homd.org/jbrowse/?data=homd_V11.02_phage_1.2%2FGCA_938014305.1&amp;loc=GCA_938014305.1%7CCALLSI010000002.1%3A29888..36832&amp;tracks=prokka,prokka_ncrna,ncbi,ncbi_ncrna,panggolin,cenote,genomad&amp;highlight=","Open JBrowse")</f>
        <v>Open JBrowse</v>
      </c>
      <c r="H137" s="10">
        <v>32888</v>
      </c>
      <c r="I137" s="10">
        <v>33832</v>
      </c>
      <c r="J137" s="10" t="s">
        <v>5830</v>
      </c>
      <c r="K137" s="10" t="s">
        <v>614</v>
      </c>
      <c r="L137" s="10" t="s">
        <v>615</v>
      </c>
      <c r="M137" s="10" t="s">
        <v>616</v>
      </c>
      <c r="N137" s="10" t="s">
        <v>59</v>
      </c>
      <c r="O137" s="10">
        <v>2</v>
      </c>
      <c r="P137" s="10" t="s">
        <v>42</v>
      </c>
      <c r="Q137" s="10" t="s">
        <v>101</v>
      </c>
      <c r="R137" s="10" t="s">
        <v>5831</v>
      </c>
      <c r="S137" s="10" t="s">
        <v>615</v>
      </c>
      <c r="T137" s="10" t="s">
        <v>42</v>
      </c>
      <c r="U137" s="10">
        <v>52</v>
      </c>
      <c r="V137" s="10">
        <v>311</v>
      </c>
      <c r="W137" s="10">
        <v>260</v>
      </c>
      <c r="X137" s="10" t="s">
        <v>618</v>
      </c>
      <c r="Y137" s="10" t="s">
        <v>5832</v>
      </c>
      <c r="Z137" s="10" t="s">
        <v>1257</v>
      </c>
      <c r="AA137" s="10" t="s">
        <v>5833</v>
      </c>
      <c r="AB137" s="10"/>
      <c r="AC137" s="10"/>
      <c r="AD137" s="10"/>
      <c r="AE137" s="10"/>
      <c r="AF137" s="10"/>
      <c r="AG137" s="44"/>
      <c r="AH137" s="44"/>
      <c r="AI137" s="44" t="s">
        <v>6052</v>
      </c>
      <c r="AJ137" s="44" t="s">
        <v>6052</v>
      </c>
      <c r="AK137" s="44" t="s">
        <v>6052</v>
      </c>
      <c r="AL137" s="44" t="s">
        <v>6052</v>
      </c>
      <c r="AM137" s="44" t="s">
        <v>6052</v>
      </c>
      <c r="AN137" s="44" t="s">
        <v>32332</v>
      </c>
      <c r="AO137" s="45">
        <v>11</v>
      </c>
      <c r="AP137" s="45">
        <v>1</v>
      </c>
      <c r="AQ137" s="45">
        <v>0</v>
      </c>
      <c r="AR137" s="45">
        <v>0</v>
      </c>
      <c r="AS137" s="45">
        <v>0</v>
      </c>
      <c r="AT137" s="45">
        <v>0</v>
      </c>
      <c r="AU137" s="10" t="s">
        <v>6052</v>
      </c>
      <c r="AV137" s="10" t="s">
        <v>6052</v>
      </c>
      <c r="AW137" s="10" t="s">
        <v>6052</v>
      </c>
      <c r="AX137" s="10" t="s">
        <v>6052</v>
      </c>
      <c r="AY137" s="10" t="s">
        <v>32253</v>
      </c>
      <c r="AZ137" s="44" t="s">
        <v>33118</v>
      </c>
      <c r="BA137" s="44" t="s">
        <v>30850</v>
      </c>
      <c r="BB137" s="44" t="s">
        <v>31220</v>
      </c>
      <c r="BC137" s="44" t="s">
        <v>7190</v>
      </c>
      <c r="BD137" s="44" t="s">
        <v>31712</v>
      </c>
      <c r="BE137" s="11">
        <v>1</v>
      </c>
      <c r="BF137" s="11">
        <v>0</v>
      </c>
      <c r="BG137" s="11">
        <v>0</v>
      </c>
      <c r="BH137" s="10" t="s">
        <v>31953</v>
      </c>
      <c r="BI137" s="11">
        <v>100</v>
      </c>
      <c r="BJ137" s="10" t="s">
        <v>33162</v>
      </c>
      <c r="BK137" s="11" t="s">
        <v>33162</v>
      </c>
    </row>
    <row r="138" spans="1:63" x14ac:dyDescent="0.75">
      <c r="A138" t="s">
        <v>391</v>
      </c>
      <c r="B138" t="s">
        <v>104</v>
      </c>
      <c r="C138" t="s">
        <v>392</v>
      </c>
      <c r="D138" t="s">
        <v>393</v>
      </c>
      <c r="E138" s="22" t="s">
        <v>7332</v>
      </c>
      <c r="F138" t="s">
        <v>394</v>
      </c>
      <c r="G138" s="1" t="str">
        <f>HYPERLINK("https://homd.org/jbrowse/?data=homd_V11.02_phage_1.2%2FGCA_000180155.1&amp;loc=GCA_000180155.1%7CBABV01000514.1%3A5407..12267&amp;tracks=prokka,prokka_ncrna,ncbi,ncbi_ncrna,panggolin,cenote,genomad&amp;highlight=","Open JBrowse")</f>
        <v>Open JBrowse</v>
      </c>
      <c r="H138" s="10">
        <v>8407</v>
      </c>
      <c r="I138" s="10">
        <v>9267</v>
      </c>
      <c r="J138" s="10" t="s">
        <v>395</v>
      </c>
      <c r="K138" s="10" t="s">
        <v>59</v>
      </c>
      <c r="L138" s="10" t="s">
        <v>396</v>
      </c>
      <c r="M138" s="10" t="s">
        <v>397</v>
      </c>
      <c r="N138" s="10" t="s">
        <v>398</v>
      </c>
      <c r="O138" s="10">
        <v>3</v>
      </c>
      <c r="P138" s="10" t="s">
        <v>42</v>
      </c>
      <c r="Q138" s="10" t="s">
        <v>59</v>
      </c>
      <c r="R138" s="10" t="s">
        <v>399</v>
      </c>
      <c r="S138" s="10" t="s">
        <v>396</v>
      </c>
      <c r="T138" s="10" t="s">
        <v>42</v>
      </c>
      <c r="U138" s="10">
        <v>46</v>
      </c>
      <c r="V138" s="10">
        <v>282</v>
      </c>
      <c r="W138" s="10">
        <v>237</v>
      </c>
      <c r="X138" s="10" t="s">
        <v>400</v>
      </c>
      <c r="Y138" s="10" t="s">
        <v>401</v>
      </c>
      <c r="Z138" s="10" t="s">
        <v>132</v>
      </c>
      <c r="AA138" s="10" t="s">
        <v>402</v>
      </c>
      <c r="AB138" s="10"/>
      <c r="AC138" s="10"/>
      <c r="AD138" s="10"/>
      <c r="AE138" s="10"/>
      <c r="AF138" s="10"/>
      <c r="AG138" s="44"/>
      <c r="AH138" s="44"/>
      <c r="AI138" s="44" t="s">
        <v>6052</v>
      </c>
      <c r="AJ138" s="44" t="s">
        <v>6052</v>
      </c>
      <c r="AK138" s="44" t="s">
        <v>6052</v>
      </c>
      <c r="AL138" s="44" t="s">
        <v>6052</v>
      </c>
      <c r="AM138" s="44" t="s">
        <v>6052</v>
      </c>
      <c r="AN138" s="44" t="s">
        <v>32870</v>
      </c>
      <c r="AO138" s="45">
        <v>11</v>
      </c>
      <c r="AP138" s="45">
        <v>1</v>
      </c>
      <c r="AQ138" s="45">
        <v>0</v>
      </c>
      <c r="AR138" s="45">
        <v>0</v>
      </c>
      <c r="AS138" s="45">
        <v>0</v>
      </c>
      <c r="AT138" s="45">
        <v>0</v>
      </c>
      <c r="AU138" s="10" t="s">
        <v>6052</v>
      </c>
      <c r="AV138" s="10" t="s">
        <v>6052</v>
      </c>
      <c r="AW138" s="10" t="s">
        <v>6052</v>
      </c>
      <c r="AX138" s="10" t="s">
        <v>6052</v>
      </c>
      <c r="AY138" s="10" t="s">
        <v>32253</v>
      </c>
      <c r="AZ138" s="44" t="s">
        <v>33118</v>
      </c>
      <c r="BA138" s="44" t="s">
        <v>31061</v>
      </c>
      <c r="BB138" s="44" t="s">
        <v>31546</v>
      </c>
      <c r="BC138" s="44" t="s">
        <v>7190</v>
      </c>
      <c r="BD138" s="44" t="s">
        <v>31712</v>
      </c>
      <c r="BE138" s="11">
        <v>1</v>
      </c>
      <c r="BF138" s="11">
        <v>0</v>
      </c>
      <c r="BG138" s="11">
        <v>0</v>
      </c>
      <c r="BH138" s="10" t="s">
        <v>33185</v>
      </c>
      <c r="BI138" s="11">
        <v>100</v>
      </c>
      <c r="BJ138" s="10" t="s">
        <v>33162</v>
      </c>
      <c r="BK138" s="11" t="s">
        <v>33162</v>
      </c>
    </row>
    <row r="139" spans="1:63" x14ac:dyDescent="0.75">
      <c r="A139" t="s">
        <v>5507</v>
      </c>
      <c r="B139" t="s">
        <v>104</v>
      </c>
      <c r="C139" t="s">
        <v>1674</v>
      </c>
      <c r="D139" t="s">
        <v>393</v>
      </c>
      <c r="E139" s="22" t="s">
        <v>30844</v>
      </c>
      <c r="F139" t="s">
        <v>5508</v>
      </c>
      <c r="G139" s="1" t="str">
        <f>HYPERLINK("https://homd.org/jbrowse/?data=homd_V11.02_phage_1.2%2FGCA_905373335.1&amp;loc=GCA_905373335.1%7CCAJPSZ010000021.1%3A18632..25492&amp;tracks=prokka,prokka_ncrna,ncbi,ncbi_ncrna,panggolin,cenote,genomad&amp;highlight=","Open JBrowse")</f>
        <v>Open JBrowse</v>
      </c>
      <c r="H139" s="10">
        <v>21632</v>
      </c>
      <c r="I139" s="10">
        <v>22492</v>
      </c>
      <c r="J139" s="10" t="s">
        <v>5509</v>
      </c>
      <c r="K139" s="10" t="s">
        <v>59</v>
      </c>
      <c r="L139" s="10" t="s">
        <v>396</v>
      </c>
      <c r="M139" s="10" t="s">
        <v>397</v>
      </c>
      <c r="N139" s="10" t="s">
        <v>398</v>
      </c>
      <c r="O139" s="10">
        <v>3</v>
      </c>
      <c r="P139" s="10" t="s">
        <v>42</v>
      </c>
      <c r="Q139" s="10" t="s">
        <v>59</v>
      </c>
      <c r="R139" s="10" t="s">
        <v>5510</v>
      </c>
      <c r="S139" s="10" t="s">
        <v>396</v>
      </c>
      <c r="T139" s="10" t="s">
        <v>42</v>
      </c>
      <c r="U139" s="10">
        <v>46</v>
      </c>
      <c r="V139" s="10">
        <v>282</v>
      </c>
      <c r="W139" s="10">
        <v>237</v>
      </c>
      <c r="X139" s="10" t="s">
        <v>400</v>
      </c>
      <c r="Y139" s="10" t="s">
        <v>5511</v>
      </c>
      <c r="Z139" s="10" t="s">
        <v>1327</v>
      </c>
      <c r="AA139" s="10" t="s">
        <v>5512</v>
      </c>
      <c r="AB139" s="10"/>
      <c r="AC139" s="10"/>
      <c r="AD139" s="10"/>
      <c r="AE139" s="10"/>
      <c r="AF139" s="10"/>
      <c r="AG139" s="44"/>
      <c r="AH139" s="44"/>
      <c r="AI139" s="44" t="s">
        <v>6052</v>
      </c>
      <c r="AJ139" s="44" t="s">
        <v>6052</v>
      </c>
      <c r="AK139" s="44" t="s">
        <v>6052</v>
      </c>
      <c r="AL139" s="44" t="s">
        <v>6052</v>
      </c>
      <c r="AM139" s="44" t="s">
        <v>6052</v>
      </c>
      <c r="AN139" s="44" t="s">
        <v>32299</v>
      </c>
      <c r="AO139" s="45">
        <v>11</v>
      </c>
      <c r="AP139" s="45">
        <v>1</v>
      </c>
      <c r="AQ139" s="45">
        <v>0</v>
      </c>
      <c r="AR139" s="45">
        <v>0</v>
      </c>
      <c r="AS139" s="45">
        <v>0</v>
      </c>
      <c r="AT139" s="45">
        <v>0</v>
      </c>
      <c r="AU139" s="10" t="s">
        <v>6052</v>
      </c>
      <c r="AV139" s="10" t="s">
        <v>6052</v>
      </c>
      <c r="AW139" s="10" t="s">
        <v>6052</v>
      </c>
      <c r="AX139" s="10" t="s">
        <v>6052</v>
      </c>
      <c r="AY139" s="10" t="s">
        <v>32253</v>
      </c>
      <c r="AZ139" s="44" t="s">
        <v>33118</v>
      </c>
      <c r="BA139" s="44" t="s">
        <v>30860</v>
      </c>
      <c r="BB139" s="44" t="s">
        <v>31191</v>
      </c>
      <c r="BC139" s="44" t="s">
        <v>7190</v>
      </c>
      <c r="BD139" s="44" t="s">
        <v>31712</v>
      </c>
      <c r="BE139" s="11">
        <v>1</v>
      </c>
      <c r="BF139" s="11">
        <v>0</v>
      </c>
      <c r="BG139" s="11">
        <v>0</v>
      </c>
      <c r="BH139" s="10" t="s">
        <v>33188</v>
      </c>
      <c r="BI139" s="11">
        <v>100</v>
      </c>
      <c r="BJ139" s="10" t="s">
        <v>33162</v>
      </c>
      <c r="BK139" s="11" t="s">
        <v>33162</v>
      </c>
    </row>
    <row r="140" spans="1:63" x14ac:dyDescent="0.75">
      <c r="A140" t="s">
        <v>5614</v>
      </c>
      <c r="B140" t="s">
        <v>104</v>
      </c>
      <c r="C140" t="s">
        <v>1687</v>
      </c>
      <c r="D140" t="s">
        <v>393</v>
      </c>
      <c r="E140" s="22" t="s">
        <v>30844</v>
      </c>
      <c r="F140" t="s">
        <v>5615</v>
      </c>
      <c r="G140" s="1" t="str">
        <f>HYPERLINK("https://homd.org/jbrowse/?data=homd_V11.02_phage_1.2%2FGCA_916439255.1&amp;loc=GCA_916439255.1%7CCAKAHW010000018.1%3A190810..197772&amp;tracks=prokka,prokka_ncrna,ncbi,ncbi_ncrna,panggolin,cenote,genomad&amp;highlight=","Open JBrowse")</f>
        <v>Open JBrowse</v>
      </c>
      <c r="H140" s="10">
        <v>193810</v>
      </c>
      <c r="I140" s="10">
        <v>194772</v>
      </c>
      <c r="J140" s="10" t="s">
        <v>5616</v>
      </c>
      <c r="K140" s="10" t="s">
        <v>59</v>
      </c>
      <c r="L140" s="10" t="s">
        <v>5617</v>
      </c>
      <c r="M140" s="10" t="s">
        <v>5618</v>
      </c>
      <c r="N140" s="10" t="s">
        <v>398</v>
      </c>
      <c r="O140" s="10">
        <v>3</v>
      </c>
      <c r="P140" s="10" t="s">
        <v>42</v>
      </c>
      <c r="Q140" s="10" t="s">
        <v>59</v>
      </c>
      <c r="R140" s="10" t="s">
        <v>5619</v>
      </c>
      <c r="S140" s="10" t="s">
        <v>5617</v>
      </c>
      <c r="T140" s="10" t="s">
        <v>42</v>
      </c>
      <c r="U140" s="10">
        <v>46</v>
      </c>
      <c r="V140" s="10">
        <v>238</v>
      </c>
      <c r="W140" s="10">
        <v>193</v>
      </c>
      <c r="X140" s="10" t="s">
        <v>400</v>
      </c>
      <c r="Y140" s="10" t="s">
        <v>5620</v>
      </c>
      <c r="Z140" s="10" t="s">
        <v>458</v>
      </c>
      <c r="AA140" s="10" t="s">
        <v>5621</v>
      </c>
      <c r="AB140" s="10"/>
      <c r="AC140" s="10"/>
      <c r="AD140" s="10"/>
      <c r="AE140" s="10"/>
      <c r="AF140" s="10"/>
      <c r="AG140" s="44"/>
      <c r="AH140" s="44"/>
      <c r="AI140" s="44" t="s">
        <v>6052</v>
      </c>
      <c r="AJ140" s="44" t="s">
        <v>6052</v>
      </c>
      <c r="AK140" s="44" t="s">
        <v>6052</v>
      </c>
      <c r="AL140" s="44" t="s">
        <v>6052</v>
      </c>
      <c r="AM140" s="44" t="s">
        <v>6052</v>
      </c>
      <c r="AN140" s="44" t="s">
        <v>32305</v>
      </c>
      <c r="AO140" s="45">
        <v>11</v>
      </c>
      <c r="AP140" s="45">
        <v>1</v>
      </c>
      <c r="AQ140" s="45">
        <v>0</v>
      </c>
      <c r="AR140" s="45">
        <v>0</v>
      </c>
      <c r="AS140" s="45">
        <v>0</v>
      </c>
      <c r="AT140" s="45">
        <v>0</v>
      </c>
      <c r="AU140" s="10" t="s">
        <v>6052</v>
      </c>
      <c r="AV140" s="10" t="s">
        <v>6052</v>
      </c>
      <c r="AW140" s="10" t="s">
        <v>6052</v>
      </c>
      <c r="AX140" s="10" t="s">
        <v>6052</v>
      </c>
      <c r="AY140" s="10" t="s">
        <v>32253</v>
      </c>
      <c r="AZ140" s="44" t="s">
        <v>33118</v>
      </c>
      <c r="BA140" s="44" t="s">
        <v>30860</v>
      </c>
      <c r="BB140" s="44" t="s">
        <v>31197</v>
      </c>
      <c r="BC140" s="44" t="s">
        <v>7190</v>
      </c>
      <c r="BD140" s="44" t="s">
        <v>31712</v>
      </c>
      <c r="BE140" s="11">
        <v>1</v>
      </c>
      <c r="BF140" s="11">
        <v>0</v>
      </c>
      <c r="BG140" s="11">
        <v>0</v>
      </c>
      <c r="BH140" s="10" t="s">
        <v>33189</v>
      </c>
      <c r="BI140" s="11">
        <v>100</v>
      </c>
      <c r="BJ140" s="10" t="s">
        <v>33162</v>
      </c>
      <c r="BK140" s="11" t="s">
        <v>33162</v>
      </c>
    </row>
    <row r="141" spans="1:63" x14ac:dyDescent="0.75">
      <c r="A141" t="s">
        <v>5800</v>
      </c>
      <c r="B141" t="s">
        <v>104</v>
      </c>
      <c r="C141" t="s">
        <v>1674</v>
      </c>
      <c r="D141" t="s">
        <v>393</v>
      </c>
      <c r="E141" s="22" t="s">
        <v>30844</v>
      </c>
      <c r="F141" t="s">
        <v>5801</v>
      </c>
      <c r="G141" s="1" t="str">
        <f>HYPERLINK("https://homd.org/jbrowse/?data=homd_V11.02_phage_1.2%2FGCA_937981545.1&amp;loc=GCA_937981545.1%7CCALJNX010000008.1%3A148383..155243&amp;tracks=prokka,prokka_ncrna,ncbi,ncbi_ncrna,panggolin,cenote,genomad&amp;highlight=","Open JBrowse")</f>
        <v>Open JBrowse</v>
      </c>
      <c r="H141" s="10">
        <v>151383</v>
      </c>
      <c r="I141" s="10">
        <v>152243</v>
      </c>
      <c r="J141" s="10" t="s">
        <v>5802</v>
      </c>
      <c r="K141" s="10" t="s">
        <v>59</v>
      </c>
      <c r="L141" s="10" t="s">
        <v>396</v>
      </c>
      <c r="M141" s="10" t="s">
        <v>397</v>
      </c>
      <c r="N141" s="10" t="s">
        <v>398</v>
      </c>
      <c r="O141" s="10">
        <v>3</v>
      </c>
      <c r="P141" s="10" t="s">
        <v>42</v>
      </c>
      <c r="Q141" s="10" t="s">
        <v>59</v>
      </c>
      <c r="R141" s="10" t="s">
        <v>5803</v>
      </c>
      <c r="S141" s="10" t="s">
        <v>396</v>
      </c>
      <c r="T141" s="10" t="s">
        <v>42</v>
      </c>
      <c r="U141" s="10">
        <v>46</v>
      </c>
      <c r="V141" s="10">
        <v>282</v>
      </c>
      <c r="W141" s="10">
        <v>237</v>
      </c>
      <c r="X141" s="10" t="s">
        <v>400</v>
      </c>
      <c r="Y141" s="10" t="s">
        <v>5804</v>
      </c>
      <c r="Z141" s="10" t="s">
        <v>357</v>
      </c>
      <c r="AA141" s="10" t="s">
        <v>5805</v>
      </c>
      <c r="AB141" s="10"/>
      <c r="AC141" s="10"/>
      <c r="AD141" s="10"/>
      <c r="AE141" s="10"/>
      <c r="AF141" s="10"/>
      <c r="AG141" s="44"/>
      <c r="AH141" s="44"/>
      <c r="AI141" s="44" t="s">
        <v>6052</v>
      </c>
      <c r="AJ141" s="44" t="s">
        <v>6052</v>
      </c>
      <c r="AK141" s="44" t="s">
        <v>6052</v>
      </c>
      <c r="AL141" s="44" t="s">
        <v>6052</v>
      </c>
      <c r="AM141" s="44" t="s">
        <v>6052</v>
      </c>
      <c r="AN141" s="44" t="s">
        <v>32346</v>
      </c>
      <c r="AO141" s="45">
        <v>11</v>
      </c>
      <c r="AP141" s="45">
        <v>1</v>
      </c>
      <c r="AQ141" s="45">
        <v>0</v>
      </c>
      <c r="AR141" s="45">
        <v>0</v>
      </c>
      <c r="AS141" s="45">
        <v>0</v>
      </c>
      <c r="AT141" s="45">
        <v>0</v>
      </c>
      <c r="AU141" s="10" t="s">
        <v>6052</v>
      </c>
      <c r="AV141" s="10" t="s">
        <v>6052</v>
      </c>
      <c r="AW141" s="10" t="s">
        <v>6052</v>
      </c>
      <c r="AX141" s="10" t="s">
        <v>6052</v>
      </c>
      <c r="AY141" s="10" t="s">
        <v>32253</v>
      </c>
      <c r="AZ141" s="44" t="s">
        <v>33118</v>
      </c>
      <c r="BA141" s="44" t="s">
        <v>30860</v>
      </c>
      <c r="BB141" s="44" t="s">
        <v>31231</v>
      </c>
      <c r="BC141" s="44" t="s">
        <v>7190</v>
      </c>
      <c r="BD141" s="44" t="s">
        <v>31712</v>
      </c>
      <c r="BE141" s="11">
        <v>1</v>
      </c>
      <c r="BF141" s="11">
        <v>0</v>
      </c>
      <c r="BG141" s="11">
        <v>0</v>
      </c>
      <c r="BH141" s="10" t="s">
        <v>33190</v>
      </c>
      <c r="BI141" s="11">
        <v>100</v>
      </c>
      <c r="BJ141" s="10" t="s">
        <v>33162</v>
      </c>
      <c r="BK141" s="11" t="s">
        <v>33162</v>
      </c>
    </row>
    <row r="142" spans="1:63" x14ac:dyDescent="0.75">
      <c r="A142" t="s">
        <v>5405</v>
      </c>
      <c r="B142" t="s">
        <v>104</v>
      </c>
      <c r="C142" t="s">
        <v>783</v>
      </c>
      <c r="D142" t="s">
        <v>784</v>
      </c>
      <c r="E142" s="22" t="s">
        <v>28635</v>
      </c>
      <c r="F142" t="s">
        <v>5406</v>
      </c>
      <c r="G142" s="1" t="str">
        <f>HYPERLINK("https://homd.org/jbrowse/?data=homd_V11.02_phage_1.2%2FGCA_902497175.1&amp;loc=GCA_902497175.1%7CCABVDX010000029.1%3A5598..13457&amp;tracks=prokka,prokka_ncrna,ncbi,ncbi_ncrna,panggolin,cenote,genomad&amp;highlight=","Open JBrowse")</f>
        <v>Open JBrowse</v>
      </c>
      <c r="H142" s="10">
        <v>8598</v>
      </c>
      <c r="I142" s="10">
        <v>10457</v>
      </c>
      <c r="J142" s="10" t="s">
        <v>5407</v>
      </c>
      <c r="K142" s="10" t="s">
        <v>59</v>
      </c>
      <c r="L142" s="10" t="s">
        <v>787</v>
      </c>
      <c r="M142" s="10" t="s">
        <v>788</v>
      </c>
      <c r="N142" s="10" t="s">
        <v>59</v>
      </c>
      <c r="O142" s="10">
        <v>2</v>
      </c>
      <c r="P142" s="10" t="s">
        <v>42</v>
      </c>
      <c r="Q142" s="10" t="s">
        <v>59</v>
      </c>
      <c r="R142" s="10" t="s">
        <v>5408</v>
      </c>
      <c r="S142" s="10" t="s">
        <v>787</v>
      </c>
      <c r="T142" s="10" t="s">
        <v>42</v>
      </c>
      <c r="U142" s="10">
        <v>316</v>
      </c>
      <c r="V142" s="10">
        <v>551</v>
      </c>
      <c r="W142" s="10">
        <v>236</v>
      </c>
      <c r="X142" s="10" t="s">
        <v>160</v>
      </c>
      <c r="Y142" s="10"/>
      <c r="Z142" s="10"/>
      <c r="AA142" s="10"/>
      <c r="AB142" s="10"/>
      <c r="AC142" s="10"/>
      <c r="AD142" s="10"/>
      <c r="AE142" s="10"/>
      <c r="AF142" s="10"/>
      <c r="AG142" s="44"/>
      <c r="AH142" s="44"/>
      <c r="AI142" s="46" t="s">
        <v>6054</v>
      </c>
      <c r="AJ142" s="44" t="s">
        <v>6052</v>
      </c>
      <c r="AK142" s="44" t="s">
        <v>6052</v>
      </c>
      <c r="AL142" s="44" t="s">
        <v>6052</v>
      </c>
      <c r="AM142" s="44" t="s">
        <v>6052</v>
      </c>
      <c r="AN142" s="44" t="s">
        <v>32923</v>
      </c>
      <c r="AO142" s="45">
        <v>11</v>
      </c>
      <c r="AP142" s="45">
        <v>1</v>
      </c>
      <c r="AQ142" s="45">
        <v>0</v>
      </c>
      <c r="AR142" s="45">
        <v>0</v>
      </c>
      <c r="AS142" s="45">
        <v>0</v>
      </c>
      <c r="AT142" s="45">
        <v>0</v>
      </c>
      <c r="AU142" s="10" t="s">
        <v>6052</v>
      </c>
      <c r="AV142" s="10" t="s">
        <v>6052</v>
      </c>
      <c r="AW142" s="10" t="s">
        <v>6052</v>
      </c>
      <c r="AX142" s="10" t="s">
        <v>6052</v>
      </c>
      <c r="AY142" s="10" t="s">
        <v>32253</v>
      </c>
      <c r="AZ142" s="44" t="s">
        <v>33117</v>
      </c>
      <c r="BA142" s="44" t="s">
        <v>31080</v>
      </c>
      <c r="BB142" s="44" t="s">
        <v>31579</v>
      </c>
      <c r="BC142" s="44" t="s">
        <v>6851</v>
      </c>
      <c r="BD142" s="44" t="s">
        <v>31718</v>
      </c>
      <c r="BE142" s="11">
        <v>1</v>
      </c>
      <c r="BF142" s="11">
        <v>0</v>
      </c>
      <c r="BG142" s="11">
        <v>0</v>
      </c>
      <c r="BH142" s="10" t="s">
        <v>32176</v>
      </c>
      <c r="BI142" s="11">
        <v>100</v>
      </c>
      <c r="BJ142" s="10" t="s">
        <v>33162</v>
      </c>
      <c r="BK142" s="11" t="s">
        <v>33162</v>
      </c>
    </row>
    <row r="143" spans="1:63" x14ac:dyDescent="0.75">
      <c r="A143" t="s">
        <v>5444</v>
      </c>
      <c r="B143" t="s">
        <v>104</v>
      </c>
      <c r="C143" t="s">
        <v>1647</v>
      </c>
      <c r="D143" t="s">
        <v>1648</v>
      </c>
      <c r="E143" s="22" t="s">
        <v>30844</v>
      </c>
      <c r="F143" t="s">
        <v>5445</v>
      </c>
      <c r="G143" s="1" t="str">
        <f>HYPERLINK("https://homd.org/jbrowse/?data=homd_V11.02_phage_1.2%2FGCA_905372085.1&amp;loc=GCA_905372085.1%7CCAJPNW010000001.1%3A86916..93776&amp;tracks=prokka,prokka_ncrna,ncbi,ncbi_ncrna,panggolin,cenote,genomad&amp;highlight=","Open JBrowse")</f>
        <v>Open JBrowse</v>
      </c>
      <c r="H143" s="10">
        <v>89916</v>
      </c>
      <c r="I143" s="10">
        <v>90776</v>
      </c>
      <c r="J143" s="10" t="s">
        <v>5446</v>
      </c>
      <c r="K143" s="10" t="s">
        <v>614</v>
      </c>
      <c r="L143" s="10" t="s">
        <v>1662</v>
      </c>
      <c r="M143" s="10" t="s">
        <v>1663</v>
      </c>
      <c r="N143" s="10" t="s">
        <v>42</v>
      </c>
      <c r="O143" s="10">
        <v>3</v>
      </c>
      <c r="P143" s="10" t="s">
        <v>42</v>
      </c>
      <c r="Q143" s="10" t="s">
        <v>101</v>
      </c>
      <c r="R143" s="10" t="s">
        <v>5447</v>
      </c>
      <c r="S143" s="10" t="s">
        <v>1662</v>
      </c>
      <c r="T143" s="10" t="s">
        <v>42</v>
      </c>
      <c r="U143" s="10">
        <v>54</v>
      </c>
      <c r="V143" s="10">
        <v>281</v>
      </c>
      <c r="W143" s="10">
        <v>228</v>
      </c>
      <c r="X143" s="10" t="s">
        <v>1664</v>
      </c>
      <c r="Y143" s="10" t="s">
        <v>5448</v>
      </c>
      <c r="Z143" s="10" t="s">
        <v>47</v>
      </c>
      <c r="AA143" s="10" t="s">
        <v>5449</v>
      </c>
      <c r="AB143" s="10"/>
      <c r="AC143" s="10"/>
      <c r="AD143" s="10"/>
      <c r="AE143" s="10"/>
      <c r="AF143" s="10"/>
      <c r="AG143" s="44"/>
      <c r="AH143" s="44"/>
      <c r="AI143" s="44" t="s">
        <v>6052</v>
      </c>
      <c r="AJ143" s="44" t="s">
        <v>6052</v>
      </c>
      <c r="AK143" s="44" t="s">
        <v>6052</v>
      </c>
      <c r="AL143" s="44" t="s">
        <v>6052</v>
      </c>
      <c r="AM143" s="44" t="s">
        <v>6052</v>
      </c>
      <c r="AN143" s="44" t="s">
        <v>32314</v>
      </c>
      <c r="AO143" s="45">
        <v>11</v>
      </c>
      <c r="AP143" s="45">
        <v>1</v>
      </c>
      <c r="AQ143" s="45">
        <v>0</v>
      </c>
      <c r="AR143" s="45">
        <v>0</v>
      </c>
      <c r="AS143" s="45">
        <v>0</v>
      </c>
      <c r="AT143" s="45">
        <v>0</v>
      </c>
      <c r="AU143" s="10" t="s">
        <v>6052</v>
      </c>
      <c r="AV143" s="10" t="s">
        <v>6052</v>
      </c>
      <c r="AW143" s="10" t="s">
        <v>6052</v>
      </c>
      <c r="AX143" s="10" t="s">
        <v>6052</v>
      </c>
      <c r="AY143" s="10" t="s">
        <v>32253</v>
      </c>
      <c r="AZ143" s="44" t="s">
        <v>33117</v>
      </c>
      <c r="BA143" s="44" t="s">
        <v>30863</v>
      </c>
      <c r="BB143" s="44" t="s">
        <v>31204</v>
      </c>
      <c r="BC143" s="44" t="s">
        <v>9439</v>
      </c>
      <c r="BD143" s="44" t="s">
        <v>31723</v>
      </c>
      <c r="BE143" s="11">
        <v>1</v>
      </c>
      <c r="BF143" s="11">
        <v>0</v>
      </c>
      <c r="BG143" s="11">
        <v>0</v>
      </c>
      <c r="BH143" s="10" t="s">
        <v>31773</v>
      </c>
      <c r="BI143" s="11">
        <v>100</v>
      </c>
      <c r="BJ143" s="10" t="s">
        <v>33162</v>
      </c>
      <c r="BK143" s="11" t="s">
        <v>33162</v>
      </c>
    </row>
    <row r="144" spans="1:63" x14ac:dyDescent="0.75">
      <c r="A144" t="s">
        <v>5444</v>
      </c>
      <c r="B144" t="s">
        <v>104</v>
      </c>
      <c r="C144" t="s">
        <v>1647</v>
      </c>
      <c r="D144" t="s">
        <v>1648</v>
      </c>
      <c r="E144" s="22" t="s">
        <v>30844</v>
      </c>
      <c r="F144" t="s">
        <v>5445</v>
      </c>
      <c r="G144" s="1" t="str">
        <f>HYPERLINK("https://homd.org/jbrowse/?data=homd_V11.02_phage_1.2%2FGCA_905372085.1&amp;loc=GCA_905372085.1%7CCAJPNW010000001.1%3A87773..94564&amp;tracks=prokka,prokka_ncrna,ncbi,ncbi_ncrna,panggolin,cenote,genomad&amp;highlight=","Open JBrowse")</f>
        <v>Open JBrowse</v>
      </c>
      <c r="H144" s="10">
        <v>90773</v>
      </c>
      <c r="I144" s="10">
        <v>91564</v>
      </c>
      <c r="J144" s="10" t="s">
        <v>5450</v>
      </c>
      <c r="K144" s="10" t="s">
        <v>59</v>
      </c>
      <c r="L144" s="10" t="s">
        <v>1651</v>
      </c>
      <c r="M144" s="10" t="s">
        <v>1652</v>
      </c>
      <c r="N144" s="10" t="s">
        <v>42</v>
      </c>
      <c r="O144" s="10">
        <v>3</v>
      </c>
      <c r="P144" s="10" t="s">
        <v>42</v>
      </c>
      <c r="Q144" s="10" t="s">
        <v>59</v>
      </c>
      <c r="R144" s="10" t="s">
        <v>5447</v>
      </c>
      <c r="S144" s="10" t="s">
        <v>1651</v>
      </c>
      <c r="T144" s="10" t="s">
        <v>42</v>
      </c>
      <c r="U144" s="10">
        <v>11</v>
      </c>
      <c r="V144" s="10">
        <v>260</v>
      </c>
      <c r="W144" s="10">
        <v>250</v>
      </c>
      <c r="X144" s="10" t="s">
        <v>1654</v>
      </c>
      <c r="Y144" s="10" t="s">
        <v>5448</v>
      </c>
      <c r="Z144" s="10" t="s">
        <v>47</v>
      </c>
      <c r="AA144" s="10" t="s">
        <v>5449</v>
      </c>
      <c r="AB144" s="10"/>
      <c r="AC144" s="10"/>
      <c r="AD144" s="10"/>
      <c r="AE144" s="10"/>
      <c r="AF144" s="10"/>
      <c r="AG144" s="44"/>
      <c r="AH144" s="44"/>
      <c r="AI144" s="44" t="s">
        <v>6052</v>
      </c>
      <c r="AJ144" s="44" t="s">
        <v>6052</v>
      </c>
      <c r="AK144" s="44" t="s">
        <v>6052</v>
      </c>
      <c r="AL144" s="44" t="s">
        <v>6052</v>
      </c>
      <c r="AM144" s="44" t="s">
        <v>6052</v>
      </c>
      <c r="AN144" s="44" t="s">
        <v>32313</v>
      </c>
      <c r="AO144" s="45">
        <v>11</v>
      </c>
      <c r="AP144" s="45">
        <v>1</v>
      </c>
      <c r="AQ144" s="45">
        <v>0</v>
      </c>
      <c r="AR144" s="45">
        <v>0</v>
      </c>
      <c r="AS144" s="45">
        <v>0</v>
      </c>
      <c r="AT144" s="45">
        <v>0</v>
      </c>
      <c r="AU144" s="10" t="s">
        <v>6052</v>
      </c>
      <c r="AV144" s="10" t="s">
        <v>6052</v>
      </c>
      <c r="AW144" s="10" t="s">
        <v>6052</v>
      </c>
      <c r="AX144" s="10" t="s">
        <v>6052</v>
      </c>
      <c r="AY144" s="10" t="s">
        <v>32253</v>
      </c>
      <c r="AZ144" s="44" t="s">
        <v>33110</v>
      </c>
      <c r="BA144" s="44" t="s">
        <v>30863</v>
      </c>
      <c r="BB144" s="44" t="s">
        <v>31203</v>
      </c>
      <c r="BC144" s="44" t="s">
        <v>9439</v>
      </c>
      <c r="BD144" s="44" t="s">
        <v>31723</v>
      </c>
      <c r="BE144" s="11">
        <v>1</v>
      </c>
      <c r="BF144" s="11">
        <v>0</v>
      </c>
      <c r="BG144" s="11">
        <v>0</v>
      </c>
      <c r="BH144" s="10" t="s">
        <v>32149</v>
      </c>
      <c r="BI144" s="11">
        <v>100</v>
      </c>
      <c r="BJ144" s="10" t="s">
        <v>33162</v>
      </c>
      <c r="BK144" s="11" t="s">
        <v>33162</v>
      </c>
    </row>
    <row r="145" spans="1:63" x14ac:dyDescent="0.75">
      <c r="A145" t="s">
        <v>5691</v>
      </c>
      <c r="B145" t="s">
        <v>104</v>
      </c>
      <c r="C145" t="s">
        <v>2767</v>
      </c>
      <c r="D145" t="s">
        <v>2768</v>
      </c>
      <c r="E145" s="22" t="s">
        <v>30844</v>
      </c>
      <c r="F145" t="s">
        <v>5692</v>
      </c>
      <c r="G145" s="1" t="str">
        <f>HYPERLINK("https://homd.org/jbrowse/?data=homd_V11.02_phage_1.2%2FGCA_927911275.1&amp;loc=GCA_927911275.1%7CCAKMPF010000137.1%3A20394..27932&amp;tracks=prokka,prokka_ncrna,ncbi,ncbi_ncrna,panggolin,cenote,genomad&amp;highlight=","Open JBrowse")</f>
        <v>Open JBrowse</v>
      </c>
      <c r="H145" s="10">
        <v>23394</v>
      </c>
      <c r="I145" s="10">
        <v>24932</v>
      </c>
      <c r="J145" s="10" t="s">
        <v>5693</v>
      </c>
      <c r="K145" s="10" t="s">
        <v>269</v>
      </c>
      <c r="L145" s="10" t="s">
        <v>2771</v>
      </c>
      <c r="M145" s="10" t="s">
        <v>2772</v>
      </c>
      <c r="N145" s="10" t="s">
        <v>42</v>
      </c>
      <c r="O145" s="10">
        <v>3</v>
      </c>
      <c r="P145" s="10" t="s">
        <v>42</v>
      </c>
      <c r="Q145" s="10" t="s">
        <v>43</v>
      </c>
      <c r="R145" s="10" t="s">
        <v>5694</v>
      </c>
      <c r="S145" s="10" t="s">
        <v>2771</v>
      </c>
      <c r="T145" s="10" t="s">
        <v>42</v>
      </c>
      <c r="U145" s="10">
        <v>245</v>
      </c>
      <c r="V145" s="10">
        <v>506</v>
      </c>
      <c r="W145" s="10">
        <v>262</v>
      </c>
      <c r="X145" s="10" t="s">
        <v>273</v>
      </c>
      <c r="Y145" s="10"/>
      <c r="Z145" s="10"/>
      <c r="AA145" s="10"/>
      <c r="AB145" s="10"/>
      <c r="AC145" s="10"/>
      <c r="AD145" s="10"/>
      <c r="AE145" s="10"/>
      <c r="AF145" s="10"/>
      <c r="AG145" s="44"/>
      <c r="AH145" s="44"/>
      <c r="AI145" s="46" t="s">
        <v>6054</v>
      </c>
      <c r="AJ145" s="44" t="s">
        <v>6052</v>
      </c>
      <c r="AK145" s="44" t="s">
        <v>6052</v>
      </c>
      <c r="AL145" s="44" t="s">
        <v>6052</v>
      </c>
      <c r="AM145" s="44" t="s">
        <v>6052</v>
      </c>
      <c r="AN145" s="44" t="s">
        <v>32386</v>
      </c>
      <c r="AO145" s="45">
        <v>11</v>
      </c>
      <c r="AP145" s="45">
        <v>1</v>
      </c>
      <c r="AQ145" s="45">
        <v>0</v>
      </c>
      <c r="AR145" s="45">
        <v>0</v>
      </c>
      <c r="AS145" s="45">
        <v>0</v>
      </c>
      <c r="AT145" s="45">
        <v>0</v>
      </c>
      <c r="AU145" s="10" t="s">
        <v>6052</v>
      </c>
      <c r="AV145" s="10" t="s">
        <v>6052</v>
      </c>
      <c r="AW145" s="10" t="s">
        <v>6052</v>
      </c>
      <c r="AX145" s="10" t="s">
        <v>6052</v>
      </c>
      <c r="AY145" s="10" t="s">
        <v>32253</v>
      </c>
      <c r="AZ145" s="44" t="s">
        <v>33117</v>
      </c>
      <c r="BA145" s="44" t="s">
        <v>30867</v>
      </c>
      <c r="BB145" s="44" t="s">
        <v>31263</v>
      </c>
      <c r="BC145" s="44" t="s">
        <v>8684</v>
      </c>
      <c r="BD145" s="44" t="s">
        <v>31720</v>
      </c>
      <c r="BE145" s="11">
        <v>1</v>
      </c>
      <c r="BF145" s="11">
        <v>0</v>
      </c>
      <c r="BG145" s="11">
        <v>0</v>
      </c>
      <c r="BH145" s="10" t="s">
        <v>32187</v>
      </c>
      <c r="BI145" s="11">
        <v>100</v>
      </c>
      <c r="BJ145" s="10" t="s">
        <v>33162</v>
      </c>
      <c r="BK145" s="11" t="s">
        <v>33162</v>
      </c>
    </row>
    <row r="146" spans="1:63" x14ac:dyDescent="0.75">
      <c r="A146" t="s">
        <v>5728</v>
      </c>
      <c r="B146" t="s">
        <v>104</v>
      </c>
      <c r="C146" t="s">
        <v>349</v>
      </c>
      <c r="D146" t="s">
        <v>350</v>
      </c>
      <c r="E146" s="22" t="s">
        <v>30844</v>
      </c>
      <c r="F146" t="s">
        <v>5729</v>
      </c>
      <c r="G146" s="1" t="str">
        <f>HYPERLINK("https://homd.org/jbrowse/?data=homd_V11.02_phage_1.2%2FGCA_937891745.1&amp;loc=GCA_937891745.1%7CCALAHR010000016.1%3A33959..40816&amp;tracks=prokka,prokka_ncrna,ncbi,ncbi_ncrna,panggolin,cenote,genomad&amp;highlight=","Open JBrowse")</f>
        <v>Open JBrowse</v>
      </c>
      <c r="H146" s="10">
        <v>36959</v>
      </c>
      <c r="I146" s="10">
        <v>37816</v>
      </c>
      <c r="J146" s="10" t="s">
        <v>5730</v>
      </c>
      <c r="K146" s="10" t="s">
        <v>39</v>
      </c>
      <c r="L146" s="10" t="s">
        <v>5731</v>
      </c>
      <c r="M146" s="10" t="s">
        <v>5732</v>
      </c>
      <c r="N146" s="10" t="s">
        <v>42</v>
      </c>
      <c r="O146" s="10">
        <v>3</v>
      </c>
      <c r="P146" s="10" t="s">
        <v>42</v>
      </c>
      <c r="Q146" s="10" t="s">
        <v>43</v>
      </c>
      <c r="R146" s="10" t="s">
        <v>5733</v>
      </c>
      <c r="S146" s="10" t="s">
        <v>5731</v>
      </c>
      <c r="T146" s="10" t="s">
        <v>42</v>
      </c>
      <c r="U146" s="10">
        <v>50</v>
      </c>
      <c r="V146" s="10">
        <v>283</v>
      </c>
      <c r="W146" s="10">
        <v>234</v>
      </c>
      <c r="X146" s="10" t="s">
        <v>45</v>
      </c>
      <c r="Y146" s="10" t="s">
        <v>5734</v>
      </c>
      <c r="Z146" s="10" t="s">
        <v>1257</v>
      </c>
      <c r="AA146" s="10" t="s">
        <v>5735</v>
      </c>
      <c r="AB146" s="10"/>
      <c r="AC146" s="10"/>
      <c r="AD146" s="10"/>
      <c r="AE146" s="10"/>
      <c r="AF146" s="10"/>
      <c r="AG146" s="44"/>
      <c r="AH146" s="44"/>
      <c r="AI146" s="44" t="s">
        <v>6052</v>
      </c>
      <c r="AJ146" s="44" t="s">
        <v>6052</v>
      </c>
      <c r="AK146" s="44" t="s">
        <v>6052</v>
      </c>
      <c r="AL146" s="44" t="s">
        <v>6052</v>
      </c>
      <c r="AM146" s="44" t="s">
        <v>6052</v>
      </c>
      <c r="AN146" s="44" t="s">
        <v>32331</v>
      </c>
      <c r="AO146" s="45">
        <v>11</v>
      </c>
      <c r="AP146" s="45">
        <v>1</v>
      </c>
      <c r="AQ146" s="45">
        <v>0</v>
      </c>
      <c r="AR146" s="45">
        <v>0</v>
      </c>
      <c r="AS146" s="45">
        <v>0</v>
      </c>
      <c r="AT146" s="45">
        <v>0</v>
      </c>
      <c r="AU146" s="10" t="s">
        <v>6052</v>
      </c>
      <c r="AV146" s="10" t="s">
        <v>6052</v>
      </c>
      <c r="AW146" s="10" t="s">
        <v>6052</v>
      </c>
      <c r="AX146" s="10" t="s">
        <v>6052</v>
      </c>
      <c r="AY146" s="10" t="s">
        <v>32253</v>
      </c>
      <c r="AZ146" s="44" t="s">
        <v>33116</v>
      </c>
      <c r="BA146" s="44" t="s">
        <v>30869</v>
      </c>
      <c r="BB146" s="44" t="s">
        <v>31219</v>
      </c>
      <c r="BC146" s="44" t="s">
        <v>6415</v>
      </c>
      <c r="BD146" s="44" t="s">
        <v>31707</v>
      </c>
      <c r="BE146" s="11">
        <v>1</v>
      </c>
      <c r="BF146" s="11">
        <v>0</v>
      </c>
      <c r="BG146" s="11">
        <v>0</v>
      </c>
      <c r="BH146" s="10" t="s">
        <v>31889</v>
      </c>
      <c r="BI146" s="11">
        <v>100</v>
      </c>
      <c r="BJ146" s="10" t="s">
        <v>33162</v>
      </c>
      <c r="BK146" s="11" t="s">
        <v>33162</v>
      </c>
    </row>
    <row r="147" spans="1:63" x14ac:dyDescent="0.75">
      <c r="A147" t="s">
        <v>5989</v>
      </c>
      <c r="B147" t="s">
        <v>104</v>
      </c>
      <c r="C147" t="s">
        <v>349</v>
      </c>
      <c r="D147" t="s">
        <v>350</v>
      </c>
      <c r="E147" s="22" t="s">
        <v>30844</v>
      </c>
      <c r="F147" t="s">
        <v>5990</v>
      </c>
      <c r="G147" s="1" t="str">
        <f>HYPERLINK("https://homd.org/jbrowse/?data=homd_V11.02_phage_1.2%2FGCA_947096245.1&amp;loc=GCA_947096245.1%7CCAMUQP010000005.1%3A30712..37527&amp;tracks=prokka,prokka_ncrna,ncbi,ncbi_ncrna,panggolin,cenote,genomad&amp;highlight=","Open JBrowse")</f>
        <v>Open JBrowse</v>
      </c>
      <c r="H147" s="10">
        <v>33712</v>
      </c>
      <c r="I147" s="10">
        <v>34527</v>
      </c>
      <c r="J147" s="10" t="s">
        <v>5991</v>
      </c>
      <c r="K147" s="10" t="s">
        <v>39</v>
      </c>
      <c r="L147" s="10" t="s">
        <v>353</v>
      </c>
      <c r="M147" s="10" t="s">
        <v>354</v>
      </c>
      <c r="N147" s="10" t="s">
        <v>42</v>
      </c>
      <c r="O147" s="10">
        <v>3</v>
      </c>
      <c r="P147" s="10" t="s">
        <v>42</v>
      </c>
      <c r="Q147" s="10" t="s">
        <v>43</v>
      </c>
      <c r="R147" s="10" t="s">
        <v>5992</v>
      </c>
      <c r="S147" s="10" t="s">
        <v>353</v>
      </c>
      <c r="T147" s="10" t="s">
        <v>42</v>
      </c>
      <c r="U147" s="10">
        <v>37</v>
      </c>
      <c r="V147" s="10">
        <v>269</v>
      </c>
      <c r="W147" s="10">
        <v>233</v>
      </c>
      <c r="X147" s="10" t="s">
        <v>45</v>
      </c>
      <c r="Y147" s="10"/>
      <c r="Z147" s="10"/>
      <c r="AA147" s="10"/>
      <c r="AB147" s="10"/>
      <c r="AC147" s="10"/>
      <c r="AD147" s="10"/>
      <c r="AE147" s="10"/>
      <c r="AF147" s="10"/>
      <c r="AG147" s="44"/>
      <c r="AH147" s="44"/>
      <c r="AI147" s="46" t="s">
        <v>6054</v>
      </c>
      <c r="AJ147" s="44" t="s">
        <v>6052</v>
      </c>
      <c r="AK147" s="44" t="s">
        <v>6052</v>
      </c>
      <c r="AL147" s="44" t="s">
        <v>6052</v>
      </c>
      <c r="AM147" s="44" t="s">
        <v>6052</v>
      </c>
      <c r="AN147" s="44" t="s">
        <v>32355</v>
      </c>
      <c r="AO147" s="45">
        <v>11</v>
      </c>
      <c r="AP147" s="45">
        <v>1</v>
      </c>
      <c r="AQ147" s="45">
        <v>0</v>
      </c>
      <c r="AR147" s="45">
        <v>0</v>
      </c>
      <c r="AS147" s="45">
        <v>0</v>
      </c>
      <c r="AT147" s="45">
        <v>0</v>
      </c>
      <c r="AU147" s="10" t="s">
        <v>6052</v>
      </c>
      <c r="AV147" s="10" t="s">
        <v>6052</v>
      </c>
      <c r="AW147" s="10" t="s">
        <v>6052</v>
      </c>
      <c r="AX147" s="10" t="s">
        <v>6052</v>
      </c>
      <c r="AY147" s="10" t="s">
        <v>32253</v>
      </c>
      <c r="AZ147" s="44" t="s">
        <v>33116</v>
      </c>
      <c r="BA147" s="44" t="s">
        <v>30869</v>
      </c>
      <c r="BB147" s="44" t="s">
        <v>31238</v>
      </c>
      <c r="BC147" s="44" t="s">
        <v>6415</v>
      </c>
      <c r="BD147" s="44" t="s">
        <v>31707</v>
      </c>
      <c r="BE147" s="11">
        <v>1</v>
      </c>
      <c r="BF147" s="11">
        <v>0</v>
      </c>
      <c r="BG147" s="11">
        <v>0</v>
      </c>
      <c r="BH147" s="10" t="s">
        <v>31924</v>
      </c>
      <c r="BI147" s="11">
        <v>100</v>
      </c>
      <c r="BJ147" s="10" t="s">
        <v>33162</v>
      </c>
      <c r="BK147" s="11" t="s">
        <v>33162</v>
      </c>
    </row>
    <row r="148" spans="1:63" x14ac:dyDescent="0.75">
      <c r="A148" t="s">
        <v>5474</v>
      </c>
      <c r="B148" t="s">
        <v>104</v>
      </c>
      <c r="C148" t="s">
        <v>514</v>
      </c>
      <c r="D148" t="s">
        <v>515</v>
      </c>
      <c r="E148" s="22" t="s">
        <v>30844</v>
      </c>
      <c r="F148" t="s">
        <v>5475</v>
      </c>
      <c r="G148" s="1" t="str">
        <f>HYPERLINK("https://homd.org/jbrowse/?data=homd_V11.02_phage_1.2%2FGCA_905372535.1&amp;loc=GCA_905372535.1%7CCAJPPO010000047.1%3A1..4592&amp;tracks=prokka,prokka_ncrna,ncbi,ncbi_ncrna,panggolin,cenote,genomad&amp;highlight=","Open JBrowse")</f>
        <v>Open JBrowse</v>
      </c>
      <c r="H148" s="10">
        <v>756</v>
      </c>
      <c r="I148" s="10">
        <v>1592</v>
      </c>
      <c r="J148" s="10" t="s">
        <v>5476</v>
      </c>
      <c r="K148" s="10" t="s">
        <v>39</v>
      </c>
      <c r="L148" s="10" t="s">
        <v>518</v>
      </c>
      <c r="M148" s="10" t="s">
        <v>519</v>
      </c>
      <c r="N148" s="10" t="s">
        <v>42</v>
      </c>
      <c r="O148" s="10">
        <v>3</v>
      </c>
      <c r="P148" s="10" t="s">
        <v>42</v>
      </c>
      <c r="Q148" s="10" t="s">
        <v>43</v>
      </c>
      <c r="R148" s="10" t="s">
        <v>5477</v>
      </c>
      <c r="S148" s="10" t="s">
        <v>518</v>
      </c>
      <c r="T148" s="10" t="s">
        <v>42</v>
      </c>
      <c r="U148" s="10">
        <v>47</v>
      </c>
      <c r="V148" s="10">
        <v>274</v>
      </c>
      <c r="W148" s="10">
        <v>228</v>
      </c>
      <c r="X148" s="10" t="s">
        <v>45</v>
      </c>
      <c r="Y148" s="10"/>
      <c r="Z148" s="10"/>
      <c r="AA148" s="10"/>
      <c r="AB148" s="10"/>
      <c r="AC148" s="10"/>
      <c r="AD148" s="10"/>
      <c r="AE148" s="10"/>
      <c r="AF148" s="10"/>
      <c r="AG148" s="44"/>
      <c r="AH148" s="44"/>
      <c r="AI148" s="46" t="s">
        <v>6054</v>
      </c>
      <c r="AJ148" s="44" t="s">
        <v>6052</v>
      </c>
      <c r="AK148" s="44" t="s">
        <v>6052</v>
      </c>
      <c r="AL148" s="44" t="s">
        <v>6052</v>
      </c>
      <c r="AM148" s="44" t="s">
        <v>6052</v>
      </c>
      <c r="AN148" s="44" t="s">
        <v>32366</v>
      </c>
      <c r="AO148" s="45">
        <v>11</v>
      </c>
      <c r="AP148" s="45">
        <v>1</v>
      </c>
      <c r="AQ148" s="45">
        <v>0</v>
      </c>
      <c r="AR148" s="45">
        <v>0</v>
      </c>
      <c r="AS148" s="45">
        <v>0</v>
      </c>
      <c r="AT148" s="45">
        <v>0</v>
      </c>
      <c r="AU148" s="10" t="s">
        <v>6052</v>
      </c>
      <c r="AV148" s="10" t="s">
        <v>6052</v>
      </c>
      <c r="AW148" s="10" t="s">
        <v>6052</v>
      </c>
      <c r="AX148" s="10" t="s">
        <v>6052</v>
      </c>
      <c r="AY148" s="10" t="s">
        <v>32253</v>
      </c>
      <c r="AZ148" s="44" t="s">
        <v>33116</v>
      </c>
      <c r="BA148" s="44" t="s">
        <v>30873</v>
      </c>
      <c r="BB148" s="44" t="s">
        <v>31247</v>
      </c>
      <c r="BC148" s="44" t="s">
        <v>6415</v>
      </c>
      <c r="BD148" s="44" t="s">
        <v>31707</v>
      </c>
      <c r="BE148" s="11">
        <v>1</v>
      </c>
      <c r="BF148" s="11">
        <v>0</v>
      </c>
      <c r="BG148" s="11">
        <v>0</v>
      </c>
      <c r="BH148" s="10" t="s">
        <v>31869</v>
      </c>
      <c r="BI148" s="11">
        <v>100</v>
      </c>
      <c r="BJ148" s="10" t="s">
        <v>33162</v>
      </c>
      <c r="BK148" s="11" t="s">
        <v>33162</v>
      </c>
    </row>
    <row r="149" spans="1:63" x14ac:dyDescent="0.75">
      <c r="A149" t="s">
        <v>5559</v>
      </c>
      <c r="B149" t="s">
        <v>104</v>
      </c>
      <c r="C149" t="s">
        <v>514</v>
      </c>
      <c r="D149" t="s">
        <v>515</v>
      </c>
      <c r="E149" s="22" t="s">
        <v>30844</v>
      </c>
      <c r="F149" t="s">
        <v>5560</v>
      </c>
      <c r="G149" s="1" t="str">
        <f>HYPERLINK("https://homd.org/jbrowse/?data=homd_V11.02_phage_1.2%2FGCA_915066995.1&amp;loc=GCA_915066995.1%7CCAJZEI010000161.1%3A1..6575&amp;tracks=prokka,prokka_ncrna,ncbi,ncbi_ncrna,panggolin,cenote,genomad&amp;highlight=","Open JBrowse")</f>
        <v>Open JBrowse</v>
      </c>
      <c r="H149" s="10">
        <v>2739</v>
      </c>
      <c r="I149" s="10">
        <v>3575</v>
      </c>
      <c r="J149" s="10" t="s">
        <v>5561</v>
      </c>
      <c r="K149" s="10" t="s">
        <v>39</v>
      </c>
      <c r="L149" s="10" t="s">
        <v>518</v>
      </c>
      <c r="M149" s="10" t="s">
        <v>519</v>
      </c>
      <c r="N149" s="10" t="s">
        <v>42</v>
      </c>
      <c r="O149" s="10">
        <v>3</v>
      </c>
      <c r="P149" s="10" t="s">
        <v>42</v>
      </c>
      <c r="Q149" s="10" t="s">
        <v>43</v>
      </c>
      <c r="R149" s="10" t="s">
        <v>5562</v>
      </c>
      <c r="S149" s="10" t="s">
        <v>518</v>
      </c>
      <c r="T149" s="10" t="s">
        <v>42</v>
      </c>
      <c r="U149" s="10">
        <v>47</v>
      </c>
      <c r="V149" s="10">
        <v>274</v>
      </c>
      <c r="W149" s="10">
        <v>228</v>
      </c>
      <c r="X149" s="10" t="s">
        <v>45</v>
      </c>
      <c r="Y149" s="10"/>
      <c r="Z149" s="10"/>
      <c r="AA149" s="10"/>
      <c r="AB149" s="10"/>
      <c r="AC149" s="10"/>
      <c r="AD149" s="10"/>
      <c r="AE149" s="10"/>
      <c r="AF149" s="10"/>
      <c r="AG149" s="44"/>
      <c r="AH149" s="44"/>
      <c r="AI149" s="46" t="s">
        <v>6054</v>
      </c>
      <c r="AJ149" s="44" t="s">
        <v>6052</v>
      </c>
      <c r="AK149" s="44" t="s">
        <v>6052</v>
      </c>
      <c r="AL149" s="44" t="s">
        <v>6052</v>
      </c>
      <c r="AM149" s="44" t="s">
        <v>6052</v>
      </c>
      <c r="AN149" s="44" t="s">
        <v>32367</v>
      </c>
      <c r="AO149" s="45">
        <v>11</v>
      </c>
      <c r="AP149" s="45">
        <v>1</v>
      </c>
      <c r="AQ149" s="45">
        <v>0</v>
      </c>
      <c r="AR149" s="45">
        <v>0</v>
      </c>
      <c r="AS149" s="45">
        <v>0</v>
      </c>
      <c r="AT149" s="45">
        <v>0</v>
      </c>
      <c r="AU149" s="10" t="s">
        <v>6052</v>
      </c>
      <c r="AV149" s="10" t="s">
        <v>6052</v>
      </c>
      <c r="AW149" s="10" t="s">
        <v>6052</v>
      </c>
      <c r="AX149" s="10" t="s">
        <v>6052</v>
      </c>
      <c r="AY149" s="10" t="s">
        <v>32253</v>
      </c>
      <c r="AZ149" s="44" t="s">
        <v>33116</v>
      </c>
      <c r="BA149" s="44" t="s">
        <v>30873</v>
      </c>
      <c r="BB149" s="44" t="s">
        <v>31248</v>
      </c>
      <c r="BC149" s="44" t="s">
        <v>6415</v>
      </c>
      <c r="BD149" s="44" t="s">
        <v>31707</v>
      </c>
      <c r="BE149" s="11">
        <v>1</v>
      </c>
      <c r="BF149" s="11">
        <v>0</v>
      </c>
      <c r="BG149" s="11">
        <v>0</v>
      </c>
      <c r="BH149" s="10" t="s">
        <v>31833</v>
      </c>
      <c r="BI149" s="11">
        <v>100</v>
      </c>
      <c r="BJ149" s="10" t="s">
        <v>33162</v>
      </c>
      <c r="BK149" s="11" t="s">
        <v>33162</v>
      </c>
    </row>
    <row r="150" spans="1:63" x14ac:dyDescent="0.75">
      <c r="A150" t="s">
        <v>5383</v>
      </c>
      <c r="B150" t="s">
        <v>104</v>
      </c>
      <c r="C150" t="s">
        <v>105</v>
      </c>
      <c r="D150" t="s">
        <v>106</v>
      </c>
      <c r="E150" s="22" t="s">
        <v>28536</v>
      </c>
      <c r="F150" t="s">
        <v>5390</v>
      </c>
      <c r="G150" s="1" t="str">
        <f>HYPERLINK("https://homd.org/jbrowse/?data=homd_V11.02_phage_1.2%2FGCA_902482725.1&amp;loc=GCA_902482725.1%7CCABTAG010000070.1%3A5773..12564&amp;tracks=prokka,prokka_ncrna,ncbi,ncbi_ncrna,panggolin,cenote,genomad&amp;highlight=","Open JBrowse")</f>
        <v>Open JBrowse</v>
      </c>
      <c r="H150" s="10">
        <v>8773</v>
      </c>
      <c r="I150" s="10">
        <v>9564</v>
      </c>
      <c r="J150" s="10" t="s">
        <v>5391</v>
      </c>
      <c r="K150" s="10" t="s">
        <v>39</v>
      </c>
      <c r="L150" s="10" t="s">
        <v>123</v>
      </c>
      <c r="M150" s="10" t="s">
        <v>124</v>
      </c>
      <c r="N150" s="10" t="s">
        <v>42</v>
      </c>
      <c r="O150" s="10">
        <v>3</v>
      </c>
      <c r="P150" s="10" t="s">
        <v>42</v>
      </c>
      <c r="Q150" s="10" t="s">
        <v>43</v>
      </c>
      <c r="R150" s="10" t="s">
        <v>5386</v>
      </c>
      <c r="S150" s="10" t="s">
        <v>123</v>
      </c>
      <c r="T150" s="10" t="s">
        <v>42</v>
      </c>
      <c r="U150" s="10">
        <v>35</v>
      </c>
      <c r="V150" s="10">
        <v>261</v>
      </c>
      <c r="W150" s="10">
        <v>227</v>
      </c>
      <c r="X150" s="10" t="s">
        <v>45</v>
      </c>
      <c r="Y150" s="10" t="s">
        <v>5392</v>
      </c>
      <c r="Z150" s="10" t="s">
        <v>653</v>
      </c>
      <c r="AA150" s="10" t="s">
        <v>2806</v>
      </c>
      <c r="AB150" s="10"/>
      <c r="AC150" s="10"/>
      <c r="AD150" s="10"/>
      <c r="AE150" s="10"/>
      <c r="AF150" s="10"/>
      <c r="AG150" s="44"/>
      <c r="AH150" s="44"/>
      <c r="AI150" s="44" t="s">
        <v>6052</v>
      </c>
      <c r="AJ150" s="44" t="s">
        <v>6052</v>
      </c>
      <c r="AK150" s="44" t="s">
        <v>6052</v>
      </c>
      <c r="AL150" s="44" t="s">
        <v>6052</v>
      </c>
      <c r="AM150" s="44" t="s">
        <v>6052</v>
      </c>
      <c r="AN150" s="44" t="s">
        <v>32916</v>
      </c>
      <c r="AO150" s="45">
        <v>11</v>
      </c>
      <c r="AP150" s="45">
        <v>1</v>
      </c>
      <c r="AQ150" s="45">
        <v>0</v>
      </c>
      <c r="AR150" s="45">
        <v>0</v>
      </c>
      <c r="AS150" s="45">
        <v>0</v>
      </c>
      <c r="AT150" s="45">
        <v>0</v>
      </c>
      <c r="AU150" s="10" t="s">
        <v>6052</v>
      </c>
      <c r="AV150" s="10" t="s">
        <v>6052</v>
      </c>
      <c r="AW150" s="10" t="s">
        <v>6052</v>
      </c>
      <c r="AX150" s="10" t="s">
        <v>6052</v>
      </c>
      <c r="AY150" s="10" t="s">
        <v>32253</v>
      </c>
      <c r="AZ150" s="44" t="s">
        <v>33116</v>
      </c>
      <c r="BA150" s="44" t="s">
        <v>31077</v>
      </c>
      <c r="BB150" s="44" t="s">
        <v>31574</v>
      </c>
      <c r="BC150" s="44" t="s">
        <v>6415</v>
      </c>
      <c r="BD150" s="44" t="s">
        <v>31707</v>
      </c>
      <c r="BE150" s="11">
        <v>1</v>
      </c>
      <c r="BF150" s="11">
        <v>0</v>
      </c>
      <c r="BG150" s="11">
        <v>0</v>
      </c>
      <c r="BH150" s="10" t="s">
        <v>32110</v>
      </c>
      <c r="BI150" s="11">
        <v>100</v>
      </c>
      <c r="BJ150" s="10" t="s">
        <v>33162</v>
      </c>
      <c r="BK150" s="11" t="s">
        <v>33162</v>
      </c>
    </row>
    <row r="151" spans="1:63" x14ac:dyDescent="0.75">
      <c r="A151" t="s">
        <v>5383</v>
      </c>
      <c r="B151" t="s">
        <v>104</v>
      </c>
      <c r="C151" t="s">
        <v>105</v>
      </c>
      <c r="D151" t="s">
        <v>106</v>
      </c>
      <c r="E151" s="22" t="s">
        <v>28536</v>
      </c>
      <c r="F151" t="s">
        <v>5393</v>
      </c>
      <c r="G151" s="1" t="str">
        <f>HYPERLINK("https://homd.org/jbrowse/?data=homd_V11.02_phage_1.2%2FGCA_902482725.1&amp;loc=GCA_902482725.1%7CCABTAG010000071.1%3A8497..15315&amp;tracks=prokka,prokka_ncrna,ncbi,ncbi_ncrna,panggolin,cenote,genomad&amp;highlight=","Open JBrowse")</f>
        <v>Open JBrowse</v>
      </c>
      <c r="H151" s="10">
        <v>11497</v>
      </c>
      <c r="I151" s="10">
        <v>12315</v>
      </c>
      <c r="J151" s="10" t="s">
        <v>5394</v>
      </c>
      <c r="K151" s="10" t="s">
        <v>39</v>
      </c>
      <c r="L151" s="10" t="s">
        <v>1379</v>
      </c>
      <c r="M151" s="10" t="s">
        <v>1380</v>
      </c>
      <c r="N151" s="10" t="s">
        <v>42</v>
      </c>
      <c r="O151" s="10">
        <v>3</v>
      </c>
      <c r="P151" s="10" t="s">
        <v>42</v>
      </c>
      <c r="Q151" s="10" t="s">
        <v>43</v>
      </c>
      <c r="R151" s="10" t="s">
        <v>5386</v>
      </c>
      <c r="S151" s="10" t="s">
        <v>1379</v>
      </c>
      <c r="T151" s="10" t="s">
        <v>42</v>
      </c>
      <c r="U151" s="10">
        <v>43</v>
      </c>
      <c r="V151" s="10">
        <v>270</v>
      </c>
      <c r="W151" s="10">
        <v>228</v>
      </c>
      <c r="X151" s="10" t="s">
        <v>45</v>
      </c>
      <c r="Y151" s="10" t="s">
        <v>5395</v>
      </c>
      <c r="Z151" s="10" t="s">
        <v>1450</v>
      </c>
      <c r="AA151" s="10" t="s">
        <v>133</v>
      </c>
      <c r="AB151" s="10"/>
      <c r="AC151" s="10"/>
      <c r="AD151" s="10"/>
      <c r="AE151" s="10"/>
      <c r="AF151" s="10"/>
      <c r="AG151" s="44"/>
      <c r="AH151" s="44"/>
      <c r="AI151" s="44" t="s">
        <v>6052</v>
      </c>
      <c r="AJ151" s="44" t="s">
        <v>6052</v>
      </c>
      <c r="AK151" s="44" t="s">
        <v>6052</v>
      </c>
      <c r="AL151" s="44" t="s">
        <v>6052</v>
      </c>
      <c r="AM151" s="44" t="s">
        <v>6052</v>
      </c>
      <c r="AN151" s="44" t="s">
        <v>32917</v>
      </c>
      <c r="AO151" s="45">
        <v>11</v>
      </c>
      <c r="AP151" s="45">
        <v>1</v>
      </c>
      <c r="AQ151" s="45">
        <v>0</v>
      </c>
      <c r="AR151" s="45">
        <v>0</v>
      </c>
      <c r="AS151" s="45">
        <v>0</v>
      </c>
      <c r="AT151" s="45">
        <v>0</v>
      </c>
      <c r="AU151" s="10" t="s">
        <v>6052</v>
      </c>
      <c r="AV151" s="10" t="s">
        <v>6052</v>
      </c>
      <c r="AW151" s="10" t="s">
        <v>6052</v>
      </c>
      <c r="AX151" s="10" t="s">
        <v>6052</v>
      </c>
      <c r="AY151" s="10" t="s">
        <v>32253</v>
      </c>
      <c r="AZ151" s="44" t="s">
        <v>33116</v>
      </c>
      <c r="BA151" s="44" t="s">
        <v>31077</v>
      </c>
      <c r="BB151" s="44" t="s">
        <v>31575</v>
      </c>
      <c r="BC151" s="44" t="s">
        <v>6415</v>
      </c>
      <c r="BD151" s="44" t="s">
        <v>31707</v>
      </c>
      <c r="BE151" s="11">
        <v>1</v>
      </c>
      <c r="BF151" s="11">
        <v>0</v>
      </c>
      <c r="BG151" s="11">
        <v>0</v>
      </c>
      <c r="BH151" s="10" t="s">
        <v>31860</v>
      </c>
      <c r="BI151" s="11">
        <v>100</v>
      </c>
      <c r="BJ151" s="10" t="s">
        <v>33162</v>
      </c>
      <c r="BK151" s="11" t="s">
        <v>33162</v>
      </c>
    </row>
    <row r="152" spans="1:63" x14ac:dyDescent="0.75">
      <c r="A152" t="s">
        <v>5431</v>
      </c>
      <c r="B152" t="s">
        <v>104</v>
      </c>
      <c r="C152" t="s">
        <v>105</v>
      </c>
      <c r="D152" t="s">
        <v>106</v>
      </c>
      <c r="E152" s="22" t="s">
        <v>30844</v>
      </c>
      <c r="F152" t="s">
        <v>5438</v>
      </c>
      <c r="G152" s="1" t="str">
        <f>HYPERLINK("https://homd.org/jbrowse/?data=homd_V11.02_phage_1.2%2FGCA_905371985.1&amp;loc=GCA_905371985.1%7CCAJPNJ010000066.1%3A8566..15399&amp;tracks=prokka,prokka_ncrna,ncbi,ncbi_ncrna,panggolin,cenote,genomad&amp;highlight=","Open JBrowse")</f>
        <v>Open JBrowse</v>
      </c>
      <c r="H152" s="10">
        <v>11566</v>
      </c>
      <c r="I152" s="10">
        <v>12399</v>
      </c>
      <c r="J152" s="10" t="s">
        <v>5439</v>
      </c>
      <c r="K152" s="10" t="s">
        <v>39</v>
      </c>
      <c r="L152" s="10" t="s">
        <v>129</v>
      </c>
      <c r="M152" s="10" t="s">
        <v>130</v>
      </c>
      <c r="N152" s="10" t="s">
        <v>42</v>
      </c>
      <c r="O152" s="10">
        <v>3</v>
      </c>
      <c r="P152" s="10" t="s">
        <v>42</v>
      </c>
      <c r="Q152" s="10" t="s">
        <v>43</v>
      </c>
      <c r="R152" s="10" t="s">
        <v>5434</v>
      </c>
      <c r="S152" s="10" t="s">
        <v>129</v>
      </c>
      <c r="T152" s="10" t="s">
        <v>42</v>
      </c>
      <c r="U152" s="10">
        <v>43</v>
      </c>
      <c r="V152" s="10">
        <v>275</v>
      </c>
      <c r="W152" s="10">
        <v>233</v>
      </c>
      <c r="X152" s="10" t="s">
        <v>45</v>
      </c>
      <c r="Y152" s="10" t="s">
        <v>5440</v>
      </c>
      <c r="Z152" s="10" t="s">
        <v>667</v>
      </c>
      <c r="AA152" s="10" t="s">
        <v>133</v>
      </c>
      <c r="AB152" s="10"/>
      <c r="AC152" s="10"/>
      <c r="AD152" s="10"/>
      <c r="AE152" s="10"/>
      <c r="AF152" s="10"/>
      <c r="AG152" s="44"/>
      <c r="AH152" s="44"/>
      <c r="AI152" s="44" t="s">
        <v>6052</v>
      </c>
      <c r="AJ152" s="44" t="s">
        <v>6052</v>
      </c>
      <c r="AK152" s="44" t="s">
        <v>6052</v>
      </c>
      <c r="AL152" s="44" t="s">
        <v>6052</v>
      </c>
      <c r="AM152" s="44" t="s">
        <v>6052</v>
      </c>
      <c r="AN152" s="44" t="s">
        <v>32326</v>
      </c>
      <c r="AO152" s="45">
        <v>11</v>
      </c>
      <c r="AP152" s="45">
        <v>1</v>
      </c>
      <c r="AQ152" s="45">
        <v>0</v>
      </c>
      <c r="AR152" s="45">
        <v>0</v>
      </c>
      <c r="AS152" s="45">
        <v>0</v>
      </c>
      <c r="AT152" s="45">
        <v>0</v>
      </c>
      <c r="AU152" s="10" t="s">
        <v>6052</v>
      </c>
      <c r="AV152" s="10" t="s">
        <v>6052</v>
      </c>
      <c r="AW152" s="10" t="s">
        <v>6052</v>
      </c>
      <c r="AX152" s="10" t="s">
        <v>6052</v>
      </c>
      <c r="AY152" s="10" t="s">
        <v>32253</v>
      </c>
      <c r="AZ152" s="44" t="s">
        <v>33116</v>
      </c>
      <c r="BA152" s="44" t="s">
        <v>30857</v>
      </c>
      <c r="BB152" s="44" t="s">
        <v>31214</v>
      </c>
      <c r="BC152" s="44" t="s">
        <v>6415</v>
      </c>
      <c r="BD152" s="44" t="s">
        <v>31707</v>
      </c>
      <c r="BE152" s="11">
        <v>1</v>
      </c>
      <c r="BF152" s="11">
        <v>0</v>
      </c>
      <c r="BG152" s="11">
        <v>0</v>
      </c>
      <c r="BH152" s="10" t="s">
        <v>31859</v>
      </c>
      <c r="BI152" s="11">
        <v>100</v>
      </c>
      <c r="BJ152" s="10" t="s">
        <v>33162</v>
      </c>
      <c r="BK152" s="11" t="s">
        <v>33162</v>
      </c>
    </row>
    <row r="153" spans="1:63" x14ac:dyDescent="0.75">
      <c r="A153" t="s">
        <v>5431</v>
      </c>
      <c r="B153" t="s">
        <v>104</v>
      </c>
      <c r="C153" t="s">
        <v>105</v>
      </c>
      <c r="D153" t="s">
        <v>106</v>
      </c>
      <c r="E153" s="22" t="s">
        <v>30844</v>
      </c>
      <c r="F153" t="s">
        <v>5441</v>
      </c>
      <c r="G153" s="1" t="str">
        <f>HYPERLINK("https://homd.org/jbrowse/?data=homd_V11.02_phage_1.2%2FGCA_905371985.1&amp;loc=GCA_905371985.1%7CCAJPNJ010000096.1%3A1946..8737&amp;tracks=prokka,prokka_ncrna,ncbi,ncbi_ncrna,panggolin,cenote,genomad&amp;highlight=","Open JBrowse")</f>
        <v>Open JBrowse</v>
      </c>
      <c r="H153" s="10">
        <v>4946</v>
      </c>
      <c r="I153" s="10">
        <v>5737</v>
      </c>
      <c r="J153" s="10" t="s">
        <v>5442</v>
      </c>
      <c r="K153" s="10" t="s">
        <v>39</v>
      </c>
      <c r="L153" s="10" t="s">
        <v>123</v>
      </c>
      <c r="M153" s="10" t="s">
        <v>124</v>
      </c>
      <c r="N153" s="10" t="s">
        <v>42</v>
      </c>
      <c r="O153" s="10">
        <v>3</v>
      </c>
      <c r="P153" s="10" t="s">
        <v>42</v>
      </c>
      <c r="Q153" s="10" t="s">
        <v>43</v>
      </c>
      <c r="R153" s="10" t="s">
        <v>5434</v>
      </c>
      <c r="S153" s="10" t="s">
        <v>123</v>
      </c>
      <c r="T153" s="10" t="s">
        <v>42</v>
      </c>
      <c r="U153" s="10">
        <v>35</v>
      </c>
      <c r="V153" s="10">
        <v>261</v>
      </c>
      <c r="W153" s="10">
        <v>227</v>
      </c>
      <c r="X153" s="10" t="s">
        <v>45</v>
      </c>
      <c r="Y153" s="10" t="s">
        <v>5443</v>
      </c>
      <c r="Z153" s="10" t="s">
        <v>470</v>
      </c>
      <c r="AA153" s="10" t="s">
        <v>2806</v>
      </c>
      <c r="AB153" s="10"/>
      <c r="AC153" s="10"/>
      <c r="AD153" s="10"/>
      <c r="AE153" s="10"/>
      <c r="AF153" s="10"/>
      <c r="AG153" s="44"/>
      <c r="AH153" s="44"/>
      <c r="AI153" s="44" t="s">
        <v>6052</v>
      </c>
      <c r="AJ153" s="44" t="s">
        <v>6052</v>
      </c>
      <c r="AK153" s="44" t="s">
        <v>6052</v>
      </c>
      <c r="AL153" s="44" t="s">
        <v>6052</v>
      </c>
      <c r="AM153" s="44" t="s">
        <v>6052</v>
      </c>
      <c r="AN153" s="44" t="s">
        <v>32328</v>
      </c>
      <c r="AO153" s="45">
        <v>11</v>
      </c>
      <c r="AP153" s="45">
        <v>1</v>
      </c>
      <c r="AQ153" s="45">
        <v>0</v>
      </c>
      <c r="AR153" s="45">
        <v>0</v>
      </c>
      <c r="AS153" s="45">
        <v>0</v>
      </c>
      <c r="AT153" s="45">
        <v>0</v>
      </c>
      <c r="AU153" s="10" t="s">
        <v>6052</v>
      </c>
      <c r="AV153" s="10" t="s">
        <v>6052</v>
      </c>
      <c r="AW153" s="10" t="s">
        <v>6052</v>
      </c>
      <c r="AX153" s="10" t="s">
        <v>6052</v>
      </c>
      <c r="AY153" s="10" t="s">
        <v>32253</v>
      </c>
      <c r="AZ153" s="44" t="s">
        <v>33116</v>
      </c>
      <c r="BA153" s="44" t="s">
        <v>30857</v>
      </c>
      <c r="BB153" s="44" t="s">
        <v>31216</v>
      </c>
      <c r="BC153" s="44" t="s">
        <v>6415</v>
      </c>
      <c r="BD153" s="44" t="s">
        <v>31707</v>
      </c>
      <c r="BE153" s="11">
        <v>1</v>
      </c>
      <c r="BF153" s="11">
        <v>0</v>
      </c>
      <c r="BG153" s="11">
        <v>0</v>
      </c>
      <c r="BH153" s="10" t="s">
        <v>32106</v>
      </c>
      <c r="BI153" s="11">
        <v>100</v>
      </c>
      <c r="BJ153" s="10" t="s">
        <v>33162</v>
      </c>
      <c r="BK153" s="11" t="s">
        <v>33162</v>
      </c>
    </row>
    <row r="154" spans="1:63" x14ac:dyDescent="0.75">
      <c r="A154" t="s">
        <v>5770</v>
      </c>
      <c r="B154" t="s">
        <v>104</v>
      </c>
      <c r="C154" t="s">
        <v>105</v>
      </c>
      <c r="D154" t="s">
        <v>106</v>
      </c>
      <c r="E154" s="22" t="s">
        <v>30844</v>
      </c>
      <c r="F154" t="s">
        <v>5780</v>
      </c>
      <c r="G154" s="1" t="str">
        <f>HYPERLINK("https://homd.org/jbrowse/?data=homd_V11.02_phage_1.2%2FGCA_937926985.1&amp;loc=GCA_937926985.1%7CCALBCK010000144.1%3A1..3977&amp;tracks=prokka,prokka_ncrna,ncbi,ncbi_ncrna,panggolin,cenote,genomad&amp;highlight=","Open JBrowse")</f>
        <v>Open JBrowse</v>
      </c>
      <c r="H154" s="10">
        <v>159</v>
      </c>
      <c r="I154" s="10">
        <v>977</v>
      </c>
      <c r="J154" s="10" t="s">
        <v>5781</v>
      </c>
      <c r="K154" s="10" t="s">
        <v>39</v>
      </c>
      <c r="L154" s="10" t="s">
        <v>1379</v>
      </c>
      <c r="M154" s="10" t="s">
        <v>1380</v>
      </c>
      <c r="N154" s="10" t="s">
        <v>42</v>
      </c>
      <c r="O154" s="10">
        <v>3</v>
      </c>
      <c r="P154" s="10" t="s">
        <v>42</v>
      </c>
      <c r="Q154" s="10" t="s">
        <v>43</v>
      </c>
      <c r="R154" s="10" t="s">
        <v>5773</v>
      </c>
      <c r="S154" s="10" t="s">
        <v>1379</v>
      </c>
      <c r="T154" s="10" t="s">
        <v>42</v>
      </c>
      <c r="U154" s="10">
        <v>43</v>
      </c>
      <c r="V154" s="10">
        <v>270</v>
      </c>
      <c r="W154" s="10">
        <v>228</v>
      </c>
      <c r="X154" s="10" t="s">
        <v>45</v>
      </c>
      <c r="Y154" s="10" t="s">
        <v>5782</v>
      </c>
      <c r="Z154" s="10" t="s">
        <v>824</v>
      </c>
      <c r="AA154" s="10" t="s">
        <v>417</v>
      </c>
      <c r="AB154" s="10"/>
      <c r="AC154" s="10"/>
      <c r="AD154" s="10"/>
      <c r="AE154" s="10"/>
      <c r="AF154" s="10"/>
      <c r="AG154" s="44"/>
      <c r="AH154" s="44"/>
      <c r="AI154" s="44" t="s">
        <v>6052</v>
      </c>
      <c r="AJ154" s="44" t="s">
        <v>6052</v>
      </c>
      <c r="AK154" s="44" t="s">
        <v>6052</v>
      </c>
      <c r="AL154" s="44" t="s">
        <v>6052</v>
      </c>
      <c r="AM154" s="44" t="s">
        <v>6052</v>
      </c>
      <c r="AN154" s="44" t="s">
        <v>32324</v>
      </c>
      <c r="AO154" s="45">
        <v>11</v>
      </c>
      <c r="AP154" s="45">
        <v>1</v>
      </c>
      <c r="AQ154" s="45">
        <v>0</v>
      </c>
      <c r="AR154" s="45">
        <v>0</v>
      </c>
      <c r="AS154" s="45">
        <v>0</v>
      </c>
      <c r="AT154" s="45">
        <v>0</v>
      </c>
      <c r="AU154" s="10" t="s">
        <v>6052</v>
      </c>
      <c r="AV154" s="10" t="s">
        <v>6052</v>
      </c>
      <c r="AW154" s="10" t="s">
        <v>6052</v>
      </c>
      <c r="AX154" s="10" t="s">
        <v>6052</v>
      </c>
      <c r="AY154" s="10" t="s">
        <v>32253</v>
      </c>
      <c r="AZ154" s="44" t="s">
        <v>33116</v>
      </c>
      <c r="BA154" s="44" t="s">
        <v>30857</v>
      </c>
      <c r="BB154" s="44" t="s">
        <v>31212</v>
      </c>
      <c r="BC154" s="44" t="s">
        <v>6415</v>
      </c>
      <c r="BD154" s="44" t="s">
        <v>31707</v>
      </c>
      <c r="BE154" s="11">
        <v>1</v>
      </c>
      <c r="BF154" s="11">
        <v>0</v>
      </c>
      <c r="BG154" s="11">
        <v>0</v>
      </c>
      <c r="BH154" s="10" t="s">
        <v>31839</v>
      </c>
      <c r="BI154" s="11">
        <v>100</v>
      </c>
      <c r="BJ154" s="10" t="s">
        <v>33162</v>
      </c>
      <c r="BK154" s="11" t="s">
        <v>33162</v>
      </c>
    </row>
    <row r="155" spans="1:63" x14ac:dyDescent="0.75">
      <c r="A155" t="s">
        <v>4794</v>
      </c>
      <c r="B155" t="s">
        <v>104</v>
      </c>
      <c r="C155" t="s">
        <v>105</v>
      </c>
      <c r="D155" t="s">
        <v>106</v>
      </c>
      <c r="E155" s="22" t="s">
        <v>24254</v>
      </c>
      <c r="F155" t="s">
        <v>4795</v>
      </c>
      <c r="G155" s="1" t="str">
        <f>HYPERLINK("https://homd.org/jbrowse/?data=homd_V11.02_phage_1.2%2FGCA_026013825.1&amp;loc=GCA_026013825.1%7CCP110230.1%3A1912943..1919539&amp;tracks=prokka,prokka_ncrna,ncbi,ncbi_ncrna,panggolin,cenote,genomad&amp;highlight=","Open JBrowse")</f>
        <v>Open JBrowse</v>
      </c>
      <c r="H155" s="10">
        <v>1915943</v>
      </c>
      <c r="I155" s="10">
        <v>1916539</v>
      </c>
      <c r="J155" s="10" t="s">
        <v>4802</v>
      </c>
      <c r="K155" s="10" t="s">
        <v>39</v>
      </c>
      <c r="L155" s="10" t="s">
        <v>2820</v>
      </c>
      <c r="M155" s="10" t="s">
        <v>2821</v>
      </c>
      <c r="N155" s="10" t="s">
        <v>42</v>
      </c>
      <c r="O155" s="10">
        <v>3</v>
      </c>
      <c r="P155" s="10" t="s">
        <v>42</v>
      </c>
      <c r="Q155" s="10" t="s">
        <v>43</v>
      </c>
      <c r="R155" s="10" t="s">
        <v>4797</v>
      </c>
      <c r="S155" s="10" t="s">
        <v>2820</v>
      </c>
      <c r="T155" s="10" t="s">
        <v>42</v>
      </c>
      <c r="U155" s="10">
        <v>3</v>
      </c>
      <c r="V155" s="10">
        <v>196</v>
      </c>
      <c r="W155" s="10">
        <v>194</v>
      </c>
      <c r="X155" s="10" t="s">
        <v>45</v>
      </c>
      <c r="Y155" s="10" t="s">
        <v>4803</v>
      </c>
      <c r="Z155" s="10" t="s">
        <v>410</v>
      </c>
      <c r="AA155" s="10" t="s">
        <v>417</v>
      </c>
      <c r="AB155" s="10"/>
      <c r="AC155" s="10"/>
      <c r="AD155" s="10"/>
      <c r="AE155" s="10"/>
      <c r="AF155" s="10"/>
      <c r="AG155" s="44"/>
      <c r="AH155" s="44"/>
      <c r="AI155" s="44" t="s">
        <v>6052</v>
      </c>
      <c r="AJ155" s="44" t="s">
        <v>6052</v>
      </c>
      <c r="AK155" s="44" t="s">
        <v>6052</v>
      </c>
      <c r="AL155" s="44" t="s">
        <v>6052</v>
      </c>
      <c r="AM155" s="44" t="s">
        <v>6052</v>
      </c>
      <c r="AN155" s="44" t="s">
        <v>32892</v>
      </c>
      <c r="AO155" s="45">
        <v>11</v>
      </c>
      <c r="AP155" s="45">
        <v>1</v>
      </c>
      <c r="AQ155" s="45">
        <v>0</v>
      </c>
      <c r="AR155" s="45">
        <v>0</v>
      </c>
      <c r="AS155" s="45">
        <v>0</v>
      </c>
      <c r="AT155" s="45">
        <v>0</v>
      </c>
      <c r="AU155" s="10" t="s">
        <v>6052</v>
      </c>
      <c r="AV155" s="10" t="s">
        <v>6052</v>
      </c>
      <c r="AW155" s="10" t="s">
        <v>6052</v>
      </c>
      <c r="AX155" s="10" t="s">
        <v>6052</v>
      </c>
      <c r="AY155" s="10" t="s">
        <v>32253</v>
      </c>
      <c r="AZ155" s="44" t="s">
        <v>33110</v>
      </c>
      <c r="BA155" s="44" t="s">
        <v>31068</v>
      </c>
      <c r="BB155" s="44" t="s">
        <v>31561</v>
      </c>
      <c r="BC155" s="44" t="s">
        <v>6415</v>
      </c>
      <c r="BD155" s="44" t="s">
        <v>31707</v>
      </c>
      <c r="BE155" s="11">
        <v>1</v>
      </c>
      <c r="BF155" s="11">
        <v>0</v>
      </c>
      <c r="BG155" s="11">
        <v>0</v>
      </c>
      <c r="BH155" s="10" t="s">
        <v>31984</v>
      </c>
      <c r="BI155" s="11">
        <v>100</v>
      </c>
      <c r="BJ155" s="10" t="s">
        <v>33162</v>
      </c>
      <c r="BK155" s="11" t="s">
        <v>33162</v>
      </c>
    </row>
    <row r="156" spans="1:63" x14ac:dyDescent="0.75">
      <c r="A156" t="s">
        <v>2809</v>
      </c>
      <c r="B156" t="s">
        <v>104</v>
      </c>
      <c r="C156" t="s">
        <v>105</v>
      </c>
      <c r="D156" t="s">
        <v>106</v>
      </c>
      <c r="E156" s="22" t="s">
        <v>18751</v>
      </c>
      <c r="F156" t="s">
        <v>2810</v>
      </c>
      <c r="G156" s="1" t="str">
        <f>HYPERLINK("https://homd.org/jbrowse/?data=homd_V11.02_phage_1.2%2FGCA_013394785.1&amp;loc=GCA_013394785.1%7CJABXYW010000002.1%3A681987..688583&amp;tracks=prokka,prokka_ncrna,ncbi,ncbi_ncrna,panggolin,cenote,genomad&amp;highlight=","Open JBrowse")</f>
        <v>Open JBrowse</v>
      </c>
      <c r="H156" s="10">
        <v>684987</v>
      </c>
      <c r="I156" s="10">
        <v>685583</v>
      </c>
      <c r="J156" s="10" t="s">
        <v>2819</v>
      </c>
      <c r="K156" s="10" t="s">
        <v>39</v>
      </c>
      <c r="L156" s="10" t="s">
        <v>2820</v>
      </c>
      <c r="M156" s="10" t="s">
        <v>2821</v>
      </c>
      <c r="N156" s="10" t="s">
        <v>42</v>
      </c>
      <c r="O156" s="10">
        <v>3</v>
      </c>
      <c r="P156" s="10" t="s">
        <v>42</v>
      </c>
      <c r="Q156" s="10" t="s">
        <v>43</v>
      </c>
      <c r="R156" s="10" t="s">
        <v>2812</v>
      </c>
      <c r="S156" s="10" t="s">
        <v>2820</v>
      </c>
      <c r="T156" s="10" t="s">
        <v>42</v>
      </c>
      <c r="U156" s="10">
        <v>3</v>
      </c>
      <c r="V156" s="10">
        <v>196</v>
      </c>
      <c r="W156" s="10">
        <v>194</v>
      </c>
      <c r="X156" s="10" t="s">
        <v>45</v>
      </c>
      <c r="Y156" s="10" t="s">
        <v>2822</v>
      </c>
      <c r="Z156" s="10" t="s">
        <v>132</v>
      </c>
      <c r="AA156" s="10" t="s">
        <v>919</v>
      </c>
      <c r="AB156" s="10"/>
      <c r="AC156" s="10"/>
      <c r="AD156" s="10"/>
      <c r="AE156" s="10"/>
      <c r="AF156" s="10"/>
      <c r="AG156" s="44"/>
      <c r="AH156" s="44"/>
      <c r="AI156" s="44" t="s">
        <v>6052</v>
      </c>
      <c r="AJ156" s="44" t="s">
        <v>6052</v>
      </c>
      <c r="AK156" s="44" t="s">
        <v>6052</v>
      </c>
      <c r="AL156" s="44" t="s">
        <v>6052</v>
      </c>
      <c r="AM156" s="44" t="s">
        <v>6052</v>
      </c>
      <c r="AN156" s="44" t="s">
        <v>33083</v>
      </c>
      <c r="AO156" s="45">
        <v>11</v>
      </c>
      <c r="AP156" s="45">
        <v>1</v>
      </c>
      <c r="AQ156" s="45">
        <v>0</v>
      </c>
      <c r="AR156" s="45">
        <v>0</v>
      </c>
      <c r="AS156" s="45">
        <v>0</v>
      </c>
      <c r="AT156" s="45">
        <v>0</v>
      </c>
      <c r="AU156" s="10" t="s">
        <v>6052</v>
      </c>
      <c r="AV156" s="10" t="s">
        <v>6052</v>
      </c>
      <c r="AW156" s="10" t="s">
        <v>6052</v>
      </c>
      <c r="AX156" s="10" t="s">
        <v>6052</v>
      </c>
      <c r="AY156" s="10" t="s">
        <v>32253</v>
      </c>
      <c r="AZ156" s="44" t="s">
        <v>33110</v>
      </c>
      <c r="BA156" s="44" t="s">
        <v>31152</v>
      </c>
      <c r="BB156" s="44" t="s">
        <v>31689</v>
      </c>
      <c r="BC156" s="44" t="s">
        <v>6415</v>
      </c>
      <c r="BD156" s="44" t="s">
        <v>31707</v>
      </c>
      <c r="BE156" s="11">
        <v>1</v>
      </c>
      <c r="BF156" s="11">
        <v>0</v>
      </c>
      <c r="BG156" s="11">
        <v>0</v>
      </c>
      <c r="BH156" s="10" t="s">
        <v>32020</v>
      </c>
      <c r="BI156" s="11">
        <v>100</v>
      </c>
      <c r="BJ156" s="10" t="s">
        <v>33162</v>
      </c>
      <c r="BK156" s="11" t="s">
        <v>33162</v>
      </c>
    </row>
    <row r="157" spans="1:63" x14ac:dyDescent="0.75">
      <c r="A157" t="s">
        <v>1376</v>
      </c>
      <c r="B157" t="s">
        <v>104</v>
      </c>
      <c r="C157" t="s">
        <v>105</v>
      </c>
      <c r="D157" t="s">
        <v>106</v>
      </c>
      <c r="E157" s="22" t="s">
        <v>11033</v>
      </c>
      <c r="F157" t="s">
        <v>1377</v>
      </c>
      <c r="G157" s="1" t="str">
        <f>HYPERLINK("https://homd.org/jbrowse/?data=homd_V11.02_phage_1.2%2FGCA_001057035.1&amp;loc=GCA_001057035.1%7CJVFB01000004.1%3A1..3963&amp;tracks=prokka,prokka_ncrna,ncbi,ncbi_ncrna,panggolin,cenote,genomad&amp;highlight=","Open JBrowse")</f>
        <v>Open JBrowse</v>
      </c>
      <c r="H157" s="10">
        <v>145</v>
      </c>
      <c r="I157" s="10">
        <v>963</v>
      </c>
      <c r="J157" s="10" t="s">
        <v>1378</v>
      </c>
      <c r="K157" s="10" t="s">
        <v>39</v>
      </c>
      <c r="L157" s="10" t="s">
        <v>1379</v>
      </c>
      <c r="M157" s="10" t="s">
        <v>1380</v>
      </c>
      <c r="N157" s="10" t="s">
        <v>42</v>
      </c>
      <c r="O157" s="10">
        <v>3</v>
      </c>
      <c r="P157" s="10" t="s">
        <v>42</v>
      </c>
      <c r="Q157" s="10" t="s">
        <v>43</v>
      </c>
      <c r="R157" s="10" t="s">
        <v>1381</v>
      </c>
      <c r="S157" s="10" t="s">
        <v>1379</v>
      </c>
      <c r="T157" s="10" t="s">
        <v>42</v>
      </c>
      <c r="U157" s="10">
        <v>43</v>
      </c>
      <c r="V157" s="10">
        <v>270</v>
      </c>
      <c r="W157" s="10">
        <v>228</v>
      </c>
      <c r="X157" s="10" t="s">
        <v>45</v>
      </c>
      <c r="Y157" s="10" t="s">
        <v>1382</v>
      </c>
      <c r="Z157" s="10" t="s">
        <v>645</v>
      </c>
      <c r="AA157" s="10" t="s">
        <v>417</v>
      </c>
      <c r="AB157" s="10"/>
      <c r="AC157" s="10"/>
      <c r="AD157" s="10"/>
      <c r="AE157" s="10"/>
      <c r="AF157" s="10"/>
      <c r="AG157" s="44"/>
      <c r="AH157" s="44"/>
      <c r="AI157" s="44" t="s">
        <v>6052</v>
      </c>
      <c r="AJ157" s="44" t="s">
        <v>6052</v>
      </c>
      <c r="AK157" s="44" t="s">
        <v>6052</v>
      </c>
      <c r="AL157" s="44" t="s">
        <v>6052</v>
      </c>
      <c r="AM157" s="44" t="s">
        <v>6052</v>
      </c>
      <c r="AN157" s="44" t="s">
        <v>32480</v>
      </c>
      <c r="AO157" s="45">
        <v>7</v>
      </c>
      <c r="AP157" s="45">
        <v>1</v>
      </c>
      <c r="AQ157" s="45">
        <v>0</v>
      </c>
      <c r="AR157" s="45">
        <v>0</v>
      </c>
      <c r="AS157" s="45">
        <v>0</v>
      </c>
      <c r="AT157" s="45">
        <v>0</v>
      </c>
      <c r="AU157" s="10" t="s">
        <v>6052</v>
      </c>
      <c r="AV157" s="10" t="s">
        <v>6052</v>
      </c>
      <c r="AW157" s="10" t="s">
        <v>6052</v>
      </c>
      <c r="AX157" s="10" t="s">
        <v>6052</v>
      </c>
      <c r="AY157" s="10" t="s">
        <v>32481</v>
      </c>
      <c r="AZ157" s="44" t="s">
        <v>33116</v>
      </c>
      <c r="BA157" s="44" t="s">
        <v>30884</v>
      </c>
      <c r="BB157" s="44" t="s">
        <v>31293</v>
      </c>
      <c r="BC157" s="44" t="s">
        <v>6415</v>
      </c>
      <c r="BD157" s="44" t="s">
        <v>31707</v>
      </c>
      <c r="BE157" s="11">
        <v>1</v>
      </c>
      <c r="BF157" s="11">
        <v>0</v>
      </c>
      <c r="BG157" s="11">
        <v>0</v>
      </c>
      <c r="BH157" s="10" t="s">
        <v>31862</v>
      </c>
      <c r="BI157" s="11">
        <v>100</v>
      </c>
      <c r="BJ157" s="10" t="s">
        <v>33162</v>
      </c>
      <c r="BK157" s="11" t="s">
        <v>33162</v>
      </c>
    </row>
    <row r="158" spans="1:63" x14ac:dyDescent="0.75">
      <c r="A158" t="s">
        <v>1376</v>
      </c>
      <c r="B158" t="s">
        <v>104</v>
      </c>
      <c r="C158" t="s">
        <v>105</v>
      </c>
      <c r="D158" t="s">
        <v>106</v>
      </c>
      <c r="E158" s="22" t="s">
        <v>11033</v>
      </c>
      <c r="F158" t="s">
        <v>1383</v>
      </c>
      <c r="G158" s="1" t="str">
        <f>HYPERLINK("https://homd.org/jbrowse/?data=homd_V11.02_phage_1.2%2FGCA_001057035.1&amp;loc=GCA_001057035.1%7CJVFB01000033.1%3A604..7395&amp;tracks=prokka,prokka_ncrna,ncbi,ncbi_ncrna,panggolin,cenote,genomad&amp;highlight=","Open JBrowse")</f>
        <v>Open JBrowse</v>
      </c>
      <c r="H158" s="10">
        <v>3604</v>
      </c>
      <c r="I158" s="10">
        <v>4395</v>
      </c>
      <c r="J158" s="10" t="s">
        <v>1384</v>
      </c>
      <c r="K158" s="10" t="s">
        <v>39</v>
      </c>
      <c r="L158" s="10" t="s">
        <v>123</v>
      </c>
      <c r="M158" s="10" t="s">
        <v>124</v>
      </c>
      <c r="N158" s="10" t="s">
        <v>42</v>
      </c>
      <c r="O158" s="10">
        <v>3</v>
      </c>
      <c r="P158" s="10" t="s">
        <v>42</v>
      </c>
      <c r="Q158" s="10" t="s">
        <v>43</v>
      </c>
      <c r="R158" s="10" t="s">
        <v>1381</v>
      </c>
      <c r="S158" s="10" t="s">
        <v>123</v>
      </c>
      <c r="T158" s="10" t="s">
        <v>42</v>
      </c>
      <c r="U158" s="10">
        <v>35</v>
      </c>
      <c r="V158" s="10">
        <v>261</v>
      </c>
      <c r="W158" s="10">
        <v>227</v>
      </c>
      <c r="X158" s="10" t="s">
        <v>45</v>
      </c>
      <c r="Y158" s="10" t="s">
        <v>1385</v>
      </c>
      <c r="Z158" s="10" t="s">
        <v>932</v>
      </c>
      <c r="AA158" s="10" t="s">
        <v>1386</v>
      </c>
      <c r="AB158" s="10"/>
      <c r="AC158" s="10"/>
      <c r="AD158" s="10"/>
      <c r="AE158" s="10"/>
      <c r="AF158" s="10"/>
      <c r="AG158" s="44"/>
      <c r="AH158" s="44"/>
      <c r="AI158" s="44" t="s">
        <v>6052</v>
      </c>
      <c r="AJ158" s="44" t="s">
        <v>6052</v>
      </c>
      <c r="AK158" s="44" t="s">
        <v>6052</v>
      </c>
      <c r="AL158" s="44" t="s">
        <v>6052</v>
      </c>
      <c r="AM158" s="44" t="s">
        <v>6052</v>
      </c>
      <c r="AN158" s="44" t="s">
        <v>32479</v>
      </c>
      <c r="AO158" s="45">
        <v>11</v>
      </c>
      <c r="AP158" s="45">
        <v>1</v>
      </c>
      <c r="AQ158" s="45">
        <v>0</v>
      </c>
      <c r="AR158" s="45">
        <v>0</v>
      </c>
      <c r="AS158" s="45">
        <v>0</v>
      </c>
      <c r="AT158" s="45">
        <v>0</v>
      </c>
      <c r="AU158" s="10" t="s">
        <v>6052</v>
      </c>
      <c r="AV158" s="10" t="s">
        <v>6052</v>
      </c>
      <c r="AW158" s="10" t="s">
        <v>6052</v>
      </c>
      <c r="AX158" s="10" t="s">
        <v>6052</v>
      </c>
      <c r="AY158" s="10" t="s">
        <v>32253</v>
      </c>
      <c r="AZ158" s="44" t="s">
        <v>33116</v>
      </c>
      <c r="BA158" s="44" t="s">
        <v>30884</v>
      </c>
      <c r="BB158" s="44" t="s">
        <v>31292</v>
      </c>
      <c r="BC158" s="44" t="s">
        <v>6415</v>
      </c>
      <c r="BD158" s="44" t="s">
        <v>31707</v>
      </c>
      <c r="BE158" s="11">
        <v>1</v>
      </c>
      <c r="BF158" s="11">
        <v>0</v>
      </c>
      <c r="BG158" s="11">
        <v>0</v>
      </c>
      <c r="BH158" s="10" t="s">
        <v>32045</v>
      </c>
      <c r="BI158" s="11">
        <v>100</v>
      </c>
      <c r="BJ158" s="10" t="s">
        <v>33162</v>
      </c>
      <c r="BK158" s="11" t="s">
        <v>33162</v>
      </c>
    </row>
    <row r="159" spans="1:63" x14ac:dyDescent="0.75">
      <c r="A159" t="s">
        <v>5770</v>
      </c>
      <c r="B159" t="s">
        <v>104</v>
      </c>
      <c r="C159" t="s">
        <v>105</v>
      </c>
      <c r="D159" t="s">
        <v>106</v>
      </c>
      <c r="E159" s="22" t="s">
        <v>30844</v>
      </c>
      <c r="F159" t="s">
        <v>5771</v>
      </c>
      <c r="G159" s="1" t="str">
        <f>HYPERLINK("https://homd.org/jbrowse/?data=homd_V11.02_phage_1.2%2FGCA_937926985.1&amp;loc=GCA_937926985.1%7CCALBCK010000091.1%3A1642..8433&amp;tracks=prokka,prokka_ncrna,ncbi,ncbi_ncrna,panggolin,cenote,genomad&amp;highlight=","Open JBrowse")</f>
        <v>Open JBrowse</v>
      </c>
      <c r="H159" s="10">
        <v>4642</v>
      </c>
      <c r="I159" s="10">
        <v>5433</v>
      </c>
      <c r="J159" s="10" t="s">
        <v>5772</v>
      </c>
      <c r="K159" s="10" t="s">
        <v>39</v>
      </c>
      <c r="L159" s="10" t="s">
        <v>123</v>
      </c>
      <c r="M159" s="10" t="s">
        <v>124</v>
      </c>
      <c r="N159" s="10" t="s">
        <v>42</v>
      </c>
      <c r="O159" s="10">
        <v>3</v>
      </c>
      <c r="P159" s="10" t="s">
        <v>42</v>
      </c>
      <c r="Q159" s="10" t="s">
        <v>43</v>
      </c>
      <c r="R159" s="10" t="s">
        <v>5773</v>
      </c>
      <c r="S159" s="10" t="s">
        <v>123</v>
      </c>
      <c r="T159" s="10" t="s">
        <v>42</v>
      </c>
      <c r="U159" s="10">
        <v>35</v>
      </c>
      <c r="V159" s="10">
        <v>261</v>
      </c>
      <c r="W159" s="10">
        <v>227</v>
      </c>
      <c r="X159" s="10" t="s">
        <v>45</v>
      </c>
      <c r="Y159" s="10" t="s">
        <v>5774</v>
      </c>
      <c r="Z159" s="10" t="s">
        <v>281</v>
      </c>
      <c r="AA159" s="10" t="s">
        <v>2806</v>
      </c>
      <c r="AB159" s="10"/>
      <c r="AC159" s="10"/>
      <c r="AD159" s="10"/>
      <c r="AE159" s="10"/>
      <c r="AF159" s="10"/>
      <c r="AG159" s="44"/>
      <c r="AH159" s="44"/>
      <c r="AI159" s="44" t="s">
        <v>6052</v>
      </c>
      <c r="AJ159" s="44" t="s">
        <v>6052</v>
      </c>
      <c r="AK159" s="44" t="s">
        <v>6052</v>
      </c>
      <c r="AL159" s="44" t="s">
        <v>6052</v>
      </c>
      <c r="AM159" s="44" t="s">
        <v>6052</v>
      </c>
      <c r="AN159" s="44" t="s">
        <v>32293</v>
      </c>
      <c r="AO159" s="45">
        <v>11</v>
      </c>
      <c r="AP159" s="45">
        <v>1</v>
      </c>
      <c r="AQ159" s="45">
        <v>1</v>
      </c>
      <c r="AR159" s="45">
        <v>1</v>
      </c>
      <c r="AS159" s="45">
        <v>0</v>
      </c>
      <c r="AT159" s="45">
        <v>0</v>
      </c>
      <c r="AU159" s="10" t="s">
        <v>32294</v>
      </c>
      <c r="AV159" s="10" t="s">
        <v>32295</v>
      </c>
      <c r="AW159" s="10" t="s">
        <v>6052</v>
      </c>
      <c r="AX159" s="10" t="s">
        <v>6052</v>
      </c>
      <c r="AY159" s="10" t="s">
        <v>32296</v>
      </c>
      <c r="AZ159" s="44" t="s">
        <v>33116</v>
      </c>
      <c r="BA159" s="44" t="s">
        <v>30857</v>
      </c>
      <c r="BB159" s="44" t="s">
        <v>31188</v>
      </c>
      <c r="BC159" s="44" t="s">
        <v>6415</v>
      </c>
      <c r="BD159" s="44" t="s">
        <v>31707</v>
      </c>
      <c r="BE159" s="11">
        <v>1</v>
      </c>
      <c r="BF159" s="11">
        <v>0</v>
      </c>
      <c r="BG159" s="11">
        <v>0</v>
      </c>
      <c r="BH159" s="10" t="s">
        <v>32095</v>
      </c>
      <c r="BI159" s="11">
        <v>100</v>
      </c>
      <c r="BJ159" s="10" t="s">
        <v>33162</v>
      </c>
      <c r="BK159" s="11" t="s">
        <v>33162</v>
      </c>
    </row>
    <row r="160" spans="1:63" x14ac:dyDescent="0.75">
      <c r="A160" t="s">
        <v>5914</v>
      </c>
      <c r="B160" t="s">
        <v>104</v>
      </c>
      <c r="C160" t="s">
        <v>814</v>
      </c>
      <c r="D160" t="s">
        <v>815</v>
      </c>
      <c r="E160" s="22" t="s">
        <v>30844</v>
      </c>
      <c r="F160" t="s">
        <v>5915</v>
      </c>
      <c r="G160" s="1" t="str">
        <f>HYPERLINK("https://homd.org/jbrowse/?data=homd_V11.02_phage_1.2%2FGCA_938045645.1&amp;loc=GCA_938045645.1%7CCALIAT010000024.1%3A5215..12039&amp;tracks=prokka,prokka_ncrna,ncbi,ncbi_ncrna,panggolin,cenote,genomad&amp;highlight=","Open JBrowse")</f>
        <v>Open JBrowse</v>
      </c>
      <c r="H160" s="10">
        <v>8215</v>
      </c>
      <c r="I160" s="10">
        <v>9039</v>
      </c>
      <c r="J160" s="10" t="s">
        <v>5916</v>
      </c>
      <c r="K160" s="10" t="s">
        <v>39</v>
      </c>
      <c r="L160" s="10" t="s">
        <v>997</v>
      </c>
      <c r="M160" s="10" t="s">
        <v>5917</v>
      </c>
      <c r="N160" s="10" t="s">
        <v>42</v>
      </c>
      <c r="O160" s="10">
        <v>3</v>
      </c>
      <c r="P160" s="10" t="s">
        <v>42</v>
      </c>
      <c r="Q160" s="10" t="s">
        <v>43</v>
      </c>
      <c r="R160" s="10" t="s">
        <v>5918</v>
      </c>
      <c r="S160" s="10" t="s">
        <v>997</v>
      </c>
      <c r="T160" s="10" t="s">
        <v>42</v>
      </c>
      <c r="U160" s="10">
        <v>39</v>
      </c>
      <c r="V160" s="10">
        <v>271</v>
      </c>
      <c r="W160" s="10">
        <v>233</v>
      </c>
      <c r="X160" s="10" t="s">
        <v>45</v>
      </c>
      <c r="Y160" s="10"/>
      <c r="Z160" s="10"/>
      <c r="AA160" s="10"/>
      <c r="AB160" s="10"/>
      <c r="AC160" s="10"/>
      <c r="AD160" s="10"/>
      <c r="AE160" s="10"/>
      <c r="AF160" s="10"/>
      <c r="AG160" s="44"/>
      <c r="AH160" s="44"/>
      <c r="AI160" s="46" t="s">
        <v>6054</v>
      </c>
      <c r="AJ160" s="44" t="s">
        <v>6052</v>
      </c>
      <c r="AK160" s="44" t="s">
        <v>6052</v>
      </c>
      <c r="AL160" s="44" t="s">
        <v>6052</v>
      </c>
      <c r="AM160" s="44" t="s">
        <v>6052</v>
      </c>
      <c r="AN160" s="44" t="s">
        <v>32356</v>
      </c>
      <c r="AO160" s="45">
        <v>11</v>
      </c>
      <c r="AP160" s="45">
        <v>1</v>
      </c>
      <c r="AQ160" s="45">
        <v>0</v>
      </c>
      <c r="AR160" s="45">
        <v>0</v>
      </c>
      <c r="AS160" s="45">
        <v>0</v>
      </c>
      <c r="AT160" s="45">
        <v>0</v>
      </c>
      <c r="AU160" s="10" t="s">
        <v>6052</v>
      </c>
      <c r="AV160" s="10" t="s">
        <v>6052</v>
      </c>
      <c r="AW160" s="10" t="s">
        <v>6052</v>
      </c>
      <c r="AX160" s="10" t="s">
        <v>6052</v>
      </c>
      <c r="AY160" s="10" t="s">
        <v>32253</v>
      </c>
      <c r="AZ160" s="44" t="s">
        <v>33116</v>
      </c>
      <c r="BA160" s="44" t="s">
        <v>30868</v>
      </c>
      <c r="BB160" s="44" t="s">
        <v>31239</v>
      </c>
      <c r="BC160" s="44" t="s">
        <v>6415</v>
      </c>
      <c r="BD160" s="44" t="s">
        <v>31707</v>
      </c>
      <c r="BE160" s="11">
        <v>1</v>
      </c>
      <c r="BF160" s="11">
        <v>0</v>
      </c>
      <c r="BG160" s="11">
        <v>0</v>
      </c>
      <c r="BH160" s="10" t="s">
        <v>31917</v>
      </c>
      <c r="BI160" s="11">
        <v>99.6</v>
      </c>
      <c r="BJ160" s="10" t="s">
        <v>33162</v>
      </c>
      <c r="BK160" s="11" t="s">
        <v>33162</v>
      </c>
    </row>
    <row r="161" spans="1:63" x14ac:dyDescent="0.75">
      <c r="A161" t="s">
        <v>5914</v>
      </c>
      <c r="B161" t="s">
        <v>104</v>
      </c>
      <c r="C161" t="s">
        <v>814</v>
      </c>
      <c r="D161" t="s">
        <v>815</v>
      </c>
      <c r="E161" s="22" t="s">
        <v>30844</v>
      </c>
      <c r="F161" t="s">
        <v>5924</v>
      </c>
      <c r="G161" s="1" t="str">
        <f>HYPERLINK("https://homd.org/jbrowse/?data=homd_V11.02_phage_1.2%2FGCA_938045645.1&amp;loc=GCA_938045645.1%7CCALIAT010000141.1%3A5392..12174&amp;tracks=prokka,prokka_ncrna,ncbi,ncbi_ncrna,panggolin,cenote,genomad&amp;highlight=","Open JBrowse")</f>
        <v>Open JBrowse</v>
      </c>
      <c r="H161" s="10">
        <v>8392</v>
      </c>
      <c r="I161" s="10">
        <v>9174</v>
      </c>
      <c r="J161" s="10" t="s">
        <v>5925</v>
      </c>
      <c r="K161" s="10" t="s">
        <v>39</v>
      </c>
      <c r="L161" s="10" t="s">
        <v>818</v>
      </c>
      <c r="M161" s="10" t="s">
        <v>819</v>
      </c>
      <c r="N161" s="10" t="s">
        <v>42</v>
      </c>
      <c r="O161" s="10">
        <v>3</v>
      </c>
      <c r="P161" s="10" t="s">
        <v>42</v>
      </c>
      <c r="Q161" s="10" t="s">
        <v>43</v>
      </c>
      <c r="R161" s="10" t="s">
        <v>5918</v>
      </c>
      <c r="S161" s="10" t="s">
        <v>818</v>
      </c>
      <c r="T161" s="10" t="s">
        <v>42</v>
      </c>
      <c r="U161" s="10">
        <v>28</v>
      </c>
      <c r="V161" s="10">
        <v>256</v>
      </c>
      <c r="W161" s="10">
        <v>229</v>
      </c>
      <c r="X161" s="10" t="s">
        <v>45</v>
      </c>
      <c r="Y161" s="10" t="s">
        <v>5926</v>
      </c>
      <c r="Z161" s="10" t="s">
        <v>1450</v>
      </c>
      <c r="AA161" s="10" t="s">
        <v>5927</v>
      </c>
      <c r="AB161" s="10"/>
      <c r="AC161" s="10"/>
      <c r="AD161" s="10"/>
      <c r="AE161" s="10"/>
      <c r="AF161" s="10"/>
      <c r="AG161" s="44"/>
      <c r="AH161" s="44"/>
      <c r="AI161" s="44" t="s">
        <v>6052</v>
      </c>
      <c r="AJ161" s="44" t="s">
        <v>6052</v>
      </c>
      <c r="AK161" s="44" t="s">
        <v>6052</v>
      </c>
      <c r="AL161" s="44" t="s">
        <v>6052</v>
      </c>
      <c r="AM161" s="44" t="s">
        <v>6052</v>
      </c>
      <c r="AN161" s="44" t="s">
        <v>32327</v>
      </c>
      <c r="AO161" s="45">
        <v>11</v>
      </c>
      <c r="AP161" s="45">
        <v>1</v>
      </c>
      <c r="AQ161" s="45">
        <v>0</v>
      </c>
      <c r="AR161" s="45">
        <v>0</v>
      </c>
      <c r="AS161" s="45">
        <v>0</v>
      </c>
      <c r="AT161" s="45">
        <v>0</v>
      </c>
      <c r="AU161" s="10" t="s">
        <v>6052</v>
      </c>
      <c r="AV161" s="10" t="s">
        <v>6052</v>
      </c>
      <c r="AW161" s="10" t="s">
        <v>6052</v>
      </c>
      <c r="AX161" s="10" t="s">
        <v>6052</v>
      </c>
      <c r="AY161" s="10" t="s">
        <v>32253</v>
      </c>
      <c r="AZ161" s="44" t="s">
        <v>33117</v>
      </c>
      <c r="BA161" s="44" t="s">
        <v>30868</v>
      </c>
      <c r="BB161" s="44" t="s">
        <v>31215</v>
      </c>
      <c r="BC161" s="44" t="s">
        <v>6415</v>
      </c>
      <c r="BD161" s="44" t="s">
        <v>31707</v>
      </c>
      <c r="BE161" s="11">
        <v>1</v>
      </c>
      <c r="BF161" s="11">
        <v>0</v>
      </c>
      <c r="BG161" s="11">
        <v>0</v>
      </c>
      <c r="BH161" s="10" t="s">
        <v>31941</v>
      </c>
      <c r="BI161" s="11">
        <v>100</v>
      </c>
      <c r="BJ161" s="10" t="s">
        <v>33162</v>
      </c>
      <c r="BK161" s="11" t="s">
        <v>33162</v>
      </c>
    </row>
    <row r="162" spans="1:63" x14ac:dyDescent="0.75">
      <c r="A162" t="s">
        <v>5425</v>
      </c>
      <c r="B162" t="s">
        <v>104</v>
      </c>
      <c r="C162" t="s">
        <v>473</v>
      </c>
      <c r="D162" t="s">
        <v>474</v>
      </c>
      <c r="E162" s="22" t="s">
        <v>30844</v>
      </c>
      <c r="F162" t="s">
        <v>5426</v>
      </c>
      <c r="G162" s="1" t="str">
        <f>HYPERLINK("https://homd.org/jbrowse/?data=homd_V11.02_phage_1.2%2FGCA_905371935.1&amp;loc=GCA_905371935.1%7CCAJPNH010000068.1%3A2896..9729&amp;tracks=prokka,prokka_ncrna,ncbi,ncbi_ncrna,panggolin,cenote,genomad&amp;highlight=","Open JBrowse")</f>
        <v>Open JBrowse</v>
      </c>
      <c r="H162" s="10">
        <v>5896</v>
      </c>
      <c r="I162" s="10">
        <v>6729</v>
      </c>
      <c r="J162" s="10" t="s">
        <v>5427</v>
      </c>
      <c r="K162" s="10" t="s">
        <v>39</v>
      </c>
      <c r="L162" s="10" t="s">
        <v>129</v>
      </c>
      <c r="M162" s="10" t="s">
        <v>130</v>
      </c>
      <c r="N162" s="10" t="s">
        <v>42</v>
      </c>
      <c r="O162" s="10">
        <v>3</v>
      </c>
      <c r="P162" s="10" t="s">
        <v>42</v>
      </c>
      <c r="Q162" s="10" t="s">
        <v>43</v>
      </c>
      <c r="R162" s="10" t="s">
        <v>5428</v>
      </c>
      <c r="S162" s="10" t="s">
        <v>129</v>
      </c>
      <c r="T162" s="10" t="s">
        <v>42</v>
      </c>
      <c r="U162" s="10">
        <v>43</v>
      </c>
      <c r="V162" s="10">
        <v>275</v>
      </c>
      <c r="W162" s="10">
        <v>233</v>
      </c>
      <c r="X162" s="10" t="s">
        <v>45</v>
      </c>
      <c r="Y162" s="10" t="s">
        <v>5429</v>
      </c>
      <c r="Z162" s="10" t="s">
        <v>357</v>
      </c>
      <c r="AA162" s="10" t="s">
        <v>5430</v>
      </c>
      <c r="AB162" s="10"/>
      <c r="AC162" s="10"/>
      <c r="AD162" s="10"/>
      <c r="AE162" s="10"/>
      <c r="AF162" s="10"/>
      <c r="AG162" s="44"/>
      <c r="AH162" s="44"/>
      <c r="AI162" s="44" t="s">
        <v>6052</v>
      </c>
      <c r="AJ162" s="44" t="s">
        <v>6052</v>
      </c>
      <c r="AK162" s="44" t="s">
        <v>6052</v>
      </c>
      <c r="AL162" s="44" t="s">
        <v>6052</v>
      </c>
      <c r="AM162" s="44" t="s">
        <v>6052</v>
      </c>
      <c r="AN162" s="44" t="s">
        <v>32345</v>
      </c>
      <c r="AO162" s="45">
        <v>11</v>
      </c>
      <c r="AP162" s="45">
        <v>1</v>
      </c>
      <c r="AQ162" s="45">
        <v>0</v>
      </c>
      <c r="AR162" s="45">
        <v>0</v>
      </c>
      <c r="AS162" s="45">
        <v>0</v>
      </c>
      <c r="AT162" s="45">
        <v>0</v>
      </c>
      <c r="AU162" s="10" t="s">
        <v>6052</v>
      </c>
      <c r="AV162" s="10" t="s">
        <v>6052</v>
      </c>
      <c r="AW162" s="10" t="s">
        <v>6052</v>
      </c>
      <c r="AX162" s="10" t="s">
        <v>6052</v>
      </c>
      <c r="AY162" s="10" t="s">
        <v>32253</v>
      </c>
      <c r="AZ162" s="44" t="s">
        <v>33116</v>
      </c>
      <c r="BA162" s="44" t="s">
        <v>30871</v>
      </c>
      <c r="BB162" s="44" t="s">
        <v>31230</v>
      </c>
      <c r="BC162" s="44" t="s">
        <v>6415</v>
      </c>
      <c r="BD162" s="44" t="s">
        <v>31707</v>
      </c>
      <c r="BE162" s="11">
        <v>1</v>
      </c>
      <c r="BF162" s="11">
        <v>0</v>
      </c>
      <c r="BG162" s="11">
        <v>0</v>
      </c>
      <c r="BH162" s="10" t="s">
        <v>31865</v>
      </c>
      <c r="BI162" s="11">
        <v>100</v>
      </c>
      <c r="BJ162" s="10" t="s">
        <v>33162</v>
      </c>
      <c r="BK162" s="11" t="s">
        <v>33162</v>
      </c>
    </row>
    <row r="163" spans="1:63" x14ac:dyDescent="0.75">
      <c r="A163" t="s">
        <v>5492</v>
      </c>
      <c r="B163" t="s">
        <v>104</v>
      </c>
      <c r="C163" t="s">
        <v>329</v>
      </c>
      <c r="D163" t="s">
        <v>330</v>
      </c>
      <c r="E163" s="22" t="s">
        <v>30844</v>
      </c>
      <c r="F163" t="s">
        <v>5493</v>
      </c>
      <c r="G163" s="1" t="str">
        <f>HYPERLINK("https://homd.org/jbrowse/?data=homd_V11.02_phage_1.2%2FGCA_905373265.1&amp;loc=GCA_905373265.1%7CCAJPRX010000003.1%3A15770..22591&amp;tracks=prokka,prokka_ncrna,ncbi,ncbi_ncrna,panggolin,cenote,genomad&amp;highlight=","Open JBrowse")</f>
        <v>Open JBrowse</v>
      </c>
      <c r="H163" s="10">
        <v>18770</v>
      </c>
      <c r="I163" s="10">
        <v>19591</v>
      </c>
      <c r="J163" s="10" t="s">
        <v>5494</v>
      </c>
      <c r="K163" s="10" t="s">
        <v>39</v>
      </c>
      <c r="L163" s="10" t="s">
        <v>343</v>
      </c>
      <c r="M163" s="10" t="s">
        <v>1833</v>
      </c>
      <c r="N163" s="10" t="s">
        <v>42</v>
      </c>
      <c r="O163" s="10">
        <v>3</v>
      </c>
      <c r="P163" s="10" t="s">
        <v>42</v>
      </c>
      <c r="Q163" s="10" t="s">
        <v>43</v>
      </c>
      <c r="R163" s="10" t="s">
        <v>5495</v>
      </c>
      <c r="S163" s="10" t="s">
        <v>343</v>
      </c>
      <c r="T163" s="10" t="s">
        <v>42</v>
      </c>
      <c r="U163" s="10">
        <v>38</v>
      </c>
      <c r="V163" s="10">
        <v>270</v>
      </c>
      <c r="W163" s="10">
        <v>233</v>
      </c>
      <c r="X163" s="10" t="s">
        <v>45</v>
      </c>
      <c r="Y163" s="10" t="s">
        <v>5496</v>
      </c>
      <c r="Z163" s="10" t="s">
        <v>1257</v>
      </c>
      <c r="AA163" s="10" t="s">
        <v>5497</v>
      </c>
      <c r="AB163" s="10"/>
      <c r="AC163" s="10"/>
      <c r="AD163" s="10"/>
      <c r="AE163" s="10"/>
      <c r="AF163" s="10"/>
      <c r="AG163" s="44"/>
      <c r="AH163" s="44"/>
      <c r="AI163" s="44" t="s">
        <v>6052</v>
      </c>
      <c r="AJ163" s="44" t="s">
        <v>6052</v>
      </c>
      <c r="AK163" s="44" t="s">
        <v>6052</v>
      </c>
      <c r="AL163" s="44" t="s">
        <v>6052</v>
      </c>
      <c r="AM163" s="44" t="s">
        <v>6052</v>
      </c>
      <c r="AN163" s="44" t="s">
        <v>32330</v>
      </c>
      <c r="AO163" s="45">
        <v>11</v>
      </c>
      <c r="AP163" s="45">
        <v>1</v>
      </c>
      <c r="AQ163" s="45">
        <v>0</v>
      </c>
      <c r="AR163" s="45">
        <v>0</v>
      </c>
      <c r="AS163" s="45">
        <v>0</v>
      </c>
      <c r="AT163" s="45">
        <v>0</v>
      </c>
      <c r="AU163" s="10" t="s">
        <v>6052</v>
      </c>
      <c r="AV163" s="10" t="s">
        <v>6052</v>
      </c>
      <c r="AW163" s="10" t="s">
        <v>6052</v>
      </c>
      <c r="AX163" s="10" t="s">
        <v>6052</v>
      </c>
      <c r="AY163" s="10" t="s">
        <v>32253</v>
      </c>
      <c r="AZ163" s="44" t="s">
        <v>33116</v>
      </c>
      <c r="BA163" s="44" t="s">
        <v>30849</v>
      </c>
      <c r="BB163" s="44" t="s">
        <v>31218</v>
      </c>
      <c r="BC163" s="44" t="s">
        <v>6415</v>
      </c>
      <c r="BD163" s="44" t="s">
        <v>31707</v>
      </c>
      <c r="BE163" s="11">
        <v>1</v>
      </c>
      <c r="BF163" s="11">
        <v>0</v>
      </c>
      <c r="BG163" s="11">
        <v>0</v>
      </c>
      <c r="BH163" s="10" t="s">
        <v>31887</v>
      </c>
      <c r="BI163" s="11">
        <v>100</v>
      </c>
      <c r="BJ163" s="10" t="s">
        <v>33162</v>
      </c>
      <c r="BK163" s="11" t="s">
        <v>33162</v>
      </c>
    </row>
    <row r="164" spans="1:63" x14ac:dyDescent="0.75">
      <c r="A164" t="s">
        <v>5492</v>
      </c>
      <c r="B164" t="s">
        <v>104</v>
      </c>
      <c r="C164" t="s">
        <v>329</v>
      </c>
      <c r="D164" t="s">
        <v>330</v>
      </c>
      <c r="E164" s="22" t="s">
        <v>30844</v>
      </c>
      <c r="F164" t="s">
        <v>5498</v>
      </c>
      <c r="G164" s="1" t="str">
        <f>HYPERLINK("https://homd.org/jbrowse/?data=homd_V11.02_phage_1.2%2FGCA_905373265.1&amp;loc=GCA_905373265.1%7CCAJPRX010000004.1%3A76587..83369&amp;tracks=prokka,prokka_ncrna,ncbi,ncbi_ncrna,panggolin,cenote,genomad&amp;highlight=","Open JBrowse")</f>
        <v>Open JBrowse</v>
      </c>
      <c r="H164" s="10">
        <v>79587</v>
      </c>
      <c r="I164" s="10">
        <v>80369</v>
      </c>
      <c r="J164" s="10" t="s">
        <v>5499</v>
      </c>
      <c r="K164" s="10" t="s">
        <v>39</v>
      </c>
      <c r="L164" s="10" t="s">
        <v>818</v>
      </c>
      <c r="M164" s="10" t="s">
        <v>819</v>
      </c>
      <c r="N164" s="10" t="s">
        <v>42</v>
      </c>
      <c r="O164" s="10">
        <v>3</v>
      </c>
      <c r="P164" s="10" t="s">
        <v>42</v>
      </c>
      <c r="Q164" s="10" t="s">
        <v>43</v>
      </c>
      <c r="R164" s="10" t="s">
        <v>5495</v>
      </c>
      <c r="S164" s="10" t="s">
        <v>818</v>
      </c>
      <c r="T164" s="10" t="s">
        <v>42</v>
      </c>
      <c r="U164" s="10">
        <v>28</v>
      </c>
      <c r="V164" s="10">
        <v>256</v>
      </c>
      <c r="W164" s="10">
        <v>229</v>
      </c>
      <c r="X164" s="10" t="s">
        <v>45</v>
      </c>
      <c r="Y164" s="10" t="s">
        <v>5500</v>
      </c>
      <c r="Z164" s="10" t="s">
        <v>357</v>
      </c>
      <c r="AA164" s="10" t="s">
        <v>5501</v>
      </c>
      <c r="AB164" s="10"/>
      <c r="AC164" s="10"/>
      <c r="AD164" s="10"/>
      <c r="AE164" s="10"/>
      <c r="AF164" s="10"/>
      <c r="AG164" s="44"/>
      <c r="AH164" s="44"/>
      <c r="AI164" s="44" t="s">
        <v>6052</v>
      </c>
      <c r="AJ164" s="44" t="s">
        <v>6052</v>
      </c>
      <c r="AK164" s="44" t="s">
        <v>6052</v>
      </c>
      <c r="AL164" s="44" t="s">
        <v>6052</v>
      </c>
      <c r="AM164" s="44" t="s">
        <v>6052</v>
      </c>
      <c r="AN164" s="44" t="s">
        <v>32344</v>
      </c>
      <c r="AO164" s="45">
        <v>11</v>
      </c>
      <c r="AP164" s="45">
        <v>1</v>
      </c>
      <c r="AQ164" s="45">
        <v>0</v>
      </c>
      <c r="AR164" s="45">
        <v>0</v>
      </c>
      <c r="AS164" s="45">
        <v>0</v>
      </c>
      <c r="AT164" s="45">
        <v>0</v>
      </c>
      <c r="AU164" s="10" t="s">
        <v>6052</v>
      </c>
      <c r="AV164" s="10" t="s">
        <v>6052</v>
      </c>
      <c r="AW164" s="10" t="s">
        <v>6052</v>
      </c>
      <c r="AX164" s="10" t="s">
        <v>6052</v>
      </c>
      <c r="AY164" s="10" t="s">
        <v>32253</v>
      </c>
      <c r="AZ164" s="44" t="s">
        <v>33117</v>
      </c>
      <c r="BA164" s="44" t="s">
        <v>30849</v>
      </c>
      <c r="BB164" s="44" t="s">
        <v>31229</v>
      </c>
      <c r="BC164" s="44" t="s">
        <v>6415</v>
      </c>
      <c r="BD164" s="44" t="s">
        <v>31707</v>
      </c>
      <c r="BE164" s="11">
        <v>1</v>
      </c>
      <c r="BF164" s="11">
        <v>0</v>
      </c>
      <c r="BG164" s="11">
        <v>0</v>
      </c>
      <c r="BH164" s="10" t="s">
        <v>31898</v>
      </c>
      <c r="BI164" s="11">
        <v>100</v>
      </c>
      <c r="BJ164" s="10" t="s">
        <v>33162</v>
      </c>
      <c r="BK164" s="11" t="s">
        <v>33162</v>
      </c>
    </row>
    <row r="165" spans="1:63" x14ac:dyDescent="0.75">
      <c r="A165" t="s">
        <v>5709</v>
      </c>
      <c r="B165" t="s">
        <v>104</v>
      </c>
      <c r="C165" t="s">
        <v>329</v>
      </c>
      <c r="D165" t="s">
        <v>330</v>
      </c>
      <c r="E165" s="22" t="s">
        <v>30844</v>
      </c>
      <c r="F165" t="s">
        <v>5710</v>
      </c>
      <c r="G165" s="1" t="str">
        <f>HYPERLINK("https://homd.org/jbrowse/?data=homd_V11.02_phage_1.2%2FGCA_937881025.1&amp;loc=GCA_937881025.1%7CCALGFZ010000002.1%3A164969..171748&amp;tracks=prokka,prokka_ncrna,ncbi,ncbi_ncrna,panggolin,cenote,genomad&amp;highlight=","Open JBrowse")</f>
        <v>Open JBrowse</v>
      </c>
      <c r="H165" s="10">
        <v>167969</v>
      </c>
      <c r="I165" s="10">
        <v>168748</v>
      </c>
      <c r="J165" s="10" t="s">
        <v>5711</v>
      </c>
      <c r="K165" s="10" t="s">
        <v>39</v>
      </c>
      <c r="L165" s="10" t="s">
        <v>818</v>
      </c>
      <c r="M165" s="10" t="s">
        <v>819</v>
      </c>
      <c r="N165" s="10" t="s">
        <v>42</v>
      </c>
      <c r="O165" s="10">
        <v>3</v>
      </c>
      <c r="P165" s="10" t="s">
        <v>42</v>
      </c>
      <c r="Q165" s="10" t="s">
        <v>43</v>
      </c>
      <c r="R165" s="10" t="s">
        <v>5712</v>
      </c>
      <c r="S165" s="10" t="s">
        <v>818</v>
      </c>
      <c r="T165" s="10" t="s">
        <v>42</v>
      </c>
      <c r="U165" s="10">
        <v>28</v>
      </c>
      <c r="V165" s="10">
        <v>256</v>
      </c>
      <c r="W165" s="10">
        <v>229</v>
      </c>
      <c r="X165" s="10" t="s">
        <v>45</v>
      </c>
      <c r="Y165" s="10"/>
      <c r="Z165" s="10"/>
      <c r="AA165" s="10"/>
      <c r="AB165" s="10"/>
      <c r="AC165" s="10"/>
      <c r="AD165" s="10"/>
      <c r="AE165" s="10"/>
      <c r="AF165" s="10"/>
      <c r="AG165" s="44"/>
      <c r="AH165" s="44"/>
      <c r="AI165" s="46" t="s">
        <v>6054</v>
      </c>
      <c r="AJ165" s="44" t="s">
        <v>6052</v>
      </c>
      <c r="AK165" s="44" t="s">
        <v>6052</v>
      </c>
      <c r="AL165" s="44" t="s">
        <v>6052</v>
      </c>
      <c r="AM165" s="44" t="s">
        <v>6052</v>
      </c>
      <c r="AN165" s="44" t="s">
        <v>32351</v>
      </c>
      <c r="AO165" s="45">
        <v>11</v>
      </c>
      <c r="AP165" s="45">
        <v>1</v>
      </c>
      <c r="AQ165" s="45">
        <v>0</v>
      </c>
      <c r="AR165" s="45">
        <v>0</v>
      </c>
      <c r="AS165" s="45">
        <v>0</v>
      </c>
      <c r="AT165" s="45">
        <v>0</v>
      </c>
      <c r="AU165" s="10" t="s">
        <v>6052</v>
      </c>
      <c r="AV165" s="10" t="s">
        <v>6052</v>
      </c>
      <c r="AW165" s="10" t="s">
        <v>6052</v>
      </c>
      <c r="AX165" s="10" t="s">
        <v>6052</v>
      </c>
      <c r="AY165" s="10" t="s">
        <v>32253</v>
      </c>
      <c r="AZ165" s="44" t="s">
        <v>33117</v>
      </c>
      <c r="BA165" s="44" t="s">
        <v>30849</v>
      </c>
      <c r="BB165" s="44" t="s">
        <v>31236</v>
      </c>
      <c r="BC165" s="44" t="s">
        <v>6415</v>
      </c>
      <c r="BD165" s="44" t="s">
        <v>31707</v>
      </c>
      <c r="BE165" s="11">
        <v>1</v>
      </c>
      <c r="BF165" s="11">
        <v>0</v>
      </c>
      <c r="BG165" s="11">
        <v>0</v>
      </c>
      <c r="BH165" s="10" t="s">
        <v>31929</v>
      </c>
      <c r="BI165" s="11">
        <v>100</v>
      </c>
      <c r="BJ165" s="10" t="s">
        <v>33162</v>
      </c>
      <c r="BK165" s="11" t="s">
        <v>33162</v>
      </c>
    </row>
    <row r="166" spans="1:63" x14ac:dyDescent="0.75">
      <c r="A166" t="s">
        <v>5709</v>
      </c>
      <c r="B166" t="s">
        <v>104</v>
      </c>
      <c r="C166" t="s">
        <v>329</v>
      </c>
      <c r="D166" t="s">
        <v>330</v>
      </c>
      <c r="E166" s="22" t="s">
        <v>30844</v>
      </c>
      <c r="F166" t="s">
        <v>5717</v>
      </c>
      <c r="G166" s="1" t="str">
        <f>HYPERLINK("https://homd.org/jbrowse/?data=homd_V11.02_phage_1.2%2FGCA_937881025.1&amp;loc=GCA_937881025.1%7CCALGFZ010000014.1%3A1..3971&amp;tracks=prokka,prokka_ncrna,ncbi,ncbi_ncrna,panggolin,cenote,genomad&amp;highlight=","Open JBrowse")</f>
        <v>Open JBrowse</v>
      </c>
      <c r="H166" s="10">
        <v>150</v>
      </c>
      <c r="I166" s="10">
        <v>971</v>
      </c>
      <c r="J166" s="10" t="s">
        <v>5718</v>
      </c>
      <c r="K166" s="10" t="s">
        <v>39</v>
      </c>
      <c r="L166" s="10" t="s">
        <v>3147</v>
      </c>
      <c r="M166" s="10" t="s">
        <v>5719</v>
      </c>
      <c r="N166" s="10" t="s">
        <v>42</v>
      </c>
      <c r="O166" s="10">
        <v>3</v>
      </c>
      <c r="P166" s="10" t="s">
        <v>42</v>
      </c>
      <c r="Q166" s="10" t="s">
        <v>43</v>
      </c>
      <c r="R166" s="10" t="s">
        <v>5712</v>
      </c>
      <c r="S166" s="10" t="s">
        <v>3147</v>
      </c>
      <c r="T166" s="10" t="s">
        <v>42</v>
      </c>
      <c r="U166" s="10">
        <v>36</v>
      </c>
      <c r="V166" s="10">
        <v>268</v>
      </c>
      <c r="W166" s="10">
        <v>233</v>
      </c>
      <c r="X166" s="10" t="s">
        <v>45</v>
      </c>
      <c r="Y166" s="10" t="s">
        <v>5720</v>
      </c>
      <c r="Z166" s="10" t="s">
        <v>836</v>
      </c>
      <c r="AA166" s="10" t="s">
        <v>5721</v>
      </c>
      <c r="AB166" s="10"/>
      <c r="AC166" s="10"/>
      <c r="AD166" s="10"/>
      <c r="AE166" s="10"/>
      <c r="AF166" s="10"/>
      <c r="AG166" s="44"/>
      <c r="AH166" s="44"/>
      <c r="AI166" s="44" t="s">
        <v>6052</v>
      </c>
      <c r="AJ166" s="44" t="s">
        <v>6052</v>
      </c>
      <c r="AK166" s="44" t="s">
        <v>6052</v>
      </c>
      <c r="AL166" s="44" t="s">
        <v>6052</v>
      </c>
      <c r="AM166" s="44" t="s">
        <v>6052</v>
      </c>
      <c r="AN166" s="44" t="s">
        <v>32273</v>
      </c>
      <c r="AO166" s="45">
        <v>11</v>
      </c>
      <c r="AP166" s="45">
        <v>1</v>
      </c>
      <c r="AQ166" s="45">
        <v>0</v>
      </c>
      <c r="AR166" s="45">
        <v>0</v>
      </c>
      <c r="AS166" s="45">
        <v>0</v>
      </c>
      <c r="AT166" s="45">
        <v>0</v>
      </c>
      <c r="AU166" s="10" t="s">
        <v>6052</v>
      </c>
      <c r="AV166" s="10" t="s">
        <v>6052</v>
      </c>
      <c r="AW166" s="10" t="s">
        <v>6052</v>
      </c>
      <c r="AX166" s="10" t="s">
        <v>6052</v>
      </c>
      <c r="AY166" s="10" t="s">
        <v>32253</v>
      </c>
      <c r="AZ166" s="44" t="s">
        <v>33116</v>
      </c>
      <c r="BA166" s="44" t="s">
        <v>30849</v>
      </c>
      <c r="BB166" s="44" t="s">
        <v>31168</v>
      </c>
      <c r="BC166" s="44" t="s">
        <v>6415</v>
      </c>
      <c r="BD166" s="44" t="s">
        <v>31707</v>
      </c>
      <c r="BE166" s="11">
        <v>1</v>
      </c>
      <c r="BF166" s="11">
        <v>0</v>
      </c>
      <c r="BG166" s="11">
        <v>0</v>
      </c>
      <c r="BH166" s="10" t="s">
        <v>31948</v>
      </c>
      <c r="BI166" s="11">
        <v>100</v>
      </c>
      <c r="BJ166" s="10" t="s">
        <v>33162</v>
      </c>
      <c r="BK166" s="11" t="s">
        <v>33162</v>
      </c>
    </row>
    <row r="167" spans="1:63" x14ac:dyDescent="0.75">
      <c r="A167" t="s">
        <v>1399</v>
      </c>
      <c r="B167" t="s">
        <v>104</v>
      </c>
      <c r="C167" t="s">
        <v>223</v>
      </c>
      <c r="D167" t="s">
        <v>224</v>
      </c>
      <c r="E167" s="22" t="s">
        <v>11040</v>
      </c>
      <c r="F167" t="s">
        <v>1403</v>
      </c>
      <c r="G167" s="1" t="str">
        <f>HYPERLINK("https://homd.org/jbrowse/?data=homd_V11.02_phage_1.2%2FGCA_001057555.1&amp;loc=GCA_001057555.1%7CJVAB01000175.1%3A1..12484&amp;tracks=prokka,prokka_ncrna,ncbi,ncbi_ncrna,panggolin,cenote,genomad&amp;highlight=","Open JBrowse")</f>
        <v>Open JBrowse</v>
      </c>
      <c r="H167" s="10">
        <v>455</v>
      </c>
      <c r="I167" s="10">
        <v>9484</v>
      </c>
      <c r="J167" s="10" t="s">
        <v>1404</v>
      </c>
      <c r="K167" s="10" t="s">
        <v>627</v>
      </c>
      <c r="L167" s="10" t="s">
        <v>1405</v>
      </c>
      <c r="M167" s="10" t="s">
        <v>1406</v>
      </c>
      <c r="N167" s="10" t="s">
        <v>227</v>
      </c>
      <c r="O167" s="10">
        <v>3</v>
      </c>
      <c r="P167" s="10" t="s">
        <v>1397</v>
      </c>
      <c r="Q167" s="10" t="s">
        <v>59</v>
      </c>
      <c r="R167" s="10" t="s">
        <v>1402</v>
      </c>
      <c r="S167" s="10" t="s">
        <v>1405</v>
      </c>
      <c r="T167" s="10" t="s">
        <v>42</v>
      </c>
      <c r="U167" s="10">
        <v>2061</v>
      </c>
      <c r="V167" s="10">
        <v>2317</v>
      </c>
      <c r="W167" s="10">
        <v>257</v>
      </c>
      <c r="X167" s="10" t="s">
        <v>237</v>
      </c>
      <c r="Y167" s="10"/>
      <c r="Z167" s="10"/>
      <c r="AA167" s="10"/>
      <c r="AB167" s="10"/>
      <c r="AC167" s="10"/>
      <c r="AD167" s="10"/>
      <c r="AE167" s="10"/>
      <c r="AF167" s="10"/>
      <c r="AG167" s="44"/>
      <c r="AH167" s="44"/>
      <c r="AI167" s="46" t="s">
        <v>6054</v>
      </c>
      <c r="AJ167" s="44" t="s">
        <v>6052</v>
      </c>
      <c r="AK167" s="44" t="s">
        <v>6052</v>
      </c>
      <c r="AL167" s="44" t="s">
        <v>6052</v>
      </c>
      <c r="AM167" s="44" t="s">
        <v>6052</v>
      </c>
      <c r="AN167" s="44" t="s">
        <v>32488</v>
      </c>
      <c r="AO167" s="45">
        <v>11</v>
      </c>
      <c r="AP167" s="45">
        <v>1</v>
      </c>
      <c r="AQ167" s="45">
        <v>0</v>
      </c>
      <c r="AR167" s="45">
        <v>0</v>
      </c>
      <c r="AS167" s="45">
        <v>0</v>
      </c>
      <c r="AT167" s="45">
        <v>0</v>
      </c>
      <c r="AU167" s="10" t="s">
        <v>6052</v>
      </c>
      <c r="AV167" s="10" t="s">
        <v>6052</v>
      </c>
      <c r="AW167" s="10" t="s">
        <v>6052</v>
      </c>
      <c r="AX167" s="10" t="s">
        <v>6052</v>
      </c>
      <c r="AY167" s="10" t="s">
        <v>32253</v>
      </c>
      <c r="AZ167" s="44" t="s">
        <v>33110</v>
      </c>
      <c r="BA167" s="44" t="s">
        <v>30887</v>
      </c>
      <c r="BB167" s="44" t="s">
        <v>31297</v>
      </c>
      <c r="BC167" s="44" t="s">
        <v>6927</v>
      </c>
      <c r="BD167" s="44" t="s">
        <v>31721</v>
      </c>
      <c r="BE167" s="11">
        <v>1</v>
      </c>
      <c r="BF167" s="11">
        <v>0</v>
      </c>
      <c r="BG167" s="11">
        <v>0</v>
      </c>
      <c r="BH167" s="10" t="s">
        <v>31905</v>
      </c>
      <c r="BI167" s="11">
        <v>98.9</v>
      </c>
      <c r="BJ167" s="10" t="s">
        <v>33162</v>
      </c>
      <c r="BK167" s="11" t="s">
        <v>33162</v>
      </c>
    </row>
    <row r="168" spans="1:63" x14ac:dyDescent="0.75">
      <c r="A168" t="s">
        <v>1407</v>
      </c>
      <c r="B168" t="s">
        <v>104</v>
      </c>
      <c r="C168" t="s">
        <v>223</v>
      </c>
      <c r="D168" t="s">
        <v>224</v>
      </c>
      <c r="E168" s="22" t="s">
        <v>11128</v>
      </c>
      <c r="F168" t="s">
        <v>1411</v>
      </c>
      <c r="G168" s="1" t="str">
        <f>HYPERLINK("https://homd.org/jbrowse/?data=homd_V11.02_phage_1.2%2FGCA_001063785.1&amp;loc=GCA_001063785.1%7CJVAQ01000123.1%3A1..12146&amp;tracks=prokka,prokka_ncrna,ncbi,ncbi_ncrna,panggolin,cenote,genomad&amp;highlight=","Open JBrowse")</f>
        <v>Open JBrowse</v>
      </c>
      <c r="H168" s="10">
        <v>3</v>
      </c>
      <c r="I168" s="10">
        <v>9146</v>
      </c>
      <c r="J168" s="10" t="s">
        <v>1412</v>
      </c>
      <c r="K168" s="10" t="s">
        <v>627</v>
      </c>
      <c r="L168" s="10" t="s">
        <v>1413</v>
      </c>
      <c r="M168" s="10" t="s">
        <v>1414</v>
      </c>
      <c r="N168" s="10" t="s">
        <v>227</v>
      </c>
      <c r="O168" s="10">
        <v>3</v>
      </c>
      <c r="P168" s="10" t="s">
        <v>1397</v>
      </c>
      <c r="Q168" s="10" t="s">
        <v>59</v>
      </c>
      <c r="R168" s="10" t="s">
        <v>1410</v>
      </c>
      <c r="S168" s="10" t="s">
        <v>1413</v>
      </c>
      <c r="T168" s="10" t="s">
        <v>42</v>
      </c>
      <c r="U168" s="10">
        <v>2099</v>
      </c>
      <c r="V168" s="10">
        <v>2355</v>
      </c>
      <c r="W168" s="10">
        <v>257</v>
      </c>
      <c r="X168" s="10" t="s">
        <v>237</v>
      </c>
      <c r="Y168" s="10"/>
      <c r="Z168" s="10"/>
      <c r="AA168" s="10"/>
      <c r="AB168" s="10"/>
      <c r="AC168" s="10"/>
      <c r="AD168" s="10"/>
      <c r="AE168" s="10"/>
      <c r="AF168" s="10"/>
      <c r="AG168" s="44"/>
      <c r="AH168" s="44"/>
      <c r="AI168" s="46" t="s">
        <v>6054</v>
      </c>
      <c r="AJ168" s="44" t="s">
        <v>6052</v>
      </c>
      <c r="AK168" s="44" t="s">
        <v>6052</v>
      </c>
      <c r="AL168" s="44" t="s">
        <v>6052</v>
      </c>
      <c r="AM168" s="44" t="s">
        <v>6052</v>
      </c>
      <c r="AN168" s="44" t="s">
        <v>32487</v>
      </c>
      <c r="AO168" s="45">
        <v>11</v>
      </c>
      <c r="AP168" s="45">
        <v>1</v>
      </c>
      <c r="AQ168" s="45">
        <v>0</v>
      </c>
      <c r="AR168" s="45">
        <v>0</v>
      </c>
      <c r="AS168" s="45">
        <v>0</v>
      </c>
      <c r="AT168" s="45">
        <v>0</v>
      </c>
      <c r="AU168" s="10" t="s">
        <v>6052</v>
      </c>
      <c r="AV168" s="10" t="s">
        <v>6052</v>
      </c>
      <c r="AW168" s="10" t="s">
        <v>6052</v>
      </c>
      <c r="AX168" s="10" t="s">
        <v>6052</v>
      </c>
      <c r="AY168" s="10" t="s">
        <v>32253</v>
      </c>
      <c r="AZ168" s="44" t="s">
        <v>33110</v>
      </c>
      <c r="BA168" s="44" t="s">
        <v>30886</v>
      </c>
      <c r="BB168" s="44" t="s">
        <v>31296</v>
      </c>
      <c r="BC168" s="44" t="s">
        <v>6927</v>
      </c>
      <c r="BD168" s="44" t="s">
        <v>31721</v>
      </c>
      <c r="BE168" s="11">
        <v>1</v>
      </c>
      <c r="BF168" s="11">
        <v>0</v>
      </c>
      <c r="BG168" s="11">
        <v>0</v>
      </c>
      <c r="BH168" s="10" t="s">
        <v>31906</v>
      </c>
      <c r="BI168" s="11">
        <v>97.6</v>
      </c>
      <c r="BJ168" s="10" t="s">
        <v>33162</v>
      </c>
      <c r="BK168" s="11" t="s">
        <v>33162</v>
      </c>
    </row>
    <row r="169" spans="1:63" x14ac:dyDescent="0.75">
      <c r="A169" t="s">
        <v>1392</v>
      </c>
      <c r="B169" t="s">
        <v>104</v>
      </c>
      <c r="C169" t="s">
        <v>223</v>
      </c>
      <c r="D169" t="s">
        <v>224</v>
      </c>
      <c r="E169" s="22" t="s">
        <v>11038</v>
      </c>
      <c r="F169" t="s">
        <v>1393</v>
      </c>
      <c r="G169" s="1" t="str">
        <f>HYPERLINK("https://homd.org/jbrowse/?data=homd_V11.02_phage_1.2%2FGCA_001057485.1&amp;loc=GCA_001057485.1%7CJVAR01000153.1%3A1..12243&amp;tracks=prokka,prokka_ncrna,ncbi,ncbi_ncrna,panggolin,cenote,genomad&amp;highlight=","Open JBrowse")</f>
        <v>Open JBrowse</v>
      </c>
      <c r="H169" s="10">
        <v>1</v>
      </c>
      <c r="I169" s="10">
        <v>9243</v>
      </c>
      <c r="J169" s="10" t="s">
        <v>1394</v>
      </c>
      <c r="K169" s="10" t="s">
        <v>627</v>
      </c>
      <c r="L169" s="10" t="s">
        <v>1395</v>
      </c>
      <c r="M169" s="10" t="s">
        <v>1396</v>
      </c>
      <c r="N169" s="10" t="s">
        <v>227</v>
      </c>
      <c r="O169" s="10">
        <v>3</v>
      </c>
      <c r="P169" s="10" t="s">
        <v>1397</v>
      </c>
      <c r="Q169" s="10" t="s">
        <v>59</v>
      </c>
      <c r="R169" s="10" t="s">
        <v>1398</v>
      </c>
      <c r="S169" s="10" t="s">
        <v>1395</v>
      </c>
      <c r="T169" s="10" t="s">
        <v>42</v>
      </c>
      <c r="U169" s="10">
        <v>2132</v>
      </c>
      <c r="V169" s="10">
        <v>2388</v>
      </c>
      <c r="W169" s="10">
        <v>257</v>
      </c>
      <c r="X169" s="10" t="s">
        <v>237</v>
      </c>
      <c r="Y169" s="10"/>
      <c r="Z169" s="10"/>
      <c r="AA169" s="10"/>
      <c r="AB169" s="10"/>
      <c r="AC169" s="10"/>
      <c r="AD169" s="10"/>
      <c r="AE169" s="10"/>
      <c r="AF169" s="10"/>
      <c r="AG169" s="44"/>
      <c r="AH169" s="44"/>
      <c r="AI169" s="46" t="s">
        <v>6054</v>
      </c>
      <c r="AJ169" s="44" t="s">
        <v>6052</v>
      </c>
      <c r="AK169" s="44" t="s">
        <v>6052</v>
      </c>
      <c r="AL169" s="44" t="s">
        <v>6052</v>
      </c>
      <c r="AM169" s="44" t="s">
        <v>6052</v>
      </c>
      <c r="AN169" s="44" t="s">
        <v>32486</v>
      </c>
      <c r="AO169" s="45">
        <v>11</v>
      </c>
      <c r="AP169" s="45">
        <v>1</v>
      </c>
      <c r="AQ169" s="45">
        <v>0</v>
      </c>
      <c r="AR169" s="45">
        <v>0</v>
      </c>
      <c r="AS169" s="45">
        <v>0</v>
      </c>
      <c r="AT169" s="45">
        <v>0</v>
      </c>
      <c r="AU169" s="10" t="s">
        <v>6052</v>
      </c>
      <c r="AV169" s="10" t="s">
        <v>6052</v>
      </c>
      <c r="AW169" s="10" t="s">
        <v>6052</v>
      </c>
      <c r="AX169" s="10" t="s">
        <v>6052</v>
      </c>
      <c r="AY169" s="10" t="s">
        <v>32253</v>
      </c>
      <c r="AZ169" s="44" t="s">
        <v>33110</v>
      </c>
      <c r="BA169" s="44" t="s">
        <v>30885</v>
      </c>
      <c r="BB169" s="44" t="s">
        <v>31295</v>
      </c>
      <c r="BC169" s="44" t="s">
        <v>6927</v>
      </c>
      <c r="BD169" s="44" t="s">
        <v>31721</v>
      </c>
      <c r="BE169" s="11">
        <v>1</v>
      </c>
      <c r="BF169" s="11">
        <v>0</v>
      </c>
      <c r="BG169" s="11">
        <v>0</v>
      </c>
      <c r="BH169" s="10" t="s">
        <v>31910</v>
      </c>
      <c r="BI169" s="11">
        <v>99.8</v>
      </c>
      <c r="BJ169" s="10" t="s">
        <v>33162</v>
      </c>
      <c r="BK169" s="11" t="s">
        <v>33162</v>
      </c>
    </row>
    <row r="170" spans="1:63" x14ac:dyDescent="0.75">
      <c r="A170" t="s">
        <v>1010</v>
      </c>
      <c r="B170" t="s">
        <v>104</v>
      </c>
      <c r="C170" t="s">
        <v>284</v>
      </c>
      <c r="D170" t="s">
        <v>285</v>
      </c>
      <c r="E170" s="22" t="s">
        <v>9582</v>
      </c>
      <c r="F170" t="s">
        <v>1011</v>
      </c>
      <c r="G170" s="1" t="str">
        <f>HYPERLINK("https://homd.org/jbrowse/?data=homd_V11.02_phage_1.2%2FGCA_000428965.1&amp;loc=GCA_000428965.1%7CAUAY01000020.1%3A1..6606&amp;tracks=prokka,prokka_ncrna,ncbi,ncbi_ncrna,panggolin,cenote,genomad&amp;highlight=","Open JBrowse")</f>
        <v>Open JBrowse</v>
      </c>
      <c r="H170" s="10">
        <v>2581</v>
      </c>
      <c r="I170" s="10">
        <v>3606</v>
      </c>
      <c r="J170" s="10" t="s">
        <v>1012</v>
      </c>
      <c r="K170" s="10" t="s">
        <v>59</v>
      </c>
      <c r="L170" s="10" t="s">
        <v>1013</v>
      </c>
      <c r="M170" s="10" t="s">
        <v>1014</v>
      </c>
      <c r="N170" s="10" t="s">
        <v>42</v>
      </c>
      <c r="O170" s="10">
        <v>3</v>
      </c>
      <c r="P170" s="10" t="s">
        <v>42</v>
      </c>
      <c r="Q170" s="10" t="s">
        <v>59</v>
      </c>
      <c r="R170" s="10" t="s">
        <v>1015</v>
      </c>
      <c r="S170" s="10" t="s">
        <v>1013</v>
      </c>
      <c r="T170" s="10" t="s">
        <v>42</v>
      </c>
      <c r="U170" s="10">
        <v>83</v>
      </c>
      <c r="V170" s="10">
        <v>338</v>
      </c>
      <c r="W170" s="10">
        <v>256</v>
      </c>
      <c r="X170" s="10" t="s">
        <v>142</v>
      </c>
      <c r="Y170" s="10" t="s">
        <v>1016</v>
      </c>
      <c r="Z170" s="10" t="s">
        <v>357</v>
      </c>
      <c r="AA170" s="10" t="s">
        <v>1017</v>
      </c>
      <c r="AB170" s="10" t="s">
        <v>1018</v>
      </c>
      <c r="AC170" s="10" t="s">
        <v>295</v>
      </c>
      <c r="AD170" s="10" t="s">
        <v>183</v>
      </c>
      <c r="AE170" s="10">
        <v>601</v>
      </c>
      <c r="AF170" s="10" t="s">
        <v>1019</v>
      </c>
      <c r="AG170" s="44"/>
      <c r="AH170" s="44"/>
      <c r="AI170" s="44" t="s">
        <v>6052</v>
      </c>
      <c r="AJ170" s="44" t="s">
        <v>6052</v>
      </c>
      <c r="AK170" s="44" t="s">
        <v>6052</v>
      </c>
      <c r="AL170" s="44" t="s">
        <v>6052</v>
      </c>
      <c r="AM170" s="44" t="s">
        <v>6052</v>
      </c>
      <c r="AN170" s="44" t="s">
        <v>32623</v>
      </c>
      <c r="AO170" s="45">
        <v>11</v>
      </c>
      <c r="AP170" s="45">
        <v>1</v>
      </c>
      <c r="AQ170" s="45">
        <v>0</v>
      </c>
      <c r="AR170" s="45">
        <v>0</v>
      </c>
      <c r="AS170" s="45">
        <v>0</v>
      </c>
      <c r="AT170" s="45">
        <v>0</v>
      </c>
      <c r="AU170" s="10" t="s">
        <v>6052</v>
      </c>
      <c r="AV170" s="10" t="s">
        <v>6052</v>
      </c>
      <c r="AW170" s="10" t="s">
        <v>6052</v>
      </c>
      <c r="AX170" s="10" t="s">
        <v>6052</v>
      </c>
      <c r="AY170" s="10" t="s">
        <v>32253</v>
      </c>
      <c r="AZ170" s="44" t="s">
        <v>33117</v>
      </c>
      <c r="BA170" s="44" t="s">
        <v>30941</v>
      </c>
      <c r="BB170" s="44" t="s">
        <v>31379</v>
      </c>
      <c r="BC170" s="44" t="s">
        <v>6425</v>
      </c>
      <c r="BD170" s="44" t="s">
        <v>31709</v>
      </c>
      <c r="BE170" s="11">
        <v>1</v>
      </c>
      <c r="BF170" s="11">
        <v>0</v>
      </c>
      <c r="BG170" s="11">
        <v>0</v>
      </c>
      <c r="BH170" s="10" t="s">
        <v>31958</v>
      </c>
      <c r="BI170" s="11">
        <v>100</v>
      </c>
      <c r="BJ170" s="10" t="s">
        <v>33162</v>
      </c>
      <c r="BK170" s="11" t="s">
        <v>33162</v>
      </c>
    </row>
    <row r="171" spans="1:63" x14ac:dyDescent="0.75">
      <c r="A171" t="s">
        <v>852</v>
      </c>
      <c r="B171" t="s">
        <v>104</v>
      </c>
      <c r="C171" t="s">
        <v>853</v>
      </c>
      <c r="D171" t="s">
        <v>854</v>
      </c>
      <c r="E171" s="22" t="s">
        <v>9324</v>
      </c>
      <c r="F171" t="s">
        <v>855</v>
      </c>
      <c r="G171" s="1" t="str">
        <f>HYPERLINK("https://homd.org/jbrowse/?data=homd_V11.02_phage_1.2%2FGCA_000373045.1&amp;loc=GCA_000373045.1%7CKB890278.1%3A50782..57801&amp;tracks=prokka,prokka_ncrna,ncbi,ncbi_ncrna,panggolin,cenote,genomad&amp;highlight=","Open JBrowse")</f>
        <v>Open JBrowse</v>
      </c>
      <c r="H171" s="10">
        <v>53782</v>
      </c>
      <c r="I171" s="10">
        <v>54801</v>
      </c>
      <c r="J171" s="10" t="s">
        <v>856</v>
      </c>
      <c r="K171" s="10" t="s">
        <v>59</v>
      </c>
      <c r="L171" s="10" t="s">
        <v>857</v>
      </c>
      <c r="M171" s="10" t="s">
        <v>858</v>
      </c>
      <c r="N171" s="10" t="s">
        <v>42</v>
      </c>
      <c r="O171" s="10">
        <v>3</v>
      </c>
      <c r="P171" s="10" t="s">
        <v>42</v>
      </c>
      <c r="Q171" s="10" t="s">
        <v>59</v>
      </c>
      <c r="R171" s="10" t="s">
        <v>859</v>
      </c>
      <c r="S171" s="10" t="s">
        <v>857</v>
      </c>
      <c r="T171" s="10" t="s">
        <v>42</v>
      </c>
      <c r="U171" s="10">
        <v>80</v>
      </c>
      <c r="V171" s="10">
        <v>336</v>
      </c>
      <c r="W171" s="10">
        <v>257</v>
      </c>
      <c r="X171" s="10" t="s">
        <v>142</v>
      </c>
      <c r="Y171" s="10" t="s">
        <v>860</v>
      </c>
      <c r="Z171" s="10" t="s">
        <v>118</v>
      </c>
      <c r="AA171" s="10" t="s">
        <v>861</v>
      </c>
      <c r="AB171" s="10"/>
      <c r="AC171" s="10"/>
      <c r="AD171" s="10"/>
      <c r="AE171" s="10"/>
      <c r="AF171" s="10"/>
      <c r="AG171" s="44"/>
      <c r="AH171" s="44"/>
      <c r="AI171" s="44" t="s">
        <v>6052</v>
      </c>
      <c r="AJ171" s="44" t="s">
        <v>6052</v>
      </c>
      <c r="AK171" s="44" t="s">
        <v>6052</v>
      </c>
      <c r="AL171" s="44" t="s">
        <v>6052</v>
      </c>
      <c r="AM171" s="44" t="s">
        <v>6052</v>
      </c>
      <c r="AN171" s="44" t="s">
        <v>32619</v>
      </c>
      <c r="AO171" s="45">
        <v>7</v>
      </c>
      <c r="AP171" s="45">
        <v>1</v>
      </c>
      <c r="AQ171" s="45">
        <v>0</v>
      </c>
      <c r="AR171" s="45">
        <v>0</v>
      </c>
      <c r="AS171" s="45">
        <v>0</v>
      </c>
      <c r="AT171" s="45">
        <v>0</v>
      </c>
      <c r="AU171" s="10" t="s">
        <v>6052</v>
      </c>
      <c r="AV171" s="10" t="s">
        <v>6052</v>
      </c>
      <c r="AW171" s="10" t="s">
        <v>6052</v>
      </c>
      <c r="AX171" s="10" t="s">
        <v>6052</v>
      </c>
      <c r="AY171" s="10" t="s">
        <v>32620</v>
      </c>
      <c r="AZ171" s="44" t="s">
        <v>33116</v>
      </c>
      <c r="BA171" s="44" t="s">
        <v>30938</v>
      </c>
      <c r="BB171" s="44" t="s">
        <v>31376</v>
      </c>
      <c r="BC171" s="44" t="s">
        <v>6425</v>
      </c>
      <c r="BD171" s="44" t="s">
        <v>31709</v>
      </c>
      <c r="BE171" s="11">
        <v>1</v>
      </c>
      <c r="BF171" s="11">
        <v>0</v>
      </c>
      <c r="BG171" s="11">
        <v>0</v>
      </c>
      <c r="BH171" s="10" t="s">
        <v>31852</v>
      </c>
      <c r="BI171" s="11">
        <v>100</v>
      </c>
      <c r="BJ171" s="10" t="s">
        <v>33162</v>
      </c>
      <c r="BK171" s="11" t="s">
        <v>33162</v>
      </c>
    </row>
    <row r="172" spans="1:63" x14ac:dyDescent="0.75">
      <c r="A172" t="s">
        <v>5592</v>
      </c>
      <c r="B172" t="s">
        <v>104</v>
      </c>
      <c r="C172" t="s">
        <v>3447</v>
      </c>
      <c r="D172" t="s">
        <v>1069</v>
      </c>
      <c r="E172" s="22" t="s">
        <v>30844</v>
      </c>
      <c r="F172" t="s">
        <v>5593</v>
      </c>
      <c r="G172" s="1" t="str">
        <f>HYPERLINK("https://homd.org/jbrowse/?data=homd_V11.02_phage_1.2%2FGCA_916438585.1&amp;loc=GCA_916438585.1%7CCAKAFQ010000001.1%3A1598558..1605610&amp;tracks=prokka,prokka_ncrna,ncbi,ncbi_ncrna,panggolin,cenote,genomad&amp;highlight=","Open JBrowse")</f>
        <v>Open JBrowse</v>
      </c>
      <c r="H172" s="10">
        <v>1601558</v>
      </c>
      <c r="I172" s="10">
        <v>1602610</v>
      </c>
      <c r="J172" s="10" t="s">
        <v>5594</v>
      </c>
      <c r="K172" s="10" t="s">
        <v>59</v>
      </c>
      <c r="L172" s="10" t="s">
        <v>5595</v>
      </c>
      <c r="M172" s="10" t="s">
        <v>5596</v>
      </c>
      <c r="N172" s="10" t="s">
        <v>42</v>
      </c>
      <c r="O172" s="10">
        <v>3</v>
      </c>
      <c r="P172" s="10" t="s">
        <v>42</v>
      </c>
      <c r="Q172" s="10" t="s">
        <v>59</v>
      </c>
      <c r="R172" s="10" t="s">
        <v>5597</v>
      </c>
      <c r="S172" s="10" t="s">
        <v>5595</v>
      </c>
      <c r="T172" s="10" t="s">
        <v>42</v>
      </c>
      <c r="U172" s="10">
        <v>91</v>
      </c>
      <c r="V172" s="10">
        <v>346</v>
      </c>
      <c r="W172" s="10">
        <v>256</v>
      </c>
      <c r="X172" s="10" t="s">
        <v>142</v>
      </c>
      <c r="Y172" s="10" t="s">
        <v>5598</v>
      </c>
      <c r="Z172" s="10" t="s">
        <v>126</v>
      </c>
      <c r="AA172" s="10" t="s">
        <v>5599</v>
      </c>
      <c r="AB172" s="10" t="s">
        <v>5600</v>
      </c>
      <c r="AC172" s="10" t="s">
        <v>1803</v>
      </c>
      <c r="AD172" s="10" t="s">
        <v>51</v>
      </c>
      <c r="AE172" s="10">
        <v>372.3</v>
      </c>
      <c r="AF172" s="10" t="s">
        <v>1214</v>
      </c>
      <c r="AG172" s="44"/>
      <c r="AH172" s="44"/>
      <c r="AI172" s="44" t="s">
        <v>6052</v>
      </c>
      <c r="AJ172" s="44" t="s">
        <v>6052</v>
      </c>
      <c r="AK172" s="44" t="s">
        <v>6052</v>
      </c>
      <c r="AL172" s="44" t="s">
        <v>6052</v>
      </c>
      <c r="AM172" s="44" t="s">
        <v>6052</v>
      </c>
      <c r="AN172" s="44" t="s">
        <v>32283</v>
      </c>
      <c r="AO172" s="45">
        <v>11</v>
      </c>
      <c r="AP172" s="45">
        <v>1</v>
      </c>
      <c r="AQ172" s="45">
        <v>0</v>
      </c>
      <c r="AR172" s="45">
        <v>0</v>
      </c>
      <c r="AS172" s="45">
        <v>0</v>
      </c>
      <c r="AT172" s="45">
        <v>0</v>
      </c>
      <c r="AU172" s="10" t="s">
        <v>6052</v>
      </c>
      <c r="AV172" s="10" t="s">
        <v>6052</v>
      </c>
      <c r="AW172" s="10" t="s">
        <v>6052</v>
      </c>
      <c r="AX172" s="10" t="s">
        <v>6052</v>
      </c>
      <c r="AY172" s="10" t="s">
        <v>32253</v>
      </c>
      <c r="AZ172" s="44" t="s">
        <v>33110</v>
      </c>
      <c r="BA172" s="44" t="s">
        <v>30852</v>
      </c>
      <c r="BB172" s="44" t="s">
        <v>31178</v>
      </c>
      <c r="BC172" s="44" t="s">
        <v>6425</v>
      </c>
      <c r="BD172" s="44" t="s">
        <v>31709</v>
      </c>
      <c r="BE172" s="11">
        <v>1</v>
      </c>
      <c r="BF172" s="11">
        <v>0</v>
      </c>
      <c r="BG172" s="11">
        <v>0</v>
      </c>
      <c r="BH172" s="10" t="s">
        <v>32013</v>
      </c>
      <c r="BI172" s="11">
        <v>100</v>
      </c>
      <c r="BJ172" s="10" t="s">
        <v>33162</v>
      </c>
      <c r="BK172" s="11" t="s">
        <v>33162</v>
      </c>
    </row>
    <row r="173" spans="1:63" x14ac:dyDescent="0.75">
      <c r="A173" t="s">
        <v>5633</v>
      </c>
      <c r="B173" t="s">
        <v>104</v>
      </c>
      <c r="C173" t="s">
        <v>2405</v>
      </c>
      <c r="D173" t="s">
        <v>1069</v>
      </c>
      <c r="E173" s="22" t="s">
        <v>30844</v>
      </c>
      <c r="F173" t="s">
        <v>5634</v>
      </c>
      <c r="G173" s="1" t="str">
        <f>HYPERLINK("https://homd.org/jbrowse/?data=homd_V11.02_phage_1.2%2FGCA_916720135.1&amp;loc=GCA_916720135.1%7CCAKAQG010000020.1%3A21775..28791&amp;tracks=prokka,prokka_ncrna,ncbi,ncbi_ncrna,panggolin,cenote,genomad&amp;highlight=","Open JBrowse")</f>
        <v>Open JBrowse</v>
      </c>
      <c r="H173" s="10">
        <v>24775</v>
      </c>
      <c r="I173" s="10">
        <v>25791</v>
      </c>
      <c r="J173" s="10" t="s">
        <v>5635</v>
      </c>
      <c r="K173" s="10" t="s">
        <v>59</v>
      </c>
      <c r="L173" s="10" t="s">
        <v>877</v>
      </c>
      <c r="M173" s="10" t="s">
        <v>878</v>
      </c>
      <c r="N173" s="10" t="s">
        <v>42</v>
      </c>
      <c r="O173" s="10">
        <v>3</v>
      </c>
      <c r="P173" s="10" t="s">
        <v>42</v>
      </c>
      <c r="Q173" s="10" t="s">
        <v>59</v>
      </c>
      <c r="R173" s="10" t="s">
        <v>5636</v>
      </c>
      <c r="S173" s="10" t="s">
        <v>877</v>
      </c>
      <c r="T173" s="10" t="s">
        <v>42</v>
      </c>
      <c r="U173" s="10">
        <v>79</v>
      </c>
      <c r="V173" s="10">
        <v>335</v>
      </c>
      <c r="W173" s="10">
        <v>257</v>
      </c>
      <c r="X173" s="10" t="s">
        <v>142</v>
      </c>
      <c r="Y173" s="10" t="s">
        <v>5637</v>
      </c>
      <c r="Z173" s="10" t="s">
        <v>836</v>
      </c>
      <c r="AA173" s="10" t="s">
        <v>5304</v>
      </c>
      <c r="AB173" s="10" t="s">
        <v>5638</v>
      </c>
      <c r="AC173" s="10" t="s">
        <v>2831</v>
      </c>
      <c r="AD173" s="10" t="s">
        <v>2832</v>
      </c>
      <c r="AE173" s="10">
        <v>334</v>
      </c>
      <c r="AF173" s="10" t="s">
        <v>2833</v>
      </c>
      <c r="AG173" s="44"/>
      <c r="AH173" s="44"/>
      <c r="AI173" s="44" t="s">
        <v>6052</v>
      </c>
      <c r="AJ173" s="44" t="s">
        <v>6052</v>
      </c>
      <c r="AK173" s="44" t="s">
        <v>6052</v>
      </c>
      <c r="AL173" s="44" t="s">
        <v>6052</v>
      </c>
      <c r="AM173" s="44" t="s">
        <v>6052</v>
      </c>
      <c r="AN173" s="44" t="s">
        <v>32276</v>
      </c>
      <c r="AO173" s="45">
        <v>11</v>
      </c>
      <c r="AP173" s="45">
        <v>1</v>
      </c>
      <c r="AQ173" s="45">
        <v>0</v>
      </c>
      <c r="AR173" s="45">
        <v>0</v>
      </c>
      <c r="AS173" s="45">
        <v>0</v>
      </c>
      <c r="AT173" s="45">
        <v>0</v>
      </c>
      <c r="AU173" s="10" t="s">
        <v>6052</v>
      </c>
      <c r="AV173" s="10" t="s">
        <v>6052</v>
      </c>
      <c r="AW173" s="10" t="s">
        <v>6052</v>
      </c>
      <c r="AX173" s="10" t="s">
        <v>6052</v>
      </c>
      <c r="AY173" s="10" t="s">
        <v>32253</v>
      </c>
      <c r="AZ173" s="44" t="s">
        <v>33117</v>
      </c>
      <c r="BA173" s="44" t="s">
        <v>30852</v>
      </c>
      <c r="BB173" s="44" t="s">
        <v>31171</v>
      </c>
      <c r="BC173" s="44" t="s">
        <v>6425</v>
      </c>
      <c r="BD173" s="44" t="s">
        <v>31709</v>
      </c>
      <c r="BE173" s="11">
        <v>1</v>
      </c>
      <c r="BF173" s="11">
        <v>0</v>
      </c>
      <c r="BG173" s="11">
        <v>0</v>
      </c>
      <c r="BH173" s="10" t="s">
        <v>31841</v>
      </c>
      <c r="BI173" s="11">
        <v>100</v>
      </c>
      <c r="BJ173" s="10" t="s">
        <v>33162</v>
      </c>
      <c r="BK173" s="11" t="s">
        <v>33162</v>
      </c>
    </row>
    <row r="174" spans="1:63" x14ac:dyDescent="0.75">
      <c r="A174" t="s">
        <v>5759</v>
      </c>
      <c r="B174" t="s">
        <v>104</v>
      </c>
      <c r="C174" t="s">
        <v>3456</v>
      </c>
      <c r="D174" t="s">
        <v>1069</v>
      </c>
      <c r="E174" s="22" t="s">
        <v>30844</v>
      </c>
      <c r="F174" t="s">
        <v>5760</v>
      </c>
      <c r="G174" s="1" t="str">
        <f>HYPERLINK("https://homd.org/jbrowse/?data=homd_V11.02_phage_1.2%2FGCA_937926905.1&amp;loc=GCA_937926905.1%7CCALBAS010000014.1%3A1..5110&amp;tracks=prokka,prokka_ncrna,ncbi,ncbi_ncrna,panggolin,cenote,genomad&amp;highlight=","Open JBrowse")</f>
        <v>Open JBrowse</v>
      </c>
      <c r="H174" s="10">
        <v>974</v>
      </c>
      <c r="I174" s="10">
        <v>2110</v>
      </c>
      <c r="J174" s="10" t="s">
        <v>5761</v>
      </c>
      <c r="K174" s="10" t="s">
        <v>59</v>
      </c>
      <c r="L174" s="10" t="s">
        <v>1528</v>
      </c>
      <c r="M174" s="10" t="s">
        <v>1529</v>
      </c>
      <c r="N174" s="10" t="s">
        <v>42</v>
      </c>
      <c r="O174" s="10">
        <v>3</v>
      </c>
      <c r="P174" s="10" t="s">
        <v>42</v>
      </c>
      <c r="Q174" s="10" t="s">
        <v>59</v>
      </c>
      <c r="R174" s="10" t="s">
        <v>5762</v>
      </c>
      <c r="S174" s="10" t="s">
        <v>1528</v>
      </c>
      <c r="T174" s="10" t="s">
        <v>42</v>
      </c>
      <c r="U174" s="10">
        <v>120</v>
      </c>
      <c r="V174" s="10">
        <v>375</v>
      </c>
      <c r="W174" s="10">
        <v>256</v>
      </c>
      <c r="X174" s="10" t="s">
        <v>142</v>
      </c>
      <c r="Y174" s="10" t="s">
        <v>5763</v>
      </c>
      <c r="Z174" s="10" t="s">
        <v>645</v>
      </c>
      <c r="AA174" s="10" t="s">
        <v>5764</v>
      </c>
      <c r="AB174" s="10"/>
      <c r="AC174" s="10"/>
      <c r="AD174" s="10"/>
      <c r="AE174" s="10"/>
      <c r="AF174" s="10"/>
      <c r="AG174" s="44"/>
      <c r="AH174" s="44"/>
      <c r="AI174" s="44" t="s">
        <v>6052</v>
      </c>
      <c r="AJ174" s="44" t="s">
        <v>6052</v>
      </c>
      <c r="AK174" s="44" t="s">
        <v>6052</v>
      </c>
      <c r="AL174" s="44" t="s">
        <v>6052</v>
      </c>
      <c r="AM174" s="44" t="s">
        <v>6052</v>
      </c>
      <c r="AN174" s="44" t="s">
        <v>32291</v>
      </c>
      <c r="AO174" s="45">
        <v>11</v>
      </c>
      <c r="AP174" s="45">
        <v>1</v>
      </c>
      <c r="AQ174" s="45">
        <v>0</v>
      </c>
      <c r="AR174" s="45">
        <v>0</v>
      </c>
      <c r="AS174" s="45">
        <v>0</v>
      </c>
      <c r="AT174" s="45">
        <v>0</v>
      </c>
      <c r="AU174" s="10" t="s">
        <v>6052</v>
      </c>
      <c r="AV174" s="10" t="s">
        <v>6052</v>
      </c>
      <c r="AW174" s="10" t="s">
        <v>6052</v>
      </c>
      <c r="AX174" s="10" t="s">
        <v>6052</v>
      </c>
      <c r="AY174" s="10" t="s">
        <v>32253</v>
      </c>
      <c r="AZ174" s="44" t="s">
        <v>33116</v>
      </c>
      <c r="BA174" s="44" t="s">
        <v>30852</v>
      </c>
      <c r="BB174" s="44" t="s">
        <v>31186</v>
      </c>
      <c r="BC174" s="44" t="s">
        <v>6425</v>
      </c>
      <c r="BD174" s="44" t="s">
        <v>31709</v>
      </c>
      <c r="BE174" s="11">
        <v>1</v>
      </c>
      <c r="BF174" s="11">
        <v>0</v>
      </c>
      <c r="BG174" s="11">
        <v>0</v>
      </c>
      <c r="BH174" s="10" t="s">
        <v>32004</v>
      </c>
      <c r="BI174" s="11">
        <v>100</v>
      </c>
      <c r="BJ174" s="10" t="s">
        <v>33162</v>
      </c>
      <c r="BK174" s="11" t="s">
        <v>33162</v>
      </c>
    </row>
    <row r="175" spans="1:63" x14ac:dyDescent="0.75">
      <c r="A175" t="s">
        <v>5759</v>
      </c>
      <c r="B175" t="s">
        <v>104</v>
      </c>
      <c r="C175" t="s">
        <v>3456</v>
      </c>
      <c r="D175" t="s">
        <v>1069</v>
      </c>
      <c r="E175" s="22" t="s">
        <v>30844</v>
      </c>
      <c r="F175" t="s">
        <v>5765</v>
      </c>
      <c r="G175" s="1" t="str">
        <f>HYPERLINK("https://homd.org/jbrowse/?data=homd_V11.02_phage_1.2%2FGCA_937926905.1&amp;loc=GCA_937926905.1%7CCALBAS010000119.1%3A1293..8378&amp;tracks=prokka,prokka_ncrna,ncbi,ncbi_ncrna,panggolin,cenote,genomad&amp;highlight=","Open JBrowse")</f>
        <v>Open JBrowse</v>
      </c>
      <c r="H175" s="10">
        <v>4293</v>
      </c>
      <c r="I175" s="10">
        <v>5378</v>
      </c>
      <c r="J175" s="10" t="s">
        <v>5766</v>
      </c>
      <c r="K175" s="10" t="s">
        <v>59</v>
      </c>
      <c r="L175" s="10" t="s">
        <v>5767</v>
      </c>
      <c r="M175" s="10" t="s">
        <v>5768</v>
      </c>
      <c r="N175" s="10" t="s">
        <v>42</v>
      </c>
      <c r="O175" s="10">
        <v>3</v>
      </c>
      <c r="P175" s="10" t="s">
        <v>42</v>
      </c>
      <c r="Q175" s="10" t="s">
        <v>59</v>
      </c>
      <c r="R175" s="10" t="s">
        <v>5762</v>
      </c>
      <c r="S175" s="10" t="s">
        <v>5767</v>
      </c>
      <c r="T175" s="10" t="s">
        <v>42</v>
      </c>
      <c r="U175" s="10">
        <v>102</v>
      </c>
      <c r="V175" s="10">
        <v>358</v>
      </c>
      <c r="W175" s="10">
        <v>257</v>
      </c>
      <c r="X175" s="10" t="s">
        <v>142</v>
      </c>
      <c r="Y175" s="10" t="s">
        <v>5769</v>
      </c>
      <c r="Z175" s="10" t="s">
        <v>126</v>
      </c>
      <c r="AA175" s="10" t="s">
        <v>3463</v>
      </c>
      <c r="AB175" s="10"/>
      <c r="AC175" s="10"/>
      <c r="AD175" s="10"/>
      <c r="AE175" s="10"/>
      <c r="AF175" s="10"/>
      <c r="AG175" s="44"/>
      <c r="AH175" s="44"/>
      <c r="AI175" s="44" t="s">
        <v>6052</v>
      </c>
      <c r="AJ175" s="44" t="s">
        <v>6052</v>
      </c>
      <c r="AK175" s="44" t="s">
        <v>6052</v>
      </c>
      <c r="AL175" s="44" t="s">
        <v>6052</v>
      </c>
      <c r="AM175" s="44" t="s">
        <v>6052</v>
      </c>
      <c r="AN175" s="44" t="s">
        <v>32284</v>
      </c>
      <c r="AO175" s="45">
        <v>11</v>
      </c>
      <c r="AP175" s="45">
        <v>1</v>
      </c>
      <c r="AQ175" s="45">
        <v>0</v>
      </c>
      <c r="AR175" s="45">
        <v>0</v>
      </c>
      <c r="AS175" s="45">
        <v>0</v>
      </c>
      <c r="AT175" s="45">
        <v>0</v>
      </c>
      <c r="AU175" s="10" t="s">
        <v>6052</v>
      </c>
      <c r="AV175" s="10" t="s">
        <v>6052</v>
      </c>
      <c r="AW175" s="10" t="s">
        <v>6052</v>
      </c>
      <c r="AX175" s="10" t="s">
        <v>6052</v>
      </c>
      <c r="AY175" s="10" t="s">
        <v>32253</v>
      </c>
      <c r="AZ175" s="44" t="s">
        <v>33117</v>
      </c>
      <c r="BA175" s="44" t="s">
        <v>30852</v>
      </c>
      <c r="BB175" s="44" t="s">
        <v>31179</v>
      </c>
      <c r="BC175" s="44" t="s">
        <v>6425</v>
      </c>
      <c r="BD175" s="44" t="s">
        <v>31709</v>
      </c>
      <c r="BE175" s="11">
        <v>1</v>
      </c>
      <c r="BF175" s="11">
        <v>0</v>
      </c>
      <c r="BG175" s="11">
        <v>0</v>
      </c>
      <c r="BH175" s="10" t="s">
        <v>32098</v>
      </c>
      <c r="BI175" s="11">
        <v>100</v>
      </c>
      <c r="BJ175" s="10" t="s">
        <v>33162</v>
      </c>
      <c r="BK175" s="11" t="s">
        <v>33162</v>
      </c>
    </row>
    <row r="176" spans="1:63" x14ac:dyDescent="0.75">
      <c r="A176" t="s">
        <v>5895</v>
      </c>
      <c r="B176" t="s">
        <v>104</v>
      </c>
      <c r="C176" t="s">
        <v>2405</v>
      </c>
      <c r="D176" t="s">
        <v>1069</v>
      </c>
      <c r="E176" s="22" t="s">
        <v>30844</v>
      </c>
      <c r="F176" t="s">
        <v>5896</v>
      </c>
      <c r="G176" s="1" t="str">
        <f>HYPERLINK("https://homd.org/jbrowse/?data=homd_V11.02_phage_1.2%2FGCA_938041155.1&amp;loc=GCA_938041155.1%7CCALHZS010000109.1%3A1..6546&amp;tracks=prokka,prokka_ncrna,ncbi,ncbi_ncrna,panggolin,cenote,genomad&amp;highlight=","Open JBrowse")</f>
        <v>Open JBrowse</v>
      </c>
      <c r="H176" s="10">
        <v>2530</v>
      </c>
      <c r="I176" s="10">
        <v>3546</v>
      </c>
      <c r="J176" s="10" t="s">
        <v>5897</v>
      </c>
      <c r="K176" s="10" t="s">
        <v>59</v>
      </c>
      <c r="L176" s="10" t="s">
        <v>877</v>
      </c>
      <c r="M176" s="10" t="s">
        <v>878</v>
      </c>
      <c r="N176" s="10" t="s">
        <v>42</v>
      </c>
      <c r="O176" s="10">
        <v>3</v>
      </c>
      <c r="P176" s="10" t="s">
        <v>42</v>
      </c>
      <c r="Q176" s="10" t="s">
        <v>59</v>
      </c>
      <c r="R176" s="10" t="s">
        <v>5898</v>
      </c>
      <c r="S176" s="10" t="s">
        <v>877</v>
      </c>
      <c r="T176" s="10" t="s">
        <v>42</v>
      </c>
      <c r="U176" s="10">
        <v>79</v>
      </c>
      <c r="V176" s="10">
        <v>335</v>
      </c>
      <c r="W176" s="10">
        <v>257</v>
      </c>
      <c r="X176" s="10" t="s">
        <v>142</v>
      </c>
      <c r="Y176" s="10"/>
      <c r="Z176" s="10"/>
      <c r="AA176" s="10"/>
      <c r="AB176" s="10"/>
      <c r="AC176" s="10"/>
      <c r="AD176" s="10"/>
      <c r="AE176" s="10"/>
      <c r="AF176" s="10"/>
      <c r="AG176" s="44"/>
      <c r="AH176" s="44"/>
      <c r="AI176" s="46" t="s">
        <v>6054</v>
      </c>
      <c r="AJ176" s="44" t="s">
        <v>6052</v>
      </c>
      <c r="AK176" s="44" t="s">
        <v>6052</v>
      </c>
      <c r="AL176" s="44" t="s">
        <v>6052</v>
      </c>
      <c r="AM176" s="44" t="s">
        <v>6052</v>
      </c>
      <c r="AN176" s="44" t="s">
        <v>32382</v>
      </c>
      <c r="AO176" s="45">
        <v>11</v>
      </c>
      <c r="AP176" s="45">
        <v>1</v>
      </c>
      <c r="AQ176" s="45">
        <v>0</v>
      </c>
      <c r="AR176" s="45">
        <v>0</v>
      </c>
      <c r="AS176" s="45">
        <v>0</v>
      </c>
      <c r="AT176" s="45">
        <v>0</v>
      </c>
      <c r="AU176" s="10" t="s">
        <v>6052</v>
      </c>
      <c r="AV176" s="10" t="s">
        <v>6052</v>
      </c>
      <c r="AW176" s="10" t="s">
        <v>6052</v>
      </c>
      <c r="AX176" s="10" t="s">
        <v>6052</v>
      </c>
      <c r="AY176" s="10" t="s">
        <v>32253</v>
      </c>
      <c r="AZ176" s="44" t="s">
        <v>33117</v>
      </c>
      <c r="BA176" s="44" t="s">
        <v>30852</v>
      </c>
      <c r="BB176" s="44" t="s">
        <v>31260</v>
      </c>
      <c r="BC176" s="44" t="s">
        <v>6425</v>
      </c>
      <c r="BD176" s="44" t="s">
        <v>31709</v>
      </c>
      <c r="BE176" s="11">
        <v>1</v>
      </c>
      <c r="BF176" s="11">
        <v>0</v>
      </c>
      <c r="BG176" s="11">
        <v>0</v>
      </c>
      <c r="BH176" s="10" t="s">
        <v>31840</v>
      </c>
      <c r="BI176" s="11">
        <v>100</v>
      </c>
      <c r="BJ176" s="10" t="s">
        <v>33162</v>
      </c>
      <c r="BK176" s="11" t="s">
        <v>33162</v>
      </c>
    </row>
    <row r="177" spans="1:63" x14ac:dyDescent="0.75">
      <c r="A177" t="s">
        <v>5127</v>
      </c>
      <c r="B177" t="s">
        <v>104</v>
      </c>
      <c r="C177" t="s">
        <v>1103</v>
      </c>
      <c r="D177" t="s">
        <v>1069</v>
      </c>
      <c r="E177" s="22" t="s">
        <v>27155</v>
      </c>
      <c r="F177" t="s">
        <v>5128</v>
      </c>
      <c r="G177" s="1" t="str">
        <f>HYPERLINK("https://homd.org/jbrowse/?data=homd_V11.02_phage_1.2%2FGCA_900104625.1&amp;loc=GCA_900104625.1%7CFNVZ01000003.1%3A117940..124962&amp;tracks=prokka,prokka_ncrna,ncbi,ncbi_ncrna,panggolin,cenote,genomad&amp;highlight=","Open JBrowse")</f>
        <v>Open JBrowse</v>
      </c>
      <c r="H177" s="10">
        <v>120940</v>
      </c>
      <c r="I177" s="10">
        <v>121962</v>
      </c>
      <c r="J177" s="10" t="s">
        <v>5129</v>
      </c>
      <c r="K177" s="10" t="s">
        <v>59</v>
      </c>
      <c r="L177" s="10" t="s">
        <v>1106</v>
      </c>
      <c r="M177" s="10" t="s">
        <v>1107</v>
      </c>
      <c r="N177" s="10" t="s">
        <v>42</v>
      </c>
      <c r="O177" s="10">
        <v>3</v>
      </c>
      <c r="P177" s="10" t="s">
        <v>42</v>
      </c>
      <c r="Q177" s="10" t="s">
        <v>59</v>
      </c>
      <c r="R177" s="10" t="s">
        <v>5130</v>
      </c>
      <c r="S177" s="10" t="s">
        <v>1106</v>
      </c>
      <c r="T177" s="10" t="s">
        <v>42</v>
      </c>
      <c r="U177" s="10">
        <v>81</v>
      </c>
      <c r="V177" s="10">
        <v>337</v>
      </c>
      <c r="W177" s="10">
        <v>257</v>
      </c>
      <c r="X177" s="10" t="s">
        <v>142</v>
      </c>
      <c r="Y177" s="10" t="s">
        <v>5131</v>
      </c>
      <c r="Z177" s="10" t="s">
        <v>1257</v>
      </c>
      <c r="AA177" s="10" t="s">
        <v>5132</v>
      </c>
      <c r="AB177" s="10" t="s">
        <v>5133</v>
      </c>
      <c r="AC177" s="10" t="s">
        <v>295</v>
      </c>
      <c r="AD177" s="10" t="s">
        <v>183</v>
      </c>
      <c r="AE177" s="10">
        <v>798</v>
      </c>
      <c r="AF177" s="10" t="s">
        <v>5134</v>
      </c>
      <c r="AG177" s="44"/>
      <c r="AH177" s="44"/>
      <c r="AI177" s="44" t="s">
        <v>6052</v>
      </c>
      <c r="AJ177" s="44" t="s">
        <v>6052</v>
      </c>
      <c r="AK177" s="44" t="s">
        <v>6052</v>
      </c>
      <c r="AL177" s="44" t="s">
        <v>6052</v>
      </c>
      <c r="AM177" s="44" t="s">
        <v>6052</v>
      </c>
      <c r="AN177" s="44" t="s">
        <v>32906</v>
      </c>
      <c r="AO177" s="45">
        <v>11</v>
      </c>
      <c r="AP177" s="45">
        <v>1</v>
      </c>
      <c r="AQ177" s="45">
        <v>0</v>
      </c>
      <c r="AR177" s="45">
        <v>0</v>
      </c>
      <c r="AS177" s="45">
        <v>0</v>
      </c>
      <c r="AT177" s="45">
        <v>0</v>
      </c>
      <c r="AU177" s="10" t="s">
        <v>6052</v>
      </c>
      <c r="AV177" s="10" t="s">
        <v>6052</v>
      </c>
      <c r="AW177" s="10" t="s">
        <v>6052</v>
      </c>
      <c r="AX177" s="10" t="s">
        <v>6052</v>
      </c>
      <c r="AY177" s="10" t="s">
        <v>32253</v>
      </c>
      <c r="AZ177" s="44" t="s">
        <v>33117</v>
      </c>
      <c r="BA177" s="44" t="s">
        <v>31071</v>
      </c>
      <c r="BB177" s="44" t="s">
        <v>31567</v>
      </c>
      <c r="BC177" s="44" t="s">
        <v>6425</v>
      </c>
      <c r="BD177" s="44" t="s">
        <v>31709</v>
      </c>
      <c r="BE177" s="11">
        <v>1</v>
      </c>
      <c r="BF177" s="11">
        <v>0</v>
      </c>
      <c r="BG177" s="11">
        <v>0</v>
      </c>
      <c r="BH177" s="10" t="s">
        <v>31900</v>
      </c>
      <c r="BI177" s="11">
        <v>100</v>
      </c>
      <c r="BJ177" s="10" t="s">
        <v>33162</v>
      </c>
      <c r="BK177" s="11" t="s">
        <v>33162</v>
      </c>
    </row>
    <row r="178" spans="1:63" x14ac:dyDescent="0.75">
      <c r="A178" t="s">
        <v>3640</v>
      </c>
      <c r="B178" t="s">
        <v>104</v>
      </c>
      <c r="C178" t="s">
        <v>2405</v>
      </c>
      <c r="D178" t="s">
        <v>1069</v>
      </c>
      <c r="E178" s="22" t="s">
        <v>30844</v>
      </c>
      <c r="F178" t="s">
        <v>3646</v>
      </c>
      <c r="G178" s="1" t="str">
        <f>HYPERLINK("https://homd.org/jbrowse/?data=homd_V11.02_phage_1.2%2FGCA_018373565.1&amp;loc=GCA_018373565.1%7CJAHAGV010000099.1%3A1..4679&amp;tracks=prokka,prokka_ncrna,ncbi,ncbi_ncrna,panggolin,cenote,genomad&amp;highlight=","Open JBrowse")</f>
        <v>Open JBrowse</v>
      </c>
      <c r="H178" s="10">
        <v>1002</v>
      </c>
      <c r="I178" s="10">
        <v>1679</v>
      </c>
      <c r="J178" s="10" t="s">
        <v>3647</v>
      </c>
      <c r="K178" s="10" t="s">
        <v>59</v>
      </c>
      <c r="L178" s="10" t="s">
        <v>3648</v>
      </c>
      <c r="M178" s="10" t="s">
        <v>3649</v>
      </c>
      <c r="N178" s="10" t="s">
        <v>42</v>
      </c>
      <c r="O178" s="10">
        <v>3</v>
      </c>
      <c r="P178" s="10" t="s">
        <v>42</v>
      </c>
      <c r="Q178" s="10" t="s">
        <v>59</v>
      </c>
      <c r="R178" s="10" t="s">
        <v>3643</v>
      </c>
      <c r="S178" s="10" t="s">
        <v>3648</v>
      </c>
      <c r="T178" s="10" t="s">
        <v>42</v>
      </c>
      <c r="U178" s="10">
        <v>7</v>
      </c>
      <c r="V178" s="10">
        <v>222</v>
      </c>
      <c r="W178" s="10">
        <v>216</v>
      </c>
      <c r="X178" s="10" t="s">
        <v>142</v>
      </c>
      <c r="Y178" s="10"/>
      <c r="Z178" s="10"/>
      <c r="AA178" s="10"/>
      <c r="AB178" s="10"/>
      <c r="AC178" s="10"/>
      <c r="AD178" s="10"/>
      <c r="AE178" s="10"/>
      <c r="AF178" s="10"/>
      <c r="AG178" s="44"/>
      <c r="AH178" s="44"/>
      <c r="AI178" s="46" t="s">
        <v>6054</v>
      </c>
      <c r="AJ178" s="44" t="s">
        <v>6052</v>
      </c>
      <c r="AK178" s="44" t="s">
        <v>6052</v>
      </c>
      <c r="AL178" s="44" t="s">
        <v>6052</v>
      </c>
      <c r="AM178" s="44" t="s">
        <v>6052</v>
      </c>
      <c r="AN178" s="44" t="s">
        <v>32350</v>
      </c>
      <c r="AO178" s="45">
        <v>11</v>
      </c>
      <c r="AP178" s="45">
        <v>1</v>
      </c>
      <c r="AQ178" s="45">
        <v>0</v>
      </c>
      <c r="AR178" s="45">
        <v>0</v>
      </c>
      <c r="AS178" s="45">
        <v>0</v>
      </c>
      <c r="AT178" s="45">
        <v>0</v>
      </c>
      <c r="AU178" s="10" t="s">
        <v>6052</v>
      </c>
      <c r="AV178" s="10" t="s">
        <v>6052</v>
      </c>
      <c r="AW178" s="10" t="s">
        <v>6052</v>
      </c>
      <c r="AX178" s="10" t="s">
        <v>6052</v>
      </c>
      <c r="AY178" s="10" t="s">
        <v>32253</v>
      </c>
      <c r="AZ178" s="44" t="s">
        <v>33110</v>
      </c>
      <c r="BA178" s="44" t="s">
        <v>30852</v>
      </c>
      <c r="BB178" s="44" t="s">
        <v>31235</v>
      </c>
      <c r="BC178" s="44" t="s">
        <v>6425</v>
      </c>
      <c r="BD178" s="44" t="s">
        <v>31709</v>
      </c>
      <c r="BE178" s="11">
        <v>1</v>
      </c>
      <c r="BF178" s="11">
        <v>0</v>
      </c>
      <c r="BG178" s="11">
        <v>0</v>
      </c>
      <c r="BH178" s="10" t="s">
        <v>31996</v>
      </c>
      <c r="BI178" s="11">
        <v>100</v>
      </c>
      <c r="BJ178" s="10" t="s">
        <v>33162</v>
      </c>
      <c r="BK178" s="11" t="s">
        <v>33162</v>
      </c>
    </row>
    <row r="179" spans="1:63" x14ac:dyDescent="0.75">
      <c r="A179" t="s">
        <v>872</v>
      </c>
      <c r="B179" t="s">
        <v>104</v>
      </c>
      <c r="C179" t="s">
        <v>873</v>
      </c>
      <c r="D179" t="s">
        <v>874</v>
      </c>
      <c r="E179" s="22" t="s">
        <v>9329</v>
      </c>
      <c r="F179" t="s">
        <v>875</v>
      </c>
      <c r="G179" s="1" t="str">
        <f>HYPERLINK("https://homd.org/jbrowse/?data=homd_V11.02_phage_1.2%2FGCA_000373345.1&amp;loc=GCA_000373345.1%7CKB891079.1%3A357..7373&amp;tracks=prokka,prokka_ncrna,ncbi,ncbi_ncrna,panggolin,cenote,genomad&amp;highlight=","Open JBrowse")</f>
        <v>Open JBrowse</v>
      </c>
      <c r="H179" s="10">
        <v>3357</v>
      </c>
      <c r="I179" s="10">
        <v>4373</v>
      </c>
      <c r="J179" s="10" t="s">
        <v>876</v>
      </c>
      <c r="K179" s="10" t="s">
        <v>59</v>
      </c>
      <c r="L179" s="10" t="s">
        <v>877</v>
      </c>
      <c r="M179" s="10" t="s">
        <v>878</v>
      </c>
      <c r="N179" s="10" t="s">
        <v>42</v>
      </c>
      <c r="O179" s="10">
        <v>3</v>
      </c>
      <c r="P179" s="10" t="s">
        <v>42</v>
      </c>
      <c r="Q179" s="10" t="s">
        <v>59</v>
      </c>
      <c r="R179" s="10" t="s">
        <v>879</v>
      </c>
      <c r="S179" s="10" t="s">
        <v>877</v>
      </c>
      <c r="T179" s="10" t="s">
        <v>42</v>
      </c>
      <c r="U179" s="10">
        <v>79</v>
      </c>
      <c r="V179" s="10">
        <v>335</v>
      </c>
      <c r="W179" s="10">
        <v>257</v>
      </c>
      <c r="X179" s="10" t="s">
        <v>142</v>
      </c>
      <c r="Y179" s="10" t="s">
        <v>880</v>
      </c>
      <c r="Z179" s="10" t="s">
        <v>346</v>
      </c>
      <c r="AA179" s="10" t="s">
        <v>861</v>
      </c>
      <c r="AB179" s="10"/>
      <c r="AC179" s="10"/>
      <c r="AD179" s="10"/>
      <c r="AE179" s="10"/>
      <c r="AF179" s="10"/>
      <c r="AG179" s="44"/>
      <c r="AH179" s="44"/>
      <c r="AI179" s="44" t="s">
        <v>6052</v>
      </c>
      <c r="AJ179" s="44" t="s">
        <v>6052</v>
      </c>
      <c r="AK179" s="44" t="s">
        <v>6052</v>
      </c>
      <c r="AL179" s="44" t="s">
        <v>6052</v>
      </c>
      <c r="AM179" s="44" t="s">
        <v>6052</v>
      </c>
      <c r="AN179" s="44" t="s">
        <v>32621</v>
      </c>
      <c r="AO179" s="45">
        <v>11</v>
      </c>
      <c r="AP179" s="45">
        <v>1</v>
      </c>
      <c r="AQ179" s="45">
        <v>0</v>
      </c>
      <c r="AR179" s="45">
        <v>0</v>
      </c>
      <c r="AS179" s="45">
        <v>0</v>
      </c>
      <c r="AT179" s="45">
        <v>0</v>
      </c>
      <c r="AU179" s="10" t="s">
        <v>6052</v>
      </c>
      <c r="AV179" s="10" t="s">
        <v>6052</v>
      </c>
      <c r="AW179" s="10" t="s">
        <v>6052</v>
      </c>
      <c r="AX179" s="10" t="s">
        <v>6052</v>
      </c>
      <c r="AY179" s="10" t="s">
        <v>32253</v>
      </c>
      <c r="AZ179" s="44" t="s">
        <v>33117</v>
      </c>
      <c r="BA179" s="44" t="s">
        <v>30939</v>
      </c>
      <c r="BB179" s="44" t="s">
        <v>31377</v>
      </c>
      <c r="BC179" s="44" t="s">
        <v>6425</v>
      </c>
      <c r="BD179" s="44" t="s">
        <v>31709</v>
      </c>
      <c r="BE179" s="11">
        <v>1</v>
      </c>
      <c r="BF179" s="11">
        <v>0</v>
      </c>
      <c r="BG179" s="11">
        <v>0</v>
      </c>
      <c r="BH179" s="10" t="s">
        <v>31848</v>
      </c>
      <c r="BI179" s="11">
        <v>100</v>
      </c>
      <c r="BJ179" s="10" t="s">
        <v>33162</v>
      </c>
      <c r="BK179" s="11" t="s">
        <v>33162</v>
      </c>
    </row>
    <row r="180" spans="1:63" x14ac:dyDescent="0.75">
      <c r="A180" t="s">
        <v>5469</v>
      </c>
      <c r="B180" t="s">
        <v>104</v>
      </c>
      <c r="C180" t="s">
        <v>319</v>
      </c>
      <c r="D180" t="s">
        <v>320</v>
      </c>
      <c r="E180" s="22" t="s">
        <v>30844</v>
      </c>
      <c r="F180" t="s">
        <v>5470</v>
      </c>
      <c r="G180" s="1" t="str">
        <f>HYPERLINK("https://homd.org/jbrowse/?data=homd_V11.02_phage_1.2%2FGCA_905372485.1&amp;loc=GCA_905372485.1%7CCAJPPW010000023.1%3A6319..13098&amp;tracks=prokka,prokka_ncrna,ncbi,ncbi_ncrna,panggolin,cenote,genomad&amp;highlight=","Open JBrowse")</f>
        <v>Open JBrowse</v>
      </c>
      <c r="H180" s="10">
        <v>9319</v>
      </c>
      <c r="I180" s="10">
        <v>10098</v>
      </c>
      <c r="J180" s="10" t="s">
        <v>5471</v>
      </c>
      <c r="K180" s="10" t="s">
        <v>39</v>
      </c>
      <c r="L180" s="10" t="s">
        <v>323</v>
      </c>
      <c r="M180" s="10" t="s">
        <v>324</v>
      </c>
      <c r="N180" s="10" t="s">
        <v>42</v>
      </c>
      <c r="O180" s="10">
        <v>3</v>
      </c>
      <c r="P180" s="10" t="s">
        <v>42</v>
      </c>
      <c r="Q180" s="10" t="s">
        <v>43</v>
      </c>
      <c r="R180" s="10" t="s">
        <v>5472</v>
      </c>
      <c r="S180" s="10" t="s">
        <v>323</v>
      </c>
      <c r="T180" s="10" t="s">
        <v>42</v>
      </c>
      <c r="U180" s="10">
        <v>29</v>
      </c>
      <c r="V180" s="10">
        <v>256</v>
      </c>
      <c r="W180" s="10">
        <v>228</v>
      </c>
      <c r="X180" s="10" t="s">
        <v>45</v>
      </c>
      <c r="Y180" s="10" t="s">
        <v>5473</v>
      </c>
      <c r="Z180" s="10" t="s">
        <v>281</v>
      </c>
      <c r="AA180" s="10" t="s">
        <v>327</v>
      </c>
      <c r="AB180" s="10"/>
      <c r="AC180" s="10"/>
      <c r="AD180" s="10"/>
      <c r="AE180" s="10"/>
      <c r="AF180" s="10"/>
      <c r="AG180" s="44"/>
      <c r="AH180" s="44"/>
      <c r="AI180" s="44" t="s">
        <v>6052</v>
      </c>
      <c r="AJ180" s="44" t="s">
        <v>6052</v>
      </c>
      <c r="AK180" s="44" t="s">
        <v>6052</v>
      </c>
      <c r="AL180" s="44" t="s">
        <v>6052</v>
      </c>
      <c r="AM180" s="44" t="s">
        <v>6052</v>
      </c>
      <c r="AN180" s="44" t="s">
        <v>32292</v>
      </c>
      <c r="AO180" s="45">
        <v>11</v>
      </c>
      <c r="AP180" s="45">
        <v>1</v>
      </c>
      <c r="AQ180" s="45">
        <v>0</v>
      </c>
      <c r="AR180" s="45">
        <v>0</v>
      </c>
      <c r="AS180" s="45">
        <v>0</v>
      </c>
      <c r="AT180" s="45">
        <v>0</v>
      </c>
      <c r="AU180" s="10" t="s">
        <v>6052</v>
      </c>
      <c r="AV180" s="10" t="s">
        <v>6052</v>
      </c>
      <c r="AW180" s="10" t="s">
        <v>6052</v>
      </c>
      <c r="AX180" s="10" t="s">
        <v>6052</v>
      </c>
      <c r="AY180" s="10" t="s">
        <v>32253</v>
      </c>
      <c r="AZ180" s="44" t="s">
        <v>33116</v>
      </c>
      <c r="BA180" s="44" t="s">
        <v>30856</v>
      </c>
      <c r="BB180" s="44" t="s">
        <v>31187</v>
      </c>
      <c r="BC180" s="44" t="s">
        <v>7040</v>
      </c>
      <c r="BD180" s="44" t="s">
        <v>31726</v>
      </c>
      <c r="BE180" s="11">
        <v>1</v>
      </c>
      <c r="BF180" s="11">
        <v>0</v>
      </c>
      <c r="BG180" s="11">
        <v>0</v>
      </c>
      <c r="BH180" s="10" t="s">
        <v>31947</v>
      </c>
      <c r="BI180" s="11">
        <v>100</v>
      </c>
      <c r="BJ180" s="10" t="s">
        <v>33162</v>
      </c>
      <c r="BK180" s="11" t="s">
        <v>33162</v>
      </c>
    </row>
    <row r="181" spans="1:63" x14ac:dyDescent="0.75">
      <c r="A181" t="s">
        <v>5908</v>
      </c>
      <c r="B181" t="s">
        <v>104</v>
      </c>
      <c r="C181" t="s">
        <v>265</v>
      </c>
      <c r="D181" t="s">
        <v>266</v>
      </c>
      <c r="E181" s="22" t="s">
        <v>30844</v>
      </c>
      <c r="F181" t="s">
        <v>5909</v>
      </c>
      <c r="G181" s="1" t="str">
        <f>HYPERLINK("https://homd.org/jbrowse/?data=homd_V11.02_phage_1.2%2FGCA_938045425.1&amp;loc=GCA_938045425.1%7CCALIAP010000005.1%3A40844..47785&amp;tracks=prokka,prokka_ncrna,ncbi,ncbi_ncrna,panggolin,cenote,genomad&amp;highlight=","Open JBrowse")</f>
        <v>Open JBrowse</v>
      </c>
      <c r="H181" s="10">
        <v>43844</v>
      </c>
      <c r="I181" s="10">
        <v>44785</v>
      </c>
      <c r="J181" s="10" t="s">
        <v>5910</v>
      </c>
      <c r="K181" s="10" t="s">
        <v>269</v>
      </c>
      <c r="L181" s="10" t="s">
        <v>5911</v>
      </c>
      <c r="M181" s="10" t="s">
        <v>5912</v>
      </c>
      <c r="N181" s="10" t="s">
        <v>59</v>
      </c>
      <c r="O181" s="10">
        <v>2</v>
      </c>
      <c r="P181" s="10" t="s">
        <v>42</v>
      </c>
      <c r="Q181" s="10" t="s">
        <v>43</v>
      </c>
      <c r="R181" s="10" t="s">
        <v>5913</v>
      </c>
      <c r="S181" s="10" t="s">
        <v>5911</v>
      </c>
      <c r="T181" s="10" t="s">
        <v>42</v>
      </c>
      <c r="U181" s="10">
        <v>61</v>
      </c>
      <c r="V181" s="10">
        <v>309</v>
      </c>
      <c r="W181" s="10">
        <v>249</v>
      </c>
      <c r="X181" s="10" t="s">
        <v>273</v>
      </c>
      <c r="Y181" s="10"/>
      <c r="Z181" s="10"/>
      <c r="AA181" s="10"/>
      <c r="AB181" s="10"/>
      <c r="AC181" s="10"/>
      <c r="AD181" s="10"/>
      <c r="AE181" s="10"/>
      <c r="AF181" s="10"/>
      <c r="AG181" s="44"/>
      <c r="AH181" s="44"/>
      <c r="AI181" s="46" t="s">
        <v>6054</v>
      </c>
      <c r="AJ181" s="44" t="s">
        <v>6052</v>
      </c>
      <c r="AK181" s="44" t="s">
        <v>6052</v>
      </c>
      <c r="AL181" s="44" t="s">
        <v>6052</v>
      </c>
      <c r="AM181" s="44" t="s">
        <v>6052</v>
      </c>
      <c r="AN181" s="44" t="s">
        <v>32377</v>
      </c>
      <c r="AO181" s="45">
        <v>11</v>
      </c>
      <c r="AP181" s="45">
        <v>1</v>
      </c>
      <c r="AQ181" s="45">
        <v>0</v>
      </c>
      <c r="AR181" s="45">
        <v>0</v>
      </c>
      <c r="AS181" s="45">
        <v>0</v>
      </c>
      <c r="AT181" s="45">
        <v>0</v>
      </c>
      <c r="AU181" s="10" t="s">
        <v>6052</v>
      </c>
      <c r="AV181" s="10" t="s">
        <v>6052</v>
      </c>
      <c r="AW181" s="10" t="s">
        <v>6052</v>
      </c>
      <c r="AX181" s="10" t="s">
        <v>6052</v>
      </c>
      <c r="AY181" s="10" t="s">
        <v>32253</v>
      </c>
      <c r="AZ181" s="44" t="s">
        <v>33117</v>
      </c>
      <c r="BA181" s="44" t="s">
        <v>30876</v>
      </c>
      <c r="BB181" s="44" t="s">
        <v>31256</v>
      </c>
      <c r="BC181" s="44" t="s">
        <v>7008</v>
      </c>
      <c r="BD181" s="44" t="s">
        <v>31719</v>
      </c>
      <c r="BE181" s="11">
        <v>1</v>
      </c>
      <c r="BF181" s="11">
        <v>0</v>
      </c>
      <c r="BG181" s="11">
        <v>0</v>
      </c>
      <c r="BH181" s="10" t="s">
        <v>32185</v>
      </c>
      <c r="BI181" s="11">
        <v>100</v>
      </c>
      <c r="BJ181" s="10" t="s">
        <v>33162</v>
      </c>
      <c r="BK181" s="11" t="s">
        <v>33162</v>
      </c>
    </row>
    <row r="182" spans="1:63" x14ac:dyDescent="0.75">
      <c r="A182" t="s">
        <v>2322</v>
      </c>
      <c r="B182" t="s">
        <v>104</v>
      </c>
      <c r="C182" t="s">
        <v>265</v>
      </c>
      <c r="D182" t="s">
        <v>266</v>
      </c>
      <c r="E182" s="22" t="s">
        <v>7010</v>
      </c>
      <c r="F182" t="s">
        <v>2323</v>
      </c>
      <c r="G182" s="1" t="str">
        <f>HYPERLINK("https://homd.org/jbrowse/?data=homd_V11.02_phage_1.2%2FGCA_005886335.1&amp;loc=GCA_005886335.1%7CCP040503.1%3A171041..178021&amp;tracks=prokka,prokka_ncrna,ncbi,ncbi_ncrna,panggolin,cenote,genomad&amp;highlight=","Open JBrowse")</f>
        <v>Open JBrowse</v>
      </c>
      <c r="H182" s="10">
        <v>174041</v>
      </c>
      <c r="I182" s="10">
        <v>175021</v>
      </c>
      <c r="J182" s="10" t="s">
        <v>2324</v>
      </c>
      <c r="K182" s="10" t="s">
        <v>269</v>
      </c>
      <c r="L182" s="10" t="s">
        <v>270</v>
      </c>
      <c r="M182" s="10" t="s">
        <v>271</v>
      </c>
      <c r="N182" s="10" t="s">
        <v>59</v>
      </c>
      <c r="O182" s="10">
        <v>2</v>
      </c>
      <c r="P182" s="10" t="s">
        <v>42</v>
      </c>
      <c r="Q182" s="10" t="s">
        <v>43</v>
      </c>
      <c r="R182" s="10" t="s">
        <v>2325</v>
      </c>
      <c r="S182" s="10" t="s">
        <v>270</v>
      </c>
      <c r="T182" s="10" t="s">
        <v>42</v>
      </c>
      <c r="U182" s="10">
        <v>74</v>
      </c>
      <c r="V182" s="10">
        <v>322</v>
      </c>
      <c r="W182" s="10">
        <v>249</v>
      </c>
      <c r="X182" s="10" t="s">
        <v>273</v>
      </c>
      <c r="Y182" s="10"/>
      <c r="Z182" s="10"/>
      <c r="AA182" s="10"/>
      <c r="AB182" s="10"/>
      <c r="AC182" s="10"/>
      <c r="AD182" s="10"/>
      <c r="AE182" s="10"/>
      <c r="AF182" s="10"/>
      <c r="AG182" s="44"/>
      <c r="AH182" s="44"/>
      <c r="AI182" s="46" t="s">
        <v>6054</v>
      </c>
      <c r="AJ182" s="44" t="s">
        <v>6052</v>
      </c>
      <c r="AK182" s="44" t="s">
        <v>6052</v>
      </c>
      <c r="AL182" s="44" t="s">
        <v>6052</v>
      </c>
      <c r="AM182" s="44" t="s">
        <v>6052</v>
      </c>
      <c r="AN182" s="44" t="s">
        <v>32704</v>
      </c>
      <c r="AO182" s="45">
        <v>11</v>
      </c>
      <c r="AP182" s="45">
        <v>1</v>
      </c>
      <c r="AQ182" s="45">
        <v>0</v>
      </c>
      <c r="AR182" s="45">
        <v>0</v>
      </c>
      <c r="AS182" s="45">
        <v>0</v>
      </c>
      <c r="AT182" s="45">
        <v>0</v>
      </c>
      <c r="AU182" s="10" t="s">
        <v>6052</v>
      </c>
      <c r="AV182" s="10" t="s">
        <v>6052</v>
      </c>
      <c r="AW182" s="10" t="s">
        <v>6052</v>
      </c>
      <c r="AX182" s="10" t="s">
        <v>6052</v>
      </c>
      <c r="AY182" s="10" t="s">
        <v>32253</v>
      </c>
      <c r="AZ182" s="44" t="s">
        <v>33117</v>
      </c>
      <c r="BA182" s="44" t="s">
        <v>30977</v>
      </c>
      <c r="BB182" s="44" t="s">
        <v>31427</v>
      </c>
      <c r="BC182" s="44" t="s">
        <v>7008</v>
      </c>
      <c r="BD182" s="44" t="s">
        <v>31719</v>
      </c>
      <c r="BE182" s="11">
        <v>1</v>
      </c>
      <c r="BF182" s="11">
        <v>0</v>
      </c>
      <c r="BG182" s="11">
        <v>0</v>
      </c>
      <c r="BH182" s="10" t="s">
        <v>32178</v>
      </c>
      <c r="BI182" s="11">
        <v>100</v>
      </c>
      <c r="BJ182" s="10" t="s">
        <v>33162</v>
      </c>
      <c r="BK182" s="11" t="s">
        <v>33162</v>
      </c>
    </row>
    <row r="183" spans="1:63" x14ac:dyDescent="0.75">
      <c r="A183" t="s">
        <v>5482</v>
      </c>
      <c r="B183" t="s">
        <v>104</v>
      </c>
      <c r="C183" t="s">
        <v>1035</v>
      </c>
      <c r="D183" t="s">
        <v>1036</v>
      </c>
      <c r="E183" s="22" t="s">
        <v>30844</v>
      </c>
      <c r="F183" t="s">
        <v>5483</v>
      </c>
      <c r="G183" s="1" t="str">
        <f>HYPERLINK("https://homd.org/jbrowse/?data=homd_V11.02_phage_1.2%2FGCA_905372705.1&amp;loc=GCA_905372705.1%7CCAJPQB010000032.1%3A1..5884&amp;tracks=prokka,prokka_ncrna,ncbi,ncbi_ncrna,panggolin,cenote,genomad&amp;highlight=","Open JBrowse")</f>
        <v>Open JBrowse</v>
      </c>
      <c r="H183" s="10">
        <v>1970</v>
      </c>
      <c r="I183" s="10">
        <v>2884</v>
      </c>
      <c r="J183" s="10" t="s">
        <v>5484</v>
      </c>
      <c r="K183" s="10" t="s">
        <v>269</v>
      </c>
      <c r="L183" s="10" t="s">
        <v>1039</v>
      </c>
      <c r="M183" s="10" t="s">
        <v>1040</v>
      </c>
      <c r="N183" s="10" t="s">
        <v>42</v>
      </c>
      <c r="O183" s="10">
        <v>3</v>
      </c>
      <c r="P183" s="10" t="s">
        <v>42</v>
      </c>
      <c r="Q183" s="10" t="s">
        <v>43</v>
      </c>
      <c r="R183" s="10" t="s">
        <v>5485</v>
      </c>
      <c r="S183" s="10" t="s">
        <v>1039</v>
      </c>
      <c r="T183" s="10" t="s">
        <v>42</v>
      </c>
      <c r="U183" s="10">
        <v>61</v>
      </c>
      <c r="V183" s="10">
        <v>300</v>
      </c>
      <c r="W183" s="10">
        <v>240</v>
      </c>
      <c r="X183" s="10" t="s">
        <v>273</v>
      </c>
      <c r="Y183" s="10" t="s">
        <v>5486</v>
      </c>
      <c r="Z183" s="10" t="s">
        <v>1327</v>
      </c>
      <c r="AA183" s="10" t="s">
        <v>5487</v>
      </c>
      <c r="AB183" s="10"/>
      <c r="AC183" s="10"/>
      <c r="AD183" s="10"/>
      <c r="AE183" s="10"/>
      <c r="AF183" s="10"/>
      <c r="AG183" s="44"/>
      <c r="AH183" s="44"/>
      <c r="AI183" s="44" t="s">
        <v>6052</v>
      </c>
      <c r="AJ183" s="44" t="s">
        <v>6052</v>
      </c>
      <c r="AK183" s="44" t="s">
        <v>6052</v>
      </c>
      <c r="AL183" s="44" t="s">
        <v>6052</v>
      </c>
      <c r="AM183" s="44" t="s">
        <v>6052</v>
      </c>
      <c r="AN183" s="44" t="s">
        <v>32301</v>
      </c>
      <c r="AO183" s="45">
        <v>11</v>
      </c>
      <c r="AP183" s="45">
        <v>1</v>
      </c>
      <c r="AQ183" s="45">
        <v>0</v>
      </c>
      <c r="AR183" s="45">
        <v>0</v>
      </c>
      <c r="AS183" s="45">
        <v>0</v>
      </c>
      <c r="AT183" s="45">
        <v>0</v>
      </c>
      <c r="AU183" s="10" t="s">
        <v>6052</v>
      </c>
      <c r="AV183" s="10" t="s">
        <v>6052</v>
      </c>
      <c r="AW183" s="10" t="s">
        <v>6052</v>
      </c>
      <c r="AX183" s="10" t="s">
        <v>6052</v>
      </c>
      <c r="AY183" s="10" t="s">
        <v>32253</v>
      </c>
      <c r="AZ183" s="44" t="s">
        <v>33116</v>
      </c>
      <c r="BA183" s="44" t="s">
        <v>30859</v>
      </c>
      <c r="BB183" s="44" t="s">
        <v>31193</v>
      </c>
      <c r="BC183" s="44" t="s">
        <v>7008</v>
      </c>
      <c r="BD183" s="44" t="s">
        <v>31719</v>
      </c>
      <c r="BE183" s="11">
        <v>1</v>
      </c>
      <c r="BF183" s="11">
        <v>0</v>
      </c>
      <c r="BG183" s="11">
        <v>0</v>
      </c>
      <c r="BH183" s="10" t="s">
        <v>32194</v>
      </c>
      <c r="BI183" s="11">
        <v>100</v>
      </c>
      <c r="BJ183" s="10" t="s">
        <v>33162</v>
      </c>
      <c r="BK183" s="11" t="s">
        <v>33162</v>
      </c>
    </row>
    <row r="184" spans="1:63" x14ac:dyDescent="0.75">
      <c r="A184" t="s">
        <v>5701</v>
      </c>
      <c r="B184" t="s">
        <v>104</v>
      </c>
      <c r="C184" t="s">
        <v>1035</v>
      </c>
      <c r="D184" t="s">
        <v>1036</v>
      </c>
      <c r="E184" s="22" t="s">
        <v>30844</v>
      </c>
      <c r="F184" t="s">
        <v>5702</v>
      </c>
      <c r="G184" s="1" t="str">
        <f>HYPERLINK("https://homd.org/jbrowse/?data=homd_V11.02_phage_1.2%2FGCA_927911685.1&amp;loc=GCA_927911685.1%7CCAKMQE010000042.1%3A601..7554&amp;tracks=prokka,prokka_ncrna,ncbi,ncbi_ncrna,panggolin,cenote,genomad&amp;highlight=","Open JBrowse")</f>
        <v>Open JBrowse</v>
      </c>
      <c r="H184" s="10">
        <v>3601</v>
      </c>
      <c r="I184" s="10">
        <v>4554</v>
      </c>
      <c r="J184" s="10" t="s">
        <v>5703</v>
      </c>
      <c r="K184" s="10" t="s">
        <v>269</v>
      </c>
      <c r="L184" s="10" t="s">
        <v>5704</v>
      </c>
      <c r="M184" s="10" t="s">
        <v>5705</v>
      </c>
      <c r="N184" s="10" t="s">
        <v>42</v>
      </c>
      <c r="O184" s="10">
        <v>3</v>
      </c>
      <c r="P184" s="10" t="s">
        <v>42</v>
      </c>
      <c r="Q184" s="10" t="s">
        <v>43</v>
      </c>
      <c r="R184" s="10" t="s">
        <v>5706</v>
      </c>
      <c r="S184" s="10" t="s">
        <v>5704</v>
      </c>
      <c r="T184" s="10" t="s">
        <v>42</v>
      </c>
      <c r="U184" s="10">
        <v>74</v>
      </c>
      <c r="V184" s="10">
        <v>313</v>
      </c>
      <c r="W184" s="10">
        <v>240</v>
      </c>
      <c r="X184" s="10" t="s">
        <v>273</v>
      </c>
      <c r="Y184" s="10" t="s">
        <v>5707</v>
      </c>
      <c r="Z184" s="10" t="s">
        <v>47</v>
      </c>
      <c r="AA184" s="10" t="s">
        <v>5708</v>
      </c>
      <c r="AB184" s="10"/>
      <c r="AC184" s="10"/>
      <c r="AD184" s="10"/>
      <c r="AE184" s="10"/>
      <c r="AF184" s="10"/>
      <c r="AG184" s="44"/>
      <c r="AH184" s="44"/>
      <c r="AI184" s="44" t="s">
        <v>6052</v>
      </c>
      <c r="AJ184" s="44" t="s">
        <v>6052</v>
      </c>
      <c r="AK184" s="44" t="s">
        <v>6052</v>
      </c>
      <c r="AL184" s="44" t="s">
        <v>6052</v>
      </c>
      <c r="AM184" s="44" t="s">
        <v>6052</v>
      </c>
      <c r="AN184" s="44" t="s">
        <v>32316</v>
      </c>
      <c r="AO184" s="45">
        <v>11</v>
      </c>
      <c r="AP184" s="45">
        <v>1</v>
      </c>
      <c r="AQ184" s="45">
        <v>0</v>
      </c>
      <c r="AR184" s="45">
        <v>0</v>
      </c>
      <c r="AS184" s="45">
        <v>0</v>
      </c>
      <c r="AT184" s="45">
        <v>0</v>
      </c>
      <c r="AU184" s="10" t="s">
        <v>6052</v>
      </c>
      <c r="AV184" s="10" t="s">
        <v>6052</v>
      </c>
      <c r="AW184" s="10" t="s">
        <v>6052</v>
      </c>
      <c r="AX184" s="10" t="s">
        <v>6052</v>
      </c>
      <c r="AY184" s="10" t="s">
        <v>32253</v>
      </c>
      <c r="AZ184" s="44" t="s">
        <v>33117</v>
      </c>
      <c r="BA184" s="44" t="s">
        <v>30859</v>
      </c>
      <c r="BB184" s="44" t="s">
        <v>31206</v>
      </c>
      <c r="BC184" s="44" t="s">
        <v>7008</v>
      </c>
      <c r="BD184" s="44" t="s">
        <v>31719</v>
      </c>
      <c r="BE184" s="11">
        <v>1</v>
      </c>
      <c r="BF184" s="11">
        <v>0</v>
      </c>
      <c r="BG184" s="11">
        <v>0</v>
      </c>
      <c r="BH184" s="10" t="s">
        <v>32196</v>
      </c>
      <c r="BI184" s="11">
        <v>100</v>
      </c>
      <c r="BJ184" s="10" t="s">
        <v>33162</v>
      </c>
      <c r="BK184" s="11" t="s">
        <v>33162</v>
      </c>
    </row>
    <row r="185" spans="1:63" x14ac:dyDescent="0.75">
      <c r="A185" t="s">
        <v>5783</v>
      </c>
      <c r="B185" t="s">
        <v>104</v>
      </c>
      <c r="C185" t="s">
        <v>1035</v>
      </c>
      <c r="D185" t="s">
        <v>1036</v>
      </c>
      <c r="E185" s="22" t="s">
        <v>30844</v>
      </c>
      <c r="F185" t="s">
        <v>5784</v>
      </c>
      <c r="G185" s="1" t="str">
        <f>HYPERLINK("https://homd.org/jbrowse/?data=homd_V11.02_phage_1.2%2FGCA_937927035.1&amp;loc=GCA_937927035.1%7CCALBCH010000023.1%3A290136..297089&amp;tracks=prokka,prokka_ncrna,ncbi,ncbi_ncrna,panggolin,cenote,genomad&amp;highlight=","Open JBrowse")</f>
        <v>Open JBrowse</v>
      </c>
      <c r="H185" s="10">
        <v>293136</v>
      </c>
      <c r="I185" s="10">
        <v>294089</v>
      </c>
      <c r="J185" s="10" t="s">
        <v>5785</v>
      </c>
      <c r="K185" s="10" t="s">
        <v>269</v>
      </c>
      <c r="L185" s="10" t="s">
        <v>5704</v>
      </c>
      <c r="M185" s="10" t="s">
        <v>5705</v>
      </c>
      <c r="N185" s="10" t="s">
        <v>42</v>
      </c>
      <c r="O185" s="10">
        <v>3</v>
      </c>
      <c r="P185" s="10" t="s">
        <v>42</v>
      </c>
      <c r="Q185" s="10" t="s">
        <v>43</v>
      </c>
      <c r="R185" s="10" t="s">
        <v>5786</v>
      </c>
      <c r="S185" s="10" t="s">
        <v>5704</v>
      </c>
      <c r="T185" s="10" t="s">
        <v>42</v>
      </c>
      <c r="U185" s="10">
        <v>74</v>
      </c>
      <c r="V185" s="10">
        <v>313</v>
      </c>
      <c r="W185" s="10">
        <v>240</v>
      </c>
      <c r="X185" s="10" t="s">
        <v>273</v>
      </c>
      <c r="Y185" s="10" t="s">
        <v>5787</v>
      </c>
      <c r="Z185" s="10" t="s">
        <v>281</v>
      </c>
      <c r="AA185" s="10" t="s">
        <v>5788</v>
      </c>
      <c r="AB185" s="10"/>
      <c r="AC185" s="10"/>
      <c r="AD185" s="10"/>
      <c r="AE185" s="10"/>
      <c r="AF185" s="10"/>
      <c r="AG185" s="44"/>
      <c r="AH185" s="44"/>
      <c r="AI185" s="44" t="s">
        <v>6052</v>
      </c>
      <c r="AJ185" s="44" t="s">
        <v>6052</v>
      </c>
      <c r="AK185" s="44" t="s">
        <v>6052</v>
      </c>
      <c r="AL185" s="44" t="s">
        <v>6052</v>
      </c>
      <c r="AM185" s="44" t="s">
        <v>6052</v>
      </c>
      <c r="AN185" s="44" t="s">
        <v>32298</v>
      </c>
      <c r="AO185" s="45">
        <v>11</v>
      </c>
      <c r="AP185" s="45">
        <v>1</v>
      </c>
      <c r="AQ185" s="45">
        <v>0</v>
      </c>
      <c r="AR185" s="45">
        <v>0</v>
      </c>
      <c r="AS185" s="45">
        <v>0</v>
      </c>
      <c r="AT185" s="45">
        <v>0</v>
      </c>
      <c r="AU185" s="10" t="s">
        <v>6052</v>
      </c>
      <c r="AV185" s="10" t="s">
        <v>6052</v>
      </c>
      <c r="AW185" s="10" t="s">
        <v>6052</v>
      </c>
      <c r="AX185" s="10" t="s">
        <v>6052</v>
      </c>
      <c r="AY185" s="10" t="s">
        <v>32253</v>
      </c>
      <c r="AZ185" s="44" t="s">
        <v>33117</v>
      </c>
      <c r="BA185" s="44" t="s">
        <v>30859</v>
      </c>
      <c r="BB185" s="44" t="s">
        <v>31190</v>
      </c>
      <c r="BC185" s="44" t="s">
        <v>7008</v>
      </c>
      <c r="BD185" s="44" t="s">
        <v>31719</v>
      </c>
      <c r="BE185" s="11">
        <v>1</v>
      </c>
      <c r="BF185" s="11">
        <v>0</v>
      </c>
      <c r="BG185" s="11">
        <v>0</v>
      </c>
      <c r="BH185" s="10" t="s">
        <v>32195</v>
      </c>
      <c r="BI185" s="11">
        <v>100</v>
      </c>
      <c r="BJ185" s="10" t="s">
        <v>33162</v>
      </c>
      <c r="BK185" s="11" t="s">
        <v>33162</v>
      </c>
    </row>
    <row r="186" spans="1:63" x14ac:dyDescent="0.75">
      <c r="A186" t="s">
        <v>942</v>
      </c>
      <c r="B186" t="s">
        <v>104</v>
      </c>
      <c r="C186" t="s">
        <v>462</v>
      </c>
      <c r="D186" t="s">
        <v>463</v>
      </c>
      <c r="E186" s="22" t="s">
        <v>9546</v>
      </c>
      <c r="F186" t="s">
        <v>943</v>
      </c>
      <c r="G186" s="1" t="str">
        <f>HYPERLINK("https://homd.org/jbrowse/?data=homd_V11.02_phage_1.2%2FGCA_000421205.1&amp;loc=GCA_000421205.1%7CATWK01000006.1%3A88736..95695&amp;tracks=prokka,prokka_ncrna,ncbi,ncbi_ncrna,panggolin,cenote,genomad&amp;highlight=","Open JBrowse")</f>
        <v>Open JBrowse</v>
      </c>
      <c r="H186" s="10">
        <v>91736</v>
      </c>
      <c r="I186" s="10">
        <v>92695</v>
      </c>
      <c r="J186" s="10" t="s">
        <v>944</v>
      </c>
      <c r="K186" s="10" t="s">
        <v>59</v>
      </c>
      <c r="L186" s="10" t="s">
        <v>466</v>
      </c>
      <c r="M186" s="10" t="s">
        <v>467</v>
      </c>
      <c r="N186" s="10" t="s">
        <v>398</v>
      </c>
      <c r="O186" s="10">
        <v>3</v>
      </c>
      <c r="P186" s="10" t="s">
        <v>42</v>
      </c>
      <c r="Q186" s="10" t="s">
        <v>59</v>
      </c>
      <c r="R186" s="10" t="s">
        <v>945</v>
      </c>
      <c r="S186" s="10" t="s">
        <v>466</v>
      </c>
      <c r="T186" s="10" t="s">
        <v>42</v>
      </c>
      <c r="U186" s="10">
        <v>41</v>
      </c>
      <c r="V186" s="10">
        <v>267</v>
      </c>
      <c r="W186" s="10">
        <v>227</v>
      </c>
      <c r="X186" s="10" t="s">
        <v>160</v>
      </c>
      <c r="Y186" s="10" t="s">
        <v>946</v>
      </c>
      <c r="Z186" s="10" t="s">
        <v>281</v>
      </c>
      <c r="AA186" s="10" t="s">
        <v>471</v>
      </c>
      <c r="AB186" s="10"/>
      <c r="AC186" s="10"/>
      <c r="AD186" s="10"/>
      <c r="AE186" s="10"/>
      <c r="AF186" s="10"/>
      <c r="AG186" s="44"/>
      <c r="AH186" s="44"/>
      <c r="AI186" s="44" t="s">
        <v>6052</v>
      </c>
      <c r="AJ186" s="44" t="s">
        <v>6052</v>
      </c>
      <c r="AK186" s="44" t="s">
        <v>6052</v>
      </c>
      <c r="AL186" s="44" t="s">
        <v>6052</v>
      </c>
      <c r="AM186" s="44" t="s">
        <v>6052</v>
      </c>
      <c r="AN186" s="44" t="s">
        <v>32622</v>
      </c>
      <c r="AO186" s="45">
        <v>11</v>
      </c>
      <c r="AP186" s="45">
        <v>1</v>
      </c>
      <c r="AQ186" s="45">
        <v>0</v>
      </c>
      <c r="AR186" s="45">
        <v>0</v>
      </c>
      <c r="AS186" s="45">
        <v>0</v>
      </c>
      <c r="AT186" s="45">
        <v>0</v>
      </c>
      <c r="AU186" s="10" t="s">
        <v>6052</v>
      </c>
      <c r="AV186" s="10" t="s">
        <v>6052</v>
      </c>
      <c r="AW186" s="10" t="s">
        <v>6052</v>
      </c>
      <c r="AX186" s="10" t="s">
        <v>6052</v>
      </c>
      <c r="AY186" s="10" t="s">
        <v>32253</v>
      </c>
      <c r="AZ186" s="44" t="s">
        <v>33117</v>
      </c>
      <c r="BA186" s="44" t="s">
        <v>30940</v>
      </c>
      <c r="BB186" s="44" t="s">
        <v>31378</v>
      </c>
      <c r="BC186" s="44" t="s">
        <v>6594</v>
      </c>
      <c r="BD186" s="44" t="s">
        <v>31708</v>
      </c>
      <c r="BE186" s="11">
        <v>1</v>
      </c>
      <c r="BF186" s="11">
        <v>0</v>
      </c>
      <c r="BG186" s="11">
        <v>0</v>
      </c>
      <c r="BH186" s="10" t="s">
        <v>32161</v>
      </c>
      <c r="BI186" s="11">
        <v>100</v>
      </c>
      <c r="BJ186" s="10" t="s">
        <v>33162</v>
      </c>
      <c r="BK186" s="11" t="s">
        <v>33162</v>
      </c>
    </row>
    <row r="187" spans="1:63" x14ac:dyDescent="0.75">
      <c r="A187" t="s">
        <v>1252</v>
      </c>
      <c r="B187" t="s">
        <v>104</v>
      </c>
      <c r="C187" t="s">
        <v>462</v>
      </c>
      <c r="D187" t="s">
        <v>463</v>
      </c>
      <c r="E187" s="22" t="s">
        <v>10281</v>
      </c>
      <c r="F187" t="s">
        <v>1253</v>
      </c>
      <c r="G187" s="1" t="str">
        <f>HYPERLINK("https://homd.org/jbrowse/?data=homd_V11.02_phage_1.2%2FGCA_000613585.1&amp;loc=GCA_000613585.1%7CBAJG01000001.1%3A88845..95804&amp;tracks=prokka,prokka_ncrna,ncbi,ncbi_ncrna,panggolin,cenote,genomad&amp;highlight=","Open JBrowse")</f>
        <v>Open JBrowse</v>
      </c>
      <c r="H187" s="10">
        <v>91845</v>
      </c>
      <c r="I187" s="10">
        <v>92804</v>
      </c>
      <c r="J187" s="10" t="s">
        <v>1254</v>
      </c>
      <c r="K187" s="10" t="s">
        <v>59</v>
      </c>
      <c r="L187" s="10" t="s">
        <v>466</v>
      </c>
      <c r="M187" s="10" t="s">
        <v>467</v>
      </c>
      <c r="N187" s="10" t="s">
        <v>398</v>
      </c>
      <c r="O187" s="10">
        <v>3</v>
      </c>
      <c r="P187" s="10" t="s">
        <v>42</v>
      </c>
      <c r="Q187" s="10" t="s">
        <v>59</v>
      </c>
      <c r="R187" s="10" t="s">
        <v>1255</v>
      </c>
      <c r="S187" s="10" t="s">
        <v>466</v>
      </c>
      <c r="T187" s="10" t="s">
        <v>42</v>
      </c>
      <c r="U187" s="10">
        <v>41</v>
      </c>
      <c r="V187" s="10">
        <v>267</v>
      </c>
      <c r="W187" s="10">
        <v>227</v>
      </c>
      <c r="X187" s="10" t="s">
        <v>160</v>
      </c>
      <c r="Y187" s="10" t="s">
        <v>1256</v>
      </c>
      <c r="Z187" s="10" t="s">
        <v>1257</v>
      </c>
      <c r="AA187" s="10" t="s">
        <v>471</v>
      </c>
      <c r="AB187" s="10"/>
      <c r="AC187" s="10"/>
      <c r="AD187" s="10"/>
      <c r="AE187" s="10"/>
      <c r="AF187" s="10"/>
      <c r="AG187" s="44"/>
      <c r="AH187" s="44"/>
      <c r="AI187" s="44" t="s">
        <v>6052</v>
      </c>
      <c r="AJ187" s="44" t="s">
        <v>6052</v>
      </c>
      <c r="AK187" s="44" t="s">
        <v>6052</v>
      </c>
      <c r="AL187" s="44" t="s">
        <v>6052</v>
      </c>
      <c r="AM187" s="44" t="s">
        <v>6052</v>
      </c>
      <c r="AN187" s="44" t="s">
        <v>32827</v>
      </c>
      <c r="AO187" s="45">
        <v>11</v>
      </c>
      <c r="AP187" s="45">
        <v>1</v>
      </c>
      <c r="AQ187" s="45">
        <v>0</v>
      </c>
      <c r="AR187" s="45">
        <v>0</v>
      </c>
      <c r="AS187" s="45">
        <v>0</v>
      </c>
      <c r="AT187" s="45">
        <v>0</v>
      </c>
      <c r="AU187" s="10" t="s">
        <v>6052</v>
      </c>
      <c r="AV187" s="10" t="s">
        <v>6052</v>
      </c>
      <c r="AW187" s="10" t="s">
        <v>6052</v>
      </c>
      <c r="AX187" s="10" t="s">
        <v>6052</v>
      </c>
      <c r="AY187" s="10" t="s">
        <v>32253</v>
      </c>
      <c r="AZ187" s="44" t="s">
        <v>33117</v>
      </c>
      <c r="BA187" s="44" t="s">
        <v>31025</v>
      </c>
      <c r="BB187" s="44" t="s">
        <v>31504</v>
      </c>
      <c r="BC187" s="44" t="s">
        <v>6594</v>
      </c>
      <c r="BD187" s="44" t="s">
        <v>31708</v>
      </c>
      <c r="BE187" s="11">
        <v>1</v>
      </c>
      <c r="BF187" s="11">
        <v>0</v>
      </c>
      <c r="BG187" s="11">
        <v>0</v>
      </c>
      <c r="BH187" s="10" t="s">
        <v>32160</v>
      </c>
      <c r="BI187" s="11">
        <v>100</v>
      </c>
      <c r="BJ187" s="10" t="s">
        <v>33162</v>
      </c>
      <c r="BK187" s="11" t="s">
        <v>33162</v>
      </c>
    </row>
    <row r="188" spans="1:63" x14ac:dyDescent="0.75">
      <c r="A188" t="s">
        <v>5396</v>
      </c>
      <c r="B188" t="s">
        <v>104</v>
      </c>
      <c r="C188" t="s">
        <v>462</v>
      </c>
      <c r="D188" t="s">
        <v>463</v>
      </c>
      <c r="E188" s="22" t="s">
        <v>28550</v>
      </c>
      <c r="F188" t="s">
        <v>5397</v>
      </c>
      <c r="G188" s="1" t="str">
        <f>HYPERLINK("https://homd.org/jbrowse/?data=homd_V11.02_phage_1.2%2FGCA_902483045.1&amp;loc=GCA_902483045.1%7CCABTBH010000007.1%3A45537..52517&amp;tracks=prokka,prokka_ncrna,ncbi,ncbi_ncrna,panggolin,cenote,genomad&amp;highlight=","Open JBrowse")</f>
        <v>Open JBrowse</v>
      </c>
      <c r="H188" s="10">
        <v>48537</v>
      </c>
      <c r="I188" s="10">
        <v>49517</v>
      </c>
      <c r="J188" s="10" t="s">
        <v>5398</v>
      </c>
      <c r="K188" s="10" t="s">
        <v>59</v>
      </c>
      <c r="L188" s="10" t="s">
        <v>466</v>
      </c>
      <c r="M188" s="10" t="s">
        <v>467</v>
      </c>
      <c r="N188" s="10" t="s">
        <v>398</v>
      </c>
      <c r="O188" s="10">
        <v>3</v>
      </c>
      <c r="P188" s="10" t="s">
        <v>42</v>
      </c>
      <c r="Q188" s="10" t="s">
        <v>59</v>
      </c>
      <c r="R188" s="10" t="s">
        <v>5399</v>
      </c>
      <c r="S188" s="10" t="s">
        <v>466</v>
      </c>
      <c r="T188" s="10" t="s">
        <v>42</v>
      </c>
      <c r="U188" s="10">
        <v>41</v>
      </c>
      <c r="V188" s="10">
        <v>267</v>
      </c>
      <c r="W188" s="10">
        <v>227</v>
      </c>
      <c r="X188" s="10" t="s">
        <v>160</v>
      </c>
      <c r="Y188" s="10"/>
      <c r="Z188" s="10"/>
      <c r="AA188" s="10"/>
      <c r="AB188" s="10"/>
      <c r="AC188" s="10"/>
      <c r="AD188" s="10"/>
      <c r="AE188" s="10"/>
      <c r="AF188" s="10"/>
      <c r="AG188" s="44"/>
      <c r="AH188" s="44"/>
      <c r="AI188" s="46" t="s">
        <v>6054</v>
      </c>
      <c r="AJ188" s="44" t="s">
        <v>6052</v>
      </c>
      <c r="AK188" s="44" t="s">
        <v>6052</v>
      </c>
      <c r="AL188" s="44" t="s">
        <v>6052</v>
      </c>
      <c r="AM188" s="44" t="s">
        <v>6052</v>
      </c>
      <c r="AN188" s="44" t="s">
        <v>32921</v>
      </c>
      <c r="AO188" s="45">
        <v>11</v>
      </c>
      <c r="AP188" s="45">
        <v>1</v>
      </c>
      <c r="AQ188" s="45">
        <v>0</v>
      </c>
      <c r="AR188" s="45">
        <v>0</v>
      </c>
      <c r="AS188" s="45">
        <v>0</v>
      </c>
      <c r="AT188" s="45">
        <v>0</v>
      </c>
      <c r="AU188" s="10" t="s">
        <v>6052</v>
      </c>
      <c r="AV188" s="10" t="s">
        <v>6052</v>
      </c>
      <c r="AW188" s="10" t="s">
        <v>6052</v>
      </c>
      <c r="AX188" s="10" t="s">
        <v>6052</v>
      </c>
      <c r="AY188" s="10" t="s">
        <v>32253</v>
      </c>
      <c r="AZ188" s="44" t="s">
        <v>33110</v>
      </c>
      <c r="BA188" s="44" t="s">
        <v>31078</v>
      </c>
      <c r="BB188" s="44" t="s">
        <v>31577</v>
      </c>
      <c r="BC188" s="44" t="s">
        <v>6594</v>
      </c>
      <c r="BD188" s="44" t="s">
        <v>31708</v>
      </c>
      <c r="BE188" s="11">
        <v>1</v>
      </c>
      <c r="BF188" s="11">
        <v>0</v>
      </c>
      <c r="BG188" s="11">
        <v>0</v>
      </c>
      <c r="BH188" s="10" t="s">
        <v>32164</v>
      </c>
      <c r="BI188" s="11">
        <v>100</v>
      </c>
      <c r="BJ188" s="10" t="s">
        <v>33162</v>
      </c>
      <c r="BK188" s="11" t="s">
        <v>33162</v>
      </c>
    </row>
    <row r="189" spans="1:63" x14ac:dyDescent="0.75">
      <c r="A189" t="s">
        <v>5451</v>
      </c>
      <c r="B189" t="s">
        <v>104</v>
      </c>
      <c r="C189" t="s">
        <v>462</v>
      </c>
      <c r="D189" t="s">
        <v>463</v>
      </c>
      <c r="E189" s="22" t="s">
        <v>30844</v>
      </c>
      <c r="F189" t="s">
        <v>5452</v>
      </c>
      <c r="G189" s="1" t="str">
        <f>HYPERLINK("https://homd.org/jbrowse/?data=homd_V11.02_phage_1.2%2FGCA_905372245.1&amp;loc=GCA_905372245.1%7CCAJPOG010000107.1%3A1..5905&amp;tracks=prokka,prokka_ncrna,ncbi,ncbi_ncrna,panggolin,cenote,genomad&amp;highlight=","Open JBrowse")</f>
        <v>Open JBrowse</v>
      </c>
      <c r="H189" s="10">
        <v>1946</v>
      </c>
      <c r="I189" s="10">
        <v>2905</v>
      </c>
      <c r="J189" s="10" t="s">
        <v>5453</v>
      </c>
      <c r="K189" s="10" t="s">
        <v>59</v>
      </c>
      <c r="L189" s="10" t="s">
        <v>466</v>
      </c>
      <c r="M189" s="10" t="s">
        <v>467</v>
      </c>
      <c r="N189" s="10" t="s">
        <v>398</v>
      </c>
      <c r="O189" s="10">
        <v>3</v>
      </c>
      <c r="P189" s="10" t="s">
        <v>42</v>
      </c>
      <c r="Q189" s="10" t="s">
        <v>59</v>
      </c>
      <c r="R189" s="10" t="s">
        <v>5454</v>
      </c>
      <c r="S189" s="10" t="s">
        <v>466</v>
      </c>
      <c r="T189" s="10" t="s">
        <v>42</v>
      </c>
      <c r="U189" s="10">
        <v>41</v>
      </c>
      <c r="V189" s="10">
        <v>267</v>
      </c>
      <c r="W189" s="10">
        <v>227</v>
      </c>
      <c r="X189" s="10" t="s">
        <v>160</v>
      </c>
      <c r="Y189" s="10"/>
      <c r="Z189" s="10"/>
      <c r="AA189" s="10"/>
      <c r="AB189" s="10"/>
      <c r="AC189" s="10"/>
      <c r="AD189" s="10"/>
      <c r="AE189" s="10"/>
      <c r="AF189" s="10"/>
      <c r="AG189" s="44"/>
      <c r="AH189" s="44"/>
      <c r="AI189" s="46" t="s">
        <v>6054</v>
      </c>
      <c r="AJ189" s="44" t="s">
        <v>6052</v>
      </c>
      <c r="AK189" s="44" t="s">
        <v>6052</v>
      </c>
      <c r="AL189" s="44" t="s">
        <v>6052</v>
      </c>
      <c r="AM189" s="44" t="s">
        <v>6052</v>
      </c>
      <c r="AN189" s="44" t="s">
        <v>32357</v>
      </c>
      <c r="AO189" s="45">
        <v>11</v>
      </c>
      <c r="AP189" s="45">
        <v>1</v>
      </c>
      <c r="AQ189" s="45">
        <v>0</v>
      </c>
      <c r="AR189" s="45">
        <v>0</v>
      </c>
      <c r="AS189" s="45">
        <v>0</v>
      </c>
      <c r="AT189" s="45">
        <v>0</v>
      </c>
      <c r="AU189" s="10" t="s">
        <v>6052</v>
      </c>
      <c r="AV189" s="10" t="s">
        <v>6052</v>
      </c>
      <c r="AW189" s="10" t="s">
        <v>6052</v>
      </c>
      <c r="AX189" s="10" t="s">
        <v>6052</v>
      </c>
      <c r="AY189" s="10" t="s">
        <v>32253</v>
      </c>
      <c r="AZ189" s="44" t="s">
        <v>33117</v>
      </c>
      <c r="BA189" s="44" t="s">
        <v>30858</v>
      </c>
      <c r="BB189" s="44" t="s">
        <v>31240</v>
      </c>
      <c r="BC189" s="44" t="s">
        <v>6594</v>
      </c>
      <c r="BD189" s="44" t="s">
        <v>31708</v>
      </c>
      <c r="BE189" s="11">
        <v>1</v>
      </c>
      <c r="BF189" s="11">
        <v>0</v>
      </c>
      <c r="BG189" s="11">
        <v>0</v>
      </c>
      <c r="BH189" s="10" t="s">
        <v>32166</v>
      </c>
      <c r="BI189" s="11">
        <v>100</v>
      </c>
      <c r="BJ189" s="10" t="s">
        <v>33162</v>
      </c>
      <c r="BK189" s="11" t="s">
        <v>33162</v>
      </c>
    </row>
    <row r="190" spans="1:63" x14ac:dyDescent="0.75">
      <c r="A190" t="s">
        <v>5513</v>
      </c>
      <c r="B190" t="s">
        <v>104</v>
      </c>
      <c r="C190" t="s">
        <v>462</v>
      </c>
      <c r="D190" t="s">
        <v>463</v>
      </c>
      <c r="E190" s="22" t="s">
        <v>30844</v>
      </c>
      <c r="F190" t="s">
        <v>5514</v>
      </c>
      <c r="G190" s="1" t="str">
        <f>HYPERLINK("https://homd.org/jbrowse/?data=homd_V11.02_phage_1.2%2FGCA_905373395.1&amp;loc=GCA_905373395.1%7CCAJPSO010000005.1%3A87358..94317&amp;tracks=prokka,prokka_ncrna,ncbi,ncbi_ncrna,panggolin,cenote,genomad&amp;highlight=","Open JBrowse")</f>
        <v>Open JBrowse</v>
      </c>
      <c r="H190" s="10">
        <v>90358</v>
      </c>
      <c r="I190" s="10">
        <v>91317</v>
      </c>
      <c r="J190" s="10" t="s">
        <v>5515</v>
      </c>
      <c r="K190" s="10" t="s">
        <v>59</v>
      </c>
      <c r="L190" s="10" t="s">
        <v>466</v>
      </c>
      <c r="M190" s="10" t="s">
        <v>467</v>
      </c>
      <c r="N190" s="10" t="s">
        <v>398</v>
      </c>
      <c r="O190" s="10">
        <v>3</v>
      </c>
      <c r="P190" s="10" t="s">
        <v>42</v>
      </c>
      <c r="Q190" s="10" t="s">
        <v>59</v>
      </c>
      <c r="R190" s="10" t="s">
        <v>5516</v>
      </c>
      <c r="S190" s="10" t="s">
        <v>466</v>
      </c>
      <c r="T190" s="10" t="s">
        <v>42</v>
      </c>
      <c r="U190" s="10">
        <v>41</v>
      </c>
      <c r="V190" s="10">
        <v>267</v>
      </c>
      <c r="W190" s="10">
        <v>227</v>
      </c>
      <c r="X190" s="10" t="s">
        <v>160</v>
      </c>
      <c r="Y190" s="10" t="s">
        <v>5517</v>
      </c>
      <c r="Z190" s="10" t="s">
        <v>281</v>
      </c>
      <c r="AA190" s="10" t="s">
        <v>1335</v>
      </c>
      <c r="AB190" s="10"/>
      <c r="AC190" s="10"/>
      <c r="AD190" s="10"/>
      <c r="AE190" s="10"/>
      <c r="AF190" s="10"/>
      <c r="AG190" s="44"/>
      <c r="AH190" s="44"/>
      <c r="AI190" s="44" t="s">
        <v>6052</v>
      </c>
      <c r="AJ190" s="44" t="s">
        <v>6052</v>
      </c>
      <c r="AK190" s="44" t="s">
        <v>6052</v>
      </c>
      <c r="AL190" s="44" t="s">
        <v>6052</v>
      </c>
      <c r="AM190" s="44" t="s">
        <v>6052</v>
      </c>
      <c r="AN190" s="44" t="s">
        <v>32297</v>
      </c>
      <c r="AO190" s="45">
        <v>11</v>
      </c>
      <c r="AP190" s="45">
        <v>1</v>
      </c>
      <c r="AQ190" s="45">
        <v>0</v>
      </c>
      <c r="AR190" s="45">
        <v>0</v>
      </c>
      <c r="AS190" s="45">
        <v>0</v>
      </c>
      <c r="AT190" s="45">
        <v>0</v>
      </c>
      <c r="AU190" s="10" t="s">
        <v>6052</v>
      </c>
      <c r="AV190" s="10" t="s">
        <v>6052</v>
      </c>
      <c r="AW190" s="10" t="s">
        <v>6052</v>
      </c>
      <c r="AX190" s="10" t="s">
        <v>6052</v>
      </c>
      <c r="AY190" s="10" t="s">
        <v>32253</v>
      </c>
      <c r="AZ190" s="44" t="s">
        <v>33117</v>
      </c>
      <c r="BA190" s="44" t="s">
        <v>30858</v>
      </c>
      <c r="BB190" s="44" t="s">
        <v>31189</v>
      </c>
      <c r="BC190" s="44" t="s">
        <v>6594</v>
      </c>
      <c r="BD190" s="44" t="s">
        <v>31708</v>
      </c>
      <c r="BE190" s="11">
        <v>1</v>
      </c>
      <c r="BF190" s="11">
        <v>0</v>
      </c>
      <c r="BG190" s="11">
        <v>0</v>
      </c>
      <c r="BH190" s="10" t="s">
        <v>32150</v>
      </c>
      <c r="BI190" s="11">
        <v>100</v>
      </c>
      <c r="BJ190" s="10" t="s">
        <v>33162</v>
      </c>
      <c r="BK190" s="11" t="s">
        <v>33162</v>
      </c>
    </row>
    <row r="191" spans="1:63" x14ac:dyDescent="0.75">
      <c r="A191" t="s">
        <v>5806</v>
      </c>
      <c r="B191" t="s">
        <v>104</v>
      </c>
      <c r="C191" t="s">
        <v>462</v>
      </c>
      <c r="D191" t="s">
        <v>463</v>
      </c>
      <c r="E191" s="22" t="s">
        <v>30844</v>
      </c>
      <c r="F191" t="s">
        <v>5807</v>
      </c>
      <c r="G191" s="1" t="str">
        <f>HYPERLINK("https://homd.org/jbrowse/?data=homd_V11.02_phage_1.2%2FGCA_937990705.1&amp;loc=GCA_937990705.1%7CCALKRA010000061.1%3A84138..91097&amp;tracks=prokka,prokka_ncrna,ncbi,ncbi_ncrna,panggolin,cenote,genomad&amp;highlight=","Open JBrowse")</f>
        <v>Open JBrowse</v>
      </c>
      <c r="H191" s="10">
        <v>87138</v>
      </c>
      <c r="I191" s="10">
        <v>88097</v>
      </c>
      <c r="J191" s="10" t="s">
        <v>5808</v>
      </c>
      <c r="K191" s="10" t="s">
        <v>59</v>
      </c>
      <c r="L191" s="10" t="s">
        <v>466</v>
      </c>
      <c r="M191" s="10" t="s">
        <v>467</v>
      </c>
      <c r="N191" s="10" t="s">
        <v>398</v>
      </c>
      <c r="O191" s="10">
        <v>3</v>
      </c>
      <c r="P191" s="10" t="s">
        <v>42</v>
      </c>
      <c r="Q191" s="10" t="s">
        <v>59</v>
      </c>
      <c r="R191" s="10" t="s">
        <v>5809</v>
      </c>
      <c r="S191" s="10" t="s">
        <v>466</v>
      </c>
      <c r="T191" s="10" t="s">
        <v>42</v>
      </c>
      <c r="U191" s="10">
        <v>41</v>
      </c>
      <c r="V191" s="10">
        <v>267</v>
      </c>
      <c r="W191" s="10">
        <v>227</v>
      </c>
      <c r="X191" s="10" t="s">
        <v>160</v>
      </c>
      <c r="Y191" s="10"/>
      <c r="Z191" s="10"/>
      <c r="AA191" s="10"/>
      <c r="AB191" s="10"/>
      <c r="AC191" s="10"/>
      <c r="AD191" s="10"/>
      <c r="AE191" s="10"/>
      <c r="AF191" s="10"/>
      <c r="AG191" s="44"/>
      <c r="AH191" s="44"/>
      <c r="AI191" s="46" t="s">
        <v>6054</v>
      </c>
      <c r="AJ191" s="44" t="s">
        <v>6052</v>
      </c>
      <c r="AK191" s="44" t="s">
        <v>6052</v>
      </c>
      <c r="AL191" s="44" t="s">
        <v>6052</v>
      </c>
      <c r="AM191" s="44" t="s">
        <v>6052</v>
      </c>
      <c r="AN191" s="44" t="s">
        <v>32358</v>
      </c>
      <c r="AO191" s="45">
        <v>11</v>
      </c>
      <c r="AP191" s="45">
        <v>1</v>
      </c>
      <c r="AQ191" s="45">
        <v>0</v>
      </c>
      <c r="AR191" s="45">
        <v>0</v>
      </c>
      <c r="AS191" s="45">
        <v>0</v>
      </c>
      <c r="AT191" s="45">
        <v>0</v>
      </c>
      <c r="AU191" s="10" t="s">
        <v>6052</v>
      </c>
      <c r="AV191" s="10" t="s">
        <v>6052</v>
      </c>
      <c r="AW191" s="10" t="s">
        <v>6052</v>
      </c>
      <c r="AX191" s="10" t="s">
        <v>6052</v>
      </c>
      <c r="AY191" s="10" t="s">
        <v>32253</v>
      </c>
      <c r="AZ191" s="44" t="s">
        <v>33117</v>
      </c>
      <c r="BA191" s="44" t="s">
        <v>30858</v>
      </c>
      <c r="BB191" s="44" t="s">
        <v>31241</v>
      </c>
      <c r="BC191" s="44" t="s">
        <v>6594</v>
      </c>
      <c r="BD191" s="44" t="s">
        <v>31708</v>
      </c>
      <c r="BE191" s="11">
        <v>1</v>
      </c>
      <c r="BF191" s="11">
        <v>0</v>
      </c>
      <c r="BG191" s="11">
        <v>0</v>
      </c>
      <c r="BH191" s="10" t="s">
        <v>32144</v>
      </c>
      <c r="BI191" s="11">
        <v>100</v>
      </c>
      <c r="BJ191" s="10" t="s">
        <v>33162</v>
      </c>
      <c r="BK191" s="11" t="s">
        <v>33162</v>
      </c>
    </row>
    <row r="192" spans="1:63" x14ac:dyDescent="0.75">
      <c r="A192" t="s">
        <v>3435</v>
      </c>
      <c r="B192" t="s">
        <v>104</v>
      </c>
      <c r="C192" t="s">
        <v>462</v>
      </c>
      <c r="D192" t="s">
        <v>463</v>
      </c>
      <c r="E192" s="22" t="s">
        <v>20663</v>
      </c>
      <c r="F192" t="s">
        <v>3436</v>
      </c>
      <c r="G192" s="1" t="str">
        <f>HYPERLINK("https://homd.org/jbrowse/?data=homd_V11.02_phage_1.2%2FGCA_018128185.1&amp;loc=GCA_018128185.1%7CCP072373.1%3A1091..8071&amp;tracks=prokka,prokka_ncrna,ncbi,ncbi_ncrna,panggolin,cenote,genomad&amp;highlight=","Open JBrowse")</f>
        <v>Open JBrowse</v>
      </c>
      <c r="H192" s="10">
        <v>4091</v>
      </c>
      <c r="I192" s="10">
        <v>5071</v>
      </c>
      <c r="J192" s="10" t="s">
        <v>3437</v>
      </c>
      <c r="K192" s="10" t="s">
        <v>59</v>
      </c>
      <c r="L192" s="10" t="s">
        <v>466</v>
      </c>
      <c r="M192" s="10" t="s">
        <v>467</v>
      </c>
      <c r="N192" s="10" t="s">
        <v>398</v>
      </c>
      <c r="O192" s="10">
        <v>3</v>
      </c>
      <c r="P192" s="10" t="s">
        <v>42</v>
      </c>
      <c r="Q192" s="10" t="s">
        <v>59</v>
      </c>
      <c r="R192" s="10" t="s">
        <v>3438</v>
      </c>
      <c r="S192" s="10" t="s">
        <v>466</v>
      </c>
      <c r="T192" s="10" t="s">
        <v>42</v>
      </c>
      <c r="U192" s="10">
        <v>41</v>
      </c>
      <c r="V192" s="10">
        <v>267</v>
      </c>
      <c r="W192" s="10">
        <v>227</v>
      </c>
      <c r="X192" s="10" t="s">
        <v>160</v>
      </c>
      <c r="Y192" s="10" t="s">
        <v>3439</v>
      </c>
      <c r="Z192" s="10" t="s">
        <v>368</v>
      </c>
      <c r="AA192" s="10" t="s">
        <v>3440</v>
      </c>
      <c r="AB192" s="10"/>
      <c r="AC192" s="10"/>
      <c r="AD192" s="10"/>
      <c r="AE192" s="10"/>
      <c r="AF192" s="10"/>
      <c r="AG192" s="44"/>
      <c r="AH192" s="44"/>
      <c r="AI192" s="44" t="s">
        <v>6052</v>
      </c>
      <c r="AJ192" s="44" t="s">
        <v>6052</v>
      </c>
      <c r="AK192" s="44" t="s">
        <v>6052</v>
      </c>
      <c r="AL192" s="44" t="s">
        <v>6052</v>
      </c>
      <c r="AM192" s="44" t="s">
        <v>6052</v>
      </c>
      <c r="AN192" s="44" t="s">
        <v>32664</v>
      </c>
      <c r="AO192" s="45">
        <v>11</v>
      </c>
      <c r="AP192" s="45">
        <v>1</v>
      </c>
      <c r="AQ192" s="45">
        <v>0</v>
      </c>
      <c r="AR192" s="45">
        <v>0</v>
      </c>
      <c r="AS192" s="45">
        <v>0</v>
      </c>
      <c r="AT192" s="45">
        <v>0</v>
      </c>
      <c r="AU192" s="10" t="s">
        <v>6052</v>
      </c>
      <c r="AV192" s="10" t="s">
        <v>6052</v>
      </c>
      <c r="AW192" s="10" t="s">
        <v>6052</v>
      </c>
      <c r="AX192" s="10" t="s">
        <v>6052</v>
      </c>
      <c r="AY192" s="10" t="s">
        <v>32253</v>
      </c>
      <c r="AZ192" s="44" t="s">
        <v>33110</v>
      </c>
      <c r="BA192" s="44" t="s">
        <v>30961</v>
      </c>
      <c r="BB192" s="44" t="s">
        <v>31404</v>
      </c>
      <c r="BC192" s="44" t="s">
        <v>6594</v>
      </c>
      <c r="BD192" s="44" t="s">
        <v>31708</v>
      </c>
      <c r="BE192" s="11">
        <v>1</v>
      </c>
      <c r="BF192" s="11">
        <v>0</v>
      </c>
      <c r="BG192" s="11">
        <v>0</v>
      </c>
      <c r="BH192" s="10" t="s">
        <v>32145</v>
      </c>
      <c r="BI192" s="11">
        <v>100</v>
      </c>
      <c r="BJ192" s="10" t="s">
        <v>33162</v>
      </c>
      <c r="BK192" s="11" t="s">
        <v>33162</v>
      </c>
    </row>
    <row r="193" spans="1:63" x14ac:dyDescent="0.75">
      <c r="A193" t="s">
        <v>3757</v>
      </c>
      <c r="B193" t="s">
        <v>104</v>
      </c>
      <c r="C193" t="s">
        <v>462</v>
      </c>
      <c r="D193" t="s">
        <v>463</v>
      </c>
      <c r="E193" s="22" t="s">
        <v>21273</v>
      </c>
      <c r="F193" t="s">
        <v>3758</v>
      </c>
      <c r="G193" s="1" t="str">
        <f>HYPERLINK("https://homd.org/jbrowse/?data=homd_V11.02_phage_1.2%2FGCA_019375865.1&amp;loc=GCA_019375865.1%7CJAHXCQ010000002.1%3A93046..100026&amp;tracks=prokka,prokka_ncrna,ncbi,ncbi_ncrna,panggolin,cenote,genomad&amp;highlight=","Open JBrowse")</f>
        <v>Open JBrowse</v>
      </c>
      <c r="H193" s="10">
        <v>96046</v>
      </c>
      <c r="I193" s="10">
        <v>97026</v>
      </c>
      <c r="J193" s="10" t="s">
        <v>3759</v>
      </c>
      <c r="K193" s="10" t="s">
        <v>59</v>
      </c>
      <c r="L193" s="10" t="s">
        <v>466</v>
      </c>
      <c r="M193" s="10" t="s">
        <v>467</v>
      </c>
      <c r="N193" s="10" t="s">
        <v>398</v>
      </c>
      <c r="O193" s="10">
        <v>3</v>
      </c>
      <c r="P193" s="10" t="s">
        <v>42</v>
      </c>
      <c r="Q193" s="10" t="s">
        <v>59</v>
      </c>
      <c r="R193" s="10" t="s">
        <v>3760</v>
      </c>
      <c r="S193" s="10" t="s">
        <v>466</v>
      </c>
      <c r="T193" s="10" t="s">
        <v>42</v>
      </c>
      <c r="U193" s="10">
        <v>41</v>
      </c>
      <c r="V193" s="10">
        <v>267</v>
      </c>
      <c r="W193" s="10">
        <v>227</v>
      </c>
      <c r="X193" s="10" t="s">
        <v>160</v>
      </c>
      <c r="Y193" s="10"/>
      <c r="Z193" s="10"/>
      <c r="AA193" s="10"/>
      <c r="AB193" s="10"/>
      <c r="AC193" s="10"/>
      <c r="AD193" s="10"/>
      <c r="AE193" s="10"/>
      <c r="AF193" s="10"/>
      <c r="AG193" s="44"/>
      <c r="AH193" s="44"/>
      <c r="AI193" s="46" t="s">
        <v>6054</v>
      </c>
      <c r="AJ193" s="44" t="s">
        <v>6052</v>
      </c>
      <c r="AK193" s="44" t="s">
        <v>6052</v>
      </c>
      <c r="AL193" s="44" t="s">
        <v>6052</v>
      </c>
      <c r="AM193" s="44" t="s">
        <v>6052</v>
      </c>
      <c r="AN193" s="44" t="s">
        <v>33002</v>
      </c>
      <c r="AO193" s="45">
        <v>11</v>
      </c>
      <c r="AP193" s="45">
        <v>1</v>
      </c>
      <c r="AQ193" s="45">
        <v>0</v>
      </c>
      <c r="AR193" s="45">
        <v>0</v>
      </c>
      <c r="AS193" s="45">
        <v>0</v>
      </c>
      <c r="AT193" s="45">
        <v>0</v>
      </c>
      <c r="AU193" s="10" t="s">
        <v>6052</v>
      </c>
      <c r="AV193" s="10" t="s">
        <v>6052</v>
      </c>
      <c r="AW193" s="10" t="s">
        <v>6052</v>
      </c>
      <c r="AX193" s="10" t="s">
        <v>6052</v>
      </c>
      <c r="AY193" s="10" t="s">
        <v>32253</v>
      </c>
      <c r="AZ193" s="44" t="s">
        <v>33110</v>
      </c>
      <c r="BA193" s="44" t="s">
        <v>31109</v>
      </c>
      <c r="BB193" s="44" t="s">
        <v>31625</v>
      </c>
      <c r="BC193" s="44" t="s">
        <v>6594</v>
      </c>
      <c r="BD193" s="44" t="s">
        <v>31708</v>
      </c>
      <c r="BE193" s="11">
        <v>1</v>
      </c>
      <c r="BF193" s="11">
        <v>0</v>
      </c>
      <c r="BG193" s="11">
        <v>0</v>
      </c>
      <c r="BH193" s="10" t="s">
        <v>32165</v>
      </c>
      <c r="BI193" s="11">
        <v>100</v>
      </c>
      <c r="BJ193" s="10" t="s">
        <v>33162</v>
      </c>
      <c r="BK193" s="11" t="s">
        <v>33162</v>
      </c>
    </row>
    <row r="194" spans="1:63" x14ac:dyDescent="0.75">
      <c r="A194" t="s">
        <v>4833</v>
      </c>
      <c r="B194" t="s">
        <v>104</v>
      </c>
      <c r="C194" t="s">
        <v>462</v>
      </c>
      <c r="D194" t="s">
        <v>463</v>
      </c>
      <c r="E194" s="22" t="s">
        <v>24661</v>
      </c>
      <c r="F194" t="s">
        <v>4834</v>
      </c>
      <c r="G194" s="1" t="str">
        <f>HYPERLINK("https://homd.org/jbrowse/?data=homd_V11.02_phage_1.2%2FGCA_027682715.1&amp;loc=GCA_027682715.1%7CJAQCZE010000007.1%3A84176..91135&amp;tracks=prokka,prokka_ncrna,ncbi,ncbi_ncrna,panggolin,cenote,genomad&amp;highlight=","Open JBrowse")</f>
        <v>Open JBrowse</v>
      </c>
      <c r="H194" s="10">
        <v>87176</v>
      </c>
      <c r="I194" s="10">
        <v>88135</v>
      </c>
      <c r="J194" s="10" t="s">
        <v>4835</v>
      </c>
      <c r="K194" s="10" t="s">
        <v>59</v>
      </c>
      <c r="L194" s="10" t="s">
        <v>466</v>
      </c>
      <c r="M194" s="10" t="s">
        <v>467</v>
      </c>
      <c r="N194" s="10" t="s">
        <v>398</v>
      </c>
      <c r="O194" s="10">
        <v>3</v>
      </c>
      <c r="P194" s="10" t="s">
        <v>42</v>
      </c>
      <c r="Q194" s="10" t="s">
        <v>59</v>
      </c>
      <c r="R194" s="10" t="s">
        <v>4836</v>
      </c>
      <c r="S194" s="10" t="s">
        <v>466</v>
      </c>
      <c r="T194" s="10" t="s">
        <v>42</v>
      </c>
      <c r="U194" s="10">
        <v>41</v>
      </c>
      <c r="V194" s="10">
        <v>267</v>
      </c>
      <c r="W194" s="10">
        <v>227</v>
      </c>
      <c r="X194" s="10" t="s">
        <v>160</v>
      </c>
      <c r="Y194" s="10" t="s">
        <v>4837</v>
      </c>
      <c r="Z194" s="10" t="s">
        <v>824</v>
      </c>
      <c r="AA194" s="10" t="s">
        <v>471</v>
      </c>
      <c r="AB194" s="10"/>
      <c r="AC194" s="10"/>
      <c r="AD194" s="10"/>
      <c r="AE194" s="10"/>
      <c r="AF194" s="10"/>
      <c r="AG194" s="44"/>
      <c r="AH194" s="44"/>
      <c r="AI194" s="44" t="s">
        <v>6052</v>
      </c>
      <c r="AJ194" s="44" t="s">
        <v>6052</v>
      </c>
      <c r="AK194" s="44" t="s">
        <v>6052</v>
      </c>
      <c r="AL194" s="44" t="s">
        <v>6052</v>
      </c>
      <c r="AM194" s="44" t="s">
        <v>6052</v>
      </c>
      <c r="AN194" s="44" t="s">
        <v>32498</v>
      </c>
      <c r="AO194" s="45">
        <v>11</v>
      </c>
      <c r="AP194" s="45">
        <v>1</v>
      </c>
      <c r="AQ194" s="45">
        <v>0</v>
      </c>
      <c r="AR194" s="45">
        <v>0</v>
      </c>
      <c r="AS194" s="45">
        <v>0</v>
      </c>
      <c r="AT194" s="45">
        <v>0</v>
      </c>
      <c r="AU194" s="10" t="s">
        <v>6052</v>
      </c>
      <c r="AV194" s="10" t="s">
        <v>6052</v>
      </c>
      <c r="AW194" s="10" t="s">
        <v>6052</v>
      </c>
      <c r="AX194" s="10" t="s">
        <v>6052</v>
      </c>
      <c r="AY194" s="10" t="s">
        <v>32253</v>
      </c>
      <c r="AZ194" s="44" t="s">
        <v>33117</v>
      </c>
      <c r="BA194" s="44" t="s">
        <v>30890</v>
      </c>
      <c r="BB194" s="44" t="s">
        <v>31301</v>
      </c>
      <c r="BC194" s="44" t="s">
        <v>6594</v>
      </c>
      <c r="BD194" s="44" t="s">
        <v>31708</v>
      </c>
      <c r="BE194" s="11">
        <v>1</v>
      </c>
      <c r="BF194" s="11">
        <v>0</v>
      </c>
      <c r="BG194" s="11">
        <v>0</v>
      </c>
      <c r="BH194" s="10" t="s">
        <v>32154</v>
      </c>
      <c r="BI194" s="11">
        <v>100</v>
      </c>
      <c r="BJ194" s="10" t="s">
        <v>33162</v>
      </c>
      <c r="BK194" s="11" t="s">
        <v>33162</v>
      </c>
    </row>
    <row r="195" spans="1:63" x14ac:dyDescent="0.75">
      <c r="A195" t="s">
        <v>1272</v>
      </c>
      <c r="B195" t="s">
        <v>104</v>
      </c>
      <c r="C195" t="s">
        <v>1273</v>
      </c>
      <c r="D195" t="s">
        <v>1274</v>
      </c>
      <c r="E195" s="22" t="s">
        <v>10320</v>
      </c>
      <c r="F195" t="s">
        <v>1275</v>
      </c>
      <c r="G195" s="1" t="str">
        <f>HYPERLINK("https://homd.org/jbrowse/?data=homd_V11.02_phage_1.2%2FGCA_000614245.1&amp;loc=GCA_000614245.1%7CBAKO01000029.1%3A6630..13634&amp;tracks=prokka,prokka_ncrna,ncbi,ncbi_ncrna,panggolin,cenote,genomad&amp;highlight=","Open JBrowse")</f>
        <v>Open JBrowse</v>
      </c>
      <c r="H195" s="10">
        <v>9630</v>
      </c>
      <c r="I195" s="10">
        <v>10634</v>
      </c>
      <c r="J195" s="10" t="s">
        <v>1276</v>
      </c>
      <c r="K195" s="10" t="s">
        <v>59</v>
      </c>
      <c r="L195" s="10" t="s">
        <v>157</v>
      </c>
      <c r="M195" s="10" t="s">
        <v>158</v>
      </c>
      <c r="N195" s="10" t="s">
        <v>42</v>
      </c>
      <c r="O195" s="10">
        <v>3</v>
      </c>
      <c r="P195" s="10" t="s">
        <v>42</v>
      </c>
      <c r="Q195" s="10" t="s">
        <v>59</v>
      </c>
      <c r="R195" s="10" t="s">
        <v>1277</v>
      </c>
      <c r="S195" s="10" t="s">
        <v>157</v>
      </c>
      <c r="T195" s="10" t="s">
        <v>42</v>
      </c>
      <c r="U195" s="10">
        <v>53</v>
      </c>
      <c r="V195" s="10">
        <v>279</v>
      </c>
      <c r="W195" s="10">
        <v>227</v>
      </c>
      <c r="X195" s="10" t="s">
        <v>160</v>
      </c>
      <c r="Y195" s="10" t="s">
        <v>1278</v>
      </c>
      <c r="Z195" s="10" t="s">
        <v>824</v>
      </c>
      <c r="AA195" s="10" t="s">
        <v>1279</v>
      </c>
      <c r="AB195" s="10" t="s">
        <v>1280</v>
      </c>
      <c r="AC195" s="10" t="s">
        <v>164</v>
      </c>
      <c r="AD195" s="10" t="s">
        <v>51</v>
      </c>
      <c r="AE195" s="10">
        <v>157</v>
      </c>
      <c r="AF195" s="10" t="s">
        <v>165</v>
      </c>
      <c r="AG195" s="44"/>
      <c r="AH195" s="44"/>
      <c r="AI195" s="44" t="s">
        <v>6052</v>
      </c>
      <c r="AJ195" s="44" t="s">
        <v>6052</v>
      </c>
      <c r="AK195" s="44" t="s">
        <v>6052</v>
      </c>
      <c r="AL195" s="44" t="s">
        <v>6052</v>
      </c>
      <c r="AM195" s="44" t="s">
        <v>6052</v>
      </c>
      <c r="AN195" s="44" t="s">
        <v>32829</v>
      </c>
      <c r="AO195" s="45">
        <v>11</v>
      </c>
      <c r="AP195" s="45">
        <v>1</v>
      </c>
      <c r="AQ195" s="45">
        <v>0</v>
      </c>
      <c r="AR195" s="45">
        <v>0</v>
      </c>
      <c r="AS195" s="45">
        <v>0</v>
      </c>
      <c r="AT195" s="45">
        <v>0</v>
      </c>
      <c r="AU195" s="10" t="s">
        <v>6052</v>
      </c>
      <c r="AV195" s="10" t="s">
        <v>6052</v>
      </c>
      <c r="AW195" s="10" t="s">
        <v>6052</v>
      </c>
      <c r="AX195" s="10" t="s">
        <v>6052</v>
      </c>
      <c r="AY195" s="10" t="s">
        <v>32253</v>
      </c>
      <c r="AZ195" s="44" t="s">
        <v>33117</v>
      </c>
      <c r="BA195" s="44" t="s">
        <v>31027</v>
      </c>
      <c r="BB195" s="44" t="s">
        <v>31506</v>
      </c>
      <c r="BC195" s="44" t="s">
        <v>6594</v>
      </c>
      <c r="BD195" s="44" t="s">
        <v>31708</v>
      </c>
      <c r="BE195" s="11">
        <v>1</v>
      </c>
      <c r="BF195" s="11">
        <v>0</v>
      </c>
      <c r="BG195" s="11">
        <v>0</v>
      </c>
      <c r="BH195" s="10" t="s">
        <v>32103</v>
      </c>
      <c r="BI195" s="11">
        <v>100</v>
      </c>
      <c r="BJ195" s="10" t="s">
        <v>33162</v>
      </c>
      <c r="BK195" s="11" t="s">
        <v>33162</v>
      </c>
    </row>
    <row r="196" spans="1:63" x14ac:dyDescent="0.75">
      <c r="A196" t="s">
        <v>1258</v>
      </c>
      <c r="B196" t="s">
        <v>104</v>
      </c>
      <c r="C196" t="s">
        <v>559</v>
      </c>
      <c r="D196" t="s">
        <v>560</v>
      </c>
      <c r="E196" s="22" t="s">
        <v>10298</v>
      </c>
      <c r="F196" t="s">
        <v>1259</v>
      </c>
      <c r="G196" s="1" t="str">
        <f>HYPERLINK("https://homd.org/jbrowse/?data=homd_V11.02_phage_1.2%2FGCA_000613925.1&amp;loc=GCA_000613925.1%7CBAJX01000018.1%3A17260..24117&amp;tracks=prokka,prokka_ncrna,ncbi,ncbi_ncrna,panggolin,cenote,genomad&amp;highlight=","Open JBrowse")</f>
        <v>Open JBrowse</v>
      </c>
      <c r="H196" s="10">
        <v>20260</v>
      </c>
      <c r="I196" s="10">
        <v>21117</v>
      </c>
      <c r="J196" s="10" t="s">
        <v>1260</v>
      </c>
      <c r="K196" s="10" t="s">
        <v>59</v>
      </c>
      <c r="L196" s="10" t="s">
        <v>563</v>
      </c>
      <c r="M196" s="10" t="s">
        <v>564</v>
      </c>
      <c r="N196" s="10" t="s">
        <v>42</v>
      </c>
      <c r="O196" s="10">
        <v>3</v>
      </c>
      <c r="P196" s="10" t="s">
        <v>42</v>
      </c>
      <c r="Q196" s="10" t="s">
        <v>59</v>
      </c>
      <c r="R196" s="10" t="s">
        <v>1261</v>
      </c>
      <c r="S196" s="10" t="s">
        <v>563</v>
      </c>
      <c r="T196" s="10" t="s">
        <v>42</v>
      </c>
      <c r="U196" s="10">
        <v>44</v>
      </c>
      <c r="V196" s="10">
        <v>270</v>
      </c>
      <c r="W196" s="10">
        <v>227</v>
      </c>
      <c r="X196" s="10" t="s">
        <v>160</v>
      </c>
      <c r="Y196" s="10" t="s">
        <v>1262</v>
      </c>
      <c r="Z196" s="10" t="s">
        <v>556</v>
      </c>
      <c r="AA196" s="10" t="s">
        <v>1263</v>
      </c>
      <c r="AB196" s="10"/>
      <c r="AC196" s="10"/>
      <c r="AD196" s="10"/>
      <c r="AE196" s="10"/>
      <c r="AF196" s="10"/>
      <c r="AG196" s="44"/>
      <c r="AH196" s="44"/>
      <c r="AI196" s="44" t="s">
        <v>6052</v>
      </c>
      <c r="AJ196" s="44" t="s">
        <v>6052</v>
      </c>
      <c r="AK196" s="44" t="s">
        <v>6052</v>
      </c>
      <c r="AL196" s="44" t="s">
        <v>6052</v>
      </c>
      <c r="AM196" s="44" t="s">
        <v>6052</v>
      </c>
      <c r="AN196" s="44" t="s">
        <v>32828</v>
      </c>
      <c r="AO196" s="45">
        <v>11</v>
      </c>
      <c r="AP196" s="45">
        <v>1</v>
      </c>
      <c r="AQ196" s="45">
        <v>0</v>
      </c>
      <c r="AR196" s="45">
        <v>0</v>
      </c>
      <c r="AS196" s="45">
        <v>0</v>
      </c>
      <c r="AT196" s="45">
        <v>0</v>
      </c>
      <c r="AU196" s="10" t="s">
        <v>6052</v>
      </c>
      <c r="AV196" s="10" t="s">
        <v>6052</v>
      </c>
      <c r="AW196" s="10" t="s">
        <v>6052</v>
      </c>
      <c r="AX196" s="10" t="s">
        <v>6052</v>
      </c>
      <c r="AY196" s="10" t="s">
        <v>32253</v>
      </c>
      <c r="AZ196" s="44" t="s">
        <v>33117</v>
      </c>
      <c r="BA196" s="44" t="s">
        <v>31026</v>
      </c>
      <c r="BB196" s="44" t="s">
        <v>31505</v>
      </c>
      <c r="BC196" s="44" t="s">
        <v>6594</v>
      </c>
      <c r="BD196" s="44" t="s">
        <v>31708</v>
      </c>
      <c r="BE196" s="11">
        <v>1</v>
      </c>
      <c r="BF196" s="11">
        <v>0</v>
      </c>
      <c r="BG196" s="11">
        <v>0</v>
      </c>
      <c r="BH196" s="10" t="s">
        <v>32121</v>
      </c>
      <c r="BI196" s="11">
        <v>100</v>
      </c>
      <c r="BJ196" s="10" t="s">
        <v>33162</v>
      </c>
      <c r="BK196" s="11" t="s">
        <v>33162</v>
      </c>
    </row>
    <row r="197" spans="1:63" x14ac:dyDescent="0.75">
      <c r="A197" t="s">
        <v>5639</v>
      </c>
      <c r="B197" t="s">
        <v>104</v>
      </c>
      <c r="C197" t="s">
        <v>559</v>
      </c>
      <c r="D197" t="s">
        <v>560</v>
      </c>
      <c r="E197" s="22" t="s">
        <v>30844</v>
      </c>
      <c r="F197" t="s">
        <v>5640</v>
      </c>
      <c r="G197" s="1" t="str">
        <f>HYPERLINK("https://homd.org/jbrowse/?data=homd_V11.02_phage_1.2%2FGCA_916720365.1&amp;loc=GCA_916720365.1%7CCAKAQX010000002.1%3A79023..85880&amp;tracks=prokka,prokka_ncrna,ncbi,ncbi_ncrna,panggolin,cenote,genomad&amp;highlight=","Open JBrowse")</f>
        <v>Open JBrowse</v>
      </c>
      <c r="H197" s="10">
        <v>82023</v>
      </c>
      <c r="I197" s="10">
        <v>82880</v>
      </c>
      <c r="J197" s="10" t="s">
        <v>5641</v>
      </c>
      <c r="K197" s="10" t="s">
        <v>59</v>
      </c>
      <c r="L197" s="10" t="s">
        <v>563</v>
      </c>
      <c r="M197" s="10" t="s">
        <v>564</v>
      </c>
      <c r="N197" s="10" t="s">
        <v>42</v>
      </c>
      <c r="O197" s="10">
        <v>3</v>
      </c>
      <c r="P197" s="10" t="s">
        <v>42</v>
      </c>
      <c r="Q197" s="10" t="s">
        <v>59</v>
      </c>
      <c r="R197" s="10" t="s">
        <v>5642</v>
      </c>
      <c r="S197" s="10" t="s">
        <v>563</v>
      </c>
      <c r="T197" s="10" t="s">
        <v>42</v>
      </c>
      <c r="U197" s="10">
        <v>44</v>
      </c>
      <c r="V197" s="10">
        <v>270</v>
      </c>
      <c r="W197" s="10">
        <v>227</v>
      </c>
      <c r="X197" s="10" t="s">
        <v>160</v>
      </c>
      <c r="Y197" s="10"/>
      <c r="Z197" s="10"/>
      <c r="AA197" s="10"/>
      <c r="AB197" s="10"/>
      <c r="AC197" s="10"/>
      <c r="AD197" s="10"/>
      <c r="AE197" s="10"/>
      <c r="AF197" s="10"/>
      <c r="AG197" s="44"/>
      <c r="AH197" s="44"/>
      <c r="AI197" s="46" t="s">
        <v>6054</v>
      </c>
      <c r="AJ197" s="44" t="s">
        <v>6052</v>
      </c>
      <c r="AK197" s="44" t="s">
        <v>6052</v>
      </c>
      <c r="AL197" s="44" t="s">
        <v>6052</v>
      </c>
      <c r="AM197" s="44" t="s">
        <v>6052</v>
      </c>
      <c r="AN197" s="44" t="s">
        <v>32360</v>
      </c>
      <c r="AO197" s="45">
        <v>11</v>
      </c>
      <c r="AP197" s="45">
        <v>1</v>
      </c>
      <c r="AQ197" s="45">
        <v>0</v>
      </c>
      <c r="AR197" s="45">
        <v>0</v>
      </c>
      <c r="AS197" s="45">
        <v>0</v>
      </c>
      <c r="AT197" s="45">
        <v>0</v>
      </c>
      <c r="AU197" s="10" t="s">
        <v>6052</v>
      </c>
      <c r="AV197" s="10" t="s">
        <v>6052</v>
      </c>
      <c r="AW197" s="10" t="s">
        <v>6052</v>
      </c>
      <c r="AX197" s="10" t="s">
        <v>6052</v>
      </c>
      <c r="AY197" s="10" t="s">
        <v>32253</v>
      </c>
      <c r="AZ197" s="44" t="s">
        <v>33117</v>
      </c>
      <c r="BA197" s="44" t="s">
        <v>30861</v>
      </c>
      <c r="BB197" s="44" t="s">
        <v>31243</v>
      </c>
      <c r="BC197" s="44" t="s">
        <v>6594</v>
      </c>
      <c r="BD197" s="44" t="s">
        <v>31708</v>
      </c>
      <c r="BE197" s="11">
        <v>1</v>
      </c>
      <c r="BF197" s="11">
        <v>0</v>
      </c>
      <c r="BG197" s="11">
        <v>0</v>
      </c>
      <c r="BH197" s="10" t="s">
        <v>32124</v>
      </c>
      <c r="BI197" s="11">
        <v>100</v>
      </c>
      <c r="BJ197" s="10" t="s">
        <v>33162</v>
      </c>
      <c r="BK197" s="11" t="s">
        <v>33162</v>
      </c>
    </row>
    <row r="198" spans="1:63" x14ac:dyDescent="0.75">
      <c r="A198" t="s">
        <v>5687</v>
      </c>
      <c r="B198" t="s">
        <v>104</v>
      </c>
      <c r="C198" t="s">
        <v>559</v>
      </c>
      <c r="D198" t="s">
        <v>560</v>
      </c>
      <c r="E198" s="22" t="s">
        <v>30844</v>
      </c>
      <c r="F198" t="s">
        <v>5688</v>
      </c>
      <c r="G198" s="1" t="str">
        <f>HYPERLINK("https://homd.org/jbrowse/?data=homd_V11.02_phage_1.2%2FGCA_927910845.1&amp;loc=GCA_927910845.1%7CCAKMOA010000132.1%3A10957..17814&amp;tracks=prokka,prokka_ncrna,ncbi,ncbi_ncrna,panggolin,cenote,genomad&amp;highlight=","Open JBrowse")</f>
        <v>Open JBrowse</v>
      </c>
      <c r="H198" s="10">
        <v>13957</v>
      </c>
      <c r="I198" s="10">
        <v>14814</v>
      </c>
      <c r="J198" s="10" t="s">
        <v>5689</v>
      </c>
      <c r="K198" s="10" t="s">
        <v>59</v>
      </c>
      <c r="L198" s="10" t="s">
        <v>563</v>
      </c>
      <c r="M198" s="10" t="s">
        <v>564</v>
      </c>
      <c r="N198" s="10" t="s">
        <v>42</v>
      </c>
      <c r="O198" s="10">
        <v>3</v>
      </c>
      <c r="P198" s="10" t="s">
        <v>42</v>
      </c>
      <c r="Q198" s="10" t="s">
        <v>59</v>
      </c>
      <c r="R198" s="10" t="s">
        <v>5690</v>
      </c>
      <c r="S198" s="10" t="s">
        <v>563</v>
      </c>
      <c r="T198" s="10" t="s">
        <v>42</v>
      </c>
      <c r="U198" s="10">
        <v>44</v>
      </c>
      <c r="V198" s="10">
        <v>270</v>
      </c>
      <c r="W198" s="10">
        <v>227</v>
      </c>
      <c r="X198" s="10" t="s">
        <v>160</v>
      </c>
      <c r="Y198" s="10"/>
      <c r="Z198" s="10"/>
      <c r="AA198" s="10"/>
      <c r="AB198" s="10"/>
      <c r="AC198" s="10"/>
      <c r="AD198" s="10"/>
      <c r="AE198" s="10"/>
      <c r="AF198" s="10"/>
      <c r="AG198" s="44"/>
      <c r="AH198" s="44"/>
      <c r="AI198" s="46" t="s">
        <v>6054</v>
      </c>
      <c r="AJ198" s="44" t="s">
        <v>6052</v>
      </c>
      <c r="AK198" s="44" t="s">
        <v>6052</v>
      </c>
      <c r="AL198" s="44" t="s">
        <v>6052</v>
      </c>
      <c r="AM198" s="44" t="s">
        <v>6052</v>
      </c>
      <c r="AN198" s="44" t="s">
        <v>32361</v>
      </c>
      <c r="AO198" s="45">
        <v>11</v>
      </c>
      <c r="AP198" s="45">
        <v>1</v>
      </c>
      <c r="AQ198" s="45">
        <v>0</v>
      </c>
      <c r="AR198" s="45">
        <v>0</v>
      </c>
      <c r="AS198" s="45">
        <v>0</v>
      </c>
      <c r="AT198" s="45">
        <v>0</v>
      </c>
      <c r="AU198" s="10" t="s">
        <v>6052</v>
      </c>
      <c r="AV198" s="10" t="s">
        <v>6052</v>
      </c>
      <c r="AW198" s="10" t="s">
        <v>6052</v>
      </c>
      <c r="AX198" s="10" t="s">
        <v>6052</v>
      </c>
      <c r="AY198" s="10" t="s">
        <v>32253</v>
      </c>
      <c r="AZ198" s="44" t="s">
        <v>33117</v>
      </c>
      <c r="BA198" s="44" t="s">
        <v>30861</v>
      </c>
      <c r="BB198" s="44" t="s">
        <v>31244</v>
      </c>
      <c r="BC198" s="44" t="s">
        <v>6594</v>
      </c>
      <c r="BD198" s="44" t="s">
        <v>31708</v>
      </c>
      <c r="BE198" s="11">
        <v>1</v>
      </c>
      <c r="BF198" s="11">
        <v>0</v>
      </c>
      <c r="BG198" s="11">
        <v>0</v>
      </c>
      <c r="BH198" s="10" t="s">
        <v>32117</v>
      </c>
      <c r="BI198" s="11">
        <v>100</v>
      </c>
      <c r="BJ198" s="10" t="s">
        <v>33162</v>
      </c>
      <c r="BK198" s="11" t="s">
        <v>33162</v>
      </c>
    </row>
    <row r="199" spans="1:63" x14ac:dyDescent="0.75">
      <c r="A199" t="s">
        <v>5824</v>
      </c>
      <c r="B199" t="s">
        <v>104</v>
      </c>
      <c r="C199" t="s">
        <v>559</v>
      </c>
      <c r="D199" t="s">
        <v>560</v>
      </c>
      <c r="E199" s="22" t="s">
        <v>30844</v>
      </c>
      <c r="F199" t="s">
        <v>5825</v>
      </c>
      <c r="G199" s="1" t="str">
        <f>HYPERLINK("https://homd.org/jbrowse/?data=homd_V11.02_phage_1.2%2FGCA_938014195.1&amp;loc=GCA_938014195.1%7CCALLSE010000030.1%3A24998..31846&amp;tracks=prokka,prokka_ncrna,ncbi,ncbi_ncrna,panggolin,cenote,genomad&amp;highlight=","Open JBrowse")</f>
        <v>Open JBrowse</v>
      </c>
      <c r="H199" s="10">
        <v>27998</v>
      </c>
      <c r="I199" s="10">
        <v>28846</v>
      </c>
      <c r="J199" s="10" t="s">
        <v>5826</v>
      </c>
      <c r="K199" s="10" t="s">
        <v>59</v>
      </c>
      <c r="L199" s="10" t="s">
        <v>466</v>
      </c>
      <c r="M199" s="10" t="s">
        <v>467</v>
      </c>
      <c r="N199" s="10" t="s">
        <v>42</v>
      </c>
      <c r="O199" s="10">
        <v>3</v>
      </c>
      <c r="P199" s="10" t="s">
        <v>42</v>
      </c>
      <c r="Q199" s="10" t="s">
        <v>59</v>
      </c>
      <c r="R199" s="10" t="s">
        <v>5827</v>
      </c>
      <c r="S199" s="10" t="s">
        <v>466</v>
      </c>
      <c r="T199" s="10" t="s">
        <v>42</v>
      </c>
      <c r="U199" s="10">
        <v>41</v>
      </c>
      <c r="V199" s="10">
        <v>267</v>
      </c>
      <c r="W199" s="10">
        <v>227</v>
      </c>
      <c r="X199" s="10" t="s">
        <v>160</v>
      </c>
      <c r="Y199" s="10"/>
      <c r="Z199" s="10"/>
      <c r="AA199" s="10"/>
      <c r="AB199" s="10"/>
      <c r="AC199" s="10"/>
      <c r="AD199" s="10"/>
      <c r="AE199" s="10"/>
      <c r="AF199" s="10"/>
      <c r="AG199" s="44"/>
      <c r="AH199" s="44"/>
      <c r="AI199" s="46" t="s">
        <v>6054</v>
      </c>
      <c r="AJ199" s="44" t="s">
        <v>6052</v>
      </c>
      <c r="AK199" s="44" t="s">
        <v>6052</v>
      </c>
      <c r="AL199" s="44" t="s">
        <v>6052</v>
      </c>
      <c r="AM199" s="44" t="s">
        <v>6052</v>
      </c>
      <c r="AN199" s="44" t="s">
        <v>32359</v>
      </c>
      <c r="AO199" s="45">
        <v>11</v>
      </c>
      <c r="AP199" s="45">
        <v>1</v>
      </c>
      <c r="AQ199" s="45">
        <v>0</v>
      </c>
      <c r="AR199" s="45">
        <v>0</v>
      </c>
      <c r="AS199" s="45">
        <v>0</v>
      </c>
      <c r="AT199" s="45">
        <v>0</v>
      </c>
      <c r="AU199" s="10" t="s">
        <v>6052</v>
      </c>
      <c r="AV199" s="10" t="s">
        <v>6052</v>
      </c>
      <c r="AW199" s="10" t="s">
        <v>6052</v>
      </c>
      <c r="AX199" s="10" t="s">
        <v>6052</v>
      </c>
      <c r="AY199" s="10" t="s">
        <v>32253</v>
      </c>
      <c r="AZ199" s="44" t="s">
        <v>33117</v>
      </c>
      <c r="BA199" s="44" t="s">
        <v>30861</v>
      </c>
      <c r="BB199" s="44" t="s">
        <v>31242</v>
      </c>
      <c r="BC199" s="44" t="s">
        <v>6594</v>
      </c>
      <c r="BD199" s="44" t="s">
        <v>31708</v>
      </c>
      <c r="BE199" s="11">
        <v>1</v>
      </c>
      <c r="BF199" s="11">
        <v>0</v>
      </c>
      <c r="BG199" s="11">
        <v>0</v>
      </c>
      <c r="BH199" s="10" t="s">
        <v>32100</v>
      </c>
      <c r="BI199" s="11">
        <v>100</v>
      </c>
      <c r="BJ199" s="10" t="s">
        <v>33162</v>
      </c>
      <c r="BK199" s="11" t="s">
        <v>33162</v>
      </c>
    </row>
    <row r="200" spans="1:63" x14ac:dyDescent="0.75">
      <c r="A200" t="s">
        <v>6014</v>
      </c>
      <c r="B200" t="s">
        <v>104</v>
      </c>
      <c r="C200" t="s">
        <v>559</v>
      </c>
      <c r="D200" t="s">
        <v>560</v>
      </c>
      <c r="E200" s="22" t="s">
        <v>30844</v>
      </c>
      <c r="F200" t="s">
        <v>6015</v>
      </c>
      <c r="G200" s="1" t="str">
        <f>HYPERLINK("https://homd.org/jbrowse/?data=homd_V11.02_phage_1.2%2FGCA_951230325.1&amp;loc=GCA_951230325.1%7CCATNVF010000178.1%3A65..6922&amp;tracks=prokka,prokka_ncrna,ncbi,ncbi_ncrna,panggolin,cenote,genomad&amp;highlight=","Open JBrowse")</f>
        <v>Open JBrowse</v>
      </c>
      <c r="H200" s="10">
        <v>3065</v>
      </c>
      <c r="I200" s="10">
        <v>3922</v>
      </c>
      <c r="J200" s="10" t="s">
        <v>6016</v>
      </c>
      <c r="K200" s="10" t="s">
        <v>59</v>
      </c>
      <c r="L200" s="10" t="s">
        <v>563</v>
      </c>
      <c r="M200" s="10" t="s">
        <v>564</v>
      </c>
      <c r="N200" s="10" t="s">
        <v>42</v>
      </c>
      <c r="O200" s="10">
        <v>3</v>
      </c>
      <c r="P200" s="10" t="s">
        <v>42</v>
      </c>
      <c r="Q200" s="10" t="s">
        <v>59</v>
      </c>
      <c r="R200" s="10" t="s">
        <v>6017</v>
      </c>
      <c r="S200" s="10" t="s">
        <v>563</v>
      </c>
      <c r="T200" s="10" t="s">
        <v>42</v>
      </c>
      <c r="U200" s="10">
        <v>44</v>
      </c>
      <c r="V200" s="10">
        <v>270</v>
      </c>
      <c r="W200" s="10">
        <v>227</v>
      </c>
      <c r="X200" s="10" t="s">
        <v>160</v>
      </c>
      <c r="Y200" s="10"/>
      <c r="Z200" s="10"/>
      <c r="AA200" s="10"/>
      <c r="AB200" s="10"/>
      <c r="AC200" s="10"/>
      <c r="AD200" s="10"/>
      <c r="AE200" s="10"/>
      <c r="AF200" s="10"/>
      <c r="AG200" s="44"/>
      <c r="AH200" s="44"/>
      <c r="AI200" s="46" t="s">
        <v>6054</v>
      </c>
      <c r="AJ200" s="44" t="s">
        <v>6052</v>
      </c>
      <c r="AK200" s="44" t="s">
        <v>6052</v>
      </c>
      <c r="AL200" s="44" t="s">
        <v>6052</v>
      </c>
      <c r="AM200" s="44" t="s">
        <v>6052</v>
      </c>
      <c r="AN200" s="44" t="s">
        <v>32362</v>
      </c>
      <c r="AO200" s="45">
        <v>11</v>
      </c>
      <c r="AP200" s="45">
        <v>1</v>
      </c>
      <c r="AQ200" s="45">
        <v>0</v>
      </c>
      <c r="AR200" s="45">
        <v>0</v>
      </c>
      <c r="AS200" s="45">
        <v>0</v>
      </c>
      <c r="AT200" s="45">
        <v>0</v>
      </c>
      <c r="AU200" s="10" t="s">
        <v>6052</v>
      </c>
      <c r="AV200" s="10" t="s">
        <v>6052</v>
      </c>
      <c r="AW200" s="10" t="s">
        <v>6052</v>
      </c>
      <c r="AX200" s="10" t="s">
        <v>6052</v>
      </c>
      <c r="AY200" s="10" t="s">
        <v>32253</v>
      </c>
      <c r="AZ200" s="44" t="s">
        <v>33117</v>
      </c>
      <c r="BA200" s="44" t="s">
        <v>30861</v>
      </c>
      <c r="BB200" s="44" t="s">
        <v>31245</v>
      </c>
      <c r="BC200" s="44" t="s">
        <v>6594</v>
      </c>
      <c r="BD200" s="44" t="s">
        <v>31708</v>
      </c>
      <c r="BE200" s="11">
        <v>1</v>
      </c>
      <c r="BF200" s="11">
        <v>0</v>
      </c>
      <c r="BG200" s="11">
        <v>0</v>
      </c>
      <c r="BH200" s="10" t="s">
        <v>32097</v>
      </c>
      <c r="BI200" s="11">
        <v>100</v>
      </c>
      <c r="BJ200" s="10" t="s">
        <v>33162</v>
      </c>
      <c r="BK200" s="11" t="s">
        <v>33162</v>
      </c>
    </row>
    <row r="201" spans="1:63" x14ac:dyDescent="0.75">
      <c r="A201" t="s">
        <v>3695</v>
      </c>
      <c r="B201" t="s">
        <v>104</v>
      </c>
      <c r="C201" t="s">
        <v>559</v>
      </c>
      <c r="D201" t="s">
        <v>560</v>
      </c>
      <c r="E201" s="22" t="s">
        <v>21243</v>
      </c>
      <c r="F201" t="s">
        <v>3696</v>
      </c>
      <c r="G201" s="1" t="str">
        <f>HYPERLINK("https://homd.org/jbrowse/?data=homd_V11.02_phage_1.2%2FGCA_019375585.1&amp;loc=GCA_019375585.1%7CJAHXCF010000011.1%3A42596..49030&amp;tracks=prokka,prokka_ncrna,ncbi,ncbi_ncrna,panggolin,cenote,genomad&amp;highlight=","Open JBrowse")</f>
        <v>Open JBrowse</v>
      </c>
      <c r="H201" s="10">
        <v>45596</v>
      </c>
      <c r="I201" s="10">
        <v>46030</v>
      </c>
      <c r="J201" s="10" t="s">
        <v>3697</v>
      </c>
      <c r="K201" s="10" t="s">
        <v>59</v>
      </c>
      <c r="L201" s="10" t="s">
        <v>3698</v>
      </c>
      <c r="M201" s="10" t="s">
        <v>3699</v>
      </c>
      <c r="N201" s="10" t="s">
        <v>59</v>
      </c>
      <c r="O201" s="10">
        <v>2</v>
      </c>
      <c r="P201" s="10" t="s">
        <v>42</v>
      </c>
      <c r="Q201" s="10" t="s">
        <v>59</v>
      </c>
      <c r="R201" s="10" t="s">
        <v>3700</v>
      </c>
      <c r="S201" s="10" t="s">
        <v>3698</v>
      </c>
      <c r="T201" s="10" t="s">
        <v>42</v>
      </c>
      <c r="U201" s="10">
        <v>1</v>
      </c>
      <c r="V201" s="10">
        <v>129</v>
      </c>
      <c r="W201" s="10">
        <v>129</v>
      </c>
      <c r="X201" s="10" t="s">
        <v>160</v>
      </c>
      <c r="Y201" s="10"/>
      <c r="Z201" s="10"/>
      <c r="AA201" s="10"/>
      <c r="AB201" s="10"/>
      <c r="AC201" s="10"/>
      <c r="AD201" s="10"/>
      <c r="AE201" s="10"/>
      <c r="AF201" s="10"/>
      <c r="AG201" s="44"/>
      <c r="AH201" s="44"/>
      <c r="AI201" s="46" t="s">
        <v>6054</v>
      </c>
      <c r="AJ201" s="44" t="s">
        <v>6052</v>
      </c>
      <c r="AK201" s="44" t="s">
        <v>6052</v>
      </c>
      <c r="AL201" s="44" t="s">
        <v>6052</v>
      </c>
      <c r="AM201" s="44" t="s">
        <v>6052</v>
      </c>
      <c r="AN201" s="44" t="s">
        <v>33013</v>
      </c>
      <c r="AO201" s="45">
        <v>11</v>
      </c>
      <c r="AP201" s="45">
        <v>1</v>
      </c>
      <c r="AQ201" s="45">
        <v>0</v>
      </c>
      <c r="AR201" s="45">
        <v>0</v>
      </c>
      <c r="AS201" s="45">
        <v>0</v>
      </c>
      <c r="AT201" s="45">
        <v>0</v>
      </c>
      <c r="AU201" s="10" t="s">
        <v>6052</v>
      </c>
      <c r="AV201" s="10" t="s">
        <v>6052</v>
      </c>
      <c r="AW201" s="10" t="s">
        <v>6052</v>
      </c>
      <c r="AX201" s="10" t="s">
        <v>6052</v>
      </c>
      <c r="AY201" s="10" t="s">
        <v>32253</v>
      </c>
      <c r="AZ201" s="44" t="s">
        <v>33110</v>
      </c>
      <c r="BA201" s="44" t="s">
        <v>31120</v>
      </c>
      <c r="BB201" s="44" t="s">
        <v>31636</v>
      </c>
      <c r="BC201" s="44" t="s">
        <v>6594</v>
      </c>
      <c r="BD201" s="44" t="s">
        <v>31708</v>
      </c>
      <c r="BE201" s="11">
        <v>1</v>
      </c>
      <c r="BF201" s="11">
        <v>0</v>
      </c>
      <c r="BG201" s="11">
        <v>0</v>
      </c>
      <c r="BH201" s="10" t="s">
        <v>32182</v>
      </c>
      <c r="BI201" s="11">
        <v>100</v>
      </c>
      <c r="BJ201" s="10" t="s">
        <v>33162</v>
      </c>
      <c r="BK201" s="11" t="s">
        <v>33162</v>
      </c>
    </row>
    <row r="202" spans="1:63" x14ac:dyDescent="0.75">
      <c r="A202" t="s">
        <v>3811</v>
      </c>
      <c r="B202" t="s">
        <v>104</v>
      </c>
      <c r="C202" t="s">
        <v>559</v>
      </c>
      <c r="D202" t="s">
        <v>560</v>
      </c>
      <c r="E202" s="22" t="s">
        <v>21306</v>
      </c>
      <c r="F202" t="s">
        <v>3812</v>
      </c>
      <c r="G202" s="1" t="str">
        <f>HYPERLINK("https://homd.org/jbrowse/?data=homd_V11.02_phage_1.2%2FGCA_019391885.1&amp;loc=GCA_019391885.1%7CJAHXRE010000011.1%3A41533..47967&amp;tracks=prokka,prokka_ncrna,ncbi,ncbi_ncrna,panggolin,cenote,genomad&amp;highlight=","Open JBrowse")</f>
        <v>Open JBrowse</v>
      </c>
      <c r="H202" s="10">
        <v>44533</v>
      </c>
      <c r="I202" s="10">
        <v>44967</v>
      </c>
      <c r="J202" s="10" t="s">
        <v>3813</v>
      </c>
      <c r="K202" s="10" t="s">
        <v>59</v>
      </c>
      <c r="L202" s="10" t="s">
        <v>3698</v>
      </c>
      <c r="M202" s="10" t="s">
        <v>3699</v>
      </c>
      <c r="N202" s="10" t="s">
        <v>59</v>
      </c>
      <c r="O202" s="10">
        <v>2</v>
      </c>
      <c r="P202" s="10" t="s">
        <v>42</v>
      </c>
      <c r="Q202" s="10" t="s">
        <v>59</v>
      </c>
      <c r="R202" s="10" t="s">
        <v>3814</v>
      </c>
      <c r="S202" s="10" t="s">
        <v>3698</v>
      </c>
      <c r="T202" s="10" t="s">
        <v>42</v>
      </c>
      <c r="U202" s="10">
        <v>1</v>
      </c>
      <c r="V202" s="10">
        <v>129</v>
      </c>
      <c r="W202" s="10">
        <v>129</v>
      </c>
      <c r="X202" s="10" t="s">
        <v>160</v>
      </c>
      <c r="Y202" s="10"/>
      <c r="Z202" s="10"/>
      <c r="AA202" s="10"/>
      <c r="AB202" s="10"/>
      <c r="AC202" s="10"/>
      <c r="AD202" s="10"/>
      <c r="AE202" s="10"/>
      <c r="AF202" s="10"/>
      <c r="AG202" s="44"/>
      <c r="AH202" s="44"/>
      <c r="AI202" s="46" t="s">
        <v>6054</v>
      </c>
      <c r="AJ202" s="44" t="s">
        <v>6052</v>
      </c>
      <c r="AK202" s="44" t="s">
        <v>6052</v>
      </c>
      <c r="AL202" s="44" t="s">
        <v>6052</v>
      </c>
      <c r="AM202" s="44" t="s">
        <v>6052</v>
      </c>
      <c r="AN202" s="44" t="s">
        <v>33012</v>
      </c>
      <c r="AO202" s="45">
        <v>11</v>
      </c>
      <c r="AP202" s="45">
        <v>1</v>
      </c>
      <c r="AQ202" s="45">
        <v>0</v>
      </c>
      <c r="AR202" s="45">
        <v>0</v>
      </c>
      <c r="AS202" s="45">
        <v>0</v>
      </c>
      <c r="AT202" s="45">
        <v>0</v>
      </c>
      <c r="AU202" s="10" t="s">
        <v>6052</v>
      </c>
      <c r="AV202" s="10" t="s">
        <v>6052</v>
      </c>
      <c r="AW202" s="10" t="s">
        <v>6052</v>
      </c>
      <c r="AX202" s="10" t="s">
        <v>6052</v>
      </c>
      <c r="AY202" s="10" t="s">
        <v>32253</v>
      </c>
      <c r="AZ202" s="44" t="s">
        <v>33110</v>
      </c>
      <c r="BA202" s="44" t="s">
        <v>31119</v>
      </c>
      <c r="BB202" s="44" t="s">
        <v>31635</v>
      </c>
      <c r="BC202" s="44" t="s">
        <v>6594</v>
      </c>
      <c r="BD202" s="44" t="s">
        <v>31708</v>
      </c>
      <c r="BE202" s="11">
        <v>1</v>
      </c>
      <c r="BF202" s="11">
        <v>0</v>
      </c>
      <c r="BG202" s="11">
        <v>0</v>
      </c>
      <c r="BH202" s="10" t="s">
        <v>32181</v>
      </c>
      <c r="BI202" s="11">
        <v>100</v>
      </c>
      <c r="BJ202" s="10" t="s">
        <v>33162</v>
      </c>
      <c r="BK202" s="11" t="s">
        <v>33162</v>
      </c>
    </row>
    <row r="203" spans="1:63" x14ac:dyDescent="0.75">
      <c r="A203" t="s">
        <v>3815</v>
      </c>
      <c r="B203" t="s">
        <v>104</v>
      </c>
      <c r="C203" t="s">
        <v>559</v>
      </c>
      <c r="D203" t="s">
        <v>560</v>
      </c>
      <c r="E203" s="22" t="s">
        <v>21311</v>
      </c>
      <c r="F203" t="s">
        <v>3816</v>
      </c>
      <c r="G203" s="1" t="str">
        <f>HYPERLINK("https://homd.org/jbrowse/?data=homd_V11.02_phage_1.2%2FGCA_019391935.1&amp;loc=GCA_019391935.1%7CJAHXRH010000017.1%3A2034..8468&amp;tracks=prokka,prokka_ncrna,ncbi,ncbi_ncrna,panggolin,cenote,genomad&amp;highlight=","Open JBrowse")</f>
        <v>Open JBrowse</v>
      </c>
      <c r="H203" s="10">
        <v>5034</v>
      </c>
      <c r="I203" s="10">
        <v>5468</v>
      </c>
      <c r="J203" s="10" t="s">
        <v>3817</v>
      </c>
      <c r="K203" s="10" t="s">
        <v>59</v>
      </c>
      <c r="L203" s="10" t="s">
        <v>3698</v>
      </c>
      <c r="M203" s="10" t="s">
        <v>3699</v>
      </c>
      <c r="N203" s="10" t="s">
        <v>59</v>
      </c>
      <c r="O203" s="10">
        <v>2</v>
      </c>
      <c r="P203" s="10" t="s">
        <v>42</v>
      </c>
      <c r="Q203" s="10" t="s">
        <v>59</v>
      </c>
      <c r="R203" s="10" t="s">
        <v>3818</v>
      </c>
      <c r="S203" s="10" t="s">
        <v>3698</v>
      </c>
      <c r="T203" s="10" t="s">
        <v>42</v>
      </c>
      <c r="U203" s="10">
        <v>1</v>
      </c>
      <c r="V203" s="10">
        <v>129</v>
      </c>
      <c r="W203" s="10">
        <v>129</v>
      </c>
      <c r="X203" s="10" t="s">
        <v>160</v>
      </c>
      <c r="Y203" s="10"/>
      <c r="Z203" s="10"/>
      <c r="AA203" s="10"/>
      <c r="AB203" s="10"/>
      <c r="AC203" s="10"/>
      <c r="AD203" s="10"/>
      <c r="AE203" s="10"/>
      <c r="AF203" s="10"/>
      <c r="AG203" s="44"/>
      <c r="AH203" s="44"/>
      <c r="AI203" s="46" t="s">
        <v>6054</v>
      </c>
      <c r="AJ203" s="44" t="s">
        <v>6052</v>
      </c>
      <c r="AK203" s="44" t="s">
        <v>6052</v>
      </c>
      <c r="AL203" s="44" t="s">
        <v>6052</v>
      </c>
      <c r="AM203" s="44" t="s">
        <v>6052</v>
      </c>
      <c r="AN203" s="44" t="s">
        <v>33014</v>
      </c>
      <c r="AO203" s="45">
        <v>11</v>
      </c>
      <c r="AP203" s="45">
        <v>1</v>
      </c>
      <c r="AQ203" s="45">
        <v>0</v>
      </c>
      <c r="AR203" s="45">
        <v>0</v>
      </c>
      <c r="AS203" s="45">
        <v>0</v>
      </c>
      <c r="AT203" s="45">
        <v>0</v>
      </c>
      <c r="AU203" s="10" t="s">
        <v>6052</v>
      </c>
      <c r="AV203" s="10" t="s">
        <v>6052</v>
      </c>
      <c r="AW203" s="10" t="s">
        <v>6052</v>
      </c>
      <c r="AX203" s="10" t="s">
        <v>6052</v>
      </c>
      <c r="AY203" s="10" t="s">
        <v>32253</v>
      </c>
      <c r="AZ203" s="44" t="s">
        <v>33110</v>
      </c>
      <c r="BA203" s="44" t="s">
        <v>31121</v>
      </c>
      <c r="BB203" s="44" t="s">
        <v>31637</v>
      </c>
      <c r="BC203" s="44" t="s">
        <v>6594</v>
      </c>
      <c r="BD203" s="44" t="s">
        <v>31708</v>
      </c>
      <c r="BE203" s="11">
        <v>1</v>
      </c>
      <c r="BF203" s="11">
        <v>0</v>
      </c>
      <c r="BG203" s="11">
        <v>0</v>
      </c>
      <c r="BH203" s="10" t="s">
        <v>32180</v>
      </c>
      <c r="BI203" s="11">
        <v>100</v>
      </c>
      <c r="BJ203" s="10" t="s">
        <v>33162</v>
      </c>
      <c r="BK203" s="11" t="s">
        <v>33162</v>
      </c>
    </row>
    <row r="204" spans="1:63" x14ac:dyDescent="0.75">
      <c r="A204" t="s">
        <v>5601</v>
      </c>
      <c r="B204" t="s">
        <v>104</v>
      </c>
      <c r="C204" t="s">
        <v>550</v>
      </c>
      <c r="D204" t="s">
        <v>551</v>
      </c>
      <c r="E204" s="22" t="s">
        <v>30844</v>
      </c>
      <c r="F204" t="s">
        <v>5602</v>
      </c>
      <c r="G204" s="1" t="str">
        <f>HYPERLINK("https://homd.org/jbrowse/?data=homd_V11.02_phage_1.2%2FGCA_916438675.1&amp;loc=GCA_916438675.1%7CCAKAFN010000001.1%3A2072415..2079392&amp;tracks=prokka,prokka_ncrna,ncbi,ncbi_ncrna,panggolin,cenote,genomad&amp;highlight=","Open JBrowse")</f>
        <v>Open JBrowse</v>
      </c>
      <c r="H204" s="10">
        <v>2075415</v>
      </c>
      <c r="I204" s="10">
        <v>2076392</v>
      </c>
      <c r="J204" s="10" t="s">
        <v>5603</v>
      </c>
      <c r="K204" s="10" t="s">
        <v>59</v>
      </c>
      <c r="L204" s="10" t="s">
        <v>563</v>
      </c>
      <c r="M204" s="10" t="s">
        <v>564</v>
      </c>
      <c r="N204" s="10" t="s">
        <v>42</v>
      </c>
      <c r="O204" s="10">
        <v>3</v>
      </c>
      <c r="P204" s="10" t="s">
        <v>42</v>
      </c>
      <c r="Q204" s="10" t="s">
        <v>59</v>
      </c>
      <c r="R204" s="10" t="s">
        <v>5604</v>
      </c>
      <c r="S204" s="10" t="s">
        <v>563</v>
      </c>
      <c r="T204" s="10" t="s">
        <v>42</v>
      </c>
      <c r="U204" s="10">
        <v>44</v>
      </c>
      <c r="V204" s="10">
        <v>270</v>
      </c>
      <c r="W204" s="10">
        <v>227</v>
      </c>
      <c r="X204" s="10" t="s">
        <v>160</v>
      </c>
      <c r="Y204" s="10" t="s">
        <v>5605</v>
      </c>
      <c r="Z204" s="10" t="s">
        <v>410</v>
      </c>
      <c r="AA204" s="10" t="s">
        <v>2061</v>
      </c>
      <c r="AB204" s="10"/>
      <c r="AC204" s="10"/>
      <c r="AD204" s="10"/>
      <c r="AE204" s="10"/>
      <c r="AF204" s="10"/>
      <c r="AG204" s="44"/>
      <c r="AH204" s="44"/>
      <c r="AI204" s="44" t="s">
        <v>6052</v>
      </c>
      <c r="AJ204" s="44" t="s">
        <v>6052</v>
      </c>
      <c r="AK204" s="44" t="s">
        <v>6052</v>
      </c>
      <c r="AL204" s="44" t="s">
        <v>6052</v>
      </c>
      <c r="AM204" s="44" t="s">
        <v>6052</v>
      </c>
      <c r="AN204" s="44" t="s">
        <v>32320</v>
      </c>
      <c r="AO204" s="45">
        <v>11</v>
      </c>
      <c r="AP204" s="45">
        <v>1</v>
      </c>
      <c r="AQ204" s="45">
        <v>0</v>
      </c>
      <c r="AR204" s="45">
        <v>0</v>
      </c>
      <c r="AS204" s="45">
        <v>0</v>
      </c>
      <c r="AT204" s="45">
        <v>0</v>
      </c>
      <c r="AU204" s="10" t="s">
        <v>6052</v>
      </c>
      <c r="AV204" s="10" t="s">
        <v>6052</v>
      </c>
      <c r="AW204" s="10" t="s">
        <v>6052</v>
      </c>
      <c r="AX204" s="10" t="s">
        <v>6052</v>
      </c>
      <c r="AY204" s="10" t="s">
        <v>32253</v>
      </c>
      <c r="AZ204" s="44" t="s">
        <v>33117</v>
      </c>
      <c r="BA204" s="44" t="s">
        <v>30866</v>
      </c>
      <c r="BB204" s="44" t="s">
        <v>31210</v>
      </c>
      <c r="BC204" s="44" t="s">
        <v>6594</v>
      </c>
      <c r="BD204" s="44" t="s">
        <v>31708</v>
      </c>
      <c r="BE204" s="11">
        <v>1</v>
      </c>
      <c r="BF204" s="11">
        <v>0</v>
      </c>
      <c r="BG204" s="11">
        <v>0</v>
      </c>
      <c r="BH204" s="10" t="s">
        <v>32037</v>
      </c>
      <c r="BI204" s="11">
        <v>100</v>
      </c>
      <c r="BJ204" s="10" t="s">
        <v>33162</v>
      </c>
      <c r="BK204" s="11" t="s">
        <v>33162</v>
      </c>
    </row>
    <row r="205" spans="1:63" x14ac:dyDescent="0.75">
      <c r="A205" t="s">
        <v>5834</v>
      </c>
      <c r="B205" t="s">
        <v>104</v>
      </c>
      <c r="C205" t="s">
        <v>550</v>
      </c>
      <c r="D205" t="s">
        <v>551</v>
      </c>
      <c r="E205" s="22" t="s">
        <v>30844</v>
      </c>
      <c r="F205" t="s">
        <v>5835</v>
      </c>
      <c r="G205" s="1" t="str">
        <f>HYPERLINK("https://homd.org/jbrowse/?data=homd_V11.02_phage_1.2%2FGCA_938015825.1&amp;loc=GCA_938015825.1%7CCALLVZ010000051.1%3A17367..24371&amp;tracks=prokka,prokka_ncrna,ncbi,ncbi_ncrna,panggolin,cenote,genomad&amp;highlight=","Open JBrowse")</f>
        <v>Open JBrowse</v>
      </c>
      <c r="H205" s="10">
        <v>20367</v>
      </c>
      <c r="I205" s="10">
        <v>21371</v>
      </c>
      <c r="J205" s="10" t="s">
        <v>5836</v>
      </c>
      <c r="K205" s="10" t="s">
        <v>59</v>
      </c>
      <c r="L205" s="10" t="s">
        <v>157</v>
      </c>
      <c r="M205" s="10" t="s">
        <v>158</v>
      </c>
      <c r="N205" s="10" t="s">
        <v>42</v>
      </c>
      <c r="O205" s="10">
        <v>3</v>
      </c>
      <c r="P205" s="10" t="s">
        <v>42</v>
      </c>
      <c r="Q205" s="10" t="s">
        <v>59</v>
      </c>
      <c r="R205" s="10" t="s">
        <v>5837</v>
      </c>
      <c r="S205" s="10" t="s">
        <v>157</v>
      </c>
      <c r="T205" s="10" t="s">
        <v>42</v>
      </c>
      <c r="U205" s="10">
        <v>53</v>
      </c>
      <c r="V205" s="10">
        <v>279</v>
      </c>
      <c r="W205" s="10">
        <v>227</v>
      </c>
      <c r="X205" s="10" t="s">
        <v>160</v>
      </c>
      <c r="Y205" s="10" t="s">
        <v>5838</v>
      </c>
      <c r="Z205" s="10" t="s">
        <v>1463</v>
      </c>
      <c r="AA205" s="10" t="s">
        <v>557</v>
      </c>
      <c r="AB205" s="10"/>
      <c r="AC205" s="10"/>
      <c r="AD205" s="10"/>
      <c r="AE205" s="10"/>
      <c r="AF205" s="10"/>
      <c r="AG205" s="44"/>
      <c r="AH205" s="44"/>
      <c r="AI205" s="44" t="s">
        <v>6052</v>
      </c>
      <c r="AJ205" s="44" t="s">
        <v>6052</v>
      </c>
      <c r="AK205" s="44" t="s">
        <v>6052</v>
      </c>
      <c r="AL205" s="44" t="s">
        <v>6052</v>
      </c>
      <c r="AM205" s="44" t="s">
        <v>6052</v>
      </c>
      <c r="AN205" s="44" t="s">
        <v>32343</v>
      </c>
      <c r="AO205" s="45">
        <v>11</v>
      </c>
      <c r="AP205" s="45">
        <v>1</v>
      </c>
      <c r="AQ205" s="45">
        <v>0</v>
      </c>
      <c r="AR205" s="45">
        <v>0</v>
      </c>
      <c r="AS205" s="45">
        <v>0</v>
      </c>
      <c r="AT205" s="45">
        <v>0</v>
      </c>
      <c r="AU205" s="10" t="s">
        <v>6052</v>
      </c>
      <c r="AV205" s="10" t="s">
        <v>6052</v>
      </c>
      <c r="AW205" s="10" t="s">
        <v>6052</v>
      </c>
      <c r="AX205" s="10" t="s">
        <v>6052</v>
      </c>
      <c r="AY205" s="10" t="s">
        <v>32253</v>
      </c>
      <c r="AZ205" s="44" t="s">
        <v>33117</v>
      </c>
      <c r="BA205" s="44" t="s">
        <v>30866</v>
      </c>
      <c r="BB205" s="44" t="s">
        <v>31228</v>
      </c>
      <c r="BC205" s="44" t="s">
        <v>6594</v>
      </c>
      <c r="BD205" s="44" t="s">
        <v>31708</v>
      </c>
      <c r="BE205" s="11">
        <v>1</v>
      </c>
      <c r="BF205" s="11">
        <v>0</v>
      </c>
      <c r="BG205" s="11">
        <v>0</v>
      </c>
      <c r="BH205" s="10" t="s">
        <v>32067</v>
      </c>
      <c r="BI205" s="11">
        <v>100</v>
      </c>
      <c r="BJ205" s="10" t="s">
        <v>33162</v>
      </c>
      <c r="BK205" s="11" t="s">
        <v>33162</v>
      </c>
    </row>
    <row r="206" spans="1:63" x14ac:dyDescent="0.75">
      <c r="A206" t="s">
        <v>3410</v>
      </c>
      <c r="B206" t="s">
        <v>104</v>
      </c>
      <c r="C206" t="s">
        <v>550</v>
      </c>
      <c r="D206" t="s">
        <v>551</v>
      </c>
      <c r="E206" s="22" t="s">
        <v>20655</v>
      </c>
      <c r="F206" t="s">
        <v>3411</v>
      </c>
      <c r="G206" s="1" t="str">
        <f>HYPERLINK("https://homd.org/jbrowse/?data=homd_V11.02_phage_1.2%2FGCA_018128085.1&amp;loc=GCA_018128085.1%7CCP072363.1%3A1258069..1265067&amp;tracks=prokka,prokka_ncrna,ncbi,ncbi_ncrna,panggolin,cenote,genomad&amp;highlight=","Open JBrowse")</f>
        <v>Open JBrowse</v>
      </c>
      <c r="H206" s="10">
        <v>1261069</v>
      </c>
      <c r="I206" s="10">
        <v>1262067</v>
      </c>
      <c r="J206" s="10" t="s">
        <v>3412</v>
      </c>
      <c r="K206" s="10" t="s">
        <v>59</v>
      </c>
      <c r="L206" s="10" t="s">
        <v>157</v>
      </c>
      <c r="M206" s="10" t="s">
        <v>158</v>
      </c>
      <c r="N206" s="10" t="s">
        <v>42</v>
      </c>
      <c r="O206" s="10">
        <v>3</v>
      </c>
      <c r="P206" s="10" t="s">
        <v>42</v>
      </c>
      <c r="Q206" s="10" t="s">
        <v>59</v>
      </c>
      <c r="R206" s="10" t="s">
        <v>3413</v>
      </c>
      <c r="S206" s="10" t="s">
        <v>157</v>
      </c>
      <c r="T206" s="10" t="s">
        <v>42</v>
      </c>
      <c r="U206" s="10">
        <v>53</v>
      </c>
      <c r="V206" s="10">
        <v>279</v>
      </c>
      <c r="W206" s="10">
        <v>227</v>
      </c>
      <c r="X206" s="10" t="s">
        <v>160</v>
      </c>
      <c r="Y206" s="10" t="s">
        <v>3414</v>
      </c>
      <c r="Z206" s="10" t="s">
        <v>132</v>
      </c>
      <c r="AA206" s="10" t="s">
        <v>2061</v>
      </c>
      <c r="AB206" s="10"/>
      <c r="AC206" s="10"/>
      <c r="AD206" s="10"/>
      <c r="AE206" s="10"/>
      <c r="AF206" s="10"/>
      <c r="AG206" s="44"/>
      <c r="AH206" s="44"/>
      <c r="AI206" s="44" t="s">
        <v>6052</v>
      </c>
      <c r="AJ206" s="44" t="s">
        <v>6052</v>
      </c>
      <c r="AK206" s="44" t="s">
        <v>6052</v>
      </c>
      <c r="AL206" s="44" t="s">
        <v>6052</v>
      </c>
      <c r="AM206" s="44" t="s">
        <v>6052</v>
      </c>
      <c r="AN206" s="44" t="s">
        <v>32770</v>
      </c>
      <c r="AO206" s="45">
        <v>11</v>
      </c>
      <c r="AP206" s="45">
        <v>1</v>
      </c>
      <c r="AQ206" s="45">
        <v>0</v>
      </c>
      <c r="AR206" s="45">
        <v>0</v>
      </c>
      <c r="AS206" s="45">
        <v>0</v>
      </c>
      <c r="AT206" s="45">
        <v>0</v>
      </c>
      <c r="AU206" s="10" t="s">
        <v>6052</v>
      </c>
      <c r="AV206" s="10" t="s">
        <v>6052</v>
      </c>
      <c r="AW206" s="10" t="s">
        <v>6052</v>
      </c>
      <c r="AX206" s="10" t="s">
        <v>6052</v>
      </c>
      <c r="AY206" s="10" t="s">
        <v>32253</v>
      </c>
      <c r="AZ206" s="44" t="s">
        <v>33117</v>
      </c>
      <c r="BA206" s="44" t="s">
        <v>31002</v>
      </c>
      <c r="BB206" s="44" t="s">
        <v>31470</v>
      </c>
      <c r="BC206" s="44" t="s">
        <v>6594</v>
      </c>
      <c r="BD206" s="44" t="s">
        <v>31708</v>
      </c>
      <c r="BE206" s="11">
        <v>1</v>
      </c>
      <c r="BF206" s="11">
        <v>0</v>
      </c>
      <c r="BG206" s="11">
        <v>0</v>
      </c>
      <c r="BH206" s="10" t="s">
        <v>32028</v>
      </c>
      <c r="BI206" s="11">
        <v>100</v>
      </c>
      <c r="BJ206" s="10" t="s">
        <v>33162</v>
      </c>
      <c r="BK206" s="11" t="s">
        <v>33162</v>
      </c>
    </row>
    <row r="207" spans="1:63" x14ac:dyDescent="0.75">
      <c r="A207" t="s">
        <v>5400</v>
      </c>
      <c r="B207" t="s">
        <v>104</v>
      </c>
      <c r="C207" t="s">
        <v>153</v>
      </c>
      <c r="D207" t="s">
        <v>154</v>
      </c>
      <c r="E207" s="22" t="s">
        <v>28561</v>
      </c>
      <c r="F207" t="s">
        <v>5401</v>
      </c>
      <c r="G207" s="1" t="str">
        <f>HYPERLINK("https://homd.org/jbrowse/?data=homd_V11.02_phage_1.2%2FGCA_902484395.1&amp;loc=GCA_902484395.1%7CCABTGN010000079.1%3A8046..15050&amp;tracks=prokka,prokka_ncrna,ncbi,ncbi_ncrna,panggolin,cenote,genomad&amp;highlight=","Open JBrowse")</f>
        <v>Open JBrowse</v>
      </c>
      <c r="H207" s="10">
        <v>11046</v>
      </c>
      <c r="I207" s="10">
        <v>12050</v>
      </c>
      <c r="J207" s="10" t="s">
        <v>5402</v>
      </c>
      <c r="K207" s="10" t="s">
        <v>59</v>
      </c>
      <c r="L207" s="10" t="s">
        <v>157</v>
      </c>
      <c r="M207" s="10" t="s">
        <v>158</v>
      </c>
      <c r="N207" s="10" t="s">
        <v>42</v>
      </c>
      <c r="O207" s="10">
        <v>3</v>
      </c>
      <c r="P207" s="10" t="s">
        <v>42</v>
      </c>
      <c r="Q207" s="10" t="s">
        <v>59</v>
      </c>
      <c r="R207" s="10" t="s">
        <v>5403</v>
      </c>
      <c r="S207" s="10" t="s">
        <v>157</v>
      </c>
      <c r="T207" s="10" t="s">
        <v>42</v>
      </c>
      <c r="U207" s="10">
        <v>53</v>
      </c>
      <c r="V207" s="10">
        <v>279</v>
      </c>
      <c r="W207" s="10">
        <v>227</v>
      </c>
      <c r="X207" s="10" t="s">
        <v>160</v>
      </c>
      <c r="Y207" s="10" t="s">
        <v>5404</v>
      </c>
      <c r="Z207" s="10" t="s">
        <v>416</v>
      </c>
      <c r="AA207" s="10" t="s">
        <v>2983</v>
      </c>
      <c r="AB207" s="10"/>
      <c r="AC207" s="10"/>
      <c r="AD207" s="10"/>
      <c r="AE207" s="10"/>
      <c r="AF207" s="10"/>
      <c r="AG207" s="44"/>
      <c r="AH207" s="44"/>
      <c r="AI207" s="44" t="s">
        <v>6052</v>
      </c>
      <c r="AJ207" s="44" t="s">
        <v>6052</v>
      </c>
      <c r="AK207" s="44" t="s">
        <v>6052</v>
      </c>
      <c r="AL207" s="44" t="s">
        <v>6052</v>
      </c>
      <c r="AM207" s="44" t="s">
        <v>6052</v>
      </c>
      <c r="AN207" s="44" t="s">
        <v>32922</v>
      </c>
      <c r="AO207" s="45">
        <v>11</v>
      </c>
      <c r="AP207" s="45">
        <v>1</v>
      </c>
      <c r="AQ207" s="45">
        <v>0</v>
      </c>
      <c r="AR207" s="45">
        <v>0</v>
      </c>
      <c r="AS207" s="45">
        <v>0</v>
      </c>
      <c r="AT207" s="45">
        <v>0</v>
      </c>
      <c r="AU207" s="10" t="s">
        <v>6052</v>
      </c>
      <c r="AV207" s="10" t="s">
        <v>6052</v>
      </c>
      <c r="AW207" s="10" t="s">
        <v>6052</v>
      </c>
      <c r="AX207" s="10" t="s">
        <v>6052</v>
      </c>
      <c r="AY207" s="10" t="s">
        <v>32253</v>
      </c>
      <c r="AZ207" s="44" t="s">
        <v>33117</v>
      </c>
      <c r="BA207" s="44" t="s">
        <v>31079</v>
      </c>
      <c r="BB207" s="44" t="s">
        <v>31578</v>
      </c>
      <c r="BC207" s="44" t="s">
        <v>6594</v>
      </c>
      <c r="BD207" s="44" t="s">
        <v>31708</v>
      </c>
      <c r="BE207" s="11">
        <v>1</v>
      </c>
      <c r="BF207" s="11">
        <v>0</v>
      </c>
      <c r="BG207" s="11">
        <v>0</v>
      </c>
      <c r="BH207" s="10" t="s">
        <v>32019</v>
      </c>
      <c r="BI207" s="11">
        <v>100</v>
      </c>
      <c r="BJ207" s="10" t="s">
        <v>33162</v>
      </c>
      <c r="BK207" s="11" t="s">
        <v>33162</v>
      </c>
    </row>
    <row r="208" spans="1:63" x14ac:dyDescent="0.75">
      <c r="A208" t="s">
        <v>5409</v>
      </c>
      <c r="B208" t="s">
        <v>104</v>
      </c>
      <c r="C208" t="s">
        <v>153</v>
      </c>
      <c r="D208" t="s">
        <v>154</v>
      </c>
      <c r="E208" s="22" t="s">
        <v>30844</v>
      </c>
      <c r="F208" t="s">
        <v>5410</v>
      </c>
      <c r="G208" s="1" t="str">
        <f>HYPERLINK("https://homd.org/jbrowse/?data=homd_V11.02_phage_1.2%2FGCA_905369805.1&amp;loc=GCA_905369805.1%7CCAJPJO010000003.1%3A172476..179480&amp;tracks=prokka,prokka_ncrna,ncbi,ncbi_ncrna,panggolin,cenote,genomad&amp;highlight=","Open JBrowse")</f>
        <v>Open JBrowse</v>
      </c>
      <c r="H208" s="10">
        <v>175476</v>
      </c>
      <c r="I208" s="10">
        <v>176480</v>
      </c>
      <c r="J208" s="10" t="s">
        <v>5411</v>
      </c>
      <c r="K208" s="10" t="s">
        <v>59</v>
      </c>
      <c r="L208" s="10" t="s">
        <v>157</v>
      </c>
      <c r="M208" s="10" t="s">
        <v>158</v>
      </c>
      <c r="N208" s="10" t="s">
        <v>42</v>
      </c>
      <c r="O208" s="10">
        <v>3</v>
      </c>
      <c r="P208" s="10" t="s">
        <v>42</v>
      </c>
      <c r="Q208" s="10" t="s">
        <v>59</v>
      </c>
      <c r="R208" s="10" t="s">
        <v>5412</v>
      </c>
      <c r="S208" s="10" t="s">
        <v>157</v>
      </c>
      <c r="T208" s="10" t="s">
        <v>42</v>
      </c>
      <c r="U208" s="10">
        <v>53</v>
      </c>
      <c r="V208" s="10">
        <v>279</v>
      </c>
      <c r="W208" s="10">
        <v>227</v>
      </c>
      <c r="X208" s="10" t="s">
        <v>160</v>
      </c>
      <c r="Y208" s="10" t="s">
        <v>5413</v>
      </c>
      <c r="Z208" s="10" t="s">
        <v>836</v>
      </c>
      <c r="AA208" s="10" t="s">
        <v>1200</v>
      </c>
      <c r="AB208" s="10" t="s">
        <v>5414</v>
      </c>
      <c r="AC208" s="10" t="s">
        <v>164</v>
      </c>
      <c r="AD208" s="10" t="s">
        <v>51</v>
      </c>
      <c r="AE208" s="10">
        <v>189.1</v>
      </c>
      <c r="AF208" s="10" t="s">
        <v>165</v>
      </c>
      <c r="AG208" s="44"/>
      <c r="AH208" s="44"/>
      <c r="AI208" s="44" t="s">
        <v>6052</v>
      </c>
      <c r="AJ208" s="44" t="s">
        <v>6052</v>
      </c>
      <c r="AK208" s="44" t="s">
        <v>6052</v>
      </c>
      <c r="AL208" s="44" t="s">
        <v>6052</v>
      </c>
      <c r="AM208" s="44" t="s">
        <v>6052</v>
      </c>
      <c r="AN208" s="44" t="s">
        <v>32275</v>
      </c>
      <c r="AO208" s="45">
        <v>11</v>
      </c>
      <c r="AP208" s="45">
        <v>1</v>
      </c>
      <c r="AQ208" s="45">
        <v>0</v>
      </c>
      <c r="AR208" s="45">
        <v>0</v>
      </c>
      <c r="AS208" s="45">
        <v>0</v>
      </c>
      <c r="AT208" s="45">
        <v>0</v>
      </c>
      <c r="AU208" s="10" t="s">
        <v>6052</v>
      </c>
      <c r="AV208" s="10" t="s">
        <v>6052</v>
      </c>
      <c r="AW208" s="10" t="s">
        <v>6052</v>
      </c>
      <c r="AX208" s="10" t="s">
        <v>6052</v>
      </c>
      <c r="AY208" s="10" t="s">
        <v>32253</v>
      </c>
      <c r="AZ208" s="44" t="s">
        <v>33117</v>
      </c>
      <c r="BA208" s="44" t="s">
        <v>30851</v>
      </c>
      <c r="BB208" s="44" t="s">
        <v>31170</v>
      </c>
      <c r="BC208" s="44" t="s">
        <v>6594</v>
      </c>
      <c r="BD208" s="44" t="s">
        <v>31708</v>
      </c>
      <c r="BE208" s="11">
        <v>1</v>
      </c>
      <c r="BF208" s="11">
        <v>0</v>
      </c>
      <c r="BG208" s="11">
        <v>0</v>
      </c>
      <c r="BH208" s="10" t="s">
        <v>32027</v>
      </c>
      <c r="BI208" s="11">
        <v>100</v>
      </c>
      <c r="BJ208" s="10" t="s">
        <v>33162</v>
      </c>
      <c r="BK208" s="11" t="s">
        <v>33162</v>
      </c>
    </row>
    <row r="209" spans="1:63" x14ac:dyDescent="0.75">
      <c r="A209" t="s">
        <v>5420</v>
      </c>
      <c r="B209" t="s">
        <v>104</v>
      </c>
      <c r="C209" t="s">
        <v>153</v>
      </c>
      <c r="D209" t="s">
        <v>154</v>
      </c>
      <c r="E209" s="22" t="s">
        <v>30844</v>
      </c>
      <c r="F209" t="s">
        <v>5421</v>
      </c>
      <c r="G209" s="1" t="str">
        <f>HYPERLINK("https://homd.org/jbrowse/?data=homd_V11.02_phage_1.2%2FGCA_905370375.1&amp;loc=GCA_905370375.1%7CCAJPKL010000031.1%3A4970..11974&amp;tracks=prokka,prokka_ncrna,ncbi,ncbi_ncrna,panggolin,cenote,genomad&amp;highlight=","Open JBrowse")</f>
        <v>Open JBrowse</v>
      </c>
      <c r="H209" s="10">
        <v>7970</v>
      </c>
      <c r="I209" s="10">
        <v>8974</v>
      </c>
      <c r="J209" s="10" t="s">
        <v>5422</v>
      </c>
      <c r="K209" s="10" t="s">
        <v>59</v>
      </c>
      <c r="L209" s="10" t="s">
        <v>157</v>
      </c>
      <c r="M209" s="10" t="s">
        <v>158</v>
      </c>
      <c r="N209" s="10" t="s">
        <v>42</v>
      </c>
      <c r="O209" s="10">
        <v>3</v>
      </c>
      <c r="P209" s="10" t="s">
        <v>42</v>
      </c>
      <c r="Q209" s="10" t="s">
        <v>59</v>
      </c>
      <c r="R209" s="10" t="s">
        <v>5423</v>
      </c>
      <c r="S209" s="10" t="s">
        <v>157</v>
      </c>
      <c r="T209" s="10" t="s">
        <v>42</v>
      </c>
      <c r="U209" s="10">
        <v>53</v>
      </c>
      <c r="V209" s="10">
        <v>279</v>
      </c>
      <c r="W209" s="10">
        <v>227</v>
      </c>
      <c r="X209" s="10" t="s">
        <v>160</v>
      </c>
      <c r="Y209" s="10" t="s">
        <v>5424</v>
      </c>
      <c r="Z209" s="10" t="s">
        <v>904</v>
      </c>
      <c r="AA209" s="10" t="s">
        <v>2983</v>
      </c>
      <c r="AB209" s="10"/>
      <c r="AC209" s="10"/>
      <c r="AD209" s="10"/>
      <c r="AE209" s="10"/>
      <c r="AF209" s="10"/>
      <c r="AG209" s="44"/>
      <c r="AH209" s="44"/>
      <c r="AI209" s="44" t="s">
        <v>6052</v>
      </c>
      <c r="AJ209" s="44" t="s">
        <v>6052</v>
      </c>
      <c r="AK209" s="44" t="s">
        <v>6052</v>
      </c>
      <c r="AL209" s="44" t="s">
        <v>6052</v>
      </c>
      <c r="AM209" s="44" t="s">
        <v>6052</v>
      </c>
      <c r="AN209" s="44" t="s">
        <v>32307</v>
      </c>
      <c r="AO209" s="45">
        <v>11</v>
      </c>
      <c r="AP209" s="45">
        <v>1</v>
      </c>
      <c r="AQ209" s="45">
        <v>0</v>
      </c>
      <c r="AR209" s="45">
        <v>0</v>
      </c>
      <c r="AS209" s="45">
        <v>0</v>
      </c>
      <c r="AT209" s="45">
        <v>0</v>
      </c>
      <c r="AU209" s="10" t="s">
        <v>6052</v>
      </c>
      <c r="AV209" s="10" t="s">
        <v>6052</v>
      </c>
      <c r="AW209" s="10" t="s">
        <v>6052</v>
      </c>
      <c r="AX209" s="10" t="s">
        <v>6052</v>
      </c>
      <c r="AY209" s="10" t="s">
        <v>32253</v>
      </c>
      <c r="AZ209" s="44" t="s">
        <v>33117</v>
      </c>
      <c r="BA209" s="44" t="s">
        <v>30851</v>
      </c>
      <c r="BB209" s="44" t="s">
        <v>31199</v>
      </c>
      <c r="BC209" s="44" t="s">
        <v>6594</v>
      </c>
      <c r="BD209" s="44" t="s">
        <v>31708</v>
      </c>
      <c r="BE209" s="11">
        <v>1</v>
      </c>
      <c r="BF209" s="11">
        <v>0</v>
      </c>
      <c r="BG209" s="11">
        <v>0</v>
      </c>
      <c r="BH209" s="10" t="s">
        <v>32024</v>
      </c>
      <c r="BI209" s="11">
        <v>100</v>
      </c>
      <c r="BJ209" s="10" t="s">
        <v>33162</v>
      </c>
      <c r="BK209" s="11" t="s">
        <v>33162</v>
      </c>
    </row>
    <row r="210" spans="1:63" x14ac:dyDescent="0.75">
      <c r="A210" t="s">
        <v>5563</v>
      </c>
      <c r="B210" t="s">
        <v>104</v>
      </c>
      <c r="C210" t="s">
        <v>153</v>
      </c>
      <c r="D210" t="s">
        <v>154</v>
      </c>
      <c r="E210" s="22" t="s">
        <v>30844</v>
      </c>
      <c r="F210" t="s">
        <v>5564</v>
      </c>
      <c r="G210" s="1" t="str">
        <f>HYPERLINK("https://homd.org/jbrowse/?data=homd_V11.02_phage_1.2%2FGCA_916048225.1&amp;loc=GCA_916048225.1%7CCAJZGV010000093.1%3A2490..9440&amp;tracks=prokka,prokka_ncrna,ncbi,ncbi_ncrna,panggolin,cenote,genomad&amp;highlight=","Open JBrowse")</f>
        <v>Open JBrowse</v>
      </c>
      <c r="H210" s="10">
        <v>5490</v>
      </c>
      <c r="I210" s="10">
        <v>6440</v>
      </c>
      <c r="J210" s="10" t="s">
        <v>5565</v>
      </c>
      <c r="K210" s="10" t="s">
        <v>59</v>
      </c>
      <c r="L210" s="10" t="s">
        <v>157</v>
      </c>
      <c r="M210" s="10" t="s">
        <v>158</v>
      </c>
      <c r="N210" s="10" t="s">
        <v>42</v>
      </c>
      <c r="O210" s="10">
        <v>3</v>
      </c>
      <c r="P210" s="10" t="s">
        <v>42</v>
      </c>
      <c r="Q210" s="10" t="s">
        <v>59</v>
      </c>
      <c r="R210" s="10" t="s">
        <v>5566</v>
      </c>
      <c r="S210" s="10" t="s">
        <v>157</v>
      </c>
      <c r="T210" s="10" t="s">
        <v>42</v>
      </c>
      <c r="U210" s="10">
        <v>53</v>
      </c>
      <c r="V210" s="10">
        <v>279</v>
      </c>
      <c r="W210" s="10">
        <v>227</v>
      </c>
      <c r="X210" s="10" t="s">
        <v>160</v>
      </c>
      <c r="Y210" s="10" t="s">
        <v>5567</v>
      </c>
      <c r="Z210" s="10" t="s">
        <v>1236</v>
      </c>
      <c r="AA210" s="10" t="s">
        <v>3397</v>
      </c>
      <c r="AB210" s="10"/>
      <c r="AC210" s="10"/>
      <c r="AD210" s="10"/>
      <c r="AE210" s="10"/>
      <c r="AF210" s="10"/>
      <c r="AG210" s="44"/>
      <c r="AH210" s="44"/>
      <c r="AI210" s="44" t="s">
        <v>6052</v>
      </c>
      <c r="AJ210" s="44" t="s">
        <v>6052</v>
      </c>
      <c r="AK210" s="44" t="s">
        <v>6052</v>
      </c>
      <c r="AL210" s="44" t="s">
        <v>6052</v>
      </c>
      <c r="AM210" s="44" t="s">
        <v>6052</v>
      </c>
      <c r="AN210" s="44" t="s">
        <v>32329</v>
      </c>
      <c r="AO210" s="45">
        <v>11</v>
      </c>
      <c r="AP210" s="45">
        <v>1</v>
      </c>
      <c r="AQ210" s="45">
        <v>0</v>
      </c>
      <c r="AR210" s="45">
        <v>0</v>
      </c>
      <c r="AS210" s="45">
        <v>0</v>
      </c>
      <c r="AT210" s="45">
        <v>0</v>
      </c>
      <c r="AU210" s="10" t="s">
        <v>6052</v>
      </c>
      <c r="AV210" s="10" t="s">
        <v>6052</v>
      </c>
      <c r="AW210" s="10" t="s">
        <v>6052</v>
      </c>
      <c r="AX210" s="10" t="s">
        <v>6052</v>
      </c>
      <c r="AY210" s="10" t="s">
        <v>32253</v>
      </c>
      <c r="AZ210" s="44" t="s">
        <v>33117</v>
      </c>
      <c r="BA210" s="44" t="s">
        <v>30851</v>
      </c>
      <c r="BB210" s="44" t="s">
        <v>31217</v>
      </c>
      <c r="BC210" s="44" t="s">
        <v>6594</v>
      </c>
      <c r="BD210" s="44" t="s">
        <v>31708</v>
      </c>
      <c r="BE210" s="11">
        <v>1</v>
      </c>
      <c r="BF210" s="11">
        <v>0</v>
      </c>
      <c r="BG210" s="11">
        <v>0</v>
      </c>
      <c r="BH210" s="10" t="s">
        <v>32025</v>
      </c>
      <c r="BI210" s="11">
        <v>100</v>
      </c>
      <c r="BJ210" s="10" t="s">
        <v>33162</v>
      </c>
      <c r="BK210" s="11" t="s">
        <v>33162</v>
      </c>
    </row>
    <row r="211" spans="1:63" x14ac:dyDescent="0.75">
      <c r="A211" t="s">
        <v>5578</v>
      </c>
      <c r="B211" t="s">
        <v>104</v>
      </c>
      <c r="C211" t="s">
        <v>153</v>
      </c>
      <c r="D211" t="s">
        <v>154</v>
      </c>
      <c r="E211" s="22" t="s">
        <v>30844</v>
      </c>
      <c r="F211" t="s">
        <v>5579</v>
      </c>
      <c r="G211" s="1" t="str">
        <f>HYPERLINK("https://homd.org/jbrowse/?data=homd_V11.02_phage_1.2%2FGCA_916050515.1&amp;loc=GCA_916050515.1%7CCAJZLG010000001.1%3A99358..106362&amp;tracks=prokka,prokka_ncrna,ncbi,ncbi_ncrna,panggolin,cenote,genomad&amp;highlight=","Open JBrowse")</f>
        <v>Open JBrowse</v>
      </c>
      <c r="H211" s="10">
        <v>102358</v>
      </c>
      <c r="I211" s="10">
        <v>103362</v>
      </c>
      <c r="J211" s="10" t="s">
        <v>5580</v>
      </c>
      <c r="K211" s="10" t="s">
        <v>59</v>
      </c>
      <c r="L211" s="10" t="s">
        <v>157</v>
      </c>
      <c r="M211" s="10" t="s">
        <v>158</v>
      </c>
      <c r="N211" s="10" t="s">
        <v>42</v>
      </c>
      <c r="O211" s="10">
        <v>3</v>
      </c>
      <c r="P211" s="10" t="s">
        <v>42</v>
      </c>
      <c r="Q211" s="10" t="s">
        <v>59</v>
      </c>
      <c r="R211" s="10" t="s">
        <v>5581</v>
      </c>
      <c r="S211" s="10" t="s">
        <v>157</v>
      </c>
      <c r="T211" s="10" t="s">
        <v>42</v>
      </c>
      <c r="U211" s="10">
        <v>53</v>
      </c>
      <c r="V211" s="10">
        <v>279</v>
      </c>
      <c r="W211" s="10">
        <v>227</v>
      </c>
      <c r="X211" s="10" t="s">
        <v>160</v>
      </c>
      <c r="Y211" s="10" t="s">
        <v>5582</v>
      </c>
      <c r="Z211" s="10" t="s">
        <v>645</v>
      </c>
      <c r="AA211" s="10" t="s">
        <v>5583</v>
      </c>
      <c r="AB211" s="10" t="s">
        <v>5584</v>
      </c>
      <c r="AC211" s="10" t="s">
        <v>164</v>
      </c>
      <c r="AD211" s="10" t="s">
        <v>51</v>
      </c>
      <c r="AE211" s="10">
        <v>183.3</v>
      </c>
      <c r="AF211" s="10" t="s">
        <v>165</v>
      </c>
      <c r="AG211" s="44"/>
      <c r="AH211" s="44"/>
      <c r="AI211" s="44" t="s">
        <v>6052</v>
      </c>
      <c r="AJ211" s="44" t="s">
        <v>6052</v>
      </c>
      <c r="AK211" s="44" t="s">
        <v>6052</v>
      </c>
      <c r="AL211" s="44" t="s">
        <v>6052</v>
      </c>
      <c r="AM211" s="44" t="s">
        <v>6052</v>
      </c>
      <c r="AN211" s="44" t="s">
        <v>32289</v>
      </c>
      <c r="AO211" s="45">
        <v>11</v>
      </c>
      <c r="AP211" s="45">
        <v>1</v>
      </c>
      <c r="AQ211" s="45">
        <v>0</v>
      </c>
      <c r="AR211" s="45">
        <v>0</v>
      </c>
      <c r="AS211" s="45">
        <v>0</v>
      </c>
      <c r="AT211" s="45">
        <v>0</v>
      </c>
      <c r="AU211" s="10" t="s">
        <v>6052</v>
      </c>
      <c r="AV211" s="10" t="s">
        <v>6052</v>
      </c>
      <c r="AW211" s="10" t="s">
        <v>6052</v>
      </c>
      <c r="AX211" s="10" t="s">
        <v>6052</v>
      </c>
      <c r="AY211" s="10" t="s">
        <v>32253</v>
      </c>
      <c r="AZ211" s="44" t="s">
        <v>33117</v>
      </c>
      <c r="BA211" s="44" t="s">
        <v>30851</v>
      </c>
      <c r="BB211" s="44" t="s">
        <v>31184</v>
      </c>
      <c r="BC211" s="44" t="s">
        <v>6594</v>
      </c>
      <c r="BD211" s="44" t="s">
        <v>31708</v>
      </c>
      <c r="BE211" s="11">
        <v>1</v>
      </c>
      <c r="BF211" s="11">
        <v>0</v>
      </c>
      <c r="BG211" s="11">
        <v>0</v>
      </c>
      <c r="BH211" s="10" t="s">
        <v>32048</v>
      </c>
      <c r="BI211" s="11">
        <v>100</v>
      </c>
      <c r="BJ211" s="10" t="s">
        <v>33162</v>
      </c>
      <c r="BK211" s="11" t="s">
        <v>33162</v>
      </c>
    </row>
    <row r="212" spans="1:63" x14ac:dyDescent="0.75">
      <c r="A212" t="s">
        <v>6018</v>
      </c>
      <c r="B212" t="s">
        <v>104</v>
      </c>
      <c r="C212" t="s">
        <v>153</v>
      </c>
      <c r="D212" t="s">
        <v>154</v>
      </c>
      <c r="E212" s="22" t="s">
        <v>30844</v>
      </c>
      <c r="F212" t="s">
        <v>6019</v>
      </c>
      <c r="G212" s="1" t="str">
        <f>HYPERLINK("https://homd.org/jbrowse/?data=homd_V11.02_phage_1.2%2FGCA_951230405.1&amp;loc=GCA_951230405.1%7CCATNVM010000024.1%3A20203..27180&amp;tracks=prokka,prokka_ncrna,ncbi,ncbi_ncrna,panggolin,cenote,genomad&amp;highlight=","Open JBrowse")</f>
        <v>Open JBrowse</v>
      </c>
      <c r="H212" s="10">
        <v>23203</v>
      </c>
      <c r="I212" s="10">
        <v>24180</v>
      </c>
      <c r="J212" s="10" t="s">
        <v>6020</v>
      </c>
      <c r="K212" s="10" t="s">
        <v>59</v>
      </c>
      <c r="L212" s="10" t="s">
        <v>563</v>
      </c>
      <c r="M212" s="10" t="s">
        <v>564</v>
      </c>
      <c r="N212" s="10" t="s">
        <v>42</v>
      </c>
      <c r="O212" s="10">
        <v>3</v>
      </c>
      <c r="P212" s="10" t="s">
        <v>42</v>
      </c>
      <c r="Q212" s="10" t="s">
        <v>59</v>
      </c>
      <c r="R212" s="10" t="s">
        <v>6021</v>
      </c>
      <c r="S212" s="10" t="s">
        <v>563</v>
      </c>
      <c r="T212" s="10" t="s">
        <v>42</v>
      </c>
      <c r="U212" s="10">
        <v>44</v>
      </c>
      <c r="V212" s="10">
        <v>270</v>
      </c>
      <c r="W212" s="10">
        <v>227</v>
      </c>
      <c r="X212" s="10" t="s">
        <v>160</v>
      </c>
      <c r="Y212" s="10" t="s">
        <v>6022</v>
      </c>
      <c r="Z212" s="10" t="s">
        <v>346</v>
      </c>
      <c r="AA212" s="10" t="s">
        <v>2983</v>
      </c>
      <c r="AB212" s="10"/>
      <c r="AC212" s="10"/>
      <c r="AD212" s="10"/>
      <c r="AE212" s="10"/>
      <c r="AF212" s="10"/>
      <c r="AG212" s="44"/>
      <c r="AH212" s="44"/>
      <c r="AI212" s="44" t="s">
        <v>6052</v>
      </c>
      <c r="AJ212" s="44" t="s">
        <v>6052</v>
      </c>
      <c r="AK212" s="44" t="s">
        <v>6052</v>
      </c>
      <c r="AL212" s="44" t="s">
        <v>6052</v>
      </c>
      <c r="AM212" s="44" t="s">
        <v>6052</v>
      </c>
      <c r="AN212" s="44" t="s">
        <v>32302</v>
      </c>
      <c r="AO212" s="45">
        <v>11</v>
      </c>
      <c r="AP212" s="45">
        <v>1</v>
      </c>
      <c r="AQ212" s="45">
        <v>0</v>
      </c>
      <c r="AR212" s="45">
        <v>0</v>
      </c>
      <c r="AS212" s="45">
        <v>0</v>
      </c>
      <c r="AT212" s="45">
        <v>0</v>
      </c>
      <c r="AU212" s="10" t="s">
        <v>6052</v>
      </c>
      <c r="AV212" s="10" t="s">
        <v>6052</v>
      </c>
      <c r="AW212" s="10" t="s">
        <v>6052</v>
      </c>
      <c r="AX212" s="10" t="s">
        <v>6052</v>
      </c>
      <c r="AY212" s="10" t="s">
        <v>32253</v>
      </c>
      <c r="AZ212" s="44" t="s">
        <v>33117</v>
      </c>
      <c r="BA212" s="44" t="s">
        <v>30851</v>
      </c>
      <c r="BB212" s="44" t="s">
        <v>31194</v>
      </c>
      <c r="BC212" s="44" t="s">
        <v>6594</v>
      </c>
      <c r="BD212" s="44" t="s">
        <v>31708</v>
      </c>
      <c r="BE212" s="11">
        <v>1</v>
      </c>
      <c r="BF212" s="11">
        <v>0</v>
      </c>
      <c r="BG212" s="11">
        <v>0</v>
      </c>
      <c r="BH212" s="10" t="s">
        <v>32046</v>
      </c>
      <c r="BI212" s="11">
        <v>100</v>
      </c>
      <c r="BJ212" s="10" t="s">
        <v>33162</v>
      </c>
      <c r="BK212" s="11" t="s">
        <v>33162</v>
      </c>
    </row>
    <row r="213" spans="1:63" x14ac:dyDescent="0.75">
      <c r="A213" t="s">
        <v>5585</v>
      </c>
      <c r="B213" t="s">
        <v>104</v>
      </c>
      <c r="C213" t="s">
        <v>153</v>
      </c>
      <c r="D213" t="s">
        <v>154</v>
      </c>
      <c r="E213" s="22" t="s">
        <v>30844</v>
      </c>
      <c r="F213" t="s">
        <v>5586</v>
      </c>
      <c r="G213" s="1" t="str">
        <f>HYPERLINK("https://homd.org/jbrowse/?data=homd_V11.02_phage_1.2%2FGCA_916438435.1&amp;loc=GCA_916438435.1%7CCAKAHD010000002.1%3A1335621..1342598&amp;tracks=prokka,prokka_ncrna,ncbi,ncbi_ncrna,panggolin,cenote,genomad&amp;highlight=","Open JBrowse")</f>
        <v>Open JBrowse</v>
      </c>
      <c r="H213" s="10">
        <v>1338621</v>
      </c>
      <c r="I213" s="10">
        <v>1339598</v>
      </c>
      <c r="J213" s="10" t="s">
        <v>5587</v>
      </c>
      <c r="K213" s="10" t="s">
        <v>59</v>
      </c>
      <c r="L213" s="10" t="s">
        <v>563</v>
      </c>
      <c r="M213" s="10" t="s">
        <v>564</v>
      </c>
      <c r="N213" s="10" t="s">
        <v>42</v>
      </c>
      <c r="O213" s="10">
        <v>3</v>
      </c>
      <c r="P213" s="10" t="s">
        <v>42</v>
      </c>
      <c r="Q213" s="10" t="s">
        <v>59</v>
      </c>
      <c r="R213" s="10" t="s">
        <v>5588</v>
      </c>
      <c r="S213" s="10" t="s">
        <v>563</v>
      </c>
      <c r="T213" s="10" t="s">
        <v>42</v>
      </c>
      <c r="U213" s="10">
        <v>44</v>
      </c>
      <c r="V213" s="10">
        <v>270</v>
      </c>
      <c r="W213" s="10">
        <v>227</v>
      </c>
      <c r="X213" s="10" t="s">
        <v>160</v>
      </c>
      <c r="Y213" s="10" t="s">
        <v>5589</v>
      </c>
      <c r="Z213" s="10" t="s">
        <v>193</v>
      </c>
      <c r="AA213" s="10" t="s">
        <v>5590</v>
      </c>
      <c r="AB213" s="10" t="s">
        <v>5591</v>
      </c>
      <c r="AC213" s="10" t="s">
        <v>164</v>
      </c>
      <c r="AD213" s="10" t="s">
        <v>51</v>
      </c>
      <c r="AE213" s="10">
        <v>190.7</v>
      </c>
      <c r="AF213" s="10" t="s">
        <v>165</v>
      </c>
      <c r="AG213" s="44"/>
      <c r="AH213" s="44"/>
      <c r="AI213" s="44" t="s">
        <v>6052</v>
      </c>
      <c r="AJ213" s="44" t="s">
        <v>6052</v>
      </c>
      <c r="AK213" s="44" t="s">
        <v>6052</v>
      </c>
      <c r="AL213" s="44" t="s">
        <v>6052</v>
      </c>
      <c r="AM213" s="44" t="s">
        <v>6052</v>
      </c>
      <c r="AN213" s="44" t="s">
        <v>32339</v>
      </c>
      <c r="AO213" s="45">
        <v>11</v>
      </c>
      <c r="AP213" s="45">
        <v>1</v>
      </c>
      <c r="AQ213" s="45">
        <v>0</v>
      </c>
      <c r="AR213" s="45">
        <v>0</v>
      </c>
      <c r="AS213" s="45">
        <v>0</v>
      </c>
      <c r="AT213" s="45">
        <v>0</v>
      </c>
      <c r="AU213" s="10" t="s">
        <v>6052</v>
      </c>
      <c r="AV213" s="10" t="s">
        <v>6052</v>
      </c>
      <c r="AW213" s="10" t="s">
        <v>6052</v>
      </c>
      <c r="AX213" s="10" t="s">
        <v>6052</v>
      </c>
      <c r="AY213" s="10" t="s">
        <v>32253</v>
      </c>
      <c r="AZ213" s="44" t="s">
        <v>33117</v>
      </c>
      <c r="BA213" s="44" t="s">
        <v>30851</v>
      </c>
      <c r="BB213" s="44" t="s">
        <v>31224</v>
      </c>
      <c r="BC213" s="44" t="s">
        <v>6594</v>
      </c>
      <c r="BD213" s="44" t="s">
        <v>31708</v>
      </c>
      <c r="BE213" s="11">
        <v>1</v>
      </c>
      <c r="BF213" s="11">
        <v>0</v>
      </c>
      <c r="BG213" s="11">
        <v>0</v>
      </c>
      <c r="BH213" s="10" t="s">
        <v>32052</v>
      </c>
      <c r="BI213" s="11">
        <v>100</v>
      </c>
      <c r="BJ213" s="10" t="s">
        <v>33162</v>
      </c>
      <c r="BK213" s="11" t="s">
        <v>33162</v>
      </c>
    </row>
    <row r="214" spans="1:63" x14ac:dyDescent="0.75">
      <c r="A214" t="s">
        <v>5869</v>
      </c>
      <c r="B214" t="s">
        <v>104</v>
      </c>
      <c r="C214" t="s">
        <v>153</v>
      </c>
      <c r="D214" t="s">
        <v>154</v>
      </c>
      <c r="E214" s="22" t="s">
        <v>30844</v>
      </c>
      <c r="F214" t="s">
        <v>5870</v>
      </c>
      <c r="G214" s="1" t="str">
        <f>HYPERLINK("https://homd.org/jbrowse/?data=homd_V11.02_phage_1.2%2FGCA_938034465.1&amp;loc=GCA_938034465.1%7CCALHLH010000011.1%3A2950..9954&amp;tracks=prokka,prokka_ncrna,ncbi,ncbi_ncrna,panggolin,cenote,genomad&amp;highlight=","Open JBrowse")</f>
        <v>Open JBrowse</v>
      </c>
      <c r="H214" s="10">
        <v>5950</v>
      </c>
      <c r="I214" s="10">
        <v>6954</v>
      </c>
      <c r="J214" s="10" t="s">
        <v>5871</v>
      </c>
      <c r="K214" s="10" t="s">
        <v>59</v>
      </c>
      <c r="L214" s="10" t="s">
        <v>157</v>
      </c>
      <c r="M214" s="10" t="s">
        <v>158</v>
      </c>
      <c r="N214" s="10" t="s">
        <v>42</v>
      </c>
      <c r="O214" s="10">
        <v>3</v>
      </c>
      <c r="P214" s="10" t="s">
        <v>42</v>
      </c>
      <c r="Q214" s="10" t="s">
        <v>59</v>
      </c>
      <c r="R214" s="10" t="s">
        <v>5872</v>
      </c>
      <c r="S214" s="10" t="s">
        <v>157</v>
      </c>
      <c r="T214" s="10" t="s">
        <v>42</v>
      </c>
      <c r="U214" s="10">
        <v>53</v>
      </c>
      <c r="V214" s="10">
        <v>279</v>
      </c>
      <c r="W214" s="10">
        <v>227</v>
      </c>
      <c r="X214" s="10" t="s">
        <v>160</v>
      </c>
      <c r="Y214" s="10" t="s">
        <v>5873</v>
      </c>
      <c r="Z214" s="10" t="s">
        <v>547</v>
      </c>
      <c r="AA214" s="10" t="s">
        <v>5874</v>
      </c>
      <c r="AB214" s="10" t="s">
        <v>5875</v>
      </c>
      <c r="AC214" s="10" t="s">
        <v>164</v>
      </c>
      <c r="AD214" s="10" t="s">
        <v>51</v>
      </c>
      <c r="AE214" s="10">
        <v>183.3</v>
      </c>
      <c r="AF214" s="10" t="s">
        <v>165</v>
      </c>
      <c r="AG214" s="44"/>
      <c r="AH214" s="44"/>
      <c r="AI214" s="44" t="s">
        <v>6052</v>
      </c>
      <c r="AJ214" s="44" t="s">
        <v>6052</v>
      </c>
      <c r="AK214" s="44" t="s">
        <v>6052</v>
      </c>
      <c r="AL214" s="44" t="s">
        <v>6052</v>
      </c>
      <c r="AM214" s="44" t="s">
        <v>6052</v>
      </c>
      <c r="AN214" s="44" t="s">
        <v>32341</v>
      </c>
      <c r="AO214" s="45">
        <v>11</v>
      </c>
      <c r="AP214" s="45">
        <v>1</v>
      </c>
      <c r="AQ214" s="45">
        <v>0</v>
      </c>
      <c r="AR214" s="45">
        <v>0</v>
      </c>
      <c r="AS214" s="45">
        <v>0</v>
      </c>
      <c r="AT214" s="45">
        <v>0</v>
      </c>
      <c r="AU214" s="10" t="s">
        <v>6052</v>
      </c>
      <c r="AV214" s="10" t="s">
        <v>6052</v>
      </c>
      <c r="AW214" s="10" t="s">
        <v>6052</v>
      </c>
      <c r="AX214" s="10" t="s">
        <v>6052</v>
      </c>
      <c r="AY214" s="10" t="s">
        <v>32253</v>
      </c>
      <c r="AZ214" s="44" t="s">
        <v>33117</v>
      </c>
      <c r="BA214" s="44" t="s">
        <v>30851</v>
      </c>
      <c r="BB214" s="44" t="s">
        <v>31226</v>
      </c>
      <c r="BC214" s="44" t="s">
        <v>6594</v>
      </c>
      <c r="BD214" s="44" t="s">
        <v>31708</v>
      </c>
      <c r="BE214" s="11">
        <v>1</v>
      </c>
      <c r="BF214" s="11">
        <v>0</v>
      </c>
      <c r="BG214" s="11">
        <v>0</v>
      </c>
      <c r="BH214" s="10" t="s">
        <v>32047</v>
      </c>
      <c r="BI214" s="11">
        <v>100</v>
      </c>
      <c r="BJ214" s="10" t="s">
        <v>33162</v>
      </c>
      <c r="BK214" s="11" t="s">
        <v>33162</v>
      </c>
    </row>
    <row r="215" spans="1:63" x14ac:dyDescent="0.75">
      <c r="A215" t="s">
        <v>5899</v>
      </c>
      <c r="B215" t="s">
        <v>104</v>
      </c>
      <c r="C215" t="s">
        <v>153</v>
      </c>
      <c r="D215" t="s">
        <v>154</v>
      </c>
      <c r="E215" s="22" t="s">
        <v>30844</v>
      </c>
      <c r="F215" t="s">
        <v>5900</v>
      </c>
      <c r="G215" s="1" t="str">
        <f>HYPERLINK("https://homd.org/jbrowse/?data=homd_V11.02_phage_1.2%2FGCA_938042185.1&amp;loc=GCA_938042185.1%7CCALIRV010000054.1%3A47308..54312&amp;tracks=prokka,prokka_ncrna,ncbi,ncbi_ncrna,panggolin,cenote,genomad&amp;highlight=","Open JBrowse")</f>
        <v>Open JBrowse</v>
      </c>
      <c r="H215" s="10">
        <v>50308</v>
      </c>
      <c r="I215" s="10">
        <v>51312</v>
      </c>
      <c r="J215" s="10" t="s">
        <v>5901</v>
      </c>
      <c r="K215" s="10" t="s">
        <v>59</v>
      </c>
      <c r="L215" s="10" t="s">
        <v>157</v>
      </c>
      <c r="M215" s="10" t="s">
        <v>158</v>
      </c>
      <c r="N215" s="10" t="s">
        <v>42</v>
      </c>
      <c r="O215" s="10">
        <v>3</v>
      </c>
      <c r="P215" s="10" t="s">
        <v>42</v>
      </c>
      <c r="Q215" s="10" t="s">
        <v>59</v>
      </c>
      <c r="R215" s="10" t="s">
        <v>5902</v>
      </c>
      <c r="S215" s="10" t="s">
        <v>157</v>
      </c>
      <c r="T215" s="10" t="s">
        <v>42</v>
      </c>
      <c r="U215" s="10">
        <v>53</v>
      </c>
      <c r="V215" s="10">
        <v>279</v>
      </c>
      <c r="W215" s="10">
        <v>227</v>
      </c>
      <c r="X215" s="10" t="s">
        <v>160</v>
      </c>
      <c r="Y215" s="10"/>
      <c r="Z215" s="10"/>
      <c r="AA215" s="10"/>
      <c r="AB215" s="10"/>
      <c r="AC215" s="10"/>
      <c r="AD215" s="10"/>
      <c r="AE215" s="10"/>
      <c r="AF215" s="10"/>
      <c r="AG215" s="44"/>
      <c r="AH215" s="44"/>
      <c r="AI215" s="46" t="s">
        <v>6054</v>
      </c>
      <c r="AJ215" s="44" t="s">
        <v>6052</v>
      </c>
      <c r="AK215" s="44" t="s">
        <v>6052</v>
      </c>
      <c r="AL215" s="44" t="s">
        <v>6052</v>
      </c>
      <c r="AM215" s="44" t="s">
        <v>6052</v>
      </c>
      <c r="AN215" s="44" t="s">
        <v>32373</v>
      </c>
      <c r="AO215" s="45">
        <v>11</v>
      </c>
      <c r="AP215" s="45">
        <v>1</v>
      </c>
      <c r="AQ215" s="45">
        <v>0</v>
      </c>
      <c r="AR215" s="45">
        <v>0</v>
      </c>
      <c r="AS215" s="45">
        <v>0</v>
      </c>
      <c r="AT215" s="45">
        <v>0</v>
      </c>
      <c r="AU215" s="10" t="s">
        <v>6052</v>
      </c>
      <c r="AV215" s="10" t="s">
        <v>6052</v>
      </c>
      <c r="AW215" s="10" t="s">
        <v>6052</v>
      </c>
      <c r="AX215" s="10" t="s">
        <v>6052</v>
      </c>
      <c r="AY215" s="10" t="s">
        <v>32253</v>
      </c>
      <c r="AZ215" s="44" t="s">
        <v>33117</v>
      </c>
      <c r="BA215" s="44" t="s">
        <v>30851</v>
      </c>
      <c r="BB215" s="44" t="s">
        <v>31254</v>
      </c>
      <c r="BC215" s="44" t="s">
        <v>6594</v>
      </c>
      <c r="BD215" s="44" t="s">
        <v>31708</v>
      </c>
      <c r="BE215" s="11">
        <v>1</v>
      </c>
      <c r="BF215" s="11">
        <v>0</v>
      </c>
      <c r="BG215" s="11">
        <v>0</v>
      </c>
      <c r="BH215" s="10" t="s">
        <v>32023</v>
      </c>
      <c r="BI215" s="11">
        <v>100</v>
      </c>
      <c r="BJ215" s="10" t="s">
        <v>33162</v>
      </c>
      <c r="BK215" s="11" t="s">
        <v>33162</v>
      </c>
    </row>
    <row r="216" spans="1:63" x14ac:dyDescent="0.75">
      <c r="A216" t="s">
        <v>5856</v>
      </c>
      <c r="B216" t="s">
        <v>104</v>
      </c>
      <c r="C216" t="s">
        <v>450</v>
      </c>
      <c r="D216" t="s">
        <v>451</v>
      </c>
      <c r="E216" s="22" t="s">
        <v>30844</v>
      </c>
      <c r="F216" t="s">
        <v>5857</v>
      </c>
      <c r="G216" s="1" t="str">
        <f>HYPERLINK("https://homd.org/jbrowse/?data=homd_V11.02_phage_1.2%2FGCA_938020355.1&amp;loc=GCA_938020355.1%7CCALIID010000055.1%3A16686..23738&amp;tracks=prokka,prokka_ncrna,ncbi,ncbi_ncrna,panggolin,cenote,genomad&amp;highlight=","Open JBrowse")</f>
        <v>Open JBrowse</v>
      </c>
      <c r="H216" s="10">
        <v>19686</v>
      </c>
      <c r="I216" s="10">
        <v>20738</v>
      </c>
      <c r="J216" s="10" t="s">
        <v>5858</v>
      </c>
      <c r="K216" s="10" t="s">
        <v>59</v>
      </c>
      <c r="L216" s="10" t="s">
        <v>3383</v>
      </c>
      <c r="M216" s="10" t="s">
        <v>3384</v>
      </c>
      <c r="N216" s="10" t="s">
        <v>42</v>
      </c>
      <c r="O216" s="10">
        <v>3</v>
      </c>
      <c r="P216" s="10" t="s">
        <v>42</v>
      </c>
      <c r="Q216" s="10" t="s">
        <v>59</v>
      </c>
      <c r="R216" s="10" t="s">
        <v>5859</v>
      </c>
      <c r="S216" s="10" t="s">
        <v>3383</v>
      </c>
      <c r="T216" s="10" t="s">
        <v>42</v>
      </c>
      <c r="U216" s="10">
        <v>68</v>
      </c>
      <c r="V216" s="10">
        <v>293</v>
      </c>
      <c r="W216" s="10">
        <v>226</v>
      </c>
      <c r="X216" s="10" t="s">
        <v>160</v>
      </c>
      <c r="Y216" s="10" t="s">
        <v>5860</v>
      </c>
      <c r="Z216" s="10" t="s">
        <v>90</v>
      </c>
      <c r="AA216" s="10" t="s">
        <v>5861</v>
      </c>
      <c r="AB216" s="10" t="s">
        <v>5862</v>
      </c>
      <c r="AC216" s="10" t="s">
        <v>164</v>
      </c>
      <c r="AD216" s="10" t="s">
        <v>51</v>
      </c>
      <c r="AE216" s="10">
        <v>192.1</v>
      </c>
      <c r="AF216" s="10" t="s">
        <v>165</v>
      </c>
      <c r="AG216" s="44"/>
      <c r="AH216" s="44"/>
      <c r="AI216" s="44" t="s">
        <v>6052</v>
      </c>
      <c r="AJ216" s="44" t="s">
        <v>6052</v>
      </c>
      <c r="AK216" s="44" t="s">
        <v>6052</v>
      </c>
      <c r="AL216" s="44" t="s">
        <v>6052</v>
      </c>
      <c r="AM216" s="44" t="s">
        <v>6052</v>
      </c>
      <c r="AN216" s="44" t="s">
        <v>32286</v>
      </c>
      <c r="AO216" s="45">
        <v>11</v>
      </c>
      <c r="AP216" s="45">
        <v>1</v>
      </c>
      <c r="AQ216" s="45">
        <v>0</v>
      </c>
      <c r="AR216" s="45">
        <v>0</v>
      </c>
      <c r="AS216" s="45">
        <v>0</v>
      </c>
      <c r="AT216" s="45">
        <v>0</v>
      </c>
      <c r="AU216" s="10" t="s">
        <v>6052</v>
      </c>
      <c r="AV216" s="10" t="s">
        <v>6052</v>
      </c>
      <c r="AW216" s="10" t="s">
        <v>6052</v>
      </c>
      <c r="AX216" s="10" t="s">
        <v>6052</v>
      </c>
      <c r="AY216" s="10" t="s">
        <v>32253</v>
      </c>
      <c r="AZ216" s="44" t="s">
        <v>33117</v>
      </c>
      <c r="BA216" s="44" t="s">
        <v>30855</v>
      </c>
      <c r="BB216" s="44" t="s">
        <v>31181</v>
      </c>
      <c r="BC216" s="44" t="s">
        <v>6594</v>
      </c>
      <c r="BD216" s="44" t="s">
        <v>31708</v>
      </c>
      <c r="BE216" s="11">
        <v>1</v>
      </c>
      <c r="BF216" s="11">
        <v>0</v>
      </c>
      <c r="BG216" s="11">
        <v>0</v>
      </c>
      <c r="BH216" s="10" t="s">
        <v>32111</v>
      </c>
      <c r="BI216" s="11">
        <v>100</v>
      </c>
      <c r="BJ216" s="10" t="s">
        <v>33162</v>
      </c>
      <c r="BK216" s="11" t="s">
        <v>33162</v>
      </c>
    </row>
    <row r="217" spans="1:63" x14ac:dyDescent="0.75">
      <c r="A217" t="s">
        <v>5983</v>
      </c>
      <c r="B217" t="s">
        <v>104</v>
      </c>
      <c r="C217" t="s">
        <v>450</v>
      </c>
      <c r="D217" t="s">
        <v>451</v>
      </c>
      <c r="E217" s="22" t="s">
        <v>30844</v>
      </c>
      <c r="F217" t="s">
        <v>5984</v>
      </c>
      <c r="G217" s="1" t="str">
        <f>HYPERLINK("https://homd.org/jbrowse/?data=homd_V11.02_phage_1.2%2FGCA_947095725.1&amp;loc=GCA_947095725.1%7CCAMUPY010000061.1%3A1..5237&amp;tracks=prokka,prokka_ncrna,ncbi,ncbi_ncrna,panggolin,cenote,genomad&amp;highlight=","Open JBrowse")</f>
        <v>Open JBrowse</v>
      </c>
      <c r="H217" s="10">
        <v>1185</v>
      </c>
      <c r="I217" s="10">
        <v>2237</v>
      </c>
      <c r="J217" s="10" t="s">
        <v>5985</v>
      </c>
      <c r="K217" s="10" t="s">
        <v>59</v>
      </c>
      <c r="L217" s="10" t="s">
        <v>3383</v>
      </c>
      <c r="M217" s="10" t="s">
        <v>3384</v>
      </c>
      <c r="N217" s="10" t="s">
        <v>42</v>
      </c>
      <c r="O217" s="10">
        <v>3</v>
      </c>
      <c r="P217" s="10" t="s">
        <v>42</v>
      </c>
      <c r="Q217" s="10" t="s">
        <v>59</v>
      </c>
      <c r="R217" s="10" t="s">
        <v>5986</v>
      </c>
      <c r="S217" s="10" t="s">
        <v>3383</v>
      </c>
      <c r="T217" s="10" t="s">
        <v>42</v>
      </c>
      <c r="U217" s="10">
        <v>68</v>
      </c>
      <c r="V217" s="10">
        <v>293</v>
      </c>
      <c r="W217" s="10">
        <v>226</v>
      </c>
      <c r="X217" s="10" t="s">
        <v>160</v>
      </c>
      <c r="Y217" s="10" t="s">
        <v>5987</v>
      </c>
      <c r="Z217" s="10" t="s">
        <v>97</v>
      </c>
      <c r="AA217" s="10" t="s">
        <v>5988</v>
      </c>
      <c r="AB217" s="10"/>
      <c r="AC217" s="10"/>
      <c r="AD217" s="10"/>
      <c r="AE217" s="10"/>
      <c r="AF217" s="10"/>
      <c r="AG217" s="44"/>
      <c r="AH217" s="44"/>
      <c r="AI217" s="44" t="s">
        <v>6052</v>
      </c>
      <c r="AJ217" s="44" t="s">
        <v>6052</v>
      </c>
      <c r="AK217" s="44" t="s">
        <v>6052</v>
      </c>
      <c r="AL217" s="44" t="s">
        <v>6052</v>
      </c>
      <c r="AM217" s="44" t="s">
        <v>6052</v>
      </c>
      <c r="AN217" s="44" t="s">
        <v>32308</v>
      </c>
      <c r="AO217" s="45">
        <v>11</v>
      </c>
      <c r="AP217" s="45">
        <v>1</v>
      </c>
      <c r="AQ217" s="45">
        <v>0</v>
      </c>
      <c r="AR217" s="45">
        <v>0</v>
      </c>
      <c r="AS217" s="45">
        <v>0</v>
      </c>
      <c r="AT217" s="45">
        <v>0</v>
      </c>
      <c r="AU217" s="10" t="s">
        <v>6052</v>
      </c>
      <c r="AV217" s="10" t="s">
        <v>6052</v>
      </c>
      <c r="AW217" s="10" t="s">
        <v>6052</v>
      </c>
      <c r="AX217" s="10" t="s">
        <v>6052</v>
      </c>
      <c r="AY217" s="10" t="s">
        <v>32253</v>
      </c>
      <c r="AZ217" s="44" t="s">
        <v>33117</v>
      </c>
      <c r="BA217" s="44" t="s">
        <v>30855</v>
      </c>
      <c r="BB217" s="44" t="s">
        <v>31200</v>
      </c>
      <c r="BC217" s="44" t="s">
        <v>6594</v>
      </c>
      <c r="BD217" s="44" t="s">
        <v>31708</v>
      </c>
      <c r="BE217" s="11">
        <v>1</v>
      </c>
      <c r="BF217" s="11">
        <v>0</v>
      </c>
      <c r="BG217" s="11">
        <v>0</v>
      </c>
      <c r="BH217" s="10" t="s">
        <v>32109</v>
      </c>
      <c r="BI217" s="11">
        <v>100</v>
      </c>
      <c r="BJ217" s="10" t="s">
        <v>33162</v>
      </c>
      <c r="BK217" s="11" t="s">
        <v>33162</v>
      </c>
    </row>
    <row r="218" spans="1:63" x14ac:dyDescent="0.75">
      <c r="A218" t="s">
        <v>5518</v>
      </c>
      <c r="B218" t="s">
        <v>104</v>
      </c>
      <c r="C218" t="s">
        <v>1054</v>
      </c>
      <c r="D218" t="s">
        <v>1055</v>
      </c>
      <c r="E218" s="22" t="s">
        <v>30844</v>
      </c>
      <c r="F218" t="s">
        <v>5519</v>
      </c>
      <c r="G218" s="1" t="str">
        <f>HYPERLINK("https://homd.org/jbrowse/?data=homd_V11.02_phage_1.2%2FGCA_905373445.1&amp;loc=GCA_905373445.1%7CCAJPSW010000012.1%3A3875..10879&amp;tracks=prokka,prokka_ncrna,ncbi,ncbi_ncrna,panggolin,cenote,genomad&amp;highlight=","Open JBrowse")</f>
        <v>Open JBrowse</v>
      </c>
      <c r="H218" s="10">
        <v>6875</v>
      </c>
      <c r="I218" s="10">
        <v>7879</v>
      </c>
      <c r="J218" s="10" t="s">
        <v>5520</v>
      </c>
      <c r="K218" s="10" t="s">
        <v>59</v>
      </c>
      <c r="L218" s="10" t="s">
        <v>157</v>
      </c>
      <c r="M218" s="10" t="s">
        <v>158</v>
      </c>
      <c r="N218" s="10" t="s">
        <v>42</v>
      </c>
      <c r="O218" s="10">
        <v>3</v>
      </c>
      <c r="P218" s="10" t="s">
        <v>42</v>
      </c>
      <c r="Q218" s="10" t="s">
        <v>59</v>
      </c>
      <c r="R218" s="10" t="s">
        <v>5521</v>
      </c>
      <c r="S218" s="10" t="s">
        <v>157</v>
      </c>
      <c r="T218" s="10" t="s">
        <v>42</v>
      </c>
      <c r="U218" s="10">
        <v>53</v>
      </c>
      <c r="V218" s="10">
        <v>279</v>
      </c>
      <c r="W218" s="10">
        <v>227</v>
      </c>
      <c r="X218" s="10" t="s">
        <v>160</v>
      </c>
      <c r="Y218" s="10"/>
      <c r="Z218" s="10"/>
      <c r="AA218" s="10"/>
      <c r="AB218" s="10"/>
      <c r="AC218" s="10"/>
      <c r="AD218" s="10"/>
      <c r="AE218" s="10"/>
      <c r="AF218" s="10"/>
      <c r="AG218" s="44"/>
      <c r="AH218" s="44"/>
      <c r="AI218" s="46" t="s">
        <v>6054</v>
      </c>
      <c r="AJ218" s="44" t="s">
        <v>6052</v>
      </c>
      <c r="AK218" s="44" t="s">
        <v>6052</v>
      </c>
      <c r="AL218" s="44" t="s">
        <v>6052</v>
      </c>
      <c r="AM218" s="44" t="s">
        <v>6052</v>
      </c>
      <c r="AN218" s="44" t="s">
        <v>32372</v>
      </c>
      <c r="AO218" s="45">
        <v>11</v>
      </c>
      <c r="AP218" s="45">
        <v>1</v>
      </c>
      <c r="AQ218" s="45">
        <v>0</v>
      </c>
      <c r="AR218" s="45">
        <v>0</v>
      </c>
      <c r="AS218" s="45">
        <v>0</v>
      </c>
      <c r="AT218" s="45">
        <v>0</v>
      </c>
      <c r="AU218" s="10" t="s">
        <v>6052</v>
      </c>
      <c r="AV218" s="10" t="s">
        <v>6052</v>
      </c>
      <c r="AW218" s="10" t="s">
        <v>6052</v>
      </c>
      <c r="AX218" s="10" t="s">
        <v>6052</v>
      </c>
      <c r="AY218" s="10" t="s">
        <v>32253</v>
      </c>
      <c r="AZ218" s="44" t="s">
        <v>33117</v>
      </c>
      <c r="BA218" s="44" t="s">
        <v>30875</v>
      </c>
      <c r="BB218" s="44" t="s">
        <v>31253</v>
      </c>
      <c r="BC218" s="44" t="s">
        <v>6594</v>
      </c>
      <c r="BD218" s="44" t="s">
        <v>31708</v>
      </c>
      <c r="BE218" s="11">
        <v>1</v>
      </c>
      <c r="BF218" s="11">
        <v>0</v>
      </c>
      <c r="BG218" s="11">
        <v>0</v>
      </c>
      <c r="BH218" s="10" t="s">
        <v>31973</v>
      </c>
      <c r="BI218" s="11">
        <v>100</v>
      </c>
      <c r="BJ218" s="10" t="s">
        <v>33162</v>
      </c>
      <c r="BK218" s="11" t="s">
        <v>33162</v>
      </c>
    </row>
    <row r="219" spans="1:63" x14ac:dyDescent="0.75">
      <c r="A219" t="s">
        <v>1226</v>
      </c>
      <c r="B219" t="s">
        <v>104</v>
      </c>
      <c r="C219" t="s">
        <v>275</v>
      </c>
      <c r="D219" t="s">
        <v>276</v>
      </c>
      <c r="E219" s="22" t="s">
        <v>10263</v>
      </c>
      <c r="F219" t="s">
        <v>1227</v>
      </c>
      <c r="G219" s="1" t="str">
        <f>HYPERLINK("https://homd.org/jbrowse/?data=homd_V11.02_phage_1.2%2FGCA_000613325.1&amp;loc=GCA_000613325.1%7CBAIP01000010.1%3A59645..66493&amp;tracks=prokka,prokka_ncrna,ncbi,ncbi_ncrna,panggolin,cenote,genomad&amp;highlight=","Open JBrowse")</f>
        <v>Open JBrowse</v>
      </c>
      <c r="H219" s="10">
        <v>62645</v>
      </c>
      <c r="I219" s="10">
        <v>63493</v>
      </c>
      <c r="J219" s="10" t="s">
        <v>1228</v>
      </c>
      <c r="K219" s="10" t="s">
        <v>59</v>
      </c>
      <c r="L219" s="10" t="s">
        <v>157</v>
      </c>
      <c r="M219" s="10" t="s">
        <v>158</v>
      </c>
      <c r="N219" s="10" t="s">
        <v>42</v>
      </c>
      <c r="O219" s="10">
        <v>3</v>
      </c>
      <c r="P219" s="10" t="s">
        <v>42</v>
      </c>
      <c r="Q219" s="10" t="s">
        <v>59</v>
      </c>
      <c r="R219" s="10" t="s">
        <v>1229</v>
      </c>
      <c r="S219" s="10" t="s">
        <v>157</v>
      </c>
      <c r="T219" s="10" t="s">
        <v>42</v>
      </c>
      <c r="U219" s="10">
        <v>53</v>
      </c>
      <c r="V219" s="10">
        <v>279</v>
      </c>
      <c r="W219" s="10">
        <v>227</v>
      </c>
      <c r="X219" s="10" t="s">
        <v>160</v>
      </c>
      <c r="Y219" s="10" t="s">
        <v>1230</v>
      </c>
      <c r="Z219" s="10" t="s">
        <v>904</v>
      </c>
      <c r="AA219" s="10" t="s">
        <v>886</v>
      </c>
      <c r="AB219" s="10"/>
      <c r="AC219" s="10"/>
      <c r="AD219" s="10"/>
      <c r="AE219" s="10"/>
      <c r="AF219" s="10"/>
      <c r="AG219" s="44"/>
      <c r="AH219" s="44"/>
      <c r="AI219" s="44" t="s">
        <v>6052</v>
      </c>
      <c r="AJ219" s="44" t="s">
        <v>6052</v>
      </c>
      <c r="AK219" s="44" t="s">
        <v>6052</v>
      </c>
      <c r="AL219" s="44" t="s">
        <v>6052</v>
      </c>
      <c r="AM219" s="44" t="s">
        <v>6052</v>
      </c>
      <c r="AN219" s="44" t="s">
        <v>32830</v>
      </c>
      <c r="AO219" s="45">
        <v>11</v>
      </c>
      <c r="AP219" s="45">
        <v>1</v>
      </c>
      <c r="AQ219" s="45">
        <v>0</v>
      </c>
      <c r="AR219" s="45">
        <v>0</v>
      </c>
      <c r="AS219" s="45">
        <v>0</v>
      </c>
      <c r="AT219" s="45">
        <v>0</v>
      </c>
      <c r="AU219" s="10" t="s">
        <v>6052</v>
      </c>
      <c r="AV219" s="10" t="s">
        <v>6052</v>
      </c>
      <c r="AW219" s="10" t="s">
        <v>6052</v>
      </c>
      <c r="AX219" s="10" t="s">
        <v>6052</v>
      </c>
      <c r="AY219" s="10" t="s">
        <v>32253</v>
      </c>
      <c r="AZ219" s="44" t="s">
        <v>33117</v>
      </c>
      <c r="BA219" s="44" t="s">
        <v>31028</v>
      </c>
      <c r="BB219" s="44" t="s">
        <v>31507</v>
      </c>
      <c r="BC219" s="44" t="s">
        <v>6594</v>
      </c>
      <c r="BD219" s="44" t="s">
        <v>31708</v>
      </c>
      <c r="BE219" s="11">
        <v>1</v>
      </c>
      <c r="BF219" s="11">
        <v>0</v>
      </c>
      <c r="BG219" s="11">
        <v>0</v>
      </c>
      <c r="BH219" s="10" t="s">
        <v>32137</v>
      </c>
      <c r="BI219" s="11">
        <v>100</v>
      </c>
      <c r="BJ219" s="10" t="s">
        <v>33162</v>
      </c>
      <c r="BK219" s="11" t="s">
        <v>33162</v>
      </c>
    </row>
    <row r="220" spans="1:63" x14ac:dyDescent="0.75">
      <c r="A220" t="s">
        <v>5885</v>
      </c>
      <c r="B220" t="s">
        <v>104</v>
      </c>
      <c r="C220" t="s">
        <v>275</v>
      </c>
      <c r="D220" t="s">
        <v>276</v>
      </c>
      <c r="E220" s="22" t="s">
        <v>30844</v>
      </c>
      <c r="F220" t="s">
        <v>5886</v>
      </c>
      <c r="G220" s="1" t="str">
        <f>HYPERLINK("https://homd.org/jbrowse/?data=homd_V11.02_phage_1.2%2FGCA_938038995.1&amp;loc=GCA_938038995.1%7CCALHVO010000013.1%3A24755..31603&amp;tracks=prokka,prokka_ncrna,ncbi,ncbi_ncrna,panggolin,cenote,genomad&amp;highlight=","Open JBrowse")</f>
        <v>Open JBrowse</v>
      </c>
      <c r="H220" s="10">
        <v>27755</v>
      </c>
      <c r="I220" s="10">
        <v>28603</v>
      </c>
      <c r="J220" s="10" t="s">
        <v>5887</v>
      </c>
      <c r="K220" s="10" t="s">
        <v>59</v>
      </c>
      <c r="L220" s="10" t="s">
        <v>157</v>
      </c>
      <c r="M220" s="10" t="s">
        <v>158</v>
      </c>
      <c r="N220" s="10" t="s">
        <v>42</v>
      </c>
      <c r="O220" s="10">
        <v>3</v>
      </c>
      <c r="P220" s="10" t="s">
        <v>42</v>
      </c>
      <c r="Q220" s="10" t="s">
        <v>59</v>
      </c>
      <c r="R220" s="10" t="s">
        <v>5888</v>
      </c>
      <c r="S220" s="10" t="s">
        <v>157</v>
      </c>
      <c r="T220" s="10" t="s">
        <v>42</v>
      </c>
      <c r="U220" s="10">
        <v>53</v>
      </c>
      <c r="V220" s="10">
        <v>279</v>
      </c>
      <c r="W220" s="10">
        <v>227</v>
      </c>
      <c r="X220" s="10" t="s">
        <v>160</v>
      </c>
      <c r="Y220" s="10" t="s">
        <v>5889</v>
      </c>
      <c r="Z220" s="10" t="s">
        <v>357</v>
      </c>
      <c r="AA220" s="10" t="s">
        <v>5890</v>
      </c>
      <c r="AB220" s="10"/>
      <c r="AC220" s="10"/>
      <c r="AD220" s="10"/>
      <c r="AE220" s="10"/>
      <c r="AF220" s="10"/>
      <c r="AG220" s="44"/>
      <c r="AH220" s="44"/>
      <c r="AI220" s="44" t="s">
        <v>6052</v>
      </c>
      <c r="AJ220" s="44" t="s">
        <v>6052</v>
      </c>
      <c r="AK220" s="44" t="s">
        <v>6052</v>
      </c>
      <c r="AL220" s="44" t="s">
        <v>6052</v>
      </c>
      <c r="AM220" s="44" t="s">
        <v>6052</v>
      </c>
      <c r="AN220" s="44" t="s">
        <v>32347</v>
      </c>
      <c r="AO220" s="45">
        <v>11</v>
      </c>
      <c r="AP220" s="45">
        <v>1</v>
      </c>
      <c r="AQ220" s="45">
        <v>0</v>
      </c>
      <c r="AR220" s="45">
        <v>0</v>
      </c>
      <c r="AS220" s="45">
        <v>0</v>
      </c>
      <c r="AT220" s="45">
        <v>0</v>
      </c>
      <c r="AU220" s="10" t="s">
        <v>6052</v>
      </c>
      <c r="AV220" s="10" t="s">
        <v>6052</v>
      </c>
      <c r="AW220" s="10" t="s">
        <v>6052</v>
      </c>
      <c r="AX220" s="10" t="s">
        <v>6052</v>
      </c>
      <c r="AY220" s="10" t="s">
        <v>32253</v>
      </c>
      <c r="AZ220" s="44" t="s">
        <v>33117</v>
      </c>
      <c r="BA220" s="44" t="s">
        <v>30872</v>
      </c>
      <c r="BB220" s="44" t="s">
        <v>31232</v>
      </c>
      <c r="BC220" s="44" t="s">
        <v>6594</v>
      </c>
      <c r="BD220" s="44" t="s">
        <v>31708</v>
      </c>
      <c r="BE220" s="11">
        <v>1</v>
      </c>
      <c r="BF220" s="11">
        <v>0</v>
      </c>
      <c r="BG220" s="11">
        <v>0</v>
      </c>
      <c r="BH220" s="10" t="s">
        <v>32134</v>
      </c>
      <c r="BI220" s="11">
        <v>100</v>
      </c>
      <c r="BJ220" s="10" t="s">
        <v>33162</v>
      </c>
      <c r="BK220" s="11" t="s">
        <v>33162</v>
      </c>
    </row>
    <row r="221" spans="1:63" x14ac:dyDescent="0.75">
      <c r="A221" t="s">
        <v>881</v>
      </c>
      <c r="B221" t="s">
        <v>104</v>
      </c>
      <c r="C221" t="s">
        <v>275</v>
      </c>
      <c r="D221" t="s">
        <v>276</v>
      </c>
      <c r="E221" s="22" t="s">
        <v>9367</v>
      </c>
      <c r="F221" t="s">
        <v>882</v>
      </c>
      <c r="G221" s="1" t="str">
        <f>HYPERLINK("https://homd.org/jbrowse/?data=homd_V11.02_phage_1.2%2FGCA_000377625.1&amp;loc=GCA_000377625.1%7CKB898331.1%3A137823..144671&amp;tracks=prokka,prokka_ncrna,ncbi,ncbi_ncrna,panggolin,cenote,genomad&amp;highlight=","Open JBrowse")</f>
        <v>Open JBrowse</v>
      </c>
      <c r="H221" s="10">
        <v>140823</v>
      </c>
      <c r="I221" s="10">
        <v>141671</v>
      </c>
      <c r="J221" s="10" t="s">
        <v>883</v>
      </c>
      <c r="K221" s="10" t="s">
        <v>59</v>
      </c>
      <c r="L221" s="10" t="s">
        <v>157</v>
      </c>
      <c r="M221" s="10" t="s">
        <v>158</v>
      </c>
      <c r="N221" s="10" t="s">
        <v>42</v>
      </c>
      <c r="O221" s="10">
        <v>3</v>
      </c>
      <c r="P221" s="10" t="s">
        <v>42</v>
      </c>
      <c r="Q221" s="10" t="s">
        <v>59</v>
      </c>
      <c r="R221" s="10" t="s">
        <v>884</v>
      </c>
      <c r="S221" s="10" t="s">
        <v>157</v>
      </c>
      <c r="T221" s="10" t="s">
        <v>42</v>
      </c>
      <c r="U221" s="10">
        <v>53</v>
      </c>
      <c r="V221" s="10">
        <v>279</v>
      </c>
      <c r="W221" s="10">
        <v>227</v>
      </c>
      <c r="X221" s="10" t="s">
        <v>160</v>
      </c>
      <c r="Y221" s="10" t="s">
        <v>885</v>
      </c>
      <c r="Z221" s="10" t="s">
        <v>667</v>
      </c>
      <c r="AA221" s="10" t="s">
        <v>886</v>
      </c>
      <c r="AB221" s="10"/>
      <c r="AC221" s="10"/>
      <c r="AD221" s="10"/>
      <c r="AE221" s="10"/>
      <c r="AF221" s="10"/>
      <c r="AG221" s="44"/>
      <c r="AH221" s="44"/>
      <c r="AI221" s="44" t="s">
        <v>6052</v>
      </c>
      <c r="AJ221" s="44" t="s">
        <v>6052</v>
      </c>
      <c r="AK221" s="44" t="s">
        <v>6052</v>
      </c>
      <c r="AL221" s="44" t="s">
        <v>6052</v>
      </c>
      <c r="AM221" s="44" t="s">
        <v>6052</v>
      </c>
      <c r="AN221" s="44" t="s">
        <v>32614</v>
      </c>
      <c r="AO221" s="45">
        <v>11</v>
      </c>
      <c r="AP221" s="45">
        <v>1</v>
      </c>
      <c r="AQ221" s="45">
        <v>0</v>
      </c>
      <c r="AR221" s="45">
        <v>0</v>
      </c>
      <c r="AS221" s="45">
        <v>0</v>
      </c>
      <c r="AT221" s="45">
        <v>0</v>
      </c>
      <c r="AU221" s="10" t="s">
        <v>6052</v>
      </c>
      <c r="AV221" s="10" t="s">
        <v>6052</v>
      </c>
      <c r="AW221" s="10" t="s">
        <v>6052</v>
      </c>
      <c r="AX221" s="10" t="s">
        <v>6052</v>
      </c>
      <c r="AY221" s="10" t="s">
        <v>32253</v>
      </c>
      <c r="AZ221" s="44" t="s">
        <v>33117</v>
      </c>
      <c r="BA221" s="44" t="s">
        <v>30935</v>
      </c>
      <c r="BB221" s="44" t="s">
        <v>31373</v>
      </c>
      <c r="BC221" s="44" t="s">
        <v>6594</v>
      </c>
      <c r="BD221" s="44" t="s">
        <v>31708</v>
      </c>
      <c r="BE221" s="11">
        <v>1</v>
      </c>
      <c r="BF221" s="11">
        <v>0</v>
      </c>
      <c r="BG221" s="11">
        <v>0</v>
      </c>
      <c r="BH221" s="10" t="s">
        <v>32138</v>
      </c>
      <c r="BI221" s="11">
        <v>100</v>
      </c>
      <c r="BJ221" s="10" t="s">
        <v>33162</v>
      </c>
      <c r="BK221" s="11" t="s">
        <v>33162</v>
      </c>
    </row>
    <row r="222" spans="1:63" x14ac:dyDescent="0.75">
      <c r="A222" t="s">
        <v>1187</v>
      </c>
      <c r="B222" t="s">
        <v>104</v>
      </c>
      <c r="C222" t="s">
        <v>360</v>
      </c>
      <c r="D222" t="s">
        <v>361</v>
      </c>
      <c r="E222" s="22" t="s">
        <v>10126</v>
      </c>
      <c r="F222" t="s">
        <v>1188</v>
      </c>
      <c r="G222" s="1" t="str">
        <f>HYPERLINK("https://homd.org/jbrowse/?data=homd_V11.02_phage_1.2%2FGCA_000516535.1&amp;loc=GCA_000516535.1%7CKI911785.1%3A2246715..2253722&amp;tracks=prokka,prokka_ncrna,ncbi,ncbi_ncrna,panggolin,cenote,genomad&amp;highlight=","Open JBrowse")</f>
        <v>Open JBrowse</v>
      </c>
      <c r="H222" s="10">
        <v>2249715</v>
      </c>
      <c r="I222" s="10">
        <v>2250722</v>
      </c>
      <c r="J222" s="10" t="s">
        <v>1189</v>
      </c>
      <c r="K222" s="10" t="s">
        <v>59</v>
      </c>
      <c r="L222" s="10" t="s">
        <v>1190</v>
      </c>
      <c r="M222" s="10" t="s">
        <v>1191</v>
      </c>
      <c r="N222" s="10" t="s">
        <v>42</v>
      </c>
      <c r="O222" s="10">
        <v>3</v>
      </c>
      <c r="P222" s="10" t="s">
        <v>42</v>
      </c>
      <c r="Q222" s="10" t="s">
        <v>59</v>
      </c>
      <c r="R222" s="10" t="s">
        <v>1192</v>
      </c>
      <c r="S222" s="10" t="s">
        <v>1190</v>
      </c>
      <c r="T222" s="10" t="s">
        <v>42</v>
      </c>
      <c r="U222" s="10">
        <v>79</v>
      </c>
      <c r="V222" s="10">
        <v>332</v>
      </c>
      <c r="W222" s="10">
        <v>254</v>
      </c>
      <c r="X222" s="10" t="s">
        <v>142</v>
      </c>
      <c r="Y222" s="10" t="s">
        <v>1193</v>
      </c>
      <c r="Z222" s="10" t="s">
        <v>824</v>
      </c>
      <c r="AA222" s="10" t="s">
        <v>1194</v>
      </c>
      <c r="AB222" s="10"/>
      <c r="AC222" s="10"/>
      <c r="AD222" s="10"/>
      <c r="AE222" s="10"/>
      <c r="AF222" s="10"/>
      <c r="AG222" s="44"/>
      <c r="AH222" s="44"/>
      <c r="AI222" s="44" t="s">
        <v>6052</v>
      </c>
      <c r="AJ222" s="44" t="s">
        <v>6052</v>
      </c>
      <c r="AK222" s="44" t="s">
        <v>6052</v>
      </c>
      <c r="AL222" s="44" t="s">
        <v>6052</v>
      </c>
      <c r="AM222" s="44" t="s">
        <v>6052</v>
      </c>
      <c r="AN222" s="44" t="s">
        <v>32618</v>
      </c>
      <c r="AO222" s="45">
        <v>11</v>
      </c>
      <c r="AP222" s="45">
        <v>1</v>
      </c>
      <c r="AQ222" s="45">
        <v>0</v>
      </c>
      <c r="AR222" s="45">
        <v>0</v>
      </c>
      <c r="AS222" s="45">
        <v>0</v>
      </c>
      <c r="AT222" s="45">
        <v>0</v>
      </c>
      <c r="AU222" s="10" t="s">
        <v>6052</v>
      </c>
      <c r="AV222" s="10" t="s">
        <v>6052</v>
      </c>
      <c r="AW222" s="10" t="s">
        <v>6052</v>
      </c>
      <c r="AX222" s="10" t="s">
        <v>6052</v>
      </c>
      <c r="AY222" s="10" t="s">
        <v>32253</v>
      </c>
      <c r="AZ222" s="44" t="s">
        <v>33117</v>
      </c>
      <c r="BA222" s="44" t="s">
        <v>30937</v>
      </c>
      <c r="BB222" s="44" t="s">
        <v>31375</v>
      </c>
      <c r="BC222" s="44" t="s">
        <v>7224</v>
      </c>
      <c r="BD222" s="44" t="s">
        <v>31715</v>
      </c>
      <c r="BE222" s="11">
        <v>1</v>
      </c>
      <c r="BF222" s="11">
        <v>0</v>
      </c>
      <c r="BG222" s="11">
        <v>0</v>
      </c>
      <c r="BH222" s="10" t="s">
        <v>32040</v>
      </c>
      <c r="BI222" s="11">
        <v>100</v>
      </c>
      <c r="BJ222" s="10" t="s">
        <v>33162</v>
      </c>
      <c r="BK222" s="11" t="s">
        <v>33162</v>
      </c>
    </row>
    <row r="223" spans="1:63" x14ac:dyDescent="0.75">
      <c r="A223" t="s">
        <v>5527</v>
      </c>
      <c r="B223" t="s">
        <v>104</v>
      </c>
      <c r="C223" t="s">
        <v>1428</v>
      </c>
      <c r="D223" t="s">
        <v>1086</v>
      </c>
      <c r="E223" s="22" t="s">
        <v>30844</v>
      </c>
      <c r="F223" t="s">
        <v>5528</v>
      </c>
      <c r="G223" s="1" t="str">
        <f>HYPERLINK("https://homd.org/jbrowse/?data=homd_V11.02_phage_1.2%2FGCA_905373465.1&amp;loc=GCA_905373465.1%7CCAJPTA010000007.1%3A1514..8518&amp;tracks=prokka,prokka_ncrna,ncbi,ncbi_ncrna,panggolin,cenote,genomad&amp;highlight=","Open JBrowse")</f>
        <v>Open JBrowse</v>
      </c>
      <c r="H223" s="10">
        <v>4514</v>
      </c>
      <c r="I223" s="10">
        <v>5518</v>
      </c>
      <c r="J223" s="10" t="s">
        <v>5529</v>
      </c>
      <c r="K223" s="10" t="s">
        <v>59</v>
      </c>
      <c r="L223" s="10" t="s">
        <v>1431</v>
      </c>
      <c r="M223" s="10" t="s">
        <v>1432</v>
      </c>
      <c r="N223" s="10" t="s">
        <v>42</v>
      </c>
      <c r="O223" s="10">
        <v>3</v>
      </c>
      <c r="P223" s="10" t="s">
        <v>42</v>
      </c>
      <c r="Q223" s="10" t="s">
        <v>59</v>
      </c>
      <c r="R223" s="10" t="s">
        <v>5530</v>
      </c>
      <c r="S223" s="10" t="s">
        <v>1431</v>
      </c>
      <c r="T223" s="10" t="s">
        <v>42</v>
      </c>
      <c r="U223" s="10">
        <v>78</v>
      </c>
      <c r="V223" s="10">
        <v>331</v>
      </c>
      <c r="W223" s="10">
        <v>254</v>
      </c>
      <c r="X223" s="10" t="s">
        <v>142</v>
      </c>
      <c r="Y223" s="10" t="s">
        <v>5531</v>
      </c>
      <c r="Z223" s="10" t="s">
        <v>47</v>
      </c>
      <c r="AA223" s="10" t="s">
        <v>1093</v>
      </c>
      <c r="AB223" s="10"/>
      <c r="AC223" s="10"/>
      <c r="AD223" s="10"/>
      <c r="AE223" s="10"/>
      <c r="AF223" s="10"/>
      <c r="AG223" s="44"/>
      <c r="AH223" s="44"/>
      <c r="AI223" s="44" t="s">
        <v>6052</v>
      </c>
      <c r="AJ223" s="44" t="s">
        <v>6052</v>
      </c>
      <c r="AK223" s="44" t="s">
        <v>6052</v>
      </c>
      <c r="AL223" s="44" t="s">
        <v>6052</v>
      </c>
      <c r="AM223" s="44" t="s">
        <v>6052</v>
      </c>
      <c r="AN223" s="44" t="s">
        <v>32317</v>
      </c>
      <c r="AO223" s="45">
        <v>11</v>
      </c>
      <c r="AP223" s="45">
        <v>1</v>
      </c>
      <c r="AQ223" s="45">
        <v>0</v>
      </c>
      <c r="AR223" s="45">
        <v>0</v>
      </c>
      <c r="AS223" s="45">
        <v>0</v>
      </c>
      <c r="AT223" s="45">
        <v>0</v>
      </c>
      <c r="AU223" s="10" t="s">
        <v>6052</v>
      </c>
      <c r="AV223" s="10" t="s">
        <v>6052</v>
      </c>
      <c r="AW223" s="10" t="s">
        <v>6052</v>
      </c>
      <c r="AX223" s="10" t="s">
        <v>6052</v>
      </c>
      <c r="AY223" s="10" t="s">
        <v>32253</v>
      </c>
      <c r="AZ223" s="44" t="s">
        <v>33117</v>
      </c>
      <c r="BA223" s="44" t="s">
        <v>30854</v>
      </c>
      <c r="BB223" s="44" t="s">
        <v>31207</v>
      </c>
      <c r="BC223" s="44" t="s">
        <v>7224</v>
      </c>
      <c r="BD223" s="44" t="s">
        <v>31715</v>
      </c>
      <c r="BE223" s="11">
        <v>1</v>
      </c>
      <c r="BF223" s="11">
        <v>0</v>
      </c>
      <c r="BG223" s="11">
        <v>0</v>
      </c>
      <c r="BH223" s="10" t="s">
        <v>31920</v>
      </c>
      <c r="BI223" s="11">
        <v>100</v>
      </c>
      <c r="BJ223" s="10" t="s">
        <v>33162</v>
      </c>
      <c r="BK223" s="11" t="s">
        <v>33162</v>
      </c>
    </row>
    <row r="224" spans="1:63" x14ac:dyDescent="0.75">
      <c r="A224" t="s">
        <v>5527</v>
      </c>
      <c r="B224" t="s">
        <v>104</v>
      </c>
      <c r="C224" t="s">
        <v>1428</v>
      </c>
      <c r="D224" t="s">
        <v>1086</v>
      </c>
      <c r="E224" s="22" t="s">
        <v>30844</v>
      </c>
      <c r="F224" t="s">
        <v>5532</v>
      </c>
      <c r="G224" s="1" t="str">
        <f>HYPERLINK("https://homd.org/jbrowse/?data=homd_V11.02_phage_1.2%2FGCA_905373465.1&amp;loc=GCA_905373465.1%7CCAJPTA010000275.1%3A1..4228&amp;tracks=prokka,prokka_ncrna,ncbi,ncbi_ncrna,panggolin,cenote,genomad&amp;highlight=","Open JBrowse")</f>
        <v>Open JBrowse</v>
      </c>
      <c r="H224" s="10">
        <v>242</v>
      </c>
      <c r="I224" s="10">
        <v>1228</v>
      </c>
      <c r="J224" s="10" t="s">
        <v>5533</v>
      </c>
      <c r="K224" s="10" t="s">
        <v>1096</v>
      </c>
      <c r="L224" s="10" t="s">
        <v>1097</v>
      </c>
      <c r="M224" s="10" t="s">
        <v>1098</v>
      </c>
      <c r="N224" s="10" t="s">
        <v>398</v>
      </c>
      <c r="O224" s="10">
        <v>3</v>
      </c>
      <c r="P224" s="10" t="s">
        <v>42</v>
      </c>
      <c r="Q224" s="10" t="s">
        <v>101</v>
      </c>
      <c r="R224" s="10" t="s">
        <v>5530</v>
      </c>
      <c r="S224" s="10" t="s">
        <v>1097</v>
      </c>
      <c r="T224" s="10" t="s">
        <v>42</v>
      </c>
      <c r="U224" s="10">
        <v>59</v>
      </c>
      <c r="V224" s="10">
        <v>324</v>
      </c>
      <c r="W224" s="10">
        <v>266</v>
      </c>
      <c r="X224" s="10" t="s">
        <v>1099</v>
      </c>
      <c r="Y224" s="10" t="s">
        <v>5534</v>
      </c>
      <c r="Z224" s="10" t="s">
        <v>126</v>
      </c>
      <c r="AA224" s="10" t="s">
        <v>5535</v>
      </c>
      <c r="AB224" s="10"/>
      <c r="AC224" s="10"/>
      <c r="AD224" s="10"/>
      <c r="AE224" s="10"/>
      <c r="AF224" s="10"/>
      <c r="AG224" s="44"/>
      <c r="AH224" s="44"/>
      <c r="AI224" s="44" t="s">
        <v>6052</v>
      </c>
      <c r="AJ224" s="44" t="s">
        <v>6052</v>
      </c>
      <c r="AK224" s="44" t="s">
        <v>6052</v>
      </c>
      <c r="AL224" s="44" t="s">
        <v>6052</v>
      </c>
      <c r="AM224" s="44" t="s">
        <v>6052</v>
      </c>
      <c r="AN224" s="44" t="s">
        <v>32282</v>
      </c>
      <c r="AO224" s="45">
        <v>11</v>
      </c>
      <c r="AP224" s="45">
        <v>1</v>
      </c>
      <c r="AQ224" s="45">
        <v>0</v>
      </c>
      <c r="AR224" s="45">
        <v>0</v>
      </c>
      <c r="AS224" s="45">
        <v>0</v>
      </c>
      <c r="AT224" s="45">
        <v>0</v>
      </c>
      <c r="AU224" s="10" t="s">
        <v>6052</v>
      </c>
      <c r="AV224" s="10" t="s">
        <v>6052</v>
      </c>
      <c r="AW224" s="10" t="s">
        <v>6052</v>
      </c>
      <c r="AX224" s="10" t="s">
        <v>6052</v>
      </c>
      <c r="AY224" s="10" t="s">
        <v>32253</v>
      </c>
      <c r="AZ224" s="44" t="s">
        <v>33117</v>
      </c>
      <c r="BA224" s="44" t="s">
        <v>30854</v>
      </c>
      <c r="BB224" s="44" t="s">
        <v>31177</v>
      </c>
      <c r="BC224" s="44" t="s">
        <v>7224</v>
      </c>
      <c r="BD224" s="44" t="s">
        <v>31715</v>
      </c>
      <c r="BE224" s="11">
        <v>1</v>
      </c>
      <c r="BF224" s="11">
        <v>0</v>
      </c>
      <c r="BG224" s="11">
        <v>0</v>
      </c>
      <c r="BH224" s="10" t="s">
        <v>32240</v>
      </c>
      <c r="BI224" s="11">
        <v>100</v>
      </c>
      <c r="BJ224" s="10" t="s">
        <v>33162</v>
      </c>
      <c r="BK224" s="11" t="s">
        <v>33162</v>
      </c>
    </row>
    <row r="225" spans="1:63" x14ac:dyDescent="0.75">
      <c r="A225" t="s">
        <v>5606</v>
      </c>
      <c r="B225" t="s">
        <v>104</v>
      </c>
      <c r="C225" t="s">
        <v>1085</v>
      </c>
      <c r="D225" t="s">
        <v>1086</v>
      </c>
      <c r="E225" s="22" t="s">
        <v>30844</v>
      </c>
      <c r="F225" t="s">
        <v>5607</v>
      </c>
      <c r="G225" s="1" t="str">
        <f>HYPERLINK("https://homd.org/jbrowse/?data=homd_V11.02_phage_1.2%2FGCA_916439075.1&amp;loc=GCA_916439075.1%7CCAKAIB010000002.1%3A1780908..1787927&amp;tracks=prokka,prokka_ncrna,ncbi,ncbi_ncrna,panggolin,cenote,genomad&amp;highlight=","Open JBrowse")</f>
        <v>Open JBrowse</v>
      </c>
      <c r="H225" s="10">
        <v>1783908</v>
      </c>
      <c r="I225" s="10">
        <v>1784927</v>
      </c>
      <c r="J225" s="10" t="s">
        <v>5608</v>
      </c>
      <c r="K225" s="10" t="s">
        <v>59</v>
      </c>
      <c r="L225" s="10" t="s">
        <v>5609</v>
      </c>
      <c r="M225" s="10" t="s">
        <v>5610</v>
      </c>
      <c r="N225" s="10" t="s">
        <v>42</v>
      </c>
      <c r="O225" s="10">
        <v>3</v>
      </c>
      <c r="P225" s="10" t="s">
        <v>42</v>
      </c>
      <c r="Q225" s="10" t="s">
        <v>59</v>
      </c>
      <c r="R225" s="10" t="s">
        <v>5611</v>
      </c>
      <c r="S225" s="10" t="s">
        <v>5609</v>
      </c>
      <c r="T225" s="10" t="s">
        <v>42</v>
      </c>
      <c r="U225" s="10">
        <v>77</v>
      </c>
      <c r="V225" s="10">
        <v>331</v>
      </c>
      <c r="W225" s="10">
        <v>255</v>
      </c>
      <c r="X225" s="10" t="s">
        <v>142</v>
      </c>
      <c r="Y225" s="10" t="s">
        <v>5612</v>
      </c>
      <c r="Z225" s="10" t="s">
        <v>132</v>
      </c>
      <c r="AA225" s="10" t="s">
        <v>5613</v>
      </c>
      <c r="AB225" s="10"/>
      <c r="AC225" s="10"/>
      <c r="AD225" s="10"/>
      <c r="AE225" s="10"/>
      <c r="AF225" s="10"/>
      <c r="AG225" s="44"/>
      <c r="AH225" s="44"/>
      <c r="AI225" s="44" t="s">
        <v>6052</v>
      </c>
      <c r="AJ225" s="44" t="s">
        <v>6052</v>
      </c>
      <c r="AK225" s="44" t="s">
        <v>6052</v>
      </c>
      <c r="AL225" s="44" t="s">
        <v>6052</v>
      </c>
      <c r="AM225" s="44" t="s">
        <v>6052</v>
      </c>
      <c r="AN225" s="44" t="s">
        <v>32285</v>
      </c>
      <c r="AO225" s="45">
        <v>11</v>
      </c>
      <c r="AP225" s="45">
        <v>1</v>
      </c>
      <c r="AQ225" s="45">
        <v>0</v>
      </c>
      <c r="AR225" s="45">
        <v>0</v>
      </c>
      <c r="AS225" s="45">
        <v>0</v>
      </c>
      <c r="AT225" s="45">
        <v>0</v>
      </c>
      <c r="AU225" s="10" t="s">
        <v>6052</v>
      </c>
      <c r="AV225" s="10" t="s">
        <v>6052</v>
      </c>
      <c r="AW225" s="10" t="s">
        <v>6052</v>
      </c>
      <c r="AX225" s="10" t="s">
        <v>6052</v>
      </c>
      <c r="AY225" s="10" t="s">
        <v>32253</v>
      </c>
      <c r="AZ225" s="44" t="s">
        <v>33117</v>
      </c>
      <c r="BA225" s="44" t="s">
        <v>30854</v>
      </c>
      <c r="BB225" s="44" t="s">
        <v>31180</v>
      </c>
      <c r="BC225" s="44" t="s">
        <v>7224</v>
      </c>
      <c r="BD225" s="44" t="s">
        <v>31715</v>
      </c>
      <c r="BE225" s="11">
        <v>1</v>
      </c>
      <c r="BF225" s="11">
        <v>0</v>
      </c>
      <c r="BG225" s="11">
        <v>0</v>
      </c>
      <c r="BH225" s="10" t="s">
        <v>31975</v>
      </c>
      <c r="BI225" s="11">
        <v>100</v>
      </c>
      <c r="BJ225" s="10" t="s">
        <v>33162</v>
      </c>
      <c r="BK225" s="11" t="s">
        <v>33162</v>
      </c>
    </row>
    <row r="226" spans="1:63" x14ac:dyDescent="0.75">
      <c r="A226" t="s">
        <v>5810</v>
      </c>
      <c r="B226" t="s">
        <v>104</v>
      </c>
      <c r="C226" t="s">
        <v>1428</v>
      </c>
      <c r="D226" t="s">
        <v>1086</v>
      </c>
      <c r="E226" s="22" t="s">
        <v>30844</v>
      </c>
      <c r="F226" t="s">
        <v>5811</v>
      </c>
      <c r="G226" s="1" t="str">
        <f>HYPERLINK("https://homd.org/jbrowse/?data=homd_V11.02_phage_1.2%2FGCA_938011375.1&amp;loc=GCA_938011375.1%7CCALLUC010000045.1%3A40777..47781&amp;tracks=prokka,prokka_ncrna,ncbi,ncbi_ncrna,panggolin,cenote,genomad&amp;highlight=","Open JBrowse")</f>
        <v>Open JBrowse</v>
      </c>
      <c r="H226" s="10">
        <v>43777</v>
      </c>
      <c r="I226" s="10">
        <v>44781</v>
      </c>
      <c r="J226" s="10" t="s">
        <v>5812</v>
      </c>
      <c r="K226" s="10" t="s">
        <v>59</v>
      </c>
      <c r="L226" s="10" t="s">
        <v>1431</v>
      </c>
      <c r="M226" s="10" t="s">
        <v>1432</v>
      </c>
      <c r="N226" s="10" t="s">
        <v>42</v>
      </c>
      <c r="O226" s="10">
        <v>3</v>
      </c>
      <c r="P226" s="10" t="s">
        <v>42</v>
      </c>
      <c r="Q226" s="10" t="s">
        <v>59</v>
      </c>
      <c r="R226" s="10" t="s">
        <v>5813</v>
      </c>
      <c r="S226" s="10" t="s">
        <v>1431</v>
      </c>
      <c r="T226" s="10" t="s">
        <v>42</v>
      </c>
      <c r="U226" s="10">
        <v>78</v>
      </c>
      <c r="V226" s="10">
        <v>331</v>
      </c>
      <c r="W226" s="10">
        <v>254</v>
      </c>
      <c r="X226" s="10" t="s">
        <v>142</v>
      </c>
      <c r="Y226" s="10" t="s">
        <v>5814</v>
      </c>
      <c r="Z226" s="10" t="s">
        <v>292</v>
      </c>
      <c r="AA226" s="10" t="s">
        <v>5815</v>
      </c>
      <c r="AB226" s="10"/>
      <c r="AC226" s="10"/>
      <c r="AD226" s="10"/>
      <c r="AE226" s="10"/>
      <c r="AF226" s="10"/>
      <c r="AG226" s="44"/>
      <c r="AH226" s="44"/>
      <c r="AI226" s="44" t="s">
        <v>6052</v>
      </c>
      <c r="AJ226" s="44" t="s">
        <v>6052</v>
      </c>
      <c r="AK226" s="44" t="s">
        <v>6052</v>
      </c>
      <c r="AL226" s="44" t="s">
        <v>6052</v>
      </c>
      <c r="AM226" s="44" t="s">
        <v>6052</v>
      </c>
      <c r="AN226" s="44" t="s">
        <v>32280</v>
      </c>
      <c r="AO226" s="45">
        <v>11</v>
      </c>
      <c r="AP226" s="45">
        <v>1</v>
      </c>
      <c r="AQ226" s="45">
        <v>0</v>
      </c>
      <c r="AR226" s="45">
        <v>0</v>
      </c>
      <c r="AS226" s="45">
        <v>0</v>
      </c>
      <c r="AT226" s="45">
        <v>0</v>
      </c>
      <c r="AU226" s="10" t="s">
        <v>6052</v>
      </c>
      <c r="AV226" s="10" t="s">
        <v>6052</v>
      </c>
      <c r="AW226" s="10" t="s">
        <v>6052</v>
      </c>
      <c r="AX226" s="10" t="s">
        <v>6052</v>
      </c>
      <c r="AY226" s="10" t="s">
        <v>32253</v>
      </c>
      <c r="AZ226" s="44" t="s">
        <v>33117</v>
      </c>
      <c r="BA226" s="44" t="s">
        <v>30854</v>
      </c>
      <c r="BB226" s="44" t="s">
        <v>31175</v>
      </c>
      <c r="BC226" s="44" t="s">
        <v>7224</v>
      </c>
      <c r="BD226" s="44" t="s">
        <v>31715</v>
      </c>
      <c r="BE226" s="11">
        <v>1</v>
      </c>
      <c r="BF226" s="11">
        <v>0</v>
      </c>
      <c r="BG226" s="11">
        <v>0</v>
      </c>
      <c r="BH226" s="10" t="s">
        <v>31919</v>
      </c>
      <c r="BI226" s="11">
        <v>100</v>
      </c>
      <c r="BJ226" s="10" t="s">
        <v>33162</v>
      </c>
      <c r="BK226" s="11" t="s">
        <v>33162</v>
      </c>
    </row>
    <row r="227" spans="1:63" x14ac:dyDescent="0.75">
      <c r="A227" t="s">
        <v>5810</v>
      </c>
      <c r="B227" t="s">
        <v>104</v>
      </c>
      <c r="C227" t="s">
        <v>1428</v>
      </c>
      <c r="D227" t="s">
        <v>1086</v>
      </c>
      <c r="E227" s="22" t="s">
        <v>30844</v>
      </c>
      <c r="F227" t="s">
        <v>5820</v>
      </c>
      <c r="G227" s="1" t="str">
        <f>HYPERLINK("https://homd.org/jbrowse/?data=homd_V11.02_phage_1.2%2FGCA_938011375.1&amp;loc=GCA_938011375.1%7CCALLUC010000059.1%3A1..5871&amp;tracks=prokka,prokka_ncrna,ncbi,ncbi_ncrna,panggolin,cenote,genomad&amp;highlight=","Open JBrowse")</f>
        <v>Open JBrowse</v>
      </c>
      <c r="H227" s="10">
        <v>1885</v>
      </c>
      <c r="I227" s="10">
        <v>2871</v>
      </c>
      <c r="J227" s="10" t="s">
        <v>5821</v>
      </c>
      <c r="K227" s="10" t="s">
        <v>1096</v>
      </c>
      <c r="L227" s="10" t="s">
        <v>1097</v>
      </c>
      <c r="M227" s="10" t="s">
        <v>1098</v>
      </c>
      <c r="N227" s="10" t="s">
        <v>398</v>
      </c>
      <c r="O227" s="10">
        <v>3</v>
      </c>
      <c r="P227" s="10" t="s">
        <v>42</v>
      </c>
      <c r="Q227" s="10" t="s">
        <v>101</v>
      </c>
      <c r="R227" s="10" t="s">
        <v>5813</v>
      </c>
      <c r="S227" s="10" t="s">
        <v>1097</v>
      </c>
      <c r="T227" s="10" t="s">
        <v>42</v>
      </c>
      <c r="U227" s="10">
        <v>59</v>
      </c>
      <c r="V227" s="10">
        <v>324</v>
      </c>
      <c r="W227" s="10">
        <v>266</v>
      </c>
      <c r="X227" s="10" t="s">
        <v>1099</v>
      </c>
      <c r="Y227" s="10" t="s">
        <v>5822</v>
      </c>
      <c r="Z227" s="10" t="s">
        <v>1327</v>
      </c>
      <c r="AA227" s="10" t="s">
        <v>5823</v>
      </c>
      <c r="AB227" s="10"/>
      <c r="AC227" s="10"/>
      <c r="AD227" s="10"/>
      <c r="AE227" s="10"/>
      <c r="AF227" s="10"/>
      <c r="AG227" s="44"/>
      <c r="AH227" s="44"/>
      <c r="AI227" s="44" t="s">
        <v>6052</v>
      </c>
      <c r="AJ227" s="44" t="s">
        <v>6052</v>
      </c>
      <c r="AK227" s="44" t="s">
        <v>6052</v>
      </c>
      <c r="AL227" s="44" t="s">
        <v>6052</v>
      </c>
      <c r="AM227" s="44" t="s">
        <v>6052</v>
      </c>
      <c r="AN227" s="44" t="s">
        <v>32300</v>
      </c>
      <c r="AO227" s="45">
        <v>11</v>
      </c>
      <c r="AP227" s="45">
        <v>1</v>
      </c>
      <c r="AQ227" s="45">
        <v>0</v>
      </c>
      <c r="AR227" s="45">
        <v>0</v>
      </c>
      <c r="AS227" s="45">
        <v>0</v>
      </c>
      <c r="AT227" s="45">
        <v>0</v>
      </c>
      <c r="AU227" s="10" t="s">
        <v>6052</v>
      </c>
      <c r="AV227" s="10" t="s">
        <v>6052</v>
      </c>
      <c r="AW227" s="10" t="s">
        <v>6052</v>
      </c>
      <c r="AX227" s="10" t="s">
        <v>6052</v>
      </c>
      <c r="AY227" s="10" t="s">
        <v>32253</v>
      </c>
      <c r="AZ227" s="44" t="s">
        <v>33117</v>
      </c>
      <c r="BA227" s="44" t="s">
        <v>30854</v>
      </c>
      <c r="BB227" s="44" t="s">
        <v>31192</v>
      </c>
      <c r="BC227" s="44" t="s">
        <v>7224</v>
      </c>
      <c r="BD227" s="44" t="s">
        <v>31715</v>
      </c>
      <c r="BE227" s="11">
        <v>1</v>
      </c>
      <c r="BF227" s="11">
        <v>0</v>
      </c>
      <c r="BG227" s="11">
        <v>0</v>
      </c>
      <c r="BH227" s="10" t="s">
        <v>32239</v>
      </c>
      <c r="BI227" s="11">
        <v>100</v>
      </c>
      <c r="BJ227" s="10" t="s">
        <v>33162</v>
      </c>
      <c r="BK227" s="11" t="s">
        <v>33162</v>
      </c>
    </row>
    <row r="228" spans="1:63" x14ac:dyDescent="0.75">
      <c r="A228" t="s">
        <v>5810</v>
      </c>
      <c r="B228" t="s">
        <v>104</v>
      </c>
      <c r="C228" t="s">
        <v>1428</v>
      </c>
      <c r="D228" t="s">
        <v>1086</v>
      </c>
      <c r="E228" s="22" t="s">
        <v>30844</v>
      </c>
      <c r="F228" t="s">
        <v>5816</v>
      </c>
      <c r="G228" s="1" t="str">
        <f>HYPERLINK("https://homd.org/jbrowse/?data=homd_V11.02_phage_1.2%2FGCA_938011375.1&amp;loc=GCA_938011375.1%7CCALLUC010000046.1%3A9458..16501&amp;tracks=prokka,prokka_ncrna,ncbi,ncbi_ncrna,panggolin,cenote,genomad&amp;highlight=","Open JBrowse")</f>
        <v>Open JBrowse</v>
      </c>
      <c r="H228" s="10">
        <v>12458</v>
      </c>
      <c r="I228" s="10">
        <v>13501</v>
      </c>
      <c r="J228" s="10" t="s">
        <v>5817</v>
      </c>
      <c r="K228" s="10" t="s">
        <v>59</v>
      </c>
      <c r="L228" s="10" t="s">
        <v>5818</v>
      </c>
      <c r="M228" s="10" t="s">
        <v>5819</v>
      </c>
      <c r="N228" s="10" t="s">
        <v>42</v>
      </c>
      <c r="O228" s="10">
        <v>3</v>
      </c>
      <c r="P228" s="10" t="s">
        <v>42</v>
      </c>
      <c r="Q228" s="10" t="s">
        <v>59</v>
      </c>
      <c r="R228" s="10" t="s">
        <v>5813</v>
      </c>
      <c r="S228" s="10" t="s">
        <v>5818</v>
      </c>
      <c r="T228" s="10" t="s">
        <v>42</v>
      </c>
      <c r="U228" s="10">
        <v>80</v>
      </c>
      <c r="V228" s="10">
        <v>334</v>
      </c>
      <c r="W228" s="10">
        <v>255</v>
      </c>
      <c r="X228" s="10" t="s">
        <v>142</v>
      </c>
      <c r="Y228" s="10"/>
      <c r="Z228" s="10"/>
      <c r="AA228" s="10"/>
      <c r="AB228" s="10"/>
      <c r="AC228" s="10"/>
      <c r="AD228" s="10"/>
      <c r="AE228" s="10"/>
      <c r="AF228" s="10"/>
      <c r="AG228" s="44"/>
      <c r="AH228" s="44"/>
      <c r="AI228" s="46" t="s">
        <v>6054</v>
      </c>
      <c r="AJ228" s="44" t="s">
        <v>6052</v>
      </c>
      <c r="AK228" s="44" t="s">
        <v>6052</v>
      </c>
      <c r="AL228" s="44" t="s">
        <v>6052</v>
      </c>
      <c r="AM228" s="44" t="s">
        <v>6052</v>
      </c>
      <c r="AN228" s="44" t="s">
        <v>32383</v>
      </c>
      <c r="AO228" s="45">
        <v>11</v>
      </c>
      <c r="AP228" s="45">
        <v>1</v>
      </c>
      <c r="AQ228" s="45">
        <v>0</v>
      </c>
      <c r="AR228" s="45">
        <v>0</v>
      </c>
      <c r="AS228" s="45">
        <v>0</v>
      </c>
      <c r="AT228" s="45">
        <v>0</v>
      </c>
      <c r="AU228" s="10" t="s">
        <v>6052</v>
      </c>
      <c r="AV228" s="10" t="s">
        <v>6052</v>
      </c>
      <c r="AW228" s="10" t="s">
        <v>6052</v>
      </c>
      <c r="AX228" s="10" t="s">
        <v>6052</v>
      </c>
      <c r="AY228" s="10" t="s">
        <v>32253</v>
      </c>
      <c r="AZ228" s="44" t="s">
        <v>33117</v>
      </c>
      <c r="BA228" s="44" t="s">
        <v>30854</v>
      </c>
      <c r="BB228" s="44" t="s">
        <v>31261</v>
      </c>
      <c r="BC228" s="44" t="s">
        <v>7224</v>
      </c>
      <c r="BD228" s="44" t="s">
        <v>31715</v>
      </c>
      <c r="BE228" s="11">
        <v>1</v>
      </c>
      <c r="BF228" s="11">
        <v>0</v>
      </c>
      <c r="BG228" s="11">
        <v>0</v>
      </c>
      <c r="BH228" s="10" t="s">
        <v>31934</v>
      </c>
      <c r="BI228" s="11">
        <v>100</v>
      </c>
      <c r="BJ228" s="10" t="s">
        <v>33162</v>
      </c>
      <c r="BK228" s="11" t="s">
        <v>33162</v>
      </c>
    </row>
    <row r="229" spans="1:63" x14ac:dyDescent="0.75">
      <c r="A229" t="s">
        <v>5622</v>
      </c>
      <c r="B229" t="s">
        <v>104</v>
      </c>
      <c r="C229" t="s">
        <v>2965</v>
      </c>
      <c r="D229" t="s">
        <v>2966</v>
      </c>
      <c r="E229" s="22" t="s">
        <v>30844</v>
      </c>
      <c r="F229" t="s">
        <v>5623</v>
      </c>
      <c r="G229" s="1" t="str">
        <f>HYPERLINK("https://homd.org/jbrowse/?data=homd_V11.02_phage_1.2%2FGCA_916709935.1&amp;loc=GCA_916709935.1%7CCAKAOT010000054.1%3A5181..12764&amp;tracks=prokka,prokka_ncrna,ncbi,ncbi_ncrna,panggolin,cenote,genomad&amp;highlight=","Open JBrowse")</f>
        <v>Open JBrowse</v>
      </c>
      <c r="H229" s="10">
        <v>8181</v>
      </c>
      <c r="I229" s="10">
        <v>9764</v>
      </c>
      <c r="J229" s="10" t="s">
        <v>5624</v>
      </c>
      <c r="K229" s="10" t="s">
        <v>541</v>
      </c>
      <c r="L229" s="10" t="s">
        <v>5625</v>
      </c>
      <c r="M229" s="10" t="s">
        <v>5626</v>
      </c>
      <c r="N229" s="10" t="s">
        <v>59</v>
      </c>
      <c r="O229" s="10">
        <v>2</v>
      </c>
      <c r="P229" s="10" t="s">
        <v>42</v>
      </c>
      <c r="Q229" s="10" t="s">
        <v>101</v>
      </c>
      <c r="R229" s="10" t="s">
        <v>5627</v>
      </c>
      <c r="S229" s="10" t="s">
        <v>5625</v>
      </c>
      <c r="T229" s="10" t="s">
        <v>42</v>
      </c>
      <c r="U229" s="10">
        <v>69</v>
      </c>
      <c r="V229" s="10">
        <v>342</v>
      </c>
      <c r="W229" s="10">
        <v>274</v>
      </c>
      <c r="X229" s="10" t="s">
        <v>545</v>
      </c>
      <c r="Y229" s="10"/>
      <c r="Z229" s="10"/>
      <c r="AA229" s="10"/>
      <c r="AB229" s="10"/>
      <c r="AC229" s="10"/>
      <c r="AD229" s="10"/>
      <c r="AE229" s="10"/>
      <c r="AF229" s="10"/>
      <c r="AG229" s="44"/>
      <c r="AH229" s="44"/>
      <c r="AI229" s="46" t="s">
        <v>6054</v>
      </c>
      <c r="AJ229" s="44" t="s">
        <v>6052</v>
      </c>
      <c r="AK229" s="44" t="s">
        <v>6052</v>
      </c>
      <c r="AL229" s="44" t="s">
        <v>6052</v>
      </c>
      <c r="AM229" s="44" t="s">
        <v>6052</v>
      </c>
      <c r="AN229" s="44" t="s">
        <v>32379</v>
      </c>
      <c r="AO229" s="45">
        <v>11</v>
      </c>
      <c r="AP229" s="45">
        <v>1</v>
      </c>
      <c r="AQ229" s="45">
        <v>0</v>
      </c>
      <c r="AR229" s="45">
        <v>0</v>
      </c>
      <c r="AS229" s="45">
        <v>0</v>
      </c>
      <c r="AT229" s="45">
        <v>0</v>
      </c>
      <c r="AU229" s="10" t="s">
        <v>6052</v>
      </c>
      <c r="AV229" s="10" t="s">
        <v>6052</v>
      </c>
      <c r="AW229" s="10" t="s">
        <v>6052</v>
      </c>
      <c r="AX229" s="10" t="s">
        <v>6052</v>
      </c>
      <c r="AY229" s="10" t="s">
        <v>32253</v>
      </c>
      <c r="AZ229" s="44" t="s">
        <v>33117</v>
      </c>
      <c r="BA229" s="44" t="s">
        <v>30877</v>
      </c>
      <c r="BB229" s="44" t="s">
        <v>31258</v>
      </c>
      <c r="BC229" s="44" t="s">
        <v>6227</v>
      </c>
      <c r="BD229" s="44" t="s">
        <v>31727</v>
      </c>
      <c r="BE229" s="11">
        <v>1</v>
      </c>
      <c r="BF229" s="11">
        <v>0</v>
      </c>
      <c r="BG229" s="11">
        <v>0</v>
      </c>
      <c r="BH229" s="10" t="s">
        <v>32162</v>
      </c>
      <c r="BI229" s="11">
        <v>100</v>
      </c>
      <c r="BJ229" s="10" t="s">
        <v>33162</v>
      </c>
      <c r="BK229" s="11" t="s">
        <v>33162</v>
      </c>
    </row>
    <row r="230" spans="1:63" x14ac:dyDescent="0.75">
      <c r="A230" t="s">
        <v>2964</v>
      </c>
      <c r="B230" t="s">
        <v>104</v>
      </c>
      <c r="C230" t="s">
        <v>2965</v>
      </c>
      <c r="D230" t="s">
        <v>2966</v>
      </c>
      <c r="E230" s="22" t="s">
        <v>19326</v>
      </c>
      <c r="F230" t="s">
        <v>2967</v>
      </c>
      <c r="G230" s="1" t="str">
        <f>HYPERLINK("https://homd.org/jbrowse/?data=homd_V11.02_phage_1.2%2FGCA_015259835.1&amp;loc=GCA_015259835.1%7CJABZXR010000050.1%3A8399..15625&amp;tracks=prokka,prokka_ncrna,ncbi,ncbi_ncrna,panggolin,cenote,genomad&amp;highlight=","Open JBrowse")</f>
        <v>Open JBrowse</v>
      </c>
      <c r="H230" s="10">
        <v>11399</v>
      </c>
      <c r="I230" s="10">
        <v>12625</v>
      </c>
      <c r="J230" s="10" t="s">
        <v>2968</v>
      </c>
      <c r="K230" s="10" t="s">
        <v>541</v>
      </c>
      <c r="L230" s="10" t="s">
        <v>2969</v>
      </c>
      <c r="M230" s="10" t="s">
        <v>2970</v>
      </c>
      <c r="N230" s="10" t="s">
        <v>59</v>
      </c>
      <c r="O230" s="10">
        <v>2</v>
      </c>
      <c r="P230" s="10" t="s">
        <v>42</v>
      </c>
      <c r="Q230" s="10" t="s">
        <v>101</v>
      </c>
      <c r="R230" s="10" t="s">
        <v>2971</v>
      </c>
      <c r="S230" s="10" t="s">
        <v>2969</v>
      </c>
      <c r="T230" s="10" t="s">
        <v>42</v>
      </c>
      <c r="U230" s="10">
        <v>47</v>
      </c>
      <c r="V230" s="10">
        <v>324</v>
      </c>
      <c r="W230" s="10">
        <v>278</v>
      </c>
      <c r="X230" s="10" t="s">
        <v>545</v>
      </c>
      <c r="Y230" s="10"/>
      <c r="Z230" s="10"/>
      <c r="AA230" s="10"/>
      <c r="AB230" s="10"/>
      <c r="AC230" s="10"/>
      <c r="AD230" s="10"/>
      <c r="AE230" s="10"/>
      <c r="AF230" s="10"/>
      <c r="AG230" s="44"/>
      <c r="AH230" s="44"/>
      <c r="AI230" s="46" t="s">
        <v>6054</v>
      </c>
      <c r="AJ230" s="44" t="s">
        <v>6052</v>
      </c>
      <c r="AK230" s="44" t="s">
        <v>6052</v>
      </c>
      <c r="AL230" s="44" t="s">
        <v>6052</v>
      </c>
      <c r="AM230" s="44" t="s">
        <v>6052</v>
      </c>
      <c r="AN230" s="44" t="s">
        <v>32861</v>
      </c>
      <c r="AO230" s="45">
        <v>11</v>
      </c>
      <c r="AP230" s="45">
        <v>1</v>
      </c>
      <c r="AQ230" s="45">
        <v>0</v>
      </c>
      <c r="AR230" s="45">
        <v>0</v>
      </c>
      <c r="AS230" s="45">
        <v>0</v>
      </c>
      <c r="AT230" s="45">
        <v>0</v>
      </c>
      <c r="AU230" s="10" t="s">
        <v>6052</v>
      </c>
      <c r="AV230" s="10" t="s">
        <v>6052</v>
      </c>
      <c r="AW230" s="10" t="s">
        <v>6052</v>
      </c>
      <c r="AX230" s="10" t="s">
        <v>6052</v>
      </c>
      <c r="AY230" s="10" t="s">
        <v>32253</v>
      </c>
      <c r="AZ230" s="44" t="s">
        <v>33117</v>
      </c>
      <c r="BA230" s="44" t="s">
        <v>31053</v>
      </c>
      <c r="BB230" s="44" t="s">
        <v>31537</v>
      </c>
      <c r="BC230" s="44" t="s">
        <v>6227</v>
      </c>
      <c r="BD230" s="44" t="s">
        <v>31727</v>
      </c>
      <c r="BE230" s="11">
        <v>1</v>
      </c>
      <c r="BF230" s="11">
        <v>0</v>
      </c>
      <c r="BG230" s="11">
        <v>0</v>
      </c>
      <c r="BH230" s="10" t="s">
        <v>33162</v>
      </c>
      <c r="BI230" s="11" t="s">
        <v>33162</v>
      </c>
      <c r="BJ230" s="10" t="s">
        <v>33162</v>
      </c>
      <c r="BK230" s="11" t="s">
        <v>33162</v>
      </c>
    </row>
    <row r="231" spans="1:63" x14ac:dyDescent="0.75">
      <c r="A231" t="s">
        <v>1020</v>
      </c>
      <c r="B231" t="s">
        <v>104</v>
      </c>
      <c r="C231" t="s">
        <v>1021</v>
      </c>
      <c r="D231" t="s">
        <v>1022</v>
      </c>
      <c r="E231" s="22" t="s">
        <v>9589</v>
      </c>
      <c r="F231" t="s">
        <v>1023</v>
      </c>
      <c r="G231" s="1" t="str">
        <f>HYPERLINK("https://homd.org/jbrowse/?data=homd_V11.02_phage_1.2%2FGCA_000429245.1&amp;loc=GCA_000429245.1%7CKE386870.1%3A294133..301512&amp;tracks=prokka,prokka_ncrna,ncbi,ncbi_ncrna,panggolin,cenote,genomad&amp;highlight=","Open JBrowse")</f>
        <v>Open JBrowse</v>
      </c>
      <c r="H231" s="10">
        <v>297133</v>
      </c>
      <c r="I231" s="10">
        <v>298512</v>
      </c>
      <c r="J231" s="10" t="s">
        <v>1024</v>
      </c>
      <c r="K231" s="10" t="s">
        <v>375</v>
      </c>
      <c r="L231" s="10" t="s">
        <v>1025</v>
      </c>
      <c r="M231" s="10" t="s">
        <v>1026</v>
      </c>
      <c r="N231" s="10" t="s">
        <v>42</v>
      </c>
      <c r="O231" s="10">
        <v>3</v>
      </c>
      <c r="P231" s="10" t="s">
        <v>42</v>
      </c>
      <c r="Q231" s="10" t="s">
        <v>101</v>
      </c>
      <c r="R231" s="10" t="s">
        <v>1027</v>
      </c>
      <c r="S231" s="10" t="s">
        <v>1025</v>
      </c>
      <c r="T231" s="10" t="s">
        <v>42</v>
      </c>
      <c r="U231" s="10">
        <v>48</v>
      </c>
      <c r="V231" s="10">
        <v>301</v>
      </c>
      <c r="W231" s="10">
        <v>254</v>
      </c>
      <c r="X231" s="10" t="s">
        <v>379</v>
      </c>
      <c r="Y231" s="10"/>
      <c r="Z231" s="10"/>
      <c r="AA231" s="10"/>
      <c r="AB231" s="10"/>
      <c r="AC231" s="10"/>
      <c r="AD231" s="10"/>
      <c r="AE231" s="10"/>
      <c r="AF231" s="10"/>
      <c r="AG231" s="44"/>
      <c r="AH231" s="44"/>
      <c r="AI231" s="46" t="s">
        <v>6054</v>
      </c>
      <c r="AJ231" s="44" t="s">
        <v>6052</v>
      </c>
      <c r="AK231" s="44" t="s">
        <v>6052</v>
      </c>
      <c r="AL231" s="44" t="s">
        <v>6052</v>
      </c>
      <c r="AM231" s="44" t="s">
        <v>6052</v>
      </c>
      <c r="AN231" s="44" t="s">
        <v>32630</v>
      </c>
      <c r="AO231" s="45">
        <v>11</v>
      </c>
      <c r="AP231" s="45">
        <v>1</v>
      </c>
      <c r="AQ231" s="45">
        <v>0</v>
      </c>
      <c r="AR231" s="45">
        <v>0</v>
      </c>
      <c r="AS231" s="45">
        <v>0</v>
      </c>
      <c r="AT231" s="45">
        <v>0</v>
      </c>
      <c r="AU231" s="10" t="s">
        <v>6052</v>
      </c>
      <c r="AV231" s="10" t="s">
        <v>6052</v>
      </c>
      <c r="AW231" s="10" t="s">
        <v>6052</v>
      </c>
      <c r="AX231" s="10" t="s">
        <v>6052</v>
      </c>
      <c r="AY231" s="10" t="s">
        <v>32253</v>
      </c>
      <c r="AZ231" s="44" t="s">
        <v>33117</v>
      </c>
      <c r="BA231" s="44" t="s">
        <v>30946</v>
      </c>
      <c r="BB231" s="44" t="s">
        <v>31384</v>
      </c>
      <c r="BC231" s="44" t="s">
        <v>6696</v>
      </c>
      <c r="BD231" s="44" t="s">
        <v>31714</v>
      </c>
      <c r="BE231" s="11">
        <v>1</v>
      </c>
      <c r="BF231" s="11">
        <v>0</v>
      </c>
      <c r="BG231" s="11">
        <v>0</v>
      </c>
      <c r="BH231" s="10" t="s">
        <v>32003</v>
      </c>
      <c r="BI231" s="11">
        <v>100</v>
      </c>
      <c r="BJ231" s="10" t="s">
        <v>33162</v>
      </c>
      <c r="BK231" s="11" t="s">
        <v>33162</v>
      </c>
    </row>
    <row r="232" spans="1:63" x14ac:dyDescent="0.75">
      <c r="A232" t="s">
        <v>5488</v>
      </c>
      <c r="B232" t="s">
        <v>104</v>
      </c>
      <c r="C232" t="s">
        <v>2200</v>
      </c>
      <c r="D232" t="s">
        <v>2201</v>
      </c>
      <c r="E232" s="22" t="s">
        <v>30844</v>
      </c>
      <c r="F232" t="s">
        <v>5489</v>
      </c>
      <c r="G232" s="1" t="str">
        <f>HYPERLINK("https://homd.org/jbrowse/?data=homd_V11.02_phage_1.2%2FGCA_905373025.1&amp;loc=GCA_905373025.1%7CCAJPRI010000033.1%3A10943..18304&amp;tracks=prokka,prokka_ncrna,ncbi,ncbi_ncrna,panggolin,cenote,genomad&amp;highlight=","Open JBrowse")</f>
        <v>Open JBrowse</v>
      </c>
      <c r="H232" s="10">
        <v>13943</v>
      </c>
      <c r="I232" s="10">
        <v>15304</v>
      </c>
      <c r="J232" s="10" t="s">
        <v>5490</v>
      </c>
      <c r="K232" s="10" t="s">
        <v>375</v>
      </c>
      <c r="L232" s="10" t="s">
        <v>1025</v>
      </c>
      <c r="M232" s="10" t="s">
        <v>1026</v>
      </c>
      <c r="N232" s="10" t="s">
        <v>42</v>
      </c>
      <c r="O232" s="10">
        <v>3</v>
      </c>
      <c r="P232" s="10" t="s">
        <v>42</v>
      </c>
      <c r="Q232" s="10" t="s">
        <v>101</v>
      </c>
      <c r="R232" s="10" t="s">
        <v>5491</v>
      </c>
      <c r="S232" s="10" t="s">
        <v>1025</v>
      </c>
      <c r="T232" s="10" t="s">
        <v>42</v>
      </c>
      <c r="U232" s="10">
        <v>48</v>
      </c>
      <c r="V232" s="10">
        <v>301</v>
      </c>
      <c r="W232" s="10">
        <v>254</v>
      </c>
      <c r="X232" s="10" t="s">
        <v>379</v>
      </c>
      <c r="Y232" s="10"/>
      <c r="Z232" s="10"/>
      <c r="AA232" s="10"/>
      <c r="AB232" s="10"/>
      <c r="AC232" s="10"/>
      <c r="AD232" s="10"/>
      <c r="AE232" s="10"/>
      <c r="AF232" s="10"/>
      <c r="AG232" s="44"/>
      <c r="AH232" s="44"/>
      <c r="AI232" s="46" t="s">
        <v>6054</v>
      </c>
      <c r="AJ232" s="44" t="s">
        <v>6052</v>
      </c>
      <c r="AK232" s="44" t="s">
        <v>6052</v>
      </c>
      <c r="AL232" s="44" t="s">
        <v>6052</v>
      </c>
      <c r="AM232" s="44" t="s">
        <v>6052</v>
      </c>
      <c r="AN232" s="44" t="s">
        <v>32368</v>
      </c>
      <c r="AO232" s="45">
        <v>11</v>
      </c>
      <c r="AP232" s="45">
        <v>1</v>
      </c>
      <c r="AQ232" s="45">
        <v>0</v>
      </c>
      <c r="AR232" s="45">
        <v>0</v>
      </c>
      <c r="AS232" s="45">
        <v>0</v>
      </c>
      <c r="AT232" s="45">
        <v>0</v>
      </c>
      <c r="AU232" s="10" t="s">
        <v>6052</v>
      </c>
      <c r="AV232" s="10" t="s">
        <v>6052</v>
      </c>
      <c r="AW232" s="10" t="s">
        <v>6052</v>
      </c>
      <c r="AX232" s="10" t="s">
        <v>6052</v>
      </c>
      <c r="AY232" s="10" t="s">
        <v>32253</v>
      </c>
      <c r="AZ232" s="44" t="s">
        <v>33117</v>
      </c>
      <c r="BA232" s="44" t="s">
        <v>30874</v>
      </c>
      <c r="BB232" s="44" t="s">
        <v>31249</v>
      </c>
      <c r="BC232" s="44" t="s">
        <v>6696</v>
      </c>
      <c r="BD232" s="44" t="s">
        <v>31714</v>
      </c>
      <c r="BE232" s="11">
        <v>1</v>
      </c>
      <c r="BF232" s="11">
        <v>0</v>
      </c>
      <c r="BG232" s="11">
        <v>0</v>
      </c>
      <c r="BH232" s="10" t="s">
        <v>32079</v>
      </c>
      <c r="BI232" s="11">
        <v>100</v>
      </c>
      <c r="BJ232" s="10" t="s">
        <v>33162</v>
      </c>
      <c r="BK232" s="11" t="s">
        <v>33162</v>
      </c>
    </row>
    <row r="233" spans="1:63" x14ac:dyDescent="0.75">
      <c r="A233" t="s">
        <v>5755</v>
      </c>
      <c r="B233" t="s">
        <v>104</v>
      </c>
      <c r="C233" t="s">
        <v>2200</v>
      </c>
      <c r="D233" t="s">
        <v>2201</v>
      </c>
      <c r="E233" s="22" t="s">
        <v>30844</v>
      </c>
      <c r="F233" t="s">
        <v>5756</v>
      </c>
      <c r="G233" s="1" t="str">
        <f>HYPERLINK("https://homd.org/jbrowse/?data=homd_V11.02_phage_1.2%2FGCA_937922695.1&amp;loc=GCA_937922695.1%7CCALAIK010000104.1%3A1..5120&amp;tracks=prokka,prokka_ncrna,ncbi,ncbi_ncrna,panggolin,cenote,genomad&amp;highlight=","Open JBrowse")</f>
        <v>Open JBrowse</v>
      </c>
      <c r="H233" s="10">
        <v>759</v>
      </c>
      <c r="I233" s="10">
        <v>2120</v>
      </c>
      <c r="J233" s="10" t="s">
        <v>5757</v>
      </c>
      <c r="K233" s="10" t="s">
        <v>375</v>
      </c>
      <c r="L233" s="10" t="s">
        <v>1025</v>
      </c>
      <c r="M233" s="10" t="s">
        <v>1026</v>
      </c>
      <c r="N233" s="10" t="s">
        <v>42</v>
      </c>
      <c r="O233" s="10">
        <v>3</v>
      </c>
      <c r="P233" s="10" t="s">
        <v>42</v>
      </c>
      <c r="Q233" s="10" t="s">
        <v>101</v>
      </c>
      <c r="R233" s="10" t="s">
        <v>5758</v>
      </c>
      <c r="S233" s="10" t="s">
        <v>1025</v>
      </c>
      <c r="T233" s="10" t="s">
        <v>42</v>
      </c>
      <c r="U233" s="10">
        <v>48</v>
      </c>
      <c r="V233" s="10">
        <v>301</v>
      </c>
      <c r="W233" s="10">
        <v>254</v>
      </c>
      <c r="X233" s="10" t="s">
        <v>379</v>
      </c>
      <c r="Y233" s="10"/>
      <c r="Z233" s="10"/>
      <c r="AA233" s="10"/>
      <c r="AB233" s="10"/>
      <c r="AC233" s="10"/>
      <c r="AD233" s="10"/>
      <c r="AE233" s="10"/>
      <c r="AF233" s="10"/>
      <c r="AG233" s="44"/>
      <c r="AH233" s="44"/>
      <c r="AI233" s="46" t="s">
        <v>6054</v>
      </c>
      <c r="AJ233" s="44" t="s">
        <v>6052</v>
      </c>
      <c r="AK233" s="44" t="s">
        <v>6052</v>
      </c>
      <c r="AL233" s="44" t="s">
        <v>6052</v>
      </c>
      <c r="AM233" s="44" t="s">
        <v>6052</v>
      </c>
      <c r="AN233" s="44" t="s">
        <v>32369</v>
      </c>
      <c r="AO233" s="45">
        <v>11</v>
      </c>
      <c r="AP233" s="45">
        <v>1</v>
      </c>
      <c r="AQ233" s="45">
        <v>0</v>
      </c>
      <c r="AR233" s="45">
        <v>0</v>
      </c>
      <c r="AS233" s="45">
        <v>0</v>
      </c>
      <c r="AT233" s="45">
        <v>0</v>
      </c>
      <c r="AU233" s="10" t="s">
        <v>6052</v>
      </c>
      <c r="AV233" s="10" t="s">
        <v>6052</v>
      </c>
      <c r="AW233" s="10" t="s">
        <v>6052</v>
      </c>
      <c r="AX233" s="10" t="s">
        <v>6052</v>
      </c>
      <c r="AY233" s="10" t="s">
        <v>32253</v>
      </c>
      <c r="AZ233" s="44" t="s">
        <v>33117</v>
      </c>
      <c r="BA233" s="44" t="s">
        <v>30874</v>
      </c>
      <c r="BB233" s="44" t="s">
        <v>31250</v>
      </c>
      <c r="BC233" s="44" t="s">
        <v>6696</v>
      </c>
      <c r="BD233" s="44" t="s">
        <v>31714</v>
      </c>
      <c r="BE233" s="11">
        <v>1</v>
      </c>
      <c r="BF233" s="11">
        <v>0</v>
      </c>
      <c r="BG233" s="11">
        <v>0</v>
      </c>
      <c r="BH233" s="10" t="s">
        <v>32080</v>
      </c>
      <c r="BI233" s="11">
        <v>100</v>
      </c>
      <c r="BJ233" s="10" t="s">
        <v>33162</v>
      </c>
      <c r="BK233" s="11" t="s">
        <v>33162</v>
      </c>
    </row>
    <row r="234" spans="1:63" x14ac:dyDescent="0.75">
      <c r="A234" t="s">
        <v>5327</v>
      </c>
      <c r="B234" t="s">
        <v>104</v>
      </c>
      <c r="C234" t="s">
        <v>746</v>
      </c>
      <c r="D234" t="s">
        <v>747</v>
      </c>
      <c r="E234" s="22" t="s">
        <v>28282</v>
      </c>
      <c r="F234" t="s">
        <v>5328</v>
      </c>
      <c r="G234" s="1" t="str">
        <f>HYPERLINK("https://homd.org/jbrowse/?data=homd_V11.02_phage_1.2%2FGCA_902374745.1&amp;loc=GCA_902374745.1%7CCABKRD010000010.1%3A79736..87511&amp;tracks=prokka,prokka_ncrna,ncbi,ncbi_ncrna,panggolin,cenote,genomad&amp;highlight=","Open JBrowse")</f>
        <v>Open JBrowse</v>
      </c>
      <c r="H234" s="10">
        <v>82736</v>
      </c>
      <c r="I234" s="10">
        <v>84511</v>
      </c>
      <c r="J234" s="10" t="s">
        <v>5329</v>
      </c>
      <c r="K234" s="10" t="s">
        <v>541</v>
      </c>
      <c r="L234" s="10" t="s">
        <v>750</v>
      </c>
      <c r="M234" s="10" t="s">
        <v>751</v>
      </c>
      <c r="N234" s="10" t="s">
        <v>59</v>
      </c>
      <c r="O234" s="10">
        <v>2</v>
      </c>
      <c r="P234" s="10" t="s">
        <v>42</v>
      </c>
      <c r="Q234" s="10" t="s">
        <v>101</v>
      </c>
      <c r="R234" s="10" t="s">
        <v>5330</v>
      </c>
      <c r="S234" s="10" t="s">
        <v>750</v>
      </c>
      <c r="T234" s="10" t="s">
        <v>42</v>
      </c>
      <c r="U234" s="10">
        <v>59</v>
      </c>
      <c r="V234" s="10">
        <v>334</v>
      </c>
      <c r="W234" s="10">
        <v>276</v>
      </c>
      <c r="X234" s="10" t="s">
        <v>545</v>
      </c>
      <c r="Y234" s="10" t="s">
        <v>5331</v>
      </c>
      <c r="Z234" s="10" t="s">
        <v>90</v>
      </c>
      <c r="AA234" s="10" t="s">
        <v>754</v>
      </c>
      <c r="AB234" s="10"/>
      <c r="AC234" s="10"/>
      <c r="AD234" s="10"/>
      <c r="AE234" s="10"/>
      <c r="AF234" s="10"/>
      <c r="AG234" s="44"/>
      <c r="AH234" s="44"/>
      <c r="AI234" s="44" t="s">
        <v>6052</v>
      </c>
      <c r="AJ234" s="44" t="s">
        <v>6052</v>
      </c>
      <c r="AK234" s="44" t="s">
        <v>6052</v>
      </c>
      <c r="AL234" s="44" t="s">
        <v>6052</v>
      </c>
      <c r="AM234" s="44" t="s">
        <v>6052</v>
      </c>
      <c r="AN234" s="44" t="s">
        <v>32911</v>
      </c>
      <c r="AO234" s="45">
        <v>11</v>
      </c>
      <c r="AP234" s="45">
        <v>1</v>
      </c>
      <c r="AQ234" s="45">
        <v>0</v>
      </c>
      <c r="AR234" s="45">
        <v>0</v>
      </c>
      <c r="AS234" s="45">
        <v>0</v>
      </c>
      <c r="AT234" s="45">
        <v>0</v>
      </c>
      <c r="AU234" s="10" t="s">
        <v>6052</v>
      </c>
      <c r="AV234" s="10" t="s">
        <v>6052</v>
      </c>
      <c r="AW234" s="10" t="s">
        <v>6052</v>
      </c>
      <c r="AX234" s="10" t="s">
        <v>6052</v>
      </c>
      <c r="AY234" s="10" t="s">
        <v>32253</v>
      </c>
      <c r="AZ234" s="44" t="s">
        <v>33117</v>
      </c>
      <c r="BA234" s="44" t="s">
        <v>31073</v>
      </c>
      <c r="BB234" s="44" t="s">
        <v>31570</v>
      </c>
      <c r="BC234" s="44" t="s">
        <v>6696</v>
      </c>
      <c r="BD234" s="44" t="s">
        <v>31714</v>
      </c>
      <c r="BE234" s="11">
        <v>1</v>
      </c>
      <c r="BF234" s="11">
        <v>0</v>
      </c>
      <c r="BG234" s="11">
        <v>0</v>
      </c>
      <c r="BH234" s="10" t="s">
        <v>32206</v>
      </c>
      <c r="BI234" s="11">
        <v>100</v>
      </c>
      <c r="BJ234" s="10" t="s">
        <v>33162</v>
      </c>
      <c r="BK234" s="11" t="s">
        <v>33162</v>
      </c>
    </row>
    <row r="235" spans="1:63" x14ac:dyDescent="0.75">
      <c r="A235" t="s">
        <v>745</v>
      </c>
      <c r="B235" t="s">
        <v>104</v>
      </c>
      <c r="C235" t="s">
        <v>746</v>
      </c>
      <c r="D235" t="s">
        <v>747</v>
      </c>
      <c r="E235" s="22" t="s">
        <v>8906</v>
      </c>
      <c r="F235" t="s">
        <v>748</v>
      </c>
      <c r="G235" s="1" t="str">
        <f>HYPERLINK("https://homd.org/jbrowse/?data=homd_V11.02_phage_1.2%2FGCA_000308055.1&amp;loc=GCA_000308055.1%7CCAGY01000001.1%3A79736..87511&amp;tracks=prokka,prokka_ncrna,ncbi,ncbi_ncrna,panggolin,cenote,genomad&amp;highlight=","Open JBrowse")</f>
        <v>Open JBrowse</v>
      </c>
      <c r="H235" s="10">
        <v>82736</v>
      </c>
      <c r="I235" s="10">
        <v>84511</v>
      </c>
      <c r="J235" s="10" t="s">
        <v>749</v>
      </c>
      <c r="K235" s="10" t="s">
        <v>541</v>
      </c>
      <c r="L235" s="10" t="s">
        <v>750</v>
      </c>
      <c r="M235" s="10" t="s">
        <v>751</v>
      </c>
      <c r="N235" s="10" t="s">
        <v>59</v>
      </c>
      <c r="O235" s="10">
        <v>2</v>
      </c>
      <c r="P235" s="10" t="s">
        <v>42</v>
      </c>
      <c r="Q235" s="10" t="s">
        <v>101</v>
      </c>
      <c r="R235" s="10" t="s">
        <v>752</v>
      </c>
      <c r="S235" s="10" t="s">
        <v>750</v>
      </c>
      <c r="T235" s="10" t="s">
        <v>42</v>
      </c>
      <c r="U235" s="10">
        <v>59</v>
      </c>
      <c r="V235" s="10">
        <v>334</v>
      </c>
      <c r="W235" s="10">
        <v>276</v>
      </c>
      <c r="X235" s="10" t="s">
        <v>545</v>
      </c>
      <c r="Y235" s="10" t="s">
        <v>753</v>
      </c>
      <c r="Z235" s="10" t="s">
        <v>47</v>
      </c>
      <c r="AA235" s="10" t="s">
        <v>754</v>
      </c>
      <c r="AB235" s="10"/>
      <c r="AC235" s="10"/>
      <c r="AD235" s="10"/>
      <c r="AE235" s="10"/>
      <c r="AF235" s="10"/>
      <c r="AG235" s="44"/>
      <c r="AH235" s="44"/>
      <c r="AI235" s="44" t="s">
        <v>6052</v>
      </c>
      <c r="AJ235" s="44" t="s">
        <v>6052</v>
      </c>
      <c r="AK235" s="44" t="s">
        <v>6052</v>
      </c>
      <c r="AL235" s="44" t="s">
        <v>6052</v>
      </c>
      <c r="AM235" s="44" t="s">
        <v>6052</v>
      </c>
      <c r="AN235" s="44" t="s">
        <v>32992</v>
      </c>
      <c r="AO235" s="45">
        <v>11</v>
      </c>
      <c r="AP235" s="45">
        <v>1</v>
      </c>
      <c r="AQ235" s="45">
        <v>0</v>
      </c>
      <c r="AR235" s="45">
        <v>0</v>
      </c>
      <c r="AS235" s="45">
        <v>0</v>
      </c>
      <c r="AT235" s="45">
        <v>0</v>
      </c>
      <c r="AU235" s="10" t="s">
        <v>6052</v>
      </c>
      <c r="AV235" s="10" t="s">
        <v>6052</v>
      </c>
      <c r="AW235" s="10" t="s">
        <v>6052</v>
      </c>
      <c r="AX235" s="10" t="s">
        <v>6052</v>
      </c>
      <c r="AY235" s="10" t="s">
        <v>32253</v>
      </c>
      <c r="AZ235" s="44" t="s">
        <v>33117</v>
      </c>
      <c r="BA235" s="44" t="s">
        <v>31101</v>
      </c>
      <c r="BB235" s="44" t="s">
        <v>31616</v>
      </c>
      <c r="BC235" s="44" t="s">
        <v>6696</v>
      </c>
      <c r="BD235" s="44" t="s">
        <v>31714</v>
      </c>
      <c r="BE235" s="11">
        <v>1</v>
      </c>
      <c r="BF235" s="11">
        <v>0</v>
      </c>
      <c r="BG235" s="11">
        <v>0</v>
      </c>
      <c r="BH235" s="10" t="s">
        <v>32207</v>
      </c>
      <c r="BI235" s="11">
        <v>100</v>
      </c>
      <c r="BJ235" s="10" t="s">
        <v>33162</v>
      </c>
      <c r="BK235" s="11" t="s">
        <v>33162</v>
      </c>
    </row>
    <row r="236" spans="1:63" x14ac:dyDescent="0.75">
      <c r="A236" t="s">
        <v>5568</v>
      </c>
      <c r="B236" t="s">
        <v>104</v>
      </c>
      <c r="C236" t="s">
        <v>746</v>
      </c>
      <c r="D236" t="s">
        <v>747</v>
      </c>
      <c r="E236" s="22" t="s">
        <v>30844</v>
      </c>
      <c r="F236" t="s">
        <v>5569</v>
      </c>
      <c r="G236" s="1" t="str">
        <f>HYPERLINK("https://homd.org/jbrowse/?data=homd_V11.02_phage_1.2%2FGCA_916048355.1&amp;loc=GCA_916048355.1%7CCAJZHS010000062.1%3A1..7487&amp;tracks=prokka,prokka_ncrna,ncbi,ncbi_ncrna,panggolin,cenote,genomad&amp;highlight=","Open JBrowse")</f>
        <v>Open JBrowse</v>
      </c>
      <c r="H236" s="10">
        <v>2712</v>
      </c>
      <c r="I236" s="10">
        <v>4487</v>
      </c>
      <c r="J236" s="10" t="s">
        <v>5570</v>
      </c>
      <c r="K236" s="10" t="s">
        <v>541</v>
      </c>
      <c r="L236" s="10" t="s">
        <v>750</v>
      </c>
      <c r="M236" s="10" t="s">
        <v>751</v>
      </c>
      <c r="N236" s="10" t="s">
        <v>59</v>
      </c>
      <c r="O236" s="10">
        <v>2</v>
      </c>
      <c r="P236" s="10" t="s">
        <v>42</v>
      </c>
      <c r="Q236" s="10" t="s">
        <v>101</v>
      </c>
      <c r="R236" s="10" t="s">
        <v>5571</v>
      </c>
      <c r="S236" s="10" t="s">
        <v>750</v>
      </c>
      <c r="T236" s="10" t="s">
        <v>42</v>
      </c>
      <c r="U236" s="10">
        <v>59</v>
      </c>
      <c r="V236" s="10">
        <v>334</v>
      </c>
      <c r="W236" s="10">
        <v>276</v>
      </c>
      <c r="X236" s="10" t="s">
        <v>545</v>
      </c>
      <c r="Y236" s="10" t="s">
        <v>5572</v>
      </c>
      <c r="Z236" s="10" t="s">
        <v>620</v>
      </c>
      <c r="AA236" s="10" t="s">
        <v>851</v>
      </c>
      <c r="AB236" s="10"/>
      <c r="AC236" s="10"/>
      <c r="AD236" s="10"/>
      <c r="AE236" s="10"/>
      <c r="AF236" s="10"/>
      <c r="AG236" s="44"/>
      <c r="AH236" s="44"/>
      <c r="AI236" s="44" t="s">
        <v>6052</v>
      </c>
      <c r="AJ236" s="44" t="s">
        <v>6052</v>
      </c>
      <c r="AK236" s="44" t="s">
        <v>6052</v>
      </c>
      <c r="AL236" s="44" t="s">
        <v>6052</v>
      </c>
      <c r="AM236" s="44" t="s">
        <v>6052</v>
      </c>
      <c r="AN236" s="44" t="s">
        <v>32304</v>
      </c>
      <c r="AO236" s="45">
        <v>11</v>
      </c>
      <c r="AP236" s="45">
        <v>1</v>
      </c>
      <c r="AQ236" s="45">
        <v>0</v>
      </c>
      <c r="AR236" s="45">
        <v>0</v>
      </c>
      <c r="AS236" s="45">
        <v>0</v>
      </c>
      <c r="AT236" s="45">
        <v>0</v>
      </c>
      <c r="AU236" s="10" t="s">
        <v>6052</v>
      </c>
      <c r="AV236" s="10" t="s">
        <v>6052</v>
      </c>
      <c r="AW236" s="10" t="s">
        <v>6052</v>
      </c>
      <c r="AX236" s="10" t="s">
        <v>6052</v>
      </c>
      <c r="AY236" s="10" t="s">
        <v>32253</v>
      </c>
      <c r="AZ236" s="44" t="s">
        <v>33117</v>
      </c>
      <c r="BA236" s="44" t="s">
        <v>30853</v>
      </c>
      <c r="BB236" s="44" t="s">
        <v>31196</v>
      </c>
      <c r="BC236" s="44" t="s">
        <v>6696</v>
      </c>
      <c r="BD236" s="44" t="s">
        <v>31714</v>
      </c>
      <c r="BE236" s="11">
        <v>1</v>
      </c>
      <c r="BF236" s="11">
        <v>0</v>
      </c>
      <c r="BG236" s="11">
        <v>0</v>
      </c>
      <c r="BH236" s="10" t="s">
        <v>32203</v>
      </c>
      <c r="BI236" s="11">
        <v>100</v>
      </c>
      <c r="BJ236" s="10" t="s">
        <v>33162</v>
      </c>
      <c r="BK236" s="11" t="s">
        <v>33162</v>
      </c>
    </row>
    <row r="237" spans="1:63" x14ac:dyDescent="0.75">
      <c r="A237" t="s">
        <v>5740</v>
      </c>
      <c r="B237" t="s">
        <v>104</v>
      </c>
      <c r="C237" t="s">
        <v>746</v>
      </c>
      <c r="D237" t="s">
        <v>747</v>
      </c>
      <c r="E237" s="22" t="s">
        <v>30844</v>
      </c>
      <c r="F237" t="s">
        <v>5741</v>
      </c>
      <c r="G237" s="1" t="str">
        <f>HYPERLINK("https://homd.org/jbrowse/?data=homd_V11.02_phage_1.2%2FGCA_937910295.1&amp;loc=GCA_937910295.1%7CCALENC010000074.1%3A50855..58630&amp;tracks=prokka,prokka_ncrna,ncbi,ncbi_ncrna,panggolin,cenote,genomad&amp;highlight=","Open JBrowse")</f>
        <v>Open JBrowse</v>
      </c>
      <c r="H237" s="10">
        <v>53855</v>
      </c>
      <c r="I237" s="10">
        <v>55630</v>
      </c>
      <c r="J237" s="10" t="s">
        <v>5742</v>
      </c>
      <c r="K237" s="10" t="s">
        <v>541</v>
      </c>
      <c r="L237" s="10" t="s">
        <v>750</v>
      </c>
      <c r="M237" s="10" t="s">
        <v>751</v>
      </c>
      <c r="N237" s="10" t="s">
        <v>59</v>
      </c>
      <c r="O237" s="10">
        <v>2</v>
      </c>
      <c r="P237" s="10" t="s">
        <v>42</v>
      </c>
      <c r="Q237" s="10" t="s">
        <v>101</v>
      </c>
      <c r="R237" s="10" t="s">
        <v>5743</v>
      </c>
      <c r="S237" s="10" t="s">
        <v>750</v>
      </c>
      <c r="T237" s="10" t="s">
        <v>42</v>
      </c>
      <c r="U237" s="10">
        <v>59</v>
      </c>
      <c r="V237" s="10">
        <v>334</v>
      </c>
      <c r="W237" s="10">
        <v>276</v>
      </c>
      <c r="X237" s="10" t="s">
        <v>545</v>
      </c>
      <c r="Y237" s="10" t="s">
        <v>5744</v>
      </c>
      <c r="Z237" s="10" t="s">
        <v>302</v>
      </c>
      <c r="AA237" s="10" t="s">
        <v>851</v>
      </c>
      <c r="AB237" s="10"/>
      <c r="AC237" s="10"/>
      <c r="AD237" s="10"/>
      <c r="AE237" s="10"/>
      <c r="AF237" s="10"/>
      <c r="AG237" s="44"/>
      <c r="AH237" s="44"/>
      <c r="AI237" s="44" t="s">
        <v>6052</v>
      </c>
      <c r="AJ237" s="44" t="s">
        <v>6052</v>
      </c>
      <c r="AK237" s="44" t="s">
        <v>6052</v>
      </c>
      <c r="AL237" s="44" t="s">
        <v>6052</v>
      </c>
      <c r="AM237" s="44" t="s">
        <v>6052</v>
      </c>
      <c r="AN237" s="44" t="s">
        <v>32277</v>
      </c>
      <c r="AO237" s="45">
        <v>11</v>
      </c>
      <c r="AP237" s="45">
        <v>1</v>
      </c>
      <c r="AQ237" s="45">
        <v>0</v>
      </c>
      <c r="AR237" s="45">
        <v>0</v>
      </c>
      <c r="AS237" s="45">
        <v>0</v>
      </c>
      <c r="AT237" s="45">
        <v>0</v>
      </c>
      <c r="AU237" s="10" t="s">
        <v>6052</v>
      </c>
      <c r="AV237" s="10" t="s">
        <v>6052</v>
      </c>
      <c r="AW237" s="10" t="s">
        <v>6052</v>
      </c>
      <c r="AX237" s="10" t="s">
        <v>6052</v>
      </c>
      <c r="AY237" s="10" t="s">
        <v>32253</v>
      </c>
      <c r="AZ237" s="44" t="s">
        <v>33117</v>
      </c>
      <c r="BA237" s="44" t="s">
        <v>30853</v>
      </c>
      <c r="BB237" s="44" t="s">
        <v>31172</v>
      </c>
      <c r="BC237" s="44" t="s">
        <v>6696</v>
      </c>
      <c r="BD237" s="44" t="s">
        <v>31714</v>
      </c>
      <c r="BE237" s="11">
        <v>1</v>
      </c>
      <c r="BF237" s="11">
        <v>0</v>
      </c>
      <c r="BG237" s="11">
        <v>0</v>
      </c>
      <c r="BH237" s="10" t="s">
        <v>32201</v>
      </c>
      <c r="BI237" s="11">
        <v>100</v>
      </c>
      <c r="BJ237" s="10" t="s">
        <v>33162</v>
      </c>
      <c r="BK237" s="11" t="s">
        <v>33162</v>
      </c>
    </row>
    <row r="238" spans="1:63" x14ac:dyDescent="0.75">
      <c r="A238" t="s">
        <v>1415</v>
      </c>
      <c r="B238" t="s">
        <v>104</v>
      </c>
      <c r="C238" t="s">
        <v>746</v>
      </c>
      <c r="D238" t="s">
        <v>747</v>
      </c>
      <c r="E238" s="22" t="s">
        <v>11232</v>
      </c>
      <c r="F238" t="s">
        <v>1416</v>
      </c>
      <c r="G238" s="1" t="str">
        <f>HYPERLINK("https://homd.org/jbrowse/?data=homd_V11.02_phage_1.2%2FGCA_001070095.1&amp;loc=GCA_001070095.1%7CJWDF01000007.1%3A83042..90817&amp;tracks=prokka,prokka_ncrna,ncbi,ncbi_ncrna,panggolin,cenote,genomad&amp;highlight=","Open JBrowse")</f>
        <v>Open JBrowse</v>
      </c>
      <c r="H238" s="10">
        <v>86042</v>
      </c>
      <c r="I238" s="10">
        <v>87817</v>
      </c>
      <c r="J238" s="10" t="s">
        <v>1417</v>
      </c>
      <c r="K238" s="10" t="s">
        <v>541</v>
      </c>
      <c r="L238" s="10" t="s">
        <v>750</v>
      </c>
      <c r="M238" s="10" t="s">
        <v>751</v>
      </c>
      <c r="N238" s="10" t="s">
        <v>59</v>
      </c>
      <c r="O238" s="10">
        <v>2</v>
      </c>
      <c r="P238" s="10" t="s">
        <v>42</v>
      </c>
      <c r="Q238" s="10" t="s">
        <v>101</v>
      </c>
      <c r="R238" s="10" t="s">
        <v>1418</v>
      </c>
      <c r="S238" s="10" t="s">
        <v>750</v>
      </c>
      <c r="T238" s="10" t="s">
        <v>42</v>
      </c>
      <c r="U238" s="10">
        <v>59</v>
      </c>
      <c r="V238" s="10">
        <v>334</v>
      </c>
      <c r="W238" s="10">
        <v>276</v>
      </c>
      <c r="X238" s="10" t="s">
        <v>545</v>
      </c>
      <c r="Y238" s="10" t="s">
        <v>1419</v>
      </c>
      <c r="Z238" s="10" t="s">
        <v>1334</v>
      </c>
      <c r="AA238" s="10" t="s">
        <v>851</v>
      </c>
      <c r="AB238" s="10"/>
      <c r="AC238" s="10"/>
      <c r="AD238" s="10"/>
      <c r="AE238" s="10"/>
      <c r="AF238" s="10"/>
      <c r="AG238" s="44"/>
      <c r="AH238" s="44"/>
      <c r="AI238" s="44" t="s">
        <v>6052</v>
      </c>
      <c r="AJ238" s="44" t="s">
        <v>6052</v>
      </c>
      <c r="AK238" s="44" t="s">
        <v>6052</v>
      </c>
      <c r="AL238" s="44" t="s">
        <v>6052</v>
      </c>
      <c r="AM238" s="44" t="s">
        <v>6052</v>
      </c>
      <c r="AN238" s="44" t="s">
        <v>32475</v>
      </c>
      <c r="AO238" s="45">
        <v>11</v>
      </c>
      <c r="AP238" s="45">
        <v>1</v>
      </c>
      <c r="AQ238" s="45">
        <v>0</v>
      </c>
      <c r="AR238" s="45">
        <v>0</v>
      </c>
      <c r="AS238" s="45">
        <v>0</v>
      </c>
      <c r="AT238" s="45">
        <v>0</v>
      </c>
      <c r="AU238" s="10" t="s">
        <v>6052</v>
      </c>
      <c r="AV238" s="10" t="s">
        <v>6052</v>
      </c>
      <c r="AW238" s="10" t="s">
        <v>6052</v>
      </c>
      <c r="AX238" s="10" t="s">
        <v>6052</v>
      </c>
      <c r="AY238" s="10" t="s">
        <v>32253</v>
      </c>
      <c r="AZ238" s="44" t="s">
        <v>33117</v>
      </c>
      <c r="BA238" s="44" t="s">
        <v>30882</v>
      </c>
      <c r="BB238" s="44" t="s">
        <v>31290</v>
      </c>
      <c r="BC238" s="44" t="s">
        <v>6696</v>
      </c>
      <c r="BD238" s="44" t="s">
        <v>31714</v>
      </c>
      <c r="BE238" s="11">
        <v>1</v>
      </c>
      <c r="BF238" s="11">
        <v>0</v>
      </c>
      <c r="BG238" s="11">
        <v>0</v>
      </c>
      <c r="BH238" s="10" t="s">
        <v>32209</v>
      </c>
      <c r="BI238" s="11">
        <v>100</v>
      </c>
      <c r="BJ238" s="10" t="s">
        <v>33162</v>
      </c>
      <c r="BK238" s="11" t="s">
        <v>33162</v>
      </c>
    </row>
    <row r="239" spans="1:63" x14ac:dyDescent="0.75">
      <c r="A239" t="s">
        <v>5345</v>
      </c>
      <c r="B239" t="s">
        <v>104</v>
      </c>
      <c r="C239" t="s">
        <v>241</v>
      </c>
      <c r="D239" t="s">
        <v>242</v>
      </c>
      <c r="E239" s="22" t="s">
        <v>28453</v>
      </c>
      <c r="F239" t="s">
        <v>5346</v>
      </c>
      <c r="G239" s="1" t="str">
        <f>HYPERLINK("https://homd.org/jbrowse/?data=homd_V11.02_phage_1.2%2FGCA_902461075.1&amp;loc=GCA_902461075.1%7CCABPVU010000002.1%3A144208..150870&amp;tracks=prokka,prokka_ncrna,ncbi,ncbi_ncrna,panggolin,cenote,genomad&amp;highlight=","Open JBrowse")</f>
        <v>Open JBrowse</v>
      </c>
      <c r="H239" s="10">
        <v>147208</v>
      </c>
      <c r="I239" s="10">
        <v>147870</v>
      </c>
      <c r="J239" s="10" t="s">
        <v>5347</v>
      </c>
      <c r="K239" s="10" t="s">
        <v>59</v>
      </c>
      <c r="L239" s="10" t="s">
        <v>256</v>
      </c>
      <c r="M239" s="10" t="s">
        <v>257</v>
      </c>
      <c r="N239" s="10" t="s">
        <v>59</v>
      </c>
      <c r="O239" s="10">
        <v>2</v>
      </c>
      <c r="P239" s="10" t="s">
        <v>42</v>
      </c>
      <c r="Q239" s="10" t="s">
        <v>59</v>
      </c>
      <c r="R239" s="10" t="s">
        <v>5348</v>
      </c>
      <c r="S239" s="10" t="s">
        <v>256</v>
      </c>
      <c r="T239" s="10" t="s">
        <v>42</v>
      </c>
      <c r="U239" s="10">
        <v>3</v>
      </c>
      <c r="V239" s="10">
        <v>214</v>
      </c>
      <c r="W239" s="10">
        <v>212</v>
      </c>
      <c r="X239" s="10" t="s">
        <v>258</v>
      </c>
      <c r="Y239" s="10" t="s">
        <v>5349</v>
      </c>
      <c r="Z239" s="10" t="s">
        <v>586</v>
      </c>
      <c r="AA239" s="10" t="s">
        <v>5350</v>
      </c>
      <c r="AB239" s="10" t="s">
        <v>5351</v>
      </c>
      <c r="AC239" s="10"/>
      <c r="AD239" s="10"/>
      <c r="AE239" s="10"/>
      <c r="AF239" s="10"/>
      <c r="AG239" s="44" t="s">
        <v>263</v>
      </c>
      <c r="AH239" s="44">
        <v>2</v>
      </c>
      <c r="AI239" s="44" t="s">
        <v>6052</v>
      </c>
      <c r="AJ239" s="44" t="s">
        <v>6052</v>
      </c>
      <c r="AK239" s="44" t="s">
        <v>6052</v>
      </c>
      <c r="AL239" s="44" t="s">
        <v>6052</v>
      </c>
      <c r="AM239" s="44" t="s">
        <v>6052</v>
      </c>
      <c r="AN239" s="44" t="s">
        <v>32907</v>
      </c>
      <c r="AO239" s="45">
        <v>11</v>
      </c>
      <c r="AP239" s="45">
        <v>1</v>
      </c>
      <c r="AQ239" s="45">
        <v>0</v>
      </c>
      <c r="AR239" s="45">
        <v>0</v>
      </c>
      <c r="AS239" s="45">
        <v>0</v>
      </c>
      <c r="AT239" s="45">
        <v>0</v>
      </c>
      <c r="AU239" s="10" t="s">
        <v>6052</v>
      </c>
      <c r="AV239" s="10" t="s">
        <v>6052</v>
      </c>
      <c r="AW239" s="10" t="s">
        <v>6052</v>
      </c>
      <c r="AX239" s="10" t="s">
        <v>6052</v>
      </c>
      <c r="AY239" s="10" t="s">
        <v>32253</v>
      </c>
      <c r="AZ239" s="44" t="s">
        <v>33110</v>
      </c>
      <c r="BA239" s="44" t="s">
        <v>31072</v>
      </c>
      <c r="BB239" s="44" t="s">
        <v>31568</v>
      </c>
      <c r="BC239" s="44" t="s">
        <v>6564</v>
      </c>
      <c r="BD239" s="44" t="s">
        <v>31710</v>
      </c>
      <c r="BE239" s="11">
        <v>1</v>
      </c>
      <c r="BF239" s="11">
        <v>0</v>
      </c>
      <c r="BG239" s="11">
        <v>0</v>
      </c>
      <c r="BH239" s="10" t="s">
        <v>32231</v>
      </c>
      <c r="BI239" s="11">
        <v>100</v>
      </c>
      <c r="BJ239" s="10" t="s">
        <v>33162</v>
      </c>
      <c r="BK239" s="11" t="s">
        <v>33162</v>
      </c>
    </row>
    <row r="240" spans="1:63" x14ac:dyDescent="0.75">
      <c r="A240" t="s">
        <v>5839</v>
      </c>
      <c r="B240" t="s">
        <v>104</v>
      </c>
      <c r="C240" t="s">
        <v>241</v>
      </c>
      <c r="D240" t="s">
        <v>242</v>
      </c>
      <c r="E240" s="22" t="s">
        <v>30844</v>
      </c>
      <c r="F240" t="s">
        <v>5840</v>
      </c>
      <c r="G240" s="1" t="str">
        <f>HYPERLINK("https://homd.org/jbrowse/?data=homd_V11.02_phage_1.2%2FGCA_938016215.1&amp;loc=GCA_938016215.1%7CCALLWX010000003.1%3A170392..177054&amp;tracks=prokka,prokka_ncrna,ncbi,ncbi_ncrna,panggolin,cenote,genomad&amp;highlight=","Open JBrowse")</f>
        <v>Open JBrowse</v>
      </c>
      <c r="H240" s="10">
        <v>173392</v>
      </c>
      <c r="I240" s="10">
        <v>174054</v>
      </c>
      <c r="J240" s="10" t="s">
        <v>5841</v>
      </c>
      <c r="K240" s="10" t="s">
        <v>59</v>
      </c>
      <c r="L240" s="10" t="s">
        <v>256</v>
      </c>
      <c r="M240" s="10" t="s">
        <v>257</v>
      </c>
      <c r="N240" s="10" t="s">
        <v>59</v>
      </c>
      <c r="O240" s="10">
        <v>2</v>
      </c>
      <c r="P240" s="10" t="s">
        <v>42</v>
      </c>
      <c r="Q240" s="10" t="s">
        <v>59</v>
      </c>
      <c r="R240" s="10" t="s">
        <v>5842</v>
      </c>
      <c r="S240" s="10" t="s">
        <v>256</v>
      </c>
      <c r="T240" s="10" t="s">
        <v>42</v>
      </c>
      <c r="U240" s="10">
        <v>3</v>
      </c>
      <c r="V240" s="10">
        <v>214</v>
      </c>
      <c r="W240" s="10">
        <v>212</v>
      </c>
      <c r="X240" s="10" t="s">
        <v>258</v>
      </c>
      <c r="Y240" s="10" t="s">
        <v>5843</v>
      </c>
      <c r="Z240" s="10" t="s">
        <v>1463</v>
      </c>
      <c r="AA240" s="10" t="s">
        <v>3628</v>
      </c>
      <c r="AB240" s="10" t="s">
        <v>5844</v>
      </c>
      <c r="AC240" s="10"/>
      <c r="AD240" s="10"/>
      <c r="AE240" s="10"/>
      <c r="AF240" s="10"/>
      <c r="AG240" s="44" t="s">
        <v>263</v>
      </c>
      <c r="AH240" s="44">
        <v>2</v>
      </c>
      <c r="AI240" s="44" t="s">
        <v>6052</v>
      </c>
      <c r="AJ240" s="44" t="s">
        <v>6052</v>
      </c>
      <c r="AK240" s="44" t="s">
        <v>6052</v>
      </c>
      <c r="AL240" s="44" t="s">
        <v>6052</v>
      </c>
      <c r="AM240" s="44" t="s">
        <v>6052</v>
      </c>
      <c r="AN240" s="44" t="s">
        <v>32342</v>
      </c>
      <c r="AO240" s="45">
        <v>11</v>
      </c>
      <c r="AP240" s="45">
        <v>1</v>
      </c>
      <c r="AQ240" s="45">
        <v>0</v>
      </c>
      <c r="AR240" s="45">
        <v>0</v>
      </c>
      <c r="AS240" s="45">
        <v>0</v>
      </c>
      <c r="AT240" s="45">
        <v>0</v>
      </c>
      <c r="AU240" s="10" t="s">
        <v>6052</v>
      </c>
      <c r="AV240" s="10" t="s">
        <v>6052</v>
      </c>
      <c r="AW240" s="10" t="s">
        <v>6052</v>
      </c>
      <c r="AX240" s="10" t="s">
        <v>6052</v>
      </c>
      <c r="AY240" s="10" t="s">
        <v>32253</v>
      </c>
      <c r="AZ240" s="44" t="s">
        <v>33110</v>
      </c>
      <c r="BA240" s="44" t="s">
        <v>30870</v>
      </c>
      <c r="BB240" s="44" t="s">
        <v>31227</v>
      </c>
      <c r="BC240" s="44" t="s">
        <v>6564</v>
      </c>
      <c r="BD240" s="44" t="s">
        <v>31710</v>
      </c>
      <c r="BE240" s="11">
        <v>1</v>
      </c>
      <c r="BF240" s="11">
        <v>0</v>
      </c>
      <c r="BG240" s="11">
        <v>0</v>
      </c>
      <c r="BH240" s="10" t="s">
        <v>32226</v>
      </c>
      <c r="BI240" s="11">
        <v>100</v>
      </c>
      <c r="BJ240" s="10" t="s">
        <v>33162</v>
      </c>
      <c r="BK240" s="11" t="s">
        <v>33162</v>
      </c>
    </row>
    <row r="241" spans="1:63" x14ac:dyDescent="0.75">
      <c r="A241" t="s">
        <v>6035</v>
      </c>
      <c r="B241" t="s">
        <v>104</v>
      </c>
      <c r="C241" t="s">
        <v>241</v>
      </c>
      <c r="D241" t="s">
        <v>242</v>
      </c>
      <c r="E241" s="22" t="s">
        <v>30844</v>
      </c>
      <c r="F241" t="s">
        <v>6041</v>
      </c>
      <c r="G241" s="1" t="str">
        <f>HYPERLINK("https://homd.org/jbrowse/?data=homd_V11.02_phage_1.2%2FGCA_959023205.1&amp;loc=GCA_959023205.1%7CCAUFBI010000030.1%3A8187..14849&amp;tracks=prokka,prokka_ncrna,ncbi,ncbi_ncrna,panggolin,cenote,genomad&amp;highlight=","Open JBrowse")</f>
        <v>Open JBrowse</v>
      </c>
      <c r="H241" s="10">
        <v>11187</v>
      </c>
      <c r="I241" s="10">
        <v>11849</v>
      </c>
      <c r="J241" s="10" t="s">
        <v>6042</v>
      </c>
      <c r="K241" s="10" t="s">
        <v>59</v>
      </c>
      <c r="L241" s="10" t="s">
        <v>256</v>
      </c>
      <c r="M241" s="10" t="s">
        <v>257</v>
      </c>
      <c r="N241" s="10" t="s">
        <v>59</v>
      </c>
      <c r="O241" s="10">
        <v>2</v>
      </c>
      <c r="P241" s="10" t="s">
        <v>42</v>
      </c>
      <c r="Q241" s="10" t="s">
        <v>59</v>
      </c>
      <c r="R241" s="10" t="s">
        <v>6038</v>
      </c>
      <c r="S241" s="10" t="s">
        <v>256</v>
      </c>
      <c r="T241" s="10" t="s">
        <v>42</v>
      </c>
      <c r="U241" s="10">
        <v>3</v>
      </c>
      <c r="V241" s="10">
        <v>214</v>
      </c>
      <c r="W241" s="10">
        <v>212</v>
      </c>
      <c r="X241" s="10" t="s">
        <v>258</v>
      </c>
      <c r="Y241" s="10"/>
      <c r="Z241" s="10"/>
      <c r="AA241" s="10"/>
      <c r="AB241" s="10"/>
      <c r="AC241" s="10"/>
      <c r="AD241" s="10"/>
      <c r="AE241" s="10"/>
      <c r="AF241" s="10"/>
      <c r="AG241" s="44"/>
      <c r="AH241" s="44"/>
      <c r="AI241" s="46" t="s">
        <v>6054</v>
      </c>
      <c r="AJ241" s="44" t="s">
        <v>6052</v>
      </c>
      <c r="AK241" s="44" t="s">
        <v>6052</v>
      </c>
      <c r="AL241" s="44" t="s">
        <v>6052</v>
      </c>
      <c r="AM241" s="44" t="s">
        <v>6052</v>
      </c>
      <c r="AN241" s="44" t="s">
        <v>32349</v>
      </c>
      <c r="AO241" s="45">
        <v>11</v>
      </c>
      <c r="AP241" s="45">
        <v>1</v>
      </c>
      <c r="AQ241" s="45">
        <v>0</v>
      </c>
      <c r="AR241" s="45">
        <v>0</v>
      </c>
      <c r="AS241" s="45">
        <v>0</v>
      </c>
      <c r="AT241" s="45">
        <v>0</v>
      </c>
      <c r="AU241" s="10" t="s">
        <v>6052</v>
      </c>
      <c r="AV241" s="10" t="s">
        <v>6052</v>
      </c>
      <c r="AW241" s="10" t="s">
        <v>6052</v>
      </c>
      <c r="AX241" s="10" t="s">
        <v>6052</v>
      </c>
      <c r="AY241" s="10" t="s">
        <v>32253</v>
      </c>
      <c r="AZ241" s="44" t="s">
        <v>33110</v>
      </c>
      <c r="BA241" s="44" t="s">
        <v>30870</v>
      </c>
      <c r="BB241" s="44" t="s">
        <v>31234</v>
      </c>
      <c r="BC241" s="44" t="s">
        <v>6564</v>
      </c>
      <c r="BD241" s="44" t="s">
        <v>31710</v>
      </c>
      <c r="BE241" s="11">
        <v>1</v>
      </c>
      <c r="BF241" s="11">
        <v>0</v>
      </c>
      <c r="BG241" s="11">
        <v>0</v>
      </c>
      <c r="BH241" s="10" t="s">
        <v>32234</v>
      </c>
      <c r="BI241" s="11">
        <v>100</v>
      </c>
      <c r="BJ241" s="10" t="s">
        <v>33162</v>
      </c>
      <c r="BK241" s="11" t="s">
        <v>33162</v>
      </c>
    </row>
    <row r="242" spans="1:63" x14ac:dyDescent="0.75">
      <c r="A242" t="s">
        <v>4897</v>
      </c>
      <c r="B242" t="s">
        <v>104</v>
      </c>
      <c r="C242" t="s">
        <v>241</v>
      </c>
      <c r="D242" t="s">
        <v>242</v>
      </c>
      <c r="E242" s="22" t="s">
        <v>24729</v>
      </c>
      <c r="F242" t="s">
        <v>4903</v>
      </c>
      <c r="G242" s="1" t="str">
        <f>HYPERLINK("https://homd.org/jbrowse/?data=homd_V11.02_phage_1.2%2FGCA_027696975.1&amp;loc=GCA_027696975.1%7CJAQETA010000007.1%3A57160..63822&amp;tracks=prokka,prokka_ncrna,ncbi,ncbi_ncrna,panggolin,cenote,genomad&amp;highlight=","Open JBrowse")</f>
        <v>Open JBrowse</v>
      </c>
      <c r="H242" s="10">
        <v>60160</v>
      </c>
      <c r="I242" s="10">
        <v>60822</v>
      </c>
      <c r="J242" s="10" t="s">
        <v>4904</v>
      </c>
      <c r="K242" s="10" t="s">
        <v>59</v>
      </c>
      <c r="L242" s="10" t="s">
        <v>256</v>
      </c>
      <c r="M242" s="10" t="s">
        <v>257</v>
      </c>
      <c r="N242" s="10" t="s">
        <v>59</v>
      </c>
      <c r="O242" s="10">
        <v>2</v>
      </c>
      <c r="P242" s="10" t="s">
        <v>42</v>
      </c>
      <c r="Q242" s="10" t="s">
        <v>59</v>
      </c>
      <c r="R242" s="10" t="s">
        <v>4900</v>
      </c>
      <c r="S242" s="10" t="s">
        <v>256</v>
      </c>
      <c r="T242" s="10" t="s">
        <v>42</v>
      </c>
      <c r="U242" s="10">
        <v>3</v>
      </c>
      <c r="V242" s="10">
        <v>214</v>
      </c>
      <c r="W242" s="10">
        <v>212</v>
      </c>
      <c r="X242" s="10" t="s">
        <v>258</v>
      </c>
      <c r="Y242" s="10" t="s">
        <v>4905</v>
      </c>
      <c r="Z242" s="10" t="s">
        <v>870</v>
      </c>
      <c r="AA242" s="10" t="s">
        <v>4906</v>
      </c>
      <c r="AB242" s="10"/>
      <c r="AC242" s="10"/>
      <c r="AD242" s="10"/>
      <c r="AE242" s="10"/>
      <c r="AF242" s="10"/>
      <c r="AG242" s="44"/>
      <c r="AH242" s="44"/>
      <c r="AI242" s="44" t="s">
        <v>6052</v>
      </c>
      <c r="AJ242" s="44" t="s">
        <v>6052</v>
      </c>
      <c r="AK242" s="44" t="s">
        <v>6052</v>
      </c>
      <c r="AL242" s="44" t="s">
        <v>6052</v>
      </c>
      <c r="AM242" s="44" t="s">
        <v>6052</v>
      </c>
      <c r="AN242" s="44" t="s">
        <v>32582</v>
      </c>
      <c r="AO242" s="45">
        <v>11</v>
      </c>
      <c r="AP242" s="45">
        <v>1</v>
      </c>
      <c r="AQ242" s="45">
        <v>0</v>
      </c>
      <c r="AR242" s="45">
        <v>0</v>
      </c>
      <c r="AS242" s="45">
        <v>0</v>
      </c>
      <c r="AT242" s="45">
        <v>0</v>
      </c>
      <c r="AU242" s="10" t="s">
        <v>6052</v>
      </c>
      <c r="AV242" s="10" t="s">
        <v>6052</v>
      </c>
      <c r="AW242" s="10" t="s">
        <v>6052</v>
      </c>
      <c r="AX242" s="10" t="s">
        <v>6052</v>
      </c>
      <c r="AY242" s="10" t="s">
        <v>32253</v>
      </c>
      <c r="AZ242" s="44" t="s">
        <v>33110</v>
      </c>
      <c r="BA242" s="44" t="s">
        <v>30922</v>
      </c>
      <c r="BB242" s="44" t="s">
        <v>31354</v>
      </c>
      <c r="BC242" s="44" t="s">
        <v>6564</v>
      </c>
      <c r="BD242" s="44" t="s">
        <v>31710</v>
      </c>
      <c r="BE242" s="11">
        <v>1</v>
      </c>
      <c r="BF242" s="11">
        <v>0</v>
      </c>
      <c r="BG242" s="11">
        <v>0</v>
      </c>
      <c r="BH242" s="10" t="s">
        <v>32227</v>
      </c>
      <c r="BI242" s="11">
        <v>100</v>
      </c>
      <c r="BJ242" s="10" t="s">
        <v>33162</v>
      </c>
      <c r="BK242" s="11" t="s">
        <v>33162</v>
      </c>
    </row>
    <row r="243" spans="1:63" x14ac:dyDescent="0.75">
      <c r="A243" t="s">
        <v>4886</v>
      </c>
      <c r="B243" t="s">
        <v>104</v>
      </c>
      <c r="C243" t="s">
        <v>241</v>
      </c>
      <c r="D243" t="s">
        <v>242</v>
      </c>
      <c r="E243" s="22" t="s">
        <v>24727</v>
      </c>
      <c r="F243" t="s">
        <v>4892</v>
      </c>
      <c r="G243" s="1" t="str">
        <f>HYPERLINK("https://homd.org/jbrowse/?data=homd_V11.02_phage_1.2%2FGCA_027696905.1&amp;loc=GCA_027696905.1%7CJAQETB010000007.1%3A110914..117576&amp;tracks=prokka,prokka_ncrna,ncbi,ncbi_ncrna,panggolin,cenote,genomad&amp;highlight=","Open JBrowse")</f>
        <v>Open JBrowse</v>
      </c>
      <c r="H243" s="10">
        <v>113914</v>
      </c>
      <c r="I243" s="10">
        <v>114576</v>
      </c>
      <c r="J243" s="10" t="s">
        <v>4893</v>
      </c>
      <c r="K243" s="10" t="s">
        <v>59</v>
      </c>
      <c r="L243" s="10" t="s">
        <v>256</v>
      </c>
      <c r="M243" s="10" t="s">
        <v>257</v>
      </c>
      <c r="N243" s="10" t="s">
        <v>59</v>
      </c>
      <c r="O243" s="10">
        <v>2</v>
      </c>
      <c r="P243" s="10" t="s">
        <v>42</v>
      </c>
      <c r="Q243" s="10" t="s">
        <v>59</v>
      </c>
      <c r="R243" s="10" t="s">
        <v>4889</v>
      </c>
      <c r="S243" s="10" t="s">
        <v>256</v>
      </c>
      <c r="T243" s="10" t="s">
        <v>42</v>
      </c>
      <c r="U243" s="10">
        <v>3</v>
      </c>
      <c r="V243" s="10">
        <v>214</v>
      </c>
      <c r="W243" s="10">
        <v>212</v>
      </c>
      <c r="X243" s="10" t="s">
        <v>258</v>
      </c>
      <c r="Y243" s="10" t="s">
        <v>4894</v>
      </c>
      <c r="Z243" s="10" t="s">
        <v>1710</v>
      </c>
      <c r="AA243" s="10" t="s">
        <v>4895</v>
      </c>
      <c r="AB243" s="10" t="s">
        <v>4896</v>
      </c>
      <c r="AC243" s="10"/>
      <c r="AD243" s="10"/>
      <c r="AE243" s="10"/>
      <c r="AF243" s="10"/>
      <c r="AG243" s="44" t="s">
        <v>263</v>
      </c>
      <c r="AH243" s="44">
        <v>2</v>
      </c>
      <c r="AI243" s="44" t="s">
        <v>6052</v>
      </c>
      <c r="AJ243" s="44" t="s">
        <v>6052</v>
      </c>
      <c r="AK243" s="44" t="s">
        <v>6052</v>
      </c>
      <c r="AL243" s="44" t="s">
        <v>6052</v>
      </c>
      <c r="AM243" s="44" t="s">
        <v>6052</v>
      </c>
      <c r="AN243" s="44" t="s">
        <v>32586</v>
      </c>
      <c r="AO243" s="45">
        <v>11</v>
      </c>
      <c r="AP243" s="45">
        <v>1</v>
      </c>
      <c r="AQ243" s="45">
        <v>0</v>
      </c>
      <c r="AR243" s="45">
        <v>0</v>
      </c>
      <c r="AS243" s="45">
        <v>0</v>
      </c>
      <c r="AT243" s="45">
        <v>0</v>
      </c>
      <c r="AU243" s="10" t="s">
        <v>6052</v>
      </c>
      <c r="AV243" s="10" t="s">
        <v>6052</v>
      </c>
      <c r="AW243" s="10" t="s">
        <v>6052</v>
      </c>
      <c r="AX243" s="10" t="s">
        <v>6052</v>
      </c>
      <c r="AY243" s="10" t="s">
        <v>32253</v>
      </c>
      <c r="AZ243" s="44" t="s">
        <v>33110</v>
      </c>
      <c r="BA243" s="44" t="s">
        <v>30923</v>
      </c>
      <c r="BB243" s="44" t="s">
        <v>31356</v>
      </c>
      <c r="BC243" s="44" t="s">
        <v>6564</v>
      </c>
      <c r="BD243" s="44" t="s">
        <v>31710</v>
      </c>
      <c r="BE243" s="11">
        <v>1</v>
      </c>
      <c r="BF243" s="11">
        <v>0</v>
      </c>
      <c r="BG243" s="11">
        <v>0</v>
      </c>
      <c r="BH243" s="10" t="s">
        <v>32228</v>
      </c>
      <c r="BI243" s="11">
        <v>100</v>
      </c>
      <c r="BJ243" s="10" t="s">
        <v>33162</v>
      </c>
      <c r="BK243" s="11" t="s">
        <v>33162</v>
      </c>
    </row>
    <row r="244" spans="1:63" x14ac:dyDescent="0.75">
      <c r="A244" t="s">
        <v>4819</v>
      </c>
      <c r="B244" t="s">
        <v>104</v>
      </c>
      <c r="C244" t="s">
        <v>371</v>
      </c>
      <c r="D244" t="s">
        <v>372</v>
      </c>
      <c r="E244" s="22" t="s">
        <v>24606</v>
      </c>
      <c r="F244" t="s">
        <v>4823</v>
      </c>
      <c r="G244" s="1" t="str">
        <f>HYPERLINK("https://homd.org/jbrowse/?data=homd_V11.02_phage_1.2%2FGCA_027663695.1&amp;loc=GCA_027663695.1%7CJAQDHM010000012.1%3A1..5748&amp;tracks=prokka,prokka_ncrna,ncbi,ncbi_ncrna,panggolin,cenote,genomad&amp;highlight=","Open JBrowse")</f>
        <v>Open JBrowse</v>
      </c>
      <c r="H244" s="10">
        <v>1594</v>
      </c>
      <c r="I244" s="10">
        <v>2748</v>
      </c>
      <c r="J244" s="10" t="s">
        <v>4824</v>
      </c>
      <c r="K244" s="10" t="s">
        <v>375</v>
      </c>
      <c r="L244" s="10" t="s">
        <v>534</v>
      </c>
      <c r="M244" s="10" t="s">
        <v>535</v>
      </c>
      <c r="N244" s="10" t="s">
        <v>42</v>
      </c>
      <c r="O244" s="10">
        <v>3</v>
      </c>
      <c r="P244" s="10" t="s">
        <v>42</v>
      </c>
      <c r="Q244" s="10" t="s">
        <v>101</v>
      </c>
      <c r="R244" s="10" t="s">
        <v>4822</v>
      </c>
      <c r="S244" s="10" t="s">
        <v>534</v>
      </c>
      <c r="T244" s="10" t="s">
        <v>42</v>
      </c>
      <c r="U244" s="10">
        <v>62</v>
      </c>
      <c r="V244" s="10">
        <v>343</v>
      </c>
      <c r="W244" s="10">
        <v>282</v>
      </c>
      <c r="X244" s="10" t="s">
        <v>379</v>
      </c>
      <c r="Y244" s="10"/>
      <c r="Z244" s="10"/>
      <c r="AA244" s="10"/>
      <c r="AB244" s="10"/>
      <c r="AC244" s="10"/>
      <c r="AD244" s="10"/>
      <c r="AE244" s="10"/>
      <c r="AF244" s="10"/>
      <c r="AG244" s="44"/>
      <c r="AH244" s="44"/>
      <c r="AI244" s="46" t="s">
        <v>6054</v>
      </c>
      <c r="AJ244" s="44" t="s">
        <v>6052</v>
      </c>
      <c r="AK244" s="44" t="s">
        <v>6052</v>
      </c>
      <c r="AL244" s="44" t="s">
        <v>6052</v>
      </c>
      <c r="AM244" s="44" t="s">
        <v>6052</v>
      </c>
      <c r="AN244" s="44" t="s">
        <v>32518</v>
      </c>
      <c r="AO244" s="45">
        <v>11</v>
      </c>
      <c r="AP244" s="45">
        <v>1</v>
      </c>
      <c r="AQ244" s="45">
        <v>0</v>
      </c>
      <c r="AR244" s="45">
        <v>0</v>
      </c>
      <c r="AS244" s="45">
        <v>0</v>
      </c>
      <c r="AT244" s="45">
        <v>0</v>
      </c>
      <c r="AU244" s="10" t="s">
        <v>6052</v>
      </c>
      <c r="AV244" s="10" t="s">
        <v>6052</v>
      </c>
      <c r="AW244" s="10" t="s">
        <v>6052</v>
      </c>
      <c r="AX244" s="10" t="s">
        <v>6052</v>
      </c>
      <c r="AY244" s="10" t="s">
        <v>32253</v>
      </c>
      <c r="AZ244" s="44" t="s">
        <v>33117</v>
      </c>
      <c r="BA244" s="44" t="s">
        <v>30895</v>
      </c>
      <c r="BB244" s="44" t="s">
        <v>31313</v>
      </c>
      <c r="BC244" s="44" t="s">
        <v>6093</v>
      </c>
      <c r="BD244" s="44" t="s">
        <v>31713</v>
      </c>
      <c r="BE244" s="11">
        <v>1</v>
      </c>
      <c r="BF244" s="11">
        <v>0</v>
      </c>
      <c r="BG244" s="11">
        <v>0</v>
      </c>
      <c r="BH244" s="10" t="s">
        <v>33162</v>
      </c>
      <c r="BI244" s="11" t="s">
        <v>33162</v>
      </c>
      <c r="BJ244" s="10" t="s">
        <v>33162</v>
      </c>
      <c r="BK244" s="11" t="s">
        <v>33162</v>
      </c>
    </row>
    <row r="245" spans="1:63" x14ac:dyDescent="0.75">
      <c r="A245" t="s">
        <v>5993</v>
      </c>
      <c r="B245" t="s">
        <v>104</v>
      </c>
      <c r="C245" t="s">
        <v>783</v>
      </c>
      <c r="D245" t="s">
        <v>784</v>
      </c>
      <c r="E245" s="22" t="s">
        <v>30844</v>
      </c>
      <c r="F245" t="s">
        <v>5994</v>
      </c>
      <c r="G245" s="1" t="str">
        <f>HYPERLINK("https://homd.org/jbrowse/?data=homd_V11.02_phage_1.2%2FGCA_947097345.1&amp;loc=GCA_947097345.1%7CCAMURC010000032.1%3A8731..16590&amp;tracks=prokka,prokka_ncrna,ncbi,ncbi_ncrna,panggolin,cenote,genomad&amp;highlight=","Open JBrowse")</f>
        <v>Open JBrowse</v>
      </c>
      <c r="H245" s="10">
        <v>11731</v>
      </c>
      <c r="I245" s="10">
        <v>13590</v>
      </c>
      <c r="J245" s="10" t="s">
        <v>5995</v>
      </c>
      <c r="K245" s="10" t="s">
        <v>59</v>
      </c>
      <c r="L245" s="10" t="s">
        <v>787</v>
      </c>
      <c r="M245" s="10" t="s">
        <v>788</v>
      </c>
      <c r="N245" s="10" t="s">
        <v>59</v>
      </c>
      <c r="O245" s="10">
        <v>2</v>
      </c>
      <c r="P245" s="10" t="s">
        <v>42</v>
      </c>
      <c r="Q245" s="10" t="s">
        <v>59</v>
      </c>
      <c r="R245" s="10" t="s">
        <v>5996</v>
      </c>
      <c r="S245" s="10" t="s">
        <v>787</v>
      </c>
      <c r="T245" s="10" t="s">
        <v>42</v>
      </c>
      <c r="U245" s="10">
        <v>316</v>
      </c>
      <c r="V245" s="10">
        <v>551</v>
      </c>
      <c r="W245" s="10">
        <v>236</v>
      </c>
      <c r="X245" s="10" t="s">
        <v>160</v>
      </c>
      <c r="Y245" s="10"/>
      <c r="Z245" s="10"/>
      <c r="AA245" s="10"/>
      <c r="AB245" s="10"/>
      <c r="AC245" s="10"/>
      <c r="AD245" s="10"/>
      <c r="AE245" s="10"/>
      <c r="AF245" s="10"/>
      <c r="AG245" s="44"/>
      <c r="AH245" s="44"/>
      <c r="AI245" s="46" t="s">
        <v>6054</v>
      </c>
      <c r="AJ245" s="44" t="s">
        <v>6052</v>
      </c>
      <c r="AK245" s="44" t="s">
        <v>6052</v>
      </c>
      <c r="AL245" s="44" t="s">
        <v>6052</v>
      </c>
      <c r="AM245" s="44" t="s">
        <v>6052</v>
      </c>
      <c r="AN245" s="44" t="s">
        <v>32389</v>
      </c>
      <c r="AO245" s="45">
        <v>11</v>
      </c>
      <c r="AP245" s="45">
        <v>1</v>
      </c>
      <c r="AQ245" s="45">
        <v>0</v>
      </c>
      <c r="AR245" s="45">
        <v>1</v>
      </c>
      <c r="AS245" s="45">
        <v>0</v>
      </c>
      <c r="AT245" s="45">
        <v>0</v>
      </c>
      <c r="AU245" s="10" t="s">
        <v>6052</v>
      </c>
      <c r="AV245" s="10" t="s">
        <v>32390</v>
      </c>
      <c r="AW245" s="10" t="s">
        <v>6052</v>
      </c>
      <c r="AX245" s="10" t="s">
        <v>6052</v>
      </c>
      <c r="AY245" s="10" t="s">
        <v>32338</v>
      </c>
      <c r="AZ245" s="44" t="s">
        <v>33117</v>
      </c>
      <c r="BA245" s="44" t="s">
        <v>30862</v>
      </c>
      <c r="BB245" s="44" t="s">
        <v>31265</v>
      </c>
      <c r="BC245" s="44" t="s">
        <v>6851</v>
      </c>
      <c r="BD245" s="44" t="s">
        <v>31718</v>
      </c>
      <c r="BE245" s="11">
        <v>1</v>
      </c>
      <c r="BF245" s="11">
        <v>0</v>
      </c>
      <c r="BG245" s="11">
        <v>0</v>
      </c>
      <c r="BH245" s="10" t="s">
        <v>32172</v>
      </c>
      <c r="BI245" s="11">
        <v>100</v>
      </c>
      <c r="BJ245" s="10" t="s">
        <v>33162</v>
      </c>
      <c r="BK245" s="11" t="s">
        <v>33162</v>
      </c>
    </row>
    <row r="246" spans="1:63" x14ac:dyDescent="0.75">
      <c r="A246" t="s">
        <v>5061</v>
      </c>
      <c r="B246" t="s">
        <v>104</v>
      </c>
      <c r="C246" t="s">
        <v>5062</v>
      </c>
      <c r="D246" t="s">
        <v>784</v>
      </c>
      <c r="E246" s="22" t="s">
        <v>27128</v>
      </c>
      <c r="F246" t="s">
        <v>5063</v>
      </c>
      <c r="G246" s="1" t="str">
        <f>HYPERLINK("https://homd.org/jbrowse/?data=homd_V11.02_phage_1.2%2FGCA_900095835.1&amp;loc=GCA_900095835.1%7CLT608321.1%3A2136593..2144533&amp;tracks=prokka,prokka_ncrna,ncbi,ncbi_ncrna,panggolin,cenote,genomad&amp;highlight=","Open JBrowse")</f>
        <v>Open JBrowse</v>
      </c>
      <c r="H246" s="10">
        <v>2139593</v>
      </c>
      <c r="I246" s="10">
        <v>2141533</v>
      </c>
      <c r="J246" s="10" t="s">
        <v>5064</v>
      </c>
      <c r="K246" s="10" t="s">
        <v>59</v>
      </c>
      <c r="L246" s="10" t="s">
        <v>5065</v>
      </c>
      <c r="M246" s="10" t="s">
        <v>5066</v>
      </c>
      <c r="N246" s="10" t="s">
        <v>59</v>
      </c>
      <c r="O246" s="10">
        <v>2</v>
      </c>
      <c r="P246" s="10" t="s">
        <v>42</v>
      </c>
      <c r="Q246" s="10" t="s">
        <v>59</v>
      </c>
      <c r="R246" s="10" t="s">
        <v>5067</v>
      </c>
      <c r="S246" s="10" t="s">
        <v>5065</v>
      </c>
      <c r="T246" s="10" t="s">
        <v>42</v>
      </c>
      <c r="U246" s="10">
        <v>344</v>
      </c>
      <c r="V246" s="10">
        <v>579</v>
      </c>
      <c r="W246" s="10">
        <v>236</v>
      </c>
      <c r="X246" s="10" t="s">
        <v>160</v>
      </c>
      <c r="Y246" s="10" t="s">
        <v>5068</v>
      </c>
      <c r="Z246" s="10" t="s">
        <v>1450</v>
      </c>
      <c r="AA246" s="10" t="s">
        <v>5069</v>
      </c>
      <c r="AB246" s="10" t="s">
        <v>5070</v>
      </c>
      <c r="AC246" s="10" t="s">
        <v>793</v>
      </c>
      <c r="AD246" s="10" t="s">
        <v>794</v>
      </c>
      <c r="AE246" s="10">
        <v>609</v>
      </c>
      <c r="AF246" s="10" t="s">
        <v>795</v>
      </c>
      <c r="AG246" s="44" t="s">
        <v>796</v>
      </c>
      <c r="AH246" s="44">
        <v>2</v>
      </c>
      <c r="AI246" s="44" t="s">
        <v>6052</v>
      </c>
      <c r="AJ246" s="44" t="s">
        <v>6052</v>
      </c>
      <c r="AK246" s="44" t="s">
        <v>6052</v>
      </c>
      <c r="AL246" s="44" t="s">
        <v>6052</v>
      </c>
      <c r="AM246" s="44" t="s">
        <v>6052</v>
      </c>
      <c r="AN246" s="44" t="s">
        <v>32904</v>
      </c>
      <c r="AO246" s="45">
        <v>11</v>
      </c>
      <c r="AP246" s="45">
        <v>1</v>
      </c>
      <c r="AQ246" s="45">
        <v>0</v>
      </c>
      <c r="AR246" s="45">
        <v>1</v>
      </c>
      <c r="AS246" s="45">
        <v>0</v>
      </c>
      <c r="AT246" s="45">
        <v>0</v>
      </c>
      <c r="AU246" s="10" t="s">
        <v>6052</v>
      </c>
      <c r="AV246" s="10" t="s">
        <v>32905</v>
      </c>
      <c r="AW246" s="10" t="s">
        <v>6052</v>
      </c>
      <c r="AX246" s="10" t="s">
        <v>6052</v>
      </c>
      <c r="AY246" s="10" t="s">
        <v>32338</v>
      </c>
      <c r="AZ246" s="44" t="s">
        <v>33117</v>
      </c>
      <c r="BA246" s="44" t="s">
        <v>31070</v>
      </c>
      <c r="BB246" s="44" t="s">
        <v>31566</v>
      </c>
      <c r="BC246" s="44" t="s">
        <v>6851</v>
      </c>
      <c r="BD246" s="44" t="s">
        <v>31718</v>
      </c>
      <c r="BE246" s="11">
        <v>1</v>
      </c>
      <c r="BF246" s="11">
        <v>0</v>
      </c>
      <c r="BG246" s="11">
        <v>0</v>
      </c>
      <c r="BH246" s="10" t="s">
        <v>32200</v>
      </c>
      <c r="BI246" s="11">
        <v>100</v>
      </c>
      <c r="BJ246" s="10" t="s">
        <v>33162</v>
      </c>
      <c r="BK246" s="11" t="s">
        <v>33162</v>
      </c>
    </row>
    <row r="247" spans="1:63" x14ac:dyDescent="0.75">
      <c r="A247" t="s">
        <v>5332</v>
      </c>
      <c r="B247" t="s">
        <v>104</v>
      </c>
      <c r="C247" t="s">
        <v>5062</v>
      </c>
      <c r="D247" t="s">
        <v>784</v>
      </c>
      <c r="E247" s="22" t="s">
        <v>28302</v>
      </c>
      <c r="F247" t="s">
        <v>5333</v>
      </c>
      <c r="G247" s="1" t="str">
        <f>HYPERLINK("https://homd.org/jbrowse/?data=homd_V11.02_phage_1.2%2FGCA_902376145.1&amp;loc=GCA_902376145.1%7CCABKWU010000006.1%3A2136593..2144533&amp;tracks=prokka,prokka_ncrna,ncbi,ncbi_ncrna,panggolin,cenote,genomad&amp;highlight=","Open JBrowse")</f>
        <v>Open JBrowse</v>
      </c>
      <c r="H247" s="10">
        <v>2139593</v>
      </c>
      <c r="I247" s="10">
        <v>2141533</v>
      </c>
      <c r="J247" s="10" t="s">
        <v>5334</v>
      </c>
      <c r="K247" s="10" t="s">
        <v>59</v>
      </c>
      <c r="L247" s="10" t="s">
        <v>5065</v>
      </c>
      <c r="M247" s="10" t="s">
        <v>5066</v>
      </c>
      <c r="N247" s="10" t="s">
        <v>59</v>
      </c>
      <c r="O247" s="10">
        <v>2</v>
      </c>
      <c r="P247" s="10" t="s">
        <v>42</v>
      </c>
      <c r="Q247" s="10" t="s">
        <v>59</v>
      </c>
      <c r="R247" s="10" t="s">
        <v>5335</v>
      </c>
      <c r="S247" s="10" t="s">
        <v>5065</v>
      </c>
      <c r="T247" s="10" t="s">
        <v>42</v>
      </c>
      <c r="U247" s="10">
        <v>344</v>
      </c>
      <c r="V247" s="10">
        <v>579</v>
      </c>
      <c r="W247" s="10">
        <v>236</v>
      </c>
      <c r="X247" s="10" t="s">
        <v>160</v>
      </c>
      <c r="Y247" s="10" t="s">
        <v>5336</v>
      </c>
      <c r="Z247" s="10" t="s">
        <v>1450</v>
      </c>
      <c r="AA247" s="10" t="s">
        <v>5069</v>
      </c>
      <c r="AB247" s="10" t="s">
        <v>5337</v>
      </c>
      <c r="AC247" s="10" t="s">
        <v>793</v>
      </c>
      <c r="AD247" s="10" t="s">
        <v>794</v>
      </c>
      <c r="AE247" s="10">
        <v>609</v>
      </c>
      <c r="AF247" s="10" t="s">
        <v>795</v>
      </c>
      <c r="AG247" s="44" t="s">
        <v>796</v>
      </c>
      <c r="AH247" s="44">
        <v>2</v>
      </c>
      <c r="AI247" s="44" t="s">
        <v>6052</v>
      </c>
      <c r="AJ247" s="44" t="s">
        <v>6052</v>
      </c>
      <c r="AK247" s="44" t="s">
        <v>6052</v>
      </c>
      <c r="AL247" s="44" t="s">
        <v>6052</v>
      </c>
      <c r="AM247" s="44" t="s">
        <v>6052</v>
      </c>
      <c r="AN247" s="44" t="s">
        <v>32912</v>
      </c>
      <c r="AO247" s="45">
        <v>11</v>
      </c>
      <c r="AP247" s="45">
        <v>1</v>
      </c>
      <c r="AQ247" s="45">
        <v>0</v>
      </c>
      <c r="AR247" s="45">
        <v>1</v>
      </c>
      <c r="AS247" s="45">
        <v>0</v>
      </c>
      <c r="AT247" s="45">
        <v>0</v>
      </c>
      <c r="AU247" s="10" t="s">
        <v>6052</v>
      </c>
      <c r="AV247" s="10" t="s">
        <v>32913</v>
      </c>
      <c r="AW247" s="10" t="s">
        <v>6052</v>
      </c>
      <c r="AX247" s="10" t="s">
        <v>6052</v>
      </c>
      <c r="AY247" s="10" t="s">
        <v>32338</v>
      </c>
      <c r="AZ247" s="44" t="s">
        <v>33117</v>
      </c>
      <c r="BA247" s="44" t="s">
        <v>31074</v>
      </c>
      <c r="BB247" s="44" t="s">
        <v>31571</v>
      </c>
      <c r="BC247" s="44" t="s">
        <v>6851</v>
      </c>
      <c r="BD247" s="44" t="s">
        <v>31718</v>
      </c>
      <c r="BE247" s="11">
        <v>1</v>
      </c>
      <c r="BF247" s="11">
        <v>0</v>
      </c>
      <c r="BG247" s="11">
        <v>0</v>
      </c>
      <c r="BH247" s="10" t="s">
        <v>32199</v>
      </c>
      <c r="BI247" s="11">
        <v>100</v>
      </c>
      <c r="BJ247" s="10" t="s">
        <v>33162</v>
      </c>
      <c r="BK247" s="11" t="s">
        <v>33162</v>
      </c>
    </row>
    <row r="248" spans="1:63" x14ac:dyDescent="0.75">
      <c r="A248" t="s">
        <v>5643</v>
      </c>
      <c r="B248" t="s">
        <v>104</v>
      </c>
      <c r="C248" t="s">
        <v>5062</v>
      </c>
      <c r="D248" t="s">
        <v>784</v>
      </c>
      <c r="E248" s="22" t="s">
        <v>30844</v>
      </c>
      <c r="F248" t="s">
        <v>5644</v>
      </c>
      <c r="G248" s="1" t="str">
        <f>HYPERLINK("https://homd.org/jbrowse/?data=homd_V11.02_phage_1.2%2FGCA_916720475.1&amp;loc=GCA_916720475.1%7CCAKARG010000010.1%3A53124..61064&amp;tracks=prokka,prokka_ncrna,ncbi,ncbi_ncrna,panggolin,cenote,genomad&amp;highlight=","Open JBrowse")</f>
        <v>Open JBrowse</v>
      </c>
      <c r="H248" s="10">
        <v>56124</v>
      </c>
      <c r="I248" s="10">
        <v>58064</v>
      </c>
      <c r="J248" s="10" t="s">
        <v>5645</v>
      </c>
      <c r="K248" s="10" t="s">
        <v>59</v>
      </c>
      <c r="L248" s="10" t="s">
        <v>5065</v>
      </c>
      <c r="M248" s="10" t="s">
        <v>5066</v>
      </c>
      <c r="N248" s="10" t="s">
        <v>59</v>
      </c>
      <c r="O248" s="10">
        <v>2</v>
      </c>
      <c r="P248" s="10" t="s">
        <v>42</v>
      </c>
      <c r="Q248" s="10" t="s">
        <v>59</v>
      </c>
      <c r="R248" s="10" t="s">
        <v>5646</v>
      </c>
      <c r="S248" s="10" t="s">
        <v>5065</v>
      </c>
      <c r="T248" s="10" t="s">
        <v>42</v>
      </c>
      <c r="U248" s="10">
        <v>344</v>
      </c>
      <c r="V248" s="10">
        <v>579</v>
      </c>
      <c r="W248" s="10">
        <v>236</v>
      </c>
      <c r="X248" s="10" t="s">
        <v>160</v>
      </c>
      <c r="Y248" s="10" t="s">
        <v>5647</v>
      </c>
      <c r="Z248" s="10" t="s">
        <v>892</v>
      </c>
      <c r="AA248" s="10" t="s">
        <v>5648</v>
      </c>
      <c r="AB248" s="10" t="s">
        <v>5649</v>
      </c>
      <c r="AC248" s="10" t="s">
        <v>793</v>
      </c>
      <c r="AD248" s="10" t="s">
        <v>794</v>
      </c>
      <c r="AE248" s="10">
        <v>601</v>
      </c>
      <c r="AF248" s="10" t="s">
        <v>795</v>
      </c>
      <c r="AG248" s="44" t="s">
        <v>796</v>
      </c>
      <c r="AH248" s="44">
        <v>2</v>
      </c>
      <c r="AI248" s="44" t="s">
        <v>6052</v>
      </c>
      <c r="AJ248" s="44" t="s">
        <v>6061</v>
      </c>
      <c r="AK248" s="44" t="s">
        <v>6052</v>
      </c>
      <c r="AL248" s="44" t="s">
        <v>6052</v>
      </c>
      <c r="AM248" s="44" t="s">
        <v>6052</v>
      </c>
      <c r="AN248" s="44" t="s">
        <v>32310</v>
      </c>
      <c r="AO248" s="45">
        <v>11</v>
      </c>
      <c r="AP248" s="45">
        <v>1</v>
      </c>
      <c r="AQ248" s="45">
        <v>0</v>
      </c>
      <c r="AR248" s="45">
        <v>1</v>
      </c>
      <c r="AS248" s="45">
        <v>0</v>
      </c>
      <c r="AT248" s="45">
        <v>0</v>
      </c>
      <c r="AU248" s="10" t="s">
        <v>6052</v>
      </c>
      <c r="AV248" s="10" t="s">
        <v>32311</v>
      </c>
      <c r="AW248" s="10" t="s">
        <v>6052</v>
      </c>
      <c r="AX248" s="10" t="s">
        <v>6052</v>
      </c>
      <c r="AY248" s="10" t="s">
        <v>32312</v>
      </c>
      <c r="AZ248" s="44" t="s">
        <v>33117</v>
      </c>
      <c r="BA248" s="44" t="s">
        <v>30862</v>
      </c>
      <c r="BB248" s="44" t="s">
        <v>31202</v>
      </c>
      <c r="BC248" s="44" t="s">
        <v>6851</v>
      </c>
      <c r="BD248" s="44" t="s">
        <v>31718</v>
      </c>
      <c r="BE248" s="11">
        <v>1</v>
      </c>
      <c r="BF248" s="11">
        <v>0</v>
      </c>
      <c r="BG248" s="11">
        <v>0</v>
      </c>
      <c r="BH248" s="10" t="s">
        <v>32184</v>
      </c>
      <c r="BI248" s="11">
        <v>100</v>
      </c>
      <c r="BJ248" s="10" t="s">
        <v>33162</v>
      </c>
      <c r="BK248" s="11" t="s">
        <v>33162</v>
      </c>
    </row>
    <row r="249" spans="1:63" x14ac:dyDescent="0.75">
      <c r="A249" t="s">
        <v>5722</v>
      </c>
      <c r="B249" t="s">
        <v>104</v>
      </c>
      <c r="C249" t="s">
        <v>5062</v>
      </c>
      <c r="D249" t="s">
        <v>784</v>
      </c>
      <c r="E249" s="22" t="s">
        <v>30844</v>
      </c>
      <c r="F249" t="s">
        <v>5723</v>
      </c>
      <c r="G249" s="1" t="str">
        <f>HYPERLINK("https://homd.org/jbrowse/?data=homd_V11.02_phage_1.2%2FGCA_937891685.1&amp;loc=GCA_937891685.1%7CCALAHJ010000038.1%3A57576..65516&amp;tracks=prokka,prokka_ncrna,ncbi,ncbi_ncrna,panggolin,cenote,genomad&amp;highlight=","Open JBrowse")</f>
        <v>Open JBrowse</v>
      </c>
      <c r="H249" s="10">
        <v>60576</v>
      </c>
      <c r="I249" s="10">
        <v>62516</v>
      </c>
      <c r="J249" s="10" t="s">
        <v>5724</v>
      </c>
      <c r="K249" s="10" t="s">
        <v>59</v>
      </c>
      <c r="L249" s="10" t="s">
        <v>5065</v>
      </c>
      <c r="M249" s="10" t="s">
        <v>5066</v>
      </c>
      <c r="N249" s="10" t="s">
        <v>59</v>
      </c>
      <c r="O249" s="10">
        <v>2</v>
      </c>
      <c r="P249" s="10" t="s">
        <v>42</v>
      </c>
      <c r="Q249" s="10" t="s">
        <v>59</v>
      </c>
      <c r="R249" s="10" t="s">
        <v>5725</v>
      </c>
      <c r="S249" s="10" t="s">
        <v>5065</v>
      </c>
      <c r="T249" s="10" t="s">
        <v>42</v>
      </c>
      <c r="U249" s="10">
        <v>344</v>
      </c>
      <c r="V249" s="10">
        <v>579</v>
      </c>
      <c r="W249" s="10">
        <v>236</v>
      </c>
      <c r="X249" s="10" t="s">
        <v>160</v>
      </c>
      <c r="Y249" s="10" t="s">
        <v>5726</v>
      </c>
      <c r="Z249" s="10" t="s">
        <v>811</v>
      </c>
      <c r="AA249" s="10" t="s">
        <v>5069</v>
      </c>
      <c r="AB249" s="10" t="s">
        <v>5727</v>
      </c>
      <c r="AC249" s="10" t="s">
        <v>793</v>
      </c>
      <c r="AD249" s="10" t="s">
        <v>794</v>
      </c>
      <c r="AE249" s="10">
        <v>607</v>
      </c>
      <c r="AF249" s="10" t="s">
        <v>795</v>
      </c>
      <c r="AG249" s="44" t="s">
        <v>796</v>
      </c>
      <c r="AH249" s="44">
        <v>2</v>
      </c>
      <c r="AI249" s="44" t="s">
        <v>6052</v>
      </c>
      <c r="AJ249" s="44" t="s">
        <v>6052</v>
      </c>
      <c r="AK249" s="44" t="s">
        <v>6052</v>
      </c>
      <c r="AL249" s="44" t="s">
        <v>6052</v>
      </c>
      <c r="AM249" s="44" t="s">
        <v>6052</v>
      </c>
      <c r="AN249" s="44" t="s">
        <v>32336</v>
      </c>
      <c r="AO249" s="45">
        <v>11</v>
      </c>
      <c r="AP249" s="45">
        <v>1</v>
      </c>
      <c r="AQ249" s="45">
        <v>0</v>
      </c>
      <c r="AR249" s="45">
        <v>1</v>
      </c>
      <c r="AS249" s="45">
        <v>0</v>
      </c>
      <c r="AT249" s="45">
        <v>0</v>
      </c>
      <c r="AU249" s="10" t="s">
        <v>6052</v>
      </c>
      <c r="AV249" s="10" t="s">
        <v>32337</v>
      </c>
      <c r="AW249" s="10" t="s">
        <v>6052</v>
      </c>
      <c r="AX249" s="10" t="s">
        <v>6052</v>
      </c>
      <c r="AY249" s="10" t="s">
        <v>32338</v>
      </c>
      <c r="AZ249" s="44" t="s">
        <v>33117</v>
      </c>
      <c r="BA249" s="44" t="s">
        <v>30862</v>
      </c>
      <c r="BB249" s="44" t="s">
        <v>31223</v>
      </c>
      <c r="BC249" s="44" t="s">
        <v>6851</v>
      </c>
      <c r="BD249" s="44" t="s">
        <v>31718</v>
      </c>
      <c r="BE249" s="11">
        <v>1</v>
      </c>
      <c r="BF249" s="11">
        <v>0</v>
      </c>
      <c r="BG249" s="11">
        <v>0</v>
      </c>
      <c r="BH249" s="10" t="s">
        <v>32198</v>
      </c>
      <c r="BI249" s="11">
        <v>100</v>
      </c>
      <c r="BJ249" s="10" t="s">
        <v>33162</v>
      </c>
      <c r="BK249" s="11" t="s">
        <v>33162</v>
      </c>
    </row>
    <row r="250" spans="1:63" x14ac:dyDescent="0.75">
      <c r="A250" t="s">
        <v>5863</v>
      </c>
      <c r="B250" t="s">
        <v>104</v>
      </c>
      <c r="C250" t="s">
        <v>783</v>
      </c>
      <c r="D250" t="s">
        <v>784</v>
      </c>
      <c r="E250" s="22" t="s">
        <v>30844</v>
      </c>
      <c r="F250" t="s">
        <v>5864</v>
      </c>
      <c r="G250" s="1" t="str">
        <f>HYPERLINK("https://homd.org/jbrowse/?data=homd_V11.02_phage_1.2%2FGCA_938021135.1&amp;loc=GCA_938021135.1%7CCALIHJ010000047.1%3A56312..64171&amp;tracks=prokka,prokka_ncrna,ncbi,ncbi_ncrna,panggolin,cenote,genomad&amp;highlight=","Open JBrowse")</f>
        <v>Open JBrowse</v>
      </c>
      <c r="H250" s="10">
        <v>59312</v>
      </c>
      <c r="I250" s="10">
        <v>61171</v>
      </c>
      <c r="J250" s="10" t="s">
        <v>5865</v>
      </c>
      <c r="K250" s="10" t="s">
        <v>59</v>
      </c>
      <c r="L250" s="10" t="s">
        <v>787</v>
      </c>
      <c r="M250" s="10" t="s">
        <v>788</v>
      </c>
      <c r="N250" s="10" t="s">
        <v>59</v>
      </c>
      <c r="O250" s="10">
        <v>2</v>
      </c>
      <c r="P250" s="10" t="s">
        <v>42</v>
      </c>
      <c r="Q250" s="10" t="s">
        <v>59</v>
      </c>
      <c r="R250" s="10" t="s">
        <v>5866</v>
      </c>
      <c r="S250" s="10" t="s">
        <v>787</v>
      </c>
      <c r="T250" s="10" t="s">
        <v>42</v>
      </c>
      <c r="U250" s="10">
        <v>316</v>
      </c>
      <c r="V250" s="10">
        <v>551</v>
      </c>
      <c r="W250" s="10">
        <v>236</v>
      </c>
      <c r="X250" s="10" t="s">
        <v>160</v>
      </c>
      <c r="Y250" s="10" t="s">
        <v>5867</v>
      </c>
      <c r="Z250" s="10" t="s">
        <v>840</v>
      </c>
      <c r="AA250" s="10" t="s">
        <v>791</v>
      </c>
      <c r="AB250" s="10" t="s">
        <v>5868</v>
      </c>
      <c r="AC250" s="10" t="s">
        <v>793</v>
      </c>
      <c r="AD250" s="10" t="s">
        <v>794</v>
      </c>
      <c r="AE250" s="10">
        <v>868</v>
      </c>
      <c r="AF250" s="10" t="s">
        <v>725</v>
      </c>
      <c r="AG250" s="44" t="s">
        <v>796</v>
      </c>
      <c r="AH250" s="44">
        <v>2</v>
      </c>
      <c r="AI250" s="44" t="s">
        <v>6052</v>
      </c>
      <c r="AJ250" s="44" t="s">
        <v>6052</v>
      </c>
      <c r="AK250" s="44" t="s">
        <v>6052</v>
      </c>
      <c r="AL250" s="44" t="s">
        <v>6052</v>
      </c>
      <c r="AM250" s="44" t="s">
        <v>6052</v>
      </c>
      <c r="AN250" s="44" t="s">
        <v>32334</v>
      </c>
      <c r="AO250" s="45">
        <v>11</v>
      </c>
      <c r="AP250" s="45">
        <v>1</v>
      </c>
      <c r="AQ250" s="45">
        <v>0</v>
      </c>
      <c r="AR250" s="45">
        <v>1</v>
      </c>
      <c r="AS250" s="45">
        <v>0</v>
      </c>
      <c r="AT250" s="45">
        <v>0</v>
      </c>
      <c r="AU250" s="10" t="s">
        <v>6052</v>
      </c>
      <c r="AV250" s="10" t="s">
        <v>32335</v>
      </c>
      <c r="AW250" s="10" t="s">
        <v>6052</v>
      </c>
      <c r="AX250" s="10" t="s">
        <v>6052</v>
      </c>
      <c r="AY250" s="10" t="s">
        <v>32312</v>
      </c>
      <c r="AZ250" s="44" t="s">
        <v>33117</v>
      </c>
      <c r="BA250" s="44" t="s">
        <v>30862</v>
      </c>
      <c r="BB250" s="44" t="s">
        <v>31222</v>
      </c>
      <c r="BC250" s="44" t="s">
        <v>6851</v>
      </c>
      <c r="BD250" s="44" t="s">
        <v>31718</v>
      </c>
      <c r="BE250" s="11">
        <v>1</v>
      </c>
      <c r="BF250" s="11">
        <v>0</v>
      </c>
      <c r="BG250" s="11">
        <v>0</v>
      </c>
      <c r="BH250" s="10" t="s">
        <v>32173</v>
      </c>
      <c r="BI250" s="11">
        <v>100</v>
      </c>
      <c r="BJ250" s="10" t="s">
        <v>33162</v>
      </c>
      <c r="BK250" s="11" t="s">
        <v>33162</v>
      </c>
    </row>
    <row r="251" spans="1:63" x14ac:dyDescent="0.75">
      <c r="A251" t="s">
        <v>5478</v>
      </c>
      <c r="B251" t="s">
        <v>104</v>
      </c>
      <c r="C251" t="s">
        <v>349</v>
      </c>
      <c r="D251" t="s">
        <v>350</v>
      </c>
      <c r="E251" s="22" t="s">
        <v>30844</v>
      </c>
      <c r="F251" t="s">
        <v>5479</v>
      </c>
      <c r="G251" s="1" t="str">
        <f>HYPERLINK("https://homd.org/jbrowse/?data=homd_V11.02_phage_1.2%2FGCA_905372655.1&amp;loc=GCA_905372655.1%7CCAJPPZ010000009.1%3A13937..20755&amp;tracks=prokka,prokka_ncrna,ncbi,ncbi_ncrna,panggolin,cenote,genomad&amp;highlight=","Open JBrowse")</f>
        <v>Open JBrowse</v>
      </c>
      <c r="H251" s="10">
        <v>16937</v>
      </c>
      <c r="I251" s="10">
        <v>17755</v>
      </c>
      <c r="J251" s="10" t="s">
        <v>5480</v>
      </c>
      <c r="K251" s="10" t="s">
        <v>39</v>
      </c>
      <c r="L251" s="10" t="s">
        <v>353</v>
      </c>
      <c r="M251" s="10" t="s">
        <v>354</v>
      </c>
      <c r="N251" s="10" t="s">
        <v>42</v>
      </c>
      <c r="O251" s="10">
        <v>3</v>
      </c>
      <c r="P251" s="10" t="s">
        <v>42</v>
      </c>
      <c r="Q251" s="10" t="s">
        <v>43</v>
      </c>
      <c r="R251" s="10" t="s">
        <v>5481</v>
      </c>
      <c r="S251" s="10" t="s">
        <v>353</v>
      </c>
      <c r="T251" s="10" t="s">
        <v>42</v>
      </c>
      <c r="U251" s="10">
        <v>37</v>
      </c>
      <c r="V251" s="10">
        <v>269</v>
      </c>
      <c r="W251" s="10">
        <v>233</v>
      </c>
      <c r="X251" s="10" t="s">
        <v>45</v>
      </c>
      <c r="Y251" s="10"/>
      <c r="Z251" s="10"/>
      <c r="AA251" s="10"/>
      <c r="AB251" s="10"/>
      <c r="AC251" s="10"/>
      <c r="AD251" s="10"/>
      <c r="AE251" s="10"/>
      <c r="AF251" s="10"/>
      <c r="AG251" s="44"/>
      <c r="AH251" s="44"/>
      <c r="AI251" s="46" t="s">
        <v>6054</v>
      </c>
      <c r="AJ251" s="44" t="s">
        <v>6052</v>
      </c>
      <c r="AK251" s="44" t="s">
        <v>6052</v>
      </c>
      <c r="AL251" s="44" t="s">
        <v>6052</v>
      </c>
      <c r="AM251" s="44" t="s">
        <v>6052</v>
      </c>
      <c r="AN251" s="44" t="s">
        <v>32352</v>
      </c>
      <c r="AO251" s="45">
        <v>11</v>
      </c>
      <c r="AP251" s="45">
        <v>1</v>
      </c>
      <c r="AQ251" s="45">
        <v>0</v>
      </c>
      <c r="AR251" s="45">
        <v>1</v>
      </c>
      <c r="AS251" s="45">
        <v>0</v>
      </c>
      <c r="AT251" s="45">
        <v>0</v>
      </c>
      <c r="AU251" s="10" t="s">
        <v>6052</v>
      </c>
      <c r="AV251" s="10" t="s">
        <v>32353</v>
      </c>
      <c r="AW251" s="10" t="s">
        <v>6052</v>
      </c>
      <c r="AX251" s="10" t="s">
        <v>6052</v>
      </c>
      <c r="AY251" s="10" t="s">
        <v>32354</v>
      </c>
      <c r="AZ251" s="44" t="s">
        <v>33116</v>
      </c>
      <c r="BA251" s="44" t="s">
        <v>30869</v>
      </c>
      <c r="BB251" s="44" t="s">
        <v>31237</v>
      </c>
      <c r="BC251" s="44" t="s">
        <v>6415</v>
      </c>
      <c r="BD251" s="44" t="s">
        <v>31707</v>
      </c>
      <c r="BE251" s="11">
        <v>1</v>
      </c>
      <c r="BF251" s="11">
        <v>0</v>
      </c>
      <c r="BG251" s="11">
        <v>0</v>
      </c>
      <c r="BH251" s="10" t="s">
        <v>31930</v>
      </c>
      <c r="BI251" s="11">
        <v>100</v>
      </c>
      <c r="BJ251" s="10" t="s">
        <v>33162</v>
      </c>
      <c r="BK251" s="11" t="s">
        <v>33162</v>
      </c>
    </row>
    <row r="252" spans="1:63" x14ac:dyDescent="0.75">
      <c r="A252" t="s">
        <v>5728</v>
      </c>
      <c r="B252" t="s">
        <v>104</v>
      </c>
      <c r="C252" t="s">
        <v>349</v>
      </c>
      <c r="D252" t="s">
        <v>350</v>
      </c>
      <c r="E252" s="22" t="s">
        <v>30844</v>
      </c>
      <c r="F252" t="s">
        <v>5736</v>
      </c>
      <c r="G252" s="1" t="str">
        <f>HYPERLINK("https://homd.org/jbrowse/?data=homd_V11.02_phage_1.2%2FGCA_937891745.1&amp;loc=GCA_937891745.1%7CCALAHR010000039.1%3A25840..32760&amp;tracks=prokka,prokka_ncrna,ncbi,ncbi_ncrna,panggolin,cenote,genomad&amp;highlight=","Open JBrowse")</f>
        <v>Open JBrowse</v>
      </c>
      <c r="H252" s="10">
        <v>28840</v>
      </c>
      <c r="I252" s="10">
        <v>29760</v>
      </c>
      <c r="J252" s="10" t="s">
        <v>5737</v>
      </c>
      <c r="K252" s="10" t="s">
        <v>39</v>
      </c>
      <c r="L252" s="10" t="s">
        <v>5738</v>
      </c>
      <c r="M252" s="10" t="s">
        <v>5739</v>
      </c>
      <c r="N252" s="10" t="s">
        <v>42</v>
      </c>
      <c r="O252" s="10">
        <v>3</v>
      </c>
      <c r="P252" s="10" t="s">
        <v>42</v>
      </c>
      <c r="Q252" s="10" t="s">
        <v>43</v>
      </c>
      <c r="R252" s="10" t="s">
        <v>5733</v>
      </c>
      <c r="S252" s="10" t="s">
        <v>5738</v>
      </c>
      <c r="T252" s="10" t="s">
        <v>42</v>
      </c>
      <c r="U252" s="10">
        <v>72</v>
      </c>
      <c r="V252" s="10">
        <v>304</v>
      </c>
      <c r="W252" s="10">
        <v>233</v>
      </c>
      <c r="X252" s="10" t="s">
        <v>45</v>
      </c>
      <c r="Y252" s="10"/>
      <c r="Z252" s="10"/>
      <c r="AA252" s="10"/>
      <c r="AB252" s="10"/>
      <c r="AC252" s="10"/>
      <c r="AD252" s="10"/>
      <c r="AE252" s="10"/>
      <c r="AF252" s="10"/>
      <c r="AG252" s="44"/>
      <c r="AH252" s="44"/>
      <c r="AI252" s="46" t="s">
        <v>6054</v>
      </c>
      <c r="AJ252" s="44" t="s">
        <v>6052</v>
      </c>
      <c r="AK252" s="44" t="s">
        <v>6052</v>
      </c>
      <c r="AL252" s="44" t="s">
        <v>6052</v>
      </c>
      <c r="AM252" s="44" t="s">
        <v>6052</v>
      </c>
      <c r="AN252" s="44" t="s">
        <v>32380</v>
      </c>
      <c r="AO252" s="45">
        <v>11</v>
      </c>
      <c r="AP252" s="45">
        <v>1</v>
      </c>
      <c r="AQ252" s="45">
        <v>0</v>
      </c>
      <c r="AR252" s="45">
        <v>1</v>
      </c>
      <c r="AS252" s="45">
        <v>0</v>
      </c>
      <c r="AT252" s="45">
        <v>0</v>
      </c>
      <c r="AU252" s="10" t="s">
        <v>6052</v>
      </c>
      <c r="AV252" s="10" t="s">
        <v>32381</v>
      </c>
      <c r="AW252" s="10" t="s">
        <v>6052</v>
      </c>
      <c r="AX252" s="10" t="s">
        <v>6052</v>
      </c>
      <c r="AY252" s="10" t="s">
        <v>32354</v>
      </c>
      <c r="AZ252" s="44" t="s">
        <v>33116</v>
      </c>
      <c r="BA252" s="44" t="s">
        <v>30869</v>
      </c>
      <c r="BB252" s="44" t="s">
        <v>31259</v>
      </c>
      <c r="BC252" s="44" t="s">
        <v>6415</v>
      </c>
      <c r="BD252" s="44" t="s">
        <v>31707</v>
      </c>
      <c r="BE252" s="11">
        <v>1</v>
      </c>
      <c r="BF252" s="11">
        <v>0</v>
      </c>
      <c r="BG252" s="11">
        <v>0</v>
      </c>
      <c r="BH252" s="10" t="s">
        <v>31982</v>
      </c>
      <c r="BI252" s="11">
        <v>100</v>
      </c>
      <c r="BJ252" s="10" t="s">
        <v>33162</v>
      </c>
      <c r="BK252" s="11" t="s">
        <v>33162</v>
      </c>
    </row>
    <row r="253" spans="1:63" x14ac:dyDescent="0.75">
      <c r="A253" t="s">
        <v>2553</v>
      </c>
      <c r="B253" t="s">
        <v>104</v>
      </c>
      <c r="C253" t="s">
        <v>371</v>
      </c>
      <c r="D253" t="s">
        <v>372</v>
      </c>
      <c r="E253" s="22" t="s">
        <v>17845</v>
      </c>
      <c r="F253" t="s">
        <v>2559</v>
      </c>
      <c r="G253" s="1" t="str">
        <f>HYPERLINK("https://homd.org/jbrowse/?data=homd_V11.02_phage_1.2%2FGCA_009717805.1&amp;loc=GCA_009717805.1%7CWMZG01000008.1%3A1..4211&amp;tracks=prokka,prokka_ncrna,ncbi,ncbi_ncrna,panggolin,cenote,genomad&amp;highlight=","Open JBrowse")</f>
        <v>Open JBrowse</v>
      </c>
      <c r="H253" s="10">
        <v>3</v>
      </c>
      <c r="I253" s="10">
        <v>1211</v>
      </c>
      <c r="J253" s="10" t="s">
        <v>2560</v>
      </c>
      <c r="K253" s="10" t="s">
        <v>59</v>
      </c>
      <c r="L253" s="10" t="s">
        <v>388</v>
      </c>
      <c r="M253" s="10" t="s">
        <v>389</v>
      </c>
      <c r="N253" s="10" t="s">
        <v>42</v>
      </c>
      <c r="O253" s="10">
        <v>3</v>
      </c>
      <c r="P253" s="10" t="s">
        <v>42</v>
      </c>
      <c r="Q253" s="10" t="s">
        <v>59</v>
      </c>
      <c r="R253" s="10" t="s">
        <v>2556</v>
      </c>
      <c r="S253" s="10" t="s">
        <v>388</v>
      </c>
      <c r="T253" s="10" t="s">
        <v>42</v>
      </c>
      <c r="U253" s="10">
        <v>66</v>
      </c>
      <c r="V253" s="10">
        <v>346</v>
      </c>
      <c r="W253" s="10">
        <v>281</v>
      </c>
      <c r="X253" s="10" t="s">
        <v>390</v>
      </c>
      <c r="Y253" s="10"/>
      <c r="Z253" s="10"/>
      <c r="AA253" s="10"/>
      <c r="AB253" s="10"/>
      <c r="AC253" s="10"/>
      <c r="AD253" s="10"/>
      <c r="AE253" s="10"/>
      <c r="AF253" s="10"/>
      <c r="AG253" s="44"/>
      <c r="AH253" s="44"/>
      <c r="AI253" s="46" t="s">
        <v>6054</v>
      </c>
      <c r="AJ253" s="44" t="s">
        <v>6052</v>
      </c>
      <c r="AK253" s="44" t="s">
        <v>6052</v>
      </c>
      <c r="AL253" s="44" t="s">
        <v>6052</v>
      </c>
      <c r="AM253" s="44" t="s">
        <v>6052</v>
      </c>
      <c r="AN253" s="44" t="s">
        <v>32558</v>
      </c>
      <c r="AO253" s="45">
        <v>11</v>
      </c>
      <c r="AP253" s="45">
        <v>1</v>
      </c>
      <c r="AQ253" s="45">
        <v>0</v>
      </c>
      <c r="AR253" s="45">
        <v>0</v>
      </c>
      <c r="AS253" s="45">
        <v>0</v>
      </c>
      <c r="AT253" s="45">
        <v>0</v>
      </c>
      <c r="AU253" s="10" t="s">
        <v>6052</v>
      </c>
      <c r="AV253" s="10" t="s">
        <v>6052</v>
      </c>
      <c r="AW253" s="10" t="s">
        <v>6052</v>
      </c>
      <c r="AX253" s="10" t="s">
        <v>6052</v>
      </c>
      <c r="AY253" s="10" t="s">
        <v>32253</v>
      </c>
      <c r="AZ253" s="44" t="s">
        <v>33117</v>
      </c>
      <c r="BA253" s="44" t="s">
        <v>30911</v>
      </c>
      <c r="BB253" s="44" t="s">
        <v>31338</v>
      </c>
      <c r="BC253" s="44" t="s">
        <v>6093</v>
      </c>
      <c r="BD253" s="44" t="s">
        <v>31713</v>
      </c>
      <c r="BE253" s="11">
        <v>1</v>
      </c>
      <c r="BF253" s="11">
        <v>0</v>
      </c>
      <c r="BG253" s="11">
        <v>0</v>
      </c>
      <c r="BH253" s="10" t="s">
        <v>33162</v>
      </c>
      <c r="BI253" s="11" t="s">
        <v>33162</v>
      </c>
      <c r="BJ253" s="10" t="s">
        <v>33479</v>
      </c>
      <c r="BK253" s="11">
        <v>100</v>
      </c>
    </row>
    <row r="254" spans="1:63" x14ac:dyDescent="0.75">
      <c r="A254" t="s">
        <v>2553</v>
      </c>
      <c r="B254" t="s">
        <v>104</v>
      </c>
      <c r="C254" t="s">
        <v>371</v>
      </c>
      <c r="D254" t="s">
        <v>372</v>
      </c>
      <c r="E254" s="22" t="s">
        <v>17845</v>
      </c>
      <c r="F254" t="s">
        <v>2554</v>
      </c>
      <c r="G254" s="1" t="str">
        <f>HYPERLINK("https://homd.org/jbrowse/?data=homd_V11.02_phage_1.2%2FGCA_009717805.1&amp;loc=GCA_009717805.1%7CWMZG01000003.1%3A189495..197330&amp;tracks=prokka,prokka_ncrna,ncbi,ncbi_ncrna,panggolin,cenote,genomad&amp;highlight=","Open JBrowse")</f>
        <v>Open JBrowse</v>
      </c>
      <c r="H254" s="10">
        <v>192495</v>
      </c>
      <c r="I254" s="10">
        <v>194330</v>
      </c>
      <c r="J254" s="10" t="s">
        <v>2555</v>
      </c>
      <c r="K254" s="10" t="s">
        <v>375</v>
      </c>
      <c r="L254" s="10" t="s">
        <v>534</v>
      </c>
      <c r="M254" s="10" t="s">
        <v>535</v>
      </c>
      <c r="N254" s="10" t="s">
        <v>42</v>
      </c>
      <c r="O254" s="10">
        <v>3</v>
      </c>
      <c r="P254" s="10" t="s">
        <v>42</v>
      </c>
      <c r="Q254" s="10" t="s">
        <v>101</v>
      </c>
      <c r="R254" s="10" t="s">
        <v>2556</v>
      </c>
      <c r="S254" s="10" t="s">
        <v>534</v>
      </c>
      <c r="T254" s="10" t="s">
        <v>42</v>
      </c>
      <c r="U254" s="10">
        <v>62</v>
      </c>
      <c r="V254" s="10">
        <v>343</v>
      </c>
      <c r="W254" s="10">
        <v>282</v>
      </c>
      <c r="X254" s="10" t="s">
        <v>379</v>
      </c>
      <c r="Y254" s="10" t="s">
        <v>2557</v>
      </c>
      <c r="Z254" s="10" t="s">
        <v>381</v>
      </c>
      <c r="AA254" s="10" t="s">
        <v>2543</v>
      </c>
      <c r="AB254" s="10" t="s">
        <v>2558</v>
      </c>
      <c r="AC254" s="10" t="s">
        <v>384</v>
      </c>
      <c r="AD254" s="10" t="s">
        <v>385</v>
      </c>
      <c r="AE254" s="10">
        <v>929</v>
      </c>
      <c r="AF254" s="10" t="s">
        <v>386</v>
      </c>
      <c r="AG254" s="44"/>
      <c r="AH254" s="44"/>
      <c r="AI254" s="44" t="s">
        <v>6052</v>
      </c>
      <c r="AJ254" s="44" t="s">
        <v>6052</v>
      </c>
      <c r="AK254" s="44" t="s">
        <v>6052</v>
      </c>
      <c r="AL254" s="44" t="s">
        <v>6052</v>
      </c>
      <c r="AM254" s="44" t="s">
        <v>6052</v>
      </c>
      <c r="AN254" s="44" t="s">
        <v>32557</v>
      </c>
      <c r="AO254" s="45">
        <v>11</v>
      </c>
      <c r="AP254" s="45">
        <v>1</v>
      </c>
      <c r="AQ254" s="45">
        <v>0</v>
      </c>
      <c r="AR254" s="45">
        <v>0</v>
      </c>
      <c r="AS254" s="45">
        <v>0</v>
      </c>
      <c r="AT254" s="45">
        <v>0</v>
      </c>
      <c r="AU254" s="10" t="s">
        <v>6052</v>
      </c>
      <c r="AV254" s="10" t="s">
        <v>6052</v>
      </c>
      <c r="AW254" s="10" t="s">
        <v>6052</v>
      </c>
      <c r="AX254" s="10" t="s">
        <v>6052</v>
      </c>
      <c r="AY254" s="10" t="s">
        <v>32253</v>
      </c>
      <c r="AZ254" s="44" t="s">
        <v>33117</v>
      </c>
      <c r="BA254" s="44" t="s">
        <v>30911</v>
      </c>
      <c r="BB254" s="44" t="s">
        <v>31337</v>
      </c>
      <c r="BC254" s="44" t="s">
        <v>6093</v>
      </c>
      <c r="BD254" s="44" t="s">
        <v>31713</v>
      </c>
      <c r="BE254" s="11">
        <v>1</v>
      </c>
      <c r="BF254" s="11">
        <v>0</v>
      </c>
      <c r="BG254" s="11">
        <v>0</v>
      </c>
      <c r="BH254" s="10" t="s">
        <v>32175</v>
      </c>
      <c r="BI254" s="11">
        <v>100</v>
      </c>
      <c r="BJ254" s="10" t="s">
        <v>33478</v>
      </c>
      <c r="BK254" s="11">
        <v>100</v>
      </c>
    </row>
    <row r="255" spans="1:63" x14ac:dyDescent="0.75">
      <c r="A255" t="s">
        <v>2548</v>
      </c>
      <c r="B255" t="s">
        <v>104</v>
      </c>
      <c r="C255" t="s">
        <v>371</v>
      </c>
      <c r="D255" t="s">
        <v>372</v>
      </c>
      <c r="E255" s="22" t="s">
        <v>17878</v>
      </c>
      <c r="F255" t="s">
        <v>2549</v>
      </c>
      <c r="G255" s="1" t="str">
        <f>HYPERLINK("https://homd.org/jbrowse/?data=homd_V11.02_phage_1.2%2FGCA_009717765.1&amp;loc=GCA_009717765.1%7CWMZE01000005.1%3A1..7326&amp;tracks=prokka,prokka_ncrna,ncbi,ncbi_ncrna,panggolin,cenote,genomad&amp;highlight=","Open JBrowse")</f>
        <v>Open JBrowse</v>
      </c>
      <c r="H255" s="10">
        <v>2683</v>
      </c>
      <c r="I255" s="10">
        <v>4326</v>
      </c>
      <c r="J255" s="10" t="s">
        <v>2552</v>
      </c>
      <c r="K255" s="10" t="s">
        <v>59</v>
      </c>
      <c r="L255" s="10" t="s">
        <v>388</v>
      </c>
      <c r="M255" s="10" t="s">
        <v>389</v>
      </c>
      <c r="N255" s="10" t="s">
        <v>42</v>
      </c>
      <c r="O255" s="10">
        <v>3</v>
      </c>
      <c r="P255" s="10" t="s">
        <v>42</v>
      </c>
      <c r="Q255" s="10" t="s">
        <v>59</v>
      </c>
      <c r="R255" s="10" t="s">
        <v>2551</v>
      </c>
      <c r="S255" s="10" t="s">
        <v>388</v>
      </c>
      <c r="T255" s="10" t="s">
        <v>42</v>
      </c>
      <c r="U255" s="10">
        <v>66</v>
      </c>
      <c r="V255" s="10">
        <v>346</v>
      </c>
      <c r="W255" s="10">
        <v>281</v>
      </c>
      <c r="X255" s="10" t="s">
        <v>390</v>
      </c>
      <c r="Y255" s="10"/>
      <c r="Z255" s="10"/>
      <c r="AA255" s="10"/>
      <c r="AB255" s="10"/>
      <c r="AC255" s="10"/>
      <c r="AD255" s="10"/>
      <c r="AE255" s="10"/>
      <c r="AF255" s="10"/>
      <c r="AG255" s="44"/>
      <c r="AH255" s="44"/>
      <c r="AI255" s="46" t="s">
        <v>6054</v>
      </c>
      <c r="AJ255" s="44" t="s">
        <v>6052</v>
      </c>
      <c r="AK255" s="44" t="s">
        <v>6052</v>
      </c>
      <c r="AL255" s="44" t="s">
        <v>6052</v>
      </c>
      <c r="AM255" s="44" t="s">
        <v>6052</v>
      </c>
      <c r="AN255" s="44" t="s">
        <v>32560</v>
      </c>
      <c r="AO255" s="45">
        <v>11</v>
      </c>
      <c r="AP255" s="45">
        <v>1</v>
      </c>
      <c r="AQ255" s="45">
        <v>0</v>
      </c>
      <c r="AR255" s="45">
        <v>0</v>
      </c>
      <c r="AS255" s="45">
        <v>0</v>
      </c>
      <c r="AT255" s="45">
        <v>0</v>
      </c>
      <c r="AU255" s="10" t="s">
        <v>6052</v>
      </c>
      <c r="AV255" s="10" t="s">
        <v>6052</v>
      </c>
      <c r="AW255" s="10" t="s">
        <v>6052</v>
      </c>
      <c r="AX255" s="10" t="s">
        <v>6052</v>
      </c>
      <c r="AY255" s="10" t="s">
        <v>32253</v>
      </c>
      <c r="AZ255" s="44" t="s">
        <v>33117</v>
      </c>
      <c r="BA255" s="44" t="s">
        <v>30912</v>
      </c>
      <c r="BB255" s="44" t="s">
        <v>31340</v>
      </c>
      <c r="BC255" s="44" t="s">
        <v>6093</v>
      </c>
      <c r="BD255" s="44" t="s">
        <v>31713</v>
      </c>
      <c r="BE255" s="11">
        <v>1</v>
      </c>
      <c r="BF255" s="11">
        <v>0</v>
      </c>
      <c r="BG255" s="11">
        <v>0</v>
      </c>
      <c r="BH255" s="10" t="s">
        <v>32216</v>
      </c>
      <c r="BI255" s="11">
        <v>100</v>
      </c>
      <c r="BJ255" s="10" t="s">
        <v>33477</v>
      </c>
      <c r="BK255" s="11">
        <v>100</v>
      </c>
    </row>
    <row r="256" spans="1:63" x14ac:dyDescent="0.75">
      <c r="A256" t="s">
        <v>2548</v>
      </c>
      <c r="B256" t="s">
        <v>104</v>
      </c>
      <c r="C256" t="s">
        <v>371</v>
      </c>
      <c r="D256" t="s">
        <v>372</v>
      </c>
      <c r="E256" s="22" t="s">
        <v>17878</v>
      </c>
      <c r="F256" t="s">
        <v>2549</v>
      </c>
      <c r="G256" s="1" t="str">
        <f>HYPERLINK("https://homd.org/jbrowse/?data=homd_V11.02_phage_1.2%2FGCA_009717765.1&amp;loc=GCA_009717765.1%7CWMZE01000005.1%3A1..4339&amp;tracks=prokka,prokka_ncrna,ncbi,ncbi_ncrna,panggolin,cenote,genomad&amp;highlight=","Open JBrowse")</f>
        <v>Open JBrowse</v>
      </c>
      <c r="H256" s="10">
        <v>2</v>
      </c>
      <c r="I256" s="10">
        <v>1339</v>
      </c>
      <c r="J256" s="10" t="s">
        <v>2550</v>
      </c>
      <c r="K256" s="10" t="s">
        <v>541</v>
      </c>
      <c r="L256" s="10" t="s">
        <v>534</v>
      </c>
      <c r="M256" s="10" t="s">
        <v>2547</v>
      </c>
      <c r="N256" s="10" t="s">
        <v>42</v>
      </c>
      <c r="O256" s="10">
        <v>3</v>
      </c>
      <c r="P256" s="10" t="s">
        <v>42</v>
      </c>
      <c r="Q256" s="10" t="s">
        <v>101</v>
      </c>
      <c r="R256" s="10" t="s">
        <v>2551</v>
      </c>
      <c r="S256" s="10" t="s">
        <v>534</v>
      </c>
      <c r="T256" s="10" t="s">
        <v>42</v>
      </c>
      <c r="U256" s="10">
        <v>62</v>
      </c>
      <c r="V256" s="10">
        <v>343</v>
      </c>
      <c r="W256" s="10">
        <v>282</v>
      </c>
      <c r="X256" s="10" t="s">
        <v>545</v>
      </c>
      <c r="Y256" s="10"/>
      <c r="Z256" s="10"/>
      <c r="AA256" s="10"/>
      <c r="AB256" s="10"/>
      <c r="AC256" s="10"/>
      <c r="AD256" s="10"/>
      <c r="AE256" s="10"/>
      <c r="AF256" s="10"/>
      <c r="AG256" s="44"/>
      <c r="AH256" s="44"/>
      <c r="AI256" s="46" t="s">
        <v>6054</v>
      </c>
      <c r="AJ256" s="44" t="s">
        <v>6052</v>
      </c>
      <c r="AK256" s="44" t="s">
        <v>6052</v>
      </c>
      <c r="AL256" s="44" t="s">
        <v>6052</v>
      </c>
      <c r="AM256" s="44" t="s">
        <v>6052</v>
      </c>
      <c r="AN256" s="44" t="s">
        <v>32559</v>
      </c>
      <c r="AO256" s="45">
        <v>11</v>
      </c>
      <c r="AP256" s="45">
        <v>1</v>
      </c>
      <c r="AQ256" s="45">
        <v>0</v>
      </c>
      <c r="AR256" s="45">
        <v>0</v>
      </c>
      <c r="AS256" s="45">
        <v>0</v>
      </c>
      <c r="AT256" s="45">
        <v>0</v>
      </c>
      <c r="AU256" s="10" t="s">
        <v>6052</v>
      </c>
      <c r="AV256" s="10" t="s">
        <v>6052</v>
      </c>
      <c r="AW256" s="10" t="s">
        <v>6052</v>
      </c>
      <c r="AX256" s="10" t="s">
        <v>6052</v>
      </c>
      <c r="AY256" s="10" t="s">
        <v>32253</v>
      </c>
      <c r="AZ256" s="44" t="s">
        <v>33117</v>
      </c>
      <c r="BA256" s="44" t="s">
        <v>30912</v>
      </c>
      <c r="BB256" s="44" t="s">
        <v>31339</v>
      </c>
      <c r="BC256" s="44" t="s">
        <v>6093</v>
      </c>
      <c r="BD256" s="44" t="s">
        <v>31713</v>
      </c>
      <c r="BE256" s="11">
        <v>1</v>
      </c>
      <c r="BF256" s="11">
        <v>0</v>
      </c>
      <c r="BG256" s="11">
        <v>0</v>
      </c>
      <c r="BH256" s="10" t="s">
        <v>33162</v>
      </c>
      <c r="BI256" s="11" t="s">
        <v>33162</v>
      </c>
      <c r="BJ256" s="10" t="s">
        <v>33476</v>
      </c>
      <c r="BK256" s="11">
        <v>100</v>
      </c>
    </row>
    <row r="257" spans="1:63" x14ac:dyDescent="0.75">
      <c r="A257" t="s">
        <v>2561</v>
      </c>
      <c r="B257" t="s">
        <v>104</v>
      </c>
      <c r="C257" t="s">
        <v>371</v>
      </c>
      <c r="D257" t="s">
        <v>372</v>
      </c>
      <c r="E257" s="22" t="s">
        <v>17776</v>
      </c>
      <c r="F257" t="s">
        <v>2567</v>
      </c>
      <c r="G257" s="1" t="str">
        <f>HYPERLINK("https://homd.org/jbrowse/?data=homd_V11.02_phage_1.2%2FGCA_009717845.1&amp;loc=GCA_009717845.1%7CWMZI01000010.1%3A1..4230&amp;tracks=prokka,prokka_ncrna,ncbi,ncbi_ncrna,panggolin,cenote,genomad&amp;highlight=","Open JBrowse")</f>
        <v>Open JBrowse</v>
      </c>
      <c r="H257" s="10">
        <v>1</v>
      </c>
      <c r="I257" s="10">
        <v>1230</v>
      </c>
      <c r="J257" s="10" t="s">
        <v>2568</v>
      </c>
      <c r="K257" s="10" t="s">
        <v>59</v>
      </c>
      <c r="L257" s="10" t="s">
        <v>388</v>
      </c>
      <c r="M257" s="10" t="s">
        <v>389</v>
      </c>
      <c r="N257" s="10" t="s">
        <v>42</v>
      </c>
      <c r="O257" s="10">
        <v>3</v>
      </c>
      <c r="P257" s="10" t="s">
        <v>42</v>
      </c>
      <c r="Q257" s="10" t="s">
        <v>59</v>
      </c>
      <c r="R257" s="10" t="s">
        <v>2564</v>
      </c>
      <c r="S257" s="10" t="s">
        <v>388</v>
      </c>
      <c r="T257" s="10" t="s">
        <v>42</v>
      </c>
      <c r="U257" s="10">
        <v>66</v>
      </c>
      <c r="V257" s="10">
        <v>346</v>
      </c>
      <c r="W257" s="10">
        <v>281</v>
      </c>
      <c r="X257" s="10" t="s">
        <v>390</v>
      </c>
      <c r="Y257" s="10"/>
      <c r="Z257" s="10"/>
      <c r="AA257" s="10"/>
      <c r="AB257" s="10"/>
      <c r="AC257" s="10"/>
      <c r="AD257" s="10"/>
      <c r="AE257" s="10"/>
      <c r="AF257" s="10"/>
      <c r="AG257" s="44"/>
      <c r="AH257" s="44"/>
      <c r="AI257" s="46" t="s">
        <v>6054</v>
      </c>
      <c r="AJ257" s="44" t="s">
        <v>6052</v>
      </c>
      <c r="AK257" s="44" t="s">
        <v>6052</v>
      </c>
      <c r="AL257" s="44" t="s">
        <v>6052</v>
      </c>
      <c r="AM257" s="44" t="s">
        <v>6052</v>
      </c>
      <c r="AN257" s="44" t="s">
        <v>32556</v>
      </c>
      <c r="AO257" s="45">
        <v>7</v>
      </c>
      <c r="AP257" s="45">
        <v>1</v>
      </c>
      <c r="AQ257" s="45">
        <v>0</v>
      </c>
      <c r="AR257" s="45">
        <v>0</v>
      </c>
      <c r="AS257" s="45">
        <v>0</v>
      </c>
      <c r="AT257" s="45">
        <v>0</v>
      </c>
      <c r="AU257" s="10" t="s">
        <v>6052</v>
      </c>
      <c r="AV257" s="10" t="s">
        <v>6052</v>
      </c>
      <c r="AW257" s="10" t="s">
        <v>6052</v>
      </c>
      <c r="AX257" s="10" t="s">
        <v>6052</v>
      </c>
      <c r="AY257" s="10" t="s">
        <v>32481</v>
      </c>
      <c r="AZ257" s="44" t="s">
        <v>33117</v>
      </c>
      <c r="BA257" s="44" t="s">
        <v>30910</v>
      </c>
      <c r="BB257" s="44" t="s">
        <v>31336</v>
      </c>
      <c r="BC257" s="44" t="s">
        <v>6093</v>
      </c>
      <c r="BD257" s="44" t="s">
        <v>31713</v>
      </c>
      <c r="BE257" s="11">
        <v>1</v>
      </c>
      <c r="BF257" s="11">
        <v>0</v>
      </c>
      <c r="BG257" s="11">
        <v>0</v>
      </c>
      <c r="BH257" s="10" t="s">
        <v>33162</v>
      </c>
      <c r="BI257" s="11" t="s">
        <v>33162</v>
      </c>
      <c r="BJ257" s="10" t="s">
        <v>33481</v>
      </c>
      <c r="BK257" s="11">
        <v>100</v>
      </c>
    </row>
    <row r="258" spans="1:63" x14ac:dyDescent="0.75">
      <c r="A258" t="s">
        <v>2561</v>
      </c>
      <c r="B258" t="s">
        <v>104</v>
      </c>
      <c r="C258" t="s">
        <v>371</v>
      </c>
      <c r="D258" t="s">
        <v>372</v>
      </c>
      <c r="E258" s="22" t="s">
        <v>17776</v>
      </c>
      <c r="F258" t="s">
        <v>2562</v>
      </c>
      <c r="G258" s="1" t="str">
        <f>HYPERLINK("https://homd.org/jbrowse/?data=homd_V11.02_phage_1.2%2FGCA_009717845.1&amp;loc=GCA_009717845.1%7CWMZI01000003.1%3A194721..202556&amp;tracks=prokka,prokka_ncrna,ncbi,ncbi_ncrna,panggolin,cenote,genomad&amp;highlight=","Open JBrowse")</f>
        <v>Open JBrowse</v>
      </c>
      <c r="H258" s="10">
        <v>197721</v>
      </c>
      <c r="I258" s="10">
        <v>199556</v>
      </c>
      <c r="J258" s="10" t="s">
        <v>2563</v>
      </c>
      <c r="K258" s="10" t="s">
        <v>375</v>
      </c>
      <c r="L258" s="10" t="s">
        <v>534</v>
      </c>
      <c r="M258" s="10" t="s">
        <v>535</v>
      </c>
      <c r="N258" s="10" t="s">
        <v>42</v>
      </c>
      <c r="O258" s="10">
        <v>3</v>
      </c>
      <c r="P258" s="10" t="s">
        <v>42</v>
      </c>
      <c r="Q258" s="10" t="s">
        <v>101</v>
      </c>
      <c r="R258" s="10" t="s">
        <v>2564</v>
      </c>
      <c r="S258" s="10" t="s">
        <v>534</v>
      </c>
      <c r="T258" s="10" t="s">
        <v>42</v>
      </c>
      <c r="U258" s="10">
        <v>62</v>
      </c>
      <c r="V258" s="10">
        <v>343</v>
      </c>
      <c r="W258" s="10">
        <v>282</v>
      </c>
      <c r="X258" s="10" t="s">
        <v>379</v>
      </c>
      <c r="Y258" s="10" t="s">
        <v>2565</v>
      </c>
      <c r="Z258" s="10" t="s">
        <v>743</v>
      </c>
      <c r="AA258" s="10" t="s">
        <v>2543</v>
      </c>
      <c r="AB258" s="10" t="s">
        <v>2566</v>
      </c>
      <c r="AC258" s="10" t="s">
        <v>384</v>
      </c>
      <c r="AD258" s="10" t="s">
        <v>385</v>
      </c>
      <c r="AE258" s="10">
        <v>929</v>
      </c>
      <c r="AF258" s="10" t="s">
        <v>386</v>
      </c>
      <c r="AG258" s="44"/>
      <c r="AH258" s="44"/>
      <c r="AI258" s="44" t="s">
        <v>6052</v>
      </c>
      <c r="AJ258" s="44" t="s">
        <v>6052</v>
      </c>
      <c r="AK258" s="44" t="s">
        <v>6052</v>
      </c>
      <c r="AL258" s="44" t="s">
        <v>6052</v>
      </c>
      <c r="AM258" s="44" t="s">
        <v>6052</v>
      </c>
      <c r="AN258" s="44" t="s">
        <v>32555</v>
      </c>
      <c r="AO258" s="45">
        <v>11</v>
      </c>
      <c r="AP258" s="45">
        <v>1</v>
      </c>
      <c r="AQ258" s="45">
        <v>0</v>
      </c>
      <c r="AR258" s="45">
        <v>0</v>
      </c>
      <c r="AS258" s="45">
        <v>0</v>
      </c>
      <c r="AT258" s="45">
        <v>0</v>
      </c>
      <c r="AU258" s="10" t="s">
        <v>6052</v>
      </c>
      <c r="AV258" s="10" t="s">
        <v>6052</v>
      </c>
      <c r="AW258" s="10" t="s">
        <v>6052</v>
      </c>
      <c r="AX258" s="10" t="s">
        <v>6052</v>
      </c>
      <c r="AY258" s="10" t="s">
        <v>32253</v>
      </c>
      <c r="AZ258" s="44" t="s">
        <v>33117</v>
      </c>
      <c r="BA258" s="44" t="s">
        <v>30910</v>
      </c>
      <c r="BB258" s="44" t="s">
        <v>31335</v>
      </c>
      <c r="BC258" s="44" t="s">
        <v>6093</v>
      </c>
      <c r="BD258" s="44" t="s">
        <v>31713</v>
      </c>
      <c r="BE258" s="11">
        <v>1</v>
      </c>
      <c r="BF258" s="11">
        <v>0</v>
      </c>
      <c r="BG258" s="11">
        <v>0</v>
      </c>
      <c r="BH258" s="10" t="s">
        <v>32174</v>
      </c>
      <c r="BI258" s="11">
        <v>100</v>
      </c>
      <c r="BJ258" s="10" t="s">
        <v>33480</v>
      </c>
      <c r="BK258" s="11">
        <v>100</v>
      </c>
    </row>
    <row r="259" spans="1:63" x14ac:dyDescent="0.75">
      <c r="A259" t="s">
        <v>2538</v>
      </c>
      <c r="B259" t="s">
        <v>104</v>
      </c>
      <c r="C259" t="s">
        <v>371</v>
      </c>
      <c r="D259" t="s">
        <v>372</v>
      </c>
      <c r="E259" s="22" t="s">
        <v>17863</v>
      </c>
      <c r="F259" t="s">
        <v>2545</v>
      </c>
      <c r="G259" s="1" t="str">
        <f>HYPERLINK("https://homd.org/jbrowse/?data=homd_V11.02_phage_1.2%2FGCA_009717635.1&amp;loc=GCA_009717635.1%7CWMYY01000021.1%3A1..5646&amp;tracks=prokka,prokka_ncrna,ncbi,ncbi_ncrna,panggolin,cenote,genomad&amp;highlight=","Open JBrowse")</f>
        <v>Open JBrowse</v>
      </c>
      <c r="H259" s="10">
        <v>1312</v>
      </c>
      <c r="I259" s="10">
        <v>2646</v>
      </c>
      <c r="J259" s="10" t="s">
        <v>2546</v>
      </c>
      <c r="K259" s="10" t="s">
        <v>541</v>
      </c>
      <c r="L259" s="10" t="s">
        <v>534</v>
      </c>
      <c r="M259" s="10" t="s">
        <v>2547</v>
      </c>
      <c r="N259" s="10" t="s">
        <v>42</v>
      </c>
      <c r="O259" s="10">
        <v>3</v>
      </c>
      <c r="P259" s="10" t="s">
        <v>42</v>
      </c>
      <c r="Q259" s="10" t="s">
        <v>101</v>
      </c>
      <c r="R259" s="10" t="s">
        <v>2541</v>
      </c>
      <c r="S259" s="10" t="s">
        <v>534</v>
      </c>
      <c r="T259" s="10" t="s">
        <v>42</v>
      </c>
      <c r="U259" s="10">
        <v>62</v>
      </c>
      <c r="V259" s="10">
        <v>343</v>
      </c>
      <c r="W259" s="10">
        <v>282</v>
      </c>
      <c r="X259" s="10" t="s">
        <v>545</v>
      </c>
      <c r="Y259" s="10"/>
      <c r="Z259" s="10"/>
      <c r="AA259" s="10"/>
      <c r="AB259" s="10"/>
      <c r="AC259" s="10"/>
      <c r="AD259" s="10"/>
      <c r="AE259" s="10"/>
      <c r="AF259" s="10"/>
      <c r="AG259" s="44"/>
      <c r="AH259" s="44"/>
      <c r="AI259" s="46" t="s">
        <v>6054</v>
      </c>
      <c r="AJ259" s="44" t="s">
        <v>6052</v>
      </c>
      <c r="AK259" s="44" t="s">
        <v>6052</v>
      </c>
      <c r="AL259" s="44" t="s">
        <v>6052</v>
      </c>
      <c r="AM259" s="44" t="s">
        <v>6052</v>
      </c>
      <c r="AN259" s="44" t="s">
        <v>32554</v>
      </c>
      <c r="AO259" s="45">
        <v>11</v>
      </c>
      <c r="AP259" s="45">
        <v>1</v>
      </c>
      <c r="AQ259" s="45">
        <v>0</v>
      </c>
      <c r="AR259" s="45">
        <v>0</v>
      </c>
      <c r="AS259" s="45">
        <v>0</v>
      </c>
      <c r="AT259" s="45">
        <v>0</v>
      </c>
      <c r="AU259" s="10" t="s">
        <v>6052</v>
      </c>
      <c r="AV259" s="10" t="s">
        <v>6052</v>
      </c>
      <c r="AW259" s="10" t="s">
        <v>6052</v>
      </c>
      <c r="AX259" s="10" t="s">
        <v>6052</v>
      </c>
      <c r="AY259" s="10" t="s">
        <v>32253</v>
      </c>
      <c r="AZ259" s="44" t="s">
        <v>33117</v>
      </c>
      <c r="BA259" s="44" t="s">
        <v>30909</v>
      </c>
      <c r="BB259" s="44" t="s">
        <v>31334</v>
      </c>
      <c r="BC259" s="44" t="s">
        <v>6093</v>
      </c>
      <c r="BD259" s="44" t="s">
        <v>31713</v>
      </c>
      <c r="BE259" s="11">
        <v>1</v>
      </c>
      <c r="BF259" s="11">
        <v>0</v>
      </c>
      <c r="BG259" s="11">
        <v>0</v>
      </c>
      <c r="BH259" s="10" t="s">
        <v>33162</v>
      </c>
      <c r="BI259" s="11" t="s">
        <v>33162</v>
      </c>
      <c r="BJ259" s="10" t="s">
        <v>33475</v>
      </c>
      <c r="BK259" s="11">
        <v>100</v>
      </c>
    </row>
    <row r="260" spans="1:63" x14ac:dyDescent="0.75">
      <c r="A260" t="s">
        <v>2538</v>
      </c>
      <c r="B260" t="s">
        <v>104</v>
      </c>
      <c r="C260" t="s">
        <v>371</v>
      </c>
      <c r="D260" t="s">
        <v>372</v>
      </c>
      <c r="E260" s="22" t="s">
        <v>17863</v>
      </c>
      <c r="F260" t="s">
        <v>2539</v>
      </c>
      <c r="G260" s="1" t="str">
        <f>HYPERLINK("https://homd.org/jbrowse/?data=homd_V11.02_phage_1.2%2FGCA_009717635.1&amp;loc=GCA_009717635.1%7CWMYY01000005.1%3A239698..247269&amp;tracks=prokka,prokka_ncrna,ncbi,ncbi_ncrna,panggolin,cenote,genomad&amp;highlight=","Open JBrowse")</f>
        <v>Open JBrowse</v>
      </c>
      <c r="H260" s="10">
        <v>242698</v>
      </c>
      <c r="I260" s="10">
        <v>244269</v>
      </c>
      <c r="J260" s="10" t="s">
        <v>2540</v>
      </c>
      <c r="K260" s="10" t="s">
        <v>59</v>
      </c>
      <c r="L260" s="10" t="s">
        <v>388</v>
      </c>
      <c r="M260" s="10" t="s">
        <v>389</v>
      </c>
      <c r="N260" s="10" t="s">
        <v>42</v>
      </c>
      <c r="O260" s="10">
        <v>3</v>
      </c>
      <c r="P260" s="10" t="s">
        <v>42</v>
      </c>
      <c r="Q260" s="10" t="s">
        <v>59</v>
      </c>
      <c r="R260" s="10" t="s">
        <v>2541</v>
      </c>
      <c r="S260" s="10" t="s">
        <v>388</v>
      </c>
      <c r="T260" s="10" t="s">
        <v>42</v>
      </c>
      <c r="U260" s="10">
        <v>66</v>
      </c>
      <c r="V260" s="10">
        <v>346</v>
      </c>
      <c r="W260" s="10">
        <v>281</v>
      </c>
      <c r="X260" s="10" t="s">
        <v>390</v>
      </c>
      <c r="Y260" s="10" t="s">
        <v>2542</v>
      </c>
      <c r="Z260" s="10" t="s">
        <v>620</v>
      </c>
      <c r="AA260" s="10" t="s">
        <v>2543</v>
      </c>
      <c r="AB260" s="10" t="s">
        <v>2544</v>
      </c>
      <c r="AC260" s="10" t="s">
        <v>384</v>
      </c>
      <c r="AD260" s="10" t="s">
        <v>385</v>
      </c>
      <c r="AE260" s="10">
        <v>922</v>
      </c>
      <c r="AF260" s="10" t="s">
        <v>386</v>
      </c>
      <c r="AG260" s="44"/>
      <c r="AH260" s="44"/>
      <c r="AI260" s="44" t="s">
        <v>6052</v>
      </c>
      <c r="AJ260" s="44" t="s">
        <v>6052</v>
      </c>
      <c r="AK260" s="44" t="s">
        <v>6052</v>
      </c>
      <c r="AL260" s="44" t="s">
        <v>6052</v>
      </c>
      <c r="AM260" s="44" t="s">
        <v>6052</v>
      </c>
      <c r="AN260" s="44" t="s">
        <v>32553</v>
      </c>
      <c r="AO260" s="45">
        <v>11</v>
      </c>
      <c r="AP260" s="45">
        <v>1</v>
      </c>
      <c r="AQ260" s="45">
        <v>0</v>
      </c>
      <c r="AR260" s="45">
        <v>0</v>
      </c>
      <c r="AS260" s="45">
        <v>0</v>
      </c>
      <c r="AT260" s="45">
        <v>0</v>
      </c>
      <c r="AU260" s="10" t="s">
        <v>6052</v>
      </c>
      <c r="AV260" s="10" t="s">
        <v>6052</v>
      </c>
      <c r="AW260" s="10" t="s">
        <v>6052</v>
      </c>
      <c r="AX260" s="10" t="s">
        <v>6052</v>
      </c>
      <c r="AY260" s="10" t="s">
        <v>32253</v>
      </c>
      <c r="AZ260" s="44" t="s">
        <v>33117</v>
      </c>
      <c r="BA260" s="44" t="s">
        <v>30909</v>
      </c>
      <c r="BB260" s="44" t="s">
        <v>31333</v>
      </c>
      <c r="BC260" s="44" t="s">
        <v>6093</v>
      </c>
      <c r="BD260" s="44" t="s">
        <v>31713</v>
      </c>
      <c r="BE260" s="11">
        <v>1</v>
      </c>
      <c r="BF260" s="11">
        <v>0</v>
      </c>
      <c r="BG260" s="11">
        <v>0</v>
      </c>
      <c r="BH260" s="10" t="s">
        <v>32214</v>
      </c>
      <c r="BI260" s="11">
        <v>100</v>
      </c>
      <c r="BJ260" s="10" t="s">
        <v>33474</v>
      </c>
      <c r="BK260" s="11">
        <v>100</v>
      </c>
    </row>
    <row r="261" spans="1:63" x14ac:dyDescent="0.75">
      <c r="A261" t="s">
        <v>5033</v>
      </c>
      <c r="B261" t="s">
        <v>104</v>
      </c>
      <c r="C261" t="s">
        <v>1674</v>
      </c>
      <c r="D261" t="s">
        <v>393</v>
      </c>
      <c r="E261" s="22" t="s">
        <v>26616</v>
      </c>
      <c r="F261" t="s">
        <v>5034</v>
      </c>
      <c r="G261" s="1" t="str">
        <f>HYPERLINK("https://homd.org/jbrowse/?data=homd_V11.02_phage_1.2%2FGCA_031082475.1&amp;loc=GCA_031082475.1%7CJAMZMG010000004.1%3A147067..153927&amp;tracks=prokka,prokka_ncrna,ncbi,ncbi_ncrna,panggolin,cenote,genomad&amp;highlight=","Open JBrowse")</f>
        <v>Open JBrowse</v>
      </c>
      <c r="H261" s="10">
        <v>150067</v>
      </c>
      <c r="I261" s="10">
        <v>150927</v>
      </c>
      <c r="J261" s="10" t="s">
        <v>5035</v>
      </c>
      <c r="K261" s="10" t="s">
        <v>59</v>
      </c>
      <c r="L261" s="10" t="s">
        <v>396</v>
      </c>
      <c r="M261" s="10" t="s">
        <v>397</v>
      </c>
      <c r="N261" s="10" t="s">
        <v>398</v>
      </c>
      <c r="O261" s="10">
        <v>3</v>
      </c>
      <c r="P261" s="10" t="s">
        <v>42</v>
      </c>
      <c r="Q261" s="10" t="s">
        <v>59</v>
      </c>
      <c r="R261" s="10" t="s">
        <v>5036</v>
      </c>
      <c r="S261" s="10" t="s">
        <v>396</v>
      </c>
      <c r="T261" s="10" t="s">
        <v>42</v>
      </c>
      <c r="U261" s="10">
        <v>46</v>
      </c>
      <c r="V261" s="10">
        <v>282</v>
      </c>
      <c r="W261" s="10">
        <v>237</v>
      </c>
      <c r="X261" s="10" t="s">
        <v>400</v>
      </c>
      <c r="Y261" s="10" t="s">
        <v>5037</v>
      </c>
      <c r="Z261" s="10" t="s">
        <v>1948</v>
      </c>
      <c r="AA261" s="10" t="s">
        <v>4973</v>
      </c>
      <c r="AB261" s="10"/>
      <c r="AC261" s="10"/>
      <c r="AD261" s="10"/>
      <c r="AE261" s="10"/>
      <c r="AF261" s="10"/>
      <c r="AG261" s="44"/>
      <c r="AH261" s="44"/>
      <c r="AI261" s="44" t="s">
        <v>6052</v>
      </c>
      <c r="AJ261" s="44" t="s">
        <v>6052</v>
      </c>
      <c r="AK261" s="44" t="s">
        <v>6052</v>
      </c>
      <c r="AL261" s="44" t="s">
        <v>6052</v>
      </c>
      <c r="AM261" s="44" t="s">
        <v>6052</v>
      </c>
      <c r="AN261" s="44" t="s">
        <v>32590</v>
      </c>
      <c r="AO261" s="45">
        <v>11</v>
      </c>
      <c r="AP261" s="45">
        <v>1</v>
      </c>
      <c r="AQ261" s="45">
        <v>0</v>
      </c>
      <c r="AR261" s="45">
        <v>0</v>
      </c>
      <c r="AS261" s="45">
        <v>0</v>
      </c>
      <c r="AT261" s="45">
        <v>0</v>
      </c>
      <c r="AU261" s="10" t="s">
        <v>6052</v>
      </c>
      <c r="AV261" s="10" t="s">
        <v>6052</v>
      </c>
      <c r="AW261" s="10" t="s">
        <v>6052</v>
      </c>
      <c r="AX261" s="10" t="s">
        <v>6052</v>
      </c>
      <c r="AY261" s="10" t="s">
        <v>32253</v>
      </c>
      <c r="AZ261" s="44" t="s">
        <v>33118</v>
      </c>
      <c r="BA261" s="44" t="s">
        <v>30924</v>
      </c>
      <c r="BB261" s="44" t="s">
        <v>31358</v>
      </c>
      <c r="BC261" s="44" t="s">
        <v>7190</v>
      </c>
      <c r="BD261" s="44" t="s">
        <v>31712</v>
      </c>
      <c r="BE261" s="11">
        <v>1</v>
      </c>
      <c r="BF261" s="11">
        <v>0</v>
      </c>
      <c r="BG261" s="11">
        <v>0</v>
      </c>
      <c r="BH261" s="10" t="s">
        <v>33197</v>
      </c>
      <c r="BI261" s="11">
        <v>100</v>
      </c>
      <c r="BJ261" s="10" t="s">
        <v>33198</v>
      </c>
      <c r="BK261" s="11">
        <v>100</v>
      </c>
    </row>
    <row r="262" spans="1:63" x14ac:dyDescent="0.75">
      <c r="A262" t="s">
        <v>4992</v>
      </c>
      <c r="B262" t="s">
        <v>104</v>
      </c>
      <c r="C262" t="s">
        <v>1674</v>
      </c>
      <c r="D262" t="s">
        <v>393</v>
      </c>
      <c r="E262" s="22" t="s">
        <v>26411</v>
      </c>
      <c r="F262" t="s">
        <v>4993</v>
      </c>
      <c r="G262" s="1" t="str">
        <f>HYPERLINK("https://homd.org/jbrowse/?data=homd_V11.02_phage_1.2%2FGCA_030527985.1&amp;loc=GCA_030527985.1%7CJAUMZT010000024.1%3A32531..39391&amp;tracks=prokka,prokka_ncrna,ncbi,ncbi_ncrna,panggolin,cenote,genomad&amp;highlight=","Open JBrowse")</f>
        <v>Open JBrowse</v>
      </c>
      <c r="H262" s="10">
        <v>35531</v>
      </c>
      <c r="I262" s="10">
        <v>36391</v>
      </c>
      <c r="J262" s="10" t="s">
        <v>4994</v>
      </c>
      <c r="K262" s="10" t="s">
        <v>59</v>
      </c>
      <c r="L262" s="10" t="s">
        <v>4995</v>
      </c>
      <c r="M262" s="10" t="s">
        <v>397</v>
      </c>
      <c r="N262" s="10" t="s">
        <v>398</v>
      </c>
      <c r="O262" s="10">
        <v>3</v>
      </c>
      <c r="P262" s="10" t="s">
        <v>42</v>
      </c>
      <c r="Q262" s="10" t="s">
        <v>59</v>
      </c>
      <c r="R262" s="10" t="s">
        <v>4996</v>
      </c>
      <c r="S262" s="10" t="s">
        <v>4995</v>
      </c>
      <c r="T262" s="10" t="s">
        <v>42</v>
      </c>
      <c r="U262" s="10">
        <v>47</v>
      </c>
      <c r="V262" s="10">
        <v>282</v>
      </c>
      <c r="W262" s="10">
        <v>236</v>
      </c>
      <c r="X262" s="10" t="s">
        <v>400</v>
      </c>
      <c r="Y262" s="10" t="s">
        <v>4997</v>
      </c>
      <c r="Z262" s="10" t="s">
        <v>811</v>
      </c>
      <c r="AA262" s="10" t="s">
        <v>4998</v>
      </c>
      <c r="AB262" s="10"/>
      <c r="AC262" s="10"/>
      <c r="AD262" s="10"/>
      <c r="AE262" s="10"/>
      <c r="AF262" s="10"/>
      <c r="AG262" s="44"/>
      <c r="AH262" s="44"/>
      <c r="AI262" s="44" t="s">
        <v>6052</v>
      </c>
      <c r="AJ262" s="44" t="s">
        <v>6052</v>
      </c>
      <c r="AK262" s="44" t="s">
        <v>6052</v>
      </c>
      <c r="AL262" s="44" t="s">
        <v>6052</v>
      </c>
      <c r="AM262" s="44" t="s">
        <v>6052</v>
      </c>
      <c r="AN262" s="44" t="s">
        <v>32993</v>
      </c>
      <c r="AO262" s="45">
        <v>11</v>
      </c>
      <c r="AP262" s="45">
        <v>1</v>
      </c>
      <c r="AQ262" s="45">
        <v>0</v>
      </c>
      <c r="AR262" s="45">
        <v>0</v>
      </c>
      <c r="AS262" s="45">
        <v>0</v>
      </c>
      <c r="AT262" s="45">
        <v>0</v>
      </c>
      <c r="AU262" s="10" t="s">
        <v>6052</v>
      </c>
      <c r="AV262" s="10" t="s">
        <v>6052</v>
      </c>
      <c r="AW262" s="10" t="s">
        <v>6052</v>
      </c>
      <c r="AX262" s="10" t="s">
        <v>6052</v>
      </c>
      <c r="AY262" s="10" t="s">
        <v>32253</v>
      </c>
      <c r="AZ262" s="44" t="s">
        <v>33118</v>
      </c>
      <c r="BA262" s="44" t="s">
        <v>31102</v>
      </c>
      <c r="BB262" s="44" t="s">
        <v>31617</v>
      </c>
      <c r="BC262" s="44" t="s">
        <v>7190</v>
      </c>
      <c r="BD262" s="44" t="s">
        <v>31712</v>
      </c>
      <c r="BE262" s="11">
        <v>1</v>
      </c>
      <c r="BF262" s="11">
        <v>0</v>
      </c>
      <c r="BG262" s="11">
        <v>0</v>
      </c>
      <c r="BH262" s="10" t="s">
        <v>33201</v>
      </c>
      <c r="BI262" s="11">
        <v>100</v>
      </c>
      <c r="BJ262" s="10" t="s">
        <v>33202</v>
      </c>
      <c r="BK262" s="11">
        <v>100</v>
      </c>
    </row>
    <row r="263" spans="1:63" x14ac:dyDescent="0.75">
      <c r="A263" t="s">
        <v>4974</v>
      </c>
      <c r="B263" t="s">
        <v>104</v>
      </c>
      <c r="C263" t="s">
        <v>2427</v>
      </c>
      <c r="D263" t="s">
        <v>2428</v>
      </c>
      <c r="E263" s="22" t="s">
        <v>26407</v>
      </c>
      <c r="F263" t="s">
        <v>4984</v>
      </c>
      <c r="G263" s="1" t="str">
        <f>HYPERLINK("https://homd.org/jbrowse/?data=homd_V11.02_phage_1.2%2FGCA_030527835.1&amp;loc=GCA_030527835.1%7CJAUMZZ010000014.1%3A1..6709&amp;tracks=prokka,prokka_ncrna,ncbi,ncbi_ncrna,panggolin,cenote,genomad&amp;highlight=","Open JBrowse")</f>
        <v>Open JBrowse</v>
      </c>
      <c r="H263" s="10">
        <v>2690</v>
      </c>
      <c r="I263" s="10">
        <v>3709</v>
      </c>
      <c r="J263" s="10" t="s">
        <v>4985</v>
      </c>
      <c r="K263" s="10" t="s">
        <v>59</v>
      </c>
      <c r="L263" s="10" t="s">
        <v>857</v>
      </c>
      <c r="M263" s="10" t="s">
        <v>858</v>
      </c>
      <c r="N263" s="10" t="s">
        <v>42</v>
      </c>
      <c r="O263" s="10">
        <v>3</v>
      </c>
      <c r="P263" s="10" t="s">
        <v>42</v>
      </c>
      <c r="Q263" s="10" t="s">
        <v>59</v>
      </c>
      <c r="R263" s="10" t="s">
        <v>4979</v>
      </c>
      <c r="S263" s="10" t="s">
        <v>857</v>
      </c>
      <c r="T263" s="10" t="s">
        <v>42</v>
      </c>
      <c r="U263" s="10">
        <v>80</v>
      </c>
      <c r="V263" s="10">
        <v>336</v>
      </c>
      <c r="W263" s="10">
        <v>257</v>
      </c>
      <c r="X263" s="10" t="s">
        <v>142</v>
      </c>
      <c r="Y263" s="10" t="s">
        <v>4986</v>
      </c>
      <c r="Z263" s="10" t="s">
        <v>1948</v>
      </c>
      <c r="AA263" s="10" t="s">
        <v>4987</v>
      </c>
      <c r="AB263" s="10"/>
      <c r="AC263" s="10"/>
      <c r="AD263" s="10"/>
      <c r="AE263" s="10"/>
      <c r="AF263" s="10"/>
      <c r="AG263" s="44"/>
      <c r="AH263" s="44"/>
      <c r="AI263" s="44" t="s">
        <v>6052</v>
      </c>
      <c r="AJ263" s="44" t="s">
        <v>6052</v>
      </c>
      <c r="AK263" s="44" t="s">
        <v>6052</v>
      </c>
      <c r="AL263" s="44" t="s">
        <v>6055</v>
      </c>
      <c r="AM263" s="44" t="s">
        <v>6052</v>
      </c>
      <c r="AN263" s="44" t="s">
        <v>32994</v>
      </c>
      <c r="AO263" s="45">
        <v>11</v>
      </c>
      <c r="AP263" s="45">
        <v>1</v>
      </c>
      <c r="AQ263" s="45">
        <v>0</v>
      </c>
      <c r="AR263" s="45">
        <v>0</v>
      </c>
      <c r="AS263" s="45">
        <v>0</v>
      </c>
      <c r="AT263" s="45">
        <v>0</v>
      </c>
      <c r="AU263" s="10" t="s">
        <v>6052</v>
      </c>
      <c r="AV263" s="10" t="s">
        <v>6052</v>
      </c>
      <c r="AW263" s="10" t="s">
        <v>6052</v>
      </c>
      <c r="AX263" s="10" t="s">
        <v>6052</v>
      </c>
      <c r="AY263" s="10" t="s">
        <v>32253</v>
      </c>
      <c r="AZ263" s="44" t="s">
        <v>33117</v>
      </c>
      <c r="BA263" s="44" t="s">
        <v>31103</v>
      </c>
      <c r="BB263" s="44" t="s">
        <v>31618</v>
      </c>
      <c r="BC263" s="44" t="s">
        <v>6425</v>
      </c>
      <c r="BD263" s="44" t="s">
        <v>31709</v>
      </c>
      <c r="BE263" s="11">
        <v>1</v>
      </c>
      <c r="BF263" s="11">
        <v>0</v>
      </c>
      <c r="BG263" s="11">
        <v>0</v>
      </c>
      <c r="BH263" s="10" t="s">
        <v>31967</v>
      </c>
      <c r="BI263" s="11">
        <v>100</v>
      </c>
      <c r="BJ263" s="10" t="s">
        <v>33299</v>
      </c>
      <c r="BK263" s="11">
        <v>100</v>
      </c>
    </row>
    <row r="264" spans="1:63" x14ac:dyDescent="0.75">
      <c r="A264" t="s">
        <v>4974</v>
      </c>
      <c r="B264" t="s">
        <v>104</v>
      </c>
      <c r="C264" t="s">
        <v>2427</v>
      </c>
      <c r="D264" t="s">
        <v>2428</v>
      </c>
      <c r="E264" s="22" t="s">
        <v>26407</v>
      </c>
      <c r="F264" t="s">
        <v>4975</v>
      </c>
      <c r="G264" s="1" t="str">
        <f>HYPERLINK("https://homd.org/jbrowse/?data=homd_V11.02_phage_1.2%2FGCA_030527835.1&amp;loc=GCA_030527835.1%7CJAUMZZ010000004.1%3A74834..83260&amp;tracks=prokka,prokka_ncrna,ncbi,ncbi_ncrna,panggolin,cenote,genomad&amp;highlight=","Open JBrowse")</f>
        <v>Open JBrowse</v>
      </c>
      <c r="H264" s="10">
        <v>77834</v>
      </c>
      <c r="I264" s="10">
        <v>80260</v>
      </c>
      <c r="J264" s="10" t="s">
        <v>4976</v>
      </c>
      <c r="K264" s="10" t="s">
        <v>1096</v>
      </c>
      <c r="L264" s="10" t="s">
        <v>4977</v>
      </c>
      <c r="M264" s="10" t="s">
        <v>4978</v>
      </c>
      <c r="N264" s="10" t="s">
        <v>398</v>
      </c>
      <c r="O264" s="10">
        <v>3</v>
      </c>
      <c r="P264" s="10" t="s">
        <v>42</v>
      </c>
      <c r="Q264" s="10" t="s">
        <v>101</v>
      </c>
      <c r="R264" s="10" t="s">
        <v>4979</v>
      </c>
      <c r="S264" s="10" t="s">
        <v>4977</v>
      </c>
      <c r="T264" s="10" t="s">
        <v>42</v>
      </c>
      <c r="U264" s="10">
        <v>208</v>
      </c>
      <c r="V264" s="10">
        <v>473</v>
      </c>
      <c r="W264" s="10">
        <v>266</v>
      </c>
      <c r="X264" s="10" t="s">
        <v>1099</v>
      </c>
      <c r="Y264" s="10" t="s">
        <v>4980</v>
      </c>
      <c r="Z264" s="10" t="s">
        <v>1463</v>
      </c>
      <c r="AA264" s="10" t="s">
        <v>4981</v>
      </c>
      <c r="AB264" s="10" t="s">
        <v>4982</v>
      </c>
      <c r="AC264" s="10" t="s">
        <v>4983</v>
      </c>
      <c r="AD264" s="10" t="s">
        <v>101</v>
      </c>
      <c r="AE264" s="10">
        <v>765</v>
      </c>
      <c r="AF264" s="10" t="s">
        <v>102</v>
      </c>
      <c r="AG264" s="44" t="s">
        <v>101</v>
      </c>
      <c r="AH264" s="44">
        <v>2</v>
      </c>
      <c r="AI264" s="44" t="s">
        <v>6052</v>
      </c>
      <c r="AJ264" s="44" t="s">
        <v>6052</v>
      </c>
      <c r="AK264" s="44" t="s">
        <v>6052</v>
      </c>
      <c r="AL264" s="44" t="s">
        <v>6052</v>
      </c>
      <c r="AM264" s="44" t="s">
        <v>6052</v>
      </c>
      <c r="AN264" s="44" t="s">
        <v>32995</v>
      </c>
      <c r="AO264" s="45">
        <v>11</v>
      </c>
      <c r="AP264" s="45">
        <v>1</v>
      </c>
      <c r="AQ264" s="45">
        <v>0</v>
      </c>
      <c r="AR264" s="45">
        <v>0</v>
      </c>
      <c r="AS264" s="45">
        <v>0</v>
      </c>
      <c r="AT264" s="45">
        <v>0</v>
      </c>
      <c r="AU264" s="10" t="s">
        <v>6052</v>
      </c>
      <c r="AV264" s="10" t="s">
        <v>6052</v>
      </c>
      <c r="AW264" s="10" t="s">
        <v>6052</v>
      </c>
      <c r="AX264" s="10" t="s">
        <v>6052</v>
      </c>
      <c r="AY264" s="10" t="s">
        <v>32253</v>
      </c>
      <c r="AZ264" s="44" t="s">
        <v>33110</v>
      </c>
      <c r="BA264" s="44" t="s">
        <v>31103</v>
      </c>
      <c r="BB264" s="44" t="s">
        <v>31619</v>
      </c>
      <c r="BC264" s="44" t="s">
        <v>6425</v>
      </c>
      <c r="BD264" s="44" t="s">
        <v>31709</v>
      </c>
      <c r="BE264" s="11">
        <v>1</v>
      </c>
      <c r="BF264" s="11">
        <v>0</v>
      </c>
      <c r="BG264" s="11">
        <v>0</v>
      </c>
      <c r="BH264" s="10" t="s">
        <v>32237</v>
      </c>
      <c r="BI264" s="11">
        <v>100</v>
      </c>
      <c r="BJ264" s="10" t="s">
        <v>33297</v>
      </c>
      <c r="BK264" s="11">
        <v>100</v>
      </c>
    </row>
    <row r="265" spans="1:63" x14ac:dyDescent="0.75">
      <c r="A265" t="s">
        <v>4968</v>
      </c>
      <c r="B265" t="s">
        <v>104</v>
      </c>
      <c r="C265" t="s">
        <v>1674</v>
      </c>
      <c r="D265" t="s">
        <v>393</v>
      </c>
      <c r="E265" s="22" t="s">
        <v>26207</v>
      </c>
      <c r="F265" t="s">
        <v>4969</v>
      </c>
      <c r="G265" s="1" t="str">
        <f>HYPERLINK("https://homd.org/jbrowse/?data=homd_V11.02_phage_1.2%2FGCA_030371665.1&amp;loc=GCA_030371665.1%7CJAUDBR010000014.1%3A92617..99477&amp;tracks=prokka,prokka_ncrna,ncbi,ncbi_ncrna,panggolin,cenote,genomad&amp;highlight=","Open JBrowse")</f>
        <v>Open JBrowse</v>
      </c>
      <c r="H265" s="10">
        <v>95617</v>
      </c>
      <c r="I265" s="10">
        <v>96477</v>
      </c>
      <c r="J265" s="10" t="s">
        <v>4970</v>
      </c>
      <c r="K265" s="10" t="s">
        <v>59</v>
      </c>
      <c r="L265" s="10" t="s">
        <v>396</v>
      </c>
      <c r="M265" s="10" t="s">
        <v>397</v>
      </c>
      <c r="N265" s="10" t="s">
        <v>398</v>
      </c>
      <c r="O265" s="10">
        <v>3</v>
      </c>
      <c r="P265" s="10" t="s">
        <v>42</v>
      </c>
      <c r="Q265" s="10" t="s">
        <v>59</v>
      </c>
      <c r="R265" s="10" t="s">
        <v>4971</v>
      </c>
      <c r="S265" s="10" t="s">
        <v>396</v>
      </c>
      <c r="T265" s="10" t="s">
        <v>42</v>
      </c>
      <c r="U265" s="10">
        <v>46</v>
      </c>
      <c r="V265" s="10">
        <v>282</v>
      </c>
      <c r="W265" s="10">
        <v>237</v>
      </c>
      <c r="X265" s="10" t="s">
        <v>400</v>
      </c>
      <c r="Y265" s="10" t="s">
        <v>4972</v>
      </c>
      <c r="Z265" s="10" t="s">
        <v>1450</v>
      </c>
      <c r="AA265" s="10" t="s">
        <v>4973</v>
      </c>
      <c r="AB265" s="10"/>
      <c r="AC265" s="10"/>
      <c r="AD265" s="10"/>
      <c r="AE265" s="10"/>
      <c r="AF265" s="10"/>
      <c r="AG265" s="44"/>
      <c r="AH265" s="44"/>
      <c r="AI265" s="44" t="s">
        <v>6052</v>
      </c>
      <c r="AJ265" s="44" t="s">
        <v>6052</v>
      </c>
      <c r="AK265" s="44" t="s">
        <v>6052</v>
      </c>
      <c r="AL265" s="44" t="s">
        <v>6052</v>
      </c>
      <c r="AM265" s="44" t="s">
        <v>6052</v>
      </c>
      <c r="AN265" s="44" t="s">
        <v>32638</v>
      </c>
      <c r="AO265" s="45">
        <v>11</v>
      </c>
      <c r="AP265" s="45">
        <v>1</v>
      </c>
      <c r="AQ265" s="45">
        <v>0</v>
      </c>
      <c r="AR265" s="45">
        <v>0</v>
      </c>
      <c r="AS265" s="45">
        <v>0</v>
      </c>
      <c r="AT265" s="45">
        <v>0</v>
      </c>
      <c r="AU265" s="10" t="s">
        <v>6052</v>
      </c>
      <c r="AV265" s="10" t="s">
        <v>6052</v>
      </c>
      <c r="AW265" s="10" t="s">
        <v>6052</v>
      </c>
      <c r="AX265" s="10" t="s">
        <v>6052</v>
      </c>
      <c r="AY265" s="10" t="s">
        <v>32253</v>
      </c>
      <c r="AZ265" s="44" t="s">
        <v>33118</v>
      </c>
      <c r="BA265" s="44" t="s">
        <v>30949</v>
      </c>
      <c r="BB265" s="44" t="s">
        <v>31389</v>
      </c>
      <c r="BC265" s="44" t="s">
        <v>7190</v>
      </c>
      <c r="BD265" s="44" t="s">
        <v>31712</v>
      </c>
      <c r="BE265" s="11">
        <v>1</v>
      </c>
      <c r="BF265" s="11">
        <v>0</v>
      </c>
      <c r="BG265" s="11">
        <v>0</v>
      </c>
      <c r="BH265" s="10" t="s">
        <v>33199</v>
      </c>
      <c r="BI265" s="11">
        <v>100</v>
      </c>
      <c r="BJ265" s="10" t="s">
        <v>33200</v>
      </c>
      <c r="BK265" s="11">
        <v>100</v>
      </c>
    </row>
    <row r="266" spans="1:63" x14ac:dyDescent="0.75">
      <c r="A266" t="s">
        <v>4131</v>
      </c>
      <c r="B266" t="s">
        <v>104</v>
      </c>
      <c r="C266" t="s">
        <v>2376</v>
      </c>
      <c r="D266" t="s">
        <v>2377</v>
      </c>
      <c r="E266" s="22" t="s">
        <v>22929</v>
      </c>
      <c r="F266" t="s">
        <v>4132</v>
      </c>
      <c r="G266" s="1" t="str">
        <f>HYPERLINK("https://homd.org/jbrowse/?data=homd_V11.02_phage_1.2%2FGCA_022828325.1&amp;loc=GCA_022828325.1%7CJAJQJS010000002.1%3A289069..296787&amp;tracks=prokka,prokka_ncrna,ncbi,ncbi_ncrna,panggolin,cenote,genomad&amp;highlight=","Open JBrowse")</f>
        <v>Open JBrowse</v>
      </c>
      <c r="H266" s="10">
        <v>292069</v>
      </c>
      <c r="I266" s="10">
        <v>293787</v>
      </c>
      <c r="J266" s="10" t="s">
        <v>4138</v>
      </c>
      <c r="K266" s="10" t="s">
        <v>59</v>
      </c>
      <c r="L266" s="10" t="s">
        <v>4051</v>
      </c>
      <c r="M266" s="10" t="s">
        <v>4052</v>
      </c>
      <c r="N266" s="10" t="s">
        <v>42</v>
      </c>
      <c r="O266" s="10">
        <v>3</v>
      </c>
      <c r="P266" s="10" t="s">
        <v>42</v>
      </c>
      <c r="Q266" s="10" t="s">
        <v>59</v>
      </c>
      <c r="R266" s="10" t="s">
        <v>4134</v>
      </c>
      <c r="S266" s="10" t="s">
        <v>4051</v>
      </c>
      <c r="T266" s="10" t="s">
        <v>42</v>
      </c>
      <c r="U266" s="10">
        <v>55</v>
      </c>
      <c r="V266" s="10">
        <v>308</v>
      </c>
      <c r="W266" s="10">
        <v>254</v>
      </c>
      <c r="X266" s="10" t="s">
        <v>237</v>
      </c>
      <c r="Y266" s="10" t="s">
        <v>4135</v>
      </c>
      <c r="Z266" s="10" t="s">
        <v>1334</v>
      </c>
      <c r="AA266" s="10" t="s">
        <v>4136</v>
      </c>
      <c r="AB266" s="10" t="s">
        <v>4137</v>
      </c>
      <c r="AC266" s="10" t="s">
        <v>1551</v>
      </c>
      <c r="AD266" s="10" t="s">
        <v>101</v>
      </c>
      <c r="AE266" s="10">
        <v>247</v>
      </c>
      <c r="AF266" s="10" t="s">
        <v>795</v>
      </c>
      <c r="AG266" s="44"/>
      <c r="AH266" s="44"/>
      <c r="AI266" s="44" t="s">
        <v>6052</v>
      </c>
      <c r="AJ266" s="44" t="s">
        <v>6052</v>
      </c>
      <c r="AK266" s="44" t="s">
        <v>6052</v>
      </c>
      <c r="AL266" s="44" t="s">
        <v>6052</v>
      </c>
      <c r="AM266" s="44" t="s">
        <v>6052</v>
      </c>
      <c r="AN266" s="44" t="s">
        <v>33049</v>
      </c>
      <c r="AO266" s="45">
        <v>11</v>
      </c>
      <c r="AP266" s="45">
        <v>1</v>
      </c>
      <c r="AQ266" s="45">
        <v>0</v>
      </c>
      <c r="AR266" s="45">
        <v>0</v>
      </c>
      <c r="AS266" s="45">
        <v>0</v>
      </c>
      <c r="AT266" s="45">
        <v>0</v>
      </c>
      <c r="AU266" s="10" t="s">
        <v>6052</v>
      </c>
      <c r="AV266" s="10" t="s">
        <v>6052</v>
      </c>
      <c r="AW266" s="10" t="s">
        <v>6052</v>
      </c>
      <c r="AX266" s="10" t="s">
        <v>6052</v>
      </c>
      <c r="AY266" s="10" t="s">
        <v>32253</v>
      </c>
      <c r="AZ266" s="44" t="s">
        <v>33117</v>
      </c>
      <c r="BA266" s="44" t="s">
        <v>31142</v>
      </c>
      <c r="BB266" s="44" t="s">
        <v>31669</v>
      </c>
      <c r="BC266" s="44" t="s">
        <v>10700</v>
      </c>
      <c r="BD266" s="44" t="s">
        <v>31711</v>
      </c>
      <c r="BE266" s="11">
        <v>1</v>
      </c>
      <c r="BF266" s="11">
        <v>0</v>
      </c>
      <c r="BG266" s="11">
        <v>0</v>
      </c>
      <c r="BH266" s="10" t="s">
        <v>31884</v>
      </c>
      <c r="BI266" s="11">
        <v>100</v>
      </c>
      <c r="BJ266" s="10" t="s">
        <v>33339</v>
      </c>
      <c r="BK266" s="11">
        <v>100</v>
      </c>
    </row>
    <row r="267" spans="1:63" x14ac:dyDescent="0.75">
      <c r="A267" t="s">
        <v>4131</v>
      </c>
      <c r="B267" t="s">
        <v>104</v>
      </c>
      <c r="C267" t="s">
        <v>2376</v>
      </c>
      <c r="D267" t="s">
        <v>2377</v>
      </c>
      <c r="E267" s="22" t="s">
        <v>22929</v>
      </c>
      <c r="F267" t="s">
        <v>4132</v>
      </c>
      <c r="G267" s="1" t="str">
        <f>HYPERLINK("https://homd.org/jbrowse/?data=homd_V11.02_phage_1.2%2FGCA_022828325.1&amp;loc=GCA_022828325.1%7CJAJQJS010000002.1%3A287634..294881&amp;tracks=prokka,prokka_ncrna,ncbi,ncbi_ncrna,panggolin,cenote,genomad&amp;highlight=","Open JBrowse")</f>
        <v>Open JBrowse</v>
      </c>
      <c r="H267" s="10">
        <v>290634</v>
      </c>
      <c r="I267" s="10">
        <v>291881</v>
      </c>
      <c r="J267" s="10" t="s">
        <v>4133</v>
      </c>
      <c r="K267" s="10" t="s">
        <v>59</v>
      </c>
      <c r="L267" s="10" t="s">
        <v>2380</v>
      </c>
      <c r="M267" s="10" t="s">
        <v>2381</v>
      </c>
      <c r="N267" s="10" t="s">
        <v>42</v>
      </c>
      <c r="O267" s="10">
        <v>3</v>
      </c>
      <c r="P267" s="10" t="s">
        <v>42</v>
      </c>
      <c r="Q267" s="10" t="s">
        <v>59</v>
      </c>
      <c r="R267" s="10" t="s">
        <v>4134</v>
      </c>
      <c r="S267" s="10" t="s">
        <v>2380</v>
      </c>
      <c r="T267" s="10" t="s">
        <v>42</v>
      </c>
      <c r="U267" s="10">
        <v>59</v>
      </c>
      <c r="V267" s="10">
        <v>310</v>
      </c>
      <c r="W267" s="10">
        <v>252</v>
      </c>
      <c r="X267" s="10" t="s">
        <v>237</v>
      </c>
      <c r="Y267" s="10" t="s">
        <v>4135</v>
      </c>
      <c r="Z267" s="10" t="s">
        <v>1334</v>
      </c>
      <c r="AA267" s="10" t="s">
        <v>4136</v>
      </c>
      <c r="AB267" s="10" t="s">
        <v>4137</v>
      </c>
      <c r="AC267" s="10" t="s">
        <v>1551</v>
      </c>
      <c r="AD267" s="10" t="s">
        <v>101</v>
      </c>
      <c r="AE267" s="10">
        <v>247</v>
      </c>
      <c r="AF267" s="10" t="s">
        <v>795</v>
      </c>
      <c r="AG267" s="44"/>
      <c r="AH267" s="44"/>
      <c r="AI267" s="44" t="s">
        <v>6052</v>
      </c>
      <c r="AJ267" s="44" t="s">
        <v>6052</v>
      </c>
      <c r="AK267" s="44" t="s">
        <v>6052</v>
      </c>
      <c r="AL267" s="44" t="s">
        <v>6052</v>
      </c>
      <c r="AM267" s="44" t="s">
        <v>6052</v>
      </c>
      <c r="AN267" s="44" t="s">
        <v>33050</v>
      </c>
      <c r="AO267" s="45">
        <v>11</v>
      </c>
      <c r="AP267" s="45">
        <v>1</v>
      </c>
      <c r="AQ267" s="45">
        <v>0</v>
      </c>
      <c r="AR267" s="45">
        <v>0</v>
      </c>
      <c r="AS267" s="45">
        <v>0</v>
      </c>
      <c r="AT267" s="45">
        <v>0</v>
      </c>
      <c r="AU267" s="10" t="s">
        <v>6052</v>
      </c>
      <c r="AV267" s="10" t="s">
        <v>6052</v>
      </c>
      <c r="AW267" s="10" t="s">
        <v>6052</v>
      </c>
      <c r="AX267" s="10" t="s">
        <v>6052</v>
      </c>
      <c r="AY267" s="10" t="s">
        <v>32253</v>
      </c>
      <c r="AZ267" s="44" t="s">
        <v>33117</v>
      </c>
      <c r="BA267" s="44" t="s">
        <v>31142</v>
      </c>
      <c r="BB267" s="44" t="s">
        <v>31670</v>
      </c>
      <c r="BC267" s="44" t="s">
        <v>10700</v>
      </c>
      <c r="BD267" s="44" t="s">
        <v>31711</v>
      </c>
      <c r="BE267" s="11">
        <v>1</v>
      </c>
      <c r="BF267" s="11">
        <v>0</v>
      </c>
      <c r="BG267" s="11">
        <v>0</v>
      </c>
      <c r="BH267" s="10" t="s">
        <v>31876</v>
      </c>
      <c r="BI267" s="11">
        <v>100</v>
      </c>
      <c r="BJ267" s="10" t="s">
        <v>33338</v>
      </c>
      <c r="BK267" s="11">
        <v>100</v>
      </c>
    </row>
    <row r="268" spans="1:63" x14ac:dyDescent="0.75">
      <c r="A268" t="s">
        <v>4108</v>
      </c>
      <c r="B268" t="s">
        <v>104</v>
      </c>
      <c r="C268" t="s">
        <v>2376</v>
      </c>
      <c r="D268" t="s">
        <v>2377</v>
      </c>
      <c r="E268" s="22" t="s">
        <v>22923</v>
      </c>
      <c r="F268" t="s">
        <v>4109</v>
      </c>
      <c r="G268" s="1" t="str">
        <f>HYPERLINK("https://homd.org/jbrowse/?data=homd_V11.02_phage_1.2%2FGCA_022828255.1&amp;loc=GCA_022828255.1%7CJAJQJW010000002.1%3A313115..320362&amp;tracks=prokka,prokka_ncrna,ncbi,ncbi_ncrna,panggolin,cenote,genomad&amp;highlight=","Open JBrowse")</f>
        <v>Open JBrowse</v>
      </c>
      <c r="H268" s="10">
        <v>316115</v>
      </c>
      <c r="I268" s="10">
        <v>317362</v>
      </c>
      <c r="J268" s="10" t="s">
        <v>4115</v>
      </c>
      <c r="K268" s="10" t="s">
        <v>59</v>
      </c>
      <c r="L268" s="10" t="s">
        <v>2380</v>
      </c>
      <c r="M268" s="10" t="s">
        <v>2381</v>
      </c>
      <c r="N268" s="10" t="s">
        <v>42</v>
      </c>
      <c r="O268" s="10">
        <v>3</v>
      </c>
      <c r="P268" s="10" t="s">
        <v>42</v>
      </c>
      <c r="Q268" s="10" t="s">
        <v>59</v>
      </c>
      <c r="R268" s="10" t="s">
        <v>4111</v>
      </c>
      <c r="S268" s="10" t="s">
        <v>2380</v>
      </c>
      <c r="T268" s="10" t="s">
        <v>42</v>
      </c>
      <c r="U268" s="10">
        <v>59</v>
      </c>
      <c r="V268" s="10">
        <v>310</v>
      </c>
      <c r="W268" s="10">
        <v>252</v>
      </c>
      <c r="X268" s="10" t="s">
        <v>237</v>
      </c>
      <c r="Y268" s="10" t="s">
        <v>4112</v>
      </c>
      <c r="Z268" s="10" t="s">
        <v>547</v>
      </c>
      <c r="AA268" s="10" t="s">
        <v>4113</v>
      </c>
      <c r="AB268" s="10" t="s">
        <v>4114</v>
      </c>
      <c r="AC268" s="10" t="s">
        <v>506</v>
      </c>
      <c r="AD268" s="10" t="s">
        <v>507</v>
      </c>
      <c r="AE268" s="10">
        <v>217.8</v>
      </c>
      <c r="AF268" s="10" t="s">
        <v>725</v>
      </c>
      <c r="AG268" s="44"/>
      <c r="AH268" s="44"/>
      <c r="AI268" s="44" t="s">
        <v>6052</v>
      </c>
      <c r="AJ268" s="44" t="s">
        <v>6052</v>
      </c>
      <c r="AK268" s="44" t="s">
        <v>6052</v>
      </c>
      <c r="AL268" s="44" t="s">
        <v>6052</v>
      </c>
      <c r="AM268" s="44" t="s">
        <v>6052</v>
      </c>
      <c r="AN268" s="44" t="s">
        <v>33048</v>
      </c>
      <c r="AO268" s="45">
        <v>11</v>
      </c>
      <c r="AP268" s="45">
        <v>1</v>
      </c>
      <c r="AQ268" s="45">
        <v>0</v>
      </c>
      <c r="AR268" s="45">
        <v>0</v>
      </c>
      <c r="AS268" s="45">
        <v>0</v>
      </c>
      <c r="AT268" s="45">
        <v>0</v>
      </c>
      <c r="AU268" s="10" t="s">
        <v>6052</v>
      </c>
      <c r="AV268" s="10" t="s">
        <v>6052</v>
      </c>
      <c r="AW268" s="10" t="s">
        <v>6052</v>
      </c>
      <c r="AX268" s="10" t="s">
        <v>6052</v>
      </c>
      <c r="AY268" s="10" t="s">
        <v>32253</v>
      </c>
      <c r="AZ268" s="44" t="s">
        <v>33117</v>
      </c>
      <c r="BA268" s="44" t="s">
        <v>31141</v>
      </c>
      <c r="BB268" s="44" t="s">
        <v>31668</v>
      </c>
      <c r="BC268" s="44" t="s">
        <v>10700</v>
      </c>
      <c r="BD268" s="44" t="s">
        <v>31711</v>
      </c>
      <c r="BE268" s="11">
        <v>1</v>
      </c>
      <c r="BF268" s="11">
        <v>0</v>
      </c>
      <c r="BG268" s="11">
        <v>0</v>
      </c>
      <c r="BH268" s="10" t="s">
        <v>31936</v>
      </c>
      <c r="BI268" s="11">
        <v>100</v>
      </c>
      <c r="BJ268" s="10" t="s">
        <v>33347</v>
      </c>
      <c r="BK268" s="11">
        <v>100</v>
      </c>
    </row>
    <row r="269" spans="1:63" x14ac:dyDescent="0.75">
      <c r="A269" t="s">
        <v>4108</v>
      </c>
      <c r="B269" t="s">
        <v>104</v>
      </c>
      <c r="C269" t="s">
        <v>2376</v>
      </c>
      <c r="D269" t="s">
        <v>2377</v>
      </c>
      <c r="E269" s="22" t="s">
        <v>22923</v>
      </c>
      <c r="F269" t="s">
        <v>4109</v>
      </c>
      <c r="G269" s="1" t="str">
        <f>HYPERLINK("https://homd.org/jbrowse/?data=homd_V11.02_phage_1.2%2FGCA_022828255.1&amp;loc=GCA_022828255.1%7CJAJQJW010000002.1%3A311141..318925&amp;tracks=prokka,prokka_ncrna,ncbi,ncbi_ncrna,panggolin,cenote,genomad&amp;highlight=","Open JBrowse")</f>
        <v>Open JBrowse</v>
      </c>
      <c r="H269" s="10">
        <v>314141</v>
      </c>
      <c r="I269" s="10">
        <v>315925</v>
      </c>
      <c r="J269" s="10" t="s">
        <v>4110</v>
      </c>
      <c r="K269" s="10" t="s">
        <v>59</v>
      </c>
      <c r="L269" s="10" t="s">
        <v>2913</v>
      </c>
      <c r="M269" s="10" t="s">
        <v>2914</v>
      </c>
      <c r="N269" s="10" t="s">
        <v>42</v>
      </c>
      <c r="O269" s="10">
        <v>3</v>
      </c>
      <c r="P269" s="10" t="s">
        <v>42</v>
      </c>
      <c r="Q269" s="10" t="s">
        <v>59</v>
      </c>
      <c r="R269" s="10" t="s">
        <v>4111</v>
      </c>
      <c r="S269" s="10" t="s">
        <v>2913</v>
      </c>
      <c r="T269" s="10" t="s">
        <v>42</v>
      </c>
      <c r="U269" s="10">
        <v>58</v>
      </c>
      <c r="V269" s="10">
        <v>320</v>
      </c>
      <c r="W269" s="10">
        <v>263</v>
      </c>
      <c r="X269" s="10" t="s">
        <v>237</v>
      </c>
      <c r="Y269" s="10" t="s">
        <v>4112</v>
      </c>
      <c r="Z269" s="10" t="s">
        <v>547</v>
      </c>
      <c r="AA269" s="10" t="s">
        <v>4113</v>
      </c>
      <c r="AB269" s="10" t="s">
        <v>4114</v>
      </c>
      <c r="AC269" s="10" t="s">
        <v>506</v>
      </c>
      <c r="AD269" s="10" t="s">
        <v>507</v>
      </c>
      <c r="AE269" s="10">
        <v>217.8</v>
      </c>
      <c r="AF269" s="10" t="s">
        <v>725</v>
      </c>
      <c r="AG269" s="44"/>
      <c r="AH269" s="44"/>
      <c r="AI269" s="44" t="s">
        <v>6052</v>
      </c>
      <c r="AJ269" s="44" t="s">
        <v>6052</v>
      </c>
      <c r="AK269" s="44" t="s">
        <v>6052</v>
      </c>
      <c r="AL269" s="44" t="s">
        <v>6052</v>
      </c>
      <c r="AM269" s="44" t="s">
        <v>6052</v>
      </c>
      <c r="AN269" s="44" t="s">
        <v>33047</v>
      </c>
      <c r="AO269" s="45">
        <v>11</v>
      </c>
      <c r="AP269" s="45">
        <v>1</v>
      </c>
      <c r="AQ269" s="45">
        <v>0</v>
      </c>
      <c r="AR269" s="45">
        <v>0</v>
      </c>
      <c r="AS269" s="45">
        <v>0</v>
      </c>
      <c r="AT269" s="45">
        <v>0</v>
      </c>
      <c r="AU269" s="10" t="s">
        <v>6052</v>
      </c>
      <c r="AV269" s="10" t="s">
        <v>6052</v>
      </c>
      <c r="AW269" s="10" t="s">
        <v>6052</v>
      </c>
      <c r="AX269" s="10" t="s">
        <v>6052</v>
      </c>
      <c r="AY269" s="10" t="s">
        <v>32253</v>
      </c>
      <c r="AZ269" s="44" t="s">
        <v>33117</v>
      </c>
      <c r="BA269" s="44" t="s">
        <v>31141</v>
      </c>
      <c r="BB269" s="44" t="s">
        <v>31667</v>
      </c>
      <c r="BC269" s="44" t="s">
        <v>10700</v>
      </c>
      <c r="BD269" s="44" t="s">
        <v>31711</v>
      </c>
      <c r="BE269" s="11">
        <v>1</v>
      </c>
      <c r="BF269" s="11">
        <v>0</v>
      </c>
      <c r="BG269" s="11">
        <v>0</v>
      </c>
      <c r="BH269" s="10" t="s">
        <v>32054</v>
      </c>
      <c r="BI269" s="11">
        <v>100</v>
      </c>
      <c r="BJ269" s="10" t="s">
        <v>33346</v>
      </c>
      <c r="BK269" s="11">
        <v>100</v>
      </c>
    </row>
    <row r="270" spans="1:63" x14ac:dyDescent="0.75">
      <c r="A270" t="s">
        <v>4139</v>
      </c>
      <c r="B270" t="s">
        <v>104</v>
      </c>
      <c r="C270" t="s">
        <v>2376</v>
      </c>
      <c r="D270" t="s">
        <v>2377</v>
      </c>
      <c r="E270" s="22" t="s">
        <v>22931</v>
      </c>
      <c r="F270" t="s">
        <v>4140</v>
      </c>
      <c r="G270" s="1" t="str">
        <f>HYPERLINK("https://homd.org/jbrowse/?data=homd_V11.02_phage_1.2%2FGCA_022828365.1&amp;loc=GCA_022828365.1%7CJAJQJU010000003.1%3A11860..19605&amp;tracks=prokka,prokka_ncrna,ncbi,ncbi_ncrna,panggolin,cenote,genomad&amp;highlight=","Open JBrowse")</f>
        <v>Open JBrowse</v>
      </c>
      <c r="H270" s="10">
        <v>14860</v>
      </c>
      <c r="I270" s="10">
        <v>16605</v>
      </c>
      <c r="J270" s="10" t="s">
        <v>4146</v>
      </c>
      <c r="K270" s="10" t="s">
        <v>59</v>
      </c>
      <c r="L270" s="10" t="s">
        <v>4147</v>
      </c>
      <c r="M270" s="10" t="s">
        <v>2388</v>
      </c>
      <c r="N270" s="10" t="s">
        <v>42</v>
      </c>
      <c r="O270" s="10">
        <v>3</v>
      </c>
      <c r="P270" s="10" t="s">
        <v>42</v>
      </c>
      <c r="Q270" s="10" t="s">
        <v>59</v>
      </c>
      <c r="R270" s="10" t="s">
        <v>4142</v>
      </c>
      <c r="S270" s="10" t="s">
        <v>4147</v>
      </c>
      <c r="T270" s="10" t="s">
        <v>42</v>
      </c>
      <c r="U270" s="10">
        <v>59</v>
      </c>
      <c r="V270" s="10">
        <v>315</v>
      </c>
      <c r="W270" s="10">
        <v>257</v>
      </c>
      <c r="X270" s="10" t="s">
        <v>237</v>
      </c>
      <c r="Y270" s="10" t="s">
        <v>4143</v>
      </c>
      <c r="Z270" s="10" t="s">
        <v>836</v>
      </c>
      <c r="AA270" s="10" t="s">
        <v>4144</v>
      </c>
      <c r="AB270" s="10" t="s">
        <v>4145</v>
      </c>
      <c r="AC270" s="10" t="s">
        <v>506</v>
      </c>
      <c r="AD270" s="10" t="s">
        <v>507</v>
      </c>
      <c r="AE270" s="10">
        <v>235</v>
      </c>
      <c r="AF270" s="10" t="s">
        <v>795</v>
      </c>
      <c r="AG270" s="44"/>
      <c r="AH270" s="44"/>
      <c r="AI270" s="44" t="s">
        <v>6052</v>
      </c>
      <c r="AJ270" s="44" t="s">
        <v>6052</v>
      </c>
      <c r="AK270" s="44" t="s">
        <v>6052</v>
      </c>
      <c r="AL270" s="44" t="s">
        <v>6052</v>
      </c>
      <c r="AM270" s="44" t="s">
        <v>6052</v>
      </c>
      <c r="AN270" s="44" t="s">
        <v>33052</v>
      </c>
      <c r="AO270" s="45">
        <v>11</v>
      </c>
      <c r="AP270" s="45">
        <v>1</v>
      </c>
      <c r="AQ270" s="45">
        <v>0</v>
      </c>
      <c r="AR270" s="45">
        <v>0</v>
      </c>
      <c r="AS270" s="45">
        <v>0</v>
      </c>
      <c r="AT270" s="45">
        <v>0</v>
      </c>
      <c r="AU270" s="10" t="s">
        <v>6052</v>
      </c>
      <c r="AV270" s="10" t="s">
        <v>6052</v>
      </c>
      <c r="AW270" s="10" t="s">
        <v>6052</v>
      </c>
      <c r="AX270" s="10" t="s">
        <v>6052</v>
      </c>
      <c r="AY270" s="10" t="s">
        <v>32253</v>
      </c>
      <c r="AZ270" s="44" t="s">
        <v>33117</v>
      </c>
      <c r="BA270" s="44" t="s">
        <v>31143</v>
      </c>
      <c r="BB270" s="44" t="s">
        <v>31672</v>
      </c>
      <c r="BC270" s="44" t="s">
        <v>10700</v>
      </c>
      <c r="BD270" s="44" t="s">
        <v>31711</v>
      </c>
      <c r="BE270" s="11">
        <v>1</v>
      </c>
      <c r="BF270" s="11">
        <v>0</v>
      </c>
      <c r="BG270" s="11">
        <v>0</v>
      </c>
      <c r="BH270" s="10" t="s">
        <v>31955</v>
      </c>
      <c r="BI270" s="11">
        <v>100</v>
      </c>
      <c r="BJ270" s="10" t="s">
        <v>33343</v>
      </c>
      <c r="BK270" s="11">
        <v>96.9</v>
      </c>
    </row>
    <row r="271" spans="1:63" x14ac:dyDescent="0.75">
      <c r="A271" t="s">
        <v>4139</v>
      </c>
      <c r="B271" t="s">
        <v>104</v>
      </c>
      <c r="C271" t="s">
        <v>2376</v>
      </c>
      <c r="D271" t="s">
        <v>2377</v>
      </c>
      <c r="E271" s="22" t="s">
        <v>22931</v>
      </c>
      <c r="F271" t="s">
        <v>4140</v>
      </c>
      <c r="G271" s="1" t="str">
        <f>HYPERLINK("https://homd.org/jbrowse/?data=homd_V11.02_phage_1.2%2FGCA_022828365.1&amp;loc=GCA_022828365.1%7CJAJQJU010000003.1%3A10422..17669&amp;tracks=prokka,prokka_ncrna,ncbi,ncbi_ncrna,panggolin,cenote,genomad&amp;highlight=","Open JBrowse")</f>
        <v>Open JBrowse</v>
      </c>
      <c r="H271" s="10">
        <v>13422</v>
      </c>
      <c r="I271" s="10">
        <v>14669</v>
      </c>
      <c r="J271" s="10" t="s">
        <v>4141</v>
      </c>
      <c r="K271" s="10" t="s">
        <v>59</v>
      </c>
      <c r="L271" s="10" t="s">
        <v>2380</v>
      </c>
      <c r="M271" s="10" t="s">
        <v>2381</v>
      </c>
      <c r="N271" s="10" t="s">
        <v>42</v>
      </c>
      <c r="O271" s="10">
        <v>3</v>
      </c>
      <c r="P271" s="10" t="s">
        <v>42</v>
      </c>
      <c r="Q271" s="10" t="s">
        <v>59</v>
      </c>
      <c r="R271" s="10" t="s">
        <v>4142</v>
      </c>
      <c r="S271" s="10" t="s">
        <v>2380</v>
      </c>
      <c r="T271" s="10" t="s">
        <v>42</v>
      </c>
      <c r="U271" s="10">
        <v>59</v>
      </c>
      <c r="V271" s="10">
        <v>310</v>
      </c>
      <c r="W271" s="10">
        <v>252</v>
      </c>
      <c r="X271" s="10" t="s">
        <v>237</v>
      </c>
      <c r="Y271" s="10" t="s">
        <v>4143</v>
      </c>
      <c r="Z271" s="10" t="s">
        <v>836</v>
      </c>
      <c r="AA271" s="10" t="s">
        <v>4144</v>
      </c>
      <c r="AB271" s="10" t="s">
        <v>4145</v>
      </c>
      <c r="AC271" s="10" t="s">
        <v>506</v>
      </c>
      <c r="AD271" s="10" t="s">
        <v>507</v>
      </c>
      <c r="AE271" s="10">
        <v>235</v>
      </c>
      <c r="AF271" s="10" t="s">
        <v>795</v>
      </c>
      <c r="AG271" s="44"/>
      <c r="AH271" s="44"/>
      <c r="AI271" s="44" t="s">
        <v>6052</v>
      </c>
      <c r="AJ271" s="44" t="s">
        <v>6052</v>
      </c>
      <c r="AK271" s="44" t="s">
        <v>6052</v>
      </c>
      <c r="AL271" s="44" t="s">
        <v>6052</v>
      </c>
      <c r="AM271" s="44" t="s">
        <v>6052</v>
      </c>
      <c r="AN271" s="44" t="s">
        <v>33051</v>
      </c>
      <c r="AO271" s="45">
        <v>11</v>
      </c>
      <c r="AP271" s="45">
        <v>1</v>
      </c>
      <c r="AQ271" s="45">
        <v>0</v>
      </c>
      <c r="AR271" s="45">
        <v>0</v>
      </c>
      <c r="AS271" s="45">
        <v>0</v>
      </c>
      <c r="AT271" s="45">
        <v>0</v>
      </c>
      <c r="AU271" s="10" t="s">
        <v>6052</v>
      </c>
      <c r="AV271" s="10" t="s">
        <v>6052</v>
      </c>
      <c r="AW271" s="10" t="s">
        <v>6052</v>
      </c>
      <c r="AX271" s="10" t="s">
        <v>6052</v>
      </c>
      <c r="AY271" s="10" t="s">
        <v>32253</v>
      </c>
      <c r="AZ271" s="44" t="s">
        <v>33117</v>
      </c>
      <c r="BA271" s="44" t="s">
        <v>31143</v>
      </c>
      <c r="BB271" s="44" t="s">
        <v>31671</v>
      </c>
      <c r="BC271" s="44" t="s">
        <v>10700</v>
      </c>
      <c r="BD271" s="44" t="s">
        <v>31711</v>
      </c>
      <c r="BE271" s="11">
        <v>1</v>
      </c>
      <c r="BF271" s="11">
        <v>0</v>
      </c>
      <c r="BG271" s="11">
        <v>0</v>
      </c>
      <c r="BH271" s="10" t="s">
        <v>31943</v>
      </c>
      <c r="BI271" s="11">
        <v>100</v>
      </c>
      <c r="BJ271" s="10" t="s">
        <v>33342</v>
      </c>
      <c r="BK271" s="11">
        <v>100</v>
      </c>
    </row>
    <row r="272" spans="1:63" x14ac:dyDescent="0.75">
      <c r="A272" t="s">
        <v>4148</v>
      </c>
      <c r="B272" t="s">
        <v>104</v>
      </c>
      <c r="C272" t="s">
        <v>2376</v>
      </c>
      <c r="D272" t="s">
        <v>2377</v>
      </c>
      <c r="E272" s="22" t="s">
        <v>22933</v>
      </c>
      <c r="F272" t="s">
        <v>4149</v>
      </c>
      <c r="G272" s="1" t="str">
        <f>HYPERLINK("https://homd.org/jbrowse/?data=homd_V11.02_phage_1.2%2FGCA_022828375.1&amp;loc=GCA_022828375.1%7CJAJQJX010000001.1%3A487691..494884&amp;tracks=prokka,prokka_ncrna,ncbi,ncbi_ncrna,panggolin,cenote,genomad&amp;highlight=","Open JBrowse")</f>
        <v>Open JBrowse</v>
      </c>
      <c r="H272" s="10">
        <v>490691</v>
      </c>
      <c r="I272" s="10">
        <v>491884</v>
      </c>
      <c r="J272" s="10" t="s">
        <v>4155</v>
      </c>
      <c r="K272" s="10" t="s">
        <v>59</v>
      </c>
      <c r="L272" s="10" t="s">
        <v>4044</v>
      </c>
      <c r="M272" s="10" t="s">
        <v>4045</v>
      </c>
      <c r="N272" s="10" t="s">
        <v>42</v>
      </c>
      <c r="O272" s="10">
        <v>3</v>
      </c>
      <c r="P272" s="10" t="s">
        <v>42</v>
      </c>
      <c r="Q272" s="10" t="s">
        <v>59</v>
      </c>
      <c r="R272" s="10" t="s">
        <v>4151</v>
      </c>
      <c r="S272" s="10" t="s">
        <v>4044</v>
      </c>
      <c r="T272" s="10" t="s">
        <v>42</v>
      </c>
      <c r="U272" s="10">
        <v>41</v>
      </c>
      <c r="V272" s="10">
        <v>292</v>
      </c>
      <c r="W272" s="10">
        <v>252</v>
      </c>
      <c r="X272" s="10" t="s">
        <v>237</v>
      </c>
      <c r="Y272" s="10" t="s">
        <v>4152</v>
      </c>
      <c r="Z272" s="10" t="s">
        <v>357</v>
      </c>
      <c r="AA272" s="10" t="s">
        <v>4153</v>
      </c>
      <c r="AB272" s="10" t="s">
        <v>4154</v>
      </c>
      <c r="AC272" s="10" t="s">
        <v>506</v>
      </c>
      <c r="AD272" s="10" t="s">
        <v>507</v>
      </c>
      <c r="AE272" s="10">
        <v>244</v>
      </c>
      <c r="AF272" s="10" t="s">
        <v>725</v>
      </c>
      <c r="AG272" s="44"/>
      <c r="AH272" s="44"/>
      <c r="AI272" s="44" t="s">
        <v>6052</v>
      </c>
      <c r="AJ272" s="44" t="s">
        <v>6052</v>
      </c>
      <c r="AK272" s="44" t="s">
        <v>6052</v>
      </c>
      <c r="AL272" s="44" t="s">
        <v>6052</v>
      </c>
      <c r="AM272" s="44" t="s">
        <v>6052</v>
      </c>
      <c r="AN272" s="44" t="s">
        <v>33041</v>
      </c>
      <c r="AO272" s="45">
        <v>11</v>
      </c>
      <c r="AP272" s="45">
        <v>1</v>
      </c>
      <c r="AQ272" s="45">
        <v>0</v>
      </c>
      <c r="AR272" s="45">
        <v>0</v>
      </c>
      <c r="AS272" s="45">
        <v>0</v>
      </c>
      <c r="AT272" s="45">
        <v>0</v>
      </c>
      <c r="AU272" s="10" t="s">
        <v>6052</v>
      </c>
      <c r="AV272" s="10" t="s">
        <v>6052</v>
      </c>
      <c r="AW272" s="10" t="s">
        <v>6052</v>
      </c>
      <c r="AX272" s="10" t="s">
        <v>6052</v>
      </c>
      <c r="AY272" s="10" t="s">
        <v>32253</v>
      </c>
      <c r="AZ272" s="44" t="s">
        <v>33117</v>
      </c>
      <c r="BA272" s="44" t="s">
        <v>31138</v>
      </c>
      <c r="BB272" s="44" t="s">
        <v>31661</v>
      </c>
      <c r="BC272" s="44" t="s">
        <v>10700</v>
      </c>
      <c r="BD272" s="44" t="s">
        <v>31711</v>
      </c>
      <c r="BE272" s="11">
        <v>1</v>
      </c>
      <c r="BF272" s="11">
        <v>0</v>
      </c>
      <c r="BG272" s="11">
        <v>0</v>
      </c>
      <c r="BH272" s="10" t="s">
        <v>31895</v>
      </c>
      <c r="BI272" s="11">
        <v>100</v>
      </c>
      <c r="BJ272" s="10" t="s">
        <v>33349</v>
      </c>
      <c r="BK272" s="11">
        <v>100</v>
      </c>
    </row>
    <row r="273" spans="1:63" x14ac:dyDescent="0.75">
      <c r="A273" t="s">
        <v>4148</v>
      </c>
      <c r="B273" t="s">
        <v>104</v>
      </c>
      <c r="C273" t="s">
        <v>2376</v>
      </c>
      <c r="D273" t="s">
        <v>2377</v>
      </c>
      <c r="E273" s="22" t="s">
        <v>22933</v>
      </c>
      <c r="F273" t="s">
        <v>4149</v>
      </c>
      <c r="G273" s="1" t="str">
        <f>HYPERLINK("https://homd.org/jbrowse/?data=homd_V11.02_phage_1.2%2FGCA_022828375.1&amp;loc=GCA_022828375.1%7CJAJQJX010000001.1%3A485773..493503&amp;tracks=prokka,prokka_ncrna,ncbi,ncbi_ncrna,panggolin,cenote,genomad&amp;highlight=","Open JBrowse")</f>
        <v>Open JBrowse</v>
      </c>
      <c r="H273" s="10">
        <v>488773</v>
      </c>
      <c r="I273" s="10">
        <v>490503</v>
      </c>
      <c r="J273" s="10" t="s">
        <v>4150</v>
      </c>
      <c r="K273" s="10" t="s">
        <v>59</v>
      </c>
      <c r="L273" s="10" t="s">
        <v>4051</v>
      </c>
      <c r="M273" s="10" t="s">
        <v>4052</v>
      </c>
      <c r="N273" s="10" t="s">
        <v>42</v>
      </c>
      <c r="O273" s="10">
        <v>3</v>
      </c>
      <c r="P273" s="10" t="s">
        <v>42</v>
      </c>
      <c r="Q273" s="10" t="s">
        <v>59</v>
      </c>
      <c r="R273" s="10" t="s">
        <v>4151</v>
      </c>
      <c r="S273" s="10" t="s">
        <v>4051</v>
      </c>
      <c r="T273" s="10" t="s">
        <v>42</v>
      </c>
      <c r="U273" s="10">
        <v>55</v>
      </c>
      <c r="V273" s="10">
        <v>308</v>
      </c>
      <c r="W273" s="10">
        <v>254</v>
      </c>
      <c r="X273" s="10" t="s">
        <v>237</v>
      </c>
      <c r="Y273" s="10" t="s">
        <v>4152</v>
      </c>
      <c r="Z273" s="10" t="s">
        <v>357</v>
      </c>
      <c r="AA273" s="10" t="s">
        <v>4153</v>
      </c>
      <c r="AB273" s="10" t="s">
        <v>4154</v>
      </c>
      <c r="AC273" s="10" t="s">
        <v>506</v>
      </c>
      <c r="AD273" s="10" t="s">
        <v>507</v>
      </c>
      <c r="AE273" s="10">
        <v>244</v>
      </c>
      <c r="AF273" s="10" t="s">
        <v>725</v>
      </c>
      <c r="AG273" s="44"/>
      <c r="AH273" s="44"/>
      <c r="AI273" s="44" t="s">
        <v>6052</v>
      </c>
      <c r="AJ273" s="44" t="s">
        <v>6052</v>
      </c>
      <c r="AK273" s="44" t="s">
        <v>6052</v>
      </c>
      <c r="AL273" s="44" t="s">
        <v>6052</v>
      </c>
      <c r="AM273" s="44" t="s">
        <v>6052</v>
      </c>
      <c r="AN273" s="44" t="s">
        <v>33042</v>
      </c>
      <c r="AO273" s="45">
        <v>11</v>
      </c>
      <c r="AP273" s="45">
        <v>1</v>
      </c>
      <c r="AQ273" s="45">
        <v>0</v>
      </c>
      <c r="AR273" s="45">
        <v>0</v>
      </c>
      <c r="AS273" s="45">
        <v>0</v>
      </c>
      <c r="AT273" s="45">
        <v>0</v>
      </c>
      <c r="AU273" s="10" t="s">
        <v>6052</v>
      </c>
      <c r="AV273" s="10" t="s">
        <v>6052</v>
      </c>
      <c r="AW273" s="10" t="s">
        <v>6052</v>
      </c>
      <c r="AX273" s="10" t="s">
        <v>6052</v>
      </c>
      <c r="AY273" s="10" t="s">
        <v>32253</v>
      </c>
      <c r="AZ273" s="44" t="s">
        <v>33117</v>
      </c>
      <c r="BA273" s="44" t="s">
        <v>31138</v>
      </c>
      <c r="BB273" s="44" t="s">
        <v>31662</v>
      </c>
      <c r="BC273" s="44" t="s">
        <v>10700</v>
      </c>
      <c r="BD273" s="44" t="s">
        <v>31711</v>
      </c>
      <c r="BE273" s="11">
        <v>1</v>
      </c>
      <c r="BF273" s="11">
        <v>0</v>
      </c>
      <c r="BG273" s="11">
        <v>0</v>
      </c>
      <c r="BH273" s="10" t="s">
        <v>31894</v>
      </c>
      <c r="BI273" s="11">
        <v>100</v>
      </c>
      <c r="BJ273" s="10" t="s">
        <v>33348</v>
      </c>
      <c r="BK273" s="11">
        <v>100</v>
      </c>
    </row>
    <row r="274" spans="1:63" x14ac:dyDescent="0.75">
      <c r="A274" t="s">
        <v>4123</v>
      </c>
      <c r="B274" t="s">
        <v>104</v>
      </c>
      <c r="C274" t="s">
        <v>2376</v>
      </c>
      <c r="D274" t="s">
        <v>2377</v>
      </c>
      <c r="E274" s="22" t="s">
        <v>22927</v>
      </c>
      <c r="F274" t="s">
        <v>4124</v>
      </c>
      <c r="G274" s="1" t="str">
        <f>HYPERLINK("https://homd.org/jbrowse/?data=homd_V11.02_phage_1.2%2FGCA_022828295.1&amp;loc=GCA_022828295.1%7CJAJQJT010000001.1%3A365669..372916&amp;tracks=prokka,prokka_ncrna,ncbi,ncbi_ncrna,panggolin,cenote,genomad&amp;highlight=","Open JBrowse")</f>
        <v>Open JBrowse</v>
      </c>
      <c r="H274" s="10">
        <v>368669</v>
      </c>
      <c r="I274" s="10">
        <v>369916</v>
      </c>
      <c r="J274" s="10" t="s">
        <v>4130</v>
      </c>
      <c r="K274" s="10" t="s">
        <v>59</v>
      </c>
      <c r="L274" s="10" t="s">
        <v>2380</v>
      </c>
      <c r="M274" s="10" t="s">
        <v>2381</v>
      </c>
      <c r="N274" s="10" t="s">
        <v>42</v>
      </c>
      <c r="O274" s="10">
        <v>3</v>
      </c>
      <c r="P274" s="10" t="s">
        <v>42</v>
      </c>
      <c r="Q274" s="10" t="s">
        <v>59</v>
      </c>
      <c r="R274" s="10" t="s">
        <v>4126</v>
      </c>
      <c r="S274" s="10" t="s">
        <v>2380</v>
      </c>
      <c r="T274" s="10" t="s">
        <v>42</v>
      </c>
      <c r="U274" s="10">
        <v>59</v>
      </c>
      <c r="V274" s="10">
        <v>310</v>
      </c>
      <c r="W274" s="10">
        <v>252</v>
      </c>
      <c r="X274" s="10" t="s">
        <v>237</v>
      </c>
      <c r="Y274" s="10" t="s">
        <v>4127</v>
      </c>
      <c r="Z274" s="10" t="s">
        <v>1334</v>
      </c>
      <c r="AA274" s="10" t="s">
        <v>4128</v>
      </c>
      <c r="AB274" s="10" t="s">
        <v>4129</v>
      </c>
      <c r="AC274" s="10" t="s">
        <v>506</v>
      </c>
      <c r="AD274" s="10" t="s">
        <v>507</v>
      </c>
      <c r="AE274" s="10">
        <v>222.4</v>
      </c>
      <c r="AF274" s="10" t="s">
        <v>725</v>
      </c>
      <c r="AG274" s="44"/>
      <c r="AH274" s="44"/>
      <c r="AI274" s="44" t="s">
        <v>6052</v>
      </c>
      <c r="AJ274" s="44" t="s">
        <v>6052</v>
      </c>
      <c r="AK274" s="44" t="s">
        <v>6052</v>
      </c>
      <c r="AL274" s="44" t="s">
        <v>6052</v>
      </c>
      <c r="AM274" s="44" t="s">
        <v>6052</v>
      </c>
      <c r="AN274" s="44" t="s">
        <v>33044</v>
      </c>
      <c r="AO274" s="45">
        <v>11</v>
      </c>
      <c r="AP274" s="45">
        <v>1</v>
      </c>
      <c r="AQ274" s="45">
        <v>0</v>
      </c>
      <c r="AR274" s="45">
        <v>0</v>
      </c>
      <c r="AS274" s="45">
        <v>0</v>
      </c>
      <c r="AT274" s="45">
        <v>0</v>
      </c>
      <c r="AU274" s="10" t="s">
        <v>6052</v>
      </c>
      <c r="AV274" s="10" t="s">
        <v>6052</v>
      </c>
      <c r="AW274" s="10" t="s">
        <v>6052</v>
      </c>
      <c r="AX274" s="10" t="s">
        <v>6052</v>
      </c>
      <c r="AY274" s="10" t="s">
        <v>32253</v>
      </c>
      <c r="AZ274" s="44" t="s">
        <v>33117</v>
      </c>
      <c r="BA274" s="44" t="s">
        <v>31139</v>
      </c>
      <c r="BB274" s="44" t="s">
        <v>31664</v>
      </c>
      <c r="BC274" s="44" t="s">
        <v>10700</v>
      </c>
      <c r="BD274" s="44" t="s">
        <v>31711</v>
      </c>
      <c r="BE274" s="11">
        <v>1</v>
      </c>
      <c r="BF274" s="11">
        <v>0</v>
      </c>
      <c r="BG274" s="11">
        <v>0</v>
      </c>
      <c r="BH274" s="10" t="s">
        <v>31882</v>
      </c>
      <c r="BI274" s="11">
        <v>100</v>
      </c>
      <c r="BJ274" s="10" t="s">
        <v>33341</v>
      </c>
      <c r="BK274" s="11">
        <v>100</v>
      </c>
    </row>
    <row r="275" spans="1:63" x14ac:dyDescent="0.75">
      <c r="A275" t="s">
        <v>4123</v>
      </c>
      <c r="B275" t="s">
        <v>104</v>
      </c>
      <c r="C275" t="s">
        <v>2376</v>
      </c>
      <c r="D275" t="s">
        <v>2377</v>
      </c>
      <c r="E275" s="22" t="s">
        <v>22927</v>
      </c>
      <c r="F275" t="s">
        <v>4124</v>
      </c>
      <c r="G275" s="1" t="str">
        <f>HYPERLINK("https://homd.org/jbrowse/?data=homd_V11.02_phage_1.2%2FGCA_022828295.1&amp;loc=GCA_022828295.1%7CJAJQJT010000001.1%3A363645..371480&amp;tracks=prokka,prokka_ncrna,ncbi,ncbi_ncrna,panggolin,cenote,genomad&amp;highlight=","Open JBrowse")</f>
        <v>Open JBrowse</v>
      </c>
      <c r="H275" s="10">
        <v>366645</v>
      </c>
      <c r="I275" s="10">
        <v>368480</v>
      </c>
      <c r="J275" s="10" t="s">
        <v>4125</v>
      </c>
      <c r="K275" s="10" t="s">
        <v>59</v>
      </c>
      <c r="L275" s="10" t="s">
        <v>4101</v>
      </c>
      <c r="M275" s="10" t="s">
        <v>4102</v>
      </c>
      <c r="N275" s="10" t="s">
        <v>42</v>
      </c>
      <c r="O275" s="10">
        <v>3</v>
      </c>
      <c r="P275" s="10" t="s">
        <v>42</v>
      </c>
      <c r="Q275" s="10" t="s">
        <v>59</v>
      </c>
      <c r="R275" s="10" t="s">
        <v>4126</v>
      </c>
      <c r="S275" s="10" t="s">
        <v>4101</v>
      </c>
      <c r="T275" s="10" t="s">
        <v>42</v>
      </c>
      <c r="U275" s="10">
        <v>58</v>
      </c>
      <c r="V275" s="10">
        <v>319</v>
      </c>
      <c r="W275" s="10">
        <v>262</v>
      </c>
      <c r="X275" s="10" t="s">
        <v>237</v>
      </c>
      <c r="Y275" s="10" t="s">
        <v>4127</v>
      </c>
      <c r="Z275" s="10" t="s">
        <v>1334</v>
      </c>
      <c r="AA275" s="10" t="s">
        <v>4128</v>
      </c>
      <c r="AB275" s="10" t="s">
        <v>4129</v>
      </c>
      <c r="AC275" s="10" t="s">
        <v>506</v>
      </c>
      <c r="AD275" s="10" t="s">
        <v>507</v>
      </c>
      <c r="AE275" s="10">
        <v>222.4</v>
      </c>
      <c r="AF275" s="10" t="s">
        <v>725</v>
      </c>
      <c r="AG275" s="44"/>
      <c r="AH275" s="44"/>
      <c r="AI275" s="44" t="s">
        <v>6052</v>
      </c>
      <c r="AJ275" s="44" t="s">
        <v>6052</v>
      </c>
      <c r="AK275" s="44" t="s">
        <v>6052</v>
      </c>
      <c r="AL275" s="44" t="s">
        <v>6052</v>
      </c>
      <c r="AM275" s="44" t="s">
        <v>6052</v>
      </c>
      <c r="AN275" s="44" t="s">
        <v>33043</v>
      </c>
      <c r="AO275" s="45">
        <v>11</v>
      </c>
      <c r="AP275" s="45">
        <v>1</v>
      </c>
      <c r="AQ275" s="45">
        <v>0</v>
      </c>
      <c r="AR275" s="45">
        <v>0</v>
      </c>
      <c r="AS275" s="45">
        <v>0</v>
      </c>
      <c r="AT275" s="45">
        <v>0</v>
      </c>
      <c r="AU275" s="10" t="s">
        <v>6052</v>
      </c>
      <c r="AV275" s="10" t="s">
        <v>6052</v>
      </c>
      <c r="AW275" s="10" t="s">
        <v>6052</v>
      </c>
      <c r="AX275" s="10" t="s">
        <v>6052</v>
      </c>
      <c r="AY275" s="10" t="s">
        <v>32253</v>
      </c>
      <c r="AZ275" s="44" t="s">
        <v>33117</v>
      </c>
      <c r="BA275" s="44" t="s">
        <v>31139</v>
      </c>
      <c r="BB275" s="44" t="s">
        <v>31663</v>
      </c>
      <c r="BC275" s="44" t="s">
        <v>10700</v>
      </c>
      <c r="BD275" s="44" t="s">
        <v>31711</v>
      </c>
      <c r="BE275" s="11">
        <v>1</v>
      </c>
      <c r="BF275" s="11">
        <v>0</v>
      </c>
      <c r="BG275" s="11">
        <v>0</v>
      </c>
      <c r="BH275" s="10" t="s">
        <v>32053</v>
      </c>
      <c r="BI275" s="11">
        <v>100</v>
      </c>
      <c r="BJ275" s="10" t="s">
        <v>33340</v>
      </c>
      <c r="BK275" s="11">
        <v>97.1</v>
      </c>
    </row>
    <row r="276" spans="1:63" x14ac:dyDescent="0.75">
      <c r="A276" t="s">
        <v>4098</v>
      </c>
      <c r="B276" t="s">
        <v>104</v>
      </c>
      <c r="C276" t="s">
        <v>2376</v>
      </c>
      <c r="D276" t="s">
        <v>2377</v>
      </c>
      <c r="E276" s="22" t="s">
        <v>22921</v>
      </c>
      <c r="F276" t="s">
        <v>4099</v>
      </c>
      <c r="G276" s="1" t="str">
        <f>HYPERLINK("https://homd.org/jbrowse/?data=homd_V11.02_phage_1.2%2FGCA_022828245.1&amp;loc=GCA_022828245.1%7CJAJQJV010000002.1%3A19792..27039&amp;tracks=prokka,prokka_ncrna,ncbi,ncbi_ncrna,panggolin,cenote,genomad&amp;highlight=","Open JBrowse")</f>
        <v>Open JBrowse</v>
      </c>
      <c r="H276" s="10">
        <v>22792</v>
      </c>
      <c r="I276" s="10">
        <v>24039</v>
      </c>
      <c r="J276" s="10" t="s">
        <v>4107</v>
      </c>
      <c r="K276" s="10" t="s">
        <v>59</v>
      </c>
      <c r="L276" s="10" t="s">
        <v>2380</v>
      </c>
      <c r="M276" s="10" t="s">
        <v>2381</v>
      </c>
      <c r="N276" s="10" t="s">
        <v>42</v>
      </c>
      <c r="O276" s="10">
        <v>3</v>
      </c>
      <c r="P276" s="10" t="s">
        <v>42</v>
      </c>
      <c r="Q276" s="10" t="s">
        <v>59</v>
      </c>
      <c r="R276" s="10" t="s">
        <v>4103</v>
      </c>
      <c r="S276" s="10" t="s">
        <v>2380</v>
      </c>
      <c r="T276" s="10" t="s">
        <v>42</v>
      </c>
      <c r="U276" s="10">
        <v>59</v>
      </c>
      <c r="V276" s="10">
        <v>310</v>
      </c>
      <c r="W276" s="10">
        <v>252</v>
      </c>
      <c r="X276" s="10" t="s">
        <v>237</v>
      </c>
      <c r="Y276" s="10" t="s">
        <v>4104</v>
      </c>
      <c r="Z276" s="10" t="s">
        <v>47</v>
      </c>
      <c r="AA276" s="10" t="s">
        <v>4105</v>
      </c>
      <c r="AB276" s="10" t="s">
        <v>4106</v>
      </c>
      <c r="AC276" s="10" t="s">
        <v>506</v>
      </c>
      <c r="AD276" s="10" t="s">
        <v>507</v>
      </c>
      <c r="AE276" s="10">
        <v>230.2</v>
      </c>
      <c r="AF276" s="10" t="s">
        <v>725</v>
      </c>
      <c r="AG276" s="44"/>
      <c r="AH276" s="44"/>
      <c r="AI276" s="44" t="s">
        <v>6052</v>
      </c>
      <c r="AJ276" s="44" t="s">
        <v>6052</v>
      </c>
      <c r="AK276" s="44" t="s">
        <v>6052</v>
      </c>
      <c r="AL276" s="44" t="s">
        <v>6052</v>
      </c>
      <c r="AM276" s="44" t="s">
        <v>6052</v>
      </c>
      <c r="AN276" s="44" t="s">
        <v>33036</v>
      </c>
      <c r="AO276" s="45">
        <v>11</v>
      </c>
      <c r="AP276" s="45">
        <v>1</v>
      </c>
      <c r="AQ276" s="45">
        <v>0</v>
      </c>
      <c r="AR276" s="45">
        <v>0</v>
      </c>
      <c r="AS276" s="45">
        <v>0</v>
      </c>
      <c r="AT276" s="45">
        <v>0</v>
      </c>
      <c r="AU276" s="10" t="s">
        <v>6052</v>
      </c>
      <c r="AV276" s="10" t="s">
        <v>6052</v>
      </c>
      <c r="AW276" s="10" t="s">
        <v>6052</v>
      </c>
      <c r="AX276" s="10" t="s">
        <v>6052</v>
      </c>
      <c r="AY276" s="10" t="s">
        <v>32253</v>
      </c>
      <c r="AZ276" s="44" t="s">
        <v>33117</v>
      </c>
      <c r="BA276" s="44" t="s">
        <v>31135</v>
      </c>
      <c r="BB276" s="44" t="s">
        <v>31656</v>
      </c>
      <c r="BC276" s="44" t="s">
        <v>10700</v>
      </c>
      <c r="BD276" s="44" t="s">
        <v>31711</v>
      </c>
      <c r="BE276" s="11">
        <v>1</v>
      </c>
      <c r="BF276" s="11">
        <v>0</v>
      </c>
      <c r="BG276" s="11">
        <v>0</v>
      </c>
      <c r="BH276" s="10" t="s">
        <v>31893</v>
      </c>
      <c r="BI276" s="11">
        <v>100</v>
      </c>
      <c r="BJ276" s="10" t="s">
        <v>33345</v>
      </c>
      <c r="BK276" s="11">
        <v>100</v>
      </c>
    </row>
    <row r="277" spans="1:63" x14ac:dyDescent="0.75">
      <c r="A277" t="s">
        <v>4098</v>
      </c>
      <c r="B277" t="s">
        <v>104</v>
      </c>
      <c r="C277" t="s">
        <v>2376</v>
      </c>
      <c r="D277" t="s">
        <v>2377</v>
      </c>
      <c r="E277" s="22" t="s">
        <v>22921</v>
      </c>
      <c r="F277" t="s">
        <v>4099</v>
      </c>
      <c r="G277" s="1" t="str">
        <f>HYPERLINK("https://homd.org/jbrowse/?data=homd_V11.02_phage_1.2%2FGCA_022828245.1&amp;loc=GCA_022828245.1%7CJAJQJV010000002.1%3A17871..25604&amp;tracks=prokka,prokka_ncrna,ncbi,ncbi_ncrna,panggolin,cenote,genomad&amp;highlight=","Open JBrowse")</f>
        <v>Open JBrowse</v>
      </c>
      <c r="H277" s="10">
        <v>20871</v>
      </c>
      <c r="I277" s="10">
        <v>22604</v>
      </c>
      <c r="J277" s="10" t="s">
        <v>4100</v>
      </c>
      <c r="K277" s="10" t="s">
        <v>59</v>
      </c>
      <c r="L277" s="10" t="s">
        <v>4101</v>
      </c>
      <c r="M277" s="10" t="s">
        <v>4102</v>
      </c>
      <c r="N277" s="10" t="s">
        <v>42</v>
      </c>
      <c r="O277" s="10">
        <v>3</v>
      </c>
      <c r="P277" s="10" t="s">
        <v>42</v>
      </c>
      <c r="Q277" s="10" t="s">
        <v>59</v>
      </c>
      <c r="R277" s="10" t="s">
        <v>4103</v>
      </c>
      <c r="S277" s="10" t="s">
        <v>4101</v>
      </c>
      <c r="T277" s="10" t="s">
        <v>42</v>
      </c>
      <c r="U277" s="10">
        <v>58</v>
      </c>
      <c r="V277" s="10">
        <v>319</v>
      </c>
      <c r="W277" s="10">
        <v>262</v>
      </c>
      <c r="X277" s="10" t="s">
        <v>237</v>
      </c>
      <c r="Y277" s="10" t="s">
        <v>4104</v>
      </c>
      <c r="Z277" s="10" t="s">
        <v>47</v>
      </c>
      <c r="AA277" s="10" t="s">
        <v>4105</v>
      </c>
      <c r="AB277" s="10" t="s">
        <v>4106</v>
      </c>
      <c r="AC277" s="10" t="s">
        <v>506</v>
      </c>
      <c r="AD277" s="10" t="s">
        <v>507</v>
      </c>
      <c r="AE277" s="10">
        <v>230.2</v>
      </c>
      <c r="AF277" s="10" t="s">
        <v>725</v>
      </c>
      <c r="AG277" s="44"/>
      <c r="AH277" s="44"/>
      <c r="AI277" s="44" t="s">
        <v>6052</v>
      </c>
      <c r="AJ277" s="44" t="s">
        <v>6052</v>
      </c>
      <c r="AK277" s="44" t="s">
        <v>6052</v>
      </c>
      <c r="AL277" s="44" t="s">
        <v>6052</v>
      </c>
      <c r="AM277" s="44" t="s">
        <v>6052</v>
      </c>
      <c r="AN277" s="44" t="s">
        <v>33035</v>
      </c>
      <c r="AO277" s="45">
        <v>11</v>
      </c>
      <c r="AP277" s="45">
        <v>1</v>
      </c>
      <c r="AQ277" s="45">
        <v>0</v>
      </c>
      <c r="AR277" s="45">
        <v>0</v>
      </c>
      <c r="AS277" s="45">
        <v>0</v>
      </c>
      <c r="AT277" s="45">
        <v>0</v>
      </c>
      <c r="AU277" s="10" t="s">
        <v>6052</v>
      </c>
      <c r="AV277" s="10" t="s">
        <v>6052</v>
      </c>
      <c r="AW277" s="10" t="s">
        <v>6052</v>
      </c>
      <c r="AX277" s="10" t="s">
        <v>6052</v>
      </c>
      <c r="AY277" s="10" t="s">
        <v>32253</v>
      </c>
      <c r="AZ277" s="44" t="s">
        <v>33117</v>
      </c>
      <c r="BA277" s="44" t="s">
        <v>31135</v>
      </c>
      <c r="BB277" s="44" t="s">
        <v>31655</v>
      </c>
      <c r="BC277" s="44" t="s">
        <v>10700</v>
      </c>
      <c r="BD277" s="44" t="s">
        <v>31711</v>
      </c>
      <c r="BE277" s="11">
        <v>1</v>
      </c>
      <c r="BF277" s="11">
        <v>0</v>
      </c>
      <c r="BG277" s="11">
        <v>0</v>
      </c>
      <c r="BH277" s="10" t="s">
        <v>31993</v>
      </c>
      <c r="BI277" s="11">
        <v>100</v>
      </c>
      <c r="BJ277" s="10" t="s">
        <v>33344</v>
      </c>
      <c r="BK277" s="11">
        <v>96.9</v>
      </c>
    </row>
    <row r="278" spans="1:63" x14ac:dyDescent="0.75">
      <c r="A278" t="s">
        <v>4116</v>
      </c>
      <c r="B278" t="s">
        <v>104</v>
      </c>
      <c r="C278" t="s">
        <v>2376</v>
      </c>
      <c r="D278" t="s">
        <v>2377</v>
      </c>
      <c r="E278" s="22" t="s">
        <v>22925</v>
      </c>
      <c r="F278" t="s">
        <v>4117</v>
      </c>
      <c r="G278" s="1" t="str">
        <f>HYPERLINK("https://homd.org/jbrowse/?data=homd_V11.02_phage_1.2%2FGCA_022828285.1&amp;loc=GCA_022828285.1%7CJAJQJR010000003.1%3A185008..192786&amp;tracks=prokka,prokka_ncrna,ncbi,ncbi_ncrna,panggolin,cenote,genomad&amp;highlight=","Open JBrowse")</f>
        <v>Open JBrowse</v>
      </c>
      <c r="H278" s="10">
        <v>188008</v>
      </c>
      <c r="I278" s="10">
        <v>189786</v>
      </c>
      <c r="J278" s="10" t="s">
        <v>4122</v>
      </c>
      <c r="K278" s="10" t="s">
        <v>59</v>
      </c>
      <c r="L278" s="10" t="s">
        <v>2913</v>
      </c>
      <c r="M278" s="10" t="s">
        <v>2914</v>
      </c>
      <c r="N278" s="10" t="s">
        <v>42</v>
      </c>
      <c r="O278" s="10">
        <v>3</v>
      </c>
      <c r="P278" s="10" t="s">
        <v>42</v>
      </c>
      <c r="Q278" s="10" t="s">
        <v>59</v>
      </c>
      <c r="R278" s="10" t="s">
        <v>4119</v>
      </c>
      <c r="S278" s="10" t="s">
        <v>2913</v>
      </c>
      <c r="T278" s="10" t="s">
        <v>42</v>
      </c>
      <c r="U278" s="10">
        <v>58</v>
      </c>
      <c r="V278" s="10">
        <v>320</v>
      </c>
      <c r="W278" s="10">
        <v>263</v>
      </c>
      <c r="X278" s="10" t="s">
        <v>237</v>
      </c>
      <c r="Y278" s="10" t="s">
        <v>4120</v>
      </c>
      <c r="Z278" s="10" t="s">
        <v>836</v>
      </c>
      <c r="AA278" s="10" t="s">
        <v>4079</v>
      </c>
      <c r="AB278" s="10" t="s">
        <v>4121</v>
      </c>
      <c r="AC278" s="10" t="s">
        <v>506</v>
      </c>
      <c r="AD278" s="10" t="s">
        <v>507</v>
      </c>
      <c r="AE278" s="10">
        <v>239</v>
      </c>
      <c r="AF278" s="10" t="s">
        <v>725</v>
      </c>
      <c r="AG278" s="44"/>
      <c r="AH278" s="44"/>
      <c r="AI278" s="44" t="s">
        <v>6052</v>
      </c>
      <c r="AJ278" s="44" t="s">
        <v>6052</v>
      </c>
      <c r="AK278" s="44" t="s">
        <v>6052</v>
      </c>
      <c r="AL278" s="44" t="s">
        <v>6052</v>
      </c>
      <c r="AM278" s="44" t="s">
        <v>6052</v>
      </c>
      <c r="AN278" s="44" t="s">
        <v>33037</v>
      </c>
      <c r="AO278" s="45">
        <v>11</v>
      </c>
      <c r="AP278" s="45">
        <v>1</v>
      </c>
      <c r="AQ278" s="45">
        <v>0</v>
      </c>
      <c r="AR278" s="45">
        <v>0</v>
      </c>
      <c r="AS278" s="45">
        <v>0</v>
      </c>
      <c r="AT278" s="45">
        <v>0</v>
      </c>
      <c r="AU278" s="10" t="s">
        <v>6052</v>
      </c>
      <c r="AV278" s="10" t="s">
        <v>6052</v>
      </c>
      <c r="AW278" s="10" t="s">
        <v>6052</v>
      </c>
      <c r="AX278" s="10" t="s">
        <v>6052</v>
      </c>
      <c r="AY278" s="10" t="s">
        <v>32253</v>
      </c>
      <c r="AZ278" s="44" t="s">
        <v>33117</v>
      </c>
      <c r="BA278" s="44" t="s">
        <v>31136</v>
      </c>
      <c r="BB278" s="44" t="s">
        <v>31657</v>
      </c>
      <c r="BC278" s="44" t="s">
        <v>10700</v>
      </c>
      <c r="BD278" s="44" t="s">
        <v>31711</v>
      </c>
      <c r="BE278" s="11">
        <v>1</v>
      </c>
      <c r="BF278" s="11">
        <v>0</v>
      </c>
      <c r="BG278" s="11">
        <v>0</v>
      </c>
      <c r="BH278" s="10" t="s">
        <v>32061</v>
      </c>
      <c r="BI278" s="11">
        <v>100</v>
      </c>
      <c r="BJ278" s="10" t="s">
        <v>33337</v>
      </c>
      <c r="BK278" s="11">
        <v>97</v>
      </c>
    </row>
    <row r="279" spans="1:63" x14ac:dyDescent="0.75">
      <c r="A279" t="s">
        <v>4116</v>
      </c>
      <c r="B279" t="s">
        <v>104</v>
      </c>
      <c r="C279" t="s">
        <v>2376</v>
      </c>
      <c r="D279" t="s">
        <v>2377</v>
      </c>
      <c r="E279" s="22" t="s">
        <v>22925</v>
      </c>
      <c r="F279" t="s">
        <v>4117</v>
      </c>
      <c r="G279" s="1" t="str">
        <f>HYPERLINK("https://homd.org/jbrowse/?data=homd_V11.02_phage_1.2%2FGCA_022828285.1&amp;loc=GCA_022828285.1%7CJAJQJR010000003.1%3A183572..190819&amp;tracks=prokka,prokka_ncrna,ncbi,ncbi_ncrna,panggolin,cenote,genomad&amp;highlight=","Open JBrowse")</f>
        <v>Open JBrowse</v>
      </c>
      <c r="H279" s="10">
        <v>186572</v>
      </c>
      <c r="I279" s="10">
        <v>187819</v>
      </c>
      <c r="J279" s="10" t="s">
        <v>4118</v>
      </c>
      <c r="K279" s="10" t="s">
        <v>59</v>
      </c>
      <c r="L279" s="10" t="s">
        <v>2380</v>
      </c>
      <c r="M279" s="10" t="s">
        <v>2381</v>
      </c>
      <c r="N279" s="10" t="s">
        <v>42</v>
      </c>
      <c r="O279" s="10">
        <v>3</v>
      </c>
      <c r="P279" s="10" t="s">
        <v>42</v>
      </c>
      <c r="Q279" s="10" t="s">
        <v>59</v>
      </c>
      <c r="R279" s="10" t="s">
        <v>4119</v>
      </c>
      <c r="S279" s="10" t="s">
        <v>2380</v>
      </c>
      <c r="T279" s="10" t="s">
        <v>42</v>
      </c>
      <c r="U279" s="10">
        <v>59</v>
      </c>
      <c r="V279" s="10">
        <v>310</v>
      </c>
      <c r="W279" s="10">
        <v>252</v>
      </c>
      <c r="X279" s="10" t="s">
        <v>237</v>
      </c>
      <c r="Y279" s="10" t="s">
        <v>4120</v>
      </c>
      <c r="Z279" s="10" t="s">
        <v>836</v>
      </c>
      <c r="AA279" s="10" t="s">
        <v>4079</v>
      </c>
      <c r="AB279" s="10" t="s">
        <v>4121</v>
      </c>
      <c r="AC279" s="10" t="s">
        <v>506</v>
      </c>
      <c r="AD279" s="10" t="s">
        <v>507</v>
      </c>
      <c r="AE279" s="10">
        <v>239</v>
      </c>
      <c r="AF279" s="10" t="s">
        <v>725</v>
      </c>
      <c r="AG279" s="44"/>
      <c r="AH279" s="44"/>
      <c r="AI279" s="44" t="s">
        <v>6052</v>
      </c>
      <c r="AJ279" s="44" t="s">
        <v>6052</v>
      </c>
      <c r="AK279" s="44" t="s">
        <v>6052</v>
      </c>
      <c r="AL279" s="44" t="s">
        <v>6052</v>
      </c>
      <c r="AM279" s="44" t="s">
        <v>6052</v>
      </c>
      <c r="AN279" s="44" t="s">
        <v>33038</v>
      </c>
      <c r="AO279" s="45">
        <v>11</v>
      </c>
      <c r="AP279" s="45">
        <v>1</v>
      </c>
      <c r="AQ279" s="45">
        <v>0</v>
      </c>
      <c r="AR279" s="45">
        <v>0</v>
      </c>
      <c r="AS279" s="45">
        <v>0</v>
      </c>
      <c r="AT279" s="45">
        <v>0</v>
      </c>
      <c r="AU279" s="10" t="s">
        <v>6052</v>
      </c>
      <c r="AV279" s="10" t="s">
        <v>6052</v>
      </c>
      <c r="AW279" s="10" t="s">
        <v>6052</v>
      </c>
      <c r="AX279" s="10" t="s">
        <v>6052</v>
      </c>
      <c r="AY279" s="10" t="s">
        <v>32253</v>
      </c>
      <c r="AZ279" s="44" t="s">
        <v>33117</v>
      </c>
      <c r="BA279" s="44" t="s">
        <v>31136</v>
      </c>
      <c r="BB279" s="44" t="s">
        <v>31658</v>
      </c>
      <c r="BC279" s="44" t="s">
        <v>10700</v>
      </c>
      <c r="BD279" s="44" t="s">
        <v>31711</v>
      </c>
      <c r="BE279" s="11">
        <v>1</v>
      </c>
      <c r="BF279" s="11">
        <v>0</v>
      </c>
      <c r="BG279" s="11">
        <v>0</v>
      </c>
      <c r="BH279" s="10" t="s">
        <v>31907</v>
      </c>
      <c r="BI279" s="11">
        <v>100</v>
      </c>
      <c r="BJ279" s="10" t="s">
        <v>33336</v>
      </c>
      <c r="BK279" s="11">
        <v>100</v>
      </c>
    </row>
    <row r="280" spans="1:63" x14ac:dyDescent="0.75">
      <c r="A280" t="s">
        <v>4036</v>
      </c>
      <c r="B280" t="s">
        <v>104</v>
      </c>
      <c r="C280" t="s">
        <v>2376</v>
      </c>
      <c r="D280" t="s">
        <v>2377</v>
      </c>
      <c r="E280" s="22" t="s">
        <v>21926</v>
      </c>
      <c r="F280" t="s">
        <v>4037</v>
      </c>
      <c r="G280" s="1" t="str">
        <f>HYPERLINK("https://homd.org/jbrowse/?data=homd_V11.02_phage_1.2%2FGCA_020912025.1&amp;loc=GCA_020912025.1%7CJAGTWK010000002.1%3A39350..47128&amp;tracks=prokka,prokka_ncrna,ncbi,ncbi_ncrna,panggolin,cenote,genomad&amp;highlight=","Open JBrowse")</f>
        <v>Open JBrowse</v>
      </c>
      <c r="H280" s="10">
        <v>42350</v>
      </c>
      <c r="I280" s="10">
        <v>44128</v>
      </c>
      <c r="J280" s="10" t="s">
        <v>4040</v>
      </c>
      <c r="K280" s="10" t="s">
        <v>59</v>
      </c>
      <c r="L280" s="10" t="s">
        <v>2913</v>
      </c>
      <c r="M280" s="10" t="s">
        <v>2914</v>
      </c>
      <c r="N280" s="10" t="s">
        <v>42</v>
      </c>
      <c r="O280" s="10">
        <v>3</v>
      </c>
      <c r="P280" s="10" t="s">
        <v>42</v>
      </c>
      <c r="Q280" s="10" t="s">
        <v>59</v>
      </c>
      <c r="R280" s="10" t="s">
        <v>4039</v>
      </c>
      <c r="S280" s="10" t="s">
        <v>2913</v>
      </c>
      <c r="T280" s="10" t="s">
        <v>42</v>
      </c>
      <c r="U280" s="10">
        <v>58</v>
      </c>
      <c r="V280" s="10">
        <v>320</v>
      </c>
      <c r="W280" s="10">
        <v>263</v>
      </c>
      <c r="X280" s="10" t="s">
        <v>237</v>
      </c>
      <c r="Y280" s="10"/>
      <c r="Z280" s="10"/>
      <c r="AA280" s="10"/>
      <c r="AB280" s="10"/>
      <c r="AC280" s="10"/>
      <c r="AD280" s="10"/>
      <c r="AE280" s="10"/>
      <c r="AF280" s="10"/>
      <c r="AG280" s="44"/>
      <c r="AH280" s="44"/>
      <c r="AI280" s="46" t="s">
        <v>6054</v>
      </c>
      <c r="AJ280" s="44" t="s">
        <v>6052</v>
      </c>
      <c r="AK280" s="44" t="s">
        <v>6052</v>
      </c>
      <c r="AL280" s="44" t="s">
        <v>6052</v>
      </c>
      <c r="AM280" s="44" t="s">
        <v>6052</v>
      </c>
      <c r="AN280" s="44" t="s">
        <v>32982</v>
      </c>
      <c r="AO280" s="45">
        <v>11</v>
      </c>
      <c r="AP280" s="45">
        <v>1</v>
      </c>
      <c r="AQ280" s="45">
        <v>0</v>
      </c>
      <c r="AR280" s="45">
        <v>0</v>
      </c>
      <c r="AS280" s="45">
        <v>0</v>
      </c>
      <c r="AT280" s="45">
        <v>0</v>
      </c>
      <c r="AU280" s="10" t="s">
        <v>6052</v>
      </c>
      <c r="AV280" s="10" t="s">
        <v>6052</v>
      </c>
      <c r="AW280" s="10" t="s">
        <v>6052</v>
      </c>
      <c r="AX280" s="10" t="s">
        <v>6052</v>
      </c>
      <c r="AY280" s="10" t="s">
        <v>32253</v>
      </c>
      <c r="AZ280" s="44" t="s">
        <v>33117</v>
      </c>
      <c r="BA280" s="44" t="s">
        <v>31098</v>
      </c>
      <c r="BB280" s="44" t="s">
        <v>31610</v>
      </c>
      <c r="BC280" s="44" t="s">
        <v>10700</v>
      </c>
      <c r="BD280" s="44" t="s">
        <v>31711</v>
      </c>
      <c r="BE280" s="11">
        <v>1</v>
      </c>
      <c r="BF280" s="11">
        <v>0</v>
      </c>
      <c r="BG280" s="11">
        <v>0</v>
      </c>
      <c r="BH280" s="10" t="s">
        <v>32093</v>
      </c>
      <c r="BI280" s="11">
        <v>100</v>
      </c>
      <c r="BJ280" s="10" t="s">
        <v>33335</v>
      </c>
      <c r="BK280" s="11">
        <v>97.6</v>
      </c>
    </row>
    <row r="281" spans="1:63" x14ac:dyDescent="0.75">
      <c r="A281" t="s">
        <v>4036</v>
      </c>
      <c r="B281" t="s">
        <v>104</v>
      </c>
      <c r="C281" t="s">
        <v>2376</v>
      </c>
      <c r="D281" t="s">
        <v>2377</v>
      </c>
      <c r="E281" s="22" t="s">
        <v>21926</v>
      </c>
      <c r="F281" t="s">
        <v>4037</v>
      </c>
      <c r="G281" s="1" t="str">
        <f>HYPERLINK("https://homd.org/jbrowse/?data=homd_V11.02_phage_1.2%2FGCA_020912025.1&amp;loc=GCA_020912025.1%7CJAGTWK010000002.1%3A37914..45161&amp;tracks=prokka,prokka_ncrna,ncbi,ncbi_ncrna,panggolin,cenote,genomad&amp;highlight=","Open JBrowse")</f>
        <v>Open JBrowse</v>
      </c>
      <c r="H281" s="10">
        <v>40914</v>
      </c>
      <c r="I281" s="10">
        <v>42161</v>
      </c>
      <c r="J281" s="10" t="s">
        <v>4038</v>
      </c>
      <c r="K281" s="10" t="s">
        <v>59</v>
      </c>
      <c r="L281" s="10" t="s">
        <v>2380</v>
      </c>
      <c r="M281" s="10" t="s">
        <v>2381</v>
      </c>
      <c r="N281" s="10" t="s">
        <v>42</v>
      </c>
      <c r="O281" s="10">
        <v>3</v>
      </c>
      <c r="P281" s="10" t="s">
        <v>42</v>
      </c>
      <c r="Q281" s="10" t="s">
        <v>59</v>
      </c>
      <c r="R281" s="10" t="s">
        <v>4039</v>
      </c>
      <c r="S281" s="10" t="s">
        <v>2380</v>
      </c>
      <c r="T281" s="10" t="s">
        <v>42</v>
      </c>
      <c r="U281" s="10">
        <v>59</v>
      </c>
      <c r="V281" s="10">
        <v>310</v>
      </c>
      <c r="W281" s="10">
        <v>252</v>
      </c>
      <c r="X281" s="10" t="s">
        <v>237</v>
      </c>
      <c r="Y281" s="10"/>
      <c r="Z281" s="10"/>
      <c r="AA281" s="10"/>
      <c r="AB281" s="10"/>
      <c r="AC281" s="10"/>
      <c r="AD281" s="10"/>
      <c r="AE281" s="10"/>
      <c r="AF281" s="10"/>
      <c r="AG281" s="44"/>
      <c r="AH281" s="44"/>
      <c r="AI281" s="46" t="s">
        <v>6054</v>
      </c>
      <c r="AJ281" s="44" t="s">
        <v>6052</v>
      </c>
      <c r="AK281" s="44" t="s">
        <v>6052</v>
      </c>
      <c r="AL281" s="44" t="s">
        <v>6052</v>
      </c>
      <c r="AM281" s="44" t="s">
        <v>6052</v>
      </c>
      <c r="AN281" s="44" t="s">
        <v>32983</v>
      </c>
      <c r="AO281" s="45">
        <v>11</v>
      </c>
      <c r="AP281" s="45">
        <v>1</v>
      </c>
      <c r="AQ281" s="45">
        <v>0</v>
      </c>
      <c r="AR281" s="45">
        <v>0</v>
      </c>
      <c r="AS281" s="45">
        <v>0</v>
      </c>
      <c r="AT281" s="45">
        <v>0</v>
      </c>
      <c r="AU281" s="10" t="s">
        <v>6052</v>
      </c>
      <c r="AV281" s="10" t="s">
        <v>6052</v>
      </c>
      <c r="AW281" s="10" t="s">
        <v>6052</v>
      </c>
      <c r="AX281" s="10" t="s">
        <v>6052</v>
      </c>
      <c r="AY281" s="10" t="s">
        <v>32253</v>
      </c>
      <c r="AZ281" s="44" t="s">
        <v>33117</v>
      </c>
      <c r="BA281" s="44" t="s">
        <v>31098</v>
      </c>
      <c r="BB281" s="44" t="s">
        <v>31611</v>
      </c>
      <c r="BC281" s="44" t="s">
        <v>10700</v>
      </c>
      <c r="BD281" s="44" t="s">
        <v>31711</v>
      </c>
      <c r="BE281" s="11">
        <v>1</v>
      </c>
      <c r="BF281" s="11">
        <v>0</v>
      </c>
      <c r="BG281" s="11">
        <v>0</v>
      </c>
      <c r="BH281" s="10" t="s">
        <v>31888</v>
      </c>
      <c r="BI281" s="11">
        <v>100</v>
      </c>
      <c r="BJ281" s="10" t="s">
        <v>33334</v>
      </c>
      <c r="BK281" s="11">
        <v>100</v>
      </c>
    </row>
    <row r="282" spans="1:63" x14ac:dyDescent="0.75">
      <c r="A282" t="s">
        <v>3777</v>
      </c>
      <c r="B282" t="s">
        <v>104</v>
      </c>
      <c r="C282" t="s">
        <v>153</v>
      </c>
      <c r="D282" t="s">
        <v>154</v>
      </c>
      <c r="E282" s="22" t="s">
        <v>21287</v>
      </c>
      <c r="F282" t="s">
        <v>3778</v>
      </c>
      <c r="G282" s="1" t="str">
        <f>HYPERLINK("https://homd.org/jbrowse/?data=homd_V11.02_phage_1.2%2FGCA_019391735.1&amp;loc=GCA_019391735.1%7CJAHXQW010000020.1%3A51715..58692&amp;tracks=prokka,prokka_ncrna,ncbi,ncbi_ncrna,panggolin,cenote,genomad&amp;highlight=","Open JBrowse")</f>
        <v>Open JBrowse</v>
      </c>
      <c r="H282" s="10">
        <v>54715</v>
      </c>
      <c r="I282" s="10">
        <v>55692</v>
      </c>
      <c r="J282" s="10" t="s">
        <v>3779</v>
      </c>
      <c r="K282" s="10" t="s">
        <v>59</v>
      </c>
      <c r="L282" s="10" t="s">
        <v>563</v>
      </c>
      <c r="M282" s="10" t="s">
        <v>564</v>
      </c>
      <c r="N282" s="10" t="s">
        <v>42</v>
      </c>
      <c r="O282" s="10">
        <v>3</v>
      </c>
      <c r="P282" s="10" t="s">
        <v>42</v>
      </c>
      <c r="Q282" s="10" t="s">
        <v>59</v>
      </c>
      <c r="R282" s="10" t="s">
        <v>3780</v>
      </c>
      <c r="S282" s="10" t="s">
        <v>563</v>
      </c>
      <c r="T282" s="10" t="s">
        <v>42</v>
      </c>
      <c r="U282" s="10">
        <v>44</v>
      </c>
      <c r="V282" s="10">
        <v>270</v>
      </c>
      <c r="W282" s="10">
        <v>227</v>
      </c>
      <c r="X282" s="10" t="s">
        <v>160</v>
      </c>
      <c r="Y282" s="10" t="s">
        <v>3781</v>
      </c>
      <c r="Z282" s="10" t="s">
        <v>1236</v>
      </c>
      <c r="AA282" s="10" t="s">
        <v>3011</v>
      </c>
      <c r="AB282" s="10" t="s">
        <v>3782</v>
      </c>
      <c r="AC282" s="10" t="s">
        <v>164</v>
      </c>
      <c r="AD282" s="10" t="s">
        <v>51</v>
      </c>
      <c r="AE282" s="10">
        <v>187.2</v>
      </c>
      <c r="AF282" s="10" t="s">
        <v>165</v>
      </c>
      <c r="AG282" s="44"/>
      <c r="AH282" s="44"/>
      <c r="AI282" s="44" t="s">
        <v>6052</v>
      </c>
      <c r="AJ282" s="44" t="s">
        <v>6052</v>
      </c>
      <c r="AK282" s="44" t="s">
        <v>6052</v>
      </c>
      <c r="AL282" s="44" t="s">
        <v>6052</v>
      </c>
      <c r="AM282" s="44" t="s">
        <v>6052</v>
      </c>
      <c r="AN282" s="44" t="s">
        <v>33025</v>
      </c>
      <c r="AO282" s="45">
        <v>11</v>
      </c>
      <c r="AP282" s="45">
        <v>1</v>
      </c>
      <c r="AQ282" s="45">
        <v>0</v>
      </c>
      <c r="AR282" s="45">
        <v>0</v>
      </c>
      <c r="AS282" s="45">
        <v>0</v>
      </c>
      <c r="AT282" s="45">
        <v>0</v>
      </c>
      <c r="AU282" s="10" t="s">
        <v>6052</v>
      </c>
      <c r="AV282" s="10" t="s">
        <v>6052</v>
      </c>
      <c r="AW282" s="10" t="s">
        <v>6052</v>
      </c>
      <c r="AX282" s="10" t="s">
        <v>6052</v>
      </c>
      <c r="AY282" s="10" t="s">
        <v>32253</v>
      </c>
      <c r="AZ282" s="44" t="s">
        <v>33117</v>
      </c>
      <c r="BA282" s="44" t="s">
        <v>31129</v>
      </c>
      <c r="BB282" s="44" t="s">
        <v>31646</v>
      </c>
      <c r="BC282" s="44" t="s">
        <v>6594</v>
      </c>
      <c r="BD282" s="44" t="s">
        <v>31708</v>
      </c>
      <c r="BE282" s="11">
        <v>1</v>
      </c>
      <c r="BF282" s="11">
        <v>0</v>
      </c>
      <c r="BG282" s="11">
        <v>0</v>
      </c>
      <c r="BH282" s="10" t="s">
        <v>32014</v>
      </c>
      <c r="BI282" s="11">
        <v>100</v>
      </c>
      <c r="BJ282" s="10" t="s">
        <v>33405</v>
      </c>
      <c r="BK282" s="11">
        <v>100</v>
      </c>
    </row>
    <row r="283" spans="1:63" x14ac:dyDescent="0.75">
      <c r="A283" t="s">
        <v>3806</v>
      </c>
      <c r="B283" t="s">
        <v>104</v>
      </c>
      <c r="C283" t="s">
        <v>462</v>
      </c>
      <c r="D283" t="s">
        <v>463</v>
      </c>
      <c r="E283" s="22" t="s">
        <v>21301</v>
      </c>
      <c r="F283" t="s">
        <v>3807</v>
      </c>
      <c r="G283" s="1" t="str">
        <f>HYPERLINK("https://homd.org/jbrowse/?data=homd_V11.02_phage_1.2%2FGCA_019391855.1&amp;loc=GCA_019391855.1%7CJAHXRC010000002.1%3A131367..138326&amp;tracks=prokka,prokka_ncrna,ncbi,ncbi_ncrna,panggolin,cenote,genomad&amp;highlight=","Open JBrowse")</f>
        <v>Open JBrowse</v>
      </c>
      <c r="H283" s="10">
        <v>134367</v>
      </c>
      <c r="I283" s="10">
        <v>135326</v>
      </c>
      <c r="J283" s="10" t="s">
        <v>3808</v>
      </c>
      <c r="K283" s="10" t="s">
        <v>59</v>
      </c>
      <c r="L283" s="10" t="s">
        <v>466</v>
      </c>
      <c r="M283" s="10" t="s">
        <v>467</v>
      </c>
      <c r="N283" s="10" t="s">
        <v>398</v>
      </c>
      <c r="O283" s="10">
        <v>3</v>
      </c>
      <c r="P283" s="10" t="s">
        <v>42</v>
      </c>
      <c r="Q283" s="10" t="s">
        <v>59</v>
      </c>
      <c r="R283" s="10" t="s">
        <v>3809</v>
      </c>
      <c r="S283" s="10" t="s">
        <v>466</v>
      </c>
      <c r="T283" s="10" t="s">
        <v>42</v>
      </c>
      <c r="U283" s="10">
        <v>41</v>
      </c>
      <c r="V283" s="10">
        <v>267</v>
      </c>
      <c r="W283" s="10">
        <v>227</v>
      </c>
      <c r="X283" s="10" t="s">
        <v>160</v>
      </c>
      <c r="Y283" s="10" t="s">
        <v>3810</v>
      </c>
      <c r="Z283" s="10" t="s">
        <v>357</v>
      </c>
      <c r="AA283" s="10" t="s">
        <v>1335</v>
      </c>
      <c r="AB283" s="10"/>
      <c r="AC283" s="10"/>
      <c r="AD283" s="10"/>
      <c r="AE283" s="10"/>
      <c r="AF283" s="10"/>
      <c r="AG283" s="44"/>
      <c r="AH283" s="44"/>
      <c r="AI283" s="44" t="s">
        <v>6052</v>
      </c>
      <c r="AJ283" s="44" t="s">
        <v>6052</v>
      </c>
      <c r="AK283" s="44" t="s">
        <v>6052</v>
      </c>
      <c r="AL283" s="44" t="s">
        <v>6052</v>
      </c>
      <c r="AM283" s="44" t="s">
        <v>6052</v>
      </c>
      <c r="AN283" s="44" t="s">
        <v>33015</v>
      </c>
      <c r="AO283" s="45">
        <v>11</v>
      </c>
      <c r="AP283" s="45">
        <v>1</v>
      </c>
      <c r="AQ283" s="45">
        <v>0</v>
      </c>
      <c r="AR283" s="45">
        <v>0</v>
      </c>
      <c r="AS283" s="45">
        <v>0</v>
      </c>
      <c r="AT283" s="45">
        <v>0</v>
      </c>
      <c r="AU283" s="10" t="s">
        <v>6052</v>
      </c>
      <c r="AV283" s="10" t="s">
        <v>6052</v>
      </c>
      <c r="AW283" s="10" t="s">
        <v>6052</v>
      </c>
      <c r="AX283" s="10" t="s">
        <v>6052</v>
      </c>
      <c r="AY283" s="10" t="s">
        <v>32253</v>
      </c>
      <c r="AZ283" s="44" t="s">
        <v>33117</v>
      </c>
      <c r="BA283" s="44" t="s">
        <v>31122</v>
      </c>
      <c r="BB283" s="44" t="s">
        <v>31638</v>
      </c>
      <c r="BC283" s="44" t="s">
        <v>6594</v>
      </c>
      <c r="BD283" s="44" t="s">
        <v>31708</v>
      </c>
      <c r="BE283" s="11">
        <v>1</v>
      </c>
      <c r="BF283" s="11">
        <v>0</v>
      </c>
      <c r="BG283" s="11">
        <v>0</v>
      </c>
      <c r="BH283" s="10" t="s">
        <v>32146</v>
      </c>
      <c r="BI283" s="11">
        <v>100</v>
      </c>
      <c r="BJ283" s="10" t="s">
        <v>33365</v>
      </c>
      <c r="BK283" s="11">
        <v>100</v>
      </c>
    </row>
    <row r="284" spans="1:63" x14ac:dyDescent="0.75">
      <c r="A284" t="s">
        <v>3795</v>
      </c>
      <c r="B284" t="s">
        <v>104</v>
      </c>
      <c r="C284" t="s">
        <v>153</v>
      </c>
      <c r="D284" t="s">
        <v>154</v>
      </c>
      <c r="E284" s="22" t="s">
        <v>21291</v>
      </c>
      <c r="F284" t="s">
        <v>3796</v>
      </c>
      <c r="G284" s="1" t="str">
        <f>HYPERLINK("https://homd.org/jbrowse/?data=homd_V11.02_phage_1.2%2FGCA_019391775.1&amp;loc=GCA_019391775.1%7CJAHXQZ010000009.1%3A78528..85532&amp;tracks=prokka,prokka_ncrna,ncbi,ncbi_ncrna,panggolin,cenote,genomad&amp;highlight=","Open JBrowse")</f>
        <v>Open JBrowse</v>
      </c>
      <c r="H284" s="10">
        <v>81528</v>
      </c>
      <c r="I284" s="10">
        <v>82532</v>
      </c>
      <c r="J284" s="10" t="s">
        <v>3797</v>
      </c>
      <c r="K284" s="10" t="s">
        <v>59</v>
      </c>
      <c r="L284" s="10" t="s">
        <v>157</v>
      </c>
      <c r="M284" s="10" t="s">
        <v>158</v>
      </c>
      <c r="N284" s="10" t="s">
        <v>42</v>
      </c>
      <c r="O284" s="10">
        <v>3</v>
      </c>
      <c r="P284" s="10" t="s">
        <v>42</v>
      </c>
      <c r="Q284" s="10" t="s">
        <v>59</v>
      </c>
      <c r="R284" s="10" t="s">
        <v>3798</v>
      </c>
      <c r="S284" s="10" t="s">
        <v>157</v>
      </c>
      <c r="T284" s="10" t="s">
        <v>42</v>
      </c>
      <c r="U284" s="10">
        <v>53</v>
      </c>
      <c r="V284" s="10">
        <v>279</v>
      </c>
      <c r="W284" s="10">
        <v>227</v>
      </c>
      <c r="X284" s="10" t="s">
        <v>160</v>
      </c>
      <c r="Y284" s="10" t="s">
        <v>3799</v>
      </c>
      <c r="Z284" s="10" t="s">
        <v>410</v>
      </c>
      <c r="AA284" s="10" t="s">
        <v>1200</v>
      </c>
      <c r="AB284" s="10" t="s">
        <v>3800</v>
      </c>
      <c r="AC284" s="10" t="s">
        <v>164</v>
      </c>
      <c r="AD284" s="10" t="s">
        <v>51</v>
      </c>
      <c r="AE284" s="10">
        <v>183.7</v>
      </c>
      <c r="AF284" s="10" t="s">
        <v>165</v>
      </c>
      <c r="AG284" s="44"/>
      <c r="AH284" s="44"/>
      <c r="AI284" s="44" t="s">
        <v>6052</v>
      </c>
      <c r="AJ284" s="44" t="s">
        <v>6052</v>
      </c>
      <c r="AK284" s="44" t="s">
        <v>6052</v>
      </c>
      <c r="AL284" s="44" t="s">
        <v>6052</v>
      </c>
      <c r="AM284" s="44" t="s">
        <v>6052</v>
      </c>
      <c r="AN284" s="44" t="s">
        <v>33019</v>
      </c>
      <c r="AO284" s="45">
        <v>11</v>
      </c>
      <c r="AP284" s="45">
        <v>1</v>
      </c>
      <c r="AQ284" s="45">
        <v>0</v>
      </c>
      <c r="AR284" s="45">
        <v>0</v>
      </c>
      <c r="AS284" s="45">
        <v>0</v>
      </c>
      <c r="AT284" s="45">
        <v>0</v>
      </c>
      <c r="AU284" s="10" t="s">
        <v>6052</v>
      </c>
      <c r="AV284" s="10" t="s">
        <v>6052</v>
      </c>
      <c r="AW284" s="10" t="s">
        <v>6052</v>
      </c>
      <c r="AX284" s="10" t="s">
        <v>6052</v>
      </c>
      <c r="AY284" s="10" t="s">
        <v>32253</v>
      </c>
      <c r="AZ284" s="44" t="s">
        <v>33117</v>
      </c>
      <c r="BA284" s="44" t="s">
        <v>31126</v>
      </c>
      <c r="BB284" s="44" t="s">
        <v>31642</v>
      </c>
      <c r="BC284" s="44" t="s">
        <v>6594</v>
      </c>
      <c r="BD284" s="44" t="s">
        <v>31708</v>
      </c>
      <c r="BE284" s="11">
        <v>1</v>
      </c>
      <c r="BF284" s="11">
        <v>0</v>
      </c>
      <c r="BG284" s="11">
        <v>0</v>
      </c>
      <c r="BH284" s="10" t="s">
        <v>32078</v>
      </c>
      <c r="BI284" s="11">
        <v>100</v>
      </c>
      <c r="BJ284" s="10" t="s">
        <v>33406</v>
      </c>
      <c r="BK284" s="11">
        <v>100</v>
      </c>
    </row>
    <row r="285" spans="1:63" x14ac:dyDescent="0.75">
      <c r="A285" t="s">
        <v>3801</v>
      </c>
      <c r="B285" t="s">
        <v>104</v>
      </c>
      <c r="C285" t="s">
        <v>153</v>
      </c>
      <c r="D285" t="s">
        <v>154</v>
      </c>
      <c r="E285" s="22" t="s">
        <v>21296</v>
      </c>
      <c r="F285" t="s">
        <v>3802</v>
      </c>
      <c r="G285" s="1" t="str">
        <f>HYPERLINK("https://homd.org/jbrowse/?data=homd_V11.02_phage_1.2%2FGCA_019391815.1&amp;loc=GCA_019391815.1%7CJAHXRA010000010.1%3A103604..110608&amp;tracks=prokka,prokka_ncrna,ncbi,ncbi_ncrna,panggolin,cenote,genomad&amp;highlight=","Open JBrowse")</f>
        <v>Open JBrowse</v>
      </c>
      <c r="H285" s="10">
        <v>106604</v>
      </c>
      <c r="I285" s="10">
        <v>107608</v>
      </c>
      <c r="J285" s="10" t="s">
        <v>3803</v>
      </c>
      <c r="K285" s="10" t="s">
        <v>59</v>
      </c>
      <c r="L285" s="10" t="s">
        <v>157</v>
      </c>
      <c r="M285" s="10" t="s">
        <v>158</v>
      </c>
      <c r="N285" s="10" t="s">
        <v>42</v>
      </c>
      <c r="O285" s="10">
        <v>3</v>
      </c>
      <c r="P285" s="10" t="s">
        <v>42</v>
      </c>
      <c r="Q285" s="10" t="s">
        <v>59</v>
      </c>
      <c r="R285" s="10" t="s">
        <v>3804</v>
      </c>
      <c r="S285" s="10" t="s">
        <v>157</v>
      </c>
      <c r="T285" s="10" t="s">
        <v>42</v>
      </c>
      <c r="U285" s="10">
        <v>53</v>
      </c>
      <c r="V285" s="10">
        <v>279</v>
      </c>
      <c r="W285" s="10">
        <v>227</v>
      </c>
      <c r="X285" s="10" t="s">
        <v>160</v>
      </c>
      <c r="Y285" s="10" t="s">
        <v>3805</v>
      </c>
      <c r="Z285" s="10" t="s">
        <v>530</v>
      </c>
      <c r="AA285" s="10" t="s">
        <v>3397</v>
      </c>
      <c r="AB285" s="10"/>
      <c r="AC285" s="10"/>
      <c r="AD285" s="10"/>
      <c r="AE285" s="10"/>
      <c r="AF285" s="10"/>
      <c r="AG285" s="44"/>
      <c r="AH285" s="44"/>
      <c r="AI285" s="44" t="s">
        <v>6052</v>
      </c>
      <c r="AJ285" s="44" t="s">
        <v>6052</v>
      </c>
      <c r="AK285" s="44" t="s">
        <v>6052</v>
      </c>
      <c r="AL285" s="44" t="s">
        <v>6052</v>
      </c>
      <c r="AM285" s="44" t="s">
        <v>6052</v>
      </c>
      <c r="AN285" s="44" t="s">
        <v>33016</v>
      </c>
      <c r="AO285" s="45">
        <v>11</v>
      </c>
      <c r="AP285" s="45">
        <v>1</v>
      </c>
      <c r="AQ285" s="45">
        <v>0</v>
      </c>
      <c r="AR285" s="45">
        <v>0</v>
      </c>
      <c r="AS285" s="45">
        <v>0</v>
      </c>
      <c r="AT285" s="45">
        <v>0</v>
      </c>
      <c r="AU285" s="10" t="s">
        <v>6052</v>
      </c>
      <c r="AV285" s="10" t="s">
        <v>6052</v>
      </c>
      <c r="AW285" s="10" t="s">
        <v>6052</v>
      </c>
      <c r="AX285" s="10" t="s">
        <v>6052</v>
      </c>
      <c r="AY285" s="10" t="s">
        <v>32253</v>
      </c>
      <c r="AZ285" s="44" t="s">
        <v>33117</v>
      </c>
      <c r="BA285" s="44" t="s">
        <v>31123</v>
      </c>
      <c r="BB285" s="44" t="s">
        <v>31639</v>
      </c>
      <c r="BC285" s="44" t="s">
        <v>6594</v>
      </c>
      <c r="BD285" s="44" t="s">
        <v>31708</v>
      </c>
      <c r="BE285" s="11">
        <v>1</v>
      </c>
      <c r="BF285" s="11">
        <v>0</v>
      </c>
      <c r="BG285" s="11">
        <v>0</v>
      </c>
      <c r="BH285" s="10" t="s">
        <v>32072</v>
      </c>
      <c r="BI285" s="11">
        <v>100</v>
      </c>
      <c r="BJ285" s="10" t="s">
        <v>33407</v>
      </c>
      <c r="BK285" s="11">
        <v>100</v>
      </c>
    </row>
    <row r="286" spans="1:63" x14ac:dyDescent="0.75">
      <c r="A286" t="s">
        <v>3783</v>
      </c>
      <c r="B286" t="s">
        <v>104</v>
      </c>
      <c r="C286" t="s">
        <v>241</v>
      </c>
      <c r="D286" t="s">
        <v>242</v>
      </c>
      <c r="E286" s="22" t="s">
        <v>21289</v>
      </c>
      <c r="F286" t="s">
        <v>3790</v>
      </c>
      <c r="G286" s="1" t="str">
        <f>HYPERLINK("https://homd.org/jbrowse/?data=homd_V11.02_phage_1.2%2FGCA_019391755.1&amp;loc=GCA_019391755.1%7CJAHXQX010000008.1%3A70470..77132&amp;tracks=prokka,prokka_ncrna,ncbi,ncbi_ncrna,panggolin,cenote,genomad&amp;highlight=","Open JBrowse")</f>
        <v>Open JBrowse</v>
      </c>
      <c r="H286" s="10">
        <v>73470</v>
      </c>
      <c r="I286" s="10">
        <v>74132</v>
      </c>
      <c r="J286" s="10" t="s">
        <v>3791</v>
      </c>
      <c r="K286" s="10" t="s">
        <v>59</v>
      </c>
      <c r="L286" s="10" t="s">
        <v>256</v>
      </c>
      <c r="M286" s="10" t="s">
        <v>257</v>
      </c>
      <c r="N286" s="10" t="s">
        <v>59</v>
      </c>
      <c r="O286" s="10">
        <v>2</v>
      </c>
      <c r="P286" s="10" t="s">
        <v>42</v>
      </c>
      <c r="Q286" s="10" t="s">
        <v>59</v>
      </c>
      <c r="R286" s="10" t="s">
        <v>3786</v>
      </c>
      <c r="S286" s="10" t="s">
        <v>256</v>
      </c>
      <c r="T286" s="10" t="s">
        <v>42</v>
      </c>
      <c r="U286" s="10">
        <v>3</v>
      </c>
      <c r="V286" s="10">
        <v>214</v>
      </c>
      <c r="W286" s="10">
        <v>212</v>
      </c>
      <c r="X286" s="10" t="s">
        <v>258</v>
      </c>
      <c r="Y286" s="10" t="s">
        <v>3792</v>
      </c>
      <c r="Z286" s="10" t="s">
        <v>1236</v>
      </c>
      <c r="AA286" s="10" t="s">
        <v>3793</v>
      </c>
      <c r="AB286" s="10" t="s">
        <v>3794</v>
      </c>
      <c r="AC286" s="10"/>
      <c r="AD286" s="10"/>
      <c r="AE286" s="10"/>
      <c r="AF286" s="10"/>
      <c r="AG286" s="44" t="s">
        <v>263</v>
      </c>
      <c r="AH286" s="44">
        <v>2</v>
      </c>
      <c r="AI286" s="44" t="s">
        <v>6052</v>
      </c>
      <c r="AJ286" s="44" t="s">
        <v>6052</v>
      </c>
      <c r="AK286" s="44" t="s">
        <v>6052</v>
      </c>
      <c r="AL286" s="44" t="s">
        <v>6052</v>
      </c>
      <c r="AM286" s="44" t="s">
        <v>6052</v>
      </c>
      <c r="AN286" s="44" t="s">
        <v>33021</v>
      </c>
      <c r="AO286" s="45">
        <v>11</v>
      </c>
      <c r="AP286" s="45">
        <v>1</v>
      </c>
      <c r="AQ286" s="45">
        <v>0</v>
      </c>
      <c r="AR286" s="45">
        <v>0</v>
      </c>
      <c r="AS286" s="45">
        <v>0</v>
      </c>
      <c r="AT286" s="45">
        <v>0</v>
      </c>
      <c r="AU286" s="10" t="s">
        <v>6052</v>
      </c>
      <c r="AV286" s="10" t="s">
        <v>6052</v>
      </c>
      <c r="AW286" s="10" t="s">
        <v>6052</v>
      </c>
      <c r="AX286" s="10" t="s">
        <v>6052</v>
      </c>
      <c r="AY286" s="10" t="s">
        <v>32253</v>
      </c>
      <c r="AZ286" s="44" t="s">
        <v>33110</v>
      </c>
      <c r="BA286" s="44" t="s">
        <v>31128</v>
      </c>
      <c r="BB286" s="44" t="s">
        <v>31644</v>
      </c>
      <c r="BC286" s="44" t="s">
        <v>6564</v>
      </c>
      <c r="BD286" s="44" t="s">
        <v>31710</v>
      </c>
      <c r="BE286" s="11">
        <v>1</v>
      </c>
      <c r="BF286" s="11">
        <v>0</v>
      </c>
      <c r="BG286" s="11">
        <v>0</v>
      </c>
      <c r="BH286" s="10" t="s">
        <v>32235</v>
      </c>
      <c r="BI286" s="11">
        <v>100</v>
      </c>
      <c r="BJ286" s="10" t="s">
        <v>33465</v>
      </c>
      <c r="BK286" s="11">
        <v>100</v>
      </c>
    </row>
    <row r="287" spans="1:63" x14ac:dyDescent="0.75">
      <c r="A287" t="s">
        <v>3761</v>
      </c>
      <c r="B287" t="s">
        <v>104</v>
      </c>
      <c r="C287" t="s">
        <v>559</v>
      </c>
      <c r="D287" t="s">
        <v>560</v>
      </c>
      <c r="E287" s="22" t="s">
        <v>21275</v>
      </c>
      <c r="F287" t="s">
        <v>3762</v>
      </c>
      <c r="G287" s="1" t="str">
        <f>HYPERLINK("https://homd.org/jbrowse/?data=homd_V11.02_phage_1.2%2FGCA_019375895.1&amp;loc=GCA_019375895.1%7CJAHXCV010000001.1%3A45346..52194&amp;tracks=prokka,prokka_ncrna,ncbi,ncbi_ncrna,panggolin,cenote,genomad&amp;highlight=","Open JBrowse")</f>
        <v>Open JBrowse</v>
      </c>
      <c r="H287" s="10">
        <v>48346</v>
      </c>
      <c r="I287" s="10">
        <v>49194</v>
      </c>
      <c r="J287" s="10" t="s">
        <v>3763</v>
      </c>
      <c r="K287" s="10" t="s">
        <v>59</v>
      </c>
      <c r="L287" s="10" t="s">
        <v>466</v>
      </c>
      <c r="M287" s="10" t="s">
        <v>467</v>
      </c>
      <c r="N287" s="10" t="s">
        <v>42</v>
      </c>
      <c r="O287" s="10">
        <v>3</v>
      </c>
      <c r="P287" s="10" t="s">
        <v>42</v>
      </c>
      <c r="Q287" s="10" t="s">
        <v>59</v>
      </c>
      <c r="R287" s="10" t="s">
        <v>3764</v>
      </c>
      <c r="S287" s="10" t="s">
        <v>466</v>
      </c>
      <c r="T287" s="10" t="s">
        <v>42</v>
      </c>
      <c r="U287" s="10">
        <v>41</v>
      </c>
      <c r="V287" s="10">
        <v>267</v>
      </c>
      <c r="W287" s="10">
        <v>227</v>
      </c>
      <c r="X287" s="10" t="s">
        <v>160</v>
      </c>
      <c r="Y287" s="10" t="s">
        <v>3765</v>
      </c>
      <c r="Z287" s="10" t="s">
        <v>368</v>
      </c>
      <c r="AA287" s="10" t="s">
        <v>3046</v>
      </c>
      <c r="AB287" s="10"/>
      <c r="AC287" s="10"/>
      <c r="AD287" s="10"/>
      <c r="AE287" s="10"/>
      <c r="AF287" s="10"/>
      <c r="AG287" s="44"/>
      <c r="AH287" s="44"/>
      <c r="AI287" s="44" t="s">
        <v>6052</v>
      </c>
      <c r="AJ287" s="44" t="s">
        <v>6052</v>
      </c>
      <c r="AK287" s="44" t="s">
        <v>6052</v>
      </c>
      <c r="AL287" s="44" t="s">
        <v>6052</v>
      </c>
      <c r="AM287" s="44" t="s">
        <v>6052</v>
      </c>
      <c r="AN287" s="44" t="s">
        <v>33000</v>
      </c>
      <c r="AO287" s="45">
        <v>11</v>
      </c>
      <c r="AP287" s="45">
        <v>1</v>
      </c>
      <c r="AQ287" s="45">
        <v>0</v>
      </c>
      <c r="AR287" s="45">
        <v>0</v>
      </c>
      <c r="AS287" s="45">
        <v>0</v>
      </c>
      <c r="AT287" s="45">
        <v>0</v>
      </c>
      <c r="AU287" s="10" t="s">
        <v>6052</v>
      </c>
      <c r="AV287" s="10" t="s">
        <v>6052</v>
      </c>
      <c r="AW287" s="10" t="s">
        <v>6052</v>
      </c>
      <c r="AX287" s="10" t="s">
        <v>6052</v>
      </c>
      <c r="AY287" s="10" t="s">
        <v>32253</v>
      </c>
      <c r="AZ287" s="44" t="s">
        <v>33117</v>
      </c>
      <c r="BA287" s="44" t="s">
        <v>31107</v>
      </c>
      <c r="BB287" s="44" t="s">
        <v>31623</v>
      </c>
      <c r="BC287" s="44" t="s">
        <v>6594</v>
      </c>
      <c r="BD287" s="44" t="s">
        <v>31708</v>
      </c>
      <c r="BE287" s="11">
        <v>1</v>
      </c>
      <c r="BF287" s="11">
        <v>0</v>
      </c>
      <c r="BG287" s="11">
        <v>0</v>
      </c>
      <c r="BH287" s="10" t="s">
        <v>32128</v>
      </c>
      <c r="BI287" s="11">
        <v>100</v>
      </c>
      <c r="BJ287" s="10" t="s">
        <v>33384</v>
      </c>
      <c r="BK287" s="11">
        <v>100</v>
      </c>
    </row>
    <row r="288" spans="1:63" x14ac:dyDescent="0.75">
      <c r="A288" t="s">
        <v>3771</v>
      </c>
      <c r="B288" t="s">
        <v>104</v>
      </c>
      <c r="C288" t="s">
        <v>559</v>
      </c>
      <c r="D288" t="s">
        <v>560</v>
      </c>
      <c r="E288" s="22" t="s">
        <v>21285</v>
      </c>
      <c r="F288" t="s">
        <v>3772</v>
      </c>
      <c r="G288" s="1" t="str">
        <f>HYPERLINK("https://homd.org/jbrowse/?data=homd_V11.02_phage_1.2%2FGCA_019375975.1&amp;loc=GCA_019375975.1%7CJAHXCX010000019.1%3A45071..51928&amp;tracks=prokka,prokka_ncrna,ncbi,ncbi_ncrna,panggolin,cenote,genomad&amp;highlight=","Open JBrowse")</f>
        <v>Open JBrowse</v>
      </c>
      <c r="H288" s="10">
        <v>48071</v>
      </c>
      <c r="I288" s="10">
        <v>48928</v>
      </c>
      <c r="J288" s="10" t="s">
        <v>3773</v>
      </c>
      <c r="K288" s="10" t="s">
        <v>59</v>
      </c>
      <c r="L288" s="10" t="s">
        <v>563</v>
      </c>
      <c r="M288" s="10" t="s">
        <v>564</v>
      </c>
      <c r="N288" s="10" t="s">
        <v>42</v>
      </c>
      <c r="O288" s="10">
        <v>3</v>
      </c>
      <c r="P288" s="10" t="s">
        <v>42</v>
      </c>
      <c r="Q288" s="10" t="s">
        <v>59</v>
      </c>
      <c r="R288" s="10" t="s">
        <v>3774</v>
      </c>
      <c r="S288" s="10" t="s">
        <v>563</v>
      </c>
      <c r="T288" s="10" t="s">
        <v>42</v>
      </c>
      <c r="U288" s="10">
        <v>44</v>
      </c>
      <c r="V288" s="10">
        <v>270</v>
      </c>
      <c r="W288" s="10">
        <v>227</v>
      </c>
      <c r="X288" s="10" t="s">
        <v>160</v>
      </c>
      <c r="Y288" s="10" t="s">
        <v>3775</v>
      </c>
      <c r="Z288" s="10" t="s">
        <v>1159</v>
      </c>
      <c r="AA288" s="10" t="s">
        <v>3776</v>
      </c>
      <c r="AB288" s="10"/>
      <c r="AC288" s="10"/>
      <c r="AD288" s="10"/>
      <c r="AE288" s="10"/>
      <c r="AF288" s="10"/>
      <c r="AG288" s="44"/>
      <c r="AH288" s="44"/>
      <c r="AI288" s="44" t="s">
        <v>6052</v>
      </c>
      <c r="AJ288" s="44" t="s">
        <v>6052</v>
      </c>
      <c r="AK288" s="44" t="s">
        <v>6052</v>
      </c>
      <c r="AL288" s="44" t="s">
        <v>6052</v>
      </c>
      <c r="AM288" s="44" t="s">
        <v>6052</v>
      </c>
      <c r="AN288" s="44" t="s">
        <v>32998</v>
      </c>
      <c r="AO288" s="45">
        <v>11</v>
      </c>
      <c r="AP288" s="45">
        <v>1</v>
      </c>
      <c r="AQ288" s="45">
        <v>0</v>
      </c>
      <c r="AR288" s="45">
        <v>0</v>
      </c>
      <c r="AS288" s="45">
        <v>0</v>
      </c>
      <c r="AT288" s="45">
        <v>0</v>
      </c>
      <c r="AU288" s="10" t="s">
        <v>6052</v>
      </c>
      <c r="AV288" s="10" t="s">
        <v>6052</v>
      </c>
      <c r="AW288" s="10" t="s">
        <v>6052</v>
      </c>
      <c r="AX288" s="10" t="s">
        <v>6052</v>
      </c>
      <c r="AY288" s="10" t="s">
        <v>32253</v>
      </c>
      <c r="AZ288" s="44" t="s">
        <v>33117</v>
      </c>
      <c r="BA288" s="44" t="s">
        <v>31105</v>
      </c>
      <c r="BB288" s="44" t="s">
        <v>31621</v>
      </c>
      <c r="BC288" s="44" t="s">
        <v>6594</v>
      </c>
      <c r="BD288" s="44" t="s">
        <v>31708</v>
      </c>
      <c r="BE288" s="11">
        <v>1</v>
      </c>
      <c r="BF288" s="11">
        <v>0</v>
      </c>
      <c r="BG288" s="11">
        <v>0</v>
      </c>
      <c r="BH288" s="10" t="s">
        <v>32136</v>
      </c>
      <c r="BI288" s="11">
        <v>100</v>
      </c>
      <c r="BJ288" s="10" t="s">
        <v>33385</v>
      </c>
      <c r="BK288" s="11">
        <v>100</v>
      </c>
    </row>
    <row r="289" spans="1:63" x14ac:dyDescent="0.75">
      <c r="A289" t="s">
        <v>3752</v>
      </c>
      <c r="B289" t="s">
        <v>104</v>
      </c>
      <c r="C289" t="s">
        <v>550</v>
      </c>
      <c r="D289" t="s">
        <v>551</v>
      </c>
      <c r="E289" s="22" t="s">
        <v>21271</v>
      </c>
      <c r="F289" t="s">
        <v>3753</v>
      </c>
      <c r="G289" s="1" t="str">
        <f>HYPERLINK("https://homd.org/jbrowse/?data=homd_V11.02_phage_1.2%2FGCA_019375855.1&amp;loc=GCA_019375855.1%7CJAHXCS010000033.1%3A34564..41565&amp;tracks=prokka,prokka_ncrna,ncbi,ncbi_ncrna,panggolin,cenote,genomad&amp;highlight=","Open JBrowse")</f>
        <v>Open JBrowse</v>
      </c>
      <c r="H289" s="10">
        <v>37564</v>
      </c>
      <c r="I289" s="10">
        <v>38565</v>
      </c>
      <c r="J289" s="10" t="s">
        <v>3754</v>
      </c>
      <c r="K289" s="10" t="s">
        <v>59</v>
      </c>
      <c r="L289" s="10" t="s">
        <v>157</v>
      </c>
      <c r="M289" s="10" t="s">
        <v>158</v>
      </c>
      <c r="N289" s="10" t="s">
        <v>42</v>
      </c>
      <c r="O289" s="10">
        <v>3</v>
      </c>
      <c r="P289" s="10" t="s">
        <v>42</v>
      </c>
      <c r="Q289" s="10" t="s">
        <v>59</v>
      </c>
      <c r="R289" s="10" t="s">
        <v>3755</v>
      </c>
      <c r="S289" s="10" t="s">
        <v>157</v>
      </c>
      <c r="T289" s="10" t="s">
        <v>42</v>
      </c>
      <c r="U289" s="10">
        <v>53</v>
      </c>
      <c r="V289" s="10">
        <v>279</v>
      </c>
      <c r="W289" s="10">
        <v>227</v>
      </c>
      <c r="X289" s="10" t="s">
        <v>160</v>
      </c>
      <c r="Y289" s="10" t="s">
        <v>3756</v>
      </c>
      <c r="Z289" s="10" t="s">
        <v>780</v>
      </c>
      <c r="AA289" s="10" t="s">
        <v>557</v>
      </c>
      <c r="AB289" s="10"/>
      <c r="AC289" s="10"/>
      <c r="AD289" s="10"/>
      <c r="AE289" s="10"/>
      <c r="AF289" s="10"/>
      <c r="AG289" s="44"/>
      <c r="AH289" s="44"/>
      <c r="AI289" s="44" t="s">
        <v>6052</v>
      </c>
      <c r="AJ289" s="44" t="s">
        <v>6052</v>
      </c>
      <c r="AK289" s="44" t="s">
        <v>6052</v>
      </c>
      <c r="AL289" s="44" t="s">
        <v>6052</v>
      </c>
      <c r="AM289" s="44" t="s">
        <v>6052</v>
      </c>
      <c r="AN289" s="44" t="s">
        <v>33001</v>
      </c>
      <c r="AO289" s="45">
        <v>11</v>
      </c>
      <c r="AP289" s="45">
        <v>1</v>
      </c>
      <c r="AQ289" s="45">
        <v>0</v>
      </c>
      <c r="AR289" s="45">
        <v>0</v>
      </c>
      <c r="AS289" s="45">
        <v>0</v>
      </c>
      <c r="AT289" s="45">
        <v>0</v>
      </c>
      <c r="AU289" s="10" t="s">
        <v>6052</v>
      </c>
      <c r="AV289" s="10" t="s">
        <v>6052</v>
      </c>
      <c r="AW289" s="10" t="s">
        <v>6052</v>
      </c>
      <c r="AX289" s="10" t="s">
        <v>6052</v>
      </c>
      <c r="AY289" s="10" t="s">
        <v>32253</v>
      </c>
      <c r="AZ289" s="44" t="s">
        <v>33117</v>
      </c>
      <c r="BA289" s="44" t="s">
        <v>31108</v>
      </c>
      <c r="BB289" s="44" t="s">
        <v>31624</v>
      </c>
      <c r="BC289" s="44" t="s">
        <v>6594</v>
      </c>
      <c r="BD289" s="44" t="s">
        <v>31708</v>
      </c>
      <c r="BE289" s="11">
        <v>1</v>
      </c>
      <c r="BF289" s="11">
        <v>0</v>
      </c>
      <c r="BG289" s="11">
        <v>0</v>
      </c>
      <c r="BH289" s="10" t="s">
        <v>32021</v>
      </c>
      <c r="BI289" s="11">
        <v>100</v>
      </c>
      <c r="BJ289" s="10" t="s">
        <v>33391</v>
      </c>
      <c r="BK289" s="11">
        <v>100</v>
      </c>
    </row>
    <row r="290" spans="1:63" x14ac:dyDescent="0.75">
      <c r="A290" t="s">
        <v>3766</v>
      </c>
      <c r="B290" t="s">
        <v>104</v>
      </c>
      <c r="C290" t="s">
        <v>153</v>
      </c>
      <c r="D290" t="s">
        <v>154</v>
      </c>
      <c r="E290" s="22" t="s">
        <v>21280</v>
      </c>
      <c r="F290" t="s">
        <v>3767</v>
      </c>
      <c r="G290" s="1" t="str">
        <f>HYPERLINK("https://homd.org/jbrowse/?data=homd_V11.02_phage_1.2%2FGCA_019375935.1&amp;loc=GCA_019375935.1%7CJAHXCW010000010.1%3A53479..60483&amp;tracks=prokka,prokka_ncrna,ncbi,ncbi_ncrna,panggolin,cenote,genomad&amp;highlight=","Open JBrowse")</f>
        <v>Open JBrowse</v>
      </c>
      <c r="H290" s="10">
        <v>56479</v>
      </c>
      <c r="I290" s="10">
        <v>57483</v>
      </c>
      <c r="J290" s="10" t="s">
        <v>3768</v>
      </c>
      <c r="K290" s="10" t="s">
        <v>59</v>
      </c>
      <c r="L290" s="10" t="s">
        <v>157</v>
      </c>
      <c r="M290" s="10" t="s">
        <v>158</v>
      </c>
      <c r="N290" s="10" t="s">
        <v>42</v>
      </c>
      <c r="O290" s="10">
        <v>3</v>
      </c>
      <c r="P290" s="10" t="s">
        <v>42</v>
      </c>
      <c r="Q290" s="10" t="s">
        <v>59</v>
      </c>
      <c r="R290" s="10" t="s">
        <v>3769</v>
      </c>
      <c r="S290" s="10" t="s">
        <v>157</v>
      </c>
      <c r="T290" s="10" t="s">
        <v>42</v>
      </c>
      <c r="U290" s="10">
        <v>53</v>
      </c>
      <c r="V290" s="10">
        <v>279</v>
      </c>
      <c r="W290" s="10">
        <v>227</v>
      </c>
      <c r="X290" s="10" t="s">
        <v>160</v>
      </c>
      <c r="Y290" s="10" t="s">
        <v>3770</v>
      </c>
      <c r="Z290" s="10" t="s">
        <v>410</v>
      </c>
      <c r="AA290" s="10" t="s">
        <v>3397</v>
      </c>
      <c r="AB290" s="10"/>
      <c r="AC290" s="10"/>
      <c r="AD290" s="10"/>
      <c r="AE290" s="10"/>
      <c r="AF290" s="10"/>
      <c r="AG290" s="44"/>
      <c r="AH290" s="44"/>
      <c r="AI290" s="44" t="s">
        <v>6052</v>
      </c>
      <c r="AJ290" s="44" t="s">
        <v>6052</v>
      </c>
      <c r="AK290" s="44" t="s">
        <v>6052</v>
      </c>
      <c r="AL290" s="44" t="s">
        <v>6052</v>
      </c>
      <c r="AM290" s="44" t="s">
        <v>6052</v>
      </c>
      <c r="AN290" s="44" t="s">
        <v>32999</v>
      </c>
      <c r="AO290" s="45">
        <v>11</v>
      </c>
      <c r="AP290" s="45">
        <v>1</v>
      </c>
      <c r="AQ290" s="45">
        <v>0</v>
      </c>
      <c r="AR290" s="45">
        <v>0</v>
      </c>
      <c r="AS290" s="45">
        <v>0</v>
      </c>
      <c r="AT290" s="45">
        <v>0</v>
      </c>
      <c r="AU290" s="10" t="s">
        <v>6052</v>
      </c>
      <c r="AV290" s="10" t="s">
        <v>6052</v>
      </c>
      <c r="AW290" s="10" t="s">
        <v>6052</v>
      </c>
      <c r="AX290" s="10" t="s">
        <v>6052</v>
      </c>
      <c r="AY290" s="10" t="s">
        <v>32253</v>
      </c>
      <c r="AZ290" s="44" t="s">
        <v>33117</v>
      </c>
      <c r="BA290" s="44" t="s">
        <v>31106</v>
      </c>
      <c r="BB290" s="44" t="s">
        <v>31622</v>
      </c>
      <c r="BC290" s="44" t="s">
        <v>6594</v>
      </c>
      <c r="BD290" s="44" t="s">
        <v>31708</v>
      </c>
      <c r="BE290" s="11">
        <v>1</v>
      </c>
      <c r="BF290" s="11">
        <v>0</v>
      </c>
      <c r="BG290" s="11">
        <v>0</v>
      </c>
      <c r="BH290" s="10" t="s">
        <v>31990</v>
      </c>
      <c r="BI290" s="11">
        <v>100</v>
      </c>
      <c r="BJ290" s="10" t="s">
        <v>33404</v>
      </c>
      <c r="BK290" s="11">
        <v>100</v>
      </c>
    </row>
    <row r="291" spans="1:63" x14ac:dyDescent="0.75">
      <c r="A291" t="s">
        <v>3746</v>
      </c>
      <c r="B291" t="s">
        <v>104</v>
      </c>
      <c r="C291" t="s">
        <v>559</v>
      </c>
      <c r="D291" t="s">
        <v>560</v>
      </c>
      <c r="E291" s="22" t="s">
        <v>21269</v>
      </c>
      <c r="F291" t="s">
        <v>3747</v>
      </c>
      <c r="G291" s="1" t="str">
        <f>HYPERLINK("https://homd.org/jbrowse/?data=homd_V11.02_phage_1.2%2FGCA_019375835.1&amp;loc=GCA_019375835.1%7CJAHXCO010000001.1%3A402091..408948&amp;tracks=prokka,prokka_ncrna,ncbi,ncbi_ncrna,panggolin,cenote,genomad&amp;highlight=","Open JBrowse")</f>
        <v>Open JBrowse</v>
      </c>
      <c r="H291" s="10">
        <v>405091</v>
      </c>
      <c r="I291" s="10">
        <v>405948</v>
      </c>
      <c r="J291" s="10" t="s">
        <v>3748</v>
      </c>
      <c r="K291" s="10" t="s">
        <v>59</v>
      </c>
      <c r="L291" s="10" t="s">
        <v>563</v>
      </c>
      <c r="M291" s="10" t="s">
        <v>564</v>
      </c>
      <c r="N291" s="10" t="s">
        <v>42</v>
      </c>
      <c r="O291" s="10">
        <v>3</v>
      </c>
      <c r="P291" s="10" t="s">
        <v>42</v>
      </c>
      <c r="Q291" s="10" t="s">
        <v>59</v>
      </c>
      <c r="R291" s="10" t="s">
        <v>3749</v>
      </c>
      <c r="S291" s="10" t="s">
        <v>563</v>
      </c>
      <c r="T291" s="10" t="s">
        <v>42</v>
      </c>
      <c r="U291" s="10">
        <v>44</v>
      </c>
      <c r="V291" s="10">
        <v>270</v>
      </c>
      <c r="W291" s="10">
        <v>227</v>
      </c>
      <c r="X291" s="10" t="s">
        <v>160</v>
      </c>
      <c r="Y291" s="10" t="s">
        <v>3750</v>
      </c>
      <c r="Z291" s="10" t="s">
        <v>932</v>
      </c>
      <c r="AA291" s="10" t="s">
        <v>3751</v>
      </c>
      <c r="AB291" s="10"/>
      <c r="AC291" s="10"/>
      <c r="AD291" s="10"/>
      <c r="AE291" s="10"/>
      <c r="AF291" s="10"/>
      <c r="AG291" s="44"/>
      <c r="AH291" s="44"/>
      <c r="AI291" s="44" t="s">
        <v>6052</v>
      </c>
      <c r="AJ291" s="44" t="s">
        <v>6052</v>
      </c>
      <c r="AK291" s="44" t="s">
        <v>6052</v>
      </c>
      <c r="AL291" s="44" t="s">
        <v>6052</v>
      </c>
      <c r="AM291" s="44" t="s">
        <v>6052</v>
      </c>
      <c r="AN291" s="44" t="s">
        <v>33008</v>
      </c>
      <c r="AO291" s="45">
        <v>11</v>
      </c>
      <c r="AP291" s="45">
        <v>1</v>
      </c>
      <c r="AQ291" s="45">
        <v>0</v>
      </c>
      <c r="AR291" s="45">
        <v>0</v>
      </c>
      <c r="AS291" s="45">
        <v>0</v>
      </c>
      <c r="AT291" s="45">
        <v>0</v>
      </c>
      <c r="AU291" s="10" t="s">
        <v>6052</v>
      </c>
      <c r="AV291" s="10" t="s">
        <v>6052</v>
      </c>
      <c r="AW291" s="10" t="s">
        <v>6052</v>
      </c>
      <c r="AX291" s="10" t="s">
        <v>6052</v>
      </c>
      <c r="AY291" s="10" t="s">
        <v>32253</v>
      </c>
      <c r="AZ291" s="44" t="s">
        <v>33117</v>
      </c>
      <c r="BA291" s="44" t="s">
        <v>31115</v>
      </c>
      <c r="BB291" s="44" t="s">
        <v>31631</v>
      </c>
      <c r="BC291" s="44" t="s">
        <v>6594</v>
      </c>
      <c r="BD291" s="44" t="s">
        <v>31708</v>
      </c>
      <c r="BE291" s="11">
        <v>1</v>
      </c>
      <c r="BF291" s="11">
        <v>0</v>
      </c>
      <c r="BG291" s="11">
        <v>0</v>
      </c>
      <c r="BH291" s="10" t="s">
        <v>32115</v>
      </c>
      <c r="BI291" s="11">
        <v>100</v>
      </c>
      <c r="BJ291" s="10" t="s">
        <v>33383</v>
      </c>
      <c r="BK291" s="11">
        <v>100</v>
      </c>
    </row>
    <row r="292" spans="1:63" x14ac:dyDescent="0.75">
      <c r="A292" t="s">
        <v>3739</v>
      </c>
      <c r="B292" t="s">
        <v>104</v>
      </c>
      <c r="C292" t="s">
        <v>153</v>
      </c>
      <c r="D292" t="s">
        <v>154</v>
      </c>
      <c r="E292" s="22" t="s">
        <v>21267</v>
      </c>
      <c r="F292" t="s">
        <v>3740</v>
      </c>
      <c r="G292" s="1" t="str">
        <f>HYPERLINK("https://homd.org/jbrowse/?data=homd_V11.02_phage_1.2%2FGCA_019375815.1&amp;loc=GCA_019375815.1%7CJAHXCP010000002.1%3A292377..299381&amp;tracks=prokka,prokka_ncrna,ncbi,ncbi_ncrna,panggolin,cenote,genomad&amp;highlight=","Open JBrowse")</f>
        <v>Open JBrowse</v>
      </c>
      <c r="H292" s="10">
        <v>295377</v>
      </c>
      <c r="I292" s="10">
        <v>296381</v>
      </c>
      <c r="J292" s="10" t="s">
        <v>3741</v>
      </c>
      <c r="K292" s="10" t="s">
        <v>59</v>
      </c>
      <c r="L292" s="10" t="s">
        <v>157</v>
      </c>
      <c r="M292" s="10" t="s">
        <v>158</v>
      </c>
      <c r="N292" s="10" t="s">
        <v>42</v>
      </c>
      <c r="O292" s="10">
        <v>3</v>
      </c>
      <c r="P292" s="10" t="s">
        <v>42</v>
      </c>
      <c r="Q292" s="10" t="s">
        <v>59</v>
      </c>
      <c r="R292" s="10" t="s">
        <v>3742</v>
      </c>
      <c r="S292" s="10" t="s">
        <v>157</v>
      </c>
      <c r="T292" s="10" t="s">
        <v>42</v>
      </c>
      <c r="U292" s="10">
        <v>53</v>
      </c>
      <c r="V292" s="10">
        <v>279</v>
      </c>
      <c r="W292" s="10">
        <v>227</v>
      </c>
      <c r="X292" s="10" t="s">
        <v>160</v>
      </c>
      <c r="Y292" s="10" t="s">
        <v>3743</v>
      </c>
      <c r="Z292" s="10" t="s">
        <v>302</v>
      </c>
      <c r="AA292" s="10" t="s">
        <v>3744</v>
      </c>
      <c r="AB292" s="10" t="s">
        <v>3745</v>
      </c>
      <c r="AC292" s="10" t="s">
        <v>164</v>
      </c>
      <c r="AD292" s="10" t="s">
        <v>51</v>
      </c>
      <c r="AE292" s="10">
        <v>188</v>
      </c>
      <c r="AF292" s="10" t="s">
        <v>165</v>
      </c>
      <c r="AG292" s="44"/>
      <c r="AH292" s="44"/>
      <c r="AI292" s="44" t="s">
        <v>6052</v>
      </c>
      <c r="AJ292" s="44" t="s">
        <v>6052</v>
      </c>
      <c r="AK292" s="44" t="s">
        <v>6052</v>
      </c>
      <c r="AL292" s="44" t="s">
        <v>6052</v>
      </c>
      <c r="AM292" s="44" t="s">
        <v>6052</v>
      </c>
      <c r="AN292" s="44" t="s">
        <v>33007</v>
      </c>
      <c r="AO292" s="45">
        <v>11</v>
      </c>
      <c r="AP292" s="45">
        <v>1</v>
      </c>
      <c r="AQ292" s="45">
        <v>0</v>
      </c>
      <c r="AR292" s="45">
        <v>0</v>
      </c>
      <c r="AS292" s="45">
        <v>0</v>
      </c>
      <c r="AT292" s="45">
        <v>0</v>
      </c>
      <c r="AU292" s="10" t="s">
        <v>6052</v>
      </c>
      <c r="AV292" s="10" t="s">
        <v>6052</v>
      </c>
      <c r="AW292" s="10" t="s">
        <v>6052</v>
      </c>
      <c r="AX292" s="10" t="s">
        <v>6052</v>
      </c>
      <c r="AY292" s="10" t="s">
        <v>32253</v>
      </c>
      <c r="AZ292" s="44" t="s">
        <v>33117</v>
      </c>
      <c r="BA292" s="44" t="s">
        <v>31114</v>
      </c>
      <c r="BB292" s="44" t="s">
        <v>31630</v>
      </c>
      <c r="BC292" s="44" t="s">
        <v>6594</v>
      </c>
      <c r="BD292" s="44" t="s">
        <v>31708</v>
      </c>
      <c r="BE292" s="11">
        <v>1</v>
      </c>
      <c r="BF292" s="11">
        <v>0</v>
      </c>
      <c r="BG292" s="11">
        <v>0</v>
      </c>
      <c r="BH292" s="10" t="s">
        <v>31994</v>
      </c>
      <c r="BI292" s="11">
        <v>100</v>
      </c>
      <c r="BJ292" s="10" t="s">
        <v>33403</v>
      </c>
      <c r="BK292" s="11">
        <v>100</v>
      </c>
    </row>
    <row r="293" spans="1:63" x14ac:dyDescent="0.75">
      <c r="A293" t="s">
        <v>3710</v>
      </c>
      <c r="B293" t="s">
        <v>104</v>
      </c>
      <c r="C293" t="s">
        <v>462</v>
      </c>
      <c r="D293" t="s">
        <v>463</v>
      </c>
      <c r="E293" s="22" t="s">
        <v>21252</v>
      </c>
      <c r="F293" t="s">
        <v>3711</v>
      </c>
      <c r="G293" s="1" t="str">
        <f>HYPERLINK("https://homd.org/jbrowse/?data=homd_V11.02_phage_1.2%2FGCA_019375675.1&amp;loc=GCA_019375675.1%7CJAHXCL010000001.1%3A176918..183877&amp;tracks=prokka,prokka_ncrna,ncbi,ncbi_ncrna,panggolin,cenote,genomad&amp;highlight=","Open JBrowse")</f>
        <v>Open JBrowse</v>
      </c>
      <c r="H293" s="10">
        <v>179918</v>
      </c>
      <c r="I293" s="10">
        <v>180877</v>
      </c>
      <c r="J293" s="10" t="s">
        <v>3712</v>
      </c>
      <c r="K293" s="10" t="s">
        <v>59</v>
      </c>
      <c r="L293" s="10" t="s">
        <v>466</v>
      </c>
      <c r="M293" s="10" t="s">
        <v>467</v>
      </c>
      <c r="N293" s="10" t="s">
        <v>398</v>
      </c>
      <c r="O293" s="10">
        <v>3</v>
      </c>
      <c r="P293" s="10" t="s">
        <v>42</v>
      </c>
      <c r="Q293" s="10" t="s">
        <v>59</v>
      </c>
      <c r="R293" s="10" t="s">
        <v>3713</v>
      </c>
      <c r="S293" s="10" t="s">
        <v>466</v>
      </c>
      <c r="T293" s="10" t="s">
        <v>42</v>
      </c>
      <c r="U293" s="10">
        <v>41</v>
      </c>
      <c r="V293" s="10">
        <v>267</v>
      </c>
      <c r="W293" s="10">
        <v>227</v>
      </c>
      <c r="X293" s="10" t="s">
        <v>160</v>
      </c>
      <c r="Y293" s="10" t="s">
        <v>3714</v>
      </c>
      <c r="Z293" s="10" t="s">
        <v>1334</v>
      </c>
      <c r="AA293" s="10" t="s">
        <v>1335</v>
      </c>
      <c r="AB293" s="10"/>
      <c r="AC293" s="10"/>
      <c r="AD293" s="10"/>
      <c r="AE293" s="10"/>
      <c r="AF293" s="10"/>
      <c r="AG293" s="44"/>
      <c r="AH293" s="44"/>
      <c r="AI293" s="44" t="s">
        <v>6052</v>
      </c>
      <c r="AJ293" s="44" t="s">
        <v>6052</v>
      </c>
      <c r="AK293" s="44" t="s">
        <v>6052</v>
      </c>
      <c r="AL293" s="44" t="s">
        <v>6052</v>
      </c>
      <c r="AM293" s="44" t="s">
        <v>6052</v>
      </c>
      <c r="AN293" s="44" t="s">
        <v>33004</v>
      </c>
      <c r="AO293" s="45">
        <v>11</v>
      </c>
      <c r="AP293" s="45">
        <v>1</v>
      </c>
      <c r="AQ293" s="45">
        <v>0</v>
      </c>
      <c r="AR293" s="45">
        <v>0</v>
      </c>
      <c r="AS293" s="45">
        <v>0</v>
      </c>
      <c r="AT293" s="45">
        <v>0</v>
      </c>
      <c r="AU293" s="10" t="s">
        <v>6052</v>
      </c>
      <c r="AV293" s="10" t="s">
        <v>6052</v>
      </c>
      <c r="AW293" s="10" t="s">
        <v>6052</v>
      </c>
      <c r="AX293" s="10" t="s">
        <v>6052</v>
      </c>
      <c r="AY293" s="10" t="s">
        <v>32253</v>
      </c>
      <c r="AZ293" s="44" t="s">
        <v>33117</v>
      </c>
      <c r="BA293" s="44" t="s">
        <v>31111</v>
      </c>
      <c r="BB293" s="44" t="s">
        <v>31627</v>
      </c>
      <c r="BC293" s="44" t="s">
        <v>6594</v>
      </c>
      <c r="BD293" s="44" t="s">
        <v>31708</v>
      </c>
      <c r="BE293" s="11">
        <v>1</v>
      </c>
      <c r="BF293" s="11">
        <v>0</v>
      </c>
      <c r="BG293" s="11">
        <v>0</v>
      </c>
      <c r="BH293" s="10" t="s">
        <v>32153</v>
      </c>
      <c r="BI293" s="11">
        <v>100</v>
      </c>
      <c r="BJ293" s="10" t="s">
        <v>33364</v>
      </c>
      <c r="BK293" s="11">
        <v>100</v>
      </c>
    </row>
    <row r="294" spans="1:63" x14ac:dyDescent="0.75">
      <c r="A294" t="s">
        <v>3729</v>
      </c>
      <c r="B294" t="s">
        <v>104</v>
      </c>
      <c r="C294" t="s">
        <v>153</v>
      </c>
      <c r="D294" t="s">
        <v>154</v>
      </c>
      <c r="E294" s="22" t="s">
        <v>21260</v>
      </c>
      <c r="F294" t="s">
        <v>3730</v>
      </c>
      <c r="G294" s="1" t="str">
        <f>HYPERLINK("https://homd.org/jbrowse/?data=homd_V11.02_phage_1.2%2FGCA_019375745.1&amp;loc=GCA_019375745.1%7CJAHXCM010000003.1%3A50996..58000&amp;tracks=prokka,prokka_ncrna,ncbi,ncbi_ncrna,panggolin,cenote,genomad&amp;highlight=","Open JBrowse")</f>
        <v>Open JBrowse</v>
      </c>
      <c r="H294" s="10">
        <v>53996</v>
      </c>
      <c r="I294" s="10">
        <v>55000</v>
      </c>
      <c r="J294" s="10" t="s">
        <v>3731</v>
      </c>
      <c r="K294" s="10" t="s">
        <v>59</v>
      </c>
      <c r="L294" s="10" t="s">
        <v>157</v>
      </c>
      <c r="M294" s="10" t="s">
        <v>158</v>
      </c>
      <c r="N294" s="10" t="s">
        <v>42</v>
      </c>
      <c r="O294" s="10">
        <v>3</v>
      </c>
      <c r="P294" s="10" t="s">
        <v>42</v>
      </c>
      <c r="Q294" s="10" t="s">
        <v>59</v>
      </c>
      <c r="R294" s="10" t="s">
        <v>3732</v>
      </c>
      <c r="S294" s="10" t="s">
        <v>157</v>
      </c>
      <c r="T294" s="10" t="s">
        <v>42</v>
      </c>
      <c r="U294" s="10">
        <v>53</v>
      </c>
      <c r="V294" s="10">
        <v>279</v>
      </c>
      <c r="W294" s="10">
        <v>227</v>
      </c>
      <c r="X294" s="10" t="s">
        <v>160</v>
      </c>
      <c r="Y294" s="10" t="s">
        <v>3733</v>
      </c>
      <c r="Z294" s="10" t="s">
        <v>547</v>
      </c>
      <c r="AA294" s="10" t="s">
        <v>2983</v>
      </c>
      <c r="AB294" s="10"/>
      <c r="AC294" s="10"/>
      <c r="AD294" s="10"/>
      <c r="AE294" s="10"/>
      <c r="AF294" s="10"/>
      <c r="AG294" s="44"/>
      <c r="AH294" s="44"/>
      <c r="AI294" s="44" t="s">
        <v>6052</v>
      </c>
      <c r="AJ294" s="44" t="s">
        <v>6052</v>
      </c>
      <c r="AK294" s="44" t="s">
        <v>6052</v>
      </c>
      <c r="AL294" s="44" t="s">
        <v>6052</v>
      </c>
      <c r="AM294" s="44" t="s">
        <v>6052</v>
      </c>
      <c r="AN294" s="44" t="s">
        <v>33003</v>
      </c>
      <c r="AO294" s="45">
        <v>11</v>
      </c>
      <c r="AP294" s="45">
        <v>1</v>
      </c>
      <c r="AQ294" s="45">
        <v>0</v>
      </c>
      <c r="AR294" s="45">
        <v>0</v>
      </c>
      <c r="AS294" s="45">
        <v>0</v>
      </c>
      <c r="AT294" s="45">
        <v>0</v>
      </c>
      <c r="AU294" s="10" t="s">
        <v>6052</v>
      </c>
      <c r="AV294" s="10" t="s">
        <v>6052</v>
      </c>
      <c r="AW294" s="10" t="s">
        <v>6052</v>
      </c>
      <c r="AX294" s="10" t="s">
        <v>6052</v>
      </c>
      <c r="AY294" s="10" t="s">
        <v>32253</v>
      </c>
      <c r="AZ294" s="44" t="s">
        <v>33117</v>
      </c>
      <c r="BA294" s="44" t="s">
        <v>31110</v>
      </c>
      <c r="BB294" s="44" t="s">
        <v>31626</v>
      </c>
      <c r="BC294" s="44" t="s">
        <v>6594</v>
      </c>
      <c r="BD294" s="44" t="s">
        <v>31708</v>
      </c>
      <c r="BE294" s="11">
        <v>1</v>
      </c>
      <c r="BF294" s="11">
        <v>0</v>
      </c>
      <c r="BG294" s="11">
        <v>0</v>
      </c>
      <c r="BH294" s="10" t="s">
        <v>32086</v>
      </c>
      <c r="BI294" s="11">
        <v>100</v>
      </c>
      <c r="BJ294" s="10" t="s">
        <v>33401</v>
      </c>
      <c r="BK294" s="11">
        <v>100</v>
      </c>
    </row>
    <row r="295" spans="1:63" x14ac:dyDescent="0.75">
      <c r="A295" t="s">
        <v>3715</v>
      </c>
      <c r="B295" t="s">
        <v>104</v>
      </c>
      <c r="C295" t="s">
        <v>559</v>
      </c>
      <c r="D295" t="s">
        <v>560</v>
      </c>
      <c r="E295" s="22" t="s">
        <v>21254</v>
      </c>
      <c r="F295" t="s">
        <v>3716</v>
      </c>
      <c r="G295" s="1" t="str">
        <f>HYPERLINK("https://homd.org/jbrowse/?data=homd_V11.02_phage_1.2%2FGCA_019375695.1&amp;loc=GCA_019375695.1%7CJAHXCI010000015.1%3A31397..38254&amp;tracks=prokka,prokka_ncrna,ncbi,ncbi_ncrna,panggolin,cenote,genomad&amp;highlight=","Open JBrowse")</f>
        <v>Open JBrowse</v>
      </c>
      <c r="H295" s="10">
        <v>34397</v>
      </c>
      <c r="I295" s="10">
        <v>35254</v>
      </c>
      <c r="J295" s="10" t="s">
        <v>3717</v>
      </c>
      <c r="K295" s="10" t="s">
        <v>59</v>
      </c>
      <c r="L295" s="10" t="s">
        <v>563</v>
      </c>
      <c r="M295" s="10" t="s">
        <v>564</v>
      </c>
      <c r="N295" s="10" t="s">
        <v>42</v>
      </c>
      <c r="O295" s="10">
        <v>3</v>
      </c>
      <c r="P295" s="10" t="s">
        <v>42</v>
      </c>
      <c r="Q295" s="10" t="s">
        <v>59</v>
      </c>
      <c r="R295" s="10" t="s">
        <v>3718</v>
      </c>
      <c r="S295" s="10" t="s">
        <v>563</v>
      </c>
      <c r="T295" s="10" t="s">
        <v>42</v>
      </c>
      <c r="U295" s="10">
        <v>44</v>
      </c>
      <c r="V295" s="10">
        <v>270</v>
      </c>
      <c r="W295" s="10">
        <v>227</v>
      </c>
      <c r="X295" s="10" t="s">
        <v>160</v>
      </c>
      <c r="Y295" s="10"/>
      <c r="Z295" s="10"/>
      <c r="AA295" s="10"/>
      <c r="AB295" s="10"/>
      <c r="AC295" s="10"/>
      <c r="AD295" s="10"/>
      <c r="AE295" s="10"/>
      <c r="AF295" s="10"/>
      <c r="AG295" s="44"/>
      <c r="AH295" s="44"/>
      <c r="AI295" s="46" t="s">
        <v>6054</v>
      </c>
      <c r="AJ295" s="44" t="s">
        <v>6052</v>
      </c>
      <c r="AK295" s="44" t="s">
        <v>6052</v>
      </c>
      <c r="AL295" s="44" t="s">
        <v>6052</v>
      </c>
      <c r="AM295" s="44" t="s">
        <v>6052</v>
      </c>
      <c r="AN295" s="44" t="s">
        <v>33010</v>
      </c>
      <c r="AO295" s="45">
        <v>11</v>
      </c>
      <c r="AP295" s="45">
        <v>1</v>
      </c>
      <c r="AQ295" s="45">
        <v>0</v>
      </c>
      <c r="AR295" s="45">
        <v>0</v>
      </c>
      <c r="AS295" s="45">
        <v>0</v>
      </c>
      <c r="AT295" s="45">
        <v>0</v>
      </c>
      <c r="AU295" s="10" t="s">
        <v>6052</v>
      </c>
      <c r="AV295" s="10" t="s">
        <v>6052</v>
      </c>
      <c r="AW295" s="10" t="s">
        <v>6052</v>
      </c>
      <c r="AX295" s="10" t="s">
        <v>6052</v>
      </c>
      <c r="AY295" s="10" t="s">
        <v>32253</v>
      </c>
      <c r="AZ295" s="44" t="s">
        <v>33117</v>
      </c>
      <c r="BA295" s="44" t="s">
        <v>31117</v>
      </c>
      <c r="BB295" s="44" t="s">
        <v>31633</v>
      </c>
      <c r="BC295" s="44" t="s">
        <v>6594</v>
      </c>
      <c r="BD295" s="44" t="s">
        <v>31708</v>
      </c>
      <c r="BE295" s="11">
        <v>1</v>
      </c>
      <c r="BF295" s="11">
        <v>0</v>
      </c>
      <c r="BG295" s="11">
        <v>0</v>
      </c>
      <c r="BH295" s="10" t="s">
        <v>32132</v>
      </c>
      <c r="BI295" s="11">
        <v>100</v>
      </c>
      <c r="BJ295" s="10" t="s">
        <v>33382</v>
      </c>
      <c r="BK295" s="11">
        <v>100</v>
      </c>
    </row>
    <row r="296" spans="1:63" x14ac:dyDescent="0.75">
      <c r="A296" t="s">
        <v>3690</v>
      </c>
      <c r="B296" t="s">
        <v>104</v>
      </c>
      <c r="C296" t="s">
        <v>153</v>
      </c>
      <c r="D296" t="s">
        <v>154</v>
      </c>
      <c r="E296" s="22" t="s">
        <v>21241</v>
      </c>
      <c r="F296" t="s">
        <v>3691</v>
      </c>
      <c r="G296" s="1" t="str">
        <f>HYPERLINK("https://homd.org/jbrowse/?data=homd_V11.02_phage_1.2%2FGCA_019375575.1&amp;loc=GCA_019375575.1%7CJAHXCE010000010.1%3A3798..10802&amp;tracks=prokka,prokka_ncrna,ncbi,ncbi_ncrna,panggolin,cenote,genomad&amp;highlight=","Open JBrowse")</f>
        <v>Open JBrowse</v>
      </c>
      <c r="H296" s="10">
        <v>6798</v>
      </c>
      <c r="I296" s="10">
        <v>7802</v>
      </c>
      <c r="J296" s="10" t="s">
        <v>3692</v>
      </c>
      <c r="K296" s="10" t="s">
        <v>59</v>
      </c>
      <c r="L296" s="10" t="s">
        <v>157</v>
      </c>
      <c r="M296" s="10" t="s">
        <v>158</v>
      </c>
      <c r="N296" s="10" t="s">
        <v>42</v>
      </c>
      <c r="O296" s="10">
        <v>3</v>
      </c>
      <c r="P296" s="10" t="s">
        <v>42</v>
      </c>
      <c r="Q296" s="10" t="s">
        <v>59</v>
      </c>
      <c r="R296" s="10" t="s">
        <v>3693</v>
      </c>
      <c r="S296" s="10" t="s">
        <v>157</v>
      </c>
      <c r="T296" s="10" t="s">
        <v>42</v>
      </c>
      <c r="U296" s="10">
        <v>53</v>
      </c>
      <c r="V296" s="10">
        <v>279</v>
      </c>
      <c r="W296" s="10">
        <v>227</v>
      </c>
      <c r="X296" s="10" t="s">
        <v>160</v>
      </c>
      <c r="Y296" s="10" t="s">
        <v>3694</v>
      </c>
      <c r="Z296" s="10" t="s">
        <v>470</v>
      </c>
      <c r="AA296" s="10" t="s">
        <v>2983</v>
      </c>
      <c r="AB296" s="10"/>
      <c r="AC296" s="10"/>
      <c r="AD296" s="10"/>
      <c r="AE296" s="10"/>
      <c r="AF296" s="10"/>
      <c r="AG296" s="44"/>
      <c r="AH296" s="44"/>
      <c r="AI296" s="44" t="s">
        <v>6052</v>
      </c>
      <c r="AJ296" s="44" t="s">
        <v>6052</v>
      </c>
      <c r="AK296" s="44" t="s">
        <v>6052</v>
      </c>
      <c r="AL296" s="44" t="s">
        <v>6052</v>
      </c>
      <c r="AM296" s="44" t="s">
        <v>6052</v>
      </c>
      <c r="AN296" s="44" t="s">
        <v>33020</v>
      </c>
      <c r="AO296" s="45">
        <v>11</v>
      </c>
      <c r="AP296" s="45">
        <v>1</v>
      </c>
      <c r="AQ296" s="45">
        <v>0</v>
      </c>
      <c r="AR296" s="45">
        <v>0</v>
      </c>
      <c r="AS296" s="45">
        <v>0</v>
      </c>
      <c r="AT296" s="45">
        <v>0</v>
      </c>
      <c r="AU296" s="10" t="s">
        <v>6052</v>
      </c>
      <c r="AV296" s="10" t="s">
        <v>6052</v>
      </c>
      <c r="AW296" s="10" t="s">
        <v>6052</v>
      </c>
      <c r="AX296" s="10" t="s">
        <v>6052</v>
      </c>
      <c r="AY296" s="10" t="s">
        <v>32253</v>
      </c>
      <c r="AZ296" s="44" t="s">
        <v>33117</v>
      </c>
      <c r="BA296" s="44" t="s">
        <v>31127</v>
      </c>
      <c r="BB296" s="44" t="s">
        <v>31643</v>
      </c>
      <c r="BC296" s="44" t="s">
        <v>6594</v>
      </c>
      <c r="BD296" s="44" t="s">
        <v>31708</v>
      </c>
      <c r="BE296" s="11">
        <v>1</v>
      </c>
      <c r="BF296" s="11">
        <v>0</v>
      </c>
      <c r="BG296" s="11">
        <v>0</v>
      </c>
      <c r="BH296" s="10" t="s">
        <v>32055</v>
      </c>
      <c r="BI296" s="11">
        <v>100</v>
      </c>
      <c r="BJ296" s="10" t="s">
        <v>33399</v>
      </c>
      <c r="BK296" s="11">
        <v>100</v>
      </c>
    </row>
    <row r="297" spans="1:63" x14ac:dyDescent="0.75">
      <c r="A297" t="s">
        <v>3706</v>
      </c>
      <c r="B297" t="s">
        <v>104</v>
      </c>
      <c r="C297" t="s">
        <v>559</v>
      </c>
      <c r="D297" t="s">
        <v>560</v>
      </c>
      <c r="E297" s="22" t="s">
        <v>21250</v>
      </c>
      <c r="F297" t="s">
        <v>3707</v>
      </c>
      <c r="G297" s="1" t="str">
        <f>HYPERLINK("https://homd.org/jbrowse/?data=homd_V11.02_phage_1.2%2FGCA_019375655.1&amp;loc=GCA_019375655.1%7CJAHXCH010000014.1%3A31355..38212&amp;tracks=prokka,prokka_ncrna,ncbi,ncbi_ncrna,panggolin,cenote,genomad&amp;highlight=","Open JBrowse")</f>
        <v>Open JBrowse</v>
      </c>
      <c r="H297" s="10">
        <v>34355</v>
      </c>
      <c r="I297" s="10">
        <v>35212</v>
      </c>
      <c r="J297" s="10" t="s">
        <v>3708</v>
      </c>
      <c r="K297" s="10" t="s">
        <v>59</v>
      </c>
      <c r="L297" s="10" t="s">
        <v>563</v>
      </c>
      <c r="M297" s="10" t="s">
        <v>564</v>
      </c>
      <c r="N297" s="10" t="s">
        <v>42</v>
      </c>
      <c r="O297" s="10">
        <v>3</v>
      </c>
      <c r="P297" s="10" t="s">
        <v>42</v>
      </c>
      <c r="Q297" s="10" t="s">
        <v>59</v>
      </c>
      <c r="R297" s="10" t="s">
        <v>3709</v>
      </c>
      <c r="S297" s="10" t="s">
        <v>563</v>
      </c>
      <c r="T297" s="10" t="s">
        <v>42</v>
      </c>
      <c r="U297" s="10">
        <v>44</v>
      </c>
      <c r="V297" s="10">
        <v>270</v>
      </c>
      <c r="W297" s="10">
        <v>227</v>
      </c>
      <c r="X297" s="10" t="s">
        <v>160</v>
      </c>
      <c r="Y297" s="10"/>
      <c r="Z297" s="10"/>
      <c r="AA297" s="10"/>
      <c r="AB297" s="10"/>
      <c r="AC297" s="10"/>
      <c r="AD297" s="10"/>
      <c r="AE297" s="10"/>
      <c r="AF297" s="10"/>
      <c r="AG297" s="44"/>
      <c r="AH297" s="44"/>
      <c r="AI297" s="46" t="s">
        <v>6054</v>
      </c>
      <c r="AJ297" s="44" t="s">
        <v>6052</v>
      </c>
      <c r="AK297" s="44" t="s">
        <v>6052</v>
      </c>
      <c r="AL297" s="44" t="s">
        <v>6052</v>
      </c>
      <c r="AM297" s="44" t="s">
        <v>6052</v>
      </c>
      <c r="AN297" s="44" t="s">
        <v>33011</v>
      </c>
      <c r="AO297" s="45">
        <v>11</v>
      </c>
      <c r="AP297" s="45">
        <v>1</v>
      </c>
      <c r="AQ297" s="45">
        <v>0</v>
      </c>
      <c r="AR297" s="45">
        <v>0</v>
      </c>
      <c r="AS297" s="45">
        <v>0</v>
      </c>
      <c r="AT297" s="45">
        <v>0</v>
      </c>
      <c r="AU297" s="10" t="s">
        <v>6052</v>
      </c>
      <c r="AV297" s="10" t="s">
        <v>6052</v>
      </c>
      <c r="AW297" s="10" t="s">
        <v>6052</v>
      </c>
      <c r="AX297" s="10" t="s">
        <v>6052</v>
      </c>
      <c r="AY297" s="10" t="s">
        <v>32253</v>
      </c>
      <c r="AZ297" s="44" t="s">
        <v>33117</v>
      </c>
      <c r="BA297" s="44" t="s">
        <v>31118</v>
      </c>
      <c r="BB297" s="44" t="s">
        <v>31634</v>
      </c>
      <c r="BC297" s="44" t="s">
        <v>6594</v>
      </c>
      <c r="BD297" s="44" t="s">
        <v>31708</v>
      </c>
      <c r="BE297" s="11">
        <v>1</v>
      </c>
      <c r="BF297" s="11">
        <v>0</v>
      </c>
      <c r="BG297" s="11">
        <v>0</v>
      </c>
      <c r="BH297" s="10" t="s">
        <v>32133</v>
      </c>
      <c r="BI297" s="11">
        <v>100</v>
      </c>
      <c r="BJ297" s="10" t="s">
        <v>33381</v>
      </c>
      <c r="BK297" s="11">
        <v>100</v>
      </c>
    </row>
    <row r="298" spans="1:63" x14ac:dyDescent="0.75">
      <c r="A298" t="s">
        <v>3701</v>
      </c>
      <c r="B298" t="s">
        <v>104</v>
      </c>
      <c r="C298" t="s">
        <v>153</v>
      </c>
      <c r="D298" t="s">
        <v>154</v>
      </c>
      <c r="E298" s="22" t="s">
        <v>21248</v>
      </c>
      <c r="F298" t="s">
        <v>3702</v>
      </c>
      <c r="G298" s="1" t="str">
        <f>HYPERLINK("https://homd.org/jbrowse/?data=homd_V11.02_phage_1.2%2FGCA_019375605.1&amp;loc=GCA_019375605.1%7CJAHXCD010000010.1%3A40722..47726&amp;tracks=prokka,prokka_ncrna,ncbi,ncbi_ncrna,panggolin,cenote,genomad&amp;highlight=","Open JBrowse")</f>
        <v>Open JBrowse</v>
      </c>
      <c r="H298" s="10">
        <v>43722</v>
      </c>
      <c r="I298" s="10">
        <v>44726</v>
      </c>
      <c r="J298" s="10" t="s">
        <v>3703</v>
      </c>
      <c r="K298" s="10" t="s">
        <v>59</v>
      </c>
      <c r="L298" s="10" t="s">
        <v>157</v>
      </c>
      <c r="M298" s="10" t="s">
        <v>158</v>
      </c>
      <c r="N298" s="10" t="s">
        <v>42</v>
      </c>
      <c r="O298" s="10">
        <v>3</v>
      </c>
      <c r="P298" s="10" t="s">
        <v>42</v>
      </c>
      <c r="Q298" s="10" t="s">
        <v>59</v>
      </c>
      <c r="R298" s="10" t="s">
        <v>3704</v>
      </c>
      <c r="S298" s="10" t="s">
        <v>157</v>
      </c>
      <c r="T298" s="10" t="s">
        <v>42</v>
      </c>
      <c r="U298" s="10">
        <v>53</v>
      </c>
      <c r="V298" s="10">
        <v>279</v>
      </c>
      <c r="W298" s="10">
        <v>227</v>
      </c>
      <c r="X298" s="10" t="s">
        <v>160</v>
      </c>
      <c r="Y298" s="10" t="s">
        <v>3705</v>
      </c>
      <c r="Z298" s="10" t="s">
        <v>824</v>
      </c>
      <c r="AA298" s="10" t="s">
        <v>2983</v>
      </c>
      <c r="AB298" s="10"/>
      <c r="AC298" s="10"/>
      <c r="AD298" s="10"/>
      <c r="AE298" s="10"/>
      <c r="AF298" s="10"/>
      <c r="AG298" s="44"/>
      <c r="AH298" s="44"/>
      <c r="AI298" s="44" t="s">
        <v>6052</v>
      </c>
      <c r="AJ298" s="44" t="s">
        <v>6052</v>
      </c>
      <c r="AK298" s="44" t="s">
        <v>6052</v>
      </c>
      <c r="AL298" s="44" t="s">
        <v>6052</v>
      </c>
      <c r="AM298" s="44" t="s">
        <v>6052</v>
      </c>
      <c r="AN298" s="44" t="s">
        <v>33017</v>
      </c>
      <c r="AO298" s="45">
        <v>11</v>
      </c>
      <c r="AP298" s="45">
        <v>1</v>
      </c>
      <c r="AQ298" s="45">
        <v>0</v>
      </c>
      <c r="AR298" s="45">
        <v>0</v>
      </c>
      <c r="AS298" s="45">
        <v>0</v>
      </c>
      <c r="AT298" s="45">
        <v>0</v>
      </c>
      <c r="AU298" s="10" t="s">
        <v>6052</v>
      </c>
      <c r="AV298" s="10" t="s">
        <v>6052</v>
      </c>
      <c r="AW298" s="10" t="s">
        <v>6052</v>
      </c>
      <c r="AX298" s="10" t="s">
        <v>6052</v>
      </c>
      <c r="AY298" s="10" t="s">
        <v>32253</v>
      </c>
      <c r="AZ298" s="44" t="s">
        <v>33117</v>
      </c>
      <c r="BA298" s="44" t="s">
        <v>31124</v>
      </c>
      <c r="BB298" s="44" t="s">
        <v>31640</v>
      </c>
      <c r="BC298" s="44" t="s">
        <v>6594</v>
      </c>
      <c r="BD298" s="44" t="s">
        <v>31708</v>
      </c>
      <c r="BE298" s="11">
        <v>1</v>
      </c>
      <c r="BF298" s="11">
        <v>0</v>
      </c>
      <c r="BG298" s="11">
        <v>0</v>
      </c>
      <c r="BH298" s="10" t="s">
        <v>32073</v>
      </c>
      <c r="BI298" s="11">
        <v>100</v>
      </c>
      <c r="BJ298" s="10" t="s">
        <v>33398</v>
      </c>
      <c r="BK298" s="11">
        <v>100</v>
      </c>
    </row>
    <row r="299" spans="1:63" x14ac:dyDescent="0.75">
      <c r="A299" t="s">
        <v>3685</v>
      </c>
      <c r="B299" t="s">
        <v>104</v>
      </c>
      <c r="C299" t="s">
        <v>153</v>
      </c>
      <c r="D299" t="s">
        <v>154</v>
      </c>
      <c r="E299" s="22" t="s">
        <v>21239</v>
      </c>
      <c r="F299" t="s">
        <v>3686</v>
      </c>
      <c r="G299" s="1" t="str">
        <f>HYPERLINK("https://homd.org/jbrowse/?data=homd_V11.02_phage_1.2%2FGCA_019375525.1&amp;loc=GCA_019375525.1%7CJAHXCC010000010.1%3A40120..47124&amp;tracks=prokka,prokka_ncrna,ncbi,ncbi_ncrna,panggolin,cenote,genomad&amp;highlight=","Open JBrowse")</f>
        <v>Open JBrowse</v>
      </c>
      <c r="H299" s="10">
        <v>43120</v>
      </c>
      <c r="I299" s="10">
        <v>44124</v>
      </c>
      <c r="J299" s="10" t="s">
        <v>3687</v>
      </c>
      <c r="K299" s="10" t="s">
        <v>59</v>
      </c>
      <c r="L299" s="10" t="s">
        <v>157</v>
      </c>
      <c r="M299" s="10" t="s">
        <v>158</v>
      </c>
      <c r="N299" s="10" t="s">
        <v>42</v>
      </c>
      <c r="O299" s="10">
        <v>3</v>
      </c>
      <c r="P299" s="10" t="s">
        <v>42</v>
      </c>
      <c r="Q299" s="10" t="s">
        <v>59</v>
      </c>
      <c r="R299" s="10" t="s">
        <v>3688</v>
      </c>
      <c r="S299" s="10" t="s">
        <v>157</v>
      </c>
      <c r="T299" s="10" t="s">
        <v>42</v>
      </c>
      <c r="U299" s="10">
        <v>53</v>
      </c>
      <c r="V299" s="10">
        <v>279</v>
      </c>
      <c r="W299" s="10">
        <v>227</v>
      </c>
      <c r="X299" s="10" t="s">
        <v>160</v>
      </c>
      <c r="Y299" s="10" t="s">
        <v>3689</v>
      </c>
      <c r="Z299" s="10" t="s">
        <v>530</v>
      </c>
      <c r="AA299" s="10" t="s">
        <v>2983</v>
      </c>
      <c r="AB299" s="10"/>
      <c r="AC299" s="10"/>
      <c r="AD299" s="10"/>
      <c r="AE299" s="10"/>
      <c r="AF299" s="10"/>
      <c r="AG299" s="44"/>
      <c r="AH299" s="44"/>
      <c r="AI299" s="44" t="s">
        <v>6052</v>
      </c>
      <c r="AJ299" s="44" t="s">
        <v>6052</v>
      </c>
      <c r="AK299" s="44" t="s">
        <v>6052</v>
      </c>
      <c r="AL299" s="44" t="s">
        <v>6052</v>
      </c>
      <c r="AM299" s="44" t="s">
        <v>6052</v>
      </c>
      <c r="AN299" s="44" t="s">
        <v>33018</v>
      </c>
      <c r="AO299" s="45">
        <v>11</v>
      </c>
      <c r="AP299" s="45">
        <v>1</v>
      </c>
      <c r="AQ299" s="45">
        <v>0</v>
      </c>
      <c r="AR299" s="45">
        <v>0</v>
      </c>
      <c r="AS299" s="45">
        <v>0</v>
      </c>
      <c r="AT299" s="45">
        <v>0</v>
      </c>
      <c r="AU299" s="10" t="s">
        <v>6052</v>
      </c>
      <c r="AV299" s="10" t="s">
        <v>6052</v>
      </c>
      <c r="AW299" s="10" t="s">
        <v>6052</v>
      </c>
      <c r="AX299" s="10" t="s">
        <v>6052</v>
      </c>
      <c r="AY299" s="10" t="s">
        <v>32253</v>
      </c>
      <c r="AZ299" s="44" t="s">
        <v>33117</v>
      </c>
      <c r="BA299" s="44" t="s">
        <v>31125</v>
      </c>
      <c r="BB299" s="44" t="s">
        <v>31641</v>
      </c>
      <c r="BC299" s="44" t="s">
        <v>6594</v>
      </c>
      <c r="BD299" s="44" t="s">
        <v>31708</v>
      </c>
      <c r="BE299" s="11">
        <v>1</v>
      </c>
      <c r="BF299" s="11">
        <v>0</v>
      </c>
      <c r="BG299" s="11">
        <v>0</v>
      </c>
      <c r="BH299" s="10" t="s">
        <v>32074</v>
      </c>
      <c r="BI299" s="11">
        <v>100</v>
      </c>
      <c r="BJ299" s="10" t="s">
        <v>33397</v>
      </c>
      <c r="BK299" s="11">
        <v>100</v>
      </c>
    </row>
    <row r="300" spans="1:63" x14ac:dyDescent="0.75">
      <c r="A300" t="s">
        <v>3719</v>
      </c>
      <c r="B300" t="s">
        <v>104</v>
      </c>
      <c r="C300" t="s">
        <v>153</v>
      </c>
      <c r="D300" t="s">
        <v>154</v>
      </c>
      <c r="E300" s="22" t="s">
        <v>21256</v>
      </c>
      <c r="F300" t="s">
        <v>3720</v>
      </c>
      <c r="G300" s="1" t="str">
        <f>HYPERLINK("https://homd.org/jbrowse/?data=homd_V11.02_phage_1.2%2FGCA_019375715.1&amp;loc=GCA_019375715.1%7CJAHXCK010000003.1%3A132478..139482&amp;tracks=prokka,prokka_ncrna,ncbi,ncbi_ncrna,panggolin,cenote,genomad&amp;highlight=","Open JBrowse")</f>
        <v>Open JBrowse</v>
      </c>
      <c r="H300" s="10">
        <v>135478</v>
      </c>
      <c r="I300" s="10">
        <v>136482</v>
      </c>
      <c r="J300" s="10" t="s">
        <v>3721</v>
      </c>
      <c r="K300" s="10" t="s">
        <v>59</v>
      </c>
      <c r="L300" s="10" t="s">
        <v>157</v>
      </c>
      <c r="M300" s="10" t="s">
        <v>158</v>
      </c>
      <c r="N300" s="10" t="s">
        <v>42</v>
      </c>
      <c r="O300" s="10">
        <v>3</v>
      </c>
      <c r="P300" s="10" t="s">
        <v>42</v>
      </c>
      <c r="Q300" s="10" t="s">
        <v>59</v>
      </c>
      <c r="R300" s="10" t="s">
        <v>3722</v>
      </c>
      <c r="S300" s="10" t="s">
        <v>157</v>
      </c>
      <c r="T300" s="10" t="s">
        <v>42</v>
      </c>
      <c r="U300" s="10">
        <v>53</v>
      </c>
      <c r="V300" s="10">
        <v>279</v>
      </c>
      <c r="W300" s="10">
        <v>227</v>
      </c>
      <c r="X300" s="10" t="s">
        <v>160</v>
      </c>
      <c r="Y300" s="10" t="s">
        <v>3723</v>
      </c>
      <c r="Z300" s="10" t="s">
        <v>357</v>
      </c>
      <c r="AA300" s="10" t="s">
        <v>3397</v>
      </c>
      <c r="AB300" s="10"/>
      <c r="AC300" s="10"/>
      <c r="AD300" s="10"/>
      <c r="AE300" s="10"/>
      <c r="AF300" s="10"/>
      <c r="AG300" s="44"/>
      <c r="AH300" s="44"/>
      <c r="AI300" s="44" t="s">
        <v>6052</v>
      </c>
      <c r="AJ300" s="44" t="s">
        <v>6052</v>
      </c>
      <c r="AK300" s="44" t="s">
        <v>6052</v>
      </c>
      <c r="AL300" s="44" t="s">
        <v>6052</v>
      </c>
      <c r="AM300" s="44" t="s">
        <v>6052</v>
      </c>
      <c r="AN300" s="44" t="s">
        <v>33005</v>
      </c>
      <c r="AO300" s="45">
        <v>11</v>
      </c>
      <c r="AP300" s="45">
        <v>1</v>
      </c>
      <c r="AQ300" s="45">
        <v>0</v>
      </c>
      <c r="AR300" s="45">
        <v>0</v>
      </c>
      <c r="AS300" s="45">
        <v>0</v>
      </c>
      <c r="AT300" s="45">
        <v>0</v>
      </c>
      <c r="AU300" s="10" t="s">
        <v>6052</v>
      </c>
      <c r="AV300" s="10" t="s">
        <v>6052</v>
      </c>
      <c r="AW300" s="10" t="s">
        <v>6052</v>
      </c>
      <c r="AX300" s="10" t="s">
        <v>6052</v>
      </c>
      <c r="AY300" s="10" t="s">
        <v>32253</v>
      </c>
      <c r="AZ300" s="44" t="s">
        <v>33117</v>
      </c>
      <c r="BA300" s="44" t="s">
        <v>31112</v>
      </c>
      <c r="BB300" s="44" t="s">
        <v>31628</v>
      </c>
      <c r="BC300" s="44" t="s">
        <v>6594</v>
      </c>
      <c r="BD300" s="44" t="s">
        <v>31708</v>
      </c>
      <c r="BE300" s="11">
        <v>1</v>
      </c>
      <c r="BF300" s="11">
        <v>0</v>
      </c>
      <c r="BG300" s="11">
        <v>0</v>
      </c>
      <c r="BH300" s="10" t="s">
        <v>32087</v>
      </c>
      <c r="BI300" s="11">
        <v>100</v>
      </c>
      <c r="BJ300" s="10" t="s">
        <v>33400</v>
      </c>
      <c r="BK300" s="11">
        <v>100</v>
      </c>
    </row>
    <row r="301" spans="1:63" x14ac:dyDescent="0.75">
      <c r="A301" t="s">
        <v>3734</v>
      </c>
      <c r="B301" t="s">
        <v>104</v>
      </c>
      <c r="C301" t="s">
        <v>153</v>
      </c>
      <c r="D301" t="s">
        <v>154</v>
      </c>
      <c r="E301" s="22" t="s">
        <v>21262</v>
      </c>
      <c r="F301" t="s">
        <v>3735</v>
      </c>
      <c r="G301" s="1" t="str">
        <f>HYPERLINK("https://homd.org/jbrowse/?data=homd_V11.02_phage_1.2%2FGCA_019375775.1&amp;loc=GCA_019375775.1%7CJAHXCN010000003.1%3A132634..139638&amp;tracks=prokka,prokka_ncrna,ncbi,ncbi_ncrna,panggolin,cenote,genomad&amp;highlight=","Open JBrowse")</f>
        <v>Open JBrowse</v>
      </c>
      <c r="H301" s="10">
        <v>135634</v>
      </c>
      <c r="I301" s="10">
        <v>136638</v>
      </c>
      <c r="J301" s="10" t="s">
        <v>3736</v>
      </c>
      <c r="K301" s="10" t="s">
        <v>59</v>
      </c>
      <c r="L301" s="10" t="s">
        <v>157</v>
      </c>
      <c r="M301" s="10" t="s">
        <v>158</v>
      </c>
      <c r="N301" s="10" t="s">
        <v>42</v>
      </c>
      <c r="O301" s="10">
        <v>3</v>
      </c>
      <c r="P301" s="10" t="s">
        <v>42</v>
      </c>
      <c r="Q301" s="10" t="s">
        <v>59</v>
      </c>
      <c r="R301" s="10" t="s">
        <v>3737</v>
      </c>
      <c r="S301" s="10" t="s">
        <v>157</v>
      </c>
      <c r="T301" s="10" t="s">
        <v>42</v>
      </c>
      <c r="U301" s="10">
        <v>53</v>
      </c>
      <c r="V301" s="10">
        <v>279</v>
      </c>
      <c r="W301" s="10">
        <v>227</v>
      </c>
      <c r="X301" s="10" t="s">
        <v>160</v>
      </c>
      <c r="Y301" s="10" t="s">
        <v>3738</v>
      </c>
      <c r="Z301" s="10" t="s">
        <v>357</v>
      </c>
      <c r="AA301" s="10" t="s">
        <v>3397</v>
      </c>
      <c r="AB301" s="10"/>
      <c r="AC301" s="10"/>
      <c r="AD301" s="10"/>
      <c r="AE301" s="10"/>
      <c r="AF301" s="10"/>
      <c r="AG301" s="44"/>
      <c r="AH301" s="44"/>
      <c r="AI301" s="44" t="s">
        <v>6052</v>
      </c>
      <c r="AJ301" s="44" t="s">
        <v>6052</v>
      </c>
      <c r="AK301" s="44" t="s">
        <v>6052</v>
      </c>
      <c r="AL301" s="44" t="s">
        <v>6052</v>
      </c>
      <c r="AM301" s="44" t="s">
        <v>6052</v>
      </c>
      <c r="AN301" s="44" t="s">
        <v>33009</v>
      </c>
      <c r="AO301" s="45">
        <v>11</v>
      </c>
      <c r="AP301" s="45">
        <v>1</v>
      </c>
      <c r="AQ301" s="45">
        <v>0</v>
      </c>
      <c r="AR301" s="45">
        <v>0</v>
      </c>
      <c r="AS301" s="45">
        <v>0</v>
      </c>
      <c r="AT301" s="45">
        <v>0</v>
      </c>
      <c r="AU301" s="10" t="s">
        <v>6052</v>
      </c>
      <c r="AV301" s="10" t="s">
        <v>6052</v>
      </c>
      <c r="AW301" s="10" t="s">
        <v>6052</v>
      </c>
      <c r="AX301" s="10" t="s">
        <v>6052</v>
      </c>
      <c r="AY301" s="10" t="s">
        <v>32253</v>
      </c>
      <c r="AZ301" s="44" t="s">
        <v>33117</v>
      </c>
      <c r="BA301" s="44" t="s">
        <v>31116</v>
      </c>
      <c r="BB301" s="44" t="s">
        <v>31632</v>
      </c>
      <c r="BC301" s="44" t="s">
        <v>6594</v>
      </c>
      <c r="BD301" s="44" t="s">
        <v>31708</v>
      </c>
      <c r="BE301" s="11">
        <v>1</v>
      </c>
      <c r="BF301" s="11">
        <v>0</v>
      </c>
      <c r="BG301" s="11">
        <v>0</v>
      </c>
      <c r="BH301" s="10" t="s">
        <v>32085</v>
      </c>
      <c r="BI301" s="11">
        <v>100</v>
      </c>
      <c r="BJ301" s="10" t="s">
        <v>33402</v>
      </c>
      <c r="BK301" s="11">
        <v>100</v>
      </c>
    </row>
    <row r="302" spans="1:63" x14ac:dyDescent="0.75">
      <c r="A302" t="s">
        <v>3724</v>
      </c>
      <c r="B302" t="s">
        <v>104</v>
      </c>
      <c r="C302" t="s">
        <v>462</v>
      </c>
      <c r="D302" t="s">
        <v>463</v>
      </c>
      <c r="E302" s="22" t="s">
        <v>21258</v>
      </c>
      <c r="F302" t="s">
        <v>3725</v>
      </c>
      <c r="G302" s="1" t="str">
        <f>HYPERLINK("https://homd.org/jbrowse/?data=homd_V11.02_phage_1.2%2FGCA_019375725.1&amp;loc=GCA_019375725.1%7CJAHXCJ010000001.1%3A176906..183865&amp;tracks=prokka,prokka_ncrna,ncbi,ncbi_ncrna,panggolin,cenote,genomad&amp;highlight=","Open JBrowse")</f>
        <v>Open JBrowse</v>
      </c>
      <c r="H302" s="10">
        <v>179906</v>
      </c>
      <c r="I302" s="10">
        <v>180865</v>
      </c>
      <c r="J302" s="10" t="s">
        <v>3726</v>
      </c>
      <c r="K302" s="10" t="s">
        <v>59</v>
      </c>
      <c r="L302" s="10" t="s">
        <v>466</v>
      </c>
      <c r="M302" s="10" t="s">
        <v>467</v>
      </c>
      <c r="N302" s="10" t="s">
        <v>398</v>
      </c>
      <c r="O302" s="10">
        <v>3</v>
      </c>
      <c r="P302" s="10" t="s">
        <v>42</v>
      </c>
      <c r="Q302" s="10" t="s">
        <v>59</v>
      </c>
      <c r="R302" s="10" t="s">
        <v>3727</v>
      </c>
      <c r="S302" s="10" t="s">
        <v>466</v>
      </c>
      <c r="T302" s="10" t="s">
        <v>42</v>
      </c>
      <c r="U302" s="10">
        <v>41</v>
      </c>
      <c r="V302" s="10">
        <v>267</v>
      </c>
      <c r="W302" s="10">
        <v>227</v>
      </c>
      <c r="X302" s="10" t="s">
        <v>160</v>
      </c>
      <c r="Y302" s="10" t="s">
        <v>3728</v>
      </c>
      <c r="Z302" s="10" t="s">
        <v>1334</v>
      </c>
      <c r="AA302" s="10" t="s">
        <v>1335</v>
      </c>
      <c r="AB302" s="10"/>
      <c r="AC302" s="10"/>
      <c r="AD302" s="10"/>
      <c r="AE302" s="10"/>
      <c r="AF302" s="10"/>
      <c r="AG302" s="44"/>
      <c r="AH302" s="44"/>
      <c r="AI302" s="44" t="s">
        <v>6052</v>
      </c>
      <c r="AJ302" s="44" t="s">
        <v>6052</v>
      </c>
      <c r="AK302" s="44" t="s">
        <v>6052</v>
      </c>
      <c r="AL302" s="44" t="s">
        <v>6052</v>
      </c>
      <c r="AM302" s="44" t="s">
        <v>6052</v>
      </c>
      <c r="AN302" s="44" t="s">
        <v>33006</v>
      </c>
      <c r="AO302" s="45">
        <v>11</v>
      </c>
      <c r="AP302" s="45">
        <v>1</v>
      </c>
      <c r="AQ302" s="45">
        <v>0</v>
      </c>
      <c r="AR302" s="45">
        <v>0</v>
      </c>
      <c r="AS302" s="45">
        <v>0</v>
      </c>
      <c r="AT302" s="45">
        <v>0</v>
      </c>
      <c r="AU302" s="10" t="s">
        <v>6052</v>
      </c>
      <c r="AV302" s="10" t="s">
        <v>6052</v>
      </c>
      <c r="AW302" s="10" t="s">
        <v>6052</v>
      </c>
      <c r="AX302" s="10" t="s">
        <v>6052</v>
      </c>
      <c r="AY302" s="10" t="s">
        <v>32253</v>
      </c>
      <c r="AZ302" s="44" t="s">
        <v>33117</v>
      </c>
      <c r="BA302" s="44" t="s">
        <v>31113</v>
      </c>
      <c r="BB302" s="44" t="s">
        <v>31629</v>
      </c>
      <c r="BC302" s="44" t="s">
        <v>6594</v>
      </c>
      <c r="BD302" s="44" t="s">
        <v>31708</v>
      </c>
      <c r="BE302" s="11">
        <v>1</v>
      </c>
      <c r="BF302" s="11">
        <v>0</v>
      </c>
      <c r="BG302" s="11">
        <v>0</v>
      </c>
      <c r="BH302" s="10" t="s">
        <v>32152</v>
      </c>
      <c r="BI302" s="11">
        <v>100</v>
      </c>
      <c r="BJ302" s="10" t="s">
        <v>33363</v>
      </c>
      <c r="BK302" s="11">
        <v>100</v>
      </c>
    </row>
    <row r="303" spans="1:63" x14ac:dyDescent="0.75">
      <c r="A303" t="s">
        <v>3650</v>
      </c>
      <c r="B303" t="s">
        <v>104</v>
      </c>
      <c r="C303" t="s">
        <v>610</v>
      </c>
      <c r="D303" t="s">
        <v>611</v>
      </c>
      <c r="E303" s="22" t="s">
        <v>30844</v>
      </c>
      <c r="F303" t="s">
        <v>3651</v>
      </c>
      <c r="G303" s="1" t="str">
        <f>HYPERLINK("https://homd.org/jbrowse/?data=homd_V11.02_phage_1.2%2FGCA_018378275.1&amp;loc=GCA_018378275.1%7CJAGZXT010000040.1%3A4882..11826&amp;tracks=prokka,prokka_ncrna,ncbi,ncbi_ncrna,panggolin,cenote,genomad&amp;highlight=","Open JBrowse")</f>
        <v>Open JBrowse</v>
      </c>
      <c r="H303" s="10">
        <v>7882</v>
      </c>
      <c r="I303" s="10">
        <v>8826</v>
      </c>
      <c r="J303" s="10" t="s">
        <v>3652</v>
      </c>
      <c r="K303" s="10" t="s">
        <v>614</v>
      </c>
      <c r="L303" s="10" t="s">
        <v>615</v>
      </c>
      <c r="M303" s="10" t="s">
        <v>616</v>
      </c>
      <c r="N303" s="10" t="s">
        <v>59</v>
      </c>
      <c r="O303" s="10">
        <v>2</v>
      </c>
      <c r="P303" s="10" t="s">
        <v>42</v>
      </c>
      <c r="Q303" s="10" t="s">
        <v>101</v>
      </c>
      <c r="R303" s="10" t="s">
        <v>3653</v>
      </c>
      <c r="S303" s="10" t="s">
        <v>615</v>
      </c>
      <c r="T303" s="10" t="s">
        <v>42</v>
      </c>
      <c r="U303" s="10">
        <v>52</v>
      </c>
      <c r="V303" s="10">
        <v>311</v>
      </c>
      <c r="W303" s="10">
        <v>260</v>
      </c>
      <c r="X303" s="10" t="s">
        <v>618</v>
      </c>
      <c r="Y303" s="10" t="s">
        <v>3654</v>
      </c>
      <c r="Z303" s="10" t="s">
        <v>932</v>
      </c>
      <c r="AA303" s="10" t="s">
        <v>1904</v>
      </c>
      <c r="AB303" s="10"/>
      <c r="AC303" s="10"/>
      <c r="AD303" s="10"/>
      <c r="AE303" s="10"/>
      <c r="AF303" s="10"/>
      <c r="AG303" s="44"/>
      <c r="AH303" s="44"/>
      <c r="AI303" s="44" t="s">
        <v>6052</v>
      </c>
      <c r="AJ303" s="44" t="s">
        <v>6052</v>
      </c>
      <c r="AK303" s="44" t="s">
        <v>6052</v>
      </c>
      <c r="AL303" s="44" t="s">
        <v>6052</v>
      </c>
      <c r="AM303" s="44" t="s">
        <v>6052</v>
      </c>
      <c r="AN303" s="44" t="s">
        <v>32278</v>
      </c>
      <c r="AO303" s="45">
        <v>11</v>
      </c>
      <c r="AP303" s="45">
        <v>1</v>
      </c>
      <c r="AQ303" s="45">
        <v>0</v>
      </c>
      <c r="AR303" s="45">
        <v>0</v>
      </c>
      <c r="AS303" s="45">
        <v>0</v>
      </c>
      <c r="AT303" s="45">
        <v>0</v>
      </c>
      <c r="AU303" s="10" t="s">
        <v>6052</v>
      </c>
      <c r="AV303" s="10" t="s">
        <v>6052</v>
      </c>
      <c r="AW303" s="10" t="s">
        <v>6052</v>
      </c>
      <c r="AX303" s="10" t="s">
        <v>6052</v>
      </c>
      <c r="AY303" s="10" t="s">
        <v>32253</v>
      </c>
      <c r="AZ303" s="44" t="s">
        <v>33118</v>
      </c>
      <c r="BA303" s="44" t="s">
        <v>30850</v>
      </c>
      <c r="BB303" s="44" t="s">
        <v>31173</v>
      </c>
      <c r="BC303" s="44" t="s">
        <v>7190</v>
      </c>
      <c r="BD303" s="44" t="s">
        <v>31712</v>
      </c>
      <c r="BE303" s="11">
        <v>1</v>
      </c>
      <c r="BF303" s="11">
        <v>0</v>
      </c>
      <c r="BG303" s="11">
        <v>0</v>
      </c>
      <c r="BH303" s="10" t="s">
        <v>31950</v>
      </c>
      <c r="BI303" s="11">
        <v>100</v>
      </c>
      <c r="BJ303" s="10" t="s">
        <v>33179</v>
      </c>
      <c r="BK303" s="11">
        <v>100</v>
      </c>
    </row>
    <row r="304" spans="1:63" x14ac:dyDescent="0.75">
      <c r="A304" t="s">
        <v>3655</v>
      </c>
      <c r="B304" t="s">
        <v>104</v>
      </c>
      <c r="C304" t="s">
        <v>559</v>
      </c>
      <c r="D304" t="s">
        <v>560</v>
      </c>
      <c r="E304" s="22" t="s">
        <v>30844</v>
      </c>
      <c r="F304" t="s">
        <v>3656</v>
      </c>
      <c r="G304" s="1" t="str">
        <f>HYPERLINK("https://homd.org/jbrowse/?data=homd_V11.02_phage_1.2%2FGCA_018378595.1&amp;loc=GCA_018378595.1%7CJAGZXD010000010.1%3A12132..18989&amp;tracks=prokka,prokka_ncrna,ncbi,ncbi_ncrna,panggolin,cenote,genomad&amp;highlight=","Open JBrowse")</f>
        <v>Open JBrowse</v>
      </c>
      <c r="H304" s="10">
        <v>15132</v>
      </c>
      <c r="I304" s="10">
        <v>15989</v>
      </c>
      <c r="J304" s="10" t="s">
        <v>3657</v>
      </c>
      <c r="K304" s="10" t="s">
        <v>59</v>
      </c>
      <c r="L304" s="10" t="s">
        <v>563</v>
      </c>
      <c r="M304" s="10" t="s">
        <v>564</v>
      </c>
      <c r="N304" s="10" t="s">
        <v>42</v>
      </c>
      <c r="O304" s="10">
        <v>3</v>
      </c>
      <c r="P304" s="10" t="s">
        <v>42</v>
      </c>
      <c r="Q304" s="10" t="s">
        <v>59</v>
      </c>
      <c r="R304" s="10" t="s">
        <v>3658</v>
      </c>
      <c r="S304" s="10" t="s">
        <v>563</v>
      </c>
      <c r="T304" s="10" t="s">
        <v>42</v>
      </c>
      <c r="U304" s="10">
        <v>44</v>
      </c>
      <c r="V304" s="10">
        <v>270</v>
      </c>
      <c r="W304" s="10">
        <v>227</v>
      </c>
      <c r="X304" s="10" t="s">
        <v>160</v>
      </c>
      <c r="Y304" s="10" t="s">
        <v>3659</v>
      </c>
      <c r="Z304" s="10" t="s">
        <v>118</v>
      </c>
      <c r="AA304" s="10" t="s">
        <v>3046</v>
      </c>
      <c r="AB304" s="10"/>
      <c r="AC304" s="10"/>
      <c r="AD304" s="10"/>
      <c r="AE304" s="10"/>
      <c r="AF304" s="10"/>
      <c r="AG304" s="44"/>
      <c r="AH304" s="44"/>
      <c r="AI304" s="44" t="s">
        <v>6052</v>
      </c>
      <c r="AJ304" s="44" t="s">
        <v>6052</v>
      </c>
      <c r="AK304" s="44" t="s">
        <v>6052</v>
      </c>
      <c r="AL304" s="44" t="s">
        <v>6052</v>
      </c>
      <c r="AM304" s="44" t="s">
        <v>6052</v>
      </c>
      <c r="AN304" s="44" t="s">
        <v>32309</v>
      </c>
      <c r="AO304" s="45">
        <v>11</v>
      </c>
      <c r="AP304" s="45">
        <v>1</v>
      </c>
      <c r="AQ304" s="45">
        <v>0</v>
      </c>
      <c r="AR304" s="45">
        <v>0</v>
      </c>
      <c r="AS304" s="45">
        <v>0</v>
      </c>
      <c r="AT304" s="45">
        <v>0</v>
      </c>
      <c r="AU304" s="10" t="s">
        <v>6052</v>
      </c>
      <c r="AV304" s="10" t="s">
        <v>6052</v>
      </c>
      <c r="AW304" s="10" t="s">
        <v>6052</v>
      </c>
      <c r="AX304" s="10" t="s">
        <v>6052</v>
      </c>
      <c r="AY304" s="10" t="s">
        <v>32253</v>
      </c>
      <c r="AZ304" s="44" t="s">
        <v>33117</v>
      </c>
      <c r="BA304" s="44" t="s">
        <v>30861</v>
      </c>
      <c r="BB304" s="44" t="s">
        <v>31201</v>
      </c>
      <c r="BC304" s="44" t="s">
        <v>6594</v>
      </c>
      <c r="BD304" s="44" t="s">
        <v>31708</v>
      </c>
      <c r="BE304" s="11">
        <v>1</v>
      </c>
      <c r="BF304" s="11">
        <v>0</v>
      </c>
      <c r="BG304" s="11">
        <v>0</v>
      </c>
      <c r="BH304" s="10" t="s">
        <v>32127</v>
      </c>
      <c r="BI304" s="11">
        <v>100</v>
      </c>
      <c r="BJ304" s="10" t="s">
        <v>33379</v>
      </c>
      <c r="BK304" s="11">
        <v>100</v>
      </c>
    </row>
    <row r="305" spans="1:63" x14ac:dyDescent="0.75">
      <c r="A305" t="s">
        <v>3640</v>
      </c>
      <c r="B305" t="s">
        <v>104</v>
      </c>
      <c r="C305" t="s">
        <v>2405</v>
      </c>
      <c r="D305" t="s">
        <v>1069</v>
      </c>
      <c r="E305" s="22" t="s">
        <v>30844</v>
      </c>
      <c r="F305" t="s">
        <v>3641</v>
      </c>
      <c r="G305" s="1" t="str">
        <f>HYPERLINK("https://homd.org/jbrowse/?data=homd_V11.02_phage_1.2%2FGCA_018373565.1&amp;loc=GCA_018373565.1%7CJAHAGV010000025.1%3A3854..10945&amp;tracks=prokka,prokka_ncrna,ncbi,ncbi_ncrna,panggolin,cenote,genomad&amp;highlight=","Open JBrowse")</f>
        <v>Open JBrowse</v>
      </c>
      <c r="H305" s="10">
        <v>6854</v>
      </c>
      <c r="I305" s="10">
        <v>7945</v>
      </c>
      <c r="J305" s="10" t="s">
        <v>3642</v>
      </c>
      <c r="K305" s="10" t="s">
        <v>59</v>
      </c>
      <c r="L305" s="10" t="s">
        <v>3450</v>
      </c>
      <c r="M305" s="10" t="s">
        <v>3451</v>
      </c>
      <c r="N305" s="10" t="s">
        <v>42</v>
      </c>
      <c r="O305" s="10">
        <v>3</v>
      </c>
      <c r="P305" s="10" t="s">
        <v>42</v>
      </c>
      <c r="Q305" s="10" t="s">
        <v>59</v>
      </c>
      <c r="R305" s="10" t="s">
        <v>3643</v>
      </c>
      <c r="S305" s="10" t="s">
        <v>3450</v>
      </c>
      <c r="T305" s="10" t="s">
        <v>42</v>
      </c>
      <c r="U305" s="10">
        <v>105</v>
      </c>
      <c r="V305" s="10">
        <v>360</v>
      </c>
      <c r="W305" s="10">
        <v>256</v>
      </c>
      <c r="X305" s="10" t="s">
        <v>142</v>
      </c>
      <c r="Y305" s="10" t="s">
        <v>3644</v>
      </c>
      <c r="Z305" s="10" t="s">
        <v>1948</v>
      </c>
      <c r="AA305" s="10" t="s">
        <v>3645</v>
      </c>
      <c r="AB305" s="10"/>
      <c r="AC305" s="10"/>
      <c r="AD305" s="10"/>
      <c r="AE305" s="10"/>
      <c r="AF305" s="10"/>
      <c r="AG305" s="44"/>
      <c r="AH305" s="44"/>
      <c r="AI305" s="44" t="s">
        <v>6052</v>
      </c>
      <c r="AJ305" s="44" t="s">
        <v>6052</v>
      </c>
      <c r="AK305" s="44" t="s">
        <v>6052</v>
      </c>
      <c r="AL305" s="44" t="s">
        <v>6052</v>
      </c>
      <c r="AM305" s="44" t="s">
        <v>6052</v>
      </c>
      <c r="AN305" s="44" t="s">
        <v>32287</v>
      </c>
      <c r="AO305" s="45">
        <v>11</v>
      </c>
      <c r="AP305" s="45">
        <v>1</v>
      </c>
      <c r="AQ305" s="45">
        <v>0</v>
      </c>
      <c r="AR305" s="45">
        <v>0</v>
      </c>
      <c r="AS305" s="45">
        <v>0</v>
      </c>
      <c r="AT305" s="45">
        <v>0</v>
      </c>
      <c r="AU305" s="10" t="s">
        <v>6052</v>
      </c>
      <c r="AV305" s="10" t="s">
        <v>6052</v>
      </c>
      <c r="AW305" s="10" t="s">
        <v>6052</v>
      </c>
      <c r="AX305" s="10" t="s">
        <v>6052</v>
      </c>
      <c r="AY305" s="10" t="s">
        <v>32253</v>
      </c>
      <c r="AZ305" s="44" t="s">
        <v>33116</v>
      </c>
      <c r="BA305" s="44" t="s">
        <v>30852</v>
      </c>
      <c r="BB305" s="44" t="s">
        <v>31182</v>
      </c>
      <c r="BC305" s="44" t="s">
        <v>6425</v>
      </c>
      <c r="BD305" s="44" t="s">
        <v>31709</v>
      </c>
      <c r="BE305" s="11">
        <v>1</v>
      </c>
      <c r="BF305" s="11">
        <v>0</v>
      </c>
      <c r="BG305" s="11">
        <v>0</v>
      </c>
      <c r="BH305" s="10" t="s">
        <v>32008</v>
      </c>
      <c r="BI305" s="11">
        <v>100</v>
      </c>
      <c r="BJ305" s="10" t="s">
        <v>33310</v>
      </c>
      <c r="BK305" s="11">
        <v>90.4</v>
      </c>
    </row>
    <row r="306" spans="1:63" x14ac:dyDescent="0.75">
      <c r="A306" t="s">
        <v>3634</v>
      </c>
      <c r="B306" t="s">
        <v>104</v>
      </c>
      <c r="C306" t="s">
        <v>559</v>
      </c>
      <c r="D306" t="s">
        <v>560</v>
      </c>
      <c r="E306" s="22" t="s">
        <v>30844</v>
      </c>
      <c r="F306" t="s">
        <v>3635</v>
      </c>
      <c r="G306" s="1" t="str">
        <f>HYPERLINK("https://homd.org/jbrowse/?data=homd_V11.02_phage_1.2%2FGCA_018372295.1&amp;loc=GCA_018372295.1%7CJAHAJH010000013.1%3A7300..14157&amp;tracks=prokka,prokka_ncrna,ncbi,ncbi_ncrna,panggolin,cenote,genomad&amp;highlight=","Open JBrowse")</f>
        <v>Open JBrowse</v>
      </c>
      <c r="H306" s="10">
        <v>10300</v>
      </c>
      <c r="I306" s="10">
        <v>11157</v>
      </c>
      <c r="J306" s="10" t="s">
        <v>3636</v>
      </c>
      <c r="K306" s="10" t="s">
        <v>59</v>
      </c>
      <c r="L306" s="10" t="s">
        <v>563</v>
      </c>
      <c r="M306" s="10" t="s">
        <v>564</v>
      </c>
      <c r="N306" s="10" t="s">
        <v>42</v>
      </c>
      <c r="O306" s="10">
        <v>3</v>
      </c>
      <c r="P306" s="10" t="s">
        <v>42</v>
      </c>
      <c r="Q306" s="10" t="s">
        <v>59</v>
      </c>
      <c r="R306" s="10" t="s">
        <v>3637</v>
      </c>
      <c r="S306" s="10" t="s">
        <v>563</v>
      </c>
      <c r="T306" s="10" t="s">
        <v>42</v>
      </c>
      <c r="U306" s="10">
        <v>44</v>
      </c>
      <c r="V306" s="10">
        <v>270</v>
      </c>
      <c r="W306" s="10">
        <v>227</v>
      </c>
      <c r="X306" s="10" t="s">
        <v>160</v>
      </c>
      <c r="Y306" s="10" t="s">
        <v>3638</v>
      </c>
      <c r="Z306" s="10" t="s">
        <v>410</v>
      </c>
      <c r="AA306" s="10" t="s">
        <v>3639</v>
      </c>
      <c r="AB306" s="10"/>
      <c r="AC306" s="10"/>
      <c r="AD306" s="10"/>
      <c r="AE306" s="10"/>
      <c r="AF306" s="10"/>
      <c r="AG306" s="44"/>
      <c r="AH306" s="44"/>
      <c r="AI306" s="44" t="s">
        <v>6052</v>
      </c>
      <c r="AJ306" s="44" t="s">
        <v>6052</v>
      </c>
      <c r="AK306" s="44" t="s">
        <v>6052</v>
      </c>
      <c r="AL306" s="44" t="s">
        <v>6052</v>
      </c>
      <c r="AM306" s="44" t="s">
        <v>6052</v>
      </c>
      <c r="AN306" s="44" t="s">
        <v>32319</v>
      </c>
      <c r="AO306" s="45">
        <v>11</v>
      </c>
      <c r="AP306" s="45">
        <v>1</v>
      </c>
      <c r="AQ306" s="45">
        <v>0</v>
      </c>
      <c r="AR306" s="45">
        <v>0</v>
      </c>
      <c r="AS306" s="45">
        <v>0</v>
      </c>
      <c r="AT306" s="45">
        <v>0</v>
      </c>
      <c r="AU306" s="10" t="s">
        <v>6052</v>
      </c>
      <c r="AV306" s="10" t="s">
        <v>6052</v>
      </c>
      <c r="AW306" s="10" t="s">
        <v>6052</v>
      </c>
      <c r="AX306" s="10" t="s">
        <v>6052</v>
      </c>
      <c r="AY306" s="10" t="s">
        <v>32253</v>
      </c>
      <c r="AZ306" s="44" t="s">
        <v>33117</v>
      </c>
      <c r="BA306" s="44" t="s">
        <v>30861</v>
      </c>
      <c r="BB306" s="44" t="s">
        <v>31209</v>
      </c>
      <c r="BC306" s="44" t="s">
        <v>6594</v>
      </c>
      <c r="BD306" s="44" t="s">
        <v>31708</v>
      </c>
      <c r="BE306" s="11">
        <v>1</v>
      </c>
      <c r="BF306" s="11">
        <v>0</v>
      </c>
      <c r="BG306" s="11">
        <v>0</v>
      </c>
      <c r="BH306" s="10" t="s">
        <v>32092</v>
      </c>
      <c r="BI306" s="11">
        <v>100</v>
      </c>
      <c r="BJ306" s="10" t="s">
        <v>33380</v>
      </c>
      <c r="BK306" s="11">
        <v>100</v>
      </c>
    </row>
    <row r="307" spans="1:63" x14ac:dyDescent="0.75">
      <c r="A307" t="s">
        <v>3623</v>
      </c>
      <c r="B307" t="s">
        <v>104</v>
      </c>
      <c r="C307" t="s">
        <v>241</v>
      </c>
      <c r="D307" t="s">
        <v>242</v>
      </c>
      <c r="E307" s="22" t="s">
        <v>30844</v>
      </c>
      <c r="F307" t="s">
        <v>3624</v>
      </c>
      <c r="G307" s="1" t="str">
        <f>HYPERLINK("https://homd.org/jbrowse/?data=homd_V11.02_phage_1.2%2FGCA_018372275.1&amp;loc=GCA_018372275.1%7CJAHAJI010000002.1%3A125703..132365&amp;tracks=prokka,prokka_ncrna,ncbi,ncbi_ncrna,panggolin,cenote,genomad&amp;highlight=","Open JBrowse")</f>
        <v>Open JBrowse</v>
      </c>
      <c r="H307" s="10">
        <v>128703</v>
      </c>
      <c r="I307" s="10">
        <v>129365</v>
      </c>
      <c r="J307" s="10" t="s">
        <v>3625</v>
      </c>
      <c r="K307" s="10" t="s">
        <v>59</v>
      </c>
      <c r="L307" s="10" t="s">
        <v>256</v>
      </c>
      <c r="M307" s="10" t="s">
        <v>257</v>
      </c>
      <c r="N307" s="10" t="s">
        <v>59</v>
      </c>
      <c r="O307" s="10">
        <v>2</v>
      </c>
      <c r="P307" s="10" t="s">
        <v>42</v>
      </c>
      <c r="Q307" s="10" t="s">
        <v>59</v>
      </c>
      <c r="R307" s="10" t="s">
        <v>3626</v>
      </c>
      <c r="S307" s="10" t="s">
        <v>256</v>
      </c>
      <c r="T307" s="10" t="s">
        <v>42</v>
      </c>
      <c r="U307" s="10">
        <v>3</v>
      </c>
      <c r="V307" s="10">
        <v>214</v>
      </c>
      <c r="W307" s="10">
        <v>212</v>
      </c>
      <c r="X307" s="10" t="s">
        <v>258</v>
      </c>
      <c r="Y307" s="10" t="s">
        <v>3627</v>
      </c>
      <c r="Z307" s="10" t="s">
        <v>586</v>
      </c>
      <c r="AA307" s="10" t="s">
        <v>3628</v>
      </c>
      <c r="AB307" s="10" t="s">
        <v>3629</v>
      </c>
      <c r="AC307" s="10"/>
      <c r="AD307" s="10"/>
      <c r="AE307" s="10"/>
      <c r="AF307" s="10"/>
      <c r="AG307" s="44" t="s">
        <v>263</v>
      </c>
      <c r="AH307" s="44">
        <v>2</v>
      </c>
      <c r="AI307" s="44" t="s">
        <v>6052</v>
      </c>
      <c r="AJ307" s="44" t="s">
        <v>6052</v>
      </c>
      <c r="AK307" s="44" t="s">
        <v>6052</v>
      </c>
      <c r="AL307" s="44" t="s">
        <v>6052</v>
      </c>
      <c r="AM307" s="44" t="s">
        <v>6052</v>
      </c>
      <c r="AN307" s="44" t="s">
        <v>32340</v>
      </c>
      <c r="AO307" s="45">
        <v>11</v>
      </c>
      <c r="AP307" s="45">
        <v>1</v>
      </c>
      <c r="AQ307" s="45">
        <v>0</v>
      </c>
      <c r="AR307" s="45">
        <v>0</v>
      </c>
      <c r="AS307" s="45">
        <v>0</v>
      </c>
      <c r="AT307" s="45">
        <v>0</v>
      </c>
      <c r="AU307" s="10" t="s">
        <v>6052</v>
      </c>
      <c r="AV307" s="10" t="s">
        <v>6052</v>
      </c>
      <c r="AW307" s="10" t="s">
        <v>6052</v>
      </c>
      <c r="AX307" s="10" t="s">
        <v>6052</v>
      </c>
      <c r="AY307" s="10" t="s">
        <v>32253</v>
      </c>
      <c r="AZ307" s="44" t="s">
        <v>33110</v>
      </c>
      <c r="BA307" s="44" t="s">
        <v>30870</v>
      </c>
      <c r="BB307" s="44" t="s">
        <v>31225</v>
      </c>
      <c r="BC307" s="44" t="s">
        <v>6564</v>
      </c>
      <c r="BD307" s="44" t="s">
        <v>31710</v>
      </c>
      <c r="BE307" s="11">
        <v>1</v>
      </c>
      <c r="BF307" s="11">
        <v>0</v>
      </c>
      <c r="BG307" s="11">
        <v>0</v>
      </c>
      <c r="BH307" s="10" t="s">
        <v>32232</v>
      </c>
      <c r="BI307" s="11">
        <v>100</v>
      </c>
      <c r="BJ307" s="10" t="s">
        <v>33464</v>
      </c>
      <c r="BK307" s="11">
        <v>100</v>
      </c>
    </row>
    <row r="308" spans="1:63" x14ac:dyDescent="0.75">
      <c r="A308" t="s">
        <v>3617</v>
      </c>
      <c r="B308" t="s">
        <v>104</v>
      </c>
      <c r="C308" t="s">
        <v>610</v>
      </c>
      <c r="D308" t="s">
        <v>611</v>
      </c>
      <c r="E308" s="22" t="s">
        <v>30844</v>
      </c>
      <c r="F308" t="s">
        <v>3618</v>
      </c>
      <c r="G308" s="1" t="str">
        <f>HYPERLINK("https://homd.org/jbrowse/?data=homd_V11.02_phage_1.2%2FGCA_018366775.1&amp;loc=GCA_018366775.1%7CJAGZHL010000008.1%3A54493..61437&amp;tracks=prokka,prokka_ncrna,ncbi,ncbi_ncrna,panggolin,cenote,genomad&amp;highlight=","Open JBrowse")</f>
        <v>Open JBrowse</v>
      </c>
      <c r="H308" s="10">
        <v>57493</v>
      </c>
      <c r="I308" s="10">
        <v>58437</v>
      </c>
      <c r="J308" s="10" t="s">
        <v>3619</v>
      </c>
      <c r="K308" s="10" t="s">
        <v>614</v>
      </c>
      <c r="L308" s="10" t="s">
        <v>615</v>
      </c>
      <c r="M308" s="10" t="s">
        <v>616</v>
      </c>
      <c r="N308" s="10" t="s">
        <v>59</v>
      </c>
      <c r="O308" s="10">
        <v>2</v>
      </c>
      <c r="P308" s="10" t="s">
        <v>42</v>
      </c>
      <c r="Q308" s="10" t="s">
        <v>101</v>
      </c>
      <c r="R308" s="10" t="s">
        <v>3620</v>
      </c>
      <c r="S308" s="10" t="s">
        <v>615</v>
      </c>
      <c r="T308" s="10" t="s">
        <v>42</v>
      </c>
      <c r="U308" s="10">
        <v>52</v>
      </c>
      <c r="V308" s="10">
        <v>311</v>
      </c>
      <c r="W308" s="10">
        <v>260</v>
      </c>
      <c r="X308" s="10" t="s">
        <v>618</v>
      </c>
      <c r="Y308" s="10" t="s">
        <v>3621</v>
      </c>
      <c r="Z308" s="10" t="s">
        <v>836</v>
      </c>
      <c r="AA308" s="10" t="s">
        <v>3622</v>
      </c>
      <c r="AB308" s="10"/>
      <c r="AC308" s="10"/>
      <c r="AD308" s="10"/>
      <c r="AE308" s="10"/>
      <c r="AF308" s="10"/>
      <c r="AG308" s="44"/>
      <c r="AH308" s="44"/>
      <c r="AI308" s="44" t="s">
        <v>6052</v>
      </c>
      <c r="AJ308" s="44" t="s">
        <v>6052</v>
      </c>
      <c r="AK308" s="44" t="s">
        <v>6052</v>
      </c>
      <c r="AL308" s="44" t="s">
        <v>6052</v>
      </c>
      <c r="AM308" s="44" t="s">
        <v>6052</v>
      </c>
      <c r="AN308" s="44" t="s">
        <v>32274</v>
      </c>
      <c r="AO308" s="45">
        <v>11</v>
      </c>
      <c r="AP308" s="45">
        <v>1</v>
      </c>
      <c r="AQ308" s="45">
        <v>0</v>
      </c>
      <c r="AR308" s="45">
        <v>0</v>
      </c>
      <c r="AS308" s="45">
        <v>0</v>
      </c>
      <c r="AT308" s="45">
        <v>0</v>
      </c>
      <c r="AU308" s="10" t="s">
        <v>6052</v>
      </c>
      <c r="AV308" s="10" t="s">
        <v>6052</v>
      </c>
      <c r="AW308" s="10" t="s">
        <v>6052</v>
      </c>
      <c r="AX308" s="10" t="s">
        <v>6052</v>
      </c>
      <c r="AY308" s="10" t="s">
        <v>32253</v>
      </c>
      <c r="AZ308" s="44" t="s">
        <v>33118</v>
      </c>
      <c r="BA308" s="44" t="s">
        <v>30850</v>
      </c>
      <c r="BB308" s="44" t="s">
        <v>31169</v>
      </c>
      <c r="BC308" s="44" t="s">
        <v>7190</v>
      </c>
      <c r="BD308" s="44" t="s">
        <v>31712</v>
      </c>
      <c r="BE308" s="11">
        <v>1</v>
      </c>
      <c r="BF308" s="11">
        <v>0</v>
      </c>
      <c r="BG308" s="11">
        <v>0</v>
      </c>
      <c r="BH308" s="10" t="s">
        <v>31944</v>
      </c>
      <c r="BI308" s="11">
        <v>100</v>
      </c>
      <c r="BJ308" s="10" t="s">
        <v>33178</v>
      </c>
      <c r="BK308" s="11">
        <v>100</v>
      </c>
    </row>
    <row r="309" spans="1:63" x14ac:dyDescent="0.75">
      <c r="A309" t="s">
        <v>3612</v>
      </c>
      <c r="B309" t="s">
        <v>104</v>
      </c>
      <c r="C309" t="s">
        <v>746</v>
      </c>
      <c r="D309" t="s">
        <v>747</v>
      </c>
      <c r="E309" s="22" t="s">
        <v>30844</v>
      </c>
      <c r="F309" t="s">
        <v>3613</v>
      </c>
      <c r="G309" s="1" t="str">
        <f>HYPERLINK("https://homd.org/jbrowse/?data=homd_V11.02_phage_1.2%2FGCA_018363635.1&amp;loc=GCA_018363635.1%7CJAGZNM010000023.1%3A8731..16506&amp;tracks=prokka,prokka_ncrna,ncbi,ncbi_ncrna,panggolin,cenote,genomad&amp;highlight=","Open JBrowse")</f>
        <v>Open JBrowse</v>
      </c>
      <c r="H309" s="10">
        <v>11731</v>
      </c>
      <c r="I309" s="10">
        <v>13506</v>
      </c>
      <c r="J309" s="10" t="s">
        <v>3614</v>
      </c>
      <c r="K309" s="10" t="s">
        <v>541</v>
      </c>
      <c r="L309" s="10" t="s">
        <v>750</v>
      </c>
      <c r="M309" s="10" t="s">
        <v>751</v>
      </c>
      <c r="N309" s="10" t="s">
        <v>59</v>
      </c>
      <c r="O309" s="10">
        <v>2</v>
      </c>
      <c r="P309" s="10" t="s">
        <v>42</v>
      </c>
      <c r="Q309" s="10" t="s">
        <v>101</v>
      </c>
      <c r="R309" s="10" t="s">
        <v>3615</v>
      </c>
      <c r="S309" s="10" t="s">
        <v>750</v>
      </c>
      <c r="T309" s="10" t="s">
        <v>42</v>
      </c>
      <c r="U309" s="10">
        <v>59</v>
      </c>
      <c r="V309" s="10">
        <v>334</v>
      </c>
      <c r="W309" s="10">
        <v>276</v>
      </c>
      <c r="X309" s="10" t="s">
        <v>545</v>
      </c>
      <c r="Y309" s="10" t="s">
        <v>3616</v>
      </c>
      <c r="Z309" s="10" t="s">
        <v>126</v>
      </c>
      <c r="AA309" s="10" t="s">
        <v>851</v>
      </c>
      <c r="AB309" s="10"/>
      <c r="AC309" s="10"/>
      <c r="AD309" s="10"/>
      <c r="AE309" s="10"/>
      <c r="AF309" s="10"/>
      <c r="AG309" s="44"/>
      <c r="AH309" s="44"/>
      <c r="AI309" s="44" t="s">
        <v>6052</v>
      </c>
      <c r="AJ309" s="44" t="s">
        <v>6052</v>
      </c>
      <c r="AK309" s="44" t="s">
        <v>6052</v>
      </c>
      <c r="AL309" s="44" t="s">
        <v>6052</v>
      </c>
      <c r="AM309" s="44" t="s">
        <v>6052</v>
      </c>
      <c r="AN309" s="44" t="s">
        <v>32281</v>
      </c>
      <c r="AO309" s="45">
        <v>11</v>
      </c>
      <c r="AP309" s="45">
        <v>1</v>
      </c>
      <c r="AQ309" s="45">
        <v>0</v>
      </c>
      <c r="AR309" s="45">
        <v>0</v>
      </c>
      <c r="AS309" s="45">
        <v>0</v>
      </c>
      <c r="AT309" s="45">
        <v>0</v>
      </c>
      <c r="AU309" s="10" t="s">
        <v>6052</v>
      </c>
      <c r="AV309" s="10" t="s">
        <v>6052</v>
      </c>
      <c r="AW309" s="10" t="s">
        <v>6052</v>
      </c>
      <c r="AX309" s="10" t="s">
        <v>6052</v>
      </c>
      <c r="AY309" s="10" t="s">
        <v>32253</v>
      </c>
      <c r="AZ309" s="44" t="s">
        <v>33117</v>
      </c>
      <c r="BA309" s="44" t="s">
        <v>30853</v>
      </c>
      <c r="BB309" s="44" t="s">
        <v>31176</v>
      </c>
      <c r="BC309" s="44" t="s">
        <v>6696</v>
      </c>
      <c r="BD309" s="44" t="s">
        <v>31714</v>
      </c>
      <c r="BE309" s="11">
        <v>1</v>
      </c>
      <c r="BF309" s="11">
        <v>0</v>
      </c>
      <c r="BG309" s="11">
        <v>0</v>
      </c>
      <c r="BH309" s="10" t="s">
        <v>32202</v>
      </c>
      <c r="BI309" s="11">
        <v>100</v>
      </c>
      <c r="BJ309" s="10" t="s">
        <v>33458</v>
      </c>
      <c r="BK309" s="11">
        <v>95.4</v>
      </c>
    </row>
    <row r="310" spans="1:63" x14ac:dyDescent="0.75">
      <c r="A310" t="s">
        <v>3215</v>
      </c>
      <c r="B310" t="s">
        <v>104</v>
      </c>
      <c r="C310" t="s">
        <v>814</v>
      </c>
      <c r="D310" t="s">
        <v>815</v>
      </c>
      <c r="E310" s="22" t="s">
        <v>20289</v>
      </c>
      <c r="F310" t="s">
        <v>3222</v>
      </c>
      <c r="G310" s="1" t="str">
        <f>HYPERLINK("https://homd.org/jbrowse/?data=homd_V11.02_phage_1.2%2FGCA_016806965.1&amp;loc=GCA_016806965.1%7CJAESPH010000003.1%3A413714..420535&amp;tracks=prokka,prokka_ncrna,ncbi,ncbi_ncrna,panggolin,cenote,genomad&amp;highlight=","Open JBrowse")</f>
        <v>Open JBrowse</v>
      </c>
      <c r="H310" s="10">
        <v>416714</v>
      </c>
      <c r="I310" s="10">
        <v>417535</v>
      </c>
      <c r="J310" s="10" t="s">
        <v>3223</v>
      </c>
      <c r="K310" s="10" t="s">
        <v>39</v>
      </c>
      <c r="L310" s="10" t="s">
        <v>343</v>
      </c>
      <c r="M310" s="10" t="s">
        <v>1833</v>
      </c>
      <c r="N310" s="10" t="s">
        <v>42</v>
      </c>
      <c r="O310" s="10">
        <v>3</v>
      </c>
      <c r="P310" s="10" t="s">
        <v>42</v>
      </c>
      <c r="Q310" s="10" t="s">
        <v>43</v>
      </c>
      <c r="R310" s="10" t="s">
        <v>3218</v>
      </c>
      <c r="S310" s="10" t="s">
        <v>343</v>
      </c>
      <c r="T310" s="10" t="s">
        <v>42</v>
      </c>
      <c r="U310" s="10">
        <v>38</v>
      </c>
      <c r="V310" s="10">
        <v>270</v>
      </c>
      <c r="W310" s="10">
        <v>233</v>
      </c>
      <c r="X310" s="10" t="s">
        <v>45</v>
      </c>
      <c r="Y310" s="10" t="s">
        <v>3224</v>
      </c>
      <c r="Z310" s="10" t="s">
        <v>132</v>
      </c>
      <c r="AA310" s="10" t="s">
        <v>3225</v>
      </c>
      <c r="AB310" s="10"/>
      <c r="AC310" s="10"/>
      <c r="AD310" s="10"/>
      <c r="AE310" s="10"/>
      <c r="AF310" s="10"/>
      <c r="AG310" s="44"/>
      <c r="AH310" s="44"/>
      <c r="AI310" s="44" t="s">
        <v>6052</v>
      </c>
      <c r="AJ310" s="44" t="s">
        <v>6052</v>
      </c>
      <c r="AK310" s="44" t="s">
        <v>6052</v>
      </c>
      <c r="AL310" s="44" t="s">
        <v>6052</v>
      </c>
      <c r="AM310" s="44" t="s">
        <v>6052</v>
      </c>
      <c r="AN310" s="44" t="s">
        <v>32508</v>
      </c>
      <c r="AO310" s="45">
        <v>11</v>
      </c>
      <c r="AP310" s="45">
        <v>1</v>
      </c>
      <c r="AQ310" s="45">
        <v>0</v>
      </c>
      <c r="AR310" s="45">
        <v>0</v>
      </c>
      <c r="AS310" s="45">
        <v>0</v>
      </c>
      <c r="AT310" s="45">
        <v>0</v>
      </c>
      <c r="AU310" s="10" t="s">
        <v>6052</v>
      </c>
      <c r="AV310" s="10" t="s">
        <v>6052</v>
      </c>
      <c r="AW310" s="10" t="s">
        <v>6052</v>
      </c>
      <c r="AX310" s="10" t="s">
        <v>6052</v>
      </c>
      <c r="AY310" s="10" t="s">
        <v>32253</v>
      </c>
      <c r="AZ310" s="44" t="s">
        <v>33116</v>
      </c>
      <c r="BA310" s="44" t="s">
        <v>30893</v>
      </c>
      <c r="BB310" s="44" t="s">
        <v>31307</v>
      </c>
      <c r="BC310" s="44" t="s">
        <v>6415</v>
      </c>
      <c r="BD310" s="44" t="s">
        <v>31707</v>
      </c>
      <c r="BE310" s="11">
        <v>1</v>
      </c>
      <c r="BF310" s="11">
        <v>0</v>
      </c>
      <c r="BG310" s="11">
        <v>0</v>
      </c>
      <c r="BH310" s="10" t="s">
        <v>31902</v>
      </c>
      <c r="BI310" s="11">
        <v>100</v>
      </c>
      <c r="BJ310" s="10" t="s">
        <v>33268</v>
      </c>
      <c r="BK310" s="11">
        <v>100</v>
      </c>
    </row>
    <row r="311" spans="1:63" x14ac:dyDescent="0.75">
      <c r="A311" t="s">
        <v>3215</v>
      </c>
      <c r="B311" t="s">
        <v>104</v>
      </c>
      <c r="C311" t="s">
        <v>814</v>
      </c>
      <c r="D311" t="s">
        <v>815</v>
      </c>
      <c r="E311" s="22" t="s">
        <v>20289</v>
      </c>
      <c r="F311" t="s">
        <v>3216</v>
      </c>
      <c r="G311" s="1" t="str">
        <f>HYPERLINK("https://homd.org/jbrowse/?data=homd_V11.02_phage_1.2%2FGCA_016806965.1&amp;loc=GCA_016806965.1%7CJAESPH010000002.1%3A203369..210151&amp;tracks=prokka,prokka_ncrna,ncbi,ncbi_ncrna,panggolin,cenote,genomad&amp;highlight=","Open JBrowse")</f>
        <v>Open JBrowse</v>
      </c>
      <c r="H311" s="10">
        <v>206369</v>
      </c>
      <c r="I311" s="10">
        <v>207151</v>
      </c>
      <c r="J311" s="10" t="s">
        <v>3217</v>
      </c>
      <c r="K311" s="10" t="s">
        <v>39</v>
      </c>
      <c r="L311" s="10" t="s">
        <v>818</v>
      </c>
      <c r="M311" s="10" t="s">
        <v>819</v>
      </c>
      <c r="N311" s="10" t="s">
        <v>42</v>
      </c>
      <c r="O311" s="10">
        <v>3</v>
      </c>
      <c r="P311" s="10" t="s">
        <v>42</v>
      </c>
      <c r="Q311" s="10" t="s">
        <v>43</v>
      </c>
      <c r="R311" s="10" t="s">
        <v>3218</v>
      </c>
      <c r="S311" s="10" t="s">
        <v>818</v>
      </c>
      <c r="T311" s="10" t="s">
        <v>42</v>
      </c>
      <c r="U311" s="10">
        <v>28</v>
      </c>
      <c r="V311" s="10">
        <v>256</v>
      </c>
      <c r="W311" s="10">
        <v>229</v>
      </c>
      <c r="X311" s="10" t="s">
        <v>45</v>
      </c>
      <c r="Y311" s="10"/>
      <c r="Z311" s="10"/>
      <c r="AA311" s="10"/>
      <c r="AB311" s="10"/>
      <c r="AC311" s="10"/>
      <c r="AD311" s="10"/>
      <c r="AE311" s="10"/>
      <c r="AF311" s="10"/>
      <c r="AG311" s="44"/>
      <c r="AH311" s="44"/>
      <c r="AI311" s="46" t="s">
        <v>6054</v>
      </c>
      <c r="AJ311" s="44" t="s">
        <v>6052</v>
      </c>
      <c r="AK311" s="44" t="s">
        <v>6052</v>
      </c>
      <c r="AL311" s="44" t="s">
        <v>6052</v>
      </c>
      <c r="AM311" s="44" t="s">
        <v>6052</v>
      </c>
      <c r="AN311" s="44" t="s">
        <v>32509</v>
      </c>
      <c r="AO311" s="45">
        <v>11</v>
      </c>
      <c r="AP311" s="45">
        <v>1</v>
      </c>
      <c r="AQ311" s="45">
        <v>0</v>
      </c>
      <c r="AR311" s="45">
        <v>0</v>
      </c>
      <c r="AS311" s="45">
        <v>0</v>
      </c>
      <c r="AT311" s="45">
        <v>0</v>
      </c>
      <c r="AU311" s="10" t="s">
        <v>6052</v>
      </c>
      <c r="AV311" s="10" t="s">
        <v>6052</v>
      </c>
      <c r="AW311" s="10" t="s">
        <v>6052</v>
      </c>
      <c r="AX311" s="10" t="s">
        <v>6052</v>
      </c>
      <c r="AY311" s="10" t="s">
        <v>32253</v>
      </c>
      <c r="AZ311" s="44" t="s">
        <v>33117</v>
      </c>
      <c r="BA311" s="44" t="s">
        <v>30893</v>
      </c>
      <c r="BB311" s="44" t="s">
        <v>31308</v>
      </c>
      <c r="BC311" s="44" t="s">
        <v>6415</v>
      </c>
      <c r="BD311" s="44" t="s">
        <v>31707</v>
      </c>
      <c r="BE311" s="11">
        <v>1</v>
      </c>
      <c r="BF311" s="11">
        <v>0</v>
      </c>
      <c r="BG311" s="11">
        <v>0</v>
      </c>
      <c r="BH311" s="10" t="s">
        <v>31916</v>
      </c>
      <c r="BI311" s="11">
        <v>100</v>
      </c>
      <c r="BJ311" s="10" t="s">
        <v>33267</v>
      </c>
      <c r="BK311" s="11">
        <v>100</v>
      </c>
    </row>
    <row r="312" spans="1:63" x14ac:dyDescent="0.75">
      <c r="A312" t="s">
        <v>3235</v>
      </c>
      <c r="B312" t="s">
        <v>104</v>
      </c>
      <c r="C312" t="s">
        <v>814</v>
      </c>
      <c r="D312" t="s">
        <v>815</v>
      </c>
      <c r="E312" s="22" t="s">
        <v>30843</v>
      </c>
      <c r="F312" t="s">
        <v>3243</v>
      </c>
      <c r="G312" s="1" t="str">
        <f>HYPERLINK("https://homd.org/jbrowse/?data=homd_V11.02_phage_1.2%2FGCA_016806995.1&amp;loc=GCA_016806995.1%7CJAESPK010000027.1%3A6178..12993&amp;tracks=prokka,prokka_ncrna,ncbi,ncbi_ncrna,panggolin,cenote,genomad&amp;highlight=","Open JBrowse")</f>
        <v>Open JBrowse</v>
      </c>
      <c r="H312" s="10">
        <v>9178</v>
      </c>
      <c r="I312" s="10">
        <v>9993</v>
      </c>
      <c r="J312" s="10" t="s">
        <v>3244</v>
      </c>
      <c r="K312" s="10" t="s">
        <v>39</v>
      </c>
      <c r="L312" s="10" t="s">
        <v>3147</v>
      </c>
      <c r="M312" s="10" t="s">
        <v>3148</v>
      </c>
      <c r="N312" s="10" t="s">
        <v>42</v>
      </c>
      <c r="O312" s="10">
        <v>3</v>
      </c>
      <c r="P312" s="10" t="s">
        <v>42</v>
      </c>
      <c r="Q312" s="10" t="s">
        <v>43</v>
      </c>
      <c r="R312" s="10" t="s">
        <v>3238</v>
      </c>
      <c r="S312" s="10" t="s">
        <v>3147</v>
      </c>
      <c r="T312" s="10" t="s">
        <v>42</v>
      </c>
      <c r="U312" s="10">
        <v>36</v>
      </c>
      <c r="V312" s="10">
        <v>268</v>
      </c>
      <c r="W312" s="10">
        <v>233</v>
      </c>
      <c r="X312" s="10" t="s">
        <v>45</v>
      </c>
      <c r="Y312" s="10" t="s">
        <v>3245</v>
      </c>
      <c r="Z312" s="10" t="s">
        <v>530</v>
      </c>
      <c r="AA312" s="10" t="s">
        <v>3246</v>
      </c>
      <c r="AB312" s="10"/>
      <c r="AC312" s="10"/>
      <c r="AD312" s="10"/>
      <c r="AE312" s="10"/>
      <c r="AF312" s="10"/>
      <c r="AG312" s="44"/>
      <c r="AH312" s="44"/>
      <c r="AI312" s="44" t="s">
        <v>6052</v>
      </c>
      <c r="AJ312" s="44" t="s">
        <v>6052</v>
      </c>
      <c r="AK312" s="44" t="s">
        <v>6052</v>
      </c>
      <c r="AL312" s="44" t="s">
        <v>6052</v>
      </c>
      <c r="AM312" s="44" t="s">
        <v>6052</v>
      </c>
      <c r="AN312" s="44" t="s">
        <v>32932</v>
      </c>
      <c r="AO312" s="45">
        <v>11</v>
      </c>
      <c r="AP312" s="45">
        <v>1</v>
      </c>
      <c r="AQ312" s="45">
        <v>0</v>
      </c>
      <c r="AR312" s="45">
        <v>0</v>
      </c>
      <c r="AS312" s="45">
        <v>0</v>
      </c>
      <c r="AT312" s="45">
        <v>0</v>
      </c>
      <c r="AU312" s="10" t="s">
        <v>6052</v>
      </c>
      <c r="AV312" s="10" t="s">
        <v>6052</v>
      </c>
      <c r="AW312" s="10" t="s">
        <v>6052</v>
      </c>
      <c r="AX312" s="10" t="s">
        <v>6052</v>
      </c>
      <c r="AY312" s="10" t="s">
        <v>32253</v>
      </c>
      <c r="AZ312" s="44" t="s">
        <v>33116</v>
      </c>
      <c r="BA312" s="44" t="s">
        <v>31084</v>
      </c>
      <c r="BB312" s="44" t="s">
        <v>31584</v>
      </c>
      <c r="BC312" s="44" t="s">
        <v>6415</v>
      </c>
      <c r="BD312" s="44" t="s">
        <v>31707</v>
      </c>
      <c r="BE312" s="11">
        <v>1</v>
      </c>
      <c r="BF312" s="11">
        <v>0</v>
      </c>
      <c r="BG312" s="11">
        <v>0</v>
      </c>
      <c r="BH312" s="10" t="s">
        <v>31866</v>
      </c>
      <c r="BI312" s="11">
        <v>100</v>
      </c>
      <c r="BJ312" s="10" t="s">
        <v>33273</v>
      </c>
      <c r="BK312" s="11">
        <v>100</v>
      </c>
    </row>
    <row r="313" spans="1:63" x14ac:dyDescent="0.75">
      <c r="A313" t="s">
        <v>3235</v>
      </c>
      <c r="B313" t="s">
        <v>104</v>
      </c>
      <c r="C313" t="s">
        <v>814</v>
      </c>
      <c r="D313" t="s">
        <v>815</v>
      </c>
      <c r="E313" s="22" t="s">
        <v>30843</v>
      </c>
      <c r="F313" t="s">
        <v>3241</v>
      </c>
      <c r="G313" s="1" t="str">
        <f>HYPERLINK("https://homd.org/jbrowse/?data=homd_V11.02_phage_1.2%2FGCA_016806995.1&amp;loc=GCA_016806995.1%7CJAESPK010000025.1%3A1..4835&amp;tracks=prokka,prokka_ncrna,ncbi,ncbi_ncrna,panggolin,cenote,genomad&amp;highlight=","Open JBrowse")</f>
        <v>Open JBrowse</v>
      </c>
      <c r="H313" s="10">
        <v>1050</v>
      </c>
      <c r="I313" s="10">
        <v>1835</v>
      </c>
      <c r="J313" s="10" t="s">
        <v>3242</v>
      </c>
      <c r="K313" s="10" t="s">
        <v>39</v>
      </c>
      <c r="L313" s="10" t="s">
        <v>1866</v>
      </c>
      <c r="M313" s="10" t="s">
        <v>1867</v>
      </c>
      <c r="N313" s="10" t="s">
        <v>42</v>
      </c>
      <c r="O313" s="10">
        <v>3</v>
      </c>
      <c r="P313" s="10" t="s">
        <v>42</v>
      </c>
      <c r="Q313" s="10" t="s">
        <v>43</v>
      </c>
      <c r="R313" s="10" t="s">
        <v>3238</v>
      </c>
      <c r="S313" s="10" t="s">
        <v>1866</v>
      </c>
      <c r="T313" s="10" t="s">
        <v>42</v>
      </c>
      <c r="U313" s="10">
        <v>29</v>
      </c>
      <c r="V313" s="10">
        <v>257</v>
      </c>
      <c r="W313" s="10">
        <v>229</v>
      </c>
      <c r="X313" s="10" t="s">
        <v>45</v>
      </c>
      <c r="Y313" s="10"/>
      <c r="Z313" s="10"/>
      <c r="AA313" s="10"/>
      <c r="AB313" s="10"/>
      <c r="AC313" s="10"/>
      <c r="AD313" s="10"/>
      <c r="AE313" s="10"/>
      <c r="AF313" s="10"/>
      <c r="AG313" s="44"/>
      <c r="AH313" s="44"/>
      <c r="AI313" s="46" t="s">
        <v>6054</v>
      </c>
      <c r="AJ313" s="44" t="s">
        <v>6052</v>
      </c>
      <c r="AK313" s="44" t="s">
        <v>6052</v>
      </c>
      <c r="AL313" s="44" t="s">
        <v>6052</v>
      </c>
      <c r="AM313" s="44" t="s">
        <v>6052</v>
      </c>
      <c r="AN313" s="44" t="s">
        <v>32933</v>
      </c>
      <c r="AO313" s="45">
        <v>11</v>
      </c>
      <c r="AP313" s="45">
        <v>1</v>
      </c>
      <c r="AQ313" s="45">
        <v>0</v>
      </c>
      <c r="AR313" s="45">
        <v>0</v>
      </c>
      <c r="AS313" s="45">
        <v>0</v>
      </c>
      <c r="AT313" s="45">
        <v>0</v>
      </c>
      <c r="AU313" s="10" t="s">
        <v>6052</v>
      </c>
      <c r="AV313" s="10" t="s">
        <v>6052</v>
      </c>
      <c r="AW313" s="10" t="s">
        <v>6052</v>
      </c>
      <c r="AX313" s="10" t="s">
        <v>6052</v>
      </c>
      <c r="AY313" s="10" t="s">
        <v>32253</v>
      </c>
      <c r="AZ313" s="44" t="s">
        <v>33117</v>
      </c>
      <c r="BA313" s="44" t="s">
        <v>31084</v>
      </c>
      <c r="BB313" s="44" t="s">
        <v>31585</v>
      </c>
      <c r="BC313" s="44" t="s">
        <v>6415</v>
      </c>
      <c r="BD313" s="44" t="s">
        <v>31707</v>
      </c>
      <c r="BE313" s="11">
        <v>1</v>
      </c>
      <c r="BF313" s="11">
        <v>0</v>
      </c>
      <c r="BG313" s="11">
        <v>0</v>
      </c>
      <c r="BH313" s="10" t="s">
        <v>31938</v>
      </c>
      <c r="BI313" s="11">
        <v>100</v>
      </c>
      <c r="BJ313" s="10" t="s">
        <v>33272</v>
      </c>
      <c r="BK313" s="11">
        <v>100</v>
      </c>
    </row>
    <row r="314" spans="1:63" x14ac:dyDescent="0.75">
      <c r="A314" t="s">
        <v>3202</v>
      </c>
      <c r="B314" t="s">
        <v>104</v>
      </c>
      <c r="C314" t="s">
        <v>814</v>
      </c>
      <c r="D314" t="s">
        <v>815</v>
      </c>
      <c r="E314" s="22" t="s">
        <v>20287</v>
      </c>
      <c r="F314" t="s">
        <v>3206</v>
      </c>
      <c r="G314" s="1" t="str">
        <f>HYPERLINK("https://homd.org/jbrowse/?data=homd_V11.02_phage_1.2%2FGCA_016806945.1&amp;loc=GCA_016806945.1%7CJAESPJ010000026.1%3A45737..52555&amp;tracks=prokka,prokka_ncrna,ncbi,ncbi_ncrna,panggolin,cenote,genomad&amp;highlight=","Open JBrowse")</f>
        <v>Open JBrowse</v>
      </c>
      <c r="H314" s="10">
        <v>48737</v>
      </c>
      <c r="I314" s="10">
        <v>49555</v>
      </c>
      <c r="J314" s="10" t="s">
        <v>3207</v>
      </c>
      <c r="K314" s="10" t="s">
        <v>39</v>
      </c>
      <c r="L314" s="10" t="s">
        <v>343</v>
      </c>
      <c r="M314" s="10" t="s">
        <v>1833</v>
      </c>
      <c r="N314" s="10" t="s">
        <v>42</v>
      </c>
      <c r="O314" s="10">
        <v>3</v>
      </c>
      <c r="P314" s="10" t="s">
        <v>42</v>
      </c>
      <c r="Q314" s="10" t="s">
        <v>43</v>
      </c>
      <c r="R314" s="10" t="s">
        <v>3205</v>
      </c>
      <c r="S314" s="10" t="s">
        <v>343</v>
      </c>
      <c r="T314" s="10" t="s">
        <v>42</v>
      </c>
      <c r="U314" s="10">
        <v>38</v>
      </c>
      <c r="V314" s="10">
        <v>270</v>
      </c>
      <c r="W314" s="10">
        <v>233</v>
      </c>
      <c r="X314" s="10" t="s">
        <v>45</v>
      </c>
      <c r="Y314" s="10" t="s">
        <v>3208</v>
      </c>
      <c r="Z314" s="10" t="s">
        <v>653</v>
      </c>
      <c r="AA314" s="10" t="s">
        <v>3209</v>
      </c>
      <c r="AB314" s="10"/>
      <c r="AC314" s="10"/>
      <c r="AD314" s="10"/>
      <c r="AE314" s="10"/>
      <c r="AF314" s="10"/>
      <c r="AG314" s="44"/>
      <c r="AH314" s="44"/>
      <c r="AI314" s="44" t="s">
        <v>6052</v>
      </c>
      <c r="AJ314" s="44" t="s">
        <v>6052</v>
      </c>
      <c r="AK314" s="44" t="s">
        <v>6052</v>
      </c>
      <c r="AL314" s="44" t="s">
        <v>6052</v>
      </c>
      <c r="AM314" s="44" t="s">
        <v>6052</v>
      </c>
      <c r="AN314" s="44" t="s">
        <v>32499</v>
      </c>
      <c r="AO314" s="45">
        <v>11</v>
      </c>
      <c r="AP314" s="45">
        <v>1</v>
      </c>
      <c r="AQ314" s="45">
        <v>0</v>
      </c>
      <c r="AR314" s="45">
        <v>0</v>
      </c>
      <c r="AS314" s="45">
        <v>0</v>
      </c>
      <c r="AT314" s="45">
        <v>0</v>
      </c>
      <c r="AU314" s="10" t="s">
        <v>6052</v>
      </c>
      <c r="AV314" s="10" t="s">
        <v>6052</v>
      </c>
      <c r="AW314" s="10" t="s">
        <v>6052</v>
      </c>
      <c r="AX314" s="10" t="s">
        <v>6052</v>
      </c>
      <c r="AY314" s="10" t="s">
        <v>32253</v>
      </c>
      <c r="AZ314" s="44" t="s">
        <v>33116</v>
      </c>
      <c r="BA314" s="44" t="s">
        <v>30891</v>
      </c>
      <c r="BB314" s="44" t="s">
        <v>31302</v>
      </c>
      <c r="BC314" s="44" t="s">
        <v>6415</v>
      </c>
      <c r="BD314" s="44" t="s">
        <v>31707</v>
      </c>
      <c r="BE314" s="11">
        <v>1</v>
      </c>
      <c r="BF314" s="11">
        <v>0</v>
      </c>
      <c r="BG314" s="11">
        <v>0</v>
      </c>
      <c r="BH314" s="10" t="s">
        <v>31940</v>
      </c>
      <c r="BI314" s="11">
        <v>100</v>
      </c>
      <c r="BJ314" s="10" t="s">
        <v>33271</v>
      </c>
      <c r="BK314" s="11">
        <v>100</v>
      </c>
    </row>
    <row r="315" spans="1:63" x14ac:dyDescent="0.75">
      <c r="A315" t="s">
        <v>3202</v>
      </c>
      <c r="B315" t="s">
        <v>104</v>
      </c>
      <c r="C315" t="s">
        <v>814</v>
      </c>
      <c r="D315" t="s">
        <v>815</v>
      </c>
      <c r="E315" s="22" t="s">
        <v>20287</v>
      </c>
      <c r="F315" t="s">
        <v>3203</v>
      </c>
      <c r="G315" s="1" t="str">
        <f>HYPERLINK("https://homd.org/jbrowse/?data=homd_V11.02_phage_1.2%2FGCA_016806945.1&amp;loc=GCA_016806945.1%7CJAESPJ010000006.1%3A222428..229210&amp;tracks=prokka,prokka_ncrna,ncbi,ncbi_ncrna,panggolin,cenote,genomad&amp;highlight=","Open JBrowse")</f>
        <v>Open JBrowse</v>
      </c>
      <c r="H315" s="10">
        <v>225428</v>
      </c>
      <c r="I315" s="10">
        <v>226210</v>
      </c>
      <c r="J315" s="10" t="s">
        <v>3204</v>
      </c>
      <c r="K315" s="10" t="s">
        <v>39</v>
      </c>
      <c r="L315" s="10" t="s">
        <v>818</v>
      </c>
      <c r="M315" s="10" t="s">
        <v>819</v>
      </c>
      <c r="N315" s="10" t="s">
        <v>42</v>
      </c>
      <c r="O315" s="10">
        <v>3</v>
      </c>
      <c r="P315" s="10" t="s">
        <v>42</v>
      </c>
      <c r="Q315" s="10" t="s">
        <v>43</v>
      </c>
      <c r="R315" s="10" t="s">
        <v>3205</v>
      </c>
      <c r="S315" s="10" t="s">
        <v>818</v>
      </c>
      <c r="T315" s="10" t="s">
        <v>42</v>
      </c>
      <c r="U315" s="10">
        <v>28</v>
      </c>
      <c r="V315" s="10">
        <v>256</v>
      </c>
      <c r="W315" s="10">
        <v>229</v>
      </c>
      <c r="X315" s="10" t="s">
        <v>45</v>
      </c>
      <c r="Y315" s="10"/>
      <c r="Z315" s="10"/>
      <c r="AA315" s="10"/>
      <c r="AB315" s="10"/>
      <c r="AC315" s="10"/>
      <c r="AD315" s="10"/>
      <c r="AE315" s="10"/>
      <c r="AF315" s="10"/>
      <c r="AG315" s="44"/>
      <c r="AH315" s="44"/>
      <c r="AI315" s="46" t="s">
        <v>6054</v>
      </c>
      <c r="AJ315" s="44" t="s">
        <v>6052</v>
      </c>
      <c r="AK315" s="44" t="s">
        <v>6052</v>
      </c>
      <c r="AL315" s="44" t="s">
        <v>6052</v>
      </c>
      <c r="AM315" s="44" t="s">
        <v>6052</v>
      </c>
      <c r="AN315" s="44" t="s">
        <v>32500</v>
      </c>
      <c r="AO315" s="45">
        <v>11</v>
      </c>
      <c r="AP315" s="45">
        <v>1</v>
      </c>
      <c r="AQ315" s="45">
        <v>0</v>
      </c>
      <c r="AR315" s="45">
        <v>0</v>
      </c>
      <c r="AS315" s="45">
        <v>0</v>
      </c>
      <c r="AT315" s="45">
        <v>0</v>
      </c>
      <c r="AU315" s="10" t="s">
        <v>6052</v>
      </c>
      <c r="AV315" s="10" t="s">
        <v>6052</v>
      </c>
      <c r="AW315" s="10" t="s">
        <v>6052</v>
      </c>
      <c r="AX315" s="10" t="s">
        <v>6052</v>
      </c>
      <c r="AY315" s="10" t="s">
        <v>32253</v>
      </c>
      <c r="AZ315" s="44" t="s">
        <v>33117</v>
      </c>
      <c r="BA315" s="44" t="s">
        <v>30891</v>
      </c>
      <c r="BB315" s="44" t="s">
        <v>31303</v>
      </c>
      <c r="BC315" s="44" t="s">
        <v>6415</v>
      </c>
      <c r="BD315" s="44" t="s">
        <v>31707</v>
      </c>
      <c r="BE315" s="11">
        <v>1</v>
      </c>
      <c r="BF315" s="11">
        <v>0</v>
      </c>
      <c r="BG315" s="11">
        <v>0</v>
      </c>
      <c r="BH315" s="10" t="s">
        <v>31954</v>
      </c>
      <c r="BI315" s="11">
        <v>100</v>
      </c>
      <c r="BJ315" s="10" t="s">
        <v>33270</v>
      </c>
      <c r="BK315" s="11">
        <v>100</v>
      </c>
    </row>
    <row r="316" spans="1:63" x14ac:dyDescent="0.75">
      <c r="A316" t="s">
        <v>3226</v>
      </c>
      <c r="B316" t="s">
        <v>104</v>
      </c>
      <c r="C316" t="s">
        <v>814</v>
      </c>
      <c r="D316" t="s">
        <v>815</v>
      </c>
      <c r="E316" s="22" t="s">
        <v>20291</v>
      </c>
      <c r="F316" t="s">
        <v>3233</v>
      </c>
      <c r="G316" s="1" t="str">
        <f>HYPERLINK("https://homd.org/jbrowse/?data=homd_V11.02_phage_1.2%2FGCA_016806985.1&amp;loc=GCA_016806985.1%7CJAESPI010000055.1%3A3015..9800&amp;tracks=prokka,prokka_ncrna,ncbi,ncbi_ncrna,panggolin,cenote,genomad&amp;highlight=","Open JBrowse")</f>
        <v>Open JBrowse</v>
      </c>
      <c r="H316" s="10">
        <v>6015</v>
      </c>
      <c r="I316" s="10">
        <v>6800</v>
      </c>
      <c r="J316" s="10" t="s">
        <v>3234</v>
      </c>
      <c r="K316" s="10" t="s">
        <v>39</v>
      </c>
      <c r="L316" s="10" t="s">
        <v>1866</v>
      </c>
      <c r="M316" s="10" t="s">
        <v>1867</v>
      </c>
      <c r="N316" s="10" t="s">
        <v>42</v>
      </c>
      <c r="O316" s="10">
        <v>3</v>
      </c>
      <c r="P316" s="10" t="s">
        <v>42</v>
      </c>
      <c r="Q316" s="10" t="s">
        <v>43</v>
      </c>
      <c r="R316" s="10" t="s">
        <v>3229</v>
      </c>
      <c r="S316" s="10" t="s">
        <v>1866</v>
      </c>
      <c r="T316" s="10" t="s">
        <v>42</v>
      </c>
      <c r="U316" s="10">
        <v>29</v>
      </c>
      <c r="V316" s="10">
        <v>257</v>
      </c>
      <c r="W316" s="10">
        <v>229</v>
      </c>
      <c r="X316" s="10" t="s">
        <v>45</v>
      </c>
      <c r="Y316" s="10"/>
      <c r="Z316" s="10"/>
      <c r="AA316" s="10"/>
      <c r="AB316" s="10"/>
      <c r="AC316" s="10"/>
      <c r="AD316" s="10"/>
      <c r="AE316" s="10"/>
      <c r="AF316" s="10"/>
      <c r="AG316" s="44"/>
      <c r="AH316" s="44"/>
      <c r="AI316" s="46" t="s">
        <v>6054</v>
      </c>
      <c r="AJ316" s="44" t="s">
        <v>6052</v>
      </c>
      <c r="AK316" s="44" t="s">
        <v>6052</v>
      </c>
      <c r="AL316" s="44" t="s">
        <v>6052</v>
      </c>
      <c r="AM316" s="44" t="s">
        <v>6052</v>
      </c>
      <c r="AN316" s="44" t="s">
        <v>32504</v>
      </c>
      <c r="AO316" s="45">
        <v>11</v>
      </c>
      <c r="AP316" s="45">
        <v>1</v>
      </c>
      <c r="AQ316" s="45">
        <v>0</v>
      </c>
      <c r="AR316" s="45">
        <v>0</v>
      </c>
      <c r="AS316" s="45">
        <v>0</v>
      </c>
      <c r="AT316" s="45">
        <v>0</v>
      </c>
      <c r="AU316" s="10" t="s">
        <v>6052</v>
      </c>
      <c r="AV316" s="10" t="s">
        <v>6052</v>
      </c>
      <c r="AW316" s="10" t="s">
        <v>6052</v>
      </c>
      <c r="AX316" s="10" t="s">
        <v>6052</v>
      </c>
      <c r="AY316" s="10" t="s">
        <v>32253</v>
      </c>
      <c r="AZ316" s="44" t="s">
        <v>33117</v>
      </c>
      <c r="BA316" s="44" t="s">
        <v>30892</v>
      </c>
      <c r="BB316" s="44" t="s">
        <v>31305</v>
      </c>
      <c r="BC316" s="44" t="s">
        <v>6415</v>
      </c>
      <c r="BD316" s="44" t="s">
        <v>31707</v>
      </c>
      <c r="BE316" s="11">
        <v>1</v>
      </c>
      <c r="BF316" s="11">
        <v>0</v>
      </c>
      <c r="BG316" s="11">
        <v>0</v>
      </c>
      <c r="BH316" s="10" t="s">
        <v>31952</v>
      </c>
      <c r="BI316" s="11">
        <v>100</v>
      </c>
      <c r="BJ316" s="10" t="s">
        <v>33269</v>
      </c>
      <c r="BK316" s="11">
        <v>100</v>
      </c>
    </row>
    <row r="317" spans="1:63" x14ac:dyDescent="0.75">
      <c r="A317" t="s">
        <v>3247</v>
      </c>
      <c r="B317" t="s">
        <v>104</v>
      </c>
      <c r="C317" t="s">
        <v>814</v>
      </c>
      <c r="D317" t="s">
        <v>815</v>
      </c>
      <c r="E317" s="22" t="s">
        <v>20295</v>
      </c>
      <c r="F317" t="s">
        <v>3252</v>
      </c>
      <c r="G317" s="1" t="str">
        <f>HYPERLINK("https://homd.org/jbrowse/?data=homd_V11.02_phage_1.2%2FGCA_016807025.1&amp;loc=GCA_016807025.1%7CJAEUAH010000004.1%3A3993..10775&amp;tracks=prokka,prokka_ncrna,ncbi,ncbi_ncrna,panggolin,cenote,genomad&amp;highlight=","Open JBrowse")</f>
        <v>Open JBrowse</v>
      </c>
      <c r="H317" s="10">
        <v>6993</v>
      </c>
      <c r="I317" s="10">
        <v>7775</v>
      </c>
      <c r="J317" s="10" t="s">
        <v>3253</v>
      </c>
      <c r="K317" s="10" t="s">
        <v>39</v>
      </c>
      <c r="L317" s="10" t="s">
        <v>818</v>
      </c>
      <c r="M317" s="10" t="s">
        <v>819</v>
      </c>
      <c r="N317" s="10" t="s">
        <v>42</v>
      </c>
      <c r="O317" s="10">
        <v>3</v>
      </c>
      <c r="P317" s="10" t="s">
        <v>42</v>
      </c>
      <c r="Q317" s="10" t="s">
        <v>43</v>
      </c>
      <c r="R317" s="10" t="s">
        <v>3250</v>
      </c>
      <c r="S317" s="10" t="s">
        <v>818</v>
      </c>
      <c r="T317" s="10" t="s">
        <v>42</v>
      </c>
      <c r="U317" s="10">
        <v>28</v>
      </c>
      <c r="V317" s="10">
        <v>256</v>
      </c>
      <c r="W317" s="10">
        <v>229</v>
      </c>
      <c r="X317" s="10" t="s">
        <v>45</v>
      </c>
      <c r="Y317" s="10"/>
      <c r="Z317" s="10"/>
      <c r="AA317" s="10"/>
      <c r="AB317" s="10"/>
      <c r="AC317" s="10"/>
      <c r="AD317" s="10"/>
      <c r="AE317" s="10"/>
      <c r="AF317" s="10"/>
      <c r="AG317" s="44"/>
      <c r="AH317" s="44"/>
      <c r="AI317" s="46" t="s">
        <v>6054</v>
      </c>
      <c r="AJ317" s="44" t="s">
        <v>6052</v>
      </c>
      <c r="AK317" s="44" t="s">
        <v>6052</v>
      </c>
      <c r="AL317" s="44" t="s">
        <v>6052</v>
      </c>
      <c r="AM317" s="44" t="s">
        <v>6052</v>
      </c>
      <c r="AN317" s="44" t="s">
        <v>32514</v>
      </c>
      <c r="AO317" s="45">
        <v>11</v>
      </c>
      <c r="AP317" s="45">
        <v>1</v>
      </c>
      <c r="AQ317" s="45">
        <v>0</v>
      </c>
      <c r="AR317" s="45">
        <v>0</v>
      </c>
      <c r="AS317" s="45">
        <v>0</v>
      </c>
      <c r="AT317" s="45">
        <v>0</v>
      </c>
      <c r="AU317" s="10" t="s">
        <v>6052</v>
      </c>
      <c r="AV317" s="10" t="s">
        <v>6052</v>
      </c>
      <c r="AW317" s="10" t="s">
        <v>6052</v>
      </c>
      <c r="AX317" s="10" t="s">
        <v>6052</v>
      </c>
      <c r="AY317" s="10" t="s">
        <v>32253</v>
      </c>
      <c r="AZ317" s="44" t="s">
        <v>33117</v>
      </c>
      <c r="BA317" s="44" t="s">
        <v>30894</v>
      </c>
      <c r="BB317" s="44" t="s">
        <v>31311</v>
      </c>
      <c r="BC317" s="44" t="s">
        <v>6415</v>
      </c>
      <c r="BD317" s="44" t="s">
        <v>31707</v>
      </c>
      <c r="BE317" s="11">
        <v>1</v>
      </c>
      <c r="BF317" s="11">
        <v>0</v>
      </c>
      <c r="BG317" s="11">
        <v>0</v>
      </c>
      <c r="BH317" s="10" t="s">
        <v>31915</v>
      </c>
      <c r="BI317" s="11">
        <v>100</v>
      </c>
      <c r="BJ317" s="10" t="s">
        <v>33275</v>
      </c>
      <c r="BK317" s="11">
        <v>100</v>
      </c>
    </row>
    <row r="318" spans="1:63" x14ac:dyDescent="0.75">
      <c r="A318" t="s">
        <v>3247</v>
      </c>
      <c r="B318" t="s">
        <v>104</v>
      </c>
      <c r="C318" t="s">
        <v>814</v>
      </c>
      <c r="D318" t="s">
        <v>815</v>
      </c>
      <c r="E318" s="22" t="s">
        <v>20295</v>
      </c>
      <c r="F318" t="s">
        <v>3248</v>
      </c>
      <c r="G318" s="1" t="str">
        <f>HYPERLINK("https://homd.org/jbrowse/?data=homd_V11.02_phage_1.2%2FGCA_016807025.1&amp;loc=GCA_016807025.1%7CJAEUAH010000001.1%3A44129..50950&amp;tracks=prokka,prokka_ncrna,ncbi,ncbi_ncrna,panggolin,cenote,genomad&amp;highlight=","Open JBrowse")</f>
        <v>Open JBrowse</v>
      </c>
      <c r="H318" s="10">
        <v>47129</v>
      </c>
      <c r="I318" s="10">
        <v>47950</v>
      </c>
      <c r="J318" s="10" t="s">
        <v>3249</v>
      </c>
      <c r="K318" s="10" t="s">
        <v>39</v>
      </c>
      <c r="L318" s="10" t="s">
        <v>343</v>
      </c>
      <c r="M318" s="10" t="s">
        <v>1833</v>
      </c>
      <c r="N318" s="10" t="s">
        <v>42</v>
      </c>
      <c r="O318" s="10">
        <v>3</v>
      </c>
      <c r="P318" s="10" t="s">
        <v>42</v>
      </c>
      <c r="Q318" s="10" t="s">
        <v>43</v>
      </c>
      <c r="R318" s="10" t="s">
        <v>3250</v>
      </c>
      <c r="S318" s="10" t="s">
        <v>343</v>
      </c>
      <c r="T318" s="10" t="s">
        <v>42</v>
      </c>
      <c r="U318" s="10">
        <v>38</v>
      </c>
      <c r="V318" s="10">
        <v>270</v>
      </c>
      <c r="W318" s="10">
        <v>233</v>
      </c>
      <c r="X318" s="10" t="s">
        <v>45</v>
      </c>
      <c r="Y318" s="10" t="s">
        <v>3251</v>
      </c>
      <c r="Z318" s="10" t="s">
        <v>368</v>
      </c>
      <c r="AA318" s="10" t="s">
        <v>825</v>
      </c>
      <c r="AB318" s="10"/>
      <c r="AC318" s="10"/>
      <c r="AD318" s="10"/>
      <c r="AE318" s="10"/>
      <c r="AF318" s="10"/>
      <c r="AG318" s="44"/>
      <c r="AH318" s="44"/>
      <c r="AI318" s="44" t="s">
        <v>6052</v>
      </c>
      <c r="AJ318" s="44" t="s">
        <v>6052</v>
      </c>
      <c r="AK318" s="44" t="s">
        <v>6052</v>
      </c>
      <c r="AL318" s="44" t="s">
        <v>6052</v>
      </c>
      <c r="AM318" s="44" t="s">
        <v>6052</v>
      </c>
      <c r="AN318" s="44" t="s">
        <v>32513</v>
      </c>
      <c r="AO318" s="45">
        <v>11</v>
      </c>
      <c r="AP318" s="45">
        <v>1</v>
      </c>
      <c r="AQ318" s="45">
        <v>0</v>
      </c>
      <c r="AR318" s="45">
        <v>0</v>
      </c>
      <c r="AS318" s="45">
        <v>0</v>
      </c>
      <c r="AT318" s="45">
        <v>0</v>
      </c>
      <c r="AU318" s="10" t="s">
        <v>6052</v>
      </c>
      <c r="AV318" s="10" t="s">
        <v>6052</v>
      </c>
      <c r="AW318" s="10" t="s">
        <v>6052</v>
      </c>
      <c r="AX318" s="10" t="s">
        <v>6052</v>
      </c>
      <c r="AY318" s="10" t="s">
        <v>32253</v>
      </c>
      <c r="AZ318" s="44" t="s">
        <v>33116</v>
      </c>
      <c r="BA318" s="44" t="s">
        <v>30894</v>
      </c>
      <c r="BB318" s="44" t="s">
        <v>31310</v>
      </c>
      <c r="BC318" s="44" t="s">
        <v>6415</v>
      </c>
      <c r="BD318" s="44" t="s">
        <v>31707</v>
      </c>
      <c r="BE318" s="11">
        <v>1</v>
      </c>
      <c r="BF318" s="11">
        <v>0</v>
      </c>
      <c r="BG318" s="11">
        <v>0</v>
      </c>
      <c r="BH318" s="10" t="s">
        <v>31901</v>
      </c>
      <c r="BI318" s="11">
        <v>100</v>
      </c>
      <c r="BJ318" s="10" t="s">
        <v>33274</v>
      </c>
      <c r="BK318" s="11">
        <v>100</v>
      </c>
    </row>
    <row r="319" spans="1:63" x14ac:dyDescent="0.75">
      <c r="A319" t="s">
        <v>3126</v>
      </c>
      <c r="B319" t="s">
        <v>104</v>
      </c>
      <c r="C319" t="s">
        <v>814</v>
      </c>
      <c r="D319" t="s">
        <v>815</v>
      </c>
      <c r="E319" s="22" t="s">
        <v>20006</v>
      </c>
      <c r="F319" t="s">
        <v>3136</v>
      </c>
      <c r="G319" s="1" t="str">
        <f>HYPERLINK("https://homd.org/jbrowse/?data=homd_V11.02_phage_1.2%2FGCA_016126015.1&amp;loc=GCA_016126015.1%7CJAEFDB010000003.1%3A57257..64078&amp;tracks=prokka,prokka_ncrna,ncbi,ncbi_ncrna,panggolin,cenote,genomad&amp;highlight=","Open JBrowse")</f>
        <v>Open JBrowse</v>
      </c>
      <c r="H319" s="10">
        <v>60257</v>
      </c>
      <c r="I319" s="10">
        <v>61078</v>
      </c>
      <c r="J319" s="10" t="s">
        <v>3137</v>
      </c>
      <c r="K319" s="10" t="s">
        <v>39</v>
      </c>
      <c r="L319" s="10" t="s">
        <v>343</v>
      </c>
      <c r="M319" s="10" t="s">
        <v>344</v>
      </c>
      <c r="N319" s="10" t="s">
        <v>42</v>
      </c>
      <c r="O319" s="10">
        <v>3</v>
      </c>
      <c r="P319" s="10" t="s">
        <v>42</v>
      </c>
      <c r="Q319" s="10" t="s">
        <v>43</v>
      </c>
      <c r="R319" s="10" t="s">
        <v>3129</v>
      </c>
      <c r="S319" s="10" t="s">
        <v>343</v>
      </c>
      <c r="T319" s="10" t="s">
        <v>42</v>
      </c>
      <c r="U319" s="10">
        <v>38</v>
      </c>
      <c r="V319" s="10">
        <v>270</v>
      </c>
      <c r="W319" s="10">
        <v>233</v>
      </c>
      <c r="X319" s="10" t="s">
        <v>45</v>
      </c>
      <c r="Y319" s="10" t="s">
        <v>3138</v>
      </c>
      <c r="Z319" s="10" t="s">
        <v>458</v>
      </c>
      <c r="AA319" s="10" t="s">
        <v>3139</v>
      </c>
      <c r="AB319" s="10"/>
      <c r="AC319" s="10"/>
      <c r="AD319" s="10"/>
      <c r="AE319" s="10"/>
      <c r="AF319" s="10"/>
      <c r="AG319" s="44"/>
      <c r="AH319" s="44"/>
      <c r="AI319" s="44" t="s">
        <v>6052</v>
      </c>
      <c r="AJ319" s="44" t="s">
        <v>6052</v>
      </c>
      <c r="AK319" s="44" t="s">
        <v>6052</v>
      </c>
      <c r="AL319" s="44" t="s">
        <v>6052</v>
      </c>
      <c r="AM319" s="44" t="s">
        <v>6052</v>
      </c>
      <c r="AN319" s="44" t="s">
        <v>32988</v>
      </c>
      <c r="AO319" s="45">
        <v>11</v>
      </c>
      <c r="AP319" s="45">
        <v>1</v>
      </c>
      <c r="AQ319" s="45">
        <v>0</v>
      </c>
      <c r="AR319" s="45">
        <v>0</v>
      </c>
      <c r="AS319" s="45">
        <v>0</v>
      </c>
      <c r="AT319" s="45">
        <v>0</v>
      </c>
      <c r="AU319" s="10" t="s">
        <v>6052</v>
      </c>
      <c r="AV319" s="10" t="s">
        <v>6052</v>
      </c>
      <c r="AW319" s="10" t="s">
        <v>6052</v>
      </c>
      <c r="AX319" s="10" t="s">
        <v>6052</v>
      </c>
      <c r="AY319" s="10" t="s">
        <v>32253</v>
      </c>
      <c r="AZ319" s="44" t="s">
        <v>33116</v>
      </c>
      <c r="BA319" s="44" t="s">
        <v>31100</v>
      </c>
      <c r="BB319" s="44" t="s">
        <v>31614</v>
      </c>
      <c r="BC319" s="44" t="s">
        <v>6415</v>
      </c>
      <c r="BD319" s="44" t="s">
        <v>31707</v>
      </c>
      <c r="BE319" s="11">
        <v>1</v>
      </c>
      <c r="BF319" s="11">
        <v>0</v>
      </c>
      <c r="BG319" s="11">
        <v>0</v>
      </c>
      <c r="BH319" s="10" t="s">
        <v>31918</v>
      </c>
      <c r="BI319" s="11">
        <v>100</v>
      </c>
      <c r="BJ319" s="10" t="s">
        <v>33264</v>
      </c>
      <c r="BK319" s="11">
        <v>100</v>
      </c>
    </row>
    <row r="320" spans="1:63" x14ac:dyDescent="0.75">
      <c r="A320" t="s">
        <v>3126</v>
      </c>
      <c r="B320" t="s">
        <v>104</v>
      </c>
      <c r="C320" t="s">
        <v>814</v>
      </c>
      <c r="D320" t="s">
        <v>815</v>
      </c>
      <c r="E320" s="22" t="s">
        <v>20006</v>
      </c>
      <c r="F320" t="s">
        <v>3127</v>
      </c>
      <c r="G320" s="1" t="str">
        <f>HYPERLINK("https://homd.org/jbrowse/?data=homd_V11.02_phage_1.2%2FGCA_016126015.1&amp;loc=GCA_016126015.1%7CJAEFDB010000002.1%3A137705..144487&amp;tracks=prokka,prokka_ncrna,ncbi,ncbi_ncrna,panggolin,cenote,genomad&amp;highlight=","Open JBrowse")</f>
        <v>Open JBrowse</v>
      </c>
      <c r="H320" s="10">
        <v>140705</v>
      </c>
      <c r="I320" s="10">
        <v>141487</v>
      </c>
      <c r="J320" s="10" t="s">
        <v>3128</v>
      </c>
      <c r="K320" s="10" t="s">
        <v>39</v>
      </c>
      <c r="L320" s="10" t="s">
        <v>818</v>
      </c>
      <c r="M320" s="10" t="s">
        <v>819</v>
      </c>
      <c r="N320" s="10" t="s">
        <v>42</v>
      </c>
      <c r="O320" s="10">
        <v>3</v>
      </c>
      <c r="P320" s="10" t="s">
        <v>42</v>
      </c>
      <c r="Q320" s="10" t="s">
        <v>43</v>
      </c>
      <c r="R320" s="10" t="s">
        <v>3129</v>
      </c>
      <c r="S320" s="10" t="s">
        <v>818</v>
      </c>
      <c r="T320" s="10" t="s">
        <v>42</v>
      </c>
      <c r="U320" s="10">
        <v>28</v>
      </c>
      <c r="V320" s="10">
        <v>256</v>
      </c>
      <c r="W320" s="10">
        <v>229</v>
      </c>
      <c r="X320" s="10" t="s">
        <v>45</v>
      </c>
      <c r="Y320" s="10" t="s">
        <v>3130</v>
      </c>
      <c r="Z320" s="10" t="s">
        <v>1948</v>
      </c>
      <c r="AA320" s="10" t="s">
        <v>3131</v>
      </c>
      <c r="AB320" s="10"/>
      <c r="AC320" s="10"/>
      <c r="AD320" s="10"/>
      <c r="AE320" s="10"/>
      <c r="AF320" s="10"/>
      <c r="AG320" s="44"/>
      <c r="AH320" s="44"/>
      <c r="AI320" s="44" t="s">
        <v>6052</v>
      </c>
      <c r="AJ320" s="44" t="s">
        <v>6052</v>
      </c>
      <c r="AK320" s="44" t="s">
        <v>6052</v>
      </c>
      <c r="AL320" s="44" t="s">
        <v>6052</v>
      </c>
      <c r="AM320" s="44" t="s">
        <v>6052</v>
      </c>
      <c r="AN320" s="44" t="s">
        <v>32987</v>
      </c>
      <c r="AO320" s="45">
        <v>11</v>
      </c>
      <c r="AP320" s="45">
        <v>1</v>
      </c>
      <c r="AQ320" s="45">
        <v>0</v>
      </c>
      <c r="AR320" s="45">
        <v>0</v>
      </c>
      <c r="AS320" s="45">
        <v>0</v>
      </c>
      <c r="AT320" s="45">
        <v>0</v>
      </c>
      <c r="AU320" s="10" t="s">
        <v>6052</v>
      </c>
      <c r="AV320" s="10" t="s">
        <v>6052</v>
      </c>
      <c r="AW320" s="10" t="s">
        <v>6052</v>
      </c>
      <c r="AX320" s="10" t="s">
        <v>6052</v>
      </c>
      <c r="AY320" s="10" t="s">
        <v>32253</v>
      </c>
      <c r="AZ320" s="44" t="s">
        <v>33117</v>
      </c>
      <c r="BA320" s="44" t="s">
        <v>31100</v>
      </c>
      <c r="BB320" s="44" t="s">
        <v>31613</v>
      </c>
      <c r="BC320" s="44" t="s">
        <v>6415</v>
      </c>
      <c r="BD320" s="44" t="s">
        <v>31707</v>
      </c>
      <c r="BE320" s="11">
        <v>1</v>
      </c>
      <c r="BF320" s="11">
        <v>0</v>
      </c>
      <c r="BG320" s="11">
        <v>0</v>
      </c>
      <c r="BH320" s="10" t="s">
        <v>31942</v>
      </c>
      <c r="BI320" s="11">
        <v>100</v>
      </c>
      <c r="BJ320" s="10" t="s">
        <v>33263</v>
      </c>
      <c r="BK320" s="11">
        <v>100</v>
      </c>
    </row>
    <row r="321" spans="1:63" x14ac:dyDescent="0.75">
      <c r="A321" t="s">
        <v>3140</v>
      </c>
      <c r="B321" t="s">
        <v>104</v>
      </c>
      <c r="C321" t="s">
        <v>814</v>
      </c>
      <c r="D321" t="s">
        <v>815</v>
      </c>
      <c r="E321" s="22">
        <v>51621</v>
      </c>
      <c r="F321" t="s">
        <v>3141</v>
      </c>
      <c r="G321" s="1" t="str">
        <f>HYPERLINK("https://homd.org/jbrowse/?data=homd_V11.02_phage_1.2%2FGCA_016126035.1&amp;loc=GCA_016126035.1%7CJAEFDC010000001.1%3A312919..319701&amp;tracks=prokka,prokka_ncrna,ncbi,ncbi_ncrna,panggolin,cenote,genomad&amp;highlight=","Open JBrowse")</f>
        <v>Open JBrowse</v>
      </c>
      <c r="H321" s="10">
        <v>315919</v>
      </c>
      <c r="I321" s="10">
        <v>316701</v>
      </c>
      <c r="J321" s="10" t="s">
        <v>3151</v>
      </c>
      <c r="K321" s="10" t="s">
        <v>39</v>
      </c>
      <c r="L321" s="10" t="s">
        <v>818</v>
      </c>
      <c r="M321" s="10" t="s">
        <v>819</v>
      </c>
      <c r="N321" s="10" t="s">
        <v>42</v>
      </c>
      <c r="O321" s="10">
        <v>3</v>
      </c>
      <c r="P321" s="10" t="s">
        <v>42</v>
      </c>
      <c r="Q321" s="10" t="s">
        <v>43</v>
      </c>
      <c r="R321" s="10" t="s">
        <v>3143</v>
      </c>
      <c r="S321" s="10" t="s">
        <v>818</v>
      </c>
      <c r="T321" s="10" t="s">
        <v>42</v>
      </c>
      <c r="U321" s="10">
        <v>28</v>
      </c>
      <c r="V321" s="10">
        <v>256</v>
      </c>
      <c r="W321" s="10">
        <v>229</v>
      </c>
      <c r="X321" s="10" t="s">
        <v>45</v>
      </c>
      <c r="Y321" s="10"/>
      <c r="Z321" s="10"/>
      <c r="AA321" s="10"/>
      <c r="AB321" s="10"/>
      <c r="AC321" s="10"/>
      <c r="AD321" s="10"/>
      <c r="AE321" s="10"/>
      <c r="AF321" s="10"/>
      <c r="AG321" s="44"/>
      <c r="AH321" s="44"/>
      <c r="AI321" s="46" t="s">
        <v>6054</v>
      </c>
      <c r="AJ321" s="44" t="s">
        <v>6052</v>
      </c>
      <c r="AK321" s="44" t="s">
        <v>6052</v>
      </c>
      <c r="AL321" s="44" t="s">
        <v>6052</v>
      </c>
      <c r="AM321" s="44" t="s">
        <v>6052</v>
      </c>
      <c r="AN321" s="44" t="s">
        <v>32267</v>
      </c>
      <c r="AO321" s="45">
        <v>11</v>
      </c>
      <c r="AP321" s="45">
        <v>1</v>
      </c>
      <c r="AQ321" s="45">
        <v>0</v>
      </c>
      <c r="AR321" s="45">
        <v>0</v>
      </c>
      <c r="AS321" s="45">
        <v>0</v>
      </c>
      <c r="AT321" s="45">
        <v>0</v>
      </c>
      <c r="AU321" s="10" t="s">
        <v>6052</v>
      </c>
      <c r="AV321" s="10" t="s">
        <v>6052</v>
      </c>
      <c r="AW321" s="10" t="s">
        <v>6052</v>
      </c>
      <c r="AX321" s="10" t="s">
        <v>6052</v>
      </c>
      <c r="AY321" s="10" t="s">
        <v>32253</v>
      </c>
      <c r="AZ321" s="44" t="s">
        <v>33117</v>
      </c>
      <c r="BA321" s="44" t="s">
        <v>30847</v>
      </c>
      <c r="BB321" s="44" t="s">
        <v>31165</v>
      </c>
      <c r="BC321" s="44" t="s">
        <v>6415</v>
      </c>
      <c r="BD321" s="44" t="s">
        <v>31707</v>
      </c>
      <c r="BE321" s="11">
        <v>1</v>
      </c>
      <c r="BF321" s="11">
        <v>0</v>
      </c>
      <c r="BG321" s="11">
        <v>0</v>
      </c>
      <c r="BH321" s="10" t="s">
        <v>31968</v>
      </c>
      <c r="BI321" s="11">
        <v>100</v>
      </c>
      <c r="BJ321" s="10" t="s">
        <v>33266</v>
      </c>
      <c r="BK321" s="11">
        <v>100</v>
      </c>
    </row>
    <row r="322" spans="1:63" x14ac:dyDescent="0.75">
      <c r="A322" t="s">
        <v>3140</v>
      </c>
      <c r="B322" t="s">
        <v>104</v>
      </c>
      <c r="C322" t="s">
        <v>814</v>
      </c>
      <c r="D322" t="s">
        <v>815</v>
      </c>
      <c r="E322" s="22">
        <v>51621</v>
      </c>
      <c r="F322" t="s">
        <v>3141</v>
      </c>
      <c r="G322" s="1" t="str">
        <f>HYPERLINK("https://homd.org/jbrowse/?data=homd_V11.02_phage_1.2%2FGCA_016126035.1&amp;loc=GCA_016126035.1%7CJAEFDC010000001.1%3A12613..19425&amp;tracks=prokka,prokka_ncrna,ncbi,ncbi_ncrna,panggolin,cenote,genomad&amp;highlight=","Open JBrowse")</f>
        <v>Open JBrowse</v>
      </c>
      <c r="H322" s="10">
        <v>15613</v>
      </c>
      <c r="I322" s="10">
        <v>16425</v>
      </c>
      <c r="J322" s="10" t="s">
        <v>3146</v>
      </c>
      <c r="K322" s="10" t="s">
        <v>39</v>
      </c>
      <c r="L322" s="10" t="s">
        <v>3147</v>
      </c>
      <c r="M322" s="10" t="s">
        <v>3148</v>
      </c>
      <c r="N322" s="10" t="s">
        <v>42</v>
      </c>
      <c r="O322" s="10">
        <v>3</v>
      </c>
      <c r="P322" s="10" t="s">
        <v>42</v>
      </c>
      <c r="Q322" s="10" t="s">
        <v>43</v>
      </c>
      <c r="R322" s="10" t="s">
        <v>3143</v>
      </c>
      <c r="S322" s="10" t="s">
        <v>3147</v>
      </c>
      <c r="T322" s="10" t="s">
        <v>42</v>
      </c>
      <c r="U322" s="10">
        <v>36</v>
      </c>
      <c r="V322" s="10">
        <v>268</v>
      </c>
      <c r="W322" s="10">
        <v>233</v>
      </c>
      <c r="X322" s="10" t="s">
        <v>45</v>
      </c>
      <c r="Y322" s="10" t="s">
        <v>3149</v>
      </c>
      <c r="Z322" s="10" t="s">
        <v>368</v>
      </c>
      <c r="AA322" s="10" t="s">
        <v>3150</v>
      </c>
      <c r="AB322" s="10"/>
      <c r="AC322" s="10"/>
      <c r="AD322" s="10"/>
      <c r="AE322" s="10"/>
      <c r="AF322" s="10"/>
      <c r="AG322" s="44"/>
      <c r="AH322" s="44"/>
      <c r="AI322" s="44" t="s">
        <v>6052</v>
      </c>
      <c r="AJ322" s="44" t="s">
        <v>6052</v>
      </c>
      <c r="AK322" s="44" t="s">
        <v>6052</v>
      </c>
      <c r="AL322" s="44" t="s">
        <v>6052</v>
      </c>
      <c r="AM322" s="44" t="s">
        <v>6052</v>
      </c>
      <c r="AN322" s="44" t="s">
        <v>32266</v>
      </c>
      <c r="AO322" s="45">
        <v>11</v>
      </c>
      <c r="AP322" s="45">
        <v>1</v>
      </c>
      <c r="AQ322" s="45">
        <v>0</v>
      </c>
      <c r="AR322" s="45">
        <v>0</v>
      </c>
      <c r="AS322" s="45">
        <v>0</v>
      </c>
      <c r="AT322" s="45">
        <v>0</v>
      </c>
      <c r="AU322" s="10" t="s">
        <v>6052</v>
      </c>
      <c r="AV322" s="10" t="s">
        <v>6052</v>
      </c>
      <c r="AW322" s="10" t="s">
        <v>6052</v>
      </c>
      <c r="AX322" s="10" t="s">
        <v>6052</v>
      </c>
      <c r="AY322" s="10" t="s">
        <v>32253</v>
      </c>
      <c r="AZ322" s="44" t="s">
        <v>33116</v>
      </c>
      <c r="BA322" s="44" t="s">
        <v>30847</v>
      </c>
      <c r="BB322" s="44" t="s">
        <v>31164</v>
      </c>
      <c r="BC322" s="44" t="s">
        <v>6415</v>
      </c>
      <c r="BD322" s="44" t="s">
        <v>31707</v>
      </c>
      <c r="BE322" s="11">
        <v>1</v>
      </c>
      <c r="BF322" s="11">
        <v>0</v>
      </c>
      <c r="BG322" s="11">
        <v>0</v>
      </c>
      <c r="BH322" s="10" t="s">
        <v>31863</v>
      </c>
      <c r="BI322" s="11">
        <v>100</v>
      </c>
      <c r="BJ322" s="10" t="s">
        <v>33265</v>
      </c>
      <c r="BK322" s="11">
        <v>100</v>
      </c>
    </row>
    <row r="323" spans="1:63" x14ac:dyDescent="0.75">
      <c r="A323" t="s">
        <v>2972</v>
      </c>
      <c r="B323" t="s">
        <v>104</v>
      </c>
      <c r="C323" t="s">
        <v>153</v>
      </c>
      <c r="D323" t="s">
        <v>154</v>
      </c>
      <c r="E323" s="22" t="s">
        <v>19343</v>
      </c>
      <c r="F323" t="s">
        <v>2973</v>
      </c>
      <c r="G323" s="1" t="str">
        <f>HYPERLINK("https://homd.org/jbrowse/?data=homd_V11.02_phage_1.2%2FGCA_015260265.1&amp;loc=GCA_015260265.1%7CJABZWZ010000007.1%3A10735..17739&amp;tracks=prokka,prokka_ncrna,ncbi,ncbi_ncrna,panggolin,cenote,genomad&amp;highlight=","Open JBrowse")</f>
        <v>Open JBrowse</v>
      </c>
      <c r="H323" s="10">
        <v>13735</v>
      </c>
      <c r="I323" s="10">
        <v>14739</v>
      </c>
      <c r="J323" s="10" t="s">
        <v>2974</v>
      </c>
      <c r="K323" s="10" t="s">
        <v>59</v>
      </c>
      <c r="L323" s="10" t="s">
        <v>157</v>
      </c>
      <c r="M323" s="10" t="s">
        <v>158</v>
      </c>
      <c r="N323" s="10" t="s">
        <v>42</v>
      </c>
      <c r="O323" s="10">
        <v>3</v>
      </c>
      <c r="P323" s="10" t="s">
        <v>42</v>
      </c>
      <c r="Q323" s="10" t="s">
        <v>59</v>
      </c>
      <c r="R323" s="10" t="s">
        <v>2975</v>
      </c>
      <c r="S323" s="10" t="s">
        <v>157</v>
      </c>
      <c r="T323" s="10" t="s">
        <v>42</v>
      </c>
      <c r="U323" s="10">
        <v>53</v>
      </c>
      <c r="V323" s="10">
        <v>279</v>
      </c>
      <c r="W323" s="10">
        <v>227</v>
      </c>
      <c r="X323" s="10" t="s">
        <v>160</v>
      </c>
      <c r="Y323" s="10" t="s">
        <v>2976</v>
      </c>
      <c r="Z323" s="10" t="s">
        <v>126</v>
      </c>
      <c r="AA323" s="10" t="s">
        <v>2977</v>
      </c>
      <c r="AB323" s="10"/>
      <c r="AC323" s="10"/>
      <c r="AD323" s="10"/>
      <c r="AE323" s="10"/>
      <c r="AF323" s="10"/>
      <c r="AG323" s="44"/>
      <c r="AH323" s="44"/>
      <c r="AI323" s="44" t="s">
        <v>6052</v>
      </c>
      <c r="AJ323" s="44" t="s">
        <v>6052</v>
      </c>
      <c r="AK323" s="44" t="s">
        <v>6052</v>
      </c>
      <c r="AL323" s="44" t="s">
        <v>6052</v>
      </c>
      <c r="AM323" s="44" t="s">
        <v>6052</v>
      </c>
      <c r="AN323" s="44" t="s">
        <v>32863</v>
      </c>
      <c r="AO323" s="45">
        <v>11</v>
      </c>
      <c r="AP323" s="45">
        <v>1</v>
      </c>
      <c r="AQ323" s="45">
        <v>0</v>
      </c>
      <c r="AR323" s="45">
        <v>0</v>
      </c>
      <c r="AS323" s="45">
        <v>0</v>
      </c>
      <c r="AT323" s="45">
        <v>0</v>
      </c>
      <c r="AU323" s="10" t="s">
        <v>6052</v>
      </c>
      <c r="AV323" s="10" t="s">
        <v>6052</v>
      </c>
      <c r="AW323" s="10" t="s">
        <v>6052</v>
      </c>
      <c r="AX323" s="10" t="s">
        <v>6052</v>
      </c>
      <c r="AY323" s="10" t="s">
        <v>32253</v>
      </c>
      <c r="AZ323" s="44" t="s">
        <v>33117</v>
      </c>
      <c r="BA323" s="44" t="s">
        <v>31055</v>
      </c>
      <c r="BB323" s="44" t="s">
        <v>31539</v>
      </c>
      <c r="BC323" s="44" t="s">
        <v>6594</v>
      </c>
      <c r="BD323" s="44" t="s">
        <v>31708</v>
      </c>
      <c r="BE323" s="11">
        <v>1</v>
      </c>
      <c r="BF323" s="11">
        <v>0</v>
      </c>
      <c r="BG323" s="11">
        <v>0</v>
      </c>
      <c r="BH323" s="10" t="s">
        <v>32089</v>
      </c>
      <c r="BI323" s="11">
        <v>100</v>
      </c>
      <c r="BJ323" s="10" t="s">
        <v>33396</v>
      </c>
      <c r="BK323" s="11">
        <v>100</v>
      </c>
    </row>
    <row r="324" spans="1:63" x14ac:dyDescent="0.75">
      <c r="A324" t="s">
        <v>2978</v>
      </c>
      <c r="B324" t="s">
        <v>104</v>
      </c>
      <c r="C324" t="s">
        <v>153</v>
      </c>
      <c r="D324" t="s">
        <v>154</v>
      </c>
      <c r="E324" s="22" t="s">
        <v>19345</v>
      </c>
      <c r="F324" t="s">
        <v>2979</v>
      </c>
      <c r="G324" s="1" t="str">
        <f>HYPERLINK("https://homd.org/jbrowse/?data=homd_V11.02_phage_1.2%2FGCA_015260355.1&amp;loc=GCA_015260355.1%7CJABZWU010000008.1%3A33910..40914&amp;tracks=prokka,prokka_ncrna,ncbi,ncbi_ncrna,panggolin,cenote,genomad&amp;highlight=","Open JBrowse")</f>
        <v>Open JBrowse</v>
      </c>
      <c r="H324" s="10">
        <v>36910</v>
      </c>
      <c r="I324" s="10">
        <v>37914</v>
      </c>
      <c r="J324" s="10" t="s">
        <v>2980</v>
      </c>
      <c r="K324" s="10" t="s">
        <v>59</v>
      </c>
      <c r="L324" s="10" t="s">
        <v>157</v>
      </c>
      <c r="M324" s="10" t="s">
        <v>158</v>
      </c>
      <c r="N324" s="10" t="s">
        <v>42</v>
      </c>
      <c r="O324" s="10">
        <v>3</v>
      </c>
      <c r="P324" s="10" t="s">
        <v>42</v>
      </c>
      <c r="Q324" s="10" t="s">
        <v>59</v>
      </c>
      <c r="R324" s="10" t="s">
        <v>2981</v>
      </c>
      <c r="S324" s="10" t="s">
        <v>157</v>
      </c>
      <c r="T324" s="10" t="s">
        <v>42</v>
      </c>
      <c r="U324" s="10">
        <v>53</v>
      </c>
      <c r="V324" s="10">
        <v>279</v>
      </c>
      <c r="W324" s="10">
        <v>227</v>
      </c>
      <c r="X324" s="10" t="s">
        <v>160</v>
      </c>
      <c r="Y324" s="10" t="s">
        <v>2982</v>
      </c>
      <c r="Z324" s="10" t="s">
        <v>836</v>
      </c>
      <c r="AA324" s="10" t="s">
        <v>2983</v>
      </c>
      <c r="AB324" s="10"/>
      <c r="AC324" s="10"/>
      <c r="AD324" s="10"/>
      <c r="AE324" s="10"/>
      <c r="AF324" s="10"/>
      <c r="AG324" s="44"/>
      <c r="AH324" s="44"/>
      <c r="AI324" s="44" t="s">
        <v>6052</v>
      </c>
      <c r="AJ324" s="44" t="s">
        <v>6052</v>
      </c>
      <c r="AK324" s="44" t="s">
        <v>6052</v>
      </c>
      <c r="AL324" s="44" t="s">
        <v>6052</v>
      </c>
      <c r="AM324" s="44" t="s">
        <v>6052</v>
      </c>
      <c r="AN324" s="44" t="s">
        <v>32855</v>
      </c>
      <c r="AO324" s="45">
        <v>11</v>
      </c>
      <c r="AP324" s="45">
        <v>1</v>
      </c>
      <c r="AQ324" s="45">
        <v>0</v>
      </c>
      <c r="AR324" s="45">
        <v>0</v>
      </c>
      <c r="AS324" s="45">
        <v>0</v>
      </c>
      <c r="AT324" s="45">
        <v>0</v>
      </c>
      <c r="AU324" s="10" t="s">
        <v>6052</v>
      </c>
      <c r="AV324" s="10" t="s">
        <v>6052</v>
      </c>
      <c r="AW324" s="10" t="s">
        <v>6052</v>
      </c>
      <c r="AX324" s="10" t="s">
        <v>6052</v>
      </c>
      <c r="AY324" s="10" t="s">
        <v>32253</v>
      </c>
      <c r="AZ324" s="44" t="s">
        <v>33117</v>
      </c>
      <c r="BA324" s="44" t="s">
        <v>31047</v>
      </c>
      <c r="BB324" s="44" t="s">
        <v>31531</v>
      </c>
      <c r="BC324" s="44" t="s">
        <v>6594</v>
      </c>
      <c r="BD324" s="44" t="s">
        <v>31708</v>
      </c>
      <c r="BE324" s="11">
        <v>1</v>
      </c>
      <c r="BF324" s="11">
        <v>0</v>
      </c>
      <c r="BG324" s="11">
        <v>0</v>
      </c>
      <c r="BH324" s="10" t="s">
        <v>32035</v>
      </c>
      <c r="BI324" s="11">
        <v>100</v>
      </c>
      <c r="BJ324" s="10" t="s">
        <v>33394</v>
      </c>
      <c r="BK324" s="11">
        <v>100</v>
      </c>
    </row>
    <row r="325" spans="1:63" x14ac:dyDescent="0.75">
      <c r="A325" t="s">
        <v>2984</v>
      </c>
      <c r="B325" t="s">
        <v>104</v>
      </c>
      <c r="C325" t="s">
        <v>153</v>
      </c>
      <c r="D325" t="s">
        <v>154</v>
      </c>
      <c r="E325" s="22" t="s">
        <v>19347</v>
      </c>
      <c r="F325" t="s">
        <v>2985</v>
      </c>
      <c r="G325" s="1" t="str">
        <f>HYPERLINK("https://homd.org/jbrowse/?data=homd_V11.02_phage_1.2%2FGCA_015260375.1&amp;loc=GCA_015260375.1%7CJABZWV010000007.1%3A3081..10085&amp;tracks=prokka,prokka_ncrna,ncbi,ncbi_ncrna,panggolin,cenote,genomad&amp;highlight=","Open JBrowse")</f>
        <v>Open JBrowse</v>
      </c>
      <c r="H325" s="10">
        <v>6081</v>
      </c>
      <c r="I325" s="10">
        <v>7085</v>
      </c>
      <c r="J325" s="10" t="s">
        <v>2986</v>
      </c>
      <c r="K325" s="10" t="s">
        <v>59</v>
      </c>
      <c r="L325" s="10" t="s">
        <v>157</v>
      </c>
      <c r="M325" s="10" t="s">
        <v>158</v>
      </c>
      <c r="N325" s="10" t="s">
        <v>42</v>
      </c>
      <c r="O325" s="10">
        <v>3</v>
      </c>
      <c r="P325" s="10" t="s">
        <v>42</v>
      </c>
      <c r="Q325" s="10" t="s">
        <v>59</v>
      </c>
      <c r="R325" s="10" t="s">
        <v>2987</v>
      </c>
      <c r="S325" s="10" t="s">
        <v>157</v>
      </c>
      <c r="T325" s="10" t="s">
        <v>42</v>
      </c>
      <c r="U325" s="10">
        <v>53</v>
      </c>
      <c r="V325" s="10">
        <v>279</v>
      </c>
      <c r="W325" s="10">
        <v>227</v>
      </c>
      <c r="X325" s="10" t="s">
        <v>160</v>
      </c>
      <c r="Y325" s="10" t="s">
        <v>2988</v>
      </c>
      <c r="Z325" s="10" t="s">
        <v>2007</v>
      </c>
      <c r="AA325" s="10" t="s">
        <v>1731</v>
      </c>
      <c r="AB325" s="10" t="s">
        <v>2989</v>
      </c>
      <c r="AC325" s="10" t="s">
        <v>164</v>
      </c>
      <c r="AD325" s="10" t="s">
        <v>51</v>
      </c>
      <c r="AE325" s="10">
        <v>189.89999999999901</v>
      </c>
      <c r="AF325" s="10" t="s">
        <v>165</v>
      </c>
      <c r="AG325" s="44"/>
      <c r="AH325" s="44"/>
      <c r="AI325" s="44" t="s">
        <v>6052</v>
      </c>
      <c r="AJ325" s="44" t="s">
        <v>6052</v>
      </c>
      <c r="AK325" s="44" t="s">
        <v>6052</v>
      </c>
      <c r="AL325" s="44" t="s">
        <v>6052</v>
      </c>
      <c r="AM325" s="44" t="s">
        <v>6052</v>
      </c>
      <c r="AN325" s="44" t="s">
        <v>32856</v>
      </c>
      <c r="AO325" s="45">
        <v>11</v>
      </c>
      <c r="AP325" s="45">
        <v>1</v>
      </c>
      <c r="AQ325" s="45">
        <v>0</v>
      </c>
      <c r="AR325" s="45">
        <v>0</v>
      </c>
      <c r="AS325" s="45">
        <v>0</v>
      </c>
      <c r="AT325" s="45">
        <v>0</v>
      </c>
      <c r="AU325" s="10" t="s">
        <v>6052</v>
      </c>
      <c r="AV325" s="10" t="s">
        <v>6052</v>
      </c>
      <c r="AW325" s="10" t="s">
        <v>6052</v>
      </c>
      <c r="AX325" s="10" t="s">
        <v>6052</v>
      </c>
      <c r="AY325" s="10" t="s">
        <v>32253</v>
      </c>
      <c r="AZ325" s="44" t="s">
        <v>33117</v>
      </c>
      <c r="BA325" s="44" t="s">
        <v>31048</v>
      </c>
      <c r="BB325" s="44" t="s">
        <v>31532</v>
      </c>
      <c r="BC325" s="44" t="s">
        <v>6594</v>
      </c>
      <c r="BD325" s="44" t="s">
        <v>31708</v>
      </c>
      <c r="BE325" s="11">
        <v>1</v>
      </c>
      <c r="BF325" s="11">
        <v>0</v>
      </c>
      <c r="BG325" s="11">
        <v>0</v>
      </c>
      <c r="BH325" s="10" t="s">
        <v>32082</v>
      </c>
      <c r="BI325" s="11">
        <v>100</v>
      </c>
      <c r="BJ325" s="10" t="s">
        <v>33395</v>
      </c>
      <c r="BK325" s="11">
        <v>100</v>
      </c>
    </row>
    <row r="326" spans="1:63" x14ac:dyDescent="0.75">
      <c r="A326" t="s">
        <v>2996</v>
      </c>
      <c r="B326" t="s">
        <v>104</v>
      </c>
      <c r="C326" t="s">
        <v>153</v>
      </c>
      <c r="D326" t="s">
        <v>154</v>
      </c>
      <c r="E326" s="22" t="s">
        <v>19351</v>
      </c>
      <c r="F326" t="s">
        <v>2997</v>
      </c>
      <c r="G326" s="1" t="str">
        <f>HYPERLINK("https://homd.org/jbrowse/?data=homd_V11.02_phage_1.2%2FGCA_015260405.1&amp;loc=GCA_015260405.1%7CJABZWS010000070.1%3A1..6438&amp;tracks=prokka,prokka_ncrna,ncbi,ncbi_ncrna,panggolin,cenote,genomad&amp;highlight=","Open JBrowse")</f>
        <v>Open JBrowse</v>
      </c>
      <c r="H326" s="10">
        <v>2461</v>
      </c>
      <c r="I326" s="10">
        <v>3438</v>
      </c>
      <c r="J326" s="10" t="s">
        <v>2998</v>
      </c>
      <c r="K326" s="10" t="s">
        <v>59</v>
      </c>
      <c r="L326" s="10" t="s">
        <v>563</v>
      </c>
      <c r="M326" s="10" t="s">
        <v>564</v>
      </c>
      <c r="N326" s="10" t="s">
        <v>42</v>
      </c>
      <c r="O326" s="10">
        <v>3</v>
      </c>
      <c r="P326" s="10" t="s">
        <v>42</v>
      </c>
      <c r="Q326" s="10" t="s">
        <v>59</v>
      </c>
      <c r="R326" s="10" t="s">
        <v>2999</v>
      </c>
      <c r="S326" s="10" t="s">
        <v>563</v>
      </c>
      <c r="T326" s="10" t="s">
        <v>42</v>
      </c>
      <c r="U326" s="10">
        <v>44</v>
      </c>
      <c r="V326" s="10">
        <v>270</v>
      </c>
      <c r="W326" s="10">
        <v>227</v>
      </c>
      <c r="X326" s="10" t="s">
        <v>160</v>
      </c>
      <c r="Y326" s="10"/>
      <c r="Z326" s="10"/>
      <c r="AA326" s="10"/>
      <c r="AB326" s="10"/>
      <c r="AC326" s="10"/>
      <c r="AD326" s="10"/>
      <c r="AE326" s="10"/>
      <c r="AF326" s="10"/>
      <c r="AG326" s="44"/>
      <c r="AH326" s="44"/>
      <c r="AI326" s="46" t="s">
        <v>6054</v>
      </c>
      <c r="AJ326" s="44" t="s">
        <v>6052</v>
      </c>
      <c r="AK326" s="44" t="s">
        <v>6052</v>
      </c>
      <c r="AL326" s="44" t="s">
        <v>6052</v>
      </c>
      <c r="AM326" s="44" t="s">
        <v>6052</v>
      </c>
      <c r="AN326" s="44" t="s">
        <v>32852</v>
      </c>
      <c r="AO326" s="45">
        <v>11</v>
      </c>
      <c r="AP326" s="45">
        <v>1</v>
      </c>
      <c r="AQ326" s="45">
        <v>0</v>
      </c>
      <c r="AR326" s="45">
        <v>0</v>
      </c>
      <c r="AS326" s="45">
        <v>0</v>
      </c>
      <c r="AT326" s="45">
        <v>0</v>
      </c>
      <c r="AU326" s="10" t="s">
        <v>6052</v>
      </c>
      <c r="AV326" s="10" t="s">
        <v>6052</v>
      </c>
      <c r="AW326" s="10" t="s">
        <v>6052</v>
      </c>
      <c r="AX326" s="10" t="s">
        <v>6052</v>
      </c>
      <c r="AY326" s="10" t="s">
        <v>32253</v>
      </c>
      <c r="AZ326" s="44" t="s">
        <v>33117</v>
      </c>
      <c r="BA326" s="44" t="s">
        <v>31045</v>
      </c>
      <c r="BB326" s="44" t="s">
        <v>31529</v>
      </c>
      <c r="BC326" s="44" t="s">
        <v>6594</v>
      </c>
      <c r="BD326" s="44" t="s">
        <v>31708</v>
      </c>
      <c r="BE326" s="11">
        <v>1</v>
      </c>
      <c r="BF326" s="11">
        <v>0</v>
      </c>
      <c r="BG326" s="11">
        <v>0</v>
      </c>
      <c r="BH326" s="10" t="s">
        <v>32002</v>
      </c>
      <c r="BI326" s="11">
        <v>100</v>
      </c>
      <c r="BJ326" s="10" t="s">
        <v>33420</v>
      </c>
      <c r="BK326" s="11">
        <v>100</v>
      </c>
    </row>
    <row r="327" spans="1:63" x14ac:dyDescent="0.75">
      <c r="A327" t="s">
        <v>3006</v>
      </c>
      <c r="B327" t="s">
        <v>104</v>
      </c>
      <c r="C327" t="s">
        <v>153</v>
      </c>
      <c r="D327" t="s">
        <v>154</v>
      </c>
      <c r="E327" s="22" t="s">
        <v>19355</v>
      </c>
      <c r="F327" t="s">
        <v>3007</v>
      </c>
      <c r="G327" s="1" t="str">
        <f>HYPERLINK("https://homd.org/jbrowse/?data=homd_V11.02_phage_1.2%2FGCA_015260465.1&amp;loc=GCA_015260465.1%7CJABZWP010000004.1%3A147975..154979&amp;tracks=prokka,prokka_ncrna,ncbi,ncbi_ncrna,panggolin,cenote,genomad&amp;highlight=","Open JBrowse")</f>
        <v>Open JBrowse</v>
      </c>
      <c r="H327" s="10">
        <v>150975</v>
      </c>
      <c r="I327" s="10">
        <v>151979</v>
      </c>
      <c r="J327" s="10" t="s">
        <v>3008</v>
      </c>
      <c r="K327" s="10" t="s">
        <v>59</v>
      </c>
      <c r="L327" s="10" t="s">
        <v>157</v>
      </c>
      <c r="M327" s="10" t="s">
        <v>158</v>
      </c>
      <c r="N327" s="10" t="s">
        <v>42</v>
      </c>
      <c r="O327" s="10">
        <v>3</v>
      </c>
      <c r="P327" s="10" t="s">
        <v>42</v>
      </c>
      <c r="Q327" s="10" t="s">
        <v>59</v>
      </c>
      <c r="R327" s="10" t="s">
        <v>3009</v>
      </c>
      <c r="S327" s="10" t="s">
        <v>157</v>
      </c>
      <c r="T327" s="10" t="s">
        <v>42</v>
      </c>
      <c r="U327" s="10">
        <v>53</v>
      </c>
      <c r="V327" s="10">
        <v>279</v>
      </c>
      <c r="W327" s="10">
        <v>227</v>
      </c>
      <c r="X327" s="10" t="s">
        <v>160</v>
      </c>
      <c r="Y327" s="10" t="s">
        <v>3010</v>
      </c>
      <c r="Z327" s="10" t="s">
        <v>292</v>
      </c>
      <c r="AA327" s="10" t="s">
        <v>3011</v>
      </c>
      <c r="AB327" s="10" t="s">
        <v>3012</v>
      </c>
      <c r="AC327" s="10" t="s">
        <v>164</v>
      </c>
      <c r="AD327" s="10" t="s">
        <v>51</v>
      </c>
      <c r="AE327" s="10">
        <v>186</v>
      </c>
      <c r="AF327" s="10" t="s">
        <v>165</v>
      </c>
      <c r="AG327" s="44"/>
      <c r="AH327" s="44"/>
      <c r="AI327" s="44" t="s">
        <v>6052</v>
      </c>
      <c r="AJ327" s="44" t="s">
        <v>6052</v>
      </c>
      <c r="AK327" s="44" t="s">
        <v>6052</v>
      </c>
      <c r="AL327" s="44" t="s">
        <v>6052</v>
      </c>
      <c r="AM327" s="44" t="s">
        <v>6052</v>
      </c>
      <c r="AN327" s="44" t="s">
        <v>32842</v>
      </c>
      <c r="AO327" s="45">
        <v>11</v>
      </c>
      <c r="AP327" s="45">
        <v>1</v>
      </c>
      <c r="AQ327" s="45">
        <v>0</v>
      </c>
      <c r="AR327" s="45">
        <v>0</v>
      </c>
      <c r="AS327" s="45">
        <v>0</v>
      </c>
      <c r="AT327" s="45">
        <v>0</v>
      </c>
      <c r="AU327" s="10" t="s">
        <v>6052</v>
      </c>
      <c r="AV327" s="10" t="s">
        <v>6052</v>
      </c>
      <c r="AW327" s="10" t="s">
        <v>6052</v>
      </c>
      <c r="AX327" s="10" t="s">
        <v>6052</v>
      </c>
      <c r="AY327" s="10" t="s">
        <v>32253</v>
      </c>
      <c r="AZ327" s="44" t="s">
        <v>33117</v>
      </c>
      <c r="BA327" s="44" t="s">
        <v>31039</v>
      </c>
      <c r="BB327" s="44" t="s">
        <v>31519</v>
      </c>
      <c r="BC327" s="44" t="s">
        <v>6594</v>
      </c>
      <c r="BD327" s="44" t="s">
        <v>31708</v>
      </c>
      <c r="BE327" s="11">
        <v>1</v>
      </c>
      <c r="BF327" s="11">
        <v>0</v>
      </c>
      <c r="BG327" s="11">
        <v>0</v>
      </c>
      <c r="BH327" s="10" t="s">
        <v>31972</v>
      </c>
      <c r="BI327" s="11">
        <v>100</v>
      </c>
      <c r="BJ327" s="10" t="s">
        <v>33418</v>
      </c>
      <c r="BK327" s="11">
        <v>100</v>
      </c>
    </row>
    <row r="328" spans="1:63" x14ac:dyDescent="0.75">
      <c r="A328" t="s">
        <v>3000</v>
      </c>
      <c r="B328" t="s">
        <v>104</v>
      </c>
      <c r="C328" t="s">
        <v>153</v>
      </c>
      <c r="D328" t="s">
        <v>154</v>
      </c>
      <c r="E328" s="22" t="s">
        <v>19353</v>
      </c>
      <c r="F328" t="s">
        <v>3001</v>
      </c>
      <c r="G328" s="1" t="str">
        <f>HYPERLINK("https://homd.org/jbrowse/?data=homd_V11.02_phage_1.2%2FGCA_015260455.1&amp;loc=GCA_015260455.1%7CJABZWR010000010.1%3A57715..64692&amp;tracks=prokka,prokka_ncrna,ncbi,ncbi_ncrna,panggolin,cenote,genomad&amp;highlight=","Open JBrowse")</f>
        <v>Open JBrowse</v>
      </c>
      <c r="H328" s="10">
        <v>60715</v>
      </c>
      <c r="I328" s="10">
        <v>61692</v>
      </c>
      <c r="J328" s="10" t="s">
        <v>3002</v>
      </c>
      <c r="K328" s="10" t="s">
        <v>59</v>
      </c>
      <c r="L328" s="10" t="s">
        <v>563</v>
      </c>
      <c r="M328" s="10" t="s">
        <v>564</v>
      </c>
      <c r="N328" s="10" t="s">
        <v>42</v>
      </c>
      <c r="O328" s="10">
        <v>3</v>
      </c>
      <c r="P328" s="10" t="s">
        <v>42</v>
      </c>
      <c r="Q328" s="10" t="s">
        <v>59</v>
      </c>
      <c r="R328" s="10" t="s">
        <v>3003</v>
      </c>
      <c r="S328" s="10" t="s">
        <v>563</v>
      </c>
      <c r="T328" s="10" t="s">
        <v>42</v>
      </c>
      <c r="U328" s="10">
        <v>44</v>
      </c>
      <c r="V328" s="10">
        <v>270</v>
      </c>
      <c r="W328" s="10">
        <v>227</v>
      </c>
      <c r="X328" s="10" t="s">
        <v>160</v>
      </c>
      <c r="Y328" s="10" t="s">
        <v>3004</v>
      </c>
      <c r="Z328" s="10" t="s">
        <v>458</v>
      </c>
      <c r="AA328" s="10" t="s">
        <v>1200</v>
      </c>
      <c r="AB328" s="10" t="s">
        <v>3005</v>
      </c>
      <c r="AC328" s="10" t="s">
        <v>164</v>
      </c>
      <c r="AD328" s="10" t="s">
        <v>51</v>
      </c>
      <c r="AE328" s="10">
        <v>187.6</v>
      </c>
      <c r="AF328" s="10" t="s">
        <v>165</v>
      </c>
      <c r="AG328" s="44"/>
      <c r="AH328" s="44"/>
      <c r="AI328" s="44" t="s">
        <v>6052</v>
      </c>
      <c r="AJ328" s="44" t="s">
        <v>6052</v>
      </c>
      <c r="AK328" s="44" t="s">
        <v>6052</v>
      </c>
      <c r="AL328" s="44" t="s">
        <v>6052</v>
      </c>
      <c r="AM328" s="44" t="s">
        <v>6052</v>
      </c>
      <c r="AN328" s="44" t="s">
        <v>32851</v>
      </c>
      <c r="AO328" s="45">
        <v>11</v>
      </c>
      <c r="AP328" s="45">
        <v>1</v>
      </c>
      <c r="AQ328" s="45">
        <v>0</v>
      </c>
      <c r="AR328" s="45">
        <v>0</v>
      </c>
      <c r="AS328" s="45">
        <v>0</v>
      </c>
      <c r="AT328" s="45">
        <v>0</v>
      </c>
      <c r="AU328" s="10" t="s">
        <v>6052</v>
      </c>
      <c r="AV328" s="10" t="s">
        <v>6052</v>
      </c>
      <c r="AW328" s="10" t="s">
        <v>6052</v>
      </c>
      <c r="AX328" s="10" t="s">
        <v>6052</v>
      </c>
      <c r="AY328" s="10" t="s">
        <v>32253</v>
      </c>
      <c r="AZ328" s="44" t="s">
        <v>33117</v>
      </c>
      <c r="BA328" s="44" t="s">
        <v>31044</v>
      </c>
      <c r="BB328" s="44" t="s">
        <v>31528</v>
      </c>
      <c r="BC328" s="44" t="s">
        <v>6594</v>
      </c>
      <c r="BD328" s="44" t="s">
        <v>31708</v>
      </c>
      <c r="BE328" s="11">
        <v>1</v>
      </c>
      <c r="BF328" s="11">
        <v>0</v>
      </c>
      <c r="BG328" s="11">
        <v>0</v>
      </c>
      <c r="BH328" s="10" t="s">
        <v>32056</v>
      </c>
      <c r="BI328" s="11">
        <v>100</v>
      </c>
      <c r="BJ328" s="10" t="s">
        <v>33419</v>
      </c>
      <c r="BK328" s="11">
        <v>100</v>
      </c>
    </row>
    <row r="329" spans="1:63" x14ac:dyDescent="0.75">
      <c r="A329" t="s">
        <v>3013</v>
      </c>
      <c r="B329" t="s">
        <v>104</v>
      </c>
      <c r="C329" t="s">
        <v>153</v>
      </c>
      <c r="D329" t="s">
        <v>154</v>
      </c>
      <c r="E329" s="22" t="s">
        <v>19357</v>
      </c>
      <c r="F329" t="s">
        <v>3014</v>
      </c>
      <c r="G329" s="1" t="str">
        <f>HYPERLINK("https://homd.org/jbrowse/?data=homd_V11.02_phage_1.2%2FGCA_015260495.1&amp;loc=GCA_015260495.1%7CJABZWL010000006.1%3A40732..47736&amp;tracks=prokka,prokka_ncrna,ncbi,ncbi_ncrna,panggolin,cenote,genomad&amp;highlight=","Open JBrowse")</f>
        <v>Open JBrowse</v>
      </c>
      <c r="H329" s="10">
        <v>43732</v>
      </c>
      <c r="I329" s="10">
        <v>44736</v>
      </c>
      <c r="J329" s="10" t="s">
        <v>3015</v>
      </c>
      <c r="K329" s="10" t="s">
        <v>59</v>
      </c>
      <c r="L329" s="10" t="s">
        <v>157</v>
      </c>
      <c r="M329" s="10" t="s">
        <v>158</v>
      </c>
      <c r="N329" s="10" t="s">
        <v>42</v>
      </c>
      <c r="O329" s="10">
        <v>3</v>
      </c>
      <c r="P329" s="10" t="s">
        <v>42</v>
      </c>
      <c r="Q329" s="10" t="s">
        <v>59</v>
      </c>
      <c r="R329" s="10" t="s">
        <v>3016</v>
      </c>
      <c r="S329" s="10" t="s">
        <v>157</v>
      </c>
      <c r="T329" s="10" t="s">
        <v>42</v>
      </c>
      <c r="U329" s="10">
        <v>53</v>
      </c>
      <c r="V329" s="10">
        <v>279</v>
      </c>
      <c r="W329" s="10">
        <v>227</v>
      </c>
      <c r="X329" s="10" t="s">
        <v>160</v>
      </c>
      <c r="Y329" s="10" t="s">
        <v>3017</v>
      </c>
      <c r="Z329" s="10" t="s">
        <v>1948</v>
      </c>
      <c r="AA329" s="10" t="s">
        <v>3018</v>
      </c>
      <c r="AB329" s="10" t="s">
        <v>3019</v>
      </c>
      <c r="AC329" s="10" t="s">
        <v>164</v>
      </c>
      <c r="AD329" s="10" t="s">
        <v>51</v>
      </c>
      <c r="AE329" s="10">
        <v>185.2</v>
      </c>
      <c r="AF329" s="10" t="s">
        <v>165</v>
      </c>
      <c r="AG329" s="44"/>
      <c r="AH329" s="44"/>
      <c r="AI329" s="44" t="s">
        <v>6052</v>
      </c>
      <c r="AJ329" s="44" t="s">
        <v>6052</v>
      </c>
      <c r="AK329" s="44" t="s">
        <v>6052</v>
      </c>
      <c r="AL329" s="44" t="s">
        <v>6052</v>
      </c>
      <c r="AM329" s="44" t="s">
        <v>6052</v>
      </c>
      <c r="AN329" s="44" t="s">
        <v>32840</v>
      </c>
      <c r="AO329" s="45">
        <v>11</v>
      </c>
      <c r="AP329" s="45">
        <v>1</v>
      </c>
      <c r="AQ329" s="45">
        <v>0</v>
      </c>
      <c r="AR329" s="45">
        <v>0</v>
      </c>
      <c r="AS329" s="45">
        <v>0</v>
      </c>
      <c r="AT329" s="45">
        <v>0</v>
      </c>
      <c r="AU329" s="10" t="s">
        <v>6052</v>
      </c>
      <c r="AV329" s="10" t="s">
        <v>6052</v>
      </c>
      <c r="AW329" s="10" t="s">
        <v>6052</v>
      </c>
      <c r="AX329" s="10" t="s">
        <v>6052</v>
      </c>
      <c r="AY329" s="10" t="s">
        <v>32253</v>
      </c>
      <c r="AZ329" s="44" t="s">
        <v>33117</v>
      </c>
      <c r="BA329" s="44" t="s">
        <v>31037</v>
      </c>
      <c r="BB329" s="44" t="s">
        <v>31517</v>
      </c>
      <c r="BC329" s="44" t="s">
        <v>6594</v>
      </c>
      <c r="BD329" s="44" t="s">
        <v>31708</v>
      </c>
      <c r="BE329" s="11">
        <v>1</v>
      </c>
      <c r="BF329" s="11">
        <v>0</v>
      </c>
      <c r="BG329" s="11">
        <v>0</v>
      </c>
      <c r="BH329" s="10" t="s">
        <v>32015</v>
      </c>
      <c r="BI329" s="11">
        <v>100</v>
      </c>
      <c r="BJ329" s="10" t="s">
        <v>33417</v>
      </c>
      <c r="BK329" s="11">
        <v>100</v>
      </c>
    </row>
    <row r="330" spans="1:63" x14ac:dyDescent="0.75">
      <c r="A330" t="s">
        <v>3020</v>
      </c>
      <c r="B330" t="s">
        <v>104</v>
      </c>
      <c r="C330" t="s">
        <v>153</v>
      </c>
      <c r="D330" t="s">
        <v>154</v>
      </c>
      <c r="E330" s="22" t="s">
        <v>19359</v>
      </c>
      <c r="F330" t="s">
        <v>3021</v>
      </c>
      <c r="G330" s="1" t="str">
        <f>HYPERLINK("https://homd.org/jbrowse/?data=homd_V11.02_phage_1.2%2FGCA_015260605.1&amp;loc=GCA_015260605.1%7CJABZWH010000010.1%3A38030..45034&amp;tracks=prokka,prokka_ncrna,ncbi,ncbi_ncrna,panggolin,cenote,genomad&amp;highlight=","Open JBrowse")</f>
        <v>Open JBrowse</v>
      </c>
      <c r="H330" s="10">
        <v>41030</v>
      </c>
      <c r="I330" s="10">
        <v>42034</v>
      </c>
      <c r="J330" s="10" t="s">
        <v>3022</v>
      </c>
      <c r="K330" s="10" t="s">
        <v>59</v>
      </c>
      <c r="L330" s="10" t="s">
        <v>157</v>
      </c>
      <c r="M330" s="10" t="s">
        <v>158</v>
      </c>
      <c r="N330" s="10" t="s">
        <v>42</v>
      </c>
      <c r="O330" s="10">
        <v>3</v>
      </c>
      <c r="P330" s="10" t="s">
        <v>42</v>
      </c>
      <c r="Q330" s="10" t="s">
        <v>59</v>
      </c>
      <c r="R330" s="10" t="s">
        <v>3023</v>
      </c>
      <c r="S330" s="10" t="s">
        <v>157</v>
      </c>
      <c r="T330" s="10" t="s">
        <v>42</v>
      </c>
      <c r="U330" s="10">
        <v>53</v>
      </c>
      <c r="V330" s="10">
        <v>279</v>
      </c>
      <c r="W330" s="10">
        <v>227</v>
      </c>
      <c r="X330" s="10" t="s">
        <v>160</v>
      </c>
      <c r="Y330" s="10" t="s">
        <v>3024</v>
      </c>
      <c r="Z330" s="10" t="s">
        <v>1948</v>
      </c>
      <c r="AA330" s="10" t="s">
        <v>1200</v>
      </c>
      <c r="AB330" s="10" t="s">
        <v>3025</v>
      </c>
      <c r="AC330" s="10" t="s">
        <v>164</v>
      </c>
      <c r="AD330" s="10" t="s">
        <v>51</v>
      </c>
      <c r="AE330" s="10">
        <v>187.5</v>
      </c>
      <c r="AF330" s="10" t="s">
        <v>165</v>
      </c>
      <c r="AG330" s="44"/>
      <c r="AH330" s="44"/>
      <c r="AI330" s="44" t="s">
        <v>6052</v>
      </c>
      <c r="AJ330" s="44" t="s">
        <v>6052</v>
      </c>
      <c r="AK330" s="44" t="s">
        <v>6052</v>
      </c>
      <c r="AL330" s="44" t="s">
        <v>6052</v>
      </c>
      <c r="AM330" s="44" t="s">
        <v>6052</v>
      </c>
      <c r="AN330" s="44" t="s">
        <v>32839</v>
      </c>
      <c r="AO330" s="45">
        <v>11</v>
      </c>
      <c r="AP330" s="45">
        <v>1</v>
      </c>
      <c r="AQ330" s="45">
        <v>0</v>
      </c>
      <c r="AR330" s="45">
        <v>0</v>
      </c>
      <c r="AS330" s="45">
        <v>0</v>
      </c>
      <c r="AT330" s="45">
        <v>0</v>
      </c>
      <c r="AU330" s="10" t="s">
        <v>6052</v>
      </c>
      <c r="AV330" s="10" t="s">
        <v>6052</v>
      </c>
      <c r="AW330" s="10" t="s">
        <v>6052</v>
      </c>
      <c r="AX330" s="10" t="s">
        <v>6052</v>
      </c>
      <c r="AY330" s="10" t="s">
        <v>32253</v>
      </c>
      <c r="AZ330" s="44" t="s">
        <v>33117</v>
      </c>
      <c r="BA330" s="44" t="s">
        <v>31036</v>
      </c>
      <c r="BB330" s="44" t="s">
        <v>31516</v>
      </c>
      <c r="BC330" s="44" t="s">
        <v>6594</v>
      </c>
      <c r="BD330" s="44" t="s">
        <v>31708</v>
      </c>
      <c r="BE330" s="11">
        <v>1</v>
      </c>
      <c r="BF330" s="11">
        <v>0</v>
      </c>
      <c r="BG330" s="11">
        <v>0</v>
      </c>
      <c r="BH330" s="10" t="s">
        <v>32075</v>
      </c>
      <c r="BI330" s="11">
        <v>100</v>
      </c>
      <c r="BJ330" s="10" t="s">
        <v>33416</v>
      </c>
      <c r="BK330" s="11">
        <v>100</v>
      </c>
    </row>
    <row r="331" spans="1:63" x14ac:dyDescent="0.75">
      <c r="A331" t="s">
        <v>3032</v>
      </c>
      <c r="B331" t="s">
        <v>104</v>
      </c>
      <c r="C331" t="s">
        <v>153</v>
      </c>
      <c r="D331" t="s">
        <v>154</v>
      </c>
      <c r="E331" s="22" t="s">
        <v>19516</v>
      </c>
      <c r="F331" t="s">
        <v>3033</v>
      </c>
      <c r="G331" s="1" t="str">
        <f>HYPERLINK("https://homd.org/jbrowse/?data=homd_V11.02_phage_1.2%2FGCA_015262365.1&amp;loc=GCA_015262365.1%7CJABZSZ010000090.1%3A1..6676&amp;tracks=prokka,prokka_ncrna,ncbi,ncbi_ncrna,panggolin,cenote,genomad&amp;highlight=","Open JBrowse")</f>
        <v>Open JBrowse</v>
      </c>
      <c r="H331" s="10">
        <v>2699</v>
      </c>
      <c r="I331" s="10">
        <v>3676</v>
      </c>
      <c r="J331" s="10" t="s">
        <v>3034</v>
      </c>
      <c r="K331" s="10" t="s">
        <v>59</v>
      </c>
      <c r="L331" s="10" t="s">
        <v>563</v>
      </c>
      <c r="M331" s="10" t="s">
        <v>564</v>
      </c>
      <c r="N331" s="10" t="s">
        <v>42</v>
      </c>
      <c r="O331" s="10">
        <v>3</v>
      </c>
      <c r="P331" s="10" t="s">
        <v>42</v>
      </c>
      <c r="Q331" s="10" t="s">
        <v>59</v>
      </c>
      <c r="R331" s="10" t="s">
        <v>3035</v>
      </c>
      <c r="S331" s="10" t="s">
        <v>563</v>
      </c>
      <c r="T331" s="10" t="s">
        <v>42</v>
      </c>
      <c r="U331" s="10">
        <v>44</v>
      </c>
      <c r="V331" s="10">
        <v>270</v>
      </c>
      <c r="W331" s="10">
        <v>227</v>
      </c>
      <c r="X331" s="10" t="s">
        <v>160</v>
      </c>
      <c r="Y331" s="10"/>
      <c r="Z331" s="10"/>
      <c r="AA331" s="10"/>
      <c r="AB331" s="10"/>
      <c r="AC331" s="10"/>
      <c r="AD331" s="10"/>
      <c r="AE331" s="10"/>
      <c r="AF331" s="10"/>
      <c r="AG331" s="44"/>
      <c r="AH331" s="44"/>
      <c r="AI331" s="46" t="s">
        <v>6054</v>
      </c>
      <c r="AJ331" s="44" t="s">
        <v>6052</v>
      </c>
      <c r="AK331" s="44" t="s">
        <v>6052</v>
      </c>
      <c r="AL331" s="44" t="s">
        <v>6052</v>
      </c>
      <c r="AM331" s="44" t="s">
        <v>6052</v>
      </c>
      <c r="AN331" s="44" t="s">
        <v>32859</v>
      </c>
      <c r="AO331" s="45">
        <v>11</v>
      </c>
      <c r="AP331" s="45">
        <v>1</v>
      </c>
      <c r="AQ331" s="45">
        <v>0</v>
      </c>
      <c r="AR331" s="45">
        <v>0</v>
      </c>
      <c r="AS331" s="45">
        <v>0</v>
      </c>
      <c r="AT331" s="45">
        <v>0</v>
      </c>
      <c r="AU331" s="10" t="s">
        <v>6052</v>
      </c>
      <c r="AV331" s="10" t="s">
        <v>6052</v>
      </c>
      <c r="AW331" s="10" t="s">
        <v>6052</v>
      </c>
      <c r="AX331" s="10" t="s">
        <v>6052</v>
      </c>
      <c r="AY331" s="10" t="s">
        <v>32253</v>
      </c>
      <c r="AZ331" s="44" t="s">
        <v>33117</v>
      </c>
      <c r="BA331" s="44" t="s">
        <v>31051</v>
      </c>
      <c r="BB331" s="44" t="s">
        <v>31535</v>
      </c>
      <c r="BC331" s="44" t="s">
        <v>6594</v>
      </c>
      <c r="BD331" s="44" t="s">
        <v>31708</v>
      </c>
      <c r="BE331" s="11">
        <v>1</v>
      </c>
      <c r="BF331" s="11">
        <v>0</v>
      </c>
      <c r="BG331" s="11">
        <v>0</v>
      </c>
      <c r="BH331" s="10" t="s">
        <v>32026</v>
      </c>
      <c r="BI331" s="11">
        <v>100</v>
      </c>
      <c r="BJ331" s="10" t="s">
        <v>33415</v>
      </c>
      <c r="BK331" s="11">
        <v>100</v>
      </c>
    </row>
    <row r="332" spans="1:63" x14ac:dyDescent="0.75">
      <c r="A332" t="s">
        <v>3026</v>
      </c>
      <c r="B332" t="s">
        <v>104</v>
      </c>
      <c r="C332" t="s">
        <v>559</v>
      </c>
      <c r="D332" t="s">
        <v>560</v>
      </c>
      <c r="E332" s="22" t="s">
        <v>19514</v>
      </c>
      <c r="F332" t="s">
        <v>3027</v>
      </c>
      <c r="G332" s="1" t="str">
        <f>HYPERLINK("https://homd.org/jbrowse/?data=homd_V11.02_phage_1.2%2FGCA_015262355.1&amp;loc=GCA_015262355.1%7CJABZSY010000004.1%3A77861..84718&amp;tracks=prokka,prokka_ncrna,ncbi,ncbi_ncrna,panggolin,cenote,genomad&amp;highlight=","Open JBrowse")</f>
        <v>Open JBrowse</v>
      </c>
      <c r="H332" s="10">
        <v>80861</v>
      </c>
      <c r="I332" s="10">
        <v>81718</v>
      </c>
      <c r="J332" s="10" t="s">
        <v>3028</v>
      </c>
      <c r="K332" s="10" t="s">
        <v>59</v>
      </c>
      <c r="L332" s="10" t="s">
        <v>563</v>
      </c>
      <c r="M332" s="10" t="s">
        <v>564</v>
      </c>
      <c r="N332" s="10" t="s">
        <v>42</v>
      </c>
      <c r="O332" s="10">
        <v>3</v>
      </c>
      <c r="P332" s="10" t="s">
        <v>42</v>
      </c>
      <c r="Q332" s="10" t="s">
        <v>59</v>
      </c>
      <c r="R332" s="10" t="s">
        <v>3029</v>
      </c>
      <c r="S332" s="10" t="s">
        <v>563</v>
      </c>
      <c r="T332" s="10" t="s">
        <v>42</v>
      </c>
      <c r="U332" s="10">
        <v>44</v>
      </c>
      <c r="V332" s="10">
        <v>270</v>
      </c>
      <c r="W332" s="10">
        <v>227</v>
      </c>
      <c r="X332" s="10" t="s">
        <v>160</v>
      </c>
      <c r="Y332" s="10" t="s">
        <v>3030</v>
      </c>
      <c r="Z332" s="10" t="s">
        <v>2007</v>
      </c>
      <c r="AA332" s="10" t="s">
        <v>3031</v>
      </c>
      <c r="AB332" s="10"/>
      <c r="AC332" s="10"/>
      <c r="AD332" s="10"/>
      <c r="AE332" s="10"/>
      <c r="AF332" s="10"/>
      <c r="AG332" s="44"/>
      <c r="AH332" s="44"/>
      <c r="AI332" s="44" t="s">
        <v>6052</v>
      </c>
      <c r="AJ332" s="44" t="s">
        <v>6052</v>
      </c>
      <c r="AK332" s="44" t="s">
        <v>6052</v>
      </c>
      <c r="AL332" s="44" t="s">
        <v>6052</v>
      </c>
      <c r="AM332" s="44" t="s">
        <v>6052</v>
      </c>
      <c r="AN332" s="44" t="s">
        <v>32864</v>
      </c>
      <c r="AO332" s="45">
        <v>11</v>
      </c>
      <c r="AP332" s="45">
        <v>1</v>
      </c>
      <c r="AQ332" s="45">
        <v>0</v>
      </c>
      <c r="AR332" s="45">
        <v>0</v>
      </c>
      <c r="AS332" s="45">
        <v>0</v>
      </c>
      <c r="AT332" s="45">
        <v>0</v>
      </c>
      <c r="AU332" s="10" t="s">
        <v>6052</v>
      </c>
      <c r="AV332" s="10" t="s">
        <v>6052</v>
      </c>
      <c r="AW332" s="10" t="s">
        <v>6052</v>
      </c>
      <c r="AX332" s="10" t="s">
        <v>6052</v>
      </c>
      <c r="AY332" s="10" t="s">
        <v>32253</v>
      </c>
      <c r="AZ332" s="44" t="s">
        <v>33117</v>
      </c>
      <c r="BA332" s="44" t="s">
        <v>31056</v>
      </c>
      <c r="BB332" s="44" t="s">
        <v>31540</v>
      </c>
      <c r="BC332" s="44" t="s">
        <v>6594</v>
      </c>
      <c r="BD332" s="44" t="s">
        <v>31708</v>
      </c>
      <c r="BE332" s="11">
        <v>1</v>
      </c>
      <c r="BF332" s="11">
        <v>0</v>
      </c>
      <c r="BG332" s="11">
        <v>0</v>
      </c>
      <c r="BH332" s="10" t="s">
        <v>32120</v>
      </c>
      <c r="BI332" s="11">
        <v>100</v>
      </c>
      <c r="BJ332" s="10" t="s">
        <v>33378</v>
      </c>
      <c r="BK332" s="11">
        <v>100</v>
      </c>
    </row>
    <row r="333" spans="1:63" x14ac:dyDescent="0.75">
      <c r="A333" t="s">
        <v>3036</v>
      </c>
      <c r="B333" t="s">
        <v>104</v>
      </c>
      <c r="C333" t="s">
        <v>559</v>
      </c>
      <c r="D333" t="s">
        <v>560</v>
      </c>
      <c r="E333" s="22" t="s">
        <v>19518</v>
      </c>
      <c r="F333" t="s">
        <v>3037</v>
      </c>
      <c r="G333" s="1" t="str">
        <f>HYPERLINK("https://homd.org/jbrowse/?data=homd_V11.02_phage_1.2%2FGCA_015262395.1&amp;loc=GCA_015262395.1%7CJABZSX010000003.1%3A112610..119431&amp;tracks=prokka,prokka_ncrna,ncbi,ncbi_ncrna,panggolin,cenote,genomad&amp;highlight=","Open JBrowse")</f>
        <v>Open JBrowse</v>
      </c>
      <c r="H333" s="10">
        <v>115610</v>
      </c>
      <c r="I333" s="10">
        <v>116431</v>
      </c>
      <c r="J333" s="10" t="s">
        <v>3038</v>
      </c>
      <c r="K333" s="10" t="s">
        <v>59</v>
      </c>
      <c r="L333" s="10" t="s">
        <v>563</v>
      </c>
      <c r="M333" s="10" t="s">
        <v>564</v>
      </c>
      <c r="N333" s="10" t="s">
        <v>42</v>
      </c>
      <c r="O333" s="10">
        <v>3</v>
      </c>
      <c r="P333" s="10" t="s">
        <v>42</v>
      </c>
      <c r="Q333" s="10" t="s">
        <v>59</v>
      </c>
      <c r="R333" s="10" t="s">
        <v>3039</v>
      </c>
      <c r="S333" s="10" t="s">
        <v>563</v>
      </c>
      <c r="T333" s="10" t="s">
        <v>42</v>
      </c>
      <c r="U333" s="10">
        <v>44</v>
      </c>
      <c r="V333" s="10">
        <v>270</v>
      </c>
      <c r="W333" s="10">
        <v>227</v>
      </c>
      <c r="X333" s="10" t="s">
        <v>160</v>
      </c>
      <c r="Y333" s="10" t="s">
        <v>3040</v>
      </c>
      <c r="Z333" s="10" t="s">
        <v>132</v>
      </c>
      <c r="AA333" s="10" t="s">
        <v>3031</v>
      </c>
      <c r="AB333" s="10"/>
      <c r="AC333" s="10"/>
      <c r="AD333" s="10"/>
      <c r="AE333" s="10"/>
      <c r="AF333" s="10"/>
      <c r="AG333" s="44"/>
      <c r="AH333" s="44"/>
      <c r="AI333" s="44" t="s">
        <v>6052</v>
      </c>
      <c r="AJ333" s="44" t="s">
        <v>6052</v>
      </c>
      <c r="AK333" s="44" t="s">
        <v>6052</v>
      </c>
      <c r="AL333" s="44" t="s">
        <v>6052</v>
      </c>
      <c r="AM333" s="44" t="s">
        <v>6052</v>
      </c>
      <c r="AN333" s="44" t="s">
        <v>32862</v>
      </c>
      <c r="AO333" s="45">
        <v>11</v>
      </c>
      <c r="AP333" s="45">
        <v>1</v>
      </c>
      <c r="AQ333" s="45">
        <v>0</v>
      </c>
      <c r="AR333" s="45">
        <v>0</v>
      </c>
      <c r="AS333" s="45">
        <v>0</v>
      </c>
      <c r="AT333" s="45">
        <v>0</v>
      </c>
      <c r="AU333" s="10" t="s">
        <v>6052</v>
      </c>
      <c r="AV333" s="10" t="s">
        <v>6052</v>
      </c>
      <c r="AW333" s="10" t="s">
        <v>6052</v>
      </c>
      <c r="AX333" s="10" t="s">
        <v>6052</v>
      </c>
      <c r="AY333" s="10" t="s">
        <v>32253</v>
      </c>
      <c r="AZ333" s="44" t="s">
        <v>33117</v>
      </c>
      <c r="BA333" s="44" t="s">
        <v>31054</v>
      </c>
      <c r="BB333" s="44" t="s">
        <v>31538</v>
      </c>
      <c r="BC333" s="44" t="s">
        <v>6594</v>
      </c>
      <c r="BD333" s="44" t="s">
        <v>31708</v>
      </c>
      <c r="BE333" s="11">
        <v>1</v>
      </c>
      <c r="BF333" s="11">
        <v>0</v>
      </c>
      <c r="BG333" s="11">
        <v>0</v>
      </c>
      <c r="BH333" s="10" t="s">
        <v>32126</v>
      </c>
      <c r="BI333" s="11">
        <v>100</v>
      </c>
      <c r="BJ333" s="10" t="s">
        <v>33377</v>
      </c>
      <c r="BK333" s="11">
        <v>100</v>
      </c>
    </row>
    <row r="334" spans="1:63" x14ac:dyDescent="0.75">
      <c r="A334" t="s">
        <v>3057</v>
      </c>
      <c r="B334" t="s">
        <v>104</v>
      </c>
      <c r="C334" t="s">
        <v>559</v>
      </c>
      <c r="D334" t="s">
        <v>560</v>
      </c>
      <c r="E334" s="22" t="s">
        <v>19526</v>
      </c>
      <c r="F334" t="s">
        <v>3058</v>
      </c>
      <c r="G334" s="1" t="str">
        <f>HYPERLINK("https://homd.org/jbrowse/?data=homd_V11.02_phage_1.2%2FGCA_015262545.1&amp;loc=GCA_015262545.1%7CJABZSO010000009.1%3A80520..87377&amp;tracks=prokka,prokka_ncrna,ncbi,ncbi_ncrna,panggolin,cenote,genomad&amp;highlight=","Open JBrowse")</f>
        <v>Open JBrowse</v>
      </c>
      <c r="H334" s="10">
        <v>83520</v>
      </c>
      <c r="I334" s="10">
        <v>84377</v>
      </c>
      <c r="J334" s="10" t="s">
        <v>3059</v>
      </c>
      <c r="K334" s="10" t="s">
        <v>59</v>
      </c>
      <c r="L334" s="10" t="s">
        <v>563</v>
      </c>
      <c r="M334" s="10" t="s">
        <v>564</v>
      </c>
      <c r="N334" s="10" t="s">
        <v>42</v>
      </c>
      <c r="O334" s="10">
        <v>3</v>
      </c>
      <c r="P334" s="10" t="s">
        <v>42</v>
      </c>
      <c r="Q334" s="10" t="s">
        <v>59</v>
      </c>
      <c r="R334" s="10" t="s">
        <v>3060</v>
      </c>
      <c r="S334" s="10" t="s">
        <v>563</v>
      </c>
      <c r="T334" s="10" t="s">
        <v>42</v>
      </c>
      <c r="U334" s="10">
        <v>44</v>
      </c>
      <c r="V334" s="10">
        <v>270</v>
      </c>
      <c r="W334" s="10">
        <v>227</v>
      </c>
      <c r="X334" s="10" t="s">
        <v>160</v>
      </c>
      <c r="Y334" s="10"/>
      <c r="Z334" s="10"/>
      <c r="AA334" s="10"/>
      <c r="AB334" s="10"/>
      <c r="AC334" s="10"/>
      <c r="AD334" s="10"/>
      <c r="AE334" s="10"/>
      <c r="AF334" s="10"/>
      <c r="AG334" s="44"/>
      <c r="AH334" s="44"/>
      <c r="AI334" s="46" t="s">
        <v>6054</v>
      </c>
      <c r="AJ334" s="44" t="s">
        <v>6052</v>
      </c>
      <c r="AK334" s="44" t="s">
        <v>6052</v>
      </c>
      <c r="AL334" s="44" t="s">
        <v>6052</v>
      </c>
      <c r="AM334" s="44" t="s">
        <v>6052</v>
      </c>
      <c r="AN334" s="44" t="s">
        <v>32841</v>
      </c>
      <c r="AO334" s="45">
        <v>11</v>
      </c>
      <c r="AP334" s="45">
        <v>1</v>
      </c>
      <c r="AQ334" s="45">
        <v>0</v>
      </c>
      <c r="AR334" s="45">
        <v>0</v>
      </c>
      <c r="AS334" s="45">
        <v>0</v>
      </c>
      <c r="AT334" s="45">
        <v>0</v>
      </c>
      <c r="AU334" s="10" t="s">
        <v>6052</v>
      </c>
      <c r="AV334" s="10" t="s">
        <v>6052</v>
      </c>
      <c r="AW334" s="10" t="s">
        <v>6052</v>
      </c>
      <c r="AX334" s="10" t="s">
        <v>6052</v>
      </c>
      <c r="AY334" s="10" t="s">
        <v>32253</v>
      </c>
      <c r="AZ334" s="44" t="s">
        <v>33117</v>
      </c>
      <c r="BA334" s="44" t="s">
        <v>31038</v>
      </c>
      <c r="BB334" s="44" t="s">
        <v>31518</v>
      </c>
      <c r="BC334" s="44" t="s">
        <v>6594</v>
      </c>
      <c r="BD334" s="44" t="s">
        <v>31708</v>
      </c>
      <c r="BE334" s="11">
        <v>1</v>
      </c>
      <c r="BF334" s="11">
        <v>0</v>
      </c>
      <c r="BG334" s="11">
        <v>0</v>
      </c>
      <c r="BH334" s="10" t="s">
        <v>32123</v>
      </c>
      <c r="BI334" s="11">
        <v>100</v>
      </c>
      <c r="BJ334" s="10" t="s">
        <v>33372</v>
      </c>
      <c r="BK334" s="11">
        <v>100</v>
      </c>
    </row>
    <row r="335" spans="1:63" x14ac:dyDescent="0.75">
      <c r="A335" t="s">
        <v>3051</v>
      </c>
      <c r="B335" t="s">
        <v>104</v>
      </c>
      <c r="C335" t="s">
        <v>559</v>
      </c>
      <c r="D335" t="s">
        <v>560</v>
      </c>
      <c r="E335" s="22" t="s">
        <v>19524</v>
      </c>
      <c r="F335" t="s">
        <v>3055</v>
      </c>
      <c r="G335" s="1" t="str">
        <f>HYPERLINK("https://homd.org/jbrowse/?data=homd_V11.02_phage_1.2%2FGCA_015262505.1&amp;loc=GCA_015262505.1%7CJABZSR010000081.1%3A1..4250&amp;tracks=prokka,prokka_ncrna,ncbi,ncbi_ncrna,panggolin,cenote,genomad&amp;highlight=","Open JBrowse")</f>
        <v>Open JBrowse</v>
      </c>
      <c r="H335" s="10">
        <v>246</v>
      </c>
      <c r="I335" s="10">
        <v>1250</v>
      </c>
      <c r="J335" s="10" t="s">
        <v>3056</v>
      </c>
      <c r="K335" s="10" t="s">
        <v>59</v>
      </c>
      <c r="L335" s="10" t="s">
        <v>157</v>
      </c>
      <c r="M335" s="10" t="s">
        <v>158</v>
      </c>
      <c r="N335" s="10" t="s">
        <v>42</v>
      </c>
      <c r="O335" s="10">
        <v>3</v>
      </c>
      <c r="P335" s="10" t="s">
        <v>42</v>
      </c>
      <c r="Q335" s="10" t="s">
        <v>59</v>
      </c>
      <c r="R335" s="10" t="s">
        <v>3054</v>
      </c>
      <c r="S335" s="10" t="s">
        <v>157</v>
      </c>
      <c r="T335" s="10" t="s">
        <v>42</v>
      </c>
      <c r="U335" s="10">
        <v>53</v>
      </c>
      <c r="V335" s="10">
        <v>279</v>
      </c>
      <c r="W335" s="10">
        <v>227</v>
      </c>
      <c r="X335" s="10" t="s">
        <v>160</v>
      </c>
      <c r="Y335" s="10"/>
      <c r="Z335" s="10"/>
      <c r="AA335" s="10"/>
      <c r="AB335" s="10"/>
      <c r="AC335" s="10"/>
      <c r="AD335" s="10"/>
      <c r="AE335" s="10"/>
      <c r="AF335" s="10"/>
      <c r="AG335" s="44"/>
      <c r="AH335" s="44"/>
      <c r="AI335" s="46" t="s">
        <v>6054</v>
      </c>
      <c r="AJ335" s="44" t="s">
        <v>6052</v>
      </c>
      <c r="AK335" s="44" t="s">
        <v>6052</v>
      </c>
      <c r="AL335" s="44" t="s">
        <v>6052</v>
      </c>
      <c r="AM335" s="44" t="s">
        <v>6052</v>
      </c>
      <c r="AN335" s="44" t="s">
        <v>32844</v>
      </c>
      <c r="AO335" s="45">
        <v>11</v>
      </c>
      <c r="AP335" s="45">
        <v>1</v>
      </c>
      <c r="AQ335" s="45">
        <v>0</v>
      </c>
      <c r="AR335" s="45">
        <v>0</v>
      </c>
      <c r="AS335" s="45">
        <v>0</v>
      </c>
      <c r="AT335" s="45">
        <v>0</v>
      </c>
      <c r="AU335" s="10" t="s">
        <v>6052</v>
      </c>
      <c r="AV335" s="10" t="s">
        <v>6052</v>
      </c>
      <c r="AW335" s="10" t="s">
        <v>6052</v>
      </c>
      <c r="AX335" s="10" t="s">
        <v>6052</v>
      </c>
      <c r="AY335" s="10" t="s">
        <v>32253</v>
      </c>
      <c r="AZ335" s="44" t="s">
        <v>33117</v>
      </c>
      <c r="BA335" s="44" t="s">
        <v>31040</v>
      </c>
      <c r="BB335" s="44" t="s">
        <v>31521</v>
      </c>
      <c r="BC335" s="44" t="s">
        <v>6594</v>
      </c>
      <c r="BD335" s="44" t="s">
        <v>31708</v>
      </c>
      <c r="BE335" s="11">
        <v>1</v>
      </c>
      <c r="BF335" s="11">
        <v>0</v>
      </c>
      <c r="BG335" s="11">
        <v>0</v>
      </c>
      <c r="BH335" s="10" t="s">
        <v>32034</v>
      </c>
      <c r="BI335" s="11">
        <v>100</v>
      </c>
      <c r="BJ335" s="10" t="s">
        <v>33374</v>
      </c>
      <c r="BK335" s="11">
        <v>100</v>
      </c>
    </row>
    <row r="336" spans="1:63" x14ac:dyDescent="0.75">
      <c r="A336" t="s">
        <v>3051</v>
      </c>
      <c r="B336" t="s">
        <v>104</v>
      </c>
      <c r="C336" t="s">
        <v>559</v>
      </c>
      <c r="D336" t="s">
        <v>560</v>
      </c>
      <c r="E336" s="22" t="s">
        <v>19524</v>
      </c>
      <c r="F336" t="s">
        <v>3052</v>
      </c>
      <c r="G336" s="1" t="str">
        <f>HYPERLINK("https://homd.org/jbrowse/?data=homd_V11.02_phage_1.2%2FGCA_015262505.1&amp;loc=GCA_015262505.1%7CJABZSR010000010.1%3A40741..47598&amp;tracks=prokka,prokka_ncrna,ncbi,ncbi_ncrna,panggolin,cenote,genomad&amp;highlight=","Open JBrowse")</f>
        <v>Open JBrowse</v>
      </c>
      <c r="H336" s="10">
        <v>43741</v>
      </c>
      <c r="I336" s="10">
        <v>44598</v>
      </c>
      <c r="J336" s="10" t="s">
        <v>3053</v>
      </c>
      <c r="K336" s="10" t="s">
        <v>59</v>
      </c>
      <c r="L336" s="10" t="s">
        <v>563</v>
      </c>
      <c r="M336" s="10" t="s">
        <v>564</v>
      </c>
      <c r="N336" s="10" t="s">
        <v>42</v>
      </c>
      <c r="O336" s="10">
        <v>3</v>
      </c>
      <c r="P336" s="10" t="s">
        <v>42</v>
      </c>
      <c r="Q336" s="10" t="s">
        <v>59</v>
      </c>
      <c r="R336" s="10" t="s">
        <v>3054</v>
      </c>
      <c r="S336" s="10" t="s">
        <v>563</v>
      </c>
      <c r="T336" s="10" t="s">
        <v>42</v>
      </c>
      <c r="U336" s="10">
        <v>44</v>
      </c>
      <c r="V336" s="10">
        <v>270</v>
      </c>
      <c r="W336" s="10">
        <v>227</v>
      </c>
      <c r="X336" s="10" t="s">
        <v>160</v>
      </c>
      <c r="Y336" s="10"/>
      <c r="Z336" s="10"/>
      <c r="AA336" s="10"/>
      <c r="AB336" s="10"/>
      <c r="AC336" s="10"/>
      <c r="AD336" s="10"/>
      <c r="AE336" s="10"/>
      <c r="AF336" s="10"/>
      <c r="AG336" s="44"/>
      <c r="AH336" s="44"/>
      <c r="AI336" s="46" t="s">
        <v>6054</v>
      </c>
      <c r="AJ336" s="44" t="s">
        <v>6052</v>
      </c>
      <c r="AK336" s="44" t="s">
        <v>6052</v>
      </c>
      <c r="AL336" s="44" t="s">
        <v>6052</v>
      </c>
      <c r="AM336" s="44" t="s">
        <v>6052</v>
      </c>
      <c r="AN336" s="44" t="s">
        <v>32843</v>
      </c>
      <c r="AO336" s="45">
        <v>11</v>
      </c>
      <c r="AP336" s="45">
        <v>1</v>
      </c>
      <c r="AQ336" s="45">
        <v>0</v>
      </c>
      <c r="AR336" s="45">
        <v>0</v>
      </c>
      <c r="AS336" s="45">
        <v>0</v>
      </c>
      <c r="AT336" s="45">
        <v>0</v>
      </c>
      <c r="AU336" s="10" t="s">
        <v>6052</v>
      </c>
      <c r="AV336" s="10" t="s">
        <v>6052</v>
      </c>
      <c r="AW336" s="10" t="s">
        <v>6052</v>
      </c>
      <c r="AX336" s="10" t="s">
        <v>6052</v>
      </c>
      <c r="AY336" s="10" t="s">
        <v>32253</v>
      </c>
      <c r="AZ336" s="44" t="s">
        <v>33117</v>
      </c>
      <c r="BA336" s="44" t="s">
        <v>31040</v>
      </c>
      <c r="BB336" s="44" t="s">
        <v>31520</v>
      </c>
      <c r="BC336" s="44" t="s">
        <v>6594</v>
      </c>
      <c r="BD336" s="44" t="s">
        <v>31708</v>
      </c>
      <c r="BE336" s="11">
        <v>1</v>
      </c>
      <c r="BF336" s="11">
        <v>0</v>
      </c>
      <c r="BG336" s="11">
        <v>0</v>
      </c>
      <c r="BH336" s="10" t="s">
        <v>32099</v>
      </c>
      <c r="BI336" s="11">
        <v>100</v>
      </c>
      <c r="BJ336" s="10" t="s">
        <v>33373</v>
      </c>
      <c r="BK336" s="11">
        <v>100</v>
      </c>
    </row>
    <row r="337" spans="1:63" x14ac:dyDescent="0.75">
      <c r="A337" t="s">
        <v>3041</v>
      </c>
      <c r="B337" t="s">
        <v>104</v>
      </c>
      <c r="C337" t="s">
        <v>559</v>
      </c>
      <c r="D337" t="s">
        <v>560</v>
      </c>
      <c r="E337" s="22" t="s">
        <v>19520</v>
      </c>
      <c r="F337" t="s">
        <v>3042</v>
      </c>
      <c r="G337" s="1" t="str">
        <f>HYPERLINK("https://homd.org/jbrowse/?data=homd_V11.02_phage_1.2%2FGCA_015262435.1&amp;loc=GCA_015262435.1%7CJABZSV010000019.1%3A15946..22794&amp;tracks=prokka,prokka_ncrna,ncbi,ncbi_ncrna,panggolin,cenote,genomad&amp;highlight=","Open JBrowse")</f>
        <v>Open JBrowse</v>
      </c>
      <c r="H337" s="10">
        <v>18946</v>
      </c>
      <c r="I337" s="10">
        <v>19794</v>
      </c>
      <c r="J337" s="10" t="s">
        <v>3043</v>
      </c>
      <c r="K337" s="10" t="s">
        <v>59</v>
      </c>
      <c r="L337" s="10" t="s">
        <v>466</v>
      </c>
      <c r="M337" s="10" t="s">
        <v>467</v>
      </c>
      <c r="N337" s="10" t="s">
        <v>42</v>
      </c>
      <c r="O337" s="10">
        <v>3</v>
      </c>
      <c r="P337" s="10" t="s">
        <v>42</v>
      </c>
      <c r="Q337" s="10" t="s">
        <v>59</v>
      </c>
      <c r="R337" s="10" t="s">
        <v>3044</v>
      </c>
      <c r="S337" s="10" t="s">
        <v>466</v>
      </c>
      <c r="T337" s="10" t="s">
        <v>42</v>
      </c>
      <c r="U337" s="10">
        <v>41</v>
      </c>
      <c r="V337" s="10">
        <v>267</v>
      </c>
      <c r="W337" s="10">
        <v>227</v>
      </c>
      <c r="X337" s="10" t="s">
        <v>160</v>
      </c>
      <c r="Y337" s="10" t="s">
        <v>3045</v>
      </c>
      <c r="Z337" s="10" t="s">
        <v>1291</v>
      </c>
      <c r="AA337" s="10" t="s">
        <v>3046</v>
      </c>
      <c r="AB337" s="10"/>
      <c r="AC337" s="10"/>
      <c r="AD337" s="10"/>
      <c r="AE337" s="10"/>
      <c r="AF337" s="10"/>
      <c r="AG337" s="44"/>
      <c r="AH337" s="44"/>
      <c r="AI337" s="44" t="s">
        <v>6052</v>
      </c>
      <c r="AJ337" s="44" t="s">
        <v>6052</v>
      </c>
      <c r="AK337" s="44" t="s">
        <v>6052</v>
      </c>
      <c r="AL337" s="44" t="s">
        <v>6052</v>
      </c>
      <c r="AM337" s="44" t="s">
        <v>6052</v>
      </c>
      <c r="AN337" s="44" t="s">
        <v>32860</v>
      </c>
      <c r="AO337" s="45">
        <v>11</v>
      </c>
      <c r="AP337" s="45">
        <v>1</v>
      </c>
      <c r="AQ337" s="45">
        <v>0</v>
      </c>
      <c r="AR337" s="45">
        <v>0</v>
      </c>
      <c r="AS337" s="45">
        <v>0</v>
      </c>
      <c r="AT337" s="45">
        <v>0</v>
      </c>
      <c r="AU337" s="10" t="s">
        <v>6052</v>
      </c>
      <c r="AV337" s="10" t="s">
        <v>6052</v>
      </c>
      <c r="AW337" s="10" t="s">
        <v>6052</v>
      </c>
      <c r="AX337" s="10" t="s">
        <v>6052</v>
      </c>
      <c r="AY337" s="10" t="s">
        <v>32253</v>
      </c>
      <c r="AZ337" s="44" t="s">
        <v>33117</v>
      </c>
      <c r="BA337" s="44" t="s">
        <v>31052</v>
      </c>
      <c r="BB337" s="44" t="s">
        <v>31536</v>
      </c>
      <c r="BC337" s="44" t="s">
        <v>6594</v>
      </c>
      <c r="BD337" s="44" t="s">
        <v>31708</v>
      </c>
      <c r="BE337" s="11">
        <v>1</v>
      </c>
      <c r="BF337" s="11">
        <v>0</v>
      </c>
      <c r="BG337" s="11">
        <v>0</v>
      </c>
      <c r="BH337" s="10" t="s">
        <v>32125</v>
      </c>
      <c r="BI337" s="11">
        <v>100</v>
      </c>
      <c r="BJ337" s="10" t="s">
        <v>33376</v>
      </c>
      <c r="BK337" s="11">
        <v>100</v>
      </c>
    </row>
    <row r="338" spans="1:63" x14ac:dyDescent="0.75">
      <c r="A338" t="s">
        <v>3047</v>
      </c>
      <c r="B338" t="s">
        <v>104</v>
      </c>
      <c r="C338" t="s">
        <v>559</v>
      </c>
      <c r="D338" t="s">
        <v>560</v>
      </c>
      <c r="E338" s="22" t="s">
        <v>19522</v>
      </c>
      <c r="F338" t="s">
        <v>3048</v>
      </c>
      <c r="G338" s="1" t="str">
        <f>HYPERLINK("https://homd.org/jbrowse/?data=homd_V11.02_phage_1.2%2FGCA_015262445.1&amp;loc=GCA_015262445.1%7CJABZST010000031.1%3A975..7823&amp;tracks=prokka,prokka_ncrna,ncbi,ncbi_ncrna,panggolin,cenote,genomad&amp;highlight=","Open JBrowse")</f>
        <v>Open JBrowse</v>
      </c>
      <c r="H338" s="10">
        <v>3975</v>
      </c>
      <c r="I338" s="10">
        <v>4823</v>
      </c>
      <c r="J338" s="10" t="s">
        <v>3049</v>
      </c>
      <c r="K338" s="10" t="s">
        <v>59</v>
      </c>
      <c r="L338" s="10" t="s">
        <v>466</v>
      </c>
      <c r="M338" s="10" t="s">
        <v>467</v>
      </c>
      <c r="N338" s="10" t="s">
        <v>42</v>
      </c>
      <c r="O338" s="10">
        <v>3</v>
      </c>
      <c r="P338" s="10" t="s">
        <v>42</v>
      </c>
      <c r="Q338" s="10" t="s">
        <v>59</v>
      </c>
      <c r="R338" s="10" t="s">
        <v>3050</v>
      </c>
      <c r="S338" s="10" t="s">
        <v>466</v>
      </c>
      <c r="T338" s="10" t="s">
        <v>42</v>
      </c>
      <c r="U338" s="10">
        <v>41</v>
      </c>
      <c r="V338" s="10">
        <v>267</v>
      </c>
      <c r="W338" s="10">
        <v>227</v>
      </c>
      <c r="X338" s="10" t="s">
        <v>160</v>
      </c>
      <c r="Y338" s="10"/>
      <c r="Z338" s="10"/>
      <c r="AA338" s="10"/>
      <c r="AB338" s="10"/>
      <c r="AC338" s="10"/>
      <c r="AD338" s="10"/>
      <c r="AE338" s="10"/>
      <c r="AF338" s="10"/>
      <c r="AG338" s="44"/>
      <c r="AH338" s="44"/>
      <c r="AI338" s="46" t="s">
        <v>6054</v>
      </c>
      <c r="AJ338" s="44" t="s">
        <v>6052</v>
      </c>
      <c r="AK338" s="44" t="s">
        <v>6052</v>
      </c>
      <c r="AL338" s="44" t="s">
        <v>6052</v>
      </c>
      <c r="AM338" s="44" t="s">
        <v>6052</v>
      </c>
      <c r="AN338" s="44" t="s">
        <v>32857</v>
      </c>
      <c r="AO338" s="45">
        <v>11</v>
      </c>
      <c r="AP338" s="45">
        <v>1</v>
      </c>
      <c r="AQ338" s="45">
        <v>0</v>
      </c>
      <c r="AR338" s="45">
        <v>0</v>
      </c>
      <c r="AS338" s="45">
        <v>0</v>
      </c>
      <c r="AT338" s="45">
        <v>0</v>
      </c>
      <c r="AU338" s="10" t="s">
        <v>6052</v>
      </c>
      <c r="AV338" s="10" t="s">
        <v>6052</v>
      </c>
      <c r="AW338" s="10" t="s">
        <v>6052</v>
      </c>
      <c r="AX338" s="10" t="s">
        <v>6052</v>
      </c>
      <c r="AY338" s="10" t="s">
        <v>32253</v>
      </c>
      <c r="AZ338" s="44" t="s">
        <v>33117</v>
      </c>
      <c r="BA338" s="44" t="s">
        <v>31049</v>
      </c>
      <c r="BB338" s="44" t="s">
        <v>31533</v>
      </c>
      <c r="BC338" s="44" t="s">
        <v>6594</v>
      </c>
      <c r="BD338" s="44" t="s">
        <v>31708</v>
      </c>
      <c r="BE338" s="11">
        <v>1</v>
      </c>
      <c r="BF338" s="11">
        <v>0</v>
      </c>
      <c r="BG338" s="11">
        <v>0</v>
      </c>
      <c r="BH338" s="10" t="s">
        <v>32122</v>
      </c>
      <c r="BI338" s="11">
        <v>100</v>
      </c>
      <c r="BJ338" s="10" t="s">
        <v>33375</v>
      </c>
      <c r="BK338" s="11">
        <v>100</v>
      </c>
    </row>
    <row r="339" spans="1:63" x14ac:dyDescent="0.75">
      <c r="A339" t="s">
        <v>3061</v>
      </c>
      <c r="B339" t="s">
        <v>104</v>
      </c>
      <c r="C339" t="s">
        <v>559</v>
      </c>
      <c r="D339" t="s">
        <v>560</v>
      </c>
      <c r="E339" s="22" t="s">
        <v>19531</v>
      </c>
      <c r="F339" t="s">
        <v>3062</v>
      </c>
      <c r="G339" s="1" t="str">
        <f>HYPERLINK("https://homd.org/jbrowse/?data=homd_V11.02_phage_1.2%2FGCA_015262625.1&amp;loc=GCA_015262625.1%7CJABZSL010000001.1%3A312043..318891&amp;tracks=prokka,prokka_ncrna,ncbi,ncbi_ncrna,panggolin,cenote,genomad&amp;highlight=","Open JBrowse")</f>
        <v>Open JBrowse</v>
      </c>
      <c r="H339" s="10">
        <v>315043</v>
      </c>
      <c r="I339" s="10">
        <v>315891</v>
      </c>
      <c r="J339" s="10" t="s">
        <v>3063</v>
      </c>
      <c r="K339" s="10" t="s">
        <v>59</v>
      </c>
      <c r="L339" s="10" t="s">
        <v>466</v>
      </c>
      <c r="M339" s="10" t="s">
        <v>467</v>
      </c>
      <c r="N339" s="10" t="s">
        <v>42</v>
      </c>
      <c r="O339" s="10">
        <v>3</v>
      </c>
      <c r="P339" s="10" t="s">
        <v>42</v>
      </c>
      <c r="Q339" s="10" t="s">
        <v>59</v>
      </c>
      <c r="R339" s="10" t="s">
        <v>3064</v>
      </c>
      <c r="S339" s="10" t="s">
        <v>466</v>
      </c>
      <c r="T339" s="10" t="s">
        <v>42</v>
      </c>
      <c r="U339" s="10">
        <v>41</v>
      </c>
      <c r="V339" s="10">
        <v>267</v>
      </c>
      <c r="W339" s="10">
        <v>227</v>
      </c>
      <c r="X339" s="10" t="s">
        <v>160</v>
      </c>
      <c r="Y339" s="10"/>
      <c r="Z339" s="10"/>
      <c r="AA339" s="10"/>
      <c r="AB339" s="10"/>
      <c r="AC339" s="10"/>
      <c r="AD339" s="10"/>
      <c r="AE339" s="10"/>
      <c r="AF339" s="10"/>
      <c r="AG339" s="44"/>
      <c r="AH339" s="44"/>
      <c r="AI339" s="46" t="s">
        <v>6054</v>
      </c>
      <c r="AJ339" s="44" t="s">
        <v>6052</v>
      </c>
      <c r="AK339" s="44" t="s">
        <v>6052</v>
      </c>
      <c r="AL339" s="44" t="s">
        <v>6052</v>
      </c>
      <c r="AM339" s="44" t="s">
        <v>6052</v>
      </c>
      <c r="AN339" s="44" t="s">
        <v>32837</v>
      </c>
      <c r="AO339" s="45">
        <v>11</v>
      </c>
      <c r="AP339" s="45">
        <v>1</v>
      </c>
      <c r="AQ339" s="45">
        <v>0</v>
      </c>
      <c r="AR339" s="45">
        <v>0</v>
      </c>
      <c r="AS339" s="45">
        <v>0</v>
      </c>
      <c r="AT339" s="45">
        <v>0</v>
      </c>
      <c r="AU339" s="10" t="s">
        <v>6052</v>
      </c>
      <c r="AV339" s="10" t="s">
        <v>6052</v>
      </c>
      <c r="AW339" s="10" t="s">
        <v>6052</v>
      </c>
      <c r="AX339" s="10" t="s">
        <v>6052</v>
      </c>
      <c r="AY339" s="10" t="s">
        <v>32253</v>
      </c>
      <c r="AZ339" s="44" t="s">
        <v>33117</v>
      </c>
      <c r="BA339" s="44" t="s">
        <v>31034</v>
      </c>
      <c r="BB339" s="44" t="s">
        <v>31514</v>
      </c>
      <c r="BC339" s="44" t="s">
        <v>6594</v>
      </c>
      <c r="BD339" s="44" t="s">
        <v>31708</v>
      </c>
      <c r="BE339" s="11">
        <v>1</v>
      </c>
      <c r="BF339" s="11">
        <v>0</v>
      </c>
      <c r="BG339" s="11">
        <v>0</v>
      </c>
      <c r="BH339" s="10" t="s">
        <v>32113</v>
      </c>
      <c r="BI339" s="11">
        <v>100</v>
      </c>
      <c r="BJ339" s="10" t="s">
        <v>33371</v>
      </c>
      <c r="BK339" s="11">
        <v>100</v>
      </c>
    </row>
    <row r="340" spans="1:63" x14ac:dyDescent="0.75">
      <c r="A340" t="s">
        <v>3065</v>
      </c>
      <c r="B340" t="s">
        <v>104</v>
      </c>
      <c r="C340" t="s">
        <v>462</v>
      </c>
      <c r="D340" t="s">
        <v>463</v>
      </c>
      <c r="E340" s="22" t="s">
        <v>19533</v>
      </c>
      <c r="F340" t="s">
        <v>3066</v>
      </c>
      <c r="G340" s="1" t="str">
        <f>HYPERLINK("https://homd.org/jbrowse/?data=homd_V11.02_phage_1.2%2FGCA_015262675.1&amp;loc=GCA_015262675.1%7CJABZSK010000002.1%3A53871..60830&amp;tracks=prokka,prokka_ncrna,ncbi,ncbi_ncrna,panggolin,cenote,genomad&amp;highlight=","Open JBrowse")</f>
        <v>Open JBrowse</v>
      </c>
      <c r="H340" s="10">
        <v>56871</v>
      </c>
      <c r="I340" s="10">
        <v>57830</v>
      </c>
      <c r="J340" s="10" t="s">
        <v>3067</v>
      </c>
      <c r="K340" s="10" t="s">
        <v>59</v>
      </c>
      <c r="L340" s="10" t="s">
        <v>466</v>
      </c>
      <c r="M340" s="10" t="s">
        <v>467</v>
      </c>
      <c r="N340" s="10" t="s">
        <v>398</v>
      </c>
      <c r="O340" s="10">
        <v>3</v>
      </c>
      <c r="P340" s="10" t="s">
        <v>42</v>
      </c>
      <c r="Q340" s="10" t="s">
        <v>59</v>
      </c>
      <c r="R340" s="10" t="s">
        <v>3068</v>
      </c>
      <c r="S340" s="10" t="s">
        <v>466</v>
      </c>
      <c r="T340" s="10" t="s">
        <v>42</v>
      </c>
      <c r="U340" s="10">
        <v>41</v>
      </c>
      <c r="V340" s="10">
        <v>267</v>
      </c>
      <c r="W340" s="10">
        <v>227</v>
      </c>
      <c r="X340" s="10" t="s">
        <v>160</v>
      </c>
      <c r="Y340" s="10" t="s">
        <v>3069</v>
      </c>
      <c r="Z340" s="10" t="s">
        <v>547</v>
      </c>
      <c r="AA340" s="10" t="s">
        <v>1335</v>
      </c>
      <c r="AB340" s="10"/>
      <c r="AC340" s="10"/>
      <c r="AD340" s="10"/>
      <c r="AE340" s="10"/>
      <c r="AF340" s="10"/>
      <c r="AG340" s="44"/>
      <c r="AH340" s="44"/>
      <c r="AI340" s="44" t="s">
        <v>6052</v>
      </c>
      <c r="AJ340" s="44" t="s">
        <v>6052</v>
      </c>
      <c r="AK340" s="44" t="s">
        <v>6052</v>
      </c>
      <c r="AL340" s="44" t="s">
        <v>6052</v>
      </c>
      <c r="AM340" s="44" t="s">
        <v>6052</v>
      </c>
      <c r="AN340" s="44" t="s">
        <v>32850</v>
      </c>
      <c r="AO340" s="45">
        <v>11</v>
      </c>
      <c r="AP340" s="45">
        <v>1</v>
      </c>
      <c r="AQ340" s="45">
        <v>0</v>
      </c>
      <c r="AR340" s="45">
        <v>0</v>
      </c>
      <c r="AS340" s="45">
        <v>0</v>
      </c>
      <c r="AT340" s="45">
        <v>0</v>
      </c>
      <c r="AU340" s="10" t="s">
        <v>6052</v>
      </c>
      <c r="AV340" s="10" t="s">
        <v>6052</v>
      </c>
      <c r="AW340" s="10" t="s">
        <v>6052</v>
      </c>
      <c r="AX340" s="10" t="s">
        <v>6052</v>
      </c>
      <c r="AY340" s="10" t="s">
        <v>32253</v>
      </c>
      <c r="AZ340" s="44" t="s">
        <v>33117</v>
      </c>
      <c r="BA340" s="44" t="s">
        <v>31043</v>
      </c>
      <c r="BB340" s="44" t="s">
        <v>31527</v>
      </c>
      <c r="BC340" s="44" t="s">
        <v>6594</v>
      </c>
      <c r="BD340" s="44" t="s">
        <v>31708</v>
      </c>
      <c r="BE340" s="11">
        <v>1</v>
      </c>
      <c r="BF340" s="11">
        <v>0</v>
      </c>
      <c r="BG340" s="11">
        <v>0</v>
      </c>
      <c r="BH340" s="10" t="s">
        <v>32151</v>
      </c>
      <c r="BI340" s="11">
        <v>100</v>
      </c>
      <c r="BJ340" s="10" t="s">
        <v>33362</v>
      </c>
      <c r="BK340" s="11">
        <v>100</v>
      </c>
    </row>
    <row r="341" spans="1:63" x14ac:dyDescent="0.75">
      <c r="A341" t="s">
        <v>2905</v>
      </c>
      <c r="B341" t="s">
        <v>104</v>
      </c>
      <c r="C341" t="s">
        <v>2376</v>
      </c>
      <c r="D341" t="s">
        <v>2377</v>
      </c>
      <c r="E341" s="22" t="s">
        <v>19268</v>
      </c>
      <c r="F341" t="s">
        <v>2906</v>
      </c>
      <c r="G341" s="1" t="str">
        <f>HYPERLINK("https://homd.org/jbrowse/?data=homd_V11.02_phage_1.2%2FGCA_015257495.1&amp;loc=GCA_015257495.1%7CJABZKA010000003.1%3A156228..163988&amp;tracks=prokka,prokka_ncrna,ncbi,ncbi_ncrna,panggolin,cenote,genomad&amp;highlight=","Open JBrowse")</f>
        <v>Open JBrowse</v>
      </c>
      <c r="H341" s="10">
        <v>159228</v>
      </c>
      <c r="I341" s="10">
        <v>160988</v>
      </c>
      <c r="J341" s="10" t="s">
        <v>2912</v>
      </c>
      <c r="K341" s="10" t="s">
        <v>59</v>
      </c>
      <c r="L341" s="10" t="s">
        <v>2913</v>
      </c>
      <c r="M341" s="10" t="s">
        <v>2914</v>
      </c>
      <c r="N341" s="10" t="s">
        <v>42</v>
      </c>
      <c r="O341" s="10">
        <v>3</v>
      </c>
      <c r="P341" s="10" t="s">
        <v>42</v>
      </c>
      <c r="Q341" s="10" t="s">
        <v>59</v>
      </c>
      <c r="R341" s="10" t="s">
        <v>2908</v>
      </c>
      <c r="S341" s="10" t="s">
        <v>2913</v>
      </c>
      <c r="T341" s="10" t="s">
        <v>42</v>
      </c>
      <c r="U341" s="10">
        <v>58</v>
      </c>
      <c r="V341" s="10">
        <v>320</v>
      </c>
      <c r="W341" s="10">
        <v>263</v>
      </c>
      <c r="X341" s="10" t="s">
        <v>237</v>
      </c>
      <c r="Y341" s="10" t="s">
        <v>2909</v>
      </c>
      <c r="Z341" s="10" t="s">
        <v>836</v>
      </c>
      <c r="AA341" s="10" t="s">
        <v>2910</v>
      </c>
      <c r="AB341" s="10" t="s">
        <v>2911</v>
      </c>
      <c r="AC341" s="10" t="s">
        <v>506</v>
      </c>
      <c r="AD341" s="10" t="s">
        <v>507</v>
      </c>
      <c r="AE341" s="10">
        <v>239</v>
      </c>
      <c r="AF341" s="10" t="s">
        <v>725</v>
      </c>
      <c r="AG341" s="44"/>
      <c r="AH341" s="44"/>
      <c r="AI341" s="44" t="s">
        <v>6052</v>
      </c>
      <c r="AJ341" s="44" t="s">
        <v>6052</v>
      </c>
      <c r="AK341" s="44" t="s">
        <v>6052</v>
      </c>
      <c r="AL341" s="44" t="s">
        <v>6052</v>
      </c>
      <c r="AM341" s="44" t="s">
        <v>6052</v>
      </c>
      <c r="AN341" s="44" t="s">
        <v>32835</v>
      </c>
      <c r="AO341" s="45">
        <v>11</v>
      </c>
      <c r="AP341" s="45">
        <v>1</v>
      </c>
      <c r="AQ341" s="45">
        <v>0</v>
      </c>
      <c r="AR341" s="45">
        <v>0</v>
      </c>
      <c r="AS341" s="45">
        <v>0</v>
      </c>
      <c r="AT341" s="45">
        <v>0</v>
      </c>
      <c r="AU341" s="10" t="s">
        <v>6052</v>
      </c>
      <c r="AV341" s="10" t="s">
        <v>6052</v>
      </c>
      <c r="AW341" s="10" t="s">
        <v>6052</v>
      </c>
      <c r="AX341" s="10" t="s">
        <v>6052</v>
      </c>
      <c r="AY341" s="10" t="s">
        <v>32253</v>
      </c>
      <c r="AZ341" s="44" t="s">
        <v>33117</v>
      </c>
      <c r="BA341" s="44" t="s">
        <v>31033</v>
      </c>
      <c r="BB341" s="44" t="s">
        <v>31512</v>
      </c>
      <c r="BC341" s="44" t="s">
        <v>10700</v>
      </c>
      <c r="BD341" s="44" t="s">
        <v>31711</v>
      </c>
      <c r="BE341" s="11">
        <v>1</v>
      </c>
      <c r="BF341" s="11">
        <v>0</v>
      </c>
      <c r="BG341" s="11">
        <v>0</v>
      </c>
      <c r="BH341" s="10" t="s">
        <v>32033</v>
      </c>
      <c r="BI341" s="11">
        <v>100</v>
      </c>
      <c r="BJ341" s="10" t="s">
        <v>33333</v>
      </c>
      <c r="BK341" s="11">
        <v>96.9</v>
      </c>
    </row>
    <row r="342" spans="1:63" x14ac:dyDescent="0.75">
      <c r="A342" t="s">
        <v>2905</v>
      </c>
      <c r="B342" t="s">
        <v>104</v>
      </c>
      <c r="C342" t="s">
        <v>2376</v>
      </c>
      <c r="D342" t="s">
        <v>2377</v>
      </c>
      <c r="E342" s="22" t="s">
        <v>19268</v>
      </c>
      <c r="F342" t="s">
        <v>2906</v>
      </c>
      <c r="G342" s="1" t="str">
        <f>HYPERLINK("https://homd.org/jbrowse/?data=homd_V11.02_phage_1.2%2FGCA_015257495.1&amp;loc=GCA_015257495.1%7CJABZKA010000003.1%3A154791..162038&amp;tracks=prokka,prokka_ncrna,ncbi,ncbi_ncrna,panggolin,cenote,genomad&amp;highlight=","Open JBrowse")</f>
        <v>Open JBrowse</v>
      </c>
      <c r="H342" s="10">
        <v>157791</v>
      </c>
      <c r="I342" s="10">
        <v>159038</v>
      </c>
      <c r="J342" s="10" t="s">
        <v>2907</v>
      </c>
      <c r="K342" s="10" t="s">
        <v>59</v>
      </c>
      <c r="L342" s="10" t="s">
        <v>2380</v>
      </c>
      <c r="M342" s="10" t="s">
        <v>2381</v>
      </c>
      <c r="N342" s="10" t="s">
        <v>42</v>
      </c>
      <c r="O342" s="10">
        <v>3</v>
      </c>
      <c r="P342" s="10" t="s">
        <v>42</v>
      </c>
      <c r="Q342" s="10" t="s">
        <v>59</v>
      </c>
      <c r="R342" s="10" t="s">
        <v>2908</v>
      </c>
      <c r="S342" s="10" t="s">
        <v>2380</v>
      </c>
      <c r="T342" s="10" t="s">
        <v>42</v>
      </c>
      <c r="U342" s="10">
        <v>59</v>
      </c>
      <c r="V342" s="10">
        <v>310</v>
      </c>
      <c r="W342" s="10">
        <v>252</v>
      </c>
      <c r="X342" s="10" t="s">
        <v>237</v>
      </c>
      <c r="Y342" s="10" t="s">
        <v>2909</v>
      </c>
      <c r="Z342" s="10" t="s">
        <v>836</v>
      </c>
      <c r="AA342" s="10" t="s">
        <v>2910</v>
      </c>
      <c r="AB342" s="10" t="s">
        <v>2911</v>
      </c>
      <c r="AC342" s="10" t="s">
        <v>506</v>
      </c>
      <c r="AD342" s="10" t="s">
        <v>507</v>
      </c>
      <c r="AE342" s="10">
        <v>239</v>
      </c>
      <c r="AF342" s="10" t="s">
        <v>725</v>
      </c>
      <c r="AG342" s="44"/>
      <c r="AH342" s="44"/>
      <c r="AI342" s="44" t="s">
        <v>6052</v>
      </c>
      <c r="AJ342" s="44" t="s">
        <v>6052</v>
      </c>
      <c r="AK342" s="44" t="s">
        <v>6052</v>
      </c>
      <c r="AL342" s="44" t="s">
        <v>6052</v>
      </c>
      <c r="AM342" s="44" t="s">
        <v>6052</v>
      </c>
      <c r="AN342" s="44" t="s">
        <v>32836</v>
      </c>
      <c r="AO342" s="45">
        <v>11</v>
      </c>
      <c r="AP342" s="45">
        <v>1</v>
      </c>
      <c r="AQ342" s="45">
        <v>0</v>
      </c>
      <c r="AR342" s="45">
        <v>0</v>
      </c>
      <c r="AS342" s="45">
        <v>0</v>
      </c>
      <c r="AT342" s="45">
        <v>0</v>
      </c>
      <c r="AU342" s="10" t="s">
        <v>6052</v>
      </c>
      <c r="AV342" s="10" t="s">
        <v>6052</v>
      </c>
      <c r="AW342" s="10" t="s">
        <v>6052</v>
      </c>
      <c r="AX342" s="10" t="s">
        <v>6052</v>
      </c>
      <c r="AY342" s="10" t="s">
        <v>32253</v>
      </c>
      <c r="AZ342" s="44" t="s">
        <v>33117</v>
      </c>
      <c r="BA342" s="44" t="s">
        <v>31033</v>
      </c>
      <c r="BB342" s="44" t="s">
        <v>31513</v>
      </c>
      <c r="BC342" s="44" t="s">
        <v>10700</v>
      </c>
      <c r="BD342" s="44" t="s">
        <v>31711</v>
      </c>
      <c r="BE342" s="11">
        <v>1</v>
      </c>
      <c r="BF342" s="11">
        <v>0</v>
      </c>
      <c r="BG342" s="11">
        <v>0</v>
      </c>
      <c r="BH342" s="10" t="s">
        <v>31886</v>
      </c>
      <c r="BI342" s="11">
        <v>100</v>
      </c>
      <c r="BJ342" s="10" t="s">
        <v>33332</v>
      </c>
      <c r="BK342" s="11">
        <v>100</v>
      </c>
    </row>
    <row r="343" spans="1:63" x14ac:dyDescent="0.75">
      <c r="A343" t="s">
        <v>2915</v>
      </c>
      <c r="B343" t="s">
        <v>104</v>
      </c>
      <c r="C343" t="s">
        <v>2741</v>
      </c>
      <c r="D343" t="s">
        <v>2742</v>
      </c>
      <c r="E343" s="22" t="s">
        <v>19288</v>
      </c>
      <c r="F343" t="s">
        <v>2928</v>
      </c>
      <c r="G343" s="1" t="str">
        <f>HYPERLINK("https://homd.org/jbrowse/?data=homd_V11.02_phage_1.2%2FGCA_015257665.1&amp;loc=GCA_015257665.1%7CJABZJS010000025.1%3A1..7290&amp;tracks=prokka,prokka_ncrna,ncbi,ncbi_ncrna,panggolin,cenote,genomad&amp;highlight=","Open JBrowse")</f>
        <v>Open JBrowse</v>
      </c>
      <c r="H343" s="10">
        <v>2839</v>
      </c>
      <c r="I343" s="10">
        <v>4290</v>
      </c>
      <c r="J343" s="10" t="s">
        <v>2929</v>
      </c>
      <c r="K343" s="10" t="s">
        <v>59</v>
      </c>
      <c r="L343" s="10" t="s">
        <v>2930</v>
      </c>
      <c r="M343" s="10" t="s">
        <v>2931</v>
      </c>
      <c r="N343" s="10" t="s">
        <v>2318</v>
      </c>
      <c r="O343" s="10">
        <v>3</v>
      </c>
      <c r="P343" s="10" t="s">
        <v>42</v>
      </c>
      <c r="Q343" s="10" t="s">
        <v>59</v>
      </c>
      <c r="R343" s="10" t="s">
        <v>2920</v>
      </c>
      <c r="S343" s="10" t="s">
        <v>2930</v>
      </c>
      <c r="T343" s="10" t="s">
        <v>42</v>
      </c>
      <c r="U343" s="10">
        <v>37</v>
      </c>
      <c r="V343" s="10">
        <v>331</v>
      </c>
      <c r="W343" s="10">
        <v>295</v>
      </c>
      <c r="X343" s="10" t="s">
        <v>1629</v>
      </c>
      <c r="Y343" s="10" t="s">
        <v>2932</v>
      </c>
      <c r="Z343" s="10" t="s">
        <v>932</v>
      </c>
      <c r="AA343" s="10" t="s">
        <v>2933</v>
      </c>
      <c r="AB343" s="10"/>
      <c r="AC343" s="10"/>
      <c r="AD343" s="10"/>
      <c r="AE343" s="10"/>
      <c r="AF343" s="10"/>
      <c r="AG343" s="44"/>
      <c r="AH343" s="44"/>
      <c r="AI343" s="44" t="s">
        <v>6052</v>
      </c>
      <c r="AJ343" s="44" t="s">
        <v>6052</v>
      </c>
      <c r="AK343" s="44" t="s">
        <v>6052</v>
      </c>
      <c r="AL343" s="44" t="s">
        <v>6052</v>
      </c>
      <c r="AM343" s="44" t="s">
        <v>6052</v>
      </c>
      <c r="AN343" s="44" t="s">
        <v>32847</v>
      </c>
      <c r="AO343" s="45">
        <v>11</v>
      </c>
      <c r="AP343" s="45">
        <v>1</v>
      </c>
      <c r="AQ343" s="45">
        <v>0</v>
      </c>
      <c r="AR343" s="45">
        <v>0</v>
      </c>
      <c r="AS343" s="45">
        <v>0</v>
      </c>
      <c r="AT343" s="45">
        <v>0</v>
      </c>
      <c r="AU343" s="10" t="s">
        <v>6052</v>
      </c>
      <c r="AV343" s="10" t="s">
        <v>6052</v>
      </c>
      <c r="AW343" s="10" t="s">
        <v>6052</v>
      </c>
      <c r="AX343" s="10" t="s">
        <v>6052</v>
      </c>
      <c r="AY343" s="10" t="s">
        <v>32253</v>
      </c>
      <c r="AZ343" s="44" t="s">
        <v>33116</v>
      </c>
      <c r="BA343" s="44" t="s">
        <v>31042</v>
      </c>
      <c r="BB343" s="44" t="s">
        <v>31524</v>
      </c>
      <c r="BC343" s="44" t="s">
        <v>9421</v>
      </c>
      <c r="BD343" s="44" t="s">
        <v>31716</v>
      </c>
      <c r="BE343" s="11">
        <v>1</v>
      </c>
      <c r="BF343" s="11">
        <v>0</v>
      </c>
      <c r="BG343" s="11">
        <v>0</v>
      </c>
      <c r="BH343" s="10" t="s">
        <v>33162</v>
      </c>
      <c r="BI343" s="11" t="s">
        <v>33162</v>
      </c>
      <c r="BJ343" s="10" t="s">
        <v>33447</v>
      </c>
      <c r="BK343" s="11">
        <v>100</v>
      </c>
    </row>
    <row r="344" spans="1:63" x14ac:dyDescent="0.75">
      <c r="A344" t="s">
        <v>2915</v>
      </c>
      <c r="B344" t="s">
        <v>104</v>
      </c>
      <c r="C344" t="s">
        <v>2741</v>
      </c>
      <c r="D344" t="s">
        <v>2742</v>
      </c>
      <c r="E344" s="22" t="s">
        <v>19288</v>
      </c>
      <c r="F344" t="s">
        <v>2925</v>
      </c>
      <c r="G344" s="1" t="str">
        <f>HYPERLINK("https://homd.org/jbrowse/?data=homd_V11.02_phage_1.2%2FGCA_015257665.1&amp;loc=GCA_015257665.1%7CJABZJS010000022.1%3A1..6393&amp;tracks=prokka,prokka_ncrna,ncbi,ncbi_ncrna,panggolin,cenote,genomad&amp;highlight=","Open JBrowse")</f>
        <v>Open JBrowse</v>
      </c>
      <c r="H344" s="10">
        <v>2152</v>
      </c>
      <c r="I344" s="10">
        <v>3393</v>
      </c>
      <c r="J344" s="10" t="s">
        <v>2926</v>
      </c>
      <c r="K344" s="10" t="s">
        <v>59</v>
      </c>
      <c r="L344" s="10" t="s">
        <v>2927</v>
      </c>
      <c r="M344" s="10" t="s">
        <v>2753</v>
      </c>
      <c r="N344" s="10" t="s">
        <v>2318</v>
      </c>
      <c r="O344" s="10">
        <v>3</v>
      </c>
      <c r="P344" s="10" t="s">
        <v>42</v>
      </c>
      <c r="Q344" s="10" t="s">
        <v>59</v>
      </c>
      <c r="R344" s="10" t="s">
        <v>2920</v>
      </c>
      <c r="S344" s="10" t="s">
        <v>2927</v>
      </c>
      <c r="T344" s="10" t="s">
        <v>42</v>
      </c>
      <c r="U344" s="10">
        <v>44</v>
      </c>
      <c r="V344" s="10">
        <v>323</v>
      </c>
      <c r="W344" s="10">
        <v>280</v>
      </c>
      <c r="X344" s="10" t="s">
        <v>1629</v>
      </c>
      <c r="Y344" s="10"/>
      <c r="Z344" s="10"/>
      <c r="AA344" s="10"/>
      <c r="AB344" s="10"/>
      <c r="AC344" s="10"/>
      <c r="AD344" s="10"/>
      <c r="AE344" s="10"/>
      <c r="AF344" s="10"/>
      <c r="AG344" s="44"/>
      <c r="AH344" s="44"/>
      <c r="AI344" s="46" t="s">
        <v>6054</v>
      </c>
      <c r="AJ344" s="44" t="s">
        <v>6052</v>
      </c>
      <c r="AK344" s="44" t="s">
        <v>6052</v>
      </c>
      <c r="AL344" s="44" t="s">
        <v>6052</v>
      </c>
      <c r="AM344" s="44" t="s">
        <v>6052</v>
      </c>
      <c r="AN344" s="44" t="s">
        <v>32848</v>
      </c>
      <c r="AO344" s="45">
        <v>11</v>
      </c>
      <c r="AP344" s="45">
        <v>1</v>
      </c>
      <c r="AQ344" s="45">
        <v>0</v>
      </c>
      <c r="AR344" s="45">
        <v>0</v>
      </c>
      <c r="AS344" s="45">
        <v>0</v>
      </c>
      <c r="AT344" s="45">
        <v>0</v>
      </c>
      <c r="AU344" s="10" t="s">
        <v>6052</v>
      </c>
      <c r="AV344" s="10" t="s">
        <v>6052</v>
      </c>
      <c r="AW344" s="10" t="s">
        <v>6052</v>
      </c>
      <c r="AX344" s="10" t="s">
        <v>6052</v>
      </c>
      <c r="AY344" s="10" t="s">
        <v>32253</v>
      </c>
      <c r="AZ344" s="44" t="s">
        <v>33117</v>
      </c>
      <c r="BA344" s="44" t="s">
        <v>31042</v>
      </c>
      <c r="BB344" s="44" t="s">
        <v>31525</v>
      </c>
      <c r="BC344" s="44" t="s">
        <v>9421</v>
      </c>
      <c r="BD344" s="44" t="s">
        <v>31716</v>
      </c>
      <c r="BE344" s="11">
        <v>1</v>
      </c>
      <c r="BF344" s="11">
        <v>0</v>
      </c>
      <c r="BG344" s="11">
        <v>0</v>
      </c>
      <c r="BH344" s="10" t="s">
        <v>32220</v>
      </c>
      <c r="BI344" s="11">
        <v>100</v>
      </c>
      <c r="BJ344" s="10" t="s">
        <v>33446</v>
      </c>
      <c r="BK344" s="11">
        <v>100</v>
      </c>
    </row>
    <row r="345" spans="1:63" x14ac:dyDescent="0.75">
      <c r="A345" t="s">
        <v>2915</v>
      </c>
      <c r="B345" t="s">
        <v>104</v>
      </c>
      <c r="C345" t="s">
        <v>2741</v>
      </c>
      <c r="D345" t="s">
        <v>2742</v>
      </c>
      <c r="E345" s="22" t="s">
        <v>19288</v>
      </c>
      <c r="F345" t="s">
        <v>2923</v>
      </c>
      <c r="G345" s="1" t="str">
        <f>HYPERLINK("https://homd.org/jbrowse/?data=homd_V11.02_phage_1.2%2FGCA_015257665.1&amp;loc=GCA_015257665.1%7CJABZJS010000005.1%3A18554..25822&amp;tracks=prokka,prokka_ncrna,ncbi,ncbi_ncrna,panggolin,cenote,genomad&amp;highlight=","Open JBrowse")</f>
        <v>Open JBrowse</v>
      </c>
      <c r="H345" s="10">
        <v>21554</v>
      </c>
      <c r="I345" s="10">
        <v>22822</v>
      </c>
      <c r="J345" s="10" t="s">
        <v>2924</v>
      </c>
      <c r="K345" s="10" t="s">
        <v>375</v>
      </c>
      <c r="L345" s="10" t="s">
        <v>2756</v>
      </c>
      <c r="M345" s="10" t="s">
        <v>2757</v>
      </c>
      <c r="N345" s="10" t="s">
        <v>59</v>
      </c>
      <c r="O345" s="10">
        <v>2</v>
      </c>
      <c r="P345" s="10" t="s">
        <v>42</v>
      </c>
      <c r="Q345" s="10" t="s">
        <v>101</v>
      </c>
      <c r="R345" s="10" t="s">
        <v>2920</v>
      </c>
      <c r="S345" s="10" t="s">
        <v>2756</v>
      </c>
      <c r="T345" s="10" t="s">
        <v>42</v>
      </c>
      <c r="U345" s="10">
        <v>53</v>
      </c>
      <c r="V345" s="10">
        <v>307</v>
      </c>
      <c r="W345" s="10">
        <v>255</v>
      </c>
      <c r="X345" s="10" t="s">
        <v>379</v>
      </c>
      <c r="Y345" s="10"/>
      <c r="Z345" s="10"/>
      <c r="AA345" s="10"/>
      <c r="AB345" s="10"/>
      <c r="AC345" s="10"/>
      <c r="AD345" s="10"/>
      <c r="AE345" s="10"/>
      <c r="AF345" s="10"/>
      <c r="AG345" s="44"/>
      <c r="AH345" s="44"/>
      <c r="AI345" s="46" t="s">
        <v>6054</v>
      </c>
      <c r="AJ345" s="44" t="s">
        <v>6052</v>
      </c>
      <c r="AK345" s="44" t="s">
        <v>6052</v>
      </c>
      <c r="AL345" s="44" t="s">
        <v>6052</v>
      </c>
      <c r="AM345" s="44" t="s">
        <v>6052</v>
      </c>
      <c r="AN345" s="44" t="s">
        <v>32849</v>
      </c>
      <c r="AO345" s="45">
        <v>11</v>
      </c>
      <c r="AP345" s="45">
        <v>1</v>
      </c>
      <c r="AQ345" s="45">
        <v>0</v>
      </c>
      <c r="AR345" s="45">
        <v>0</v>
      </c>
      <c r="AS345" s="45">
        <v>0</v>
      </c>
      <c r="AT345" s="45">
        <v>0</v>
      </c>
      <c r="AU345" s="10" t="s">
        <v>6052</v>
      </c>
      <c r="AV345" s="10" t="s">
        <v>6052</v>
      </c>
      <c r="AW345" s="10" t="s">
        <v>6052</v>
      </c>
      <c r="AX345" s="10" t="s">
        <v>6052</v>
      </c>
      <c r="AY345" s="10" t="s">
        <v>32253</v>
      </c>
      <c r="AZ345" s="44" t="s">
        <v>33117</v>
      </c>
      <c r="BA345" s="44" t="s">
        <v>31042</v>
      </c>
      <c r="BB345" s="44" t="s">
        <v>31526</v>
      </c>
      <c r="BC345" s="44" t="s">
        <v>9421</v>
      </c>
      <c r="BD345" s="44" t="s">
        <v>31716</v>
      </c>
      <c r="BE345" s="11">
        <v>1</v>
      </c>
      <c r="BF345" s="11">
        <v>0</v>
      </c>
      <c r="BG345" s="11">
        <v>0</v>
      </c>
      <c r="BH345" s="10" t="s">
        <v>32213</v>
      </c>
      <c r="BI345" s="11">
        <v>100</v>
      </c>
      <c r="BJ345" s="10" t="s">
        <v>33445</v>
      </c>
      <c r="BK345" s="11">
        <v>100</v>
      </c>
    </row>
    <row r="346" spans="1:63" x14ac:dyDescent="0.75">
      <c r="A346" t="s">
        <v>2915</v>
      </c>
      <c r="B346" t="s">
        <v>104</v>
      </c>
      <c r="C346" t="s">
        <v>2741</v>
      </c>
      <c r="D346" t="s">
        <v>2742</v>
      </c>
      <c r="E346" s="22" t="s">
        <v>19288</v>
      </c>
      <c r="F346" t="s">
        <v>2916</v>
      </c>
      <c r="G346" s="1" t="str">
        <f>HYPERLINK("https://homd.org/jbrowse/?data=homd_V11.02_phage_1.2%2FGCA_015257665.1&amp;loc=GCA_015257665.1%7CJABZJS010000001.1%3A69443..78136&amp;tracks=prokka,prokka_ncrna,ncbi,ncbi_ncrna,panggolin,cenote,genomad&amp;highlight=","Open JBrowse")</f>
        <v>Open JBrowse</v>
      </c>
      <c r="H346" s="10">
        <v>72443</v>
      </c>
      <c r="I346" s="10">
        <v>75136</v>
      </c>
      <c r="J346" s="10" t="s">
        <v>2917</v>
      </c>
      <c r="K346" s="10" t="s">
        <v>59</v>
      </c>
      <c r="L346" s="10" t="s">
        <v>2918</v>
      </c>
      <c r="M346" s="10" t="s">
        <v>2919</v>
      </c>
      <c r="N346" s="10" t="s">
        <v>2318</v>
      </c>
      <c r="O346" s="10">
        <v>3</v>
      </c>
      <c r="P346" s="10" t="s">
        <v>42</v>
      </c>
      <c r="Q346" s="10" t="s">
        <v>59</v>
      </c>
      <c r="R346" s="10" t="s">
        <v>2920</v>
      </c>
      <c r="S346" s="10" t="s">
        <v>2918</v>
      </c>
      <c r="T346" s="10" t="s">
        <v>42</v>
      </c>
      <c r="U346" s="10">
        <v>36</v>
      </c>
      <c r="V346" s="10">
        <v>331</v>
      </c>
      <c r="W346" s="10">
        <v>296</v>
      </c>
      <c r="X346" s="10" t="s">
        <v>1629</v>
      </c>
      <c r="Y346" s="10" t="s">
        <v>2921</v>
      </c>
      <c r="Z346" s="10" t="s">
        <v>368</v>
      </c>
      <c r="AA346" s="10" t="s">
        <v>2922</v>
      </c>
      <c r="AB346" s="10"/>
      <c r="AC346" s="10"/>
      <c r="AD346" s="10"/>
      <c r="AE346" s="10"/>
      <c r="AF346" s="10"/>
      <c r="AG346" s="44"/>
      <c r="AH346" s="44"/>
      <c r="AI346" s="44" t="s">
        <v>6052</v>
      </c>
      <c r="AJ346" s="44" t="s">
        <v>6052</v>
      </c>
      <c r="AK346" s="44" t="s">
        <v>6052</v>
      </c>
      <c r="AL346" s="44" t="s">
        <v>6052</v>
      </c>
      <c r="AM346" s="44" t="s">
        <v>6052</v>
      </c>
      <c r="AN346" s="44" t="s">
        <v>32846</v>
      </c>
      <c r="AO346" s="45">
        <v>11</v>
      </c>
      <c r="AP346" s="45">
        <v>1</v>
      </c>
      <c r="AQ346" s="45">
        <v>0</v>
      </c>
      <c r="AR346" s="45">
        <v>0</v>
      </c>
      <c r="AS346" s="45">
        <v>0</v>
      </c>
      <c r="AT346" s="45">
        <v>0</v>
      </c>
      <c r="AU346" s="10" t="s">
        <v>6052</v>
      </c>
      <c r="AV346" s="10" t="s">
        <v>6052</v>
      </c>
      <c r="AW346" s="10" t="s">
        <v>6052</v>
      </c>
      <c r="AX346" s="10" t="s">
        <v>6052</v>
      </c>
      <c r="AY346" s="10" t="s">
        <v>32253</v>
      </c>
      <c r="AZ346" s="44" t="s">
        <v>33117</v>
      </c>
      <c r="BA346" s="44" t="s">
        <v>31042</v>
      </c>
      <c r="BB346" s="44" t="s">
        <v>31523</v>
      </c>
      <c r="BC346" s="44" t="s">
        <v>9421</v>
      </c>
      <c r="BD346" s="44" t="s">
        <v>31716</v>
      </c>
      <c r="BE346" s="11">
        <v>1</v>
      </c>
      <c r="BF346" s="11">
        <v>0</v>
      </c>
      <c r="BG346" s="11">
        <v>0</v>
      </c>
      <c r="BH346" s="10" t="s">
        <v>33443</v>
      </c>
      <c r="BI346" s="11">
        <v>100</v>
      </c>
      <c r="BJ346" s="10" t="s">
        <v>33444</v>
      </c>
      <c r="BK346" s="11">
        <v>97.8</v>
      </c>
    </row>
    <row r="347" spans="1:63" x14ac:dyDescent="0.75">
      <c r="A347" t="s">
        <v>2953</v>
      </c>
      <c r="B347" t="s">
        <v>104</v>
      </c>
      <c r="C347" t="s">
        <v>746</v>
      </c>
      <c r="D347" t="s">
        <v>747</v>
      </c>
      <c r="E347" s="22" t="s">
        <v>19307</v>
      </c>
      <c r="F347" t="s">
        <v>2954</v>
      </c>
      <c r="G347" s="1" t="str">
        <f>HYPERLINK("https://homd.org/jbrowse/?data=homd_V11.02_phage_1.2%2FGCA_015259405.1&amp;loc=GCA_015259405.1%7CJABZGH010000001.1%3A54340..62115&amp;tracks=prokka,prokka_ncrna,ncbi,ncbi_ncrna,panggolin,cenote,genomad&amp;highlight=","Open JBrowse")</f>
        <v>Open JBrowse</v>
      </c>
      <c r="H347" s="10">
        <v>57340</v>
      </c>
      <c r="I347" s="10">
        <v>59115</v>
      </c>
      <c r="J347" s="10" t="s">
        <v>2955</v>
      </c>
      <c r="K347" s="10" t="s">
        <v>541</v>
      </c>
      <c r="L347" s="10" t="s">
        <v>750</v>
      </c>
      <c r="M347" s="10" t="s">
        <v>751</v>
      </c>
      <c r="N347" s="10" t="s">
        <v>59</v>
      </c>
      <c r="O347" s="10">
        <v>2</v>
      </c>
      <c r="P347" s="10" t="s">
        <v>42</v>
      </c>
      <c r="Q347" s="10" t="s">
        <v>101</v>
      </c>
      <c r="R347" s="10" t="s">
        <v>2956</v>
      </c>
      <c r="S347" s="10" t="s">
        <v>750</v>
      </c>
      <c r="T347" s="10" t="s">
        <v>42</v>
      </c>
      <c r="U347" s="10">
        <v>59</v>
      </c>
      <c r="V347" s="10">
        <v>334</v>
      </c>
      <c r="W347" s="10">
        <v>276</v>
      </c>
      <c r="X347" s="10" t="s">
        <v>545</v>
      </c>
      <c r="Y347" s="10" t="s">
        <v>2957</v>
      </c>
      <c r="Z347" s="10" t="s">
        <v>47</v>
      </c>
      <c r="AA347" s="10" t="s">
        <v>754</v>
      </c>
      <c r="AB347" s="10"/>
      <c r="AC347" s="10"/>
      <c r="AD347" s="10"/>
      <c r="AE347" s="10"/>
      <c r="AF347" s="10"/>
      <c r="AG347" s="44"/>
      <c r="AH347" s="44"/>
      <c r="AI347" s="44" t="s">
        <v>6052</v>
      </c>
      <c r="AJ347" s="44" t="s">
        <v>6052</v>
      </c>
      <c r="AK347" s="44" t="s">
        <v>6052</v>
      </c>
      <c r="AL347" s="44" t="s">
        <v>6052</v>
      </c>
      <c r="AM347" s="44" t="s">
        <v>6052</v>
      </c>
      <c r="AN347" s="44" t="s">
        <v>32858</v>
      </c>
      <c r="AO347" s="45">
        <v>11</v>
      </c>
      <c r="AP347" s="45">
        <v>1</v>
      </c>
      <c r="AQ347" s="45">
        <v>0</v>
      </c>
      <c r="AR347" s="45">
        <v>0</v>
      </c>
      <c r="AS347" s="45">
        <v>0</v>
      </c>
      <c r="AT347" s="45">
        <v>0</v>
      </c>
      <c r="AU347" s="10" t="s">
        <v>6052</v>
      </c>
      <c r="AV347" s="10" t="s">
        <v>6052</v>
      </c>
      <c r="AW347" s="10" t="s">
        <v>6052</v>
      </c>
      <c r="AX347" s="10" t="s">
        <v>6052</v>
      </c>
      <c r="AY347" s="10" t="s">
        <v>32253</v>
      </c>
      <c r="AZ347" s="44" t="s">
        <v>33117</v>
      </c>
      <c r="BA347" s="44" t="s">
        <v>31050</v>
      </c>
      <c r="BB347" s="44" t="s">
        <v>31534</v>
      </c>
      <c r="BC347" s="44" t="s">
        <v>6696</v>
      </c>
      <c r="BD347" s="44" t="s">
        <v>31714</v>
      </c>
      <c r="BE347" s="11">
        <v>1</v>
      </c>
      <c r="BF347" s="11">
        <v>0</v>
      </c>
      <c r="BG347" s="11">
        <v>0</v>
      </c>
      <c r="BH347" s="10" t="s">
        <v>32205</v>
      </c>
      <c r="BI347" s="11">
        <v>100</v>
      </c>
      <c r="BJ347" s="10" t="s">
        <v>33456</v>
      </c>
      <c r="BK347" s="11">
        <v>95.4</v>
      </c>
    </row>
    <row r="348" spans="1:63" x14ac:dyDescent="0.75">
      <c r="A348" t="s">
        <v>2948</v>
      </c>
      <c r="B348" t="s">
        <v>104</v>
      </c>
      <c r="C348" t="s">
        <v>746</v>
      </c>
      <c r="D348" t="s">
        <v>747</v>
      </c>
      <c r="E348" s="22" t="s">
        <v>19305</v>
      </c>
      <c r="F348" t="s">
        <v>2949</v>
      </c>
      <c r="G348" s="1" t="str">
        <f>HYPERLINK("https://homd.org/jbrowse/?data=homd_V11.02_phage_1.2%2FGCA_015259385.1&amp;loc=GCA_015259385.1%7CJABZGJ010000083.1%3A1..6476&amp;tracks=prokka,prokka_ncrna,ncbi,ncbi_ncrna,panggolin,cenote,genomad&amp;highlight=","Open JBrowse")</f>
        <v>Open JBrowse</v>
      </c>
      <c r="H348" s="10">
        <v>1701</v>
      </c>
      <c r="I348" s="10">
        <v>3476</v>
      </c>
      <c r="J348" s="10" t="s">
        <v>2950</v>
      </c>
      <c r="K348" s="10" t="s">
        <v>541</v>
      </c>
      <c r="L348" s="10" t="s">
        <v>750</v>
      </c>
      <c r="M348" s="10" t="s">
        <v>751</v>
      </c>
      <c r="N348" s="10" t="s">
        <v>59</v>
      </c>
      <c r="O348" s="10">
        <v>2</v>
      </c>
      <c r="P348" s="10" t="s">
        <v>42</v>
      </c>
      <c r="Q348" s="10" t="s">
        <v>101</v>
      </c>
      <c r="R348" s="10" t="s">
        <v>2951</v>
      </c>
      <c r="S348" s="10" t="s">
        <v>750</v>
      </c>
      <c r="T348" s="10" t="s">
        <v>42</v>
      </c>
      <c r="U348" s="10">
        <v>59</v>
      </c>
      <c r="V348" s="10">
        <v>334</v>
      </c>
      <c r="W348" s="10">
        <v>276</v>
      </c>
      <c r="X348" s="10" t="s">
        <v>545</v>
      </c>
      <c r="Y348" s="10" t="s">
        <v>2952</v>
      </c>
      <c r="Z348" s="10" t="s">
        <v>1327</v>
      </c>
      <c r="AA348" s="10" t="s">
        <v>754</v>
      </c>
      <c r="AB348" s="10"/>
      <c r="AC348" s="10"/>
      <c r="AD348" s="10"/>
      <c r="AE348" s="10"/>
      <c r="AF348" s="10"/>
      <c r="AG348" s="44"/>
      <c r="AH348" s="44"/>
      <c r="AI348" s="44" t="s">
        <v>6052</v>
      </c>
      <c r="AJ348" s="44" t="s">
        <v>6052</v>
      </c>
      <c r="AK348" s="44" t="s">
        <v>6052</v>
      </c>
      <c r="AL348" s="44" t="s">
        <v>6052</v>
      </c>
      <c r="AM348" s="44" t="s">
        <v>6052</v>
      </c>
      <c r="AN348" s="44" t="s">
        <v>32838</v>
      </c>
      <c r="AO348" s="45">
        <v>11</v>
      </c>
      <c r="AP348" s="45">
        <v>1</v>
      </c>
      <c r="AQ348" s="45">
        <v>0</v>
      </c>
      <c r="AR348" s="45">
        <v>0</v>
      </c>
      <c r="AS348" s="45">
        <v>0</v>
      </c>
      <c r="AT348" s="45">
        <v>0</v>
      </c>
      <c r="AU348" s="10" t="s">
        <v>6052</v>
      </c>
      <c r="AV348" s="10" t="s">
        <v>6052</v>
      </c>
      <c r="AW348" s="10" t="s">
        <v>6052</v>
      </c>
      <c r="AX348" s="10" t="s">
        <v>6052</v>
      </c>
      <c r="AY348" s="10" t="s">
        <v>32253</v>
      </c>
      <c r="AZ348" s="44" t="s">
        <v>33117</v>
      </c>
      <c r="BA348" s="44" t="s">
        <v>31035</v>
      </c>
      <c r="BB348" s="44" t="s">
        <v>31515</v>
      </c>
      <c r="BC348" s="44" t="s">
        <v>6696</v>
      </c>
      <c r="BD348" s="44" t="s">
        <v>31714</v>
      </c>
      <c r="BE348" s="11">
        <v>1</v>
      </c>
      <c r="BF348" s="11">
        <v>0</v>
      </c>
      <c r="BG348" s="11">
        <v>0</v>
      </c>
      <c r="BH348" s="10" t="s">
        <v>32208</v>
      </c>
      <c r="BI348" s="11">
        <v>100</v>
      </c>
      <c r="BJ348" s="10" t="s">
        <v>33457</v>
      </c>
      <c r="BK348" s="11">
        <v>100</v>
      </c>
    </row>
    <row r="349" spans="1:63" x14ac:dyDescent="0.75">
      <c r="A349" t="s">
        <v>2958</v>
      </c>
      <c r="B349" t="s">
        <v>104</v>
      </c>
      <c r="C349" t="s">
        <v>610</v>
      </c>
      <c r="D349" t="s">
        <v>611</v>
      </c>
      <c r="E349" s="22" t="s">
        <v>19309</v>
      </c>
      <c r="F349" t="s">
        <v>2959</v>
      </c>
      <c r="G349" s="1" t="str">
        <f>HYPERLINK("https://homd.org/jbrowse/?data=homd_V11.02_phage_1.2%2FGCA_015259495.1&amp;loc=GCA_015259495.1%7CJABZGB010000026.1%3A1..4051&amp;tracks=prokka,prokka_ncrna,ncbi,ncbi_ncrna,panggolin,cenote,genomad&amp;highlight=","Open JBrowse")</f>
        <v>Open JBrowse</v>
      </c>
      <c r="H349" s="10">
        <v>107</v>
      </c>
      <c r="I349" s="10">
        <v>1051</v>
      </c>
      <c r="J349" s="10" t="s">
        <v>2960</v>
      </c>
      <c r="K349" s="10" t="s">
        <v>614</v>
      </c>
      <c r="L349" s="10" t="s">
        <v>615</v>
      </c>
      <c r="M349" s="10" t="s">
        <v>616</v>
      </c>
      <c r="N349" s="10" t="s">
        <v>59</v>
      </c>
      <c r="O349" s="10">
        <v>2</v>
      </c>
      <c r="P349" s="10" t="s">
        <v>42</v>
      </c>
      <c r="Q349" s="10" t="s">
        <v>101</v>
      </c>
      <c r="R349" s="10" t="s">
        <v>2961</v>
      </c>
      <c r="S349" s="10" t="s">
        <v>615</v>
      </c>
      <c r="T349" s="10" t="s">
        <v>42</v>
      </c>
      <c r="U349" s="10">
        <v>52</v>
      </c>
      <c r="V349" s="10">
        <v>311</v>
      </c>
      <c r="W349" s="10">
        <v>260</v>
      </c>
      <c r="X349" s="10" t="s">
        <v>618</v>
      </c>
      <c r="Y349" s="10" t="s">
        <v>2962</v>
      </c>
      <c r="Z349" s="10" t="s">
        <v>126</v>
      </c>
      <c r="AA349" s="10" t="s">
        <v>2963</v>
      </c>
      <c r="AB349" s="10"/>
      <c r="AC349" s="10"/>
      <c r="AD349" s="10"/>
      <c r="AE349" s="10"/>
      <c r="AF349" s="10"/>
      <c r="AG349" s="44"/>
      <c r="AH349" s="44"/>
      <c r="AI349" s="44" t="s">
        <v>6052</v>
      </c>
      <c r="AJ349" s="44" t="s">
        <v>6052</v>
      </c>
      <c r="AK349" s="44" t="s">
        <v>6052</v>
      </c>
      <c r="AL349" s="44" t="s">
        <v>6052</v>
      </c>
      <c r="AM349" s="44" t="s">
        <v>6052</v>
      </c>
      <c r="AN349" s="44" t="s">
        <v>32845</v>
      </c>
      <c r="AO349" s="45">
        <v>11</v>
      </c>
      <c r="AP349" s="45">
        <v>1</v>
      </c>
      <c r="AQ349" s="45">
        <v>0</v>
      </c>
      <c r="AR349" s="45">
        <v>0</v>
      </c>
      <c r="AS349" s="45">
        <v>0</v>
      </c>
      <c r="AT349" s="45">
        <v>0</v>
      </c>
      <c r="AU349" s="10" t="s">
        <v>6052</v>
      </c>
      <c r="AV349" s="10" t="s">
        <v>6052</v>
      </c>
      <c r="AW349" s="10" t="s">
        <v>6052</v>
      </c>
      <c r="AX349" s="10" t="s">
        <v>6052</v>
      </c>
      <c r="AY349" s="10" t="s">
        <v>32253</v>
      </c>
      <c r="AZ349" s="44" t="s">
        <v>33118</v>
      </c>
      <c r="BA349" s="44" t="s">
        <v>31041</v>
      </c>
      <c r="BB349" s="44" t="s">
        <v>31522</v>
      </c>
      <c r="BC349" s="44" t="s">
        <v>7190</v>
      </c>
      <c r="BD349" s="44" t="s">
        <v>31712</v>
      </c>
      <c r="BE349" s="11">
        <v>1</v>
      </c>
      <c r="BF349" s="11">
        <v>0</v>
      </c>
      <c r="BG349" s="11">
        <v>0</v>
      </c>
      <c r="BH349" s="10" t="s">
        <v>31945</v>
      </c>
      <c r="BI349" s="11">
        <v>100</v>
      </c>
      <c r="BJ349" s="10" t="s">
        <v>33177</v>
      </c>
      <c r="BK349" s="11">
        <v>100</v>
      </c>
    </row>
    <row r="350" spans="1:63" x14ac:dyDescent="0.75">
      <c r="A350" t="s">
        <v>2853</v>
      </c>
      <c r="B350" t="s">
        <v>104</v>
      </c>
      <c r="C350" t="s">
        <v>567</v>
      </c>
      <c r="D350" t="s">
        <v>568</v>
      </c>
      <c r="E350" s="22" t="s">
        <v>18856</v>
      </c>
      <c r="F350" t="s">
        <v>2854</v>
      </c>
      <c r="G350" s="1" t="str">
        <f>HYPERLINK("https://homd.org/jbrowse/?data=homd_V11.02_phage_1.2%2FGCA_014195585.1&amp;loc=GCA_014195585.1%7CJACICA010000001.1%3A289256..298474&amp;tracks=prokka,prokka_ncrna,ncbi,ncbi_ncrna,panggolin,cenote,genomad&amp;highlight=","Open JBrowse")</f>
        <v>Open JBrowse</v>
      </c>
      <c r="H350" s="10">
        <v>292256</v>
      </c>
      <c r="I350" s="10">
        <v>295474</v>
      </c>
      <c r="J350" s="10" t="s">
        <v>2855</v>
      </c>
      <c r="K350" s="10" t="s">
        <v>59</v>
      </c>
      <c r="L350" s="10" t="s">
        <v>571</v>
      </c>
      <c r="M350" s="10" t="s">
        <v>572</v>
      </c>
      <c r="N350" s="10" t="s">
        <v>573</v>
      </c>
      <c r="O350" s="10">
        <v>3</v>
      </c>
      <c r="P350" s="10" t="s">
        <v>42</v>
      </c>
      <c r="Q350" s="10" t="s">
        <v>59</v>
      </c>
      <c r="R350" s="10" t="s">
        <v>2856</v>
      </c>
      <c r="S350" s="10" t="s">
        <v>571</v>
      </c>
      <c r="T350" s="10" t="s">
        <v>42</v>
      </c>
      <c r="U350" s="10">
        <v>793</v>
      </c>
      <c r="V350" s="10">
        <v>1025</v>
      </c>
      <c r="W350" s="10">
        <v>233</v>
      </c>
      <c r="X350" s="10" t="s">
        <v>160</v>
      </c>
      <c r="Y350" s="10" t="s">
        <v>2857</v>
      </c>
      <c r="Z350" s="10" t="s">
        <v>586</v>
      </c>
      <c r="AA350" s="10" t="s">
        <v>2858</v>
      </c>
      <c r="AB350" s="10"/>
      <c r="AC350" s="10"/>
      <c r="AD350" s="10"/>
      <c r="AE350" s="10"/>
      <c r="AF350" s="10"/>
      <c r="AG350" s="44"/>
      <c r="AH350" s="44"/>
      <c r="AI350" s="44" t="s">
        <v>6052</v>
      </c>
      <c r="AJ350" s="44" t="s">
        <v>6052</v>
      </c>
      <c r="AK350" s="44" t="s">
        <v>6052</v>
      </c>
      <c r="AL350" s="44" t="s">
        <v>6052</v>
      </c>
      <c r="AM350" s="44" t="s">
        <v>6052</v>
      </c>
      <c r="AN350" s="44" t="s">
        <v>32624</v>
      </c>
      <c r="AO350" s="45">
        <v>11</v>
      </c>
      <c r="AP350" s="45">
        <v>1</v>
      </c>
      <c r="AQ350" s="45">
        <v>0</v>
      </c>
      <c r="AR350" s="45">
        <v>0</v>
      </c>
      <c r="AS350" s="45">
        <v>0</v>
      </c>
      <c r="AT350" s="45">
        <v>0</v>
      </c>
      <c r="AU350" s="10" t="s">
        <v>6052</v>
      </c>
      <c r="AV350" s="10" t="s">
        <v>6052</v>
      </c>
      <c r="AW350" s="10" t="s">
        <v>6052</v>
      </c>
      <c r="AX350" s="10" t="s">
        <v>6052</v>
      </c>
      <c r="AY350" s="10" t="s">
        <v>32253</v>
      </c>
      <c r="AZ350" s="44" t="s">
        <v>33117</v>
      </c>
      <c r="BA350" s="44" t="s">
        <v>30942</v>
      </c>
      <c r="BB350" s="44" t="s">
        <v>31380</v>
      </c>
      <c r="BC350" s="44" t="s">
        <v>6851</v>
      </c>
      <c r="BD350" s="44" t="s">
        <v>31718</v>
      </c>
      <c r="BE350" s="11">
        <v>1</v>
      </c>
      <c r="BF350" s="11">
        <v>0</v>
      </c>
      <c r="BG350" s="11">
        <v>0</v>
      </c>
      <c r="BH350" s="10" t="s">
        <v>32168</v>
      </c>
      <c r="BI350" s="11">
        <v>100</v>
      </c>
      <c r="BJ350" s="10" t="s">
        <v>33211</v>
      </c>
      <c r="BK350" s="11">
        <v>100</v>
      </c>
    </row>
    <row r="351" spans="1:63" x14ac:dyDescent="0.75">
      <c r="A351" t="s">
        <v>2784</v>
      </c>
      <c r="B351" t="s">
        <v>104</v>
      </c>
      <c r="C351" t="s">
        <v>2731</v>
      </c>
      <c r="D351" t="s">
        <v>2732</v>
      </c>
      <c r="E351" s="22" t="s">
        <v>30844</v>
      </c>
      <c r="F351" t="s">
        <v>2785</v>
      </c>
      <c r="G351" s="1" t="str">
        <f>HYPERLINK("https://homd.org/jbrowse/?data=homd_V11.02_phage_1.2%2FGCA_013333915.2&amp;loc=GCA_013333915.2%7CJABCNX020000014.1%3A9264..16196&amp;tracks=prokka,prokka_ncrna,ncbi,ncbi_ncrna,panggolin,cenote,genomad&amp;highlight=","Open JBrowse")</f>
        <v>Open JBrowse</v>
      </c>
      <c r="H351" s="10">
        <v>12264</v>
      </c>
      <c r="I351" s="10">
        <v>13196</v>
      </c>
      <c r="J351" s="10" t="s">
        <v>2786</v>
      </c>
      <c r="K351" s="10" t="s">
        <v>39</v>
      </c>
      <c r="L351" s="10" t="s">
        <v>2735</v>
      </c>
      <c r="M351" s="10" t="s">
        <v>2736</v>
      </c>
      <c r="N351" s="10" t="s">
        <v>59</v>
      </c>
      <c r="O351" s="10">
        <v>2</v>
      </c>
      <c r="P351" s="10" t="s">
        <v>42</v>
      </c>
      <c r="Q351" s="10" t="s">
        <v>43</v>
      </c>
      <c r="R351" s="10" t="s">
        <v>2787</v>
      </c>
      <c r="S351" s="10" t="s">
        <v>2735</v>
      </c>
      <c r="T351" s="10" t="s">
        <v>42</v>
      </c>
      <c r="U351" s="10">
        <v>78</v>
      </c>
      <c r="V351" s="10">
        <v>307</v>
      </c>
      <c r="W351" s="10">
        <v>230</v>
      </c>
      <c r="X351" s="10" t="s">
        <v>45</v>
      </c>
      <c r="Y351" s="10" t="s">
        <v>2788</v>
      </c>
      <c r="Z351" s="10" t="s">
        <v>368</v>
      </c>
      <c r="AA351" s="10" t="s">
        <v>2789</v>
      </c>
      <c r="AB351" s="10"/>
      <c r="AC351" s="10"/>
      <c r="AD351" s="10"/>
      <c r="AE351" s="10"/>
      <c r="AF351" s="10"/>
      <c r="AG351" s="44"/>
      <c r="AH351" s="44"/>
      <c r="AI351" s="44" t="s">
        <v>6052</v>
      </c>
      <c r="AJ351" s="44" t="s">
        <v>6052</v>
      </c>
      <c r="AK351" s="44" t="s">
        <v>6052</v>
      </c>
      <c r="AL351" s="44" t="s">
        <v>6052</v>
      </c>
      <c r="AM351" s="44" t="s">
        <v>6052</v>
      </c>
      <c r="AN351" s="44" t="s">
        <v>32272</v>
      </c>
      <c r="AO351" s="45">
        <v>11</v>
      </c>
      <c r="AP351" s="45">
        <v>1</v>
      </c>
      <c r="AQ351" s="45">
        <v>0</v>
      </c>
      <c r="AR351" s="45">
        <v>0</v>
      </c>
      <c r="AS351" s="45">
        <v>0</v>
      </c>
      <c r="AT351" s="45">
        <v>0</v>
      </c>
      <c r="AU351" s="10" t="s">
        <v>6052</v>
      </c>
      <c r="AV351" s="10" t="s">
        <v>6052</v>
      </c>
      <c r="AW351" s="10" t="s">
        <v>6052</v>
      </c>
      <c r="AX351" s="10" t="s">
        <v>6052</v>
      </c>
      <c r="AY351" s="10" t="s">
        <v>32253</v>
      </c>
      <c r="AZ351" s="44" t="s">
        <v>33116</v>
      </c>
      <c r="BA351" s="44" t="s">
        <v>30848</v>
      </c>
      <c r="BB351" s="44" t="s">
        <v>31167</v>
      </c>
      <c r="BC351" s="44" t="s">
        <v>15212</v>
      </c>
      <c r="BD351" s="44" t="s">
        <v>31725</v>
      </c>
      <c r="BE351" s="11">
        <v>1</v>
      </c>
      <c r="BF351" s="11">
        <v>0</v>
      </c>
      <c r="BG351" s="11">
        <v>0</v>
      </c>
      <c r="BH351" s="10" t="s">
        <v>32210</v>
      </c>
      <c r="BI351" s="11">
        <v>100</v>
      </c>
      <c r="BJ351" s="10" t="s">
        <v>33175</v>
      </c>
      <c r="BK351" s="11">
        <v>100</v>
      </c>
    </row>
    <row r="352" spans="1:63" x14ac:dyDescent="0.75">
      <c r="A352" t="s">
        <v>2758</v>
      </c>
      <c r="B352" t="s">
        <v>104</v>
      </c>
      <c r="C352" t="s">
        <v>514</v>
      </c>
      <c r="D352" t="s">
        <v>515</v>
      </c>
      <c r="E352" s="22" t="s">
        <v>30844</v>
      </c>
      <c r="F352" t="s">
        <v>2759</v>
      </c>
      <c r="G352" s="1" t="str">
        <f>HYPERLINK("https://homd.org/jbrowse/?data=homd_V11.02_phage_1.2%2FGCA_013333705.2&amp;loc=GCA_013333705.2%7CJABCOI020000012.1%3A1025..7864&amp;tracks=prokka,prokka_ncrna,ncbi,ncbi_ncrna,panggolin,cenote,genomad&amp;highlight=","Open JBrowse")</f>
        <v>Open JBrowse</v>
      </c>
      <c r="H352" s="10">
        <v>4025</v>
      </c>
      <c r="I352" s="10">
        <v>4864</v>
      </c>
      <c r="J352" s="10" t="s">
        <v>2760</v>
      </c>
      <c r="K352" s="10" t="s">
        <v>39</v>
      </c>
      <c r="L352" s="10" t="s">
        <v>2761</v>
      </c>
      <c r="M352" s="10" t="s">
        <v>2762</v>
      </c>
      <c r="N352" s="10" t="s">
        <v>42</v>
      </c>
      <c r="O352" s="10">
        <v>3</v>
      </c>
      <c r="P352" s="10" t="s">
        <v>42</v>
      </c>
      <c r="Q352" s="10" t="s">
        <v>43</v>
      </c>
      <c r="R352" s="10" t="s">
        <v>2763</v>
      </c>
      <c r="S352" s="10" t="s">
        <v>2761</v>
      </c>
      <c r="T352" s="10" t="s">
        <v>42</v>
      </c>
      <c r="U352" s="10">
        <v>48</v>
      </c>
      <c r="V352" s="10">
        <v>275</v>
      </c>
      <c r="W352" s="10">
        <v>228</v>
      </c>
      <c r="X352" s="10" t="s">
        <v>45</v>
      </c>
      <c r="Y352" s="10" t="s">
        <v>2764</v>
      </c>
      <c r="Z352" s="10" t="s">
        <v>1257</v>
      </c>
      <c r="AA352" s="10" t="s">
        <v>2765</v>
      </c>
      <c r="AB352" s="10"/>
      <c r="AC352" s="10"/>
      <c r="AD352" s="10"/>
      <c r="AE352" s="10"/>
      <c r="AF352" s="10"/>
      <c r="AG352" s="44"/>
      <c r="AH352" s="44"/>
      <c r="AI352" s="44" t="s">
        <v>6052</v>
      </c>
      <c r="AJ352" s="44" t="s">
        <v>6052</v>
      </c>
      <c r="AK352" s="44" t="s">
        <v>6062</v>
      </c>
      <c r="AL352" s="44" t="s">
        <v>6052</v>
      </c>
      <c r="AM352" s="44" t="s">
        <v>6052</v>
      </c>
      <c r="AN352" s="44" t="s">
        <v>32439</v>
      </c>
      <c r="AO352" s="45">
        <v>11</v>
      </c>
      <c r="AP352" s="45">
        <v>1</v>
      </c>
      <c r="AQ352" s="45">
        <v>1</v>
      </c>
      <c r="AR352" s="45">
        <v>0</v>
      </c>
      <c r="AS352" s="45">
        <v>0</v>
      </c>
      <c r="AT352" s="45">
        <v>0</v>
      </c>
      <c r="AU352" s="10" t="s">
        <v>32440</v>
      </c>
      <c r="AV352" s="10" t="s">
        <v>6052</v>
      </c>
      <c r="AW352" s="10" t="s">
        <v>6052</v>
      </c>
      <c r="AX352" s="10" t="s">
        <v>6052</v>
      </c>
      <c r="AY352" s="10" t="s">
        <v>32441</v>
      </c>
      <c r="AZ352" s="44" t="s">
        <v>33116</v>
      </c>
      <c r="BA352" s="44" t="s">
        <v>30873</v>
      </c>
      <c r="BB352" s="44" t="s">
        <v>31281</v>
      </c>
      <c r="BC352" s="44" t="s">
        <v>6415</v>
      </c>
      <c r="BD352" s="44" t="s">
        <v>31707</v>
      </c>
      <c r="BE352" s="11">
        <v>1</v>
      </c>
      <c r="BF352" s="11">
        <v>0</v>
      </c>
      <c r="BG352" s="11">
        <v>0</v>
      </c>
      <c r="BH352" s="10" t="s">
        <v>31825</v>
      </c>
      <c r="BI352" s="11">
        <v>100</v>
      </c>
      <c r="BJ352" s="10" t="s">
        <v>33494</v>
      </c>
      <c r="BK352" s="11">
        <v>100</v>
      </c>
    </row>
    <row r="353" spans="1:63" x14ac:dyDescent="0.75">
      <c r="A353" t="s">
        <v>2774</v>
      </c>
      <c r="B353" t="s">
        <v>104</v>
      </c>
      <c r="C353" t="s">
        <v>2741</v>
      </c>
      <c r="D353" t="s">
        <v>2742</v>
      </c>
      <c r="E353" s="22" t="s">
        <v>30844</v>
      </c>
      <c r="F353" t="s">
        <v>2780</v>
      </c>
      <c r="G353" s="1" t="str">
        <f>HYPERLINK("https://homd.org/jbrowse/?data=homd_V11.02_phage_1.2%2FGCA_013333765.2&amp;loc=GCA_013333765.2%7CJABCOG020000121.1%3A60..6896&amp;tracks=prokka,prokka_ncrna,ncbi,ncbi_ncrna,panggolin,cenote,genomad&amp;highlight=","Open JBrowse")</f>
        <v>Open JBrowse</v>
      </c>
      <c r="H353" s="10">
        <v>3060</v>
      </c>
      <c r="I353" s="10">
        <v>3896</v>
      </c>
      <c r="J353" s="10" t="s">
        <v>2781</v>
      </c>
      <c r="K353" s="10" t="s">
        <v>59</v>
      </c>
      <c r="L353" s="10" t="s">
        <v>2782</v>
      </c>
      <c r="M353" s="10" t="s">
        <v>2783</v>
      </c>
      <c r="N353" s="10" t="s">
        <v>59</v>
      </c>
      <c r="O353" s="10">
        <v>2</v>
      </c>
      <c r="P353" s="10" t="s">
        <v>42</v>
      </c>
      <c r="Q353" s="10" t="s">
        <v>59</v>
      </c>
      <c r="R353" s="10" t="s">
        <v>2777</v>
      </c>
      <c r="S353" s="10" t="s">
        <v>2782</v>
      </c>
      <c r="T353" s="10" t="s">
        <v>42</v>
      </c>
      <c r="U353" s="10">
        <v>2</v>
      </c>
      <c r="V353" s="10">
        <v>190</v>
      </c>
      <c r="W353" s="10">
        <v>189</v>
      </c>
      <c r="X353" s="10" t="s">
        <v>1629</v>
      </c>
      <c r="Y353" s="10"/>
      <c r="Z353" s="10"/>
      <c r="AA353" s="10"/>
      <c r="AB353" s="10"/>
      <c r="AC353" s="10"/>
      <c r="AD353" s="10"/>
      <c r="AE353" s="10"/>
      <c r="AF353" s="10"/>
      <c r="AG353" s="44"/>
      <c r="AH353" s="44"/>
      <c r="AI353" s="46" t="s">
        <v>6054</v>
      </c>
      <c r="AJ353" s="44" t="s">
        <v>6052</v>
      </c>
      <c r="AK353" s="44" t="s">
        <v>6052</v>
      </c>
      <c r="AL353" s="44" t="s">
        <v>6052</v>
      </c>
      <c r="AM353" s="44" t="s">
        <v>6052</v>
      </c>
      <c r="AN353" s="44" t="s">
        <v>32348</v>
      </c>
      <c r="AO353" s="45">
        <v>11</v>
      </c>
      <c r="AP353" s="45">
        <v>1</v>
      </c>
      <c r="AQ353" s="45">
        <v>0</v>
      </c>
      <c r="AR353" s="45">
        <v>0</v>
      </c>
      <c r="AS353" s="45">
        <v>0</v>
      </c>
      <c r="AT353" s="45">
        <v>0</v>
      </c>
      <c r="AU353" s="10" t="s">
        <v>6052</v>
      </c>
      <c r="AV353" s="10" t="s">
        <v>6052</v>
      </c>
      <c r="AW353" s="10" t="s">
        <v>6052</v>
      </c>
      <c r="AX353" s="10" t="s">
        <v>6052</v>
      </c>
      <c r="AY353" s="10" t="s">
        <v>32253</v>
      </c>
      <c r="AZ353" s="44" t="s">
        <v>33110</v>
      </c>
      <c r="BA353" s="44" t="s">
        <v>30864</v>
      </c>
      <c r="BB353" s="44" t="s">
        <v>31233</v>
      </c>
      <c r="BC353" s="44" t="s">
        <v>9421</v>
      </c>
      <c r="BD353" s="44" t="s">
        <v>31716</v>
      </c>
      <c r="BE353" s="11">
        <v>1</v>
      </c>
      <c r="BF353" s="11">
        <v>0</v>
      </c>
      <c r="BG353" s="11">
        <v>0</v>
      </c>
      <c r="BH353" s="10" t="s">
        <v>32241</v>
      </c>
      <c r="BI353" s="11">
        <v>92.8</v>
      </c>
      <c r="BJ353" s="10" t="s">
        <v>33451</v>
      </c>
      <c r="BK353" s="11">
        <v>100</v>
      </c>
    </row>
    <row r="354" spans="1:63" x14ac:dyDescent="0.75">
      <c r="A354" t="s">
        <v>2774</v>
      </c>
      <c r="B354" t="s">
        <v>104</v>
      </c>
      <c r="C354" t="s">
        <v>2741</v>
      </c>
      <c r="D354" t="s">
        <v>2742</v>
      </c>
      <c r="E354" s="22" t="s">
        <v>30844</v>
      </c>
      <c r="F354" t="s">
        <v>2778</v>
      </c>
      <c r="G354" s="1" t="str">
        <f>HYPERLINK("https://homd.org/jbrowse/?data=homd_V11.02_phage_1.2%2FGCA_013333765.2&amp;loc=GCA_013333765.2%7CJABCOG020000079.1%3A1..7149&amp;tracks=prokka,prokka_ncrna,ncbi,ncbi_ncrna,panggolin,cenote,genomad&amp;highlight=","Open JBrowse")</f>
        <v>Open JBrowse</v>
      </c>
      <c r="H354" s="10">
        <v>1477</v>
      </c>
      <c r="I354" s="10">
        <v>4149</v>
      </c>
      <c r="J354" s="10" t="s">
        <v>2779</v>
      </c>
      <c r="K354" s="10" t="s">
        <v>59</v>
      </c>
      <c r="L354" s="10" t="s">
        <v>2745</v>
      </c>
      <c r="M354" s="10" t="s">
        <v>2746</v>
      </c>
      <c r="N354" s="10" t="s">
        <v>2318</v>
      </c>
      <c r="O354" s="10">
        <v>3</v>
      </c>
      <c r="P354" s="10" t="s">
        <v>42</v>
      </c>
      <c r="Q354" s="10" t="s">
        <v>59</v>
      </c>
      <c r="R354" s="10" t="s">
        <v>2777</v>
      </c>
      <c r="S354" s="10" t="s">
        <v>2745</v>
      </c>
      <c r="T354" s="10" t="s">
        <v>42</v>
      </c>
      <c r="U354" s="10">
        <v>64</v>
      </c>
      <c r="V354" s="10">
        <v>358</v>
      </c>
      <c r="W354" s="10">
        <v>295</v>
      </c>
      <c r="X354" s="10" t="s">
        <v>1629</v>
      </c>
      <c r="Y354" s="10"/>
      <c r="Z354" s="10"/>
      <c r="AA354" s="10"/>
      <c r="AB354" s="10"/>
      <c r="AC354" s="10"/>
      <c r="AD354" s="10"/>
      <c r="AE354" s="10"/>
      <c r="AF354" s="10"/>
      <c r="AG354" s="44"/>
      <c r="AH354" s="44"/>
      <c r="AI354" s="46" t="s">
        <v>6054</v>
      </c>
      <c r="AJ354" s="44" t="s">
        <v>6052</v>
      </c>
      <c r="AK354" s="44" t="s">
        <v>6052</v>
      </c>
      <c r="AL354" s="44" t="s">
        <v>6052</v>
      </c>
      <c r="AM354" s="44" t="s">
        <v>6052</v>
      </c>
      <c r="AN354" s="44" t="s">
        <v>32378</v>
      </c>
      <c r="AO354" s="45">
        <v>11</v>
      </c>
      <c r="AP354" s="45">
        <v>1</v>
      </c>
      <c r="AQ354" s="45">
        <v>0</v>
      </c>
      <c r="AR354" s="45">
        <v>0</v>
      </c>
      <c r="AS354" s="45">
        <v>0</v>
      </c>
      <c r="AT354" s="45">
        <v>0</v>
      </c>
      <c r="AU354" s="10" t="s">
        <v>6052</v>
      </c>
      <c r="AV354" s="10" t="s">
        <v>6052</v>
      </c>
      <c r="AW354" s="10" t="s">
        <v>6052</v>
      </c>
      <c r="AX354" s="10" t="s">
        <v>6052</v>
      </c>
      <c r="AY354" s="10" t="s">
        <v>32253</v>
      </c>
      <c r="AZ354" s="44" t="s">
        <v>33110</v>
      </c>
      <c r="BA354" s="44" t="s">
        <v>30864</v>
      </c>
      <c r="BB354" s="44" t="s">
        <v>31257</v>
      </c>
      <c r="BC354" s="44" t="s">
        <v>9421</v>
      </c>
      <c r="BD354" s="44" t="s">
        <v>31716</v>
      </c>
      <c r="BE354" s="11">
        <v>1</v>
      </c>
      <c r="BF354" s="11">
        <v>0</v>
      </c>
      <c r="BG354" s="11">
        <v>0</v>
      </c>
      <c r="BH354" s="10" t="s">
        <v>33449</v>
      </c>
      <c r="BI354" s="11">
        <v>29</v>
      </c>
      <c r="BJ354" s="10" t="s">
        <v>33450</v>
      </c>
      <c r="BK354" s="11">
        <v>96.7</v>
      </c>
    </row>
    <row r="355" spans="1:63" x14ac:dyDescent="0.75">
      <c r="A355" t="s">
        <v>2774</v>
      </c>
      <c r="B355" t="s">
        <v>104</v>
      </c>
      <c r="C355" t="s">
        <v>2741</v>
      </c>
      <c r="D355" t="s">
        <v>2742</v>
      </c>
      <c r="E355" s="22" t="s">
        <v>30844</v>
      </c>
      <c r="F355" t="s">
        <v>2775</v>
      </c>
      <c r="G355" s="1" t="str">
        <f>HYPERLINK("https://homd.org/jbrowse/?data=homd_V11.02_phage_1.2%2FGCA_013333765.2&amp;loc=GCA_013333765.2%7CJABCOG020000031.1%3A1..5392&amp;tracks=prokka,prokka_ncrna,ncbi,ncbi_ncrna,panggolin,cenote,genomad&amp;highlight=","Open JBrowse")</f>
        <v>Open JBrowse</v>
      </c>
      <c r="H355" s="10">
        <v>1124</v>
      </c>
      <c r="I355" s="10">
        <v>2392</v>
      </c>
      <c r="J355" s="10" t="s">
        <v>2776</v>
      </c>
      <c r="K355" s="10" t="s">
        <v>375</v>
      </c>
      <c r="L355" s="10" t="s">
        <v>2756</v>
      </c>
      <c r="M355" s="10" t="s">
        <v>2757</v>
      </c>
      <c r="N355" s="10" t="s">
        <v>59</v>
      </c>
      <c r="O355" s="10">
        <v>2</v>
      </c>
      <c r="P355" s="10" t="s">
        <v>42</v>
      </c>
      <c r="Q355" s="10" t="s">
        <v>101</v>
      </c>
      <c r="R355" s="10" t="s">
        <v>2777</v>
      </c>
      <c r="S355" s="10" t="s">
        <v>2756</v>
      </c>
      <c r="T355" s="10" t="s">
        <v>42</v>
      </c>
      <c r="U355" s="10">
        <v>53</v>
      </c>
      <c r="V355" s="10">
        <v>307</v>
      </c>
      <c r="W355" s="10">
        <v>255</v>
      </c>
      <c r="X355" s="10" t="s">
        <v>379</v>
      </c>
      <c r="Y355" s="10"/>
      <c r="Z355" s="10"/>
      <c r="AA355" s="10"/>
      <c r="AB355" s="10"/>
      <c r="AC355" s="10"/>
      <c r="AD355" s="10"/>
      <c r="AE355" s="10"/>
      <c r="AF355" s="10"/>
      <c r="AG355" s="44"/>
      <c r="AH355" s="44"/>
      <c r="AI355" s="46" t="s">
        <v>6054</v>
      </c>
      <c r="AJ355" s="44" t="s">
        <v>6052</v>
      </c>
      <c r="AK355" s="44" t="s">
        <v>6052</v>
      </c>
      <c r="AL355" s="44" t="s">
        <v>6052</v>
      </c>
      <c r="AM355" s="44" t="s">
        <v>6052</v>
      </c>
      <c r="AN355" s="44" t="s">
        <v>32371</v>
      </c>
      <c r="AO355" s="45">
        <v>11</v>
      </c>
      <c r="AP355" s="45">
        <v>1</v>
      </c>
      <c r="AQ355" s="45">
        <v>0</v>
      </c>
      <c r="AR355" s="45">
        <v>0</v>
      </c>
      <c r="AS355" s="45">
        <v>0</v>
      </c>
      <c r="AT355" s="45">
        <v>0</v>
      </c>
      <c r="AU355" s="10" t="s">
        <v>6052</v>
      </c>
      <c r="AV355" s="10" t="s">
        <v>6052</v>
      </c>
      <c r="AW355" s="10" t="s">
        <v>6052</v>
      </c>
      <c r="AX355" s="10" t="s">
        <v>6052</v>
      </c>
      <c r="AY355" s="10" t="s">
        <v>32253</v>
      </c>
      <c r="AZ355" s="44" t="s">
        <v>33117</v>
      </c>
      <c r="BA355" s="44" t="s">
        <v>30864</v>
      </c>
      <c r="BB355" s="44" t="s">
        <v>31252</v>
      </c>
      <c r="BC355" s="44" t="s">
        <v>9421</v>
      </c>
      <c r="BD355" s="44" t="s">
        <v>31716</v>
      </c>
      <c r="BE355" s="11">
        <v>1</v>
      </c>
      <c r="BF355" s="11">
        <v>0</v>
      </c>
      <c r="BG355" s="11">
        <v>0</v>
      </c>
      <c r="BH355" s="10" t="s">
        <v>32218</v>
      </c>
      <c r="BI355" s="11">
        <v>100</v>
      </c>
      <c r="BJ355" s="10" t="s">
        <v>33448</v>
      </c>
      <c r="BK355" s="11">
        <v>100</v>
      </c>
    </row>
    <row r="356" spans="1:63" x14ac:dyDescent="0.75">
      <c r="A356" t="s">
        <v>2740</v>
      </c>
      <c r="B356" t="s">
        <v>104</v>
      </c>
      <c r="C356" t="s">
        <v>2741</v>
      </c>
      <c r="D356" t="s">
        <v>2742</v>
      </c>
      <c r="E356" s="22" t="s">
        <v>30844</v>
      </c>
      <c r="F356" t="s">
        <v>2754</v>
      </c>
      <c r="G356" s="1" t="str">
        <f>HYPERLINK("https://homd.org/jbrowse/?data=homd_V11.02_phage_1.2%2FGCA_013333645.2&amp;loc=GCA_013333645.2%7CJABCOK020000017.1%3A18463..25731&amp;tracks=prokka,prokka_ncrna,ncbi,ncbi_ncrna,panggolin,cenote,genomad&amp;highlight=","Open JBrowse")</f>
        <v>Open JBrowse</v>
      </c>
      <c r="H356" s="10">
        <v>21463</v>
      </c>
      <c r="I356" s="10">
        <v>22731</v>
      </c>
      <c r="J356" s="10" t="s">
        <v>2755</v>
      </c>
      <c r="K356" s="10" t="s">
        <v>375</v>
      </c>
      <c r="L356" s="10" t="s">
        <v>2756</v>
      </c>
      <c r="M356" s="10" t="s">
        <v>2757</v>
      </c>
      <c r="N356" s="10" t="s">
        <v>59</v>
      </c>
      <c r="O356" s="10">
        <v>2</v>
      </c>
      <c r="P356" s="10" t="s">
        <v>42</v>
      </c>
      <c r="Q356" s="10" t="s">
        <v>101</v>
      </c>
      <c r="R356" s="10" t="s">
        <v>2747</v>
      </c>
      <c r="S356" s="10" t="s">
        <v>2756</v>
      </c>
      <c r="T356" s="10" t="s">
        <v>42</v>
      </c>
      <c r="U356" s="10">
        <v>53</v>
      </c>
      <c r="V356" s="10">
        <v>307</v>
      </c>
      <c r="W356" s="10">
        <v>255</v>
      </c>
      <c r="X356" s="10" t="s">
        <v>379</v>
      </c>
      <c r="Y356" s="10"/>
      <c r="Z356" s="10"/>
      <c r="AA356" s="10"/>
      <c r="AB356" s="10"/>
      <c r="AC356" s="10"/>
      <c r="AD356" s="10"/>
      <c r="AE356" s="10"/>
      <c r="AF356" s="10"/>
      <c r="AG356" s="44"/>
      <c r="AH356" s="44"/>
      <c r="AI356" s="46" t="s">
        <v>6054</v>
      </c>
      <c r="AJ356" s="44" t="s">
        <v>6052</v>
      </c>
      <c r="AK356" s="44" t="s">
        <v>6052</v>
      </c>
      <c r="AL356" s="44" t="s">
        <v>6052</v>
      </c>
      <c r="AM356" s="44" t="s">
        <v>6052</v>
      </c>
      <c r="AN356" s="44" t="s">
        <v>32370</v>
      </c>
      <c r="AO356" s="45">
        <v>11</v>
      </c>
      <c r="AP356" s="45">
        <v>1</v>
      </c>
      <c r="AQ356" s="45">
        <v>0</v>
      </c>
      <c r="AR356" s="45">
        <v>0</v>
      </c>
      <c r="AS356" s="45">
        <v>0</v>
      </c>
      <c r="AT356" s="45">
        <v>0</v>
      </c>
      <c r="AU356" s="10" t="s">
        <v>6052</v>
      </c>
      <c r="AV356" s="10" t="s">
        <v>6052</v>
      </c>
      <c r="AW356" s="10" t="s">
        <v>6052</v>
      </c>
      <c r="AX356" s="10" t="s">
        <v>6052</v>
      </c>
      <c r="AY356" s="10" t="s">
        <v>32253</v>
      </c>
      <c r="AZ356" s="44" t="s">
        <v>33117</v>
      </c>
      <c r="BA356" s="44" t="s">
        <v>30864</v>
      </c>
      <c r="BB356" s="44" t="s">
        <v>31251</v>
      </c>
      <c r="BC356" s="44" t="s">
        <v>9421</v>
      </c>
      <c r="BD356" s="44" t="s">
        <v>31716</v>
      </c>
      <c r="BE356" s="11">
        <v>1</v>
      </c>
      <c r="BF356" s="11">
        <v>0</v>
      </c>
      <c r="BG356" s="11">
        <v>0</v>
      </c>
      <c r="BH356" s="10" t="s">
        <v>32215</v>
      </c>
      <c r="BI356" s="11">
        <v>100</v>
      </c>
      <c r="BJ356" s="10" t="s">
        <v>33442</v>
      </c>
      <c r="BK356" s="11">
        <v>100</v>
      </c>
    </row>
    <row r="357" spans="1:63" x14ac:dyDescent="0.75">
      <c r="A357" t="s">
        <v>2740</v>
      </c>
      <c r="B357" t="s">
        <v>104</v>
      </c>
      <c r="C357" t="s">
        <v>2741</v>
      </c>
      <c r="D357" t="s">
        <v>2742</v>
      </c>
      <c r="E357" s="22" t="s">
        <v>30844</v>
      </c>
      <c r="F357" t="s">
        <v>2743</v>
      </c>
      <c r="G357" s="1" t="str">
        <f>HYPERLINK("https://homd.org/jbrowse/?data=homd_V11.02_phage_1.2%2FGCA_013333645.2&amp;loc=GCA_013333645.2%7CJABCOK020000001.1%3A30944..39736&amp;tracks=prokka,prokka_ncrna,ncbi,ncbi_ncrna,panggolin,cenote,genomad&amp;highlight=","Open JBrowse")</f>
        <v>Open JBrowse</v>
      </c>
      <c r="H357" s="10">
        <v>33944</v>
      </c>
      <c r="I357" s="10">
        <v>36736</v>
      </c>
      <c r="J357" s="10" t="s">
        <v>2744</v>
      </c>
      <c r="K357" s="10" t="s">
        <v>59</v>
      </c>
      <c r="L357" s="10" t="s">
        <v>2745</v>
      </c>
      <c r="M357" s="10" t="s">
        <v>2746</v>
      </c>
      <c r="N357" s="10" t="s">
        <v>2318</v>
      </c>
      <c r="O357" s="10">
        <v>3</v>
      </c>
      <c r="P357" s="10" t="s">
        <v>42</v>
      </c>
      <c r="Q357" s="10" t="s">
        <v>59</v>
      </c>
      <c r="R357" s="10" t="s">
        <v>2747</v>
      </c>
      <c r="S357" s="10" t="s">
        <v>2745</v>
      </c>
      <c r="T357" s="10" t="s">
        <v>42</v>
      </c>
      <c r="U357" s="10">
        <v>64</v>
      </c>
      <c r="V357" s="10">
        <v>358</v>
      </c>
      <c r="W357" s="10">
        <v>295</v>
      </c>
      <c r="X357" s="10" t="s">
        <v>1629</v>
      </c>
      <c r="Y357" s="10" t="s">
        <v>2748</v>
      </c>
      <c r="Z357" s="10" t="s">
        <v>47</v>
      </c>
      <c r="AA357" s="10" t="s">
        <v>2749</v>
      </c>
      <c r="AB357" s="10"/>
      <c r="AC357" s="10"/>
      <c r="AD357" s="10"/>
      <c r="AE357" s="10"/>
      <c r="AF357" s="10"/>
      <c r="AG357" s="44"/>
      <c r="AH357" s="44"/>
      <c r="AI357" s="44" t="s">
        <v>6052</v>
      </c>
      <c r="AJ357" s="44" t="s">
        <v>6052</v>
      </c>
      <c r="AK357" s="44" t="s">
        <v>6052</v>
      </c>
      <c r="AL357" s="44" t="s">
        <v>6052</v>
      </c>
      <c r="AM357" s="44" t="s">
        <v>6052</v>
      </c>
      <c r="AN357" s="44" t="s">
        <v>32315</v>
      </c>
      <c r="AO357" s="45">
        <v>11</v>
      </c>
      <c r="AP357" s="45">
        <v>1</v>
      </c>
      <c r="AQ357" s="45">
        <v>0</v>
      </c>
      <c r="AR357" s="45">
        <v>0</v>
      </c>
      <c r="AS357" s="45">
        <v>0</v>
      </c>
      <c r="AT357" s="45">
        <v>0</v>
      </c>
      <c r="AU357" s="10" t="s">
        <v>6052</v>
      </c>
      <c r="AV357" s="10" t="s">
        <v>6052</v>
      </c>
      <c r="AW357" s="10" t="s">
        <v>6052</v>
      </c>
      <c r="AX357" s="10" t="s">
        <v>6052</v>
      </c>
      <c r="AY357" s="10" t="s">
        <v>32253</v>
      </c>
      <c r="AZ357" s="44" t="s">
        <v>33110</v>
      </c>
      <c r="BA357" s="44" t="s">
        <v>30864</v>
      </c>
      <c r="BB357" s="44" t="s">
        <v>31205</v>
      </c>
      <c r="BC357" s="44" t="s">
        <v>9421</v>
      </c>
      <c r="BD357" s="44" t="s">
        <v>31716</v>
      </c>
      <c r="BE357" s="11">
        <v>1</v>
      </c>
      <c r="BF357" s="11">
        <v>0</v>
      </c>
      <c r="BG357" s="11">
        <v>0</v>
      </c>
      <c r="BH357" s="10" t="s">
        <v>32238</v>
      </c>
      <c r="BI357" s="11">
        <v>100</v>
      </c>
      <c r="BJ357" s="10" t="s">
        <v>33452</v>
      </c>
      <c r="BK357" s="11">
        <v>96.9</v>
      </c>
    </row>
    <row r="358" spans="1:63" x14ac:dyDescent="0.75">
      <c r="A358" t="s">
        <v>2730</v>
      </c>
      <c r="B358" t="s">
        <v>104</v>
      </c>
      <c r="C358" t="s">
        <v>2731</v>
      </c>
      <c r="D358" t="s">
        <v>2732</v>
      </c>
      <c r="E358" s="22" t="s">
        <v>30844</v>
      </c>
      <c r="F358" t="s">
        <v>2733</v>
      </c>
      <c r="G358" s="1" t="str">
        <f>HYPERLINK("https://homd.org/jbrowse/?data=homd_V11.02_phage_1.2%2FGCA_013333605.2&amp;loc=GCA_013333605.2%7CJABCOM020000035.1%3A6524..13456&amp;tracks=prokka,prokka_ncrna,ncbi,ncbi_ncrna,panggolin,cenote,genomad&amp;highlight=","Open JBrowse")</f>
        <v>Open JBrowse</v>
      </c>
      <c r="H358" s="10">
        <v>9524</v>
      </c>
      <c r="I358" s="10">
        <v>10456</v>
      </c>
      <c r="J358" s="10" t="s">
        <v>2734</v>
      </c>
      <c r="K358" s="10" t="s">
        <v>39</v>
      </c>
      <c r="L358" s="10" t="s">
        <v>2735</v>
      </c>
      <c r="M358" s="10" t="s">
        <v>2736</v>
      </c>
      <c r="N358" s="10" t="s">
        <v>59</v>
      </c>
      <c r="O358" s="10">
        <v>2</v>
      </c>
      <c r="P358" s="10" t="s">
        <v>42</v>
      </c>
      <c r="Q358" s="10" t="s">
        <v>43</v>
      </c>
      <c r="R358" s="10" t="s">
        <v>2737</v>
      </c>
      <c r="S358" s="10" t="s">
        <v>2735</v>
      </c>
      <c r="T358" s="10" t="s">
        <v>42</v>
      </c>
      <c r="U358" s="10">
        <v>78</v>
      </c>
      <c r="V358" s="10">
        <v>307</v>
      </c>
      <c r="W358" s="10">
        <v>230</v>
      </c>
      <c r="X358" s="10" t="s">
        <v>45</v>
      </c>
      <c r="Y358" s="10" t="s">
        <v>2738</v>
      </c>
      <c r="Z358" s="10" t="s">
        <v>645</v>
      </c>
      <c r="AA358" s="10" t="s">
        <v>2739</v>
      </c>
      <c r="AB358" s="10"/>
      <c r="AC358" s="10"/>
      <c r="AD358" s="10"/>
      <c r="AE358" s="10"/>
      <c r="AF358" s="10"/>
      <c r="AG358" s="44"/>
      <c r="AH358" s="44"/>
      <c r="AI358" s="44" t="s">
        <v>6052</v>
      </c>
      <c r="AJ358" s="44" t="s">
        <v>6052</v>
      </c>
      <c r="AK358" s="44" t="s">
        <v>6052</v>
      </c>
      <c r="AL358" s="44" t="s">
        <v>6052</v>
      </c>
      <c r="AM358" s="44" t="s">
        <v>6052</v>
      </c>
      <c r="AN358" s="44" t="s">
        <v>32290</v>
      </c>
      <c r="AO358" s="45">
        <v>11</v>
      </c>
      <c r="AP358" s="45">
        <v>1</v>
      </c>
      <c r="AQ358" s="45">
        <v>0</v>
      </c>
      <c r="AR358" s="45">
        <v>0</v>
      </c>
      <c r="AS358" s="45">
        <v>0</v>
      </c>
      <c r="AT358" s="45">
        <v>0</v>
      </c>
      <c r="AU358" s="10" t="s">
        <v>6052</v>
      </c>
      <c r="AV358" s="10" t="s">
        <v>6052</v>
      </c>
      <c r="AW358" s="10" t="s">
        <v>6052</v>
      </c>
      <c r="AX358" s="10" t="s">
        <v>6052</v>
      </c>
      <c r="AY358" s="10" t="s">
        <v>32253</v>
      </c>
      <c r="AZ358" s="44" t="s">
        <v>33116</v>
      </c>
      <c r="BA358" s="44" t="s">
        <v>30848</v>
      </c>
      <c r="BB358" s="44" t="s">
        <v>31185</v>
      </c>
      <c r="BC358" s="44" t="s">
        <v>15212</v>
      </c>
      <c r="BD358" s="44" t="s">
        <v>31725</v>
      </c>
      <c r="BE358" s="11">
        <v>1</v>
      </c>
      <c r="BF358" s="11">
        <v>0</v>
      </c>
      <c r="BG358" s="11">
        <v>0</v>
      </c>
      <c r="BH358" s="10" t="s">
        <v>32212</v>
      </c>
      <c r="BI358" s="11">
        <v>100</v>
      </c>
      <c r="BJ358" s="10" t="s">
        <v>33176</v>
      </c>
      <c r="BK358" s="11">
        <v>100</v>
      </c>
    </row>
    <row r="359" spans="1:63" x14ac:dyDescent="0.75">
      <c r="A359" t="s">
        <v>1525</v>
      </c>
      <c r="B359" t="s">
        <v>104</v>
      </c>
      <c r="C359" t="s">
        <v>873</v>
      </c>
      <c r="D359" t="s">
        <v>874</v>
      </c>
      <c r="E359" s="22" t="s">
        <v>11876</v>
      </c>
      <c r="F359" t="s">
        <v>1526</v>
      </c>
      <c r="G359" s="1" t="str">
        <f>HYPERLINK("https://homd.org/jbrowse/?data=homd_V11.02_phage_1.2%2FGCA_001553045.1&amp;loc=GCA_001553045.1%7CKQ960074.1%3A1..4397&amp;tracks=prokka,prokka_ncrna,ncbi,ncbi_ncrna,panggolin,cenote,genomad&amp;highlight=","Open JBrowse")</f>
        <v>Open JBrowse</v>
      </c>
      <c r="H359" s="10">
        <v>261</v>
      </c>
      <c r="I359" s="10">
        <v>1397</v>
      </c>
      <c r="J359" s="10" t="s">
        <v>1527</v>
      </c>
      <c r="K359" s="10" t="s">
        <v>59</v>
      </c>
      <c r="L359" s="10" t="s">
        <v>1528</v>
      </c>
      <c r="M359" s="10" t="s">
        <v>1529</v>
      </c>
      <c r="N359" s="10" t="s">
        <v>42</v>
      </c>
      <c r="O359" s="10">
        <v>3</v>
      </c>
      <c r="P359" s="10" t="s">
        <v>42</v>
      </c>
      <c r="Q359" s="10" t="s">
        <v>59</v>
      </c>
      <c r="R359" s="10" t="s">
        <v>1530</v>
      </c>
      <c r="S359" s="10" t="s">
        <v>1528</v>
      </c>
      <c r="T359" s="10" t="s">
        <v>42</v>
      </c>
      <c r="U359" s="10">
        <v>120</v>
      </c>
      <c r="V359" s="10">
        <v>375</v>
      </c>
      <c r="W359" s="10">
        <v>256</v>
      </c>
      <c r="X359" s="10" t="s">
        <v>142</v>
      </c>
      <c r="Y359" s="10"/>
      <c r="Z359" s="10"/>
      <c r="AA359" s="10"/>
      <c r="AB359" s="10"/>
      <c r="AC359" s="10"/>
      <c r="AD359" s="10"/>
      <c r="AE359" s="10"/>
      <c r="AF359" s="10"/>
      <c r="AG359" s="44"/>
      <c r="AH359" s="44"/>
      <c r="AI359" s="46" t="s">
        <v>6054</v>
      </c>
      <c r="AJ359" s="44" t="s">
        <v>6052</v>
      </c>
      <c r="AK359" s="44" t="s">
        <v>6052</v>
      </c>
      <c r="AL359" s="44" t="s">
        <v>6052</v>
      </c>
      <c r="AM359" s="44" t="s">
        <v>6052</v>
      </c>
      <c r="AN359" s="44" t="s">
        <v>32873</v>
      </c>
      <c r="AO359" s="45">
        <v>11</v>
      </c>
      <c r="AP359" s="45">
        <v>1</v>
      </c>
      <c r="AQ359" s="45">
        <v>0</v>
      </c>
      <c r="AR359" s="45">
        <v>0</v>
      </c>
      <c r="AS359" s="45">
        <v>0</v>
      </c>
      <c r="AT359" s="45">
        <v>0</v>
      </c>
      <c r="AU359" s="10" t="s">
        <v>6052</v>
      </c>
      <c r="AV359" s="10" t="s">
        <v>6052</v>
      </c>
      <c r="AW359" s="10" t="s">
        <v>6052</v>
      </c>
      <c r="AX359" s="10" t="s">
        <v>6052</v>
      </c>
      <c r="AY359" s="10" t="s">
        <v>32253</v>
      </c>
      <c r="AZ359" s="44" t="s">
        <v>33116</v>
      </c>
      <c r="BA359" s="44" t="s">
        <v>31062</v>
      </c>
      <c r="BB359" s="44" t="s">
        <v>31549</v>
      </c>
      <c r="BC359" s="44" t="s">
        <v>6425</v>
      </c>
      <c r="BD359" s="44" t="s">
        <v>31709</v>
      </c>
      <c r="BE359" s="11">
        <v>1</v>
      </c>
      <c r="BF359" s="11">
        <v>0</v>
      </c>
      <c r="BG359" s="11">
        <v>0</v>
      </c>
      <c r="BH359" s="10" t="s">
        <v>32006</v>
      </c>
      <c r="BI359" s="11">
        <v>100</v>
      </c>
      <c r="BJ359" s="10" t="s">
        <v>33319</v>
      </c>
      <c r="BK359" s="11">
        <v>100</v>
      </c>
    </row>
    <row r="360" spans="1:63" x14ac:dyDescent="0.75">
      <c r="A360" t="s">
        <v>1525</v>
      </c>
      <c r="B360" t="s">
        <v>104</v>
      </c>
      <c r="C360" t="s">
        <v>873</v>
      </c>
      <c r="D360" t="s">
        <v>874</v>
      </c>
      <c r="E360" s="22" t="s">
        <v>11876</v>
      </c>
      <c r="F360" t="s">
        <v>1531</v>
      </c>
      <c r="G360" s="1" t="str">
        <f>HYPERLINK("https://homd.org/jbrowse/?data=homd_V11.02_phage_1.2%2FGCA_001553045.1&amp;loc=GCA_001553045.1%7CKQ960105.1%3A1..4437&amp;tracks=prokka,prokka_ncrna,ncbi,ncbi_ncrna,panggolin,cenote,genomad&amp;highlight=","Open JBrowse")</f>
        <v>Open JBrowse</v>
      </c>
      <c r="H360" s="10">
        <v>421</v>
      </c>
      <c r="I360" s="10">
        <v>1437</v>
      </c>
      <c r="J360" s="10" t="s">
        <v>1532</v>
      </c>
      <c r="K360" s="10" t="s">
        <v>59</v>
      </c>
      <c r="L360" s="10" t="s">
        <v>877</v>
      </c>
      <c r="M360" s="10" t="s">
        <v>878</v>
      </c>
      <c r="N360" s="10" t="s">
        <v>42</v>
      </c>
      <c r="O360" s="10">
        <v>3</v>
      </c>
      <c r="P360" s="10" t="s">
        <v>42</v>
      </c>
      <c r="Q360" s="10" t="s">
        <v>59</v>
      </c>
      <c r="R360" s="10" t="s">
        <v>1530</v>
      </c>
      <c r="S360" s="10" t="s">
        <v>877</v>
      </c>
      <c r="T360" s="10" t="s">
        <v>42</v>
      </c>
      <c r="U360" s="10">
        <v>79</v>
      </c>
      <c r="V360" s="10">
        <v>335</v>
      </c>
      <c r="W360" s="10">
        <v>257</v>
      </c>
      <c r="X360" s="10" t="s">
        <v>142</v>
      </c>
      <c r="Y360" s="10"/>
      <c r="Z360" s="10"/>
      <c r="AA360" s="10"/>
      <c r="AB360" s="10"/>
      <c r="AC360" s="10"/>
      <c r="AD360" s="10"/>
      <c r="AE360" s="10"/>
      <c r="AF360" s="10"/>
      <c r="AG360" s="44"/>
      <c r="AH360" s="44"/>
      <c r="AI360" s="46" t="s">
        <v>6054</v>
      </c>
      <c r="AJ360" s="44" t="s">
        <v>6052</v>
      </c>
      <c r="AK360" s="44" t="s">
        <v>6052</v>
      </c>
      <c r="AL360" s="44" t="s">
        <v>6052</v>
      </c>
      <c r="AM360" s="44" t="s">
        <v>6052</v>
      </c>
      <c r="AN360" s="44" t="s">
        <v>32872</v>
      </c>
      <c r="AO360" s="45">
        <v>11</v>
      </c>
      <c r="AP360" s="45">
        <v>1</v>
      </c>
      <c r="AQ360" s="45">
        <v>0</v>
      </c>
      <c r="AR360" s="45">
        <v>0</v>
      </c>
      <c r="AS360" s="45">
        <v>0</v>
      </c>
      <c r="AT360" s="45">
        <v>0</v>
      </c>
      <c r="AU360" s="10" t="s">
        <v>6052</v>
      </c>
      <c r="AV360" s="10" t="s">
        <v>6052</v>
      </c>
      <c r="AW360" s="10" t="s">
        <v>6052</v>
      </c>
      <c r="AX360" s="10" t="s">
        <v>6052</v>
      </c>
      <c r="AY360" s="10" t="s">
        <v>32253</v>
      </c>
      <c r="AZ360" s="44" t="s">
        <v>33117</v>
      </c>
      <c r="BA360" s="44" t="s">
        <v>31062</v>
      </c>
      <c r="BB360" s="44" t="s">
        <v>31548</v>
      </c>
      <c r="BC360" s="44" t="s">
        <v>6425</v>
      </c>
      <c r="BD360" s="44" t="s">
        <v>31709</v>
      </c>
      <c r="BE360" s="11">
        <v>1</v>
      </c>
      <c r="BF360" s="11">
        <v>0</v>
      </c>
      <c r="BG360" s="11">
        <v>0</v>
      </c>
      <c r="BH360" s="10" t="s">
        <v>31853</v>
      </c>
      <c r="BI360" s="11">
        <v>100</v>
      </c>
      <c r="BJ360" s="10" t="s">
        <v>33320</v>
      </c>
      <c r="BK360" s="11">
        <v>100</v>
      </c>
    </row>
    <row r="361" spans="1:63" x14ac:dyDescent="0.75">
      <c r="A361" t="s">
        <v>1329</v>
      </c>
      <c r="B361" t="s">
        <v>104</v>
      </c>
      <c r="C361" t="s">
        <v>462</v>
      </c>
      <c r="D361" t="s">
        <v>463</v>
      </c>
      <c r="E361" s="22" t="s">
        <v>10610</v>
      </c>
      <c r="F361" t="s">
        <v>1330</v>
      </c>
      <c r="G361" s="1" t="str">
        <f>HYPERLINK("https://homd.org/jbrowse/?data=homd_V11.02_phage_1.2%2FGCA_000759205.1&amp;loc=GCA_000759205.1%7CJRNO01000001.1%3A204082..211026&amp;tracks=prokka,prokka_ncrna,ncbi,ncbi_ncrna,panggolin,cenote,genomad&amp;highlight=","Open JBrowse")</f>
        <v>Open JBrowse</v>
      </c>
      <c r="H361" s="10">
        <v>207082</v>
      </c>
      <c r="I361" s="10">
        <v>208026</v>
      </c>
      <c r="J361" s="10" t="s">
        <v>1331</v>
      </c>
      <c r="K361" s="10" t="s">
        <v>59</v>
      </c>
      <c r="L361" s="10" t="s">
        <v>466</v>
      </c>
      <c r="M361" s="10" t="s">
        <v>467</v>
      </c>
      <c r="N361" s="10" t="s">
        <v>398</v>
      </c>
      <c r="O361" s="10">
        <v>3</v>
      </c>
      <c r="P361" s="10" t="s">
        <v>42</v>
      </c>
      <c r="Q361" s="10" t="s">
        <v>59</v>
      </c>
      <c r="R361" s="10" t="s">
        <v>1332</v>
      </c>
      <c r="S361" s="10" t="s">
        <v>466</v>
      </c>
      <c r="T361" s="10" t="s">
        <v>42</v>
      </c>
      <c r="U361" s="10">
        <v>41</v>
      </c>
      <c r="V361" s="10">
        <v>267</v>
      </c>
      <c r="W361" s="10">
        <v>227</v>
      </c>
      <c r="X361" s="10" t="s">
        <v>160</v>
      </c>
      <c r="Y361" s="10" t="s">
        <v>1333</v>
      </c>
      <c r="Z361" s="10" t="s">
        <v>1334</v>
      </c>
      <c r="AA361" s="10" t="s">
        <v>1335</v>
      </c>
      <c r="AB361" s="10"/>
      <c r="AC361" s="10"/>
      <c r="AD361" s="10"/>
      <c r="AE361" s="10"/>
      <c r="AF361" s="10"/>
      <c r="AG361" s="44"/>
      <c r="AH361" s="44"/>
      <c r="AI361" s="44" t="s">
        <v>6052</v>
      </c>
      <c r="AJ361" s="44" t="s">
        <v>6052</v>
      </c>
      <c r="AK361" s="44" t="s">
        <v>6052</v>
      </c>
      <c r="AL361" s="44" t="s">
        <v>6052</v>
      </c>
      <c r="AM361" s="44" t="s">
        <v>6052</v>
      </c>
      <c r="AN361" s="44" t="s">
        <v>32602</v>
      </c>
      <c r="AO361" s="45">
        <v>11</v>
      </c>
      <c r="AP361" s="45">
        <v>1</v>
      </c>
      <c r="AQ361" s="45">
        <v>0</v>
      </c>
      <c r="AR361" s="45">
        <v>0</v>
      </c>
      <c r="AS361" s="45">
        <v>0</v>
      </c>
      <c r="AT361" s="45">
        <v>0</v>
      </c>
      <c r="AU361" s="10" t="s">
        <v>6052</v>
      </c>
      <c r="AV361" s="10" t="s">
        <v>6052</v>
      </c>
      <c r="AW361" s="10" t="s">
        <v>6052</v>
      </c>
      <c r="AX361" s="10" t="s">
        <v>6052</v>
      </c>
      <c r="AY361" s="10" t="s">
        <v>32253</v>
      </c>
      <c r="AZ361" s="44" t="s">
        <v>33117</v>
      </c>
      <c r="BA361" s="44" t="s">
        <v>30930</v>
      </c>
      <c r="BB361" s="44" t="s">
        <v>31366</v>
      </c>
      <c r="BC361" s="44" t="s">
        <v>6594</v>
      </c>
      <c r="BD361" s="44" t="s">
        <v>31708</v>
      </c>
      <c r="BE361" s="11">
        <v>1</v>
      </c>
      <c r="BF361" s="11">
        <v>0</v>
      </c>
      <c r="BG361" s="11">
        <v>0</v>
      </c>
      <c r="BH361" s="10" t="s">
        <v>32158</v>
      </c>
      <c r="BI361" s="11">
        <v>100</v>
      </c>
      <c r="BJ361" s="10" t="s">
        <v>33366</v>
      </c>
      <c r="BK361" s="11">
        <v>100</v>
      </c>
    </row>
    <row r="362" spans="1:63" x14ac:dyDescent="0.75">
      <c r="A362" t="s">
        <v>1322</v>
      </c>
      <c r="B362" t="s">
        <v>104</v>
      </c>
      <c r="C362" t="s">
        <v>559</v>
      </c>
      <c r="D362" t="s">
        <v>560</v>
      </c>
      <c r="E362" s="22" t="s">
        <v>10599</v>
      </c>
      <c r="F362" t="s">
        <v>1323</v>
      </c>
      <c r="G362" s="1" t="str">
        <f>HYPERLINK("https://homd.org/jbrowse/?data=homd_V11.02_phage_1.2%2FGCA_000759075.1&amp;loc=GCA_000759075.1%7CJRNJ01000055.1%3A34078..40935&amp;tracks=prokka,prokka_ncrna,ncbi,ncbi_ncrna,panggolin,cenote,genomad&amp;highlight=","Open JBrowse")</f>
        <v>Open JBrowse</v>
      </c>
      <c r="H362" s="10">
        <v>37078</v>
      </c>
      <c r="I362" s="10">
        <v>37935</v>
      </c>
      <c r="J362" s="10" t="s">
        <v>1324</v>
      </c>
      <c r="K362" s="10" t="s">
        <v>59</v>
      </c>
      <c r="L362" s="10" t="s">
        <v>563</v>
      </c>
      <c r="M362" s="10" t="s">
        <v>564</v>
      </c>
      <c r="N362" s="10" t="s">
        <v>42</v>
      </c>
      <c r="O362" s="10">
        <v>3</v>
      </c>
      <c r="P362" s="10" t="s">
        <v>42</v>
      </c>
      <c r="Q362" s="10" t="s">
        <v>59</v>
      </c>
      <c r="R362" s="10" t="s">
        <v>1325</v>
      </c>
      <c r="S362" s="10" t="s">
        <v>563</v>
      </c>
      <c r="T362" s="10" t="s">
        <v>42</v>
      </c>
      <c r="U362" s="10">
        <v>44</v>
      </c>
      <c r="V362" s="10">
        <v>270</v>
      </c>
      <c r="W362" s="10">
        <v>227</v>
      </c>
      <c r="X362" s="10" t="s">
        <v>160</v>
      </c>
      <c r="Y362" s="10" t="s">
        <v>1326</v>
      </c>
      <c r="Z362" s="10" t="s">
        <v>1327</v>
      </c>
      <c r="AA362" s="10" t="s">
        <v>1328</v>
      </c>
      <c r="AB362" s="10"/>
      <c r="AC362" s="10"/>
      <c r="AD362" s="10"/>
      <c r="AE362" s="10"/>
      <c r="AF362" s="10"/>
      <c r="AG362" s="44"/>
      <c r="AH362" s="44"/>
      <c r="AI362" s="44" t="s">
        <v>6052</v>
      </c>
      <c r="AJ362" s="44" t="s">
        <v>6052</v>
      </c>
      <c r="AK362" s="44" t="s">
        <v>6052</v>
      </c>
      <c r="AL362" s="44" t="s">
        <v>6052</v>
      </c>
      <c r="AM362" s="44" t="s">
        <v>6052</v>
      </c>
      <c r="AN362" s="44" t="s">
        <v>32601</v>
      </c>
      <c r="AO362" s="45">
        <v>11</v>
      </c>
      <c r="AP362" s="45">
        <v>1</v>
      </c>
      <c r="AQ362" s="45">
        <v>0</v>
      </c>
      <c r="AR362" s="45">
        <v>0</v>
      </c>
      <c r="AS362" s="45">
        <v>0</v>
      </c>
      <c r="AT362" s="45">
        <v>0</v>
      </c>
      <c r="AU362" s="10" t="s">
        <v>6052</v>
      </c>
      <c r="AV362" s="10" t="s">
        <v>6052</v>
      </c>
      <c r="AW362" s="10" t="s">
        <v>6052</v>
      </c>
      <c r="AX362" s="10" t="s">
        <v>6052</v>
      </c>
      <c r="AY362" s="10" t="s">
        <v>32253</v>
      </c>
      <c r="AZ362" s="44" t="s">
        <v>33117</v>
      </c>
      <c r="BA362" s="44" t="s">
        <v>30929</v>
      </c>
      <c r="BB362" s="44" t="s">
        <v>31365</v>
      </c>
      <c r="BC362" s="44" t="s">
        <v>6594</v>
      </c>
      <c r="BD362" s="44" t="s">
        <v>31708</v>
      </c>
      <c r="BE362" s="11">
        <v>1</v>
      </c>
      <c r="BF362" s="11">
        <v>0</v>
      </c>
      <c r="BG362" s="11">
        <v>0</v>
      </c>
      <c r="BH362" s="10" t="s">
        <v>32118</v>
      </c>
      <c r="BI362" s="11">
        <v>100</v>
      </c>
      <c r="BJ362" s="10" t="s">
        <v>33387</v>
      </c>
      <c r="BK362" s="11">
        <v>100</v>
      </c>
    </row>
    <row r="363" spans="1:63" x14ac:dyDescent="0.75">
      <c r="A363" t="s">
        <v>1195</v>
      </c>
      <c r="B363" t="s">
        <v>104</v>
      </c>
      <c r="C363" t="s">
        <v>153</v>
      </c>
      <c r="D363" t="s">
        <v>154</v>
      </c>
      <c r="E363" s="22" t="s">
        <v>10136</v>
      </c>
      <c r="F363" t="s">
        <v>1196</v>
      </c>
      <c r="G363" s="1" t="str">
        <f>HYPERLINK("https://homd.org/jbrowse/?data=homd_V11.02_phage_1.2%2FGCA_000517825.1&amp;loc=GCA_000517825.1%7CJACD01000054.1%3A40168..47145&amp;tracks=prokka,prokka_ncrna,ncbi,ncbi_ncrna,panggolin,cenote,genomad&amp;highlight=","Open JBrowse")</f>
        <v>Open JBrowse</v>
      </c>
      <c r="H363" s="10">
        <v>43168</v>
      </c>
      <c r="I363" s="10">
        <v>44145</v>
      </c>
      <c r="J363" s="10" t="s">
        <v>1197</v>
      </c>
      <c r="K363" s="10" t="s">
        <v>59</v>
      </c>
      <c r="L363" s="10" t="s">
        <v>563</v>
      </c>
      <c r="M363" s="10" t="s">
        <v>564</v>
      </c>
      <c r="N363" s="10" t="s">
        <v>42</v>
      </c>
      <c r="O363" s="10">
        <v>3</v>
      </c>
      <c r="P363" s="10" t="s">
        <v>42</v>
      </c>
      <c r="Q363" s="10" t="s">
        <v>59</v>
      </c>
      <c r="R363" s="10" t="s">
        <v>1198</v>
      </c>
      <c r="S363" s="10" t="s">
        <v>563</v>
      </c>
      <c r="T363" s="10" t="s">
        <v>42</v>
      </c>
      <c r="U363" s="10">
        <v>44</v>
      </c>
      <c r="V363" s="10">
        <v>270</v>
      </c>
      <c r="W363" s="10">
        <v>227</v>
      </c>
      <c r="X363" s="10" t="s">
        <v>160</v>
      </c>
      <c r="Y363" s="10" t="s">
        <v>1199</v>
      </c>
      <c r="Z363" s="10" t="s">
        <v>118</v>
      </c>
      <c r="AA363" s="10" t="s">
        <v>1200</v>
      </c>
      <c r="AB363" s="10" t="s">
        <v>1201</v>
      </c>
      <c r="AC363" s="10" t="s">
        <v>164</v>
      </c>
      <c r="AD363" s="10" t="s">
        <v>51</v>
      </c>
      <c r="AE363" s="10">
        <v>183.7</v>
      </c>
      <c r="AF363" s="10" t="s">
        <v>165</v>
      </c>
      <c r="AG363" s="44"/>
      <c r="AH363" s="44"/>
      <c r="AI363" s="44" t="s">
        <v>6052</v>
      </c>
      <c r="AJ363" s="44" t="s">
        <v>6052</v>
      </c>
      <c r="AK363" s="44" t="s">
        <v>6052</v>
      </c>
      <c r="AL363" s="44" t="s">
        <v>6052</v>
      </c>
      <c r="AM363" s="44" t="s">
        <v>6052</v>
      </c>
      <c r="AN363" s="44" t="s">
        <v>32818</v>
      </c>
      <c r="AO363" s="45">
        <v>11</v>
      </c>
      <c r="AP363" s="45">
        <v>1</v>
      </c>
      <c r="AQ363" s="45">
        <v>0</v>
      </c>
      <c r="AR363" s="45">
        <v>0</v>
      </c>
      <c r="AS363" s="45">
        <v>0</v>
      </c>
      <c r="AT363" s="45">
        <v>0</v>
      </c>
      <c r="AU363" s="10" t="s">
        <v>6052</v>
      </c>
      <c r="AV363" s="10" t="s">
        <v>6052</v>
      </c>
      <c r="AW363" s="10" t="s">
        <v>6052</v>
      </c>
      <c r="AX363" s="10" t="s">
        <v>6052</v>
      </c>
      <c r="AY363" s="10" t="s">
        <v>32253</v>
      </c>
      <c r="AZ363" s="44" t="s">
        <v>33117</v>
      </c>
      <c r="BA363" s="44" t="s">
        <v>31022</v>
      </c>
      <c r="BB363" s="44" t="s">
        <v>31500</v>
      </c>
      <c r="BC363" s="44" t="s">
        <v>6594</v>
      </c>
      <c r="BD363" s="44" t="s">
        <v>31708</v>
      </c>
      <c r="BE363" s="11">
        <v>1</v>
      </c>
      <c r="BF363" s="11">
        <v>0</v>
      </c>
      <c r="BG363" s="11">
        <v>0</v>
      </c>
      <c r="BH363" s="10" t="s">
        <v>32038</v>
      </c>
      <c r="BI363" s="11">
        <v>100</v>
      </c>
      <c r="BJ363" s="10" t="s">
        <v>33428</v>
      </c>
      <c r="BK363" s="11">
        <v>100</v>
      </c>
    </row>
    <row r="364" spans="1:63" x14ac:dyDescent="0.75">
      <c r="A364" t="s">
        <v>1102</v>
      </c>
      <c r="B364" t="s">
        <v>104</v>
      </c>
      <c r="C364" t="s">
        <v>1103</v>
      </c>
      <c r="D364" t="s">
        <v>1069</v>
      </c>
      <c r="E364" s="22" t="s">
        <v>9852</v>
      </c>
      <c r="F364" t="s">
        <v>1104</v>
      </c>
      <c r="G364" s="1" t="str">
        <f>HYPERLINK("https://homd.org/jbrowse/?data=homd_V11.02_phage_1.2%2FGCA_000469525.1&amp;loc=GCA_000469525.1%7CKI272920.1%3A1..4743&amp;tracks=prokka,prokka_ncrna,ncbi,ncbi_ncrna,panggolin,cenote,genomad&amp;highlight=","Open JBrowse")</f>
        <v>Open JBrowse</v>
      </c>
      <c r="H364" s="10">
        <v>721</v>
      </c>
      <c r="I364" s="10">
        <v>1743</v>
      </c>
      <c r="J364" s="10" t="s">
        <v>1105</v>
      </c>
      <c r="K364" s="10" t="s">
        <v>59</v>
      </c>
      <c r="L364" s="10" t="s">
        <v>1106</v>
      </c>
      <c r="M364" s="10" t="s">
        <v>1107</v>
      </c>
      <c r="N364" s="10" t="s">
        <v>42</v>
      </c>
      <c r="O364" s="10">
        <v>3</v>
      </c>
      <c r="P364" s="10" t="s">
        <v>42</v>
      </c>
      <c r="Q364" s="10" t="s">
        <v>59</v>
      </c>
      <c r="R364" s="10" t="s">
        <v>1108</v>
      </c>
      <c r="S364" s="10" t="s">
        <v>1106</v>
      </c>
      <c r="T364" s="10" t="s">
        <v>42</v>
      </c>
      <c r="U364" s="10">
        <v>81</v>
      </c>
      <c r="V364" s="10">
        <v>337</v>
      </c>
      <c r="W364" s="10">
        <v>257</v>
      </c>
      <c r="X364" s="10" t="s">
        <v>142</v>
      </c>
      <c r="Y364" s="10" t="s">
        <v>1109</v>
      </c>
      <c r="Z364" s="10" t="s">
        <v>357</v>
      </c>
      <c r="AA364" s="10" t="s">
        <v>1110</v>
      </c>
      <c r="AB364" s="10" t="s">
        <v>1111</v>
      </c>
      <c r="AC364" s="10" t="s">
        <v>295</v>
      </c>
      <c r="AD364" s="10" t="s">
        <v>183</v>
      </c>
      <c r="AE364" s="10">
        <v>610</v>
      </c>
      <c r="AF364" s="10" t="s">
        <v>1019</v>
      </c>
      <c r="AG364" s="44"/>
      <c r="AH364" s="44"/>
      <c r="AI364" s="44" t="s">
        <v>6052</v>
      </c>
      <c r="AJ364" s="44" t="s">
        <v>6052</v>
      </c>
      <c r="AK364" s="44" t="s">
        <v>6052</v>
      </c>
      <c r="AL364" s="44" t="s">
        <v>6052</v>
      </c>
      <c r="AM364" s="44" t="s">
        <v>6052</v>
      </c>
      <c r="AN364" s="44" t="s">
        <v>32765</v>
      </c>
      <c r="AO364" s="45">
        <v>11</v>
      </c>
      <c r="AP364" s="45">
        <v>1</v>
      </c>
      <c r="AQ364" s="45">
        <v>0</v>
      </c>
      <c r="AR364" s="45">
        <v>0</v>
      </c>
      <c r="AS364" s="45">
        <v>0</v>
      </c>
      <c r="AT364" s="45">
        <v>0</v>
      </c>
      <c r="AU364" s="10" t="s">
        <v>6052</v>
      </c>
      <c r="AV364" s="10" t="s">
        <v>6052</v>
      </c>
      <c r="AW364" s="10" t="s">
        <v>6052</v>
      </c>
      <c r="AX364" s="10" t="s">
        <v>6052</v>
      </c>
      <c r="AY364" s="10" t="s">
        <v>32253</v>
      </c>
      <c r="AZ364" s="44" t="s">
        <v>33117</v>
      </c>
      <c r="BA364" s="44" t="s">
        <v>30997</v>
      </c>
      <c r="BB364" s="44" t="s">
        <v>31465</v>
      </c>
      <c r="BC364" s="44" t="s">
        <v>6425</v>
      </c>
      <c r="BD364" s="44" t="s">
        <v>31709</v>
      </c>
      <c r="BE364" s="11">
        <v>1</v>
      </c>
      <c r="BF364" s="11">
        <v>0</v>
      </c>
      <c r="BG364" s="11">
        <v>0</v>
      </c>
      <c r="BH364" s="10" t="s">
        <v>31904</v>
      </c>
      <c r="BI364" s="11">
        <v>100</v>
      </c>
      <c r="BJ364" s="10" t="s">
        <v>33312</v>
      </c>
      <c r="BK364" s="11">
        <v>100</v>
      </c>
    </row>
    <row r="365" spans="1:63" x14ac:dyDescent="0.75">
      <c r="A365" t="s">
        <v>1084</v>
      </c>
      <c r="B365" t="s">
        <v>104</v>
      </c>
      <c r="C365" t="s">
        <v>1085</v>
      </c>
      <c r="D365" t="s">
        <v>1086</v>
      </c>
      <c r="E365" s="22" t="s">
        <v>9849</v>
      </c>
      <c r="F365" t="s">
        <v>1094</v>
      </c>
      <c r="G365" s="1" t="str">
        <f>HYPERLINK("https://homd.org/jbrowse/?data=homd_V11.02_phage_1.2%2FGCA_000469505.1&amp;loc=GCA_000469505.1%7CKI272830.1%3A22885..29880&amp;tracks=prokka,prokka_ncrna,ncbi,ncbi_ncrna,panggolin,cenote,genomad&amp;highlight=","Open JBrowse")</f>
        <v>Open JBrowse</v>
      </c>
      <c r="H365" s="10">
        <v>25885</v>
      </c>
      <c r="I365" s="10">
        <v>26880</v>
      </c>
      <c r="J365" s="10" t="s">
        <v>1095</v>
      </c>
      <c r="K365" s="10" t="s">
        <v>1096</v>
      </c>
      <c r="L365" s="10" t="s">
        <v>1097</v>
      </c>
      <c r="M365" s="10" t="s">
        <v>1098</v>
      </c>
      <c r="N365" s="10" t="s">
        <v>398</v>
      </c>
      <c r="O365" s="10">
        <v>3</v>
      </c>
      <c r="P365" s="10" t="s">
        <v>42</v>
      </c>
      <c r="Q365" s="10" t="s">
        <v>101</v>
      </c>
      <c r="R365" s="10" t="s">
        <v>1091</v>
      </c>
      <c r="S365" s="10" t="s">
        <v>1097</v>
      </c>
      <c r="T365" s="10" t="s">
        <v>42</v>
      </c>
      <c r="U365" s="10">
        <v>59</v>
      </c>
      <c r="V365" s="10">
        <v>324</v>
      </c>
      <c r="W365" s="10">
        <v>266</v>
      </c>
      <c r="X365" s="10" t="s">
        <v>1099</v>
      </c>
      <c r="Y365" s="10" t="s">
        <v>1100</v>
      </c>
      <c r="Z365" s="10" t="s">
        <v>836</v>
      </c>
      <c r="AA365" s="10" t="s">
        <v>1101</v>
      </c>
      <c r="AB365" s="10"/>
      <c r="AC365" s="10"/>
      <c r="AD365" s="10"/>
      <c r="AE365" s="10"/>
      <c r="AF365" s="10"/>
      <c r="AG365" s="44"/>
      <c r="AH365" s="44"/>
      <c r="AI365" s="44" t="s">
        <v>6052</v>
      </c>
      <c r="AJ365" s="44" t="s">
        <v>6052</v>
      </c>
      <c r="AK365" s="44" t="s">
        <v>6052</v>
      </c>
      <c r="AL365" s="44" t="s">
        <v>6052</v>
      </c>
      <c r="AM365" s="44" t="s">
        <v>6052</v>
      </c>
      <c r="AN365" s="44" t="s">
        <v>33095</v>
      </c>
      <c r="AO365" s="45">
        <v>11</v>
      </c>
      <c r="AP365" s="45">
        <v>1</v>
      </c>
      <c r="AQ365" s="45">
        <v>0</v>
      </c>
      <c r="AR365" s="45">
        <v>0</v>
      </c>
      <c r="AS365" s="45">
        <v>0</v>
      </c>
      <c r="AT365" s="45">
        <v>0</v>
      </c>
      <c r="AU365" s="10" t="s">
        <v>6052</v>
      </c>
      <c r="AV365" s="10" t="s">
        <v>6052</v>
      </c>
      <c r="AW365" s="10" t="s">
        <v>6052</v>
      </c>
      <c r="AX365" s="10" t="s">
        <v>6052</v>
      </c>
      <c r="AY365" s="10" t="s">
        <v>32253</v>
      </c>
      <c r="AZ365" s="44" t="s">
        <v>33116</v>
      </c>
      <c r="BA365" s="44" t="s">
        <v>31157</v>
      </c>
      <c r="BB365" s="44" t="s">
        <v>31697</v>
      </c>
      <c r="BC365" s="44" t="s">
        <v>7224</v>
      </c>
      <c r="BD365" s="44" t="s">
        <v>31715</v>
      </c>
      <c r="BE365" s="11">
        <v>1</v>
      </c>
      <c r="BF365" s="11">
        <v>0</v>
      </c>
      <c r="BG365" s="11">
        <v>0</v>
      </c>
      <c r="BH365" s="10" t="s">
        <v>32242</v>
      </c>
      <c r="BI365" s="11">
        <v>100</v>
      </c>
      <c r="BJ365" s="10" t="s">
        <v>33441</v>
      </c>
      <c r="BK365" s="11">
        <v>100</v>
      </c>
    </row>
    <row r="366" spans="1:63" x14ac:dyDescent="0.75">
      <c r="A366" t="s">
        <v>1084</v>
      </c>
      <c r="B366" t="s">
        <v>104</v>
      </c>
      <c r="C366" t="s">
        <v>1085</v>
      </c>
      <c r="D366" t="s">
        <v>1086</v>
      </c>
      <c r="E366" s="22" t="s">
        <v>9849</v>
      </c>
      <c r="F366" t="s">
        <v>1087</v>
      </c>
      <c r="G366" s="1" t="str">
        <f>HYPERLINK("https://homd.org/jbrowse/?data=homd_V11.02_phage_1.2%2FGCA_000469505.1&amp;loc=GCA_000469505.1%7CKI272827.1%3A101034..108041&amp;tracks=prokka,prokka_ncrna,ncbi,ncbi_ncrna,panggolin,cenote,genomad&amp;highlight=","Open JBrowse")</f>
        <v>Open JBrowse</v>
      </c>
      <c r="H366" s="10">
        <v>104034</v>
      </c>
      <c r="I366" s="10">
        <v>105041</v>
      </c>
      <c r="J366" s="10" t="s">
        <v>1088</v>
      </c>
      <c r="K366" s="10" t="s">
        <v>59</v>
      </c>
      <c r="L366" s="10" t="s">
        <v>1089</v>
      </c>
      <c r="M366" s="10" t="s">
        <v>1090</v>
      </c>
      <c r="N366" s="10" t="s">
        <v>42</v>
      </c>
      <c r="O366" s="10">
        <v>3</v>
      </c>
      <c r="P366" s="10" t="s">
        <v>42</v>
      </c>
      <c r="Q366" s="10" t="s">
        <v>59</v>
      </c>
      <c r="R366" s="10" t="s">
        <v>1091</v>
      </c>
      <c r="S366" s="10" t="s">
        <v>1089</v>
      </c>
      <c r="T366" s="10" t="s">
        <v>42</v>
      </c>
      <c r="U366" s="10">
        <v>78</v>
      </c>
      <c r="V366" s="10">
        <v>332</v>
      </c>
      <c r="W366" s="10">
        <v>255</v>
      </c>
      <c r="X366" s="10" t="s">
        <v>142</v>
      </c>
      <c r="Y366" s="10" t="s">
        <v>1092</v>
      </c>
      <c r="Z366" s="10" t="s">
        <v>357</v>
      </c>
      <c r="AA366" s="10" t="s">
        <v>1093</v>
      </c>
      <c r="AB366" s="10"/>
      <c r="AC366" s="10"/>
      <c r="AD366" s="10"/>
      <c r="AE366" s="10"/>
      <c r="AF366" s="10"/>
      <c r="AG366" s="44"/>
      <c r="AH366" s="44"/>
      <c r="AI366" s="44" t="s">
        <v>6052</v>
      </c>
      <c r="AJ366" s="44" t="s">
        <v>6052</v>
      </c>
      <c r="AK366" s="44" t="s">
        <v>6052</v>
      </c>
      <c r="AL366" s="44" t="s">
        <v>6052</v>
      </c>
      <c r="AM366" s="44" t="s">
        <v>6052</v>
      </c>
      <c r="AN366" s="44" t="s">
        <v>33096</v>
      </c>
      <c r="AO366" s="45">
        <v>11</v>
      </c>
      <c r="AP366" s="45">
        <v>1</v>
      </c>
      <c r="AQ366" s="45">
        <v>0</v>
      </c>
      <c r="AR366" s="45">
        <v>0</v>
      </c>
      <c r="AS366" s="45">
        <v>0</v>
      </c>
      <c r="AT366" s="45">
        <v>0</v>
      </c>
      <c r="AU366" s="10" t="s">
        <v>6052</v>
      </c>
      <c r="AV366" s="10" t="s">
        <v>6052</v>
      </c>
      <c r="AW366" s="10" t="s">
        <v>6052</v>
      </c>
      <c r="AX366" s="10" t="s">
        <v>6052</v>
      </c>
      <c r="AY366" s="10" t="s">
        <v>32253</v>
      </c>
      <c r="AZ366" s="44" t="s">
        <v>33117</v>
      </c>
      <c r="BA366" s="44" t="s">
        <v>31157</v>
      </c>
      <c r="BB366" s="44" t="s">
        <v>31698</v>
      </c>
      <c r="BC366" s="44" t="s">
        <v>7224</v>
      </c>
      <c r="BD366" s="44" t="s">
        <v>31715</v>
      </c>
      <c r="BE366" s="11">
        <v>1</v>
      </c>
      <c r="BF366" s="11">
        <v>0</v>
      </c>
      <c r="BG366" s="11">
        <v>0</v>
      </c>
      <c r="BH366" s="10" t="s">
        <v>31981</v>
      </c>
      <c r="BI366" s="11">
        <v>100</v>
      </c>
      <c r="BJ366" s="10" t="s">
        <v>33440</v>
      </c>
      <c r="BK366" s="11">
        <v>100</v>
      </c>
    </row>
    <row r="367" spans="1:63" x14ac:dyDescent="0.75">
      <c r="A367" t="s">
        <v>1067</v>
      </c>
      <c r="B367" t="s">
        <v>104</v>
      </c>
      <c r="C367" t="s">
        <v>1068</v>
      </c>
      <c r="D367" t="s">
        <v>1069</v>
      </c>
      <c r="E367" s="22" t="s">
        <v>9839</v>
      </c>
      <c r="F367" t="s">
        <v>1070</v>
      </c>
      <c r="G367" s="1" t="str">
        <f>HYPERLINK("https://homd.org/jbrowse/?data=homd_V11.02_phage_1.2%2FGCA_000469385.1&amp;loc=GCA_000469385.1%7CKI271337.1%3A2680..9708&amp;tracks=prokka,prokka_ncrna,ncbi,ncbi_ncrna,panggolin,cenote,genomad&amp;highlight=","Open JBrowse")</f>
        <v>Open JBrowse</v>
      </c>
      <c r="H367" s="10">
        <v>5680</v>
      </c>
      <c r="I367" s="10">
        <v>6708</v>
      </c>
      <c r="J367" s="10" t="s">
        <v>1071</v>
      </c>
      <c r="K367" s="10" t="s">
        <v>59</v>
      </c>
      <c r="L367" s="10" t="s">
        <v>1072</v>
      </c>
      <c r="M367" s="10" t="s">
        <v>1073</v>
      </c>
      <c r="N367" s="10" t="s">
        <v>42</v>
      </c>
      <c r="O367" s="10">
        <v>3</v>
      </c>
      <c r="P367" s="10" t="s">
        <v>42</v>
      </c>
      <c r="Q367" s="10" t="s">
        <v>59</v>
      </c>
      <c r="R367" s="10" t="s">
        <v>1074</v>
      </c>
      <c r="S367" s="10" t="s">
        <v>1072</v>
      </c>
      <c r="T367" s="10" t="s">
        <v>42</v>
      </c>
      <c r="U367" s="10">
        <v>83</v>
      </c>
      <c r="V367" s="10">
        <v>339</v>
      </c>
      <c r="W367" s="10">
        <v>257</v>
      </c>
      <c r="X367" s="10" t="s">
        <v>142</v>
      </c>
      <c r="Y367" s="10" t="s">
        <v>1075</v>
      </c>
      <c r="Z367" s="10" t="s">
        <v>932</v>
      </c>
      <c r="AA367" s="10" t="s">
        <v>1076</v>
      </c>
      <c r="AB367" s="10" t="s">
        <v>1077</v>
      </c>
      <c r="AC367" s="10" t="s">
        <v>295</v>
      </c>
      <c r="AD367" s="10" t="s">
        <v>183</v>
      </c>
      <c r="AE367" s="10">
        <v>610</v>
      </c>
      <c r="AF367" s="10" t="s">
        <v>296</v>
      </c>
      <c r="AG367" s="44"/>
      <c r="AH367" s="44"/>
      <c r="AI367" s="44" t="s">
        <v>6052</v>
      </c>
      <c r="AJ367" s="44" t="s">
        <v>6052</v>
      </c>
      <c r="AK367" s="44" t="s">
        <v>6052</v>
      </c>
      <c r="AL367" s="44" t="s">
        <v>6052</v>
      </c>
      <c r="AM367" s="44" t="s">
        <v>6052</v>
      </c>
      <c r="AN367" s="44" t="s">
        <v>32764</v>
      </c>
      <c r="AO367" s="45">
        <v>11</v>
      </c>
      <c r="AP367" s="45">
        <v>1</v>
      </c>
      <c r="AQ367" s="45">
        <v>0</v>
      </c>
      <c r="AR367" s="45">
        <v>0</v>
      </c>
      <c r="AS367" s="45">
        <v>0</v>
      </c>
      <c r="AT367" s="45">
        <v>0</v>
      </c>
      <c r="AU367" s="10" t="s">
        <v>6052</v>
      </c>
      <c r="AV367" s="10" t="s">
        <v>6052</v>
      </c>
      <c r="AW367" s="10" t="s">
        <v>6052</v>
      </c>
      <c r="AX367" s="10" t="s">
        <v>6052</v>
      </c>
      <c r="AY367" s="10" t="s">
        <v>32253</v>
      </c>
      <c r="AZ367" s="44" t="s">
        <v>33117</v>
      </c>
      <c r="BA367" s="44" t="s">
        <v>30996</v>
      </c>
      <c r="BB367" s="44" t="s">
        <v>31464</v>
      </c>
      <c r="BC367" s="44" t="s">
        <v>6425</v>
      </c>
      <c r="BD367" s="44" t="s">
        <v>31709</v>
      </c>
      <c r="BE367" s="11">
        <v>1</v>
      </c>
      <c r="BF367" s="11">
        <v>0</v>
      </c>
      <c r="BG367" s="11">
        <v>0</v>
      </c>
      <c r="BH367" s="10" t="s">
        <v>31976</v>
      </c>
      <c r="BI367" s="11">
        <v>100</v>
      </c>
      <c r="BJ367" s="10" t="s">
        <v>33311</v>
      </c>
      <c r="BK367" s="11">
        <v>100</v>
      </c>
    </row>
    <row r="368" spans="1:63" x14ac:dyDescent="0.75">
      <c r="A368" t="s">
        <v>1078</v>
      </c>
      <c r="B368" t="s">
        <v>104</v>
      </c>
      <c r="C368" t="s">
        <v>873</v>
      </c>
      <c r="D368" t="s">
        <v>874</v>
      </c>
      <c r="E368" s="22" t="s">
        <v>9841</v>
      </c>
      <c r="F368" t="s">
        <v>1079</v>
      </c>
      <c r="G368" s="1" t="str">
        <f>HYPERLINK("https://homd.org/jbrowse/?data=homd_V11.02_phage_1.2%2FGCA_000469405.1&amp;loc=GCA_000469405.1%7CKI271431.1%3A1..5264&amp;tracks=prokka,prokka_ncrna,ncbi,ncbi_ncrna,panggolin,cenote,genomad&amp;highlight=","Open JBrowse")</f>
        <v>Open JBrowse</v>
      </c>
      <c r="H368" s="10">
        <v>1248</v>
      </c>
      <c r="I368" s="10">
        <v>2264</v>
      </c>
      <c r="J368" s="10" t="s">
        <v>1080</v>
      </c>
      <c r="K368" s="10" t="s">
        <v>59</v>
      </c>
      <c r="L368" s="10" t="s">
        <v>877</v>
      </c>
      <c r="M368" s="10" t="s">
        <v>878</v>
      </c>
      <c r="N368" s="10" t="s">
        <v>42</v>
      </c>
      <c r="O368" s="10">
        <v>3</v>
      </c>
      <c r="P368" s="10" t="s">
        <v>42</v>
      </c>
      <c r="Q368" s="10" t="s">
        <v>59</v>
      </c>
      <c r="R368" s="10" t="s">
        <v>1081</v>
      </c>
      <c r="S368" s="10" t="s">
        <v>877</v>
      </c>
      <c r="T368" s="10" t="s">
        <v>42</v>
      </c>
      <c r="U368" s="10">
        <v>79</v>
      </c>
      <c r="V368" s="10">
        <v>335</v>
      </c>
      <c r="W368" s="10">
        <v>257</v>
      </c>
      <c r="X368" s="10" t="s">
        <v>142</v>
      </c>
      <c r="Y368" s="10" t="s">
        <v>1082</v>
      </c>
      <c r="Z368" s="10" t="s">
        <v>530</v>
      </c>
      <c r="AA368" s="10" t="s">
        <v>1083</v>
      </c>
      <c r="AB368" s="10"/>
      <c r="AC368" s="10"/>
      <c r="AD368" s="10"/>
      <c r="AE368" s="10"/>
      <c r="AF368" s="10"/>
      <c r="AG368" s="44"/>
      <c r="AH368" s="44"/>
      <c r="AI368" s="44" t="s">
        <v>6052</v>
      </c>
      <c r="AJ368" s="44" t="s">
        <v>6052</v>
      </c>
      <c r="AK368" s="44" t="s">
        <v>6052</v>
      </c>
      <c r="AL368" s="44" t="s">
        <v>6052</v>
      </c>
      <c r="AM368" s="44" t="s">
        <v>6052</v>
      </c>
      <c r="AN368" s="44" t="s">
        <v>32669</v>
      </c>
      <c r="AO368" s="45">
        <v>11</v>
      </c>
      <c r="AP368" s="45">
        <v>1</v>
      </c>
      <c r="AQ368" s="45">
        <v>0</v>
      </c>
      <c r="AR368" s="45">
        <v>0</v>
      </c>
      <c r="AS368" s="45">
        <v>0</v>
      </c>
      <c r="AT368" s="45">
        <v>0</v>
      </c>
      <c r="AU368" s="10" t="s">
        <v>6052</v>
      </c>
      <c r="AV368" s="10" t="s">
        <v>6052</v>
      </c>
      <c r="AW368" s="10" t="s">
        <v>6052</v>
      </c>
      <c r="AX368" s="10" t="s">
        <v>6052</v>
      </c>
      <c r="AY368" s="10" t="s">
        <v>32253</v>
      </c>
      <c r="AZ368" s="44" t="s">
        <v>33117</v>
      </c>
      <c r="BA368" s="44" t="s">
        <v>30966</v>
      </c>
      <c r="BB368" s="44" t="s">
        <v>31409</v>
      </c>
      <c r="BC368" s="44" t="s">
        <v>6425</v>
      </c>
      <c r="BD368" s="44" t="s">
        <v>31709</v>
      </c>
      <c r="BE368" s="11">
        <v>1</v>
      </c>
      <c r="BF368" s="11">
        <v>0</v>
      </c>
      <c r="BG368" s="11">
        <v>0</v>
      </c>
      <c r="BH368" s="10" t="s">
        <v>31847</v>
      </c>
      <c r="BI368" s="11">
        <v>100</v>
      </c>
      <c r="BJ368" s="10" t="s">
        <v>33318</v>
      </c>
      <c r="BK368" s="11">
        <v>100</v>
      </c>
    </row>
    <row r="369" spans="1:63" x14ac:dyDescent="0.75">
      <c r="A369" t="s">
        <v>1053</v>
      </c>
      <c r="B369" t="s">
        <v>104</v>
      </c>
      <c r="C369" t="s">
        <v>1054</v>
      </c>
      <c r="D369" t="s">
        <v>1055</v>
      </c>
      <c r="E369" s="22" t="s">
        <v>9778</v>
      </c>
      <c r="F369" t="s">
        <v>1056</v>
      </c>
      <c r="G369" s="1" t="str">
        <f>HYPERLINK("https://homd.org/jbrowse/?data=homd_V11.02_phage_1.2%2FGCA_000467895.1&amp;loc=GCA_000467895.1%7CKI259594.1%3A1..6391&amp;tracks=prokka,prokka_ncrna,ncbi,ncbi_ncrna,panggolin,cenote,genomad&amp;highlight=","Open JBrowse")</f>
        <v>Open JBrowse</v>
      </c>
      <c r="H369" s="10">
        <v>2387</v>
      </c>
      <c r="I369" s="10">
        <v>3391</v>
      </c>
      <c r="J369" s="10" t="s">
        <v>1057</v>
      </c>
      <c r="K369" s="10" t="s">
        <v>59</v>
      </c>
      <c r="L369" s="10" t="s">
        <v>157</v>
      </c>
      <c r="M369" s="10" t="s">
        <v>158</v>
      </c>
      <c r="N369" s="10" t="s">
        <v>42</v>
      </c>
      <c r="O369" s="10">
        <v>3</v>
      </c>
      <c r="P369" s="10" t="s">
        <v>42</v>
      </c>
      <c r="Q369" s="10" t="s">
        <v>59</v>
      </c>
      <c r="R369" s="10" t="s">
        <v>1058</v>
      </c>
      <c r="S369" s="10" t="s">
        <v>157</v>
      </c>
      <c r="T369" s="10" t="s">
        <v>42</v>
      </c>
      <c r="U369" s="10">
        <v>53</v>
      </c>
      <c r="V369" s="10">
        <v>279</v>
      </c>
      <c r="W369" s="10">
        <v>227</v>
      </c>
      <c r="X369" s="10" t="s">
        <v>160</v>
      </c>
      <c r="Y369" s="10"/>
      <c r="Z369" s="10"/>
      <c r="AA369" s="10"/>
      <c r="AB369" s="10"/>
      <c r="AC369" s="10"/>
      <c r="AD369" s="10"/>
      <c r="AE369" s="10"/>
      <c r="AF369" s="10"/>
      <c r="AG369" s="44"/>
      <c r="AH369" s="44"/>
      <c r="AI369" s="46" t="s">
        <v>6054</v>
      </c>
      <c r="AJ369" s="44" t="s">
        <v>6052</v>
      </c>
      <c r="AK369" s="44" t="s">
        <v>6052</v>
      </c>
      <c r="AL369" s="44" t="s">
        <v>6052</v>
      </c>
      <c r="AM369" s="44" t="s">
        <v>6052</v>
      </c>
      <c r="AN369" s="44" t="s">
        <v>32655</v>
      </c>
      <c r="AO369" s="45">
        <v>11</v>
      </c>
      <c r="AP369" s="45">
        <v>1</v>
      </c>
      <c r="AQ369" s="45">
        <v>0</v>
      </c>
      <c r="AR369" s="45">
        <v>0</v>
      </c>
      <c r="AS369" s="45">
        <v>0</v>
      </c>
      <c r="AT369" s="45">
        <v>0</v>
      </c>
      <c r="AU369" s="10" t="s">
        <v>6052</v>
      </c>
      <c r="AV369" s="10" t="s">
        <v>6052</v>
      </c>
      <c r="AW369" s="10" t="s">
        <v>6052</v>
      </c>
      <c r="AX369" s="10" t="s">
        <v>6052</v>
      </c>
      <c r="AY369" s="10" t="s">
        <v>32253</v>
      </c>
      <c r="AZ369" s="44" t="s">
        <v>33117</v>
      </c>
      <c r="BA369" s="44" t="s">
        <v>30955</v>
      </c>
      <c r="BB369" s="44" t="s">
        <v>31397</v>
      </c>
      <c r="BC369" s="44" t="s">
        <v>6594</v>
      </c>
      <c r="BD369" s="44" t="s">
        <v>31708</v>
      </c>
      <c r="BE369" s="11">
        <v>1</v>
      </c>
      <c r="BF369" s="11">
        <v>0</v>
      </c>
      <c r="BG369" s="11">
        <v>0</v>
      </c>
      <c r="BH369" s="10" t="s">
        <v>31992</v>
      </c>
      <c r="BI369" s="11">
        <v>100</v>
      </c>
      <c r="BJ369" s="10" t="s">
        <v>33433</v>
      </c>
      <c r="BK369" s="11">
        <v>100</v>
      </c>
    </row>
    <row r="370" spans="1:63" x14ac:dyDescent="0.75">
      <c r="A370" t="s">
        <v>1034</v>
      </c>
      <c r="B370" t="s">
        <v>104</v>
      </c>
      <c r="C370" t="s">
        <v>1035</v>
      </c>
      <c r="D370" t="s">
        <v>1036</v>
      </c>
      <c r="E370" s="22" t="s">
        <v>9711</v>
      </c>
      <c r="F370" t="s">
        <v>1037</v>
      </c>
      <c r="G370" s="1" t="str">
        <f>HYPERLINK("https://homd.org/jbrowse/?data=homd_V11.02_phage_1.2%2FGCA_000466165.1&amp;loc=GCA_000466165.1%7CKE951428.1%3A109014..115928&amp;tracks=prokka,prokka_ncrna,ncbi,ncbi_ncrna,panggolin,cenote,genomad&amp;highlight=","Open JBrowse")</f>
        <v>Open JBrowse</v>
      </c>
      <c r="H370" s="10">
        <v>112014</v>
      </c>
      <c r="I370" s="10">
        <v>112928</v>
      </c>
      <c r="J370" s="10" t="s">
        <v>1038</v>
      </c>
      <c r="K370" s="10" t="s">
        <v>269</v>
      </c>
      <c r="L370" s="10" t="s">
        <v>1039</v>
      </c>
      <c r="M370" s="10" t="s">
        <v>1040</v>
      </c>
      <c r="N370" s="10" t="s">
        <v>42</v>
      </c>
      <c r="O370" s="10">
        <v>3</v>
      </c>
      <c r="P370" s="10" t="s">
        <v>42</v>
      </c>
      <c r="Q370" s="10" t="s">
        <v>43</v>
      </c>
      <c r="R370" s="10" t="s">
        <v>1041</v>
      </c>
      <c r="S370" s="10" t="s">
        <v>1039</v>
      </c>
      <c r="T370" s="10" t="s">
        <v>42</v>
      </c>
      <c r="U370" s="10">
        <v>61</v>
      </c>
      <c r="V370" s="10">
        <v>300</v>
      </c>
      <c r="W370" s="10">
        <v>240</v>
      </c>
      <c r="X370" s="10" t="s">
        <v>273</v>
      </c>
      <c r="Y370" s="10" t="s">
        <v>1042</v>
      </c>
      <c r="Z370" s="10" t="s">
        <v>90</v>
      </c>
      <c r="AA370" s="10" t="s">
        <v>1043</v>
      </c>
      <c r="AB370" s="10"/>
      <c r="AC370" s="10"/>
      <c r="AD370" s="10"/>
      <c r="AE370" s="10"/>
      <c r="AF370" s="10"/>
      <c r="AG370" s="44"/>
      <c r="AH370" s="44"/>
      <c r="AI370" s="44" t="s">
        <v>6052</v>
      </c>
      <c r="AJ370" s="44" t="s">
        <v>6052</v>
      </c>
      <c r="AK370" s="44" t="s">
        <v>6052</v>
      </c>
      <c r="AL370" s="44" t="s">
        <v>6052</v>
      </c>
      <c r="AM370" s="44" t="s">
        <v>6052</v>
      </c>
      <c r="AN370" s="44" t="s">
        <v>32763</v>
      </c>
      <c r="AO370" s="45">
        <v>11</v>
      </c>
      <c r="AP370" s="45">
        <v>1</v>
      </c>
      <c r="AQ370" s="45">
        <v>0</v>
      </c>
      <c r="AR370" s="45">
        <v>0</v>
      </c>
      <c r="AS370" s="45">
        <v>0</v>
      </c>
      <c r="AT370" s="45">
        <v>0</v>
      </c>
      <c r="AU370" s="10" t="s">
        <v>6052</v>
      </c>
      <c r="AV370" s="10" t="s">
        <v>6052</v>
      </c>
      <c r="AW370" s="10" t="s">
        <v>6052</v>
      </c>
      <c r="AX370" s="10" t="s">
        <v>6052</v>
      </c>
      <c r="AY370" s="10" t="s">
        <v>32253</v>
      </c>
      <c r="AZ370" s="44" t="s">
        <v>33116</v>
      </c>
      <c r="BA370" s="44" t="s">
        <v>30995</v>
      </c>
      <c r="BB370" s="44" t="s">
        <v>31463</v>
      </c>
      <c r="BC370" s="44" t="s">
        <v>7008</v>
      </c>
      <c r="BD370" s="44" t="s">
        <v>31719</v>
      </c>
      <c r="BE370" s="11">
        <v>1</v>
      </c>
      <c r="BF370" s="11">
        <v>0</v>
      </c>
      <c r="BG370" s="11">
        <v>0</v>
      </c>
      <c r="BH370" s="10" t="s">
        <v>32186</v>
      </c>
      <c r="BI370" s="11">
        <v>100</v>
      </c>
      <c r="BJ370" s="10" t="s">
        <v>33355</v>
      </c>
      <c r="BK370" s="11">
        <v>54.4</v>
      </c>
    </row>
    <row r="371" spans="1:63" x14ac:dyDescent="0.75">
      <c r="A371" t="s">
        <v>1044</v>
      </c>
      <c r="B371" t="s">
        <v>104</v>
      </c>
      <c r="C371" t="s">
        <v>610</v>
      </c>
      <c r="D371" t="s">
        <v>611</v>
      </c>
      <c r="E371" s="22" t="s">
        <v>9713</v>
      </c>
      <c r="F371" t="s">
        <v>1045</v>
      </c>
      <c r="G371" s="1" t="str">
        <f>HYPERLINK("https://homd.org/jbrowse/?data=homd_V11.02_phage_1.2%2FGCA_000466185.1&amp;loc=GCA_000466185.1%7CKE951502.1%3A211223..218167&amp;tracks=prokka,prokka_ncrna,ncbi,ncbi_ncrna,panggolin,cenote,genomad&amp;highlight=","Open JBrowse")</f>
        <v>Open JBrowse</v>
      </c>
      <c r="H371" s="10">
        <v>214223</v>
      </c>
      <c r="I371" s="10">
        <v>215167</v>
      </c>
      <c r="J371" s="10" t="s">
        <v>1046</v>
      </c>
      <c r="K371" s="10" t="s">
        <v>614</v>
      </c>
      <c r="L371" s="10" t="s">
        <v>615</v>
      </c>
      <c r="M371" s="10" t="s">
        <v>616</v>
      </c>
      <c r="N371" s="10" t="s">
        <v>59</v>
      </c>
      <c r="O371" s="10">
        <v>2</v>
      </c>
      <c r="P371" s="10" t="s">
        <v>42</v>
      </c>
      <c r="Q371" s="10" t="s">
        <v>101</v>
      </c>
      <c r="R371" s="10" t="s">
        <v>1047</v>
      </c>
      <c r="S371" s="10" t="s">
        <v>615</v>
      </c>
      <c r="T371" s="10" t="s">
        <v>42</v>
      </c>
      <c r="U371" s="10">
        <v>52</v>
      </c>
      <c r="V371" s="10">
        <v>311</v>
      </c>
      <c r="W371" s="10">
        <v>260</v>
      </c>
      <c r="X371" s="10" t="s">
        <v>618</v>
      </c>
      <c r="Y371" s="10" t="s">
        <v>1048</v>
      </c>
      <c r="Z371" s="10" t="s">
        <v>346</v>
      </c>
      <c r="AA371" s="10" t="s">
        <v>1049</v>
      </c>
      <c r="AB371" s="10" t="s">
        <v>1050</v>
      </c>
      <c r="AC371" s="10" t="s">
        <v>1051</v>
      </c>
      <c r="AD371" s="10" t="s">
        <v>1052</v>
      </c>
      <c r="AE371" s="10">
        <v>1546</v>
      </c>
      <c r="AF371" s="10" t="s">
        <v>102</v>
      </c>
      <c r="AG371" s="44"/>
      <c r="AH371" s="44"/>
      <c r="AI371" s="44" t="s">
        <v>6052</v>
      </c>
      <c r="AJ371" s="44" t="s">
        <v>6052</v>
      </c>
      <c r="AK371" s="44" t="s">
        <v>6052</v>
      </c>
      <c r="AL371" s="44" t="s">
        <v>6052</v>
      </c>
      <c r="AM371" s="44" t="s">
        <v>6052</v>
      </c>
      <c r="AN371" s="44" t="s">
        <v>32758</v>
      </c>
      <c r="AO371" s="45">
        <v>11</v>
      </c>
      <c r="AP371" s="45">
        <v>1</v>
      </c>
      <c r="AQ371" s="45">
        <v>0</v>
      </c>
      <c r="AR371" s="45">
        <v>0</v>
      </c>
      <c r="AS371" s="45">
        <v>0</v>
      </c>
      <c r="AT371" s="45">
        <v>0</v>
      </c>
      <c r="AU371" s="10" t="s">
        <v>6052</v>
      </c>
      <c r="AV371" s="10" t="s">
        <v>6052</v>
      </c>
      <c r="AW371" s="10" t="s">
        <v>6052</v>
      </c>
      <c r="AX371" s="10" t="s">
        <v>6052</v>
      </c>
      <c r="AY371" s="10" t="s">
        <v>32253</v>
      </c>
      <c r="AZ371" s="44" t="s">
        <v>33118</v>
      </c>
      <c r="BA371" s="44" t="s">
        <v>30992</v>
      </c>
      <c r="BB371" s="44" t="s">
        <v>31460</v>
      </c>
      <c r="BC371" s="44" t="s">
        <v>7190</v>
      </c>
      <c r="BD371" s="44" t="s">
        <v>31712</v>
      </c>
      <c r="BE371" s="11">
        <v>1</v>
      </c>
      <c r="BF371" s="11">
        <v>0</v>
      </c>
      <c r="BG371" s="11">
        <v>0</v>
      </c>
      <c r="BH371" s="10" t="s">
        <v>31946</v>
      </c>
      <c r="BI371" s="11">
        <v>100</v>
      </c>
      <c r="BJ371" s="10" t="s">
        <v>33181</v>
      </c>
      <c r="BK371" s="11">
        <v>100</v>
      </c>
    </row>
    <row r="372" spans="1:63" x14ac:dyDescent="0.75">
      <c r="A372" t="s">
        <v>914</v>
      </c>
      <c r="B372" t="s">
        <v>104</v>
      </c>
      <c r="C372" t="s">
        <v>105</v>
      </c>
      <c r="D372" t="s">
        <v>106</v>
      </c>
      <c r="E372" s="22" t="s">
        <v>9470</v>
      </c>
      <c r="F372" t="s">
        <v>915</v>
      </c>
      <c r="G372" s="1" t="str">
        <f>HYPERLINK("https://homd.org/jbrowse/?data=homd_V11.02_phage_1.2%2FGCA_000411575.1&amp;loc=GCA_000411575.1%7CKE150488.1%3A13767..20594&amp;tracks=prokka,prokka_ncrna,ncbi,ncbi_ncrna,panggolin,cenote,genomad&amp;highlight=","Open JBrowse")</f>
        <v>Open JBrowse</v>
      </c>
      <c r="H372" s="10">
        <v>16767</v>
      </c>
      <c r="I372" s="10">
        <v>17594</v>
      </c>
      <c r="J372" s="10" t="s">
        <v>916</v>
      </c>
      <c r="K372" s="10" t="s">
        <v>39</v>
      </c>
      <c r="L372" s="10" t="s">
        <v>413</v>
      </c>
      <c r="M372" s="10" t="s">
        <v>414</v>
      </c>
      <c r="N372" s="10" t="s">
        <v>42</v>
      </c>
      <c r="O372" s="10">
        <v>3</v>
      </c>
      <c r="P372" s="10" t="s">
        <v>42</v>
      </c>
      <c r="Q372" s="10" t="s">
        <v>43</v>
      </c>
      <c r="R372" s="10" t="s">
        <v>917</v>
      </c>
      <c r="S372" s="10" t="s">
        <v>413</v>
      </c>
      <c r="T372" s="10" t="s">
        <v>42</v>
      </c>
      <c r="U372" s="10">
        <v>43</v>
      </c>
      <c r="V372" s="10">
        <v>273</v>
      </c>
      <c r="W372" s="10">
        <v>231</v>
      </c>
      <c r="X372" s="10" t="s">
        <v>45</v>
      </c>
      <c r="Y372" s="10" t="s">
        <v>918</v>
      </c>
      <c r="Z372" s="10" t="s">
        <v>368</v>
      </c>
      <c r="AA372" s="10" t="s">
        <v>919</v>
      </c>
      <c r="AB372" s="10"/>
      <c r="AC372" s="10"/>
      <c r="AD372" s="10"/>
      <c r="AE372" s="10"/>
      <c r="AF372" s="10"/>
      <c r="AG372" s="44"/>
      <c r="AH372" s="44"/>
      <c r="AI372" s="44" t="s">
        <v>6052</v>
      </c>
      <c r="AJ372" s="44" t="s">
        <v>6052</v>
      </c>
      <c r="AK372" s="44" t="s">
        <v>6052</v>
      </c>
      <c r="AL372" s="44" t="s">
        <v>6052</v>
      </c>
      <c r="AM372" s="44" t="s">
        <v>6052</v>
      </c>
      <c r="AN372" s="44" t="s">
        <v>32745</v>
      </c>
      <c r="AO372" s="45">
        <v>11</v>
      </c>
      <c r="AP372" s="45">
        <v>1</v>
      </c>
      <c r="AQ372" s="45">
        <v>0</v>
      </c>
      <c r="AR372" s="45">
        <v>0</v>
      </c>
      <c r="AS372" s="45">
        <v>0</v>
      </c>
      <c r="AT372" s="45">
        <v>0</v>
      </c>
      <c r="AU372" s="10" t="s">
        <v>6052</v>
      </c>
      <c r="AV372" s="10" t="s">
        <v>6052</v>
      </c>
      <c r="AW372" s="10" t="s">
        <v>6052</v>
      </c>
      <c r="AX372" s="10" t="s">
        <v>6052</v>
      </c>
      <c r="AY372" s="10" t="s">
        <v>32253</v>
      </c>
      <c r="AZ372" s="44" t="s">
        <v>33116</v>
      </c>
      <c r="BA372" s="44" t="s">
        <v>30989</v>
      </c>
      <c r="BB372" s="44" t="s">
        <v>31453</v>
      </c>
      <c r="BC372" s="44" t="s">
        <v>6415</v>
      </c>
      <c r="BD372" s="44" t="s">
        <v>31707</v>
      </c>
      <c r="BE372" s="11">
        <v>1</v>
      </c>
      <c r="BF372" s="11">
        <v>0</v>
      </c>
      <c r="BG372" s="11">
        <v>0</v>
      </c>
      <c r="BH372" s="10" t="s">
        <v>31842</v>
      </c>
      <c r="BI372" s="11">
        <v>100</v>
      </c>
      <c r="BJ372" s="10" t="s">
        <v>33253</v>
      </c>
      <c r="BK372" s="11">
        <v>100</v>
      </c>
    </row>
    <row r="373" spans="1:63" x14ac:dyDescent="0.75">
      <c r="A373" t="s">
        <v>914</v>
      </c>
      <c r="B373" t="s">
        <v>104</v>
      </c>
      <c r="C373" t="s">
        <v>105</v>
      </c>
      <c r="D373" t="s">
        <v>106</v>
      </c>
      <c r="E373" s="22" t="s">
        <v>9470</v>
      </c>
      <c r="F373" t="s">
        <v>924</v>
      </c>
      <c r="G373" s="1" t="str">
        <f>HYPERLINK("https://homd.org/jbrowse/?data=homd_V11.02_phage_1.2%2FGCA_000411575.1&amp;loc=GCA_000411575.1%7CKE150494.1%3A78484..85269&amp;tracks=prokka,prokka_ncrna,ncbi,ncbi_ncrna,panggolin,cenote,genomad&amp;highlight=","Open JBrowse")</f>
        <v>Open JBrowse</v>
      </c>
      <c r="H373" s="10">
        <v>81484</v>
      </c>
      <c r="I373" s="10">
        <v>82269</v>
      </c>
      <c r="J373" s="10" t="s">
        <v>925</v>
      </c>
      <c r="K373" s="10" t="s">
        <v>39</v>
      </c>
      <c r="L373" s="10" t="s">
        <v>406</v>
      </c>
      <c r="M373" s="10" t="s">
        <v>407</v>
      </c>
      <c r="N373" s="10" t="s">
        <v>42</v>
      </c>
      <c r="O373" s="10">
        <v>3</v>
      </c>
      <c r="P373" s="10" t="s">
        <v>42</v>
      </c>
      <c r="Q373" s="10" t="s">
        <v>43</v>
      </c>
      <c r="R373" s="10" t="s">
        <v>917</v>
      </c>
      <c r="S373" s="10" t="s">
        <v>406</v>
      </c>
      <c r="T373" s="10" t="s">
        <v>42</v>
      </c>
      <c r="U373" s="10">
        <v>33</v>
      </c>
      <c r="V373" s="10">
        <v>259</v>
      </c>
      <c r="W373" s="10">
        <v>227</v>
      </c>
      <c r="X373" s="10" t="s">
        <v>45</v>
      </c>
      <c r="Y373" s="10" t="s">
        <v>926</v>
      </c>
      <c r="Z373" s="10" t="s">
        <v>870</v>
      </c>
      <c r="AA373" s="10" t="s">
        <v>127</v>
      </c>
      <c r="AB373" s="10"/>
      <c r="AC373" s="10"/>
      <c r="AD373" s="10"/>
      <c r="AE373" s="10"/>
      <c r="AF373" s="10"/>
      <c r="AG373" s="44"/>
      <c r="AH373" s="44"/>
      <c r="AI373" s="44" t="s">
        <v>6052</v>
      </c>
      <c r="AJ373" s="44" t="s">
        <v>6052</v>
      </c>
      <c r="AK373" s="44" t="s">
        <v>6052</v>
      </c>
      <c r="AL373" s="44" t="s">
        <v>6052</v>
      </c>
      <c r="AM373" s="44" t="s">
        <v>6052</v>
      </c>
      <c r="AN373" s="44" t="s">
        <v>32746</v>
      </c>
      <c r="AO373" s="45">
        <v>11</v>
      </c>
      <c r="AP373" s="45">
        <v>1</v>
      </c>
      <c r="AQ373" s="45">
        <v>0</v>
      </c>
      <c r="AR373" s="45">
        <v>0</v>
      </c>
      <c r="AS373" s="45">
        <v>0</v>
      </c>
      <c r="AT373" s="45">
        <v>0</v>
      </c>
      <c r="AU373" s="10" t="s">
        <v>6052</v>
      </c>
      <c r="AV373" s="10" t="s">
        <v>6052</v>
      </c>
      <c r="AW373" s="10" t="s">
        <v>6052</v>
      </c>
      <c r="AX373" s="10" t="s">
        <v>6052</v>
      </c>
      <c r="AY373" s="10" t="s">
        <v>32253</v>
      </c>
      <c r="AZ373" s="44" t="s">
        <v>33116</v>
      </c>
      <c r="BA373" s="44" t="s">
        <v>30989</v>
      </c>
      <c r="BB373" s="44" t="s">
        <v>31454</v>
      </c>
      <c r="BC373" s="44" t="s">
        <v>6415</v>
      </c>
      <c r="BD373" s="44" t="s">
        <v>31707</v>
      </c>
      <c r="BE373" s="11">
        <v>1</v>
      </c>
      <c r="BF373" s="11">
        <v>0</v>
      </c>
      <c r="BG373" s="11">
        <v>0</v>
      </c>
      <c r="BH373" s="10" t="s">
        <v>32036</v>
      </c>
      <c r="BI373" s="11">
        <v>100</v>
      </c>
      <c r="BJ373" s="10" t="s">
        <v>33254</v>
      </c>
      <c r="BK373" s="11">
        <v>100</v>
      </c>
    </row>
    <row r="374" spans="1:63" x14ac:dyDescent="0.75">
      <c r="A374" t="s">
        <v>813</v>
      </c>
      <c r="B374" t="s">
        <v>104</v>
      </c>
      <c r="C374" t="s">
        <v>814</v>
      </c>
      <c r="D374" t="s">
        <v>815</v>
      </c>
      <c r="E374" s="22" t="s">
        <v>8997</v>
      </c>
      <c r="F374" t="s">
        <v>816</v>
      </c>
      <c r="G374" s="1" t="str">
        <f>HYPERLINK("https://homd.org/jbrowse/?data=homd_V11.02_phage_1.2%2FGCA_000318295.1&amp;loc=GCA_000318295.1%7CKB291387.1%3A29766..36548&amp;tracks=prokka,prokka_ncrna,ncbi,ncbi_ncrna,panggolin,cenote,genomad&amp;highlight=","Open JBrowse")</f>
        <v>Open JBrowse</v>
      </c>
      <c r="H374" s="10">
        <v>32766</v>
      </c>
      <c r="I374" s="10">
        <v>33548</v>
      </c>
      <c r="J374" s="10" t="s">
        <v>817</v>
      </c>
      <c r="K374" s="10" t="s">
        <v>39</v>
      </c>
      <c r="L374" s="10" t="s">
        <v>818</v>
      </c>
      <c r="M374" s="10" t="s">
        <v>819</v>
      </c>
      <c r="N374" s="10" t="s">
        <v>42</v>
      </c>
      <c r="O374" s="10">
        <v>3</v>
      </c>
      <c r="P374" s="10" t="s">
        <v>42</v>
      </c>
      <c r="Q374" s="10" t="s">
        <v>43</v>
      </c>
      <c r="R374" s="10" t="s">
        <v>820</v>
      </c>
      <c r="S374" s="10" t="s">
        <v>818</v>
      </c>
      <c r="T374" s="10" t="s">
        <v>42</v>
      </c>
      <c r="U374" s="10">
        <v>28</v>
      </c>
      <c r="V374" s="10">
        <v>256</v>
      </c>
      <c r="W374" s="10">
        <v>229</v>
      </c>
      <c r="X374" s="10" t="s">
        <v>45</v>
      </c>
      <c r="Y374" s="10"/>
      <c r="Z374" s="10"/>
      <c r="AA374" s="10"/>
      <c r="AB374" s="10"/>
      <c r="AC374" s="10"/>
      <c r="AD374" s="10"/>
      <c r="AE374" s="10"/>
      <c r="AF374" s="10"/>
      <c r="AG374" s="44"/>
      <c r="AH374" s="44"/>
      <c r="AI374" s="46" t="s">
        <v>6054</v>
      </c>
      <c r="AJ374" s="44" t="s">
        <v>6052</v>
      </c>
      <c r="AK374" s="44" t="s">
        <v>6052</v>
      </c>
      <c r="AL374" s="44" t="s">
        <v>6052</v>
      </c>
      <c r="AM374" s="44" t="s">
        <v>6052</v>
      </c>
      <c r="AN374" s="44" t="s">
        <v>32708</v>
      </c>
      <c r="AO374" s="45">
        <v>11</v>
      </c>
      <c r="AP374" s="45">
        <v>1</v>
      </c>
      <c r="AQ374" s="45">
        <v>0</v>
      </c>
      <c r="AR374" s="45">
        <v>0</v>
      </c>
      <c r="AS374" s="45">
        <v>0</v>
      </c>
      <c r="AT374" s="45">
        <v>0</v>
      </c>
      <c r="AU374" s="10" t="s">
        <v>6052</v>
      </c>
      <c r="AV374" s="10" t="s">
        <v>6052</v>
      </c>
      <c r="AW374" s="10" t="s">
        <v>6052</v>
      </c>
      <c r="AX374" s="10" t="s">
        <v>6052</v>
      </c>
      <c r="AY374" s="10" t="s">
        <v>32253</v>
      </c>
      <c r="AZ374" s="44" t="s">
        <v>33117</v>
      </c>
      <c r="BA374" s="44" t="s">
        <v>30980</v>
      </c>
      <c r="BB374" s="44" t="s">
        <v>31431</v>
      </c>
      <c r="BC374" s="44" t="s">
        <v>6415</v>
      </c>
      <c r="BD374" s="44" t="s">
        <v>31707</v>
      </c>
      <c r="BE374" s="11">
        <v>1</v>
      </c>
      <c r="BF374" s="11">
        <v>0</v>
      </c>
      <c r="BG374" s="11">
        <v>0</v>
      </c>
      <c r="BH374" s="10" t="s">
        <v>31964</v>
      </c>
      <c r="BI374" s="11">
        <v>100</v>
      </c>
      <c r="BJ374" s="10" t="s">
        <v>33276</v>
      </c>
      <c r="BK374" s="11">
        <v>100</v>
      </c>
    </row>
    <row r="375" spans="1:63" x14ac:dyDescent="0.75">
      <c r="A375" t="s">
        <v>831</v>
      </c>
      <c r="B375" t="s">
        <v>104</v>
      </c>
      <c r="C375" t="s">
        <v>105</v>
      </c>
      <c r="D375" t="s">
        <v>106</v>
      </c>
      <c r="E375" s="22" t="s">
        <v>8999</v>
      </c>
      <c r="F375" t="s">
        <v>832</v>
      </c>
      <c r="G375" s="1" t="str">
        <f>HYPERLINK("https://homd.org/jbrowse/?data=homd_V11.02_phage_1.2%2FGCA_000318315.2&amp;loc=GCA_000318315.2%7CKB291492.1%3A8441..15274&amp;tracks=prokka,prokka_ncrna,ncbi,ncbi_ncrna,panggolin,cenote,genomad&amp;highlight=","Open JBrowse")</f>
        <v>Open JBrowse</v>
      </c>
      <c r="H375" s="10">
        <v>11441</v>
      </c>
      <c r="I375" s="10">
        <v>12274</v>
      </c>
      <c r="J375" s="10" t="s">
        <v>833</v>
      </c>
      <c r="K375" s="10" t="s">
        <v>39</v>
      </c>
      <c r="L375" s="10" t="s">
        <v>129</v>
      </c>
      <c r="M375" s="10" t="s">
        <v>130</v>
      </c>
      <c r="N375" s="10" t="s">
        <v>42</v>
      </c>
      <c r="O375" s="10">
        <v>3</v>
      </c>
      <c r="P375" s="10" t="s">
        <v>42</v>
      </c>
      <c r="Q375" s="10" t="s">
        <v>43</v>
      </c>
      <c r="R375" s="10" t="s">
        <v>834</v>
      </c>
      <c r="S375" s="10" t="s">
        <v>129</v>
      </c>
      <c r="T375" s="10" t="s">
        <v>42</v>
      </c>
      <c r="U375" s="10">
        <v>43</v>
      </c>
      <c r="V375" s="10">
        <v>275</v>
      </c>
      <c r="W375" s="10">
        <v>233</v>
      </c>
      <c r="X375" s="10" t="s">
        <v>45</v>
      </c>
      <c r="Y375" s="10" t="s">
        <v>835</v>
      </c>
      <c r="Z375" s="10" t="s">
        <v>836</v>
      </c>
      <c r="AA375" s="10" t="s">
        <v>133</v>
      </c>
      <c r="AB375" s="10"/>
      <c r="AC375" s="10"/>
      <c r="AD375" s="10"/>
      <c r="AE375" s="10"/>
      <c r="AF375" s="10"/>
      <c r="AG375" s="44"/>
      <c r="AH375" s="44"/>
      <c r="AI375" s="44" t="s">
        <v>6052</v>
      </c>
      <c r="AJ375" s="44" t="s">
        <v>6052</v>
      </c>
      <c r="AK375" s="44" t="s">
        <v>6052</v>
      </c>
      <c r="AL375" s="44" t="s">
        <v>6052</v>
      </c>
      <c r="AM375" s="44" t="s">
        <v>6052</v>
      </c>
      <c r="AN375" s="44" t="s">
        <v>32722</v>
      </c>
      <c r="AO375" s="45">
        <v>11</v>
      </c>
      <c r="AP375" s="45">
        <v>1</v>
      </c>
      <c r="AQ375" s="45">
        <v>0</v>
      </c>
      <c r="AR375" s="45">
        <v>1</v>
      </c>
      <c r="AS375" s="45">
        <v>0</v>
      </c>
      <c r="AT375" s="45">
        <v>0</v>
      </c>
      <c r="AU375" s="10" t="s">
        <v>6052</v>
      </c>
      <c r="AV375" s="10" t="s">
        <v>32723</v>
      </c>
      <c r="AW375" s="10" t="s">
        <v>6052</v>
      </c>
      <c r="AX375" s="10" t="s">
        <v>6052</v>
      </c>
      <c r="AY375" s="10" t="s">
        <v>32312</v>
      </c>
      <c r="AZ375" s="44" t="s">
        <v>33116</v>
      </c>
      <c r="BA375" s="44" t="s">
        <v>30984</v>
      </c>
      <c r="BB375" s="44" t="s">
        <v>31440</v>
      </c>
      <c r="BC375" s="44" t="s">
        <v>6415</v>
      </c>
      <c r="BD375" s="44" t="s">
        <v>31707</v>
      </c>
      <c r="BE375" s="11">
        <v>1</v>
      </c>
      <c r="BF375" s="11">
        <v>0</v>
      </c>
      <c r="BG375" s="11">
        <v>0</v>
      </c>
      <c r="BH375" s="10" t="s">
        <v>31838</v>
      </c>
      <c r="BI375" s="11">
        <v>100</v>
      </c>
      <c r="BJ375" s="10" t="s">
        <v>33495</v>
      </c>
      <c r="BK375" s="11">
        <v>100</v>
      </c>
    </row>
    <row r="376" spans="1:63" x14ac:dyDescent="0.75">
      <c r="A376" t="s">
        <v>846</v>
      </c>
      <c r="B376" t="s">
        <v>104</v>
      </c>
      <c r="C376" t="s">
        <v>746</v>
      </c>
      <c r="D376" t="s">
        <v>747</v>
      </c>
      <c r="E376" s="22" t="s">
        <v>9001</v>
      </c>
      <c r="F376" t="s">
        <v>847</v>
      </c>
      <c r="G376" s="1" t="str">
        <f>HYPERLINK("https://homd.org/jbrowse/?data=homd_V11.02_phage_1.2%2FGCA_000318335.2&amp;loc=GCA_000318335.2%7CKB291553.1%3A742262..750037&amp;tracks=prokka,prokka_ncrna,ncbi,ncbi_ncrna,panggolin,cenote,genomad&amp;highlight=","Open JBrowse")</f>
        <v>Open JBrowse</v>
      </c>
      <c r="H376" s="10">
        <v>745262</v>
      </c>
      <c r="I376" s="10">
        <v>747037</v>
      </c>
      <c r="J376" s="10" t="s">
        <v>848</v>
      </c>
      <c r="K376" s="10" t="s">
        <v>541</v>
      </c>
      <c r="L376" s="10" t="s">
        <v>750</v>
      </c>
      <c r="M376" s="10" t="s">
        <v>751</v>
      </c>
      <c r="N376" s="10" t="s">
        <v>59</v>
      </c>
      <c r="O376" s="10">
        <v>2</v>
      </c>
      <c r="P376" s="10" t="s">
        <v>42</v>
      </c>
      <c r="Q376" s="10" t="s">
        <v>101</v>
      </c>
      <c r="R376" s="10" t="s">
        <v>849</v>
      </c>
      <c r="S376" s="10" t="s">
        <v>750</v>
      </c>
      <c r="T376" s="10" t="s">
        <v>42</v>
      </c>
      <c r="U376" s="10">
        <v>59</v>
      </c>
      <c r="V376" s="10">
        <v>334</v>
      </c>
      <c r="W376" s="10">
        <v>276</v>
      </c>
      <c r="X376" s="10" t="s">
        <v>545</v>
      </c>
      <c r="Y376" s="10" t="s">
        <v>850</v>
      </c>
      <c r="Z376" s="10" t="s">
        <v>97</v>
      </c>
      <c r="AA376" s="10" t="s">
        <v>851</v>
      </c>
      <c r="AB376" s="10"/>
      <c r="AC376" s="10"/>
      <c r="AD376" s="10"/>
      <c r="AE376" s="10"/>
      <c r="AF376" s="10"/>
      <c r="AG376" s="44"/>
      <c r="AH376" s="44"/>
      <c r="AI376" s="44" t="s">
        <v>6052</v>
      </c>
      <c r="AJ376" s="44" t="s">
        <v>6052</v>
      </c>
      <c r="AK376" s="44" t="s">
        <v>6052</v>
      </c>
      <c r="AL376" s="44" t="s">
        <v>6052</v>
      </c>
      <c r="AM376" s="44" t="s">
        <v>6052</v>
      </c>
      <c r="AN376" s="44" t="s">
        <v>32706</v>
      </c>
      <c r="AO376" s="45">
        <v>11</v>
      </c>
      <c r="AP376" s="45">
        <v>1</v>
      </c>
      <c r="AQ376" s="45">
        <v>0</v>
      </c>
      <c r="AR376" s="45">
        <v>0</v>
      </c>
      <c r="AS376" s="45">
        <v>0</v>
      </c>
      <c r="AT376" s="45">
        <v>0</v>
      </c>
      <c r="AU376" s="10" t="s">
        <v>6052</v>
      </c>
      <c r="AV376" s="10" t="s">
        <v>6052</v>
      </c>
      <c r="AW376" s="10" t="s">
        <v>6052</v>
      </c>
      <c r="AX376" s="10" t="s">
        <v>6052</v>
      </c>
      <c r="AY376" s="10" t="s">
        <v>32253</v>
      </c>
      <c r="AZ376" s="44" t="s">
        <v>33117</v>
      </c>
      <c r="BA376" s="44" t="s">
        <v>30979</v>
      </c>
      <c r="BB376" s="44" t="s">
        <v>31429</v>
      </c>
      <c r="BC376" s="44" t="s">
        <v>6696</v>
      </c>
      <c r="BD376" s="44" t="s">
        <v>31714</v>
      </c>
      <c r="BE376" s="11">
        <v>1</v>
      </c>
      <c r="BF376" s="11">
        <v>0</v>
      </c>
      <c r="BG376" s="11">
        <v>0</v>
      </c>
      <c r="BH376" s="10" t="s">
        <v>32204</v>
      </c>
      <c r="BI376" s="11">
        <v>100</v>
      </c>
      <c r="BJ376" s="10" t="s">
        <v>33459</v>
      </c>
      <c r="BK376" s="11">
        <v>95.4</v>
      </c>
    </row>
    <row r="377" spans="1:63" x14ac:dyDescent="0.75">
      <c r="A377" t="s">
        <v>813</v>
      </c>
      <c r="B377" t="s">
        <v>104</v>
      </c>
      <c r="C377" t="s">
        <v>814</v>
      </c>
      <c r="D377" t="s">
        <v>815</v>
      </c>
      <c r="E377" s="22" t="s">
        <v>8997</v>
      </c>
      <c r="F377" t="s">
        <v>821</v>
      </c>
      <c r="G377" s="1" t="str">
        <f>HYPERLINK("https://homd.org/jbrowse/?data=homd_V11.02_phage_1.2%2FGCA_000318295.1&amp;loc=GCA_000318295.1%7CKB291425.1%3A7157..13984&amp;tracks=prokka,prokka_ncrna,ncbi,ncbi_ncrna,panggolin,cenote,genomad&amp;highlight=","Open JBrowse")</f>
        <v>Open JBrowse</v>
      </c>
      <c r="H377" s="10">
        <v>10157</v>
      </c>
      <c r="I377" s="10">
        <v>10984</v>
      </c>
      <c r="J377" s="10" t="s">
        <v>822</v>
      </c>
      <c r="K377" s="10" t="s">
        <v>39</v>
      </c>
      <c r="L377" s="10" t="s">
        <v>343</v>
      </c>
      <c r="M377" s="10" t="s">
        <v>344</v>
      </c>
      <c r="N377" s="10" t="s">
        <v>42</v>
      </c>
      <c r="O377" s="10">
        <v>3</v>
      </c>
      <c r="P377" s="10" t="s">
        <v>42</v>
      </c>
      <c r="Q377" s="10" t="s">
        <v>43</v>
      </c>
      <c r="R377" s="10" t="s">
        <v>820</v>
      </c>
      <c r="S377" s="10" t="s">
        <v>343</v>
      </c>
      <c r="T377" s="10" t="s">
        <v>42</v>
      </c>
      <c r="U377" s="10">
        <v>38</v>
      </c>
      <c r="V377" s="10">
        <v>270</v>
      </c>
      <c r="W377" s="10">
        <v>233</v>
      </c>
      <c r="X377" s="10" t="s">
        <v>45</v>
      </c>
      <c r="Y377" s="10" t="s">
        <v>823</v>
      </c>
      <c r="Z377" s="10" t="s">
        <v>824</v>
      </c>
      <c r="AA377" s="10" t="s">
        <v>825</v>
      </c>
      <c r="AB377" s="10"/>
      <c r="AC377" s="10"/>
      <c r="AD377" s="10"/>
      <c r="AE377" s="10"/>
      <c r="AF377" s="10"/>
      <c r="AG377" s="44"/>
      <c r="AH377" s="44"/>
      <c r="AI377" s="44" t="s">
        <v>6052</v>
      </c>
      <c r="AJ377" s="44" t="s">
        <v>6052</v>
      </c>
      <c r="AK377" s="44" t="s">
        <v>6052</v>
      </c>
      <c r="AL377" s="44" t="s">
        <v>6052</v>
      </c>
      <c r="AM377" s="44" t="s">
        <v>6052</v>
      </c>
      <c r="AN377" s="44" t="s">
        <v>32707</v>
      </c>
      <c r="AO377" s="45">
        <v>11</v>
      </c>
      <c r="AP377" s="45">
        <v>1</v>
      </c>
      <c r="AQ377" s="45">
        <v>0</v>
      </c>
      <c r="AR377" s="45">
        <v>0</v>
      </c>
      <c r="AS377" s="45">
        <v>0</v>
      </c>
      <c r="AT377" s="45">
        <v>0</v>
      </c>
      <c r="AU377" s="10" t="s">
        <v>6052</v>
      </c>
      <c r="AV377" s="10" t="s">
        <v>6052</v>
      </c>
      <c r="AW377" s="10" t="s">
        <v>6052</v>
      </c>
      <c r="AX377" s="10" t="s">
        <v>6052</v>
      </c>
      <c r="AY377" s="10" t="s">
        <v>32253</v>
      </c>
      <c r="AZ377" s="44" t="s">
        <v>33116</v>
      </c>
      <c r="BA377" s="44" t="s">
        <v>30980</v>
      </c>
      <c r="BB377" s="44" t="s">
        <v>31430</v>
      </c>
      <c r="BC377" s="44" t="s">
        <v>6415</v>
      </c>
      <c r="BD377" s="44" t="s">
        <v>31707</v>
      </c>
      <c r="BE377" s="11">
        <v>1</v>
      </c>
      <c r="BF377" s="11">
        <v>0</v>
      </c>
      <c r="BG377" s="11">
        <v>0</v>
      </c>
      <c r="BH377" s="10" t="s">
        <v>31937</v>
      </c>
      <c r="BI377" s="11">
        <v>100</v>
      </c>
      <c r="BJ377" s="10" t="s">
        <v>33277</v>
      </c>
      <c r="BK377" s="11">
        <v>100</v>
      </c>
    </row>
    <row r="378" spans="1:63" x14ac:dyDescent="0.75">
      <c r="A378" t="s">
        <v>831</v>
      </c>
      <c r="B378" t="s">
        <v>104</v>
      </c>
      <c r="C378" t="s">
        <v>105</v>
      </c>
      <c r="D378" t="s">
        <v>106</v>
      </c>
      <c r="E378" s="22" t="s">
        <v>8999</v>
      </c>
      <c r="F378" t="s">
        <v>837</v>
      </c>
      <c r="G378" s="1" t="str">
        <f>HYPERLINK("https://homd.org/jbrowse/?data=homd_V11.02_phage_1.2%2FGCA_000318315.2&amp;loc=GCA_000318315.2%7CKB291531.1%3A14767..21558&amp;tracks=prokka,prokka_ncrna,ncbi,ncbi_ncrna,panggolin,cenote,genomad&amp;highlight=","Open JBrowse")</f>
        <v>Open JBrowse</v>
      </c>
      <c r="H378" s="10">
        <v>17767</v>
      </c>
      <c r="I378" s="10">
        <v>18558</v>
      </c>
      <c r="J378" s="10" t="s">
        <v>838</v>
      </c>
      <c r="K378" s="10" t="s">
        <v>39</v>
      </c>
      <c r="L378" s="10" t="s">
        <v>123</v>
      </c>
      <c r="M378" s="10" t="s">
        <v>124</v>
      </c>
      <c r="N378" s="10" t="s">
        <v>42</v>
      </c>
      <c r="O378" s="10">
        <v>3</v>
      </c>
      <c r="P378" s="10" t="s">
        <v>42</v>
      </c>
      <c r="Q378" s="10" t="s">
        <v>43</v>
      </c>
      <c r="R378" s="10" t="s">
        <v>834</v>
      </c>
      <c r="S378" s="10" t="s">
        <v>123</v>
      </c>
      <c r="T378" s="10" t="s">
        <v>42</v>
      </c>
      <c r="U378" s="10">
        <v>35</v>
      </c>
      <c r="V378" s="10">
        <v>261</v>
      </c>
      <c r="W378" s="10">
        <v>227</v>
      </c>
      <c r="X378" s="10" t="s">
        <v>45</v>
      </c>
      <c r="Y378" s="10" t="s">
        <v>839</v>
      </c>
      <c r="Z378" s="10" t="s">
        <v>840</v>
      </c>
      <c r="AA378" s="10" t="s">
        <v>841</v>
      </c>
      <c r="AB378" s="10"/>
      <c r="AC378" s="10"/>
      <c r="AD378" s="10"/>
      <c r="AE378" s="10"/>
      <c r="AF378" s="10"/>
      <c r="AG378" s="44"/>
      <c r="AH378" s="44"/>
      <c r="AI378" s="44" t="s">
        <v>6052</v>
      </c>
      <c r="AJ378" s="44" t="s">
        <v>6052</v>
      </c>
      <c r="AK378" s="44" t="s">
        <v>6052</v>
      </c>
      <c r="AL378" s="44" t="s">
        <v>6052</v>
      </c>
      <c r="AM378" s="44" t="s">
        <v>6052</v>
      </c>
      <c r="AN378" s="44" t="s">
        <v>32724</v>
      </c>
      <c r="AO378" s="45">
        <v>11</v>
      </c>
      <c r="AP378" s="45">
        <v>1</v>
      </c>
      <c r="AQ378" s="45">
        <v>0</v>
      </c>
      <c r="AR378" s="45">
        <v>0</v>
      </c>
      <c r="AS378" s="45">
        <v>0</v>
      </c>
      <c r="AT378" s="45">
        <v>0</v>
      </c>
      <c r="AU378" s="10" t="s">
        <v>6052</v>
      </c>
      <c r="AV378" s="10" t="s">
        <v>6052</v>
      </c>
      <c r="AW378" s="10" t="s">
        <v>6052</v>
      </c>
      <c r="AX378" s="10" t="s">
        <v>6052</v>
      </c>
      <c r="AY378" s="10" t="s">
        <v>32253</v>
      </c>
      <c r="AZ378" s="44" t="s">
        <v>33116</v>
      </c>
      <c r="BA378" s="44" t="s">
        <v>30984</v>
      </c>
      <c r="BB378" s="44" t="s">
        <v>31441</v>
      </c>
      <c r="BC378" s="44" t="s">
        <v>6415</v>
      </c>
      <c r="BD378" s="44" t="s">
        <v>31707</v>
      </c>
      <c r="BE378" s="11">
        <v>1</v>
      </c>
      <c r="BF378" s="11">
        <v>0</v>
      </c>
      <c r="BG378" s="11">
        <v>0</v>
      </c>
      <c r="BH378" s="10" t="s">
        <v>32114</v>
      </c>
      <c r="BI378" s="11">
        <v>100</v>
      </c>
      <c r="BJ378" s="10" t="s">
        <v>33252</v>
      </c>
      <c r="BK378" s="11">
        <v>100</v>
      </c>
    </row>
    <row r="379" spans="1:63" x14ac:dyDescent="0.75">
      <c r="A379" t="s">
        <v>797</v>
      </c>
      <c r="B379" t="s">
        <v>104</v>
      </c>
      <c r="C379" t="s">
        <v>105</v>
      </c>
      <c r="D379" t="s">
        <v>106</v>
      </c>
      <c r="E379" s="22" t="s">
        <v>8989</v>
      </c>
      <c r="F379" t="s">
        <v>805</v>
      </c>
      <c r="G379" s="1" t="str">
        <f>HYPERLINK("https://homd.org/jbrowse/?data=homd_V11.02_phage_1.2%2FGCA_000318255.2&amp;loc=GCA_000318255.2%7CKB291225.1%3A1..3993&amp;tracks=prokka,prokka_ncrna,ncbi,ncbi_ncrna,panggolin,cenote,genomad&amp;highlight=","Open JBrowse")</f>
        <v>Open JBrowse</v>
      </c>
      <c r="H379" s="10">
        <v>160</v>
      </c>
      <c r="I379" s="10">
        <v>993</v>
      </c>
      <c r="J379" s="10" t="s">
        <v>806</v>
      </c>
      <c r="K379" s="10" t="s">
        <v>39</v>
      </c>
      <c r="L379" s="10" t="s">
        <v>129</v>
      </c>
      <c r="M379" s="10" t="s">
        <v>130</v>
      </c>
      <c r="N379" s="10" t="s">
        <v>42</v>
      </c>
      <c r="O379" s="10">
        <v>3</v>
      </c>
      <c r="P379" s="10" t="s">
        <v>42</v>
      </c>
      <c r="Q379" s="10" t="s">
        <v>43</v>
      </c>
      <c r="R379" s="10" t="s">
        <v>800</v>
      </c>
      <c r="S379" s="10" t="s">
        <v>129</v>
      </c>
      <c r="T379" s="10" t="s">
        <v>42</v>
      </c>
      <c r="U379" s="10">
        <v>43</v>
      </c>
      <c r="V379" s="10">
        <v>275</v>
      </c>
      <c r="W379" s="10">
        <v>233</v>
      </c>
      <c r="X379" s="10" t="s">
        <v>45</v>
      </c>
      <c r="Y379" s="10" t="s">
        <v>807</v>
      </c>
      <c r="Z379" s="10" t="s">
        <v>410</v>
      </c>
      <c r="AA379" s="10" t="s">
        <v>417</v>
      </c>
      <c r="AB379" s="10"/>
      <c r="AC379" s="10"/>
      <c r="AD379" s="10"/>
      <c r="AE379" s="10"/>
      <c r="AF379" s="10"/>
      <c r="AG379" s="44"/>
      <c r="AH379" s="44"/>
      <c r="AI379" s="44" t="s">
        <v>6052</v>
      </c>
      <c r="AJ379" s="44" t="s">
        <v>6052</v>
      </c>
      <c r="AK379" s="44" t="s">
        <v>6052</v>
      </c>
      <c r="AL379" s="44" t="s">
        <v>6052</v>
      </c>
      <c r="AM379" s="44" t="s">
        <v>6052</v>
      </c>
      <c r="AN379" s="44" t="s">
        <v>32739</v>
      </c>
      <c r="AO379" s="45">
        <v>11</v>
      </c>
      <c r="AP379" s="45">
        <v>1</v>
      </c>
      <c r="AQ379" s="45">
        <v>0</v>
      </c>
      <c r="AR379" s="45">
        <v>0</v>
      </c>
      <c r="AS379" s="45">
        <v>0</v>
      </c>
      <c r="AT379" s="45">
        <v>0</v>
      </c>
      <c r="AU379" s="10" t="s">
        <v>6052</v>
      </c>
      <c r="AV379" s="10" t="s">
        <v>6052</v>
      </c>
      <c r="AW379" s="10" t="s">
        <v>6052</v>
      </c>
      <c r="AX379" s="10" t="s">
        <v>6052</v>
      </c>
      <c r="AY379" s="10" t="s">
        <v>32253</v>
      </c>
      <c r="AZ379" s="44" t="s">
        <v>33116</v>
      </c>
      <c r="BA379" s="44" t="s">
        <v>30987</v>
      </c>
      <c r="BB379" s="44" t="s">
        <v>31449</v>
      </c>
      <c r="BC379" s="44" t="s">
        <v>6415</v>
      </c>
      <c r="BD379" s="44" t="s">
        <v>31707</v>
      </c>
      <c r="BE379" s="11">
        <v>1</v>
      </c>
      <c r="BF379" s="11">
        <v>0</v>
      </c>
      <c r="BG379" s="11">
        <v>0</v>
      </c>
      <c r="BH379" s="10" t="s">
        <v>31829</v>
      </c>
      <c r="BI379" s="11">
        <v>100</v>
      </c>
      <c r="BJ379" s="10" t="s">
        <v>33250</v>
      </c>
      <c r="BK379" s="11">
        <v>100</v>
      </c>
    </row>
    <row r="380" spans="1:63" x14ac:dyDescent="0.75">
      <c r="A380" t="s">
        <v>797</v>
      </c>
      <c r="B380" t="s">
        <v>104</v>
      </c>
      <c r="C380" t="s">
        <v>105</v>
      </c>
      <c r="D380" t="s">
        <v>106</v>
      </c>
      <c r="E380" s="22" t="s">
        <v>8989</v>
      </c>
      <c r="F380" t="s">
        <v>808</v>
      </c>
      <c r="G380" s="1" t="str">
        <f>HYPERLINK("https://homd.org/jbrowse/?data=homd_V11.02_phage_1.2%2FGCA_000318255.2&amp;loc=GCA_000318255.2%7CKB291243.1%3A17786..24577&amp;tracks=prokka,prokka_ncrna,ncbi,ncbi_ncrna,panggolin,cenote,genomad&amp;highlight=","Open JBrowse")</f>
        <v>Open JBrowse</v>
      </c>
      <c r="H380" s="10">
        <v>20786</v>
      </c>
      <c r="I380" s="10">
        <v>21577</v>
      </c>
      <c r="J380" s="10" t="s">
        <v>809</v>
      </c>
      <c r="K380" s="10" t="s">
        <v>39</v>
      </c>
      <c r="L380" s="10" t="s">
        <v>123</v>
      </c>
      <c r="M380" s="10" t="s">
        <v>124</v>
      </c>
      <c r="N380" s="10" t="s">
        <v>42</v>
      </c>
      <c r="O380" s="10">
        <v>3</v>
      </c>
      <c r="P380" s="10" t="s">
        <v>42</v>
      </c>
      <c r="Q380" s="10" t="s">
        <v>43</v>
      </c>
      <c r="R380" s="10" t="s">
        <v>800</v>
      </c>
      <c r="S380" s="10" t="s">
        <v>123</v>
      </c>
      <c r="T380" s="10" t="s">
        <v>42</v>
      </c>
      <c r="U380" s="10">
        <v>35</v>
      </c>
      <c r="V380" s="10">
        <v>261</v>
      </c>
      <c r="W380" s="10">
        <v>227</v>
      </c>
      <c r="X380" s="10" t="s">
        <v>45</v>
      </c>
      <c r="Y380" s="10" t="s">
        <v>810</v>
      </c>
      <c r="Z380" s="10" t="s">
        <v>811</v>
      </c>
      <c r="AA380" s="10" t="s">
        <v>812</v>
      </c>
      <c r="AB380" s="10"/>
      <c r="AC380" s="10"/>
      <c r="AD380" s="10"/>
      <c r="AE380" s="10"/>
      <c r="AF380" s="10"/>
      <c r="AG380" s="44"/>
      <c r="AH380" s="44"/>
      <c r="AI380" s="44" t="s">
        <v>6052</v>
      </c>
      <c r="AJ380" s="44" t="s">
        <v>6052</v>
      </c>
      <c r="AK380" s="44" t="s">
        <v>6052</v>
      </c>
      <c r="AL380" s="44" t="s">
        <v>6052</v>
      </c>
      <c r="AM380" s="44" t="s">
        <v>6052</v>
      </c>
      <c r="AN380" s="44" t="s">
        <v>32740</v>
      </c>
      <c r="AO380" s="45">
        <v>11</v>
      </c>
      <c r="AP380" s="45">
        <v>1</v>
      </c>
      <c r="AQ380" s="45">
        <v>0</v>
      </c>
      <c r="AR380" s="45">
        <v>0</v>
      </c>
      <c r="AS380" s="45">
        <v>0</v>
      </c>
      <c r="AT380" s="45">
        <v>0</v>
      </c>
      <c r="AU380" s="10" t="s">
        <v>6052</v>
      </c>
      <c r="AV380" s="10" t="s">
        <v>6052</v>
      </c>
      <c r="AW380" s="10" t="s">
        <v>6052</v>
      </c>
      <c r="AX380" s="10" t="s">
        <v>6052</v>
      </c>
      <c r="AY380" s="10" t="s">
        <v>32253</v>
      </c>
      <c r="AZ380" s="44" t="s">
        <v>33116</v>
      </c>
      <c r="BA380" s="44" t="s">
        <v>30987</v>
      </c>
      <c r="BB380" s="44" t="s">
        <v>31450</v>
      </c>
      <c r="BC380" s="44" t="s">
        <v>6415</v>
      </c>
      <c r="BD380" s="44" t="s">
        <v>31707</v>
      </c>
      <c r="BE380" s="11">
        <v>1</v>
      </c>
      <c r="BF380" s="11">
        <v>0</v>
      </c>
      <c r="BG380" s="11">
        <v>0</v>
      </c>
      <c r="BH380" s="10" t="s">
        <v>32012</v>
      </c>
      <c r="BI380" s="11">
        <v>100</v>
      </c>
      <c r="BJ380" s="10" t="s">
        <v>33251</v>
      </c>
      <c r="BK380" s="11">
        <v>100</v>
      </c>
    </row>
    <row r="381" spans="1:63" x14ac:dyDescent="0.75">
      <c r="A381" t="s">
        <v>782</v>
      </c>
      <c r="B381" t="s">
        <v>104</v>
      </c>
      <c r="C381" t="s">
        <v>783</v>
      </c>
      <c r="D381" t="s">
        <v>784</v>
      </c>
      <c r="E381" s="22" t="s">
        <v>8959</v>
      </c>
      <c r="F381" t="s">
        <v>785</v>
      </c>
      <c r="G381" s="1" t="str">
        <f>HYPERLINK("https://homd.org/jbrowse/?data=homd_V11.02_phage_1.2%2FGCA_000318095.2&amp;loc=GCA_000318095.2%7CKB290702.1%3A75845..83704&amp;tracks=prokka,prokka_ncrna,ncbi,ncbi_ncrna,panggolin,cenote,genomad&amp;highlight=","Open JBrowse")</f>
        <v>Open JBrowse</v>
      </c>
      <c r="H381" s="10">
        <v>78845</v>
      </c>
      <c r="I381" s="10">
        <v>80704</v>
      </c>
      <c r="J381" s="10" t="s">
        <v>786</v>
      </c>
      <c r="K381" s="10" t="s">
        <v>59</v>
      </c>
      <c r="L381" s="10" t="s">
        <v>787</v>
      </c>
      <c r="M381" s="10" t="s">
        <v>788</v>
      </c>
      <c r="N381" s="10" t="s">
        <v>59</v>
      </c>
      <c r="O381" s="10">
        <v>2</v>
      </c>
      <c r="P381" s="10" t="s">
        <v>42</v>
      </c>
      <c r="Q381" s="10" t="s">
        <v>59</v>
      </c>
      <c r="R381" s="10" t="s">
        <v>789</v>
      </c>
      <c r="S381" s="10" t="s">
        <v>787</v>
      </c>
      <c r="T381" s="10" t="s">
        <v>42</v>
      </c>
      <c r="U381" s="10">
        <v>316</v>
      </c>
      <c r="V381" s="10">
        <v>551</v>
      </c>
      <c r="W381" s="10">
        <v>236</v>
      </c>
      <c r="X381" s="10" t="s">
        <v>160</v>
      </c>
      <c r="Y381" s="10" t="s">
        <v>790</v>
      </c>
      <c r="Z381" s="10" t="s">
        <v>645</v>
      </c>
      <c r="AA381" s="10" t="s">
        <v>791</v>
      </c>
      <c r="AB381" s="10" t="s">
        <v>792</v>
      </c>
      <c r="AC381" s="10" t="s">
        <v>793</v>
      </c>
      <c r="AD381" s="10" t="s">
        <v>794</v>
      </c>
      <c r="AE381" s="10">
        <v>584</v>
      </c>
      <c r="AF381" s="10" t="s">
        <v>795</v>
      </c>
      <c r="AG381" s="44" t="s">
        <v>796</v>
      </c>
      <c r="AH381" s="44">
        <v>2</v>
      </c>
      <c r="AI381" s="44" t="s">
        <v>6052</v>
      </c>
      <c r="AJ381" s="44" t="s">
        <v>6052</v>
      </c>
      <c r="AK381" s="44" t="s">
        <v>6052</v>
      </c>
      <c r="AL381" s="44" t="s">
        <v>6052</v>
      </c>
      <c r="AM381" s="44" t="s">
        <v>6052</v>
      </c>
      <c r="AN381" s="44" t="s">
        <v>32639</v>
      </c>
      <c r="AO381" s="45">
        <v>11</v>
      </c>
      <c r="AP381" s="45">
        <v>1</v>
      </c>
      <c r="AQ381" s="45">
        <v>0</v>
      </c>
      <c r="AR381" s="45">
        <v>0</v>
      </c>
      <c r="AS381" s="45">
        <v>0</v>
      </c>
      <c r="AT381" s="45">
        <v>0</v>
      </c>
      <c r="AU381" s="10" t="s">
        <v>6052</v>
      </c>
      <c r="AV381" s="10" t="s">
        <v>6052</v>
      </c>
      <c r="AW381" s="10" t="s">
        <v>6052</v>
      </c>
      <c r="AX381" s="10" t="s">
        <v>6052</v>
      </c>
      <c r="AY381" s="10" t="s">
        <v>32253</v>
      </c>
      <c r="AZ381" s="44" t="s">
        <v>33117</v>
      </c>
      <c r="BA381" s="44" t="s">
        <v>30950</v>
      </c>
      <c r="BB381" s="44" t="s">
        <v>31390</v>
      </c>
      <c r="BC381" s="44" t="s">
        <v>6851</v>
      </c>
      <c r="BD381" s="44" t="s">
        <v>31718</v>
      </c>
      <c r="BE381" s="11">
        <v>1</v>
      </c>
      <c r="BF381" s="11">
        <v>0</v>
      </c>
      <c r="BG381" s="11">
        <v>0</v>
      </c>
      <c r="BH381" s="10" t="s">
        <v>32169</v>
      </c>
      <c r="BI381" s="11">
        <v>100</v>
      </c>
      <c r="BJ381" s="10" t="s">
        <v>33213</v>
      </c>
      <c r="BK381" s="11">
        <v>100</v>
      </c>
    </row>
    <row r="382" spans="1:63" x14ac:dyDescent="0.75">
      <c r="A382" t="s">
        <v>734</v>
      </c>
      <c r="B382" t="s">
        <v>104</v>
      </c>
      <c r="C382" t="s">
        <v>241</v>
      </c>
      <c r="D382" t="s">
        <v>242</v>
      </c>
      <c r="E382" s="22" t="s">
        <v>8771</v>
      </c>
      <c r="F382" t="s">
        <v>735</v>
      </c>
      <c r="G382" s="1" t="str">
        <f>HYPERLINK("https://homd.org/jbrowse/?data=homd_V11.02_phage_1.2%2FGCA_000287635.1&amp;loc=GCA_000287635.1%7CALJQ01000015.1%3A74245..80907&amp;tracks=prokka,prokka_ncrna,ncbi,ncbi_ncrna,panggolin,cenote,genomad&amp;highlight=","Open JBrowse")</f>
        <v>Open JBrowse</v>
      </c>
      <c r="H382" s="10">
        <v>77245</v>
      </c>
      <c r="I382" s="10">
        <v>77907</v>
      </c>
      <c r="J382" s="10" t="s">
        <v>736</v>
      </c>
      <c r="K382" s="10" t="s">
        <v>59</v>
      </c>
      <c r="L382" s="10" t="s">
        <v>256</v>
      </c>
      <c r="M382" s="10" t="s">
        <v>257</v>
      </c>
      <c r="N382" s="10" t="s">
        <v>59</v>
      </c>
      <c r="O382" s="10">
        <v>2</v>
      </c>
      <c r="P382" s="10" t="s">
        <v>42</v>
      </c>
      <c r="Q382" s="10" t="s">
        <v>59</v>
      </c>
      <c r="R382" s="10" t="s">
        <v>737</v>
      </c>
      <c r="S382" s="10" t="s">
        <v>256</v>
      </c>
      <c r="T382" s="10" t="s">
        <v>42</v>
      </c>
      <c r="U382" s="10">
        <v>3</v>
      </c>
      <c r="V382" s="10">
        <v>214</v>
      </c>
      <c r="W382" s="10">
        <v>212</v>
      </c>
      <c r="X382" s="10" t="s">
        <v>258</v>
      </c>
      <c r="Y382" s="10" t="s">
        <v>738</v>
      </c>
      <c r="Z382" s="10" t="s">
        <v>126</v>
      </c>
      <c r="AA382" s="10" t="s">
        <v>739</v>
      </c>
      <c r="AB382" s="10"/>
      <c r="AC382" s="10"/>
      <c r="AD382" s="10"/>
      <c r="AE382" s="10"/>
      <c r="AF382" s="10"/>
      <c r="AG382" s="44"/>
      <c r="AH382" s="44"/>
      <c r="AI382" s="44" t="s">
        <v>6052</v>
      </c>
      <c r="AJ382" s="44" t="s">
        <v>6052</v>
      </c>
      <c r="AK382" s="44" t="s">
        <v>6052</v>
      </c>
      <c r="AL382" s="44" t="s">
        <v>6052</v>
      </c>
      <c r="AM382" s="44" t="s">
        <v>6052</v>
      </c>
      <c r="AN382" s="44" t="s">
        <v>32924</v>
      </c>
      <c r="AO382" s="45">
        <v>11</v>
      </c>
      <c r="AP382" s="45">
        <v>1</v>
      </c>
      <c r="AQ382" s="45">
        <v>0</v>
      </c>
      <c r="AR382" s="45">
        <v>0</v>
      </c>
      <c r="AS382" s="45">
        <v>0</v>
      </c>
      <c r="AT382" s="45">
        <v>0</v>
      </c>
      <c r="AU382" s="10" t="s">
        <v>6052</v>
      </c>
      <c r="AV382" s="10" t="s">
        <v>6052</v>
      </c>
      <c r="AW382" s="10" t="s">
        <v>6052</v>
      </c>
      <c r="AX382" s="10" t="s">
        <v>6052</v>
      </c>
      <c r="AY382" s="10" t="s">
        <v>32253</v>
      </c>
      <c r="AZ382" s="44" t="s">
        <v>33110</v>
      </c>
      <c r="BA382" s="44" t="s">
        <v>31081</v>
      </c>
      <c r="BB382" s="44" t="s">
        <v>31580</v>
      </c>
      <c r="BC382" s="44" t="s">
        <v>6564</v>
      </c>
      <c r="BD382" s="44" t="s">
        <v>31710</v>
      </c>
      <c r="BE382" s="11">
        <v>1</v>
      </c>
      <c r="BF382" s="11">
        <v>0</v>
      </c>
      <c r="BG382" s="11">
        <v>0</v>
      </c>
      <c r="BH382" s="10" t="s">
        <v>32229</v>
      </c>
      <c r="BI382" s="11">
        <v>100</v>
      </c>
      <c r="BJ382" s="10" t="s">
        <v>33461</v>
      </c>
      <c r="BK382" s="11">
        <v>100</v>
      </c>
    </row>
    <row r="383" spans="1:63" x14ac:dyDescent="0.75">
      <c r="A383" t="s">
        <v>657</v>
      </c>
      <c r="B383" t="s">
        <v>104</v>
      </c>
      <c r="C383" t="s">
        <v>105</v>
      </c>
      <c r="D383" t="s">
        <v>106</v>
      </c>
      <c r="E383" s="22" t="s">
        <v>8678</v>
      </c>
      <c r="F383" t="s">
        <v>664</v>
      </c>
      <c r="G383" s="1" t="str">
        <f>HYPERLINK("https://homd.org/jbrowse/?data=homd_V11.02_phage_1.2%2FGCA_000277585.1&amp;loc=GCA_000277585.1%7CAKFV01000025.1%3A19653..26438&amp;tracks=prokka,prokka_ncrna,ncbi,ncbi_ncrna,panggolin,cenote,genomad&amp;highlight=","Open JBrowse")</f>
        <v>Open JBrowse</v>
      </c>
      <c r="H383" s="10">
        <v>22653</v>
      </c>
      <c r="I383" s="10">
        <v>23438</v>
      </c>
      <c r="J383" s="10" t="s">
        <v>665</v>
      </c>
      <c r="K383" s="10" t="s">
        <v>39</v>
      </c>
      <c r="L383" s="10" t="s">
        <v>406</v>
      </c>
      <c r="M383" s="10" t="s">
        <v>407</v>
      </c>
      <c r="N383" s="10" t="s">
        <v>42</v>
      </c>
      <c r="O383" s="10">
        <v>3</v>
      </c>
      <c r="P383" s="10" t="s">
        <v>42</v>
      </c>
      <c r="Q383" s="10" t="s">
        <v>43</v>
      </c>
      <c r="R383" s="10" t="s">
        <v>660</v>
      </c>
      <c r="S383" s="10" t="s">
        <v>406</v>
      </c>
      <c r="T383" s="10" t="s">
        <v>42</v>
      </c>
      <c r="U383" s="10">
        <v>33</v>
      </c>
      <c r="V383" s="10">
        <v>259</v>
      </c>
      <c r="W383" s="10">
        <v>227</v>
      </c>
      <c r="X383" s="10" t="s">
        <v>45</v>
      </c>
      <c r="Y383" s="10" t="s">
        <v>666</v>
      </c>
      <c r="Z383" s="10" t="s">
        <v>667</v>
      </c>
      <c r="AA383" s="10" t="s">
        <v>411</v>
      </c>
      <c r="AB383" s="10"/>
      <c r="AC383" s="10"/>
      <c r="AD383" s="10"/>
      <c r="AE383" s="10"/>
      <c r="AF383" s="10"/>
      <c r="AG383" s="44"/>
      <c r="AH383" s="44"/>
      <c r="AI383" s="44" t="s">
        <v>6052</v>
      </c>
      <c r="AJ383" s="44" t="s">
        <v>6052</v>
      </c>
      <c r="AK383" s="44" t="s">
        <v>6052</v>
      </c>
      <c r="AL383" s="44" t="s">
        <v>6052</v>
      </c>
      <c r="AM383" s="44" t="s">
        <v>6052</v>
      </c>
      <c r="AN383" s="44" t="s">
        <v>32813</v>
      </c>
      <c r="AO383" s="45">
        <v>11</v>
      </c>
      <c r="AP383" s="45">
        <v>1</v>
      </c>
      <c r="AQ383" s="45">
        <v>0</v>
      </c>
      <c r="AR383" s="45">
        <v>0</v>
      </c>
      <c r="AS383" s="45">
        <v>0</v>
      </c>
      <c r="AT383" s="45">
        <v>0</v>
      </c>
      <c r="AU383" s="10" t="s">
        <v>6052</v>
      </c>
      <c r="AV383" s="10" t="s">
        <v>6052</v>
      </c>
      <c r="AW383" s="10" t="s">
        <v>6052</v>
      </c>
      <c r="AX383" s="10" t="s">
        <v>6052</v>
      </c>
      <c r="AY383" s="10" t="s">
        <v>32253</v>
      </c>
      <c r="AZ383" s="44" t="s">
        <v>33116</v>
      </c>
      <c r="BA383" s="44" t="s">
        <v>31021</v>
      </c>
      <c r="BB383" s="44" t="s">
        <v>31497</v>
      </c>
      <c r="BC383" s="44" t="s">
        <v>6415</v>
      </c>
      <c r="BD383" s="44" t="s">
        <v>31707</v>
      </c>
      <c r="BE383" s="11">
        <v>1</v>
      </c>
      <c r="BF383" s="11">
        <v>0</v>
      </c>
      <c r="BG383" s="11">
        <v>0</v>
      </c>
      <c r="BH383" s="10" t="s">
        <v>32031</v>
      </c>
      <c r="BI383" s="11">
        <v>100</v>
      </c>
      <c r="BJ383" s="10" t="s">
        <v>33229</v>
      </c>
      <c r="BK383" s="11">
        <v>100</v>
      </c>
    </row>
    <row r="384" spans="1:63" x14ac:dyDescent="0.75">
      <c r="A384" t="s">
        <v>657</v>
      </c>
      <c r="B384" t="s">
        <v>104</v>
      </c>
      <c r="C384" t="s">
        <v>105</v>
      </c>
      <c r="D384" t="s">
        <v>106</v>
      </c>
      <c r="E384" s="22" t="s">
        <v>8678</v>
      </c>
      <c r="F384" t="s">
        <v>664</v>
      </c>
      <c r="G384" s="1" t="str">
        <f>HYPERLINK("https://homd.org/jbrowse/?data=homd_V11.02_phage_1.2%2FGCA_000277585.1&amp;loc=GCA_000277585.1%7CAKFV01000025.1%3A24131..30958&amp;tracks=prokka,prokka_ncrna,ncbi,ncbi_ncrna,panggolin,cenote,genomad&amp;highlight=","Open JBrowse")</f>
        <v>Open JBrowse</v>
      </c>
      <c r="H384" s="10">
        <v>27131</v>
      </c>
      <c r="I384" s="10">
        <v>27958</v>
      </c>
      <c r="J384" s="10" t="s">
        <v>668</v>
      </c>
      <c r="K384" s="10" t="s">
        <v>39</v>
      </c>
      <c r="L384" s="10" t="s">
        <v>413</v>
      </c>
      <c r="M384" s="10" t="s">
        <v>414</v>
      </c>
      <c r="N384" s="10" t="s">
        <v>42</v>
      </c>
      <c r="O384" s="10">
        <v>3</v>
      </c>
      <c r="P384" s="10" t="s">
        <v>42</v>
      </c>
      <c r="Q384" s="10" t="s">
        <v>43</v>
      </c>
      <c r="R384" s="10" t="s">
        <v>660</v>
      </c>
      <c r="S384" s="10" t="s">
        <v>413</v>
      </c>
      <c r="T384" s="10" t="s">
        <v>42</v>
      </c>
      <c r="U384" s="10">
        <v>43</v>
      </c>
      <c r="V384" s="10">
        <v>273</v>
      </c>
      <c r="W384" s="10">
        <v>231</v>
      </c>
      <c r="X384" s="10" t="s">
        <v>45</v>
      </c>
      <c r="Y384" s="10" t="s">
        <v>669</v>
      </c>
      <c r="Z384" s="10" t="s">
        <v>653</v>
      </c>
      <c r="AA384" s="10" t="s">
        <v>417</v>
      </c>
      <c r="AB384" s="10"/>
      <c r="AC384" s="10"/>
      <c r="AD384" s="10"/>
      <c r="AE384" s="10"/>
      <c r="AF384" s="10"/>
      <c r="AG384" s="44"/>
      <c r="AH384" s="44"/>
      <c r="AI384" s="44" t="s">
        <v>6052</v>
      </c>
      <c r="AJ384" s="44" t="s">
        <v>6052</v>
      </c>
      <c r="AK384" s="44" t="s">
        <v>6052</v>
      </c>
      <c r="AL384" s="44" t="s">
        <v>6052</v>
      </c>
      <c r="AM384" s="44" t="s">
        <v>6052</v>
      </c>
      <c r="AN384" s="44" t="s">
        <v>32814</v>
      </c>
      <c r="AO384" s="45">
        <v>11</v>
      </c>
      <c r="AP384" s="45">
        <v>1</v>
      </c>
      <c r="AQ384" s="45">
        <v>0</v>
      </c>
      <c r="AR384" s="45">
        <v>0</v>
      </c>
      <c r="AS384" s="45">
        <v>0</v>
      </c>
      <c r="AT384" s="45">
        <v>0</v>
      </c>
      <c r="AU384" s="10" t="s">
        <v>6052</v>
      </c>
      <c r="AV384" s="10" t="s">
        <v>6052</v>
      </c>
      <c r="AW384" s="10" t="s">
        <v>6052</v>
      </c>
      <c r="AX384" s="10" t="s">
        <v>6052</v>
      </c>
      <c r="AY384" s="10" t="s">
        <v>32253</v>
      </c>
      <c r="AZ384" s="44" t="s">
        <v>33116</v>
      </c>
      <c r="BA384" s="44" t="s">
        <v>31021</v>
      </c>
      <c r="BB384" s="44" t="s">
        <v>31498</v>
      </c>
      <c r="BC384" s="44" t="s">
        <v>6415</v>
      </c>
      <c r="BD384" s="44" t="s">
        <v>31707</v>
      </c>
      <c r="BE384" s="11">
        <v>1</v>
      </c>
      <c r="BF384" s="11">
        <v>0</v>
      </c>
      <c r="BG384" s="11">
        <v>0</v>
      </c>
      <c r="BH384" s="10" t="s">
        <v>31827</v>
      </c>
      <c r="BI384" s="11">
        <v>100</v>
      </c>
      <c r="BJ384" s="10" t="s">
        <v>33230</v>
      </c>
      <c r="BK384" s="11">
        <v>100</v>
      </c>
    </row>
    <row r="385" spans="1:63" x14ac:dyDescent="0.75">
      <c r="A385" t="s">
        <v>670</v>
      </c>
      <c r="B385" t="s">
        <v>104</v>
      </c>
      <c r="C385" t="s">
        <v>105</v>
      </c>
      <c r="D385" t="s">
        <v>106</v>
      </c>
      <c r="E385" s="22" t="s">
        <v>8680</v>
      </c>
      <c r="F385" t="s">
        <v>671</v>
      </c>
      <c r="G385" s="1" t="str">
        <f>HYPERLINK("https://homd.org/jbrowse/?data=homd_V11.02_phage_1.2%2FGCA_000277665.1&amp;loc=GCA_000277665.1%7CAKFR01000012.1%3A10661..17452&amp;tracks=prokka,prokka_ncrna,ncbi,ncbi_ncrna,panggolin,cenote,genomad&amp;highlight=","Open JBrowse")</f>
        <v>Open JBrowse</v>
      </c>
      <c r="H385" s="10">
        <v>13661</v>
      </c>
      <c r="I385" s="10">
        <v>14452</v>
      </c>
      <c r="J385" s="10" t="s">
        <v>672</v>
      </c>
      <c r="K385" s="10" t="s">
        <v>39</v>
      </c>
      <c r="L385" s="10" t="s">
        <v>123</v>
      </c>
      <c r="M385" s="10" t="s">
        <v>124</v>
      </c>
      <c r="N385" s="10" t="s">
        <v>42</v>
      </c>
      <c r="O385" s="10">
        <v>3</v>
      </c>
      <c r="P385" s="10" t="s">
        <v>42</v>
      </c>
      <c r="Q385" s="10" t="s">
        <v>43</v>
      </c>
      <c r="R385" s="10" t="s">
        <v>673</v>
      </c>
      <c r="S385" s="10" t="s">
        <v>123</v>
      </c>
      <c r="T385" s="10" t="s">
        <v>42</v>
      </c>
      <c r="U385" s="10">
        <v>35</v>
      </c>
      <c r="V385" s="10">
        <v>261</v>
      </c>
      <c r="W385" s="10">
        <v>227</v>
      </c>
      <c r="X385" s="10" t="s">
        <v>45</v>
      </c>
      <c r="Y385" s="10" t="s">
        <v>674</v>
      </c>
      <c r="Z385" s="10" t="s">
        <v>357</v>
      </c>
      <c r="AA385" s="10" t="s">
        <v>675</v>
      </c>
      <c r="AB385" s="10"/>
      <c r="AC385" s="10"/>
      <c r="AD385" s="10"/>
      <c r="AE385" s="10"/>
      <c r="AF385" s="10"/>
      <c r="AG385" s="44"/>
      <c r="AH385" s="44"/>
      <c r="AI385" s="44" t="s">
        <v>6052</v>
      </c>
      <c r="AJ385" s="44" t="s">
        <v>6052</v>
      </c>
      <c r="AK385" s="44" t="s">
        <v>6052</v>
      </c>
      <c r="AL385" s="44" t="s">
        <v>6052</v>
      </c>
      <c r="AM385" s="44" t="s">
        <v>6052</v>
      </c>
      <c r="AN385" s="44" t="s">
        <v>32729</v>
      </c>
      <c r="AO385" s="45">
        <v>11</v>
      </c>
      <c r="AP385" s="45">
        <v>1</v>
      </c>
      <c r="AQ385" s="45">
        <v>0</v>
      </c>
      <c r="AR385" s="45">
        <v>0</v>
      </c>
      <c r="AS385" s="45">
        <v>0</v>
      </c>
      <c r="AT385" s="45">
        <v>0</v>
      </c>
      <c r="AU385" s="10" t="s">
        <v>6052</v>
      </c>
      <c r="AV385" s="10" t="s">
        <v>6052</v>
      </c>
      <c r="AW385" s="10" t="s">
        <v>6052</v>
      </c>
      <c r="AX385" s="10" t="s">
        <v>6052</v>
      </c>
      <c r="AY385" s="10" t="s">
        <v>32253</v>
      </c>
      <c r="AZ385" s="44" t="s">
        <v>33116</v>
      </c>
      <c r="BA385" s="44" t="s">
        <v>30985</v>
      </c>
      <c r="BB385" s="44" t="s">
        <v>31444</v>
      </c>
      <c r="BC385" s="44" t="s">
        <v>6415</v>
      </c>
      <c r="BD385" s="44" t="s">
        <v>31707</v>
      </c>
      <c r="BE385" s="11">
        <v>1</v>
      </c>
      <c r="BF385" s="11">
        <v>0</v>
      </c>
      <c r="BG385" s="11">
        <v>0</v>
      </c>
      <c r="BH385" s="10" t="s">
        <v>32049</v>
      </c>
      <c r="BI385" s="11">
        <v>100</v>
      </c>
      <c r="BJ385" s="10" t="s">
        <v>33227</v>
      </c>
      <c r="BK385" s="11">
        <v>100</v>
      </c>
    </row>
    <row r="386" spans="1:63" x14ac:dyDescent="0.75">
      <c r="A386" t="s">
        <v>670</v>
      </c>
      <c r="B386" t="s">
        <v>104</v>
      </c>
      <c r="C386" t="s">
        <v>105</v>
      </c>
      <c r="D386" t="s">
        <v>106</v>
      </c>
      <c r="E386" s="22" t="s">
        <v>8680</v>
      </c>
      <c r="F386" t="s">
        <v>682</v>
      </c>
      <c r="G386" s="1" t="str">
        <f>HYPERLINK("https://homd.org/jbrowse/?data=homd_V11.02_phage_1.2%2FGCA_000277665.1&amp;loc=GCA_000277665.1%7CAKFR01000037.1%3A72142..78975&amp;tracks=prokka,prokka_ncrna,ncbi,ncbi_ncrna,panggolin,cenote,genomad&amp;highlight=","Open JBrowse")</f>
        <v>Open JBrowse</v>
      </c>
      <c r="H386" s="10">
        <v>75142</v>
      </c>
      <c r="I386" s="10">
        <v>75975</v>
      </c>
      <c r="J386" s="10" t="s">
        <v>683</v>
      </c>
      <c r="K386" s="10" t="s">
        <v>39</v>
      </c>
      <c r="L386" s="10" t="s">
        <v>129</v>
      </c>
      <c r="M386" s="10" t="s">
        <v>130</v>
      </c>
      <c r="N386" s="10" t="s">
        <v>42</v>
      </c>
      <c r="O386" s="10">
        <v>3</v>
      </c>
      <c r="P386" s="10" t="s">
        <v>42</v>
      </c>
      <c r="Q386" s="10" t="s">
        <v>43</v>
      </c>
      <c r="R386" s="10" t="s">
        <v>673</v>
      </c>
      <c r="S386" s="10" t="s">
        <v>129</v>
      </c>
      <c r="T386" s="10" t="s">
        <v>42</v>
      </c>
      <c r="U386" s="10">
        <v>43</v>
      </c>
      <c r="V386" s="10">
        <v>275</v>
      </c>
      <c r="W386" s="10">
        <v>233</v>
      </c>
      <c r="X386" s="10" t="s">
        <v>45</v>
      </c>
      <c r="Y386" s="10" t="s">
        <v>684</v>
      </c>
      <c r="Z386" s="10" t="s">
        <v>420</v>
      </c>
      <c r="AA386" s="10" t="s">
        <v>417</v>
      </c>
      <c r="AB386" s="10"/>
      <c r="AC386" s="10"/>
      <c r="AD386" s="10"/>
      <c r="AE386" s="10"/>
      <c r="AF386" s="10"/>
      <c r="AG386" s="44"/>
      <c r="AH386" s="44"/>
      <c r="AI386" s="44" t="s">
        <v>6052</v>
      </c>
      <c r="AJ386" s="44" t="s">
        <v>6052</v>
      </c>
      <c r="AK386" s="44" t="s">
        <v>6052</v>
      </c>
      <c r="AL386" s="44" t="s">
        <v>6052</v>
      </c>
      <c r="AM386" s="44" t="s">
        <v>6052</v>
      </c>
      <c r="AN386" s="44" t="s">
        <v>32728</v>
      </c>
      <c r="AO386" s="45">
        <v>11</v>
      </c>
      <c r="AP386" s="45">
        <v>1</v>
      </c>
      <c r="AQ386" s="45">
        <v>0</v>
      </c>
      <c r="AR386" s="45">
        <v>0</v>
      </c>
      <c r="AS386" s="45">
        <v>0</v>
      </c>
      <c r="AT386" s="45">
        <v>0</v>
      </c>
      <c r="AU386" s="10" t="s">
        <v>6052</v>
      </c>
      <c r="AV386" s="10" t="s">
        <v>6052</v>
      </c>
      <c r="AW386" s="10" t="s">
        <v>6052</v>
      </c>
      <c r="AX386" s="10" t="s">
        <v>6052</v>
      </c>
      <c r="AY386" s="10" t="s">
        <v>32253</v>
      </c>
      <c r="AZ386" s="44" t="s">
        <v>33116</v>
      </c>
      <c r="BA386" s="44" t="s">
        <v>30985</v>
      </c>
      <c r="BB386" s="44" t="s">
        <v>31443</v>
      </c>
      <c r="BC386" s="44" t="s">
        <v>6415</v>
      </c>
      <c r="BD386" s="44" t="s">
        <v>31707</v>
      </c>
      <c r="BE386" s="11">
        <v>1</v>
      </c>
      <c r="BF386" s="11">
        <v>0</v>
      </c>
      <c r="BG386" s="11">
        <v>0</v>
      </c>
      <c r="BH386" s="10" t="s">
        <v>31864</v>
      </c>
      <c r="BI386" s="11">
        <v>100</v>
      </c>
      <c r="BJ386" s="10" t="s">
        <v>33228</v>
      </c>
      <c r="BK386" s="11">
        <v>100</v>
      </c>
    </row>
    <row r="387" spans="1:63" x14ac:dyDescent="0.75">
      <c r="A387" t="s">
        <v>640</v>
      </c>
      <c r="B387" t="s">
        <v>104</v>
      </c>
      <c r="C387" t="s">
        <v>105</v>
      </c>
      <c r="D387" t="s">
        <v>106</v>
      </c>
      <c r="E387" s="22" t="s">
        <v>8658</v>
      </c>
      <c r="F387" t="s">
        <v>641</v>
      </c>
      <c r="G387" s="1" t="str">
        <f>HYPERLINK("https://homd.org/jbrowse/?data=homd_V11.02_phage_1.2%2FGCA_000271925.1&amp;loc=GCA_000271925.1%7CAJZR01000002.1%3A38690..45481&amp;tracks=prokka,prokka_ncrna,ncbi,ncbi_ncrna,panggolin,cenote,genomad&amp;highlight=","Open JBrowse")</f>
        <v>Open JBrowse</v>
      </c>
      <c r="H387" s="10">
        <v>41690</v>
      </c>
      <c r="I387" s="10">
        <v>42481</v>
      </c>
      <c r="J387" s="10" t="s">
        <v>642</v>
      </c>
      <c r="K387" s="10" t="s">
        <v>39</v>
      </c>
      <c r="L387" s="10" t="s">
        <v>123</v>
      </c>
      <c r="M387" s="10" t="s">
        <v>124</v>
      </c>
      <c r="N387" s="10" t="s">
        <v>42</v>
      </c>
      <c r="O387" s="10">
        <v>3</v>
      </c>
      <c r="P387" s="10" t="s">
        <v>42</v>
      </c>
      <c r="Q387" s="10" t="s">
        <v>43</v>
      </c>
      <c r="R387" s="10" t="s">
        <v>643</v>
      </c>
      <c r="S387" s="10" t="s">
        <v>123</v>
      </c>
      <c r="T387" s="10" t="s">
        <v>42</v>
      </c>
      <c r="U387" s="10">
        <v>35</v>
      </c>
      <c r="V387" s="10">
        <v>261</v>
      </c>
      <c r="W387" s="10">
        <v>227</v>
      </c>
      <c r="X387" s="10" t="s">
        <v>45</v>
      </c>
      <c r="Y387" s="10" t="s">
        <v>644</v>
      </c>
      <c r="Z387" s="10" t="s">
        <v>645</v>
      </c>
      <c r="AA387" s="10" t="s">
        <v>127</v>
      </c>
      <c r="AB387" s="10"/>
      <c r="AC387" s="10"/>
      <c r="AD387" s="10"/>
      <c r="AE387" s="10"/>
      <c r="AF387" s="10"/>
      <c r="AG387" s="44"/>
      <c r="AH387" s="44"/>
      <c r="AI387" s="44" t="s">
        <v>6052</v>
      </c>
      <c r="AJ387" s="44" t="s">
        <v>6052</v>
      </c>
      <c r="AK387" s="44" t="s">
        <v>6052</v>
      </c>
      <c r="AL387" s="44" t="s">
        <v>6052</v>
      </c>
      <c r="AM387" s="44" t="s">
        <v>6052</v>
      </c>
      <c r="AN387" s="44" t="s">
        <v>32734</v>
      </c>
      <c r="AO387" s="45">
        <v>11</v>
      </c>
      <c r="AP387" s="45">
        <v>1</v>
      </c>
      <c r="AQ387" s="45">
        <v>0</v>
      </c>
      <c r="AR387" s="45">
        <v>0</v>
      </c>
      <c r="AS387" s="45">
        <v>0</v>
      </c>
      <c r="AT387" s="45">
        <v>0</v>
      </c>
      <c r="AU387" s="10" t="s">
        <v>6052</v>
      </c>
      <c r="AV387" s="10" t="s">
        <v>6052</v>
      </c>
      <c r="AW387" s="10" t="s">
        <v>6052</v>
      </c>
      <c r="AX387" s="10" t="s">
        <v>6052</v>
      </c>
      <c r="AY387" s="10" t="s">
        <v>32253</v>
      </c>
      <c r="AZ387" s="44" t="s">
        <v>33116</v>
      </c>
      <c r="BA387" s="44" t="s">
        <v>30986</v>
      </c>
      <c r="BB387" s="44" t="s">
        <v>31446</v>
      </c>
      <c r="BC387" s="44" t="s">
        <v>6415</v>
      </c>
      <c r="BD387" s="44" t="s">
        <v>31707</v>
      </c>
      <c r="BE387" s="11">
        <v>1</v>
      </c>
      <c r="BF387" s="11">
        <v>0</v>
      </c>
      <c r="BG387" s="11">
        <v>0</v>
      </c>
      <c r="BH387" s="10" t="s">
        <v>32104</v>
      </c>
      <c r="BI387" s="11">
        <v>100</v>
      </c>
      <c r="BJ387" s="10" t="s">
        <v>33225</v>
      </c>
      <c r="BK387" s="11">
        <v>100</v>
      </c>
    </row>
    <row r="388" spans="1:63" x14ac:dyDescent="0.75">
      <c r="A388" t="s">
        <v>640</v>
      </c>
      <c r="B388" t="s">
        <v>104</v>
      </c>
      <c r="C388" t="s">
        <v>105</v>
      </c>
      <c r="D388" t="s">
        <v>106</v>
      </c>
      <c r="E388" s="22" t="s">
        <v>8658</v>
      </c>
      <c r="F388" t="s">
        <v>646</v>
      </c>
      <c r="G388" s="1" t="str">
        <f>HYPERLINK("https://homd.org/jbrowse/?data=homd_V11.02_phage_1.2%2FGCA_000271925.1&amp;loc=GCA_000271925.1%7CAJZR01000023.1%3A1..4259&amp;tracks=prokka,prokka_ncrna,ncbi,ncbi_ncrna,panggolin,cenote,genomad&amp;highlight=","Open JBrowse")</f>
        <v>Open JBrowse</v>
      </c>
      <c r="H388" s="10">
        <v>426</v>
      </c>
      <c r="I388" s="10">
        <v>1259</v>
      </c>
      <c r="J388" s="10" t="s">
        <v>647</v>
      </c>
      <c r="K388" s="10" t="s">
        <v>39</v>
      </c>
      <c r="L388" s="10" t="s">
        <v>129</v>
      </c>
      <c r="M388" s="10" t="s">
        <v>130</v>
      </c>
      <c r="N388" s="10" t="s">
        <v>42</v>
      </c>
      <c r="O388" s="10">
        <v>3</v>
      </c>
      <c r="P388" s="10" t="s">
        <v>42</v>
      </c>
      <c r="Q388" s="10" t="s">
        <v>43</v>
      </c>
      <c r="R388" s="10" t="s">
        <v>643</v>
      </c>
      <c r="S388" s="10" t="s">
        <v>129</v>
      </c>
      <c r="T388" s="10" t="s">
        <v>42</v>
      </c>
      <c r="U388" s="10">
        <v>43</v>
      </c>
      <c r="V388" s="10">
        <v>275</v>
      </c>
      <c r="W388" s="10">
        <v>233</v>
      </c>
      <c r="X388" s="10" t="s">
        <v>45</v>
      </c>
      <c r="Y388" s="10" t="s">
        <v>648</v>
      </c>
      <c r="Z388" s="10" t="s">
        <v>346</v>
      </c>
      <c r="AA388" s="10" t="s">
        <v>417</v>
      </c>
      <c r="AB388" s="10"/>
      <c r="AC388" s="10"/>
      <c r="AD388" s="10"/>
      <c r="AE388" s="10"/>
      <c r="AF388" s="10"/>
      <c r="AG388" s="44"/>
      <c r="AH388" s="44"/>
      <c r="AI388" s="44" t="s">
        <v>6052</v>
      </c>
      <c r="AJ388" s="44" t="s">
        <v>6052</v>
      </c>
      <c r="AK388" s="44" t="s">
        <v>6052</v>
      </c>
      <c r="AL388" s="44" t="s">
        <v>6052</v>
      </c>
      <c r="AM388" s="44" t="s">
        <v>6052</v>
      </c>
      <c r="AN388" s="44" t="s">
        <v>32735</v>
      </c>
      <c r="AO388" s="45">
        <v>11</v>
      </c>
      <c r="AP388" s="45">
        <v>1</v>
      </c>
      <c r="AQ388" s="45">
        <v>0</v>
      </c>
      <c r="AR388" s="45">
        <v>0</v>
      </c>
      <c r="AS388" s="45">
        <v>0</v>
      </c>
      <c r="AT388" s="45">
        <v>0</v>
      </c>
      <c r="AU388" s="10" t="s">
        <v>6052</v>
      </c>
      <c r="AV388" s="10" t="s">
        <v>6052</v>
      </c>
      <c r="AW388" s="10" t="s">
        <v>6052</v>
      </c>
      <c r="AX388" s="10" t="s">
        <v>6052</v>
      </c>
      <c r="AY388" s="10" t="s">
        <v>32253</v>
      </c>
      <c r="AZ388" s="44" t="s">
        <v>33116</v>
      </c>
      <c r="BA388" s="44" t="s">
        <v>30986</v>
      </c>
      <c r="BB388" s="44" t="s">
        <v>31447</v>
      </c>
      <c r="BC388" s="44" t="s">
        <v>6415</v>
      </c>
      <c r="BD388" s="44" t="s">
        <v>31707</v>
      </c>
      <c r="BE388" s="11">
        <v>1</v>
      </c>
      <c r="BF388" s="11">
        <v>0</v>
      </c>
      <c r="BG388" s="11">
        <v>0</v>
      </c>
      <c r="BH388" s="10" t="s">
        <v>31870</v>
      </c>
      <c r="BI388" s="11">
        <v>100</v>
      </c>
      <c r="BJ388" s="10" t="s">
        <v>33226</v>
      </c>
      <c r="BK388" s="11">
        <v>100</v>
      </c>
    </row>
    <row r="389" spans="1:63" x14ac:dyDescent="0.75">
      <c r="A389" t="s">
        <v>609</v>
      </c>
      <c r="B389" t="s">
        <v>104</v>
      </c>
      <c r="C389" t="s">
        <v>610</v>
      </c>
      <c r="D389" t="s">
        <v>611</v>
      </c>
      <c r="E389" s="22" t="s">
        <v>8384</v>
      </c>
      <c r="F389" t="s">
        <v>612</v>
      </c>
      <c r="G389" s="1" t="str">
        <f>HYPERLINK("https://homd.org/jbrowse/?data=homd_V11.02_phage_1.2%2FGCA_000239695.1&amp;loc=GCA_000239695.1%7CJH470339.1%3A218325..225269&amp;tracks=prokka,prokka_ncrna,ncbi,ncbi_ncrna,panggolin,cenote,genomad&amp;highlight=","Open JBrowse")</f>
        <v>Open JBrowse</v>
      </c>
      <c r="H389" s="10">
        <v>221325</v>
      </c>
      <c r="I389" s="10">
        <v>222269</v>
      </c>
      <c r="J389" s="10" t="s">
        <v>613</v>
      </c>
      <c r="K389" s="10" t="s">
        <v>614</v>
      </c>
      <c r="L389" s="10" t="s">
        <v>615</v>
      </c>
      <c r="M389" s="10" t="s">
        <v>616</v>
      </c>
      <c r="N389" s="10" t="s">
        <v>59</v>
      </c>
      <c r="O389" s="10">
        <v>2</v>
      </c>
      <c r="P389" s="10" t="s">
        <v>42</v>
      </c>
      <c r="Q389" s="10" t="s">
        <v>101</v>
      </c>
      <c r="R389" s="10" t="s">
        <v>617</v>
      </c>
      <c r="S389" s="10" t="s">
        <v>615</v>
      </c>
      <c r="T389" s="10" t="s">
        <v>42</v>
      </c>
      <c r="U389" s="10">
        <v>52</v>
      </c>
      <c r="V389" s="10">
        <v>311</v>
      </c>
      <c r="W389" s="10">
        <v>260</v>
      </c>
      <c r="X389" s="10" t="s">
        <v>618</v>
      </c>
      <c r="Y389" s="10" t="s">
        <v>619</v>
      </c>
      <c r="Z389" s="10" t="s">
        <v>620</v>
      </c>
      <c r="AA389" s="10" t="s">
        <v>621</v>
      </c>
      <c r="AB389" s="10"/>
      <c r="AC389" s="10"/>
      <c r="AD389" s="10"/>
      <c r="AE389" s="10"/>
      <c r="AF389" s="10"/>
      <c r="AG389" s="44"/>
      <c r="AH389" s="44"/>
      <c r="AI389" s="44" t="s">
        <v>6052</v>
      </c>
      <c r="AJ389" s="44" t="s">
        <v>6052</v>
      </c>
      <c r="AK389" s="44" t="s">
        <v>6052</v>
      </c>
      <c r="AL389" s="44" t="s">
        <v>6052</v>
      </c>
      <c r="AM389" s="44" t="s">
        <v>6052</v>
      </c>
      <c r="AN389" s="44" t="s">
        <v>32562</v>
      </c>
      <c r="AO389" s="45">
        <v>11</v>
      </c>
      <c r="AP389" s="45">
        <v>1</v>
      </c>
      <c r="AQ389" s="45">
        <v>0</v>
      </c>
      <c r="AR389" s="45">
        <v>0</v>
      </c>
      <c r="AS389" s="45">
        <v>0</v>
      </c>
      <c r="AT389" s="45">
        <v>0</v>
      </c>
      <c r="AU389" s="10" t="s">
        <v>6052</v>
      </c>
      <c r="AV389" s="10" t="s">
        <v>6052</v>
      </c>
      <c r="AW389" s="10" t="s">
        <v>6052</v>
      </c>
      <c r="AX389" s="10" t="s">
        <v>6052</v>
      </c>
      <c r="AY389" s="10" t="s">
        <v>32253</v>
      </c>
      <c r="AZ389" s="44" t="s">
        <v>33118</v>
      </c>
      <c r="BA389" s="44" t="s">
        <v>30914</v>
      </c>
      <c r="BB389" s="44" t="s">
        <v>31342</v>
      </c>
      <c r="BC389" s="44" t="s">
        <v>7190</v>
      </c>
      <c r="BD389" s="44" t="s">
        <v>31712</v>
      </c>
      <c r="BE389" s="11">
        <v>1</v>
      </c>
      <c r="BF389" s="11">
        <v>0</v>
      </c>
      <c r="BG389" s="11">
        <v>0</v>
      </c>
      <c r="BH389" s="10" t="s">
        <v>31951</v>
      </c>
      <c r="BI389" s="11">
        <v>100</v>
      </c>
      <c r="BJ389" s="10" t="s">
        <v>33180</v>
      </c>
      <c r="BK389" s="11">
        <v>100</v>
      </c>
    </row>
    <row r="390" spans="1:63" x14ac:dyDescent="0.75">
      <c r="A390" t="s">
        <v>566</v>
      </c>
      <c r="B390" t="s">
        <v>104</v>
      </c>
      <c r="C390" t="s">
        <v>567</v>
      </c>
      <c r="D390" t="s">
        <v>568</v>
      </c>
      <c r="E390" s="22" t="s">
        <v>8307</v>
      </c>
      <c r="F390" t="s">
        <v>569</v>
      </c>
      <c r="G390" s="1" t="str">
        <f>HYPERLINK("https://homd.org/jbrowse/?data=homd_V11.02_phage_1.2%2FGCA_000234115.1&amp;loc=GCA_000234115.1%7CJH376829.1%3A150431..159649&amp;tracks=prokka,prokka_ncrna,ncbi,ncbi_ncrna,panggolin,cenote,genomad&amp;highlight=","Open JBrowse")</f>
        <v>Open JBrowse</v>
      </c>
      <c r="H390" s="10">
        <v>153431</v>
      </c>
      <c r="I390" s="10">
        <v>156649</v>
      </c>
      <c r="J390" s="10" t="s">
        <v>570</v>
      </c>
      <c r="K390" s="10" t="s">
        <v>59</v>
      </c>
      <c r="L390" s="10" t="s">
        <v>571</v>
      </c>
      <c r="M390" s="10" t="s">
        <v>572</v>
      </c>
      <c r="N390" s="10" t="s">
        <v>573</v>
      </c>
      <c r="O390" s="10">
        <v>3</v>
      </c>
      <c r="P390" s="10" t="s">
        <v>42</v>
      </c>
      <c r="Q390" s="10" t="s">
        <v>59</v>
      </c>
      <c r="R390" s="10" t="s">
        <v>574</v>
      </c>
      <c r="S390" s="10" t="s">
        <v>571</v>
      </c>
      <c r="T390" s="10" t="s">
        <v>42</v>
      </c>
      <c r="U390" s="10">
        <v>793</v>
      </c>
      <c r="V390" s="10">
        <v>1025</v>
      </c>
      <c r="W390" s="10">
        <v>233</v>
      </c>
      <c r="X390" s="10" t="s">
        <v>160</v>
      </c>
      <c r="Y390" s="10" t="s">
        <v>575</v>
      </c>
      <c r="Z390" s="10" t="s">
        <v>458</v>
      </c>
      <c r="AA390" s="10" t="s">
        <v>576</v>
      </c>
      <c r="AB390" s="10"/>
      <c r="AC390" s="10"/>
      <c r="AD390" s="10"/>
      <c r="AE390" s="10"/>
      <c r="AF390" s="10"/>
      <c r="AG390" s="44"/>
      <c r="AH390" s="44"/>
      <c r="AI390" s="44" t="s">
        <v>6052</v>
      </c>
      <c r="AJ390" s="44" t="s">
        <v>6052</v>
      </c>
      <c r="AK390" s="44" t="s">
        <v>6052</v>
      </c>
      <c r="AL390" s="44" t="s">
        <v>6052</v>
      </c>
      <c r="AM390" s="44" t="s">
        <v>6052</v>
      </c>
      <c r="AN390" s="44" t="s">
        <v>32702</v>
      </c>
      <c r="AO390" s="45">
        <v>11</v>
      </c>
      <c r="AP390" s="45">
        <v>1</v>
      </c>
      <c r="AQ390" s="45">
        <v>0</v>
      </c>
      <c r="AR390" s="45">
        <v>0</v>
      </c>
      <c r="AS390" s="45">
        <v>0</v>
      </c>
      <c r="AT390" s="45">
        <v>0</v>
      </c>
      <c r="AU390" s="10" t="s">
        <v>6052</v>
      </c>
      <c r="AV390" s="10" t="s">
        <v>6052</v>
      </c>
      <c r="AW390" s="10" t="s">
        <v>6052</v>
      </c>
      <c r="AX390" s="10" t="s">
        <v>6052</v>
      </c>
      <c r="AY390" s="10" t="s">
        <v>32253</v>
      </c>
      <c r="AZ390" s="44" t="s">
        <v>33117</v>
      </c>
      <c r="BA390" s="44" t="s">
        <v>30976</v>
      </c>
      <c r="BB390" s="44" t="s">
        <v>31425</v>
      </c>
      <c r="BC390" s="44" t="s">
        <v>6851</v>
      </c>
      <c r="BD390" s="44" t="s">
        <v>31718</v>
      </c>
      <c r="BE390" s="11">
        <v>1</v>
      </c>
      <c r="BF390" s="11">
        <v>0</v>
      </c>
      <c r="BG390" s="11">
        <v>0</v>
      </c>
      <c r="BH390" s="10" t="s">
        <v>32167</v>
      </c>
      <c r="BI390" s="11">
        <v>100</v>
      </c>
      <c r="BJ390" s="10" t="s">
        <v>33212</v>
      </c>
      <c r="BK390" s="11">
        <v>100</v>
      </c>
    </row>
    <row r="391" spans="1:63" x14ac:dyDescent="0.75">
      <c r="A391" t="s">
        <v>558</v>
      </c>
      <c r="B391" t="s">
        <v>104</v>
      </c>
      <c r="C391" t="s">
        <v>559</v>
      </c>
      <c r="D391" t="s">
        <v>560</v>
      </c>
      <c r="E391" s="22" t="s">
        <v>8296</v>
      </c>
      <c r="F391" t="s">
        <v>561</v>
      </c>
      <c r="G391" s="1" t="str">
        <f>HYPERLINK("https://homd.org/jbrowse/?data=homd_V11.02_phage_1.2%2FGCA_000234055.1&amp;loc=GCA_000234055.1%7CJH376764.1%3A56602..63459&amp;tracks=prokka,prokka_ncrna,ncbi,ncbi_ncrna,panggolin,cenote,genomad&amp;highlight=","Open JBrowse")</f>
        <v>Open JBrowse</v>
      </c>
      <c r="H391" s="10">
        <v>59602</v>
      </c>
      <c r="I391" s="10">
        <v>60459</v>
      </c>
      <c r="J391" s="10" t="s">
        <v>562</v>
      </c>
      <c r="K391" s="10" t="s">
        <v>59</v>
      </c>
      <c r="L391" s="10" t="s">
        <v>563</v>
      </c>
      <c r="M391" s="10" t="s">
        <v>564</v>
      </c>
      <c r="N391" s="10" t="s">
        <v>42</v>
      </c>
      <c r="O391" s="10">
        <v>3</v>
      </c>
      <c r="P391" s="10" t="s">
        <v>42</v>
      </c>
      <c r="Q391" s="10" t="s">
        <v>59</v>
      </c>
      <c r="R391" s="10" t="s">
        <v>565</v>
      </c>
      <c r="S391" s="10" t="s">
        <v>563</v>
      </c>
      <c r="T391" s="10" t="s">
        <v>42</v>
      </c>
      <c r="U391" s="10">
        <v>44</v>
      </c>
      <c r="V391" s="10">
        <v>270</v>
      </c>
      <c r="W391" s="10">
        <v>227</v>
      </c>
      <c r="X391" s="10" t="s">
        <v>160</v>
      </c>
      <c r="Y391" s="10"/>
      <c r="Z391" s="10"/>
      <c r="AA391" s="10"/>
      <c r="AB391" s="10"/>
      <c r="AC391" s="10"/>
      <c r="AD391" s="10"/>
      <c r="AE391" s="10"/>
      <c r="AF391" s="10"/>
      <c r="AG391" s="44"/>
      <c r="AH391" s="44"/>
      <c r="AI391" s="46" t="s">
        <v>6054</v>
      </c>
      <c r="AJ391" s="44" t="s">
        <v>6052</v>
      </c>
      <c r="AK391" s="44" t="s">
        <v>6052</v>
      </c>
      <c r="AL391" s="44" t="s">
        <v>6052</v>
      </c>
      <c r="AM391" s="44" t="s">
        <v>6052</v>
      </c>
      <c r="AN391" s="44" t="s">
        <v>32720</v>
      </c>
      <c r="AO391" s="45">
        <v>11</v>
      </c>
      <c r="AP391" s="45">
        <v>1</v>
      </c>
      <c r="AQ391" s="45">
        <v>0</v>
      </c>
      <c r="AR391" s="45">
        <v>0</v>
      </c>
      <c r="AS391" s="45">
        <v>0</v>
      </c>
      <c r="AT391" s="45">
        <v>0</v>
      </c>
      <c r="AU391" s="10" t="s">
        <v>6052</v>
      </c>
      <c r="AV391" s="10" t="s">
        <v>6052</v>
      </c>
      <c r="AW391" s="10" t="s">
        <v>6052</v>
      </c>
      <c r="AX391" s="10" t="s">
        <v>6052</v>
      </c>
      <c r="AY391" s="10" t="s">
        <v>32253</v>
      </c>
      <c r="AZ391" s="44" t="s">
        <v>33117</v>
      </c>
      <c r="BA391" s="44" t="s">
        <v>30983</v>
      </c>
      <c r="BB391" s="44" t="s">
        <v>31438</v>
      </c>
      <c r="BC391" s="44" t="s">
        <v>6594</v>
      </c>
      <c r="BD391" s="44" t="s">
        <v>31708</v>
      </c>
      <c r="BE391" s="11">
        <v>1</v>
      </c>
      <c r="BF391" s="11">
        <v>0</v>
      </c>
      <c r="BG391" s="11">
        <v>0</v>
      </c>
      <c r="BH391" s="10" t="s">
        <v>32130</v>
      </c>
      <c r="BI391" s="11">
        <v>100</v>
      </c>
      <c r="BJ391" s="10" t="s">
        <v>33386</v>
      </c>
      <c r="BK391" s="11">
        <v>100</v>
      </c>
    </row>
    <row r="392" spans="1:63" x14ac:dyDescent="0.75">
      <c r="A392" t="s">
        <v>549</v>
      </c>
      <c r="B392" t="s">
        <v>104</v>
      </c>
      <c r="C392" t="s">
        <v>550</v>
      </c>
      <c r="D392" t="s">
        <v>551</v>
      </c>
      <c r="E392" s="22" t="s">
        <v>7956</v>
      </c>
      <c r="F392" t="s">
        <v>552</v>
      </c>
      <c r="G392" s="1" t="str">
        <f>HYPERLINK("https://homd.org/jbrowse/?data=homd_V11.02_phage_1.2%2FGCA_000224595.1&amp;loc=GCA_000224595.1%7CJH114157.1%3A46147..53148&amp;tracks=prokka,prokka_ncrna,ncbi,ncbi_ncrna,panggolin,cenote,genomad&amp;highlight=","Open JBrowse")</f>
        <v>Open JBrowse</v>
      </c>
      <c r="H392" s="10">
        <v>49147</v>
      </c>
      <c r="I392" s="10">
        <v>50148</v>
      </c>
      <c r="J392" s="10" t="s">
        <v>553</v>
      </c>
      <c r="K392" s="10" t="s">
        <v>59</v>
      </c>
      <c r="L392" s="10" t="s">
        <v>157</v>
      </c>
      <c r="M392" s="10" t="s">
        <v>158</v>
      </c>
      <c r="N392" s="10" t="s">
        <v>42</v>
      </c>
      <c r="O392" s="10">
        <v>3</v>
      </c>
      <c r="P392" s="10" t="s">
        <v>42</v>
      </c>
      <c r="Q392" s="10" t="s">
        <v>59</v>
      </c>
      <c r="R392" s="10" t="s">
        <v>554</v>
      </c>
      <c r="S392" s="10" t="s">
        <v>157</v>
      </c>
      <c r="T392" s="10" t="s">
        <v>42</v>
      </c>
      <c r="U392" s="10">
        <v>53</v>
      </c>
      <c r="V392" s="10">
        <v>279</v>
      </c>
      <c r="W392" s="10">
        <v>227</v>
      </c>
      <c r="X392" s="10" t="s">
        <v>160</v>
      </c>
      <c r="Y392" s="10" t="s">
        <v>555</v>
      </c>
      <c r="Z392" s="10" t="s">
        <v>556</v>
      </c>
      <c r="AA392" s="10" t="s">
        <v>557</v>
      </c>
      <c r="AB392" s="10"/>
      <c r="AC392" s="10"/>
      <c r="AD392" s="10"/>
      <c r="AE392" s="10"/>
      <c r="AF392" s="10"/>
      <c r="AG392" s="44"/>
      <c r="AH392" s="44"/>
      <c r="AI392" s="44" t="s">
        <v>6052</v>
      </c>
      <c r="AJ392" s="44" t="s">
        <v>6052</v>
      </c>
      <c r="AK392" s="44" t="s">
        <v>6052</v>
      </c>
      <c r="AL392" s="44" t="s">
        <v>6052</v>
      </c>
      <c r="AM392" s="44" t="s">
        <v>6052</v>
      </c>
      <c r="AN392" s="44" t="s">
        <v>32561</v>
      </c>
      <c r="AO392" s="45">
        <v>11</v>
      </c>
      <c r="AP392" s="45">
        <v>1</v>
      </c>
      <c r="AQ392" s="45">
        <v>0</v>
      </c>
      <c r="AR392" s="45">
        <v>0</v>
      </c>
      <c r="AS392" s="45">
        <v>0</v>
      </c>
      <c r="AT392" s="45">
        <v>0</v>
      </c>
      <c r="AU392" s="10" t="s">
        <v>6052</v>
      </c>
      <c r="AV392" s="10" t="s">
        <v>6052</v>
      </c>
      <c r="AW392" s="10" t="s">
        <v>6052</v>
      </c>
      <c r="AX392" s="10" t="s">
        <v>6052</v>
      </c>
      <c r="AY392" s="10" t="s">
        <v>32253</v>
      </c>
      <c r="AZ392" s="44" t="s">
        <v>33117</v>
      </c>
      <c r="BA392" s="44" t="s">
        <v>30913</v>
      </c>
      <c r="BB392" s="44" t="s">
        <v>31341</v>
      </c>
      <c r="BC392" s="44" t="s">
        <v>6594</v>
      </c>
      <c r="BD392" s="44" t="s">
        <v>31708</v>
      </c>
      <c r="BE392" s="11">
        <v>1</v>
      </c>
      <c r="BF392" s="11">
        <v>0</v>
      </c>
      <c r="BG392" s="11">
        <v>0</v>
      </c>
      <c r="BH392" s="10" t="s">
        <v>32022</v>
      </c>
      <c r="BI392" s="11">
        <v>100</v>
      </c>
      <c r="BJ392" s="10" t="s">
        <v>33392</v>
      </c>
      <c r="BK392" s="11">
        <v>100</v>
      </c>
    </row>
    <row r="393" spans="1:63" x14ac:dyDescent="0.75">
      <c r="A393" t="s">
        <v>536</v>
      </c>
      <c r="B393" t="s">
        <v>104</v>
      </c>
      <c r="C393" t="s">
        <v>537</v>
      </c>
      <c r="D393" t="s">
        <v>538</v>
      </c>
      <c r="E393" s="22" t="s">
        <v>7924</v>
      </c>
      <c r="F393" t="s">
        <v>539</v>
      </c>
      <c r="G393" s="1" t="str">
        <f>HYPERLINK("https://homd.org/jbrowse/?data=homd_V11.02_phage_1.2%2FGCA_000223255.2&amp;loc=GCA_000223255.2%7CAFUT01000003.1%3A75104..82933&amp;tracks=prokka,prokka_ncrna,ncbi,ncbi_ncrna,panggolin,cenote,genomad&amp;highlight=","Open JBrowse")</f>
        <v>Open JBrowse</v>
      </c>
      <c r="H393" s="10">
        <v>78104</v>
      </c>
      <c r="I393" s="10">
        <v>79933</v>
      </c>
      <c r="J393" s="10" t="s">
        <v>540</v>
      </c>
      <c r="K393" s="10" t="s">
        <v>541</v>
      </c>
      <c r="L393" s="10" t="s">
        <v>542</v>
      </c>
      <c r="M393" s="10" t="s">
        <v>543</v>
      </c>
      <c r="N393" s="10" t="s">
        <v>42</v>
      </c>
      <c r="O393" s="10">
        <v>3</v>
      </c>
      <c r="P393" s="10" t="s">
        <v>42</v>
      </c>
      <c r="Q393" s="10" t="s">
        <v>101</v>
      </c>
      <c r="R393" s="10" t="s">
        <v>544</v>
      </c>
      <c r="S393" s="10" t="s">
        <v>542</v>
      </c>
      <c r="T393" s="10" t="s">
        <v>42</v>
      </c>
      <c r="U393" s="10">
        <v>58</v>
      </c>
      <c r="V393" s="10">
        <v>337</v>
      </c>
      <c r="W393" s="10">
        <v>280</v>
      </c>
      <c r="X393" s="10" t="s">
        <v>545</v>
      </c>
      <c r="Y393" s="10" t="s">
        <v>546</v>
      </c>
      <c r="Z393" s="10" t="s">
        <v>547</v>
      </c>
      <c r="AA393" s="10" t="s">
        <v>548</v>
      </c>
      <c r="AB393" s="10"/>
      <c r="AC393" s="10"/>
      <c r="AD393" s="10"/>
      <c r="AE393" s="10"/>
      <c r="AF393" s="10"/>
      <c r="AG393" s="44"/>
      <c r="AH393" s="44"/>
      <c r="AI393" s="44" t="s">
        <v>6052</v>
      </c>
      <c r="AJ393" s="44" t="s">
        <v>6052</v>
      </c>
      <c r="AK393" s="44" t="s">
        <v>6052</v>
      </c>
      <c r="AL393" s="44" t="s">
        <v>6052</v>
      </c>
      <c r="AM393" s="44" t="s">
        <v>6052</v>
      </c>
      <c r="AN393" s="44" t="s">
        <v>33030</v>
      </c>
      <c r="AO393" s="45">
        <v>11</v>
      </c>
      <c r="AP393" s="45">
        <v>1</v>
      </c>
      <c r="AQ393" s="45">
        <v>0</v>
      </c>
      <c r="AR393" s="45">
        <v>0</v>
      </c>
      <c r="AS393" s="45">
        <v>0</v>
      </c>
      <c r="AT393" s="45">
        <v>0</v>
      </c>
      <c r="AU393" s="10" t="s">
        <v>6052</v>
      </c>
      <c r="AV393" s="10" t="s">
        <v>6052</v>
      </c>
      <c r="AW393" s="10" t="s">
        <v>6052</v>
      </c>
      <c r="AX393" s="10" t="s">
        <v>6052</v>
      </c>
      <c r="AY393" s="10" t="s">
        <v>32253</v>
      </c>
      <c r="AZ393" s="44" t="s">
        <v>33117</v>
      </c>
      <c r="BA393" s="44" t="s">
        <v>31132</v>
      </c>
      <c r="BB393" s="44" t="s">
        <v>31650</v>
      </c>
      <c r="BC393" s="44" t="s">
        <v>6093</v>
      </c>
      <c r="BD393" s="44" t="s">
        <v>31713</v>
      </c>
      <c r="BE393" s="11">
        <v>1</v>
      </c>
      <c r="BF393" s="11">
        <v>0</v>
      </c>
      <c r="BG393" s="11">
        <v>0</v>
      </c>
      <c r="BH393" s="10" t="s">
        <v>32197</v>
      </c>
      <c r="BI393" s="11">
        <v>100</v>
      </c>
      <c r="BJ393" s="10" t="s">
        <v>33466</v>
      </c>
      <c r="BK393" s="11">
        <v>100</v>
      </c>
    </row>
    <row r="394" spans="1:63" x14ac:dyDescent="0.75">
      <c r="A394" t="s">
        <v>525</v>
      </c>
      <c r="B394" t="s">
        <v>104</v>
      </c>
      <c r="C394" t="s">
        <v>371</v>
      </c>
      <c r="D394" t="s">
        <v>372</v>
      </c>
      <c r="E394" s="22" t="s">
        <v>7915</v>
      </c>
      <c r="F394" t="s">
        <v>526</v>
      </c>
      <c r="G394" s="1" t="str">
        <f>HYPERLINK("https://homd.org/jbrowse/?data=homd_V11.02_phage_1.2%2FGCA_000222725.2&amp;loc=GCA_000222725.2%7CAFUC01000015.1%3A29263..37671&amp;tracks=prokka,prokka_ncrna,ncbi,ncbi_ncrna,panggolin,cenote,genomad&amp;highlight=","Open JBrowse")</f>
        <v>Open JBrowse</v>
      </c>
      <c r="H394" s="10">
        <v>32263</v>
      </c>
      <c r="I394" s="10">
        <v>34671</v>
      </c>
      <c r="J394" s="10" t="s">
        <v>533</v>
      </c>
      <c r="K394" s="10" t="s">
        <v>375</v>
      </c>
      <c r="L394" s="10" t="s">
        <v>534</v>
      </c>
      <c r="M394" s="10" t="s">
        <v>535</v>
      </c>
      <c r="N394" s="10" t="s">
        <v>42</v>
      </c>
      <c r="O394" s="10">
        <v>3</v>
      </c>
      <c r="P394" s="10" t="s">
        <v>42</v>
      </c>
      <c r="Q394" s="10" t="s">
        <v>101</v>
      </c>
      <c r="R394" s="10" t="s">
        <v>528</v>
      </c>
      <c r="S394" s="10" t="s">
        <v>534</v>
      </c>
      <c r="T394" s="10" t="s">
        <v>42</v>
      </c>
      <c r="U394" s="10">
        <v>62</v>
      </c>
      <c r="V394" s="10">
        <v>343</v>
      </c>
      <c r="W394" s="10">
        <v>282</v>
      </c>
      <c r="X394" s="10" t="s">
        <v>379</v>
      </c>
      <c r="Y394" s="10" t="s">
        <v>529</v>
      </c>
      <c r="Z394" s="10" t="s">
        <v>530</v>
      </c>
      <c r="AA394" s="10" t="s">
        <v>531</v>
      </c>
      <c r="AB394" s="10" t="s">
        <v>532</v>
      </c>
      <c r="AC394" s="10" t="s">
        <v>384</v>
      </c>
      <c r="AD394" s="10" t="s">
        <v>385</v>
      </c>
      <c r="AE394" s="10">
        <v>921</v>
      </c>
      <c r="AF394" s="10" t="s">
        <v>102</v>
      </c>
      <c r="AG394" s="44"/>
      <c r="AH394" s="44"/>
      <c r="AI394" s="44" t="s">
        <v>6052</v>
      </c>
      <c r="AJ394" s="44" t="s">
        <v>6052</v>
      </c>
      <c r="AK394" s="44" t="s">
        <v>6052</v>
      </c>
      <c r="AL394" s="44" t="s">
        <v>6052</v>
      </c>
      <c r="AM394" s="44" t="s">
        <v>6052</v>
      </c>
      <c r="AN394" s="44" t="s">
        <v>33028</v>
      </c>
      <c r="AO394" s="45">
        <v>11</v>
      </c>
      <c r="AP394" s="45">
        <v>1</v>
      </c>
      <c r="AQ394" s="45">
        <v>0</v>
      </c>
      <c r="AR394" s="45">
        <v>0</v>
      </c>
      <c r="AS394" s="45">
        <v>0</v>
      </c>
      <c r="AT394" s="45">
        <v>0</v>
      </c>
      <c r="AU394" s="10" t="s">
        <v>6052</v>
      </c>
      <c r="AV394" s="10" t="s">
        <v>6052</v>
      </c>
      <c r="AW394" s="10" t="s">
        <v>6052</v>
      </c>
      <c r="AX394" s="10" t="s">
        <v>6052</v>
      </c>
      <c r="AY394" s="10" t="s">
        <v>32253</v>
      </c>
      <c r="AZ394" s="44" t="s">
        <v>33117</v>
      </c>
      <c r="BA394" s="44" t="s">
        <v>31131</v>
      </c>
      <c r="BB394" s="44" t="s">
        <v>31648</v>
      </c>
      <c r="BC394" s="44" t="s">
        <v>6093</v>
      </c>
      <c r="BD394" s="44" t="s">
        <v>31713</v>
      </c>
      <c r="BE394" s="11">
        <v>1</v>
      </c>
      <c r="BF394" s="11">
        <v>0</v>
      </c>
      <c r="BG394" s="11">
        <v>0</v>
      </c>
      <c r="BH394" s="10" t="s">
        <v>32171</v>
      </c>
      <c r="BI394" s="11">
        <v>100</v>
      </c>
      <c r="BJ394" s="10" t="s">
        <v>33470</v>
      </c>
      <c r="BK394" s="11">
        <v>100</v>
      </c>
    </row>
    <row r="395" spans="1:63" x14ac:dyDescent="0.75">
      <c r="A395" t="s">
        <v>525</v>
      </c>
      <c r="B395" t="s">
        <v>104</v>
      </c>
      <c r="C395" t="s">
        <v>371</v>
      </c>
      <c r="D395" t="s">
        <v>372</v>
      </c>
      <c r="E395" s="22" t="s">
        <v>7915</v>
      </c>
      <c r="F395" t="s">
        <v>526</v>
      </c>
      <c r="G395" s="1" t="str">
        <f>HYPERLINK("https://homd.org/jbrowse/?data=homd_V11.02_phage_1.2%2FGCA_000222725.2&amp;loc=GCA_000222725.2%7CAFUC01000015.1%3A26060..33919&amp;tracks=prokka,prokka_ncrna,ncbi,ncbi_ncrna,panggolin,cenote,genomad&amp;highlight=","Open JBrowse")</f>
        <v>Open JBrowse</v>
      </c>
      <c r="H395" s="10">
        <v>29060</v>
      </c>
      <c r="I395" s="10">
        <v>30919</v>
      </c>
      <c r="J395" s="10" t="s">
        <v>527</v>
      </c>
      <c r="K395" s="10" t="s">
        <v>59</v>
      </c>
      <c r="L395" s="10" t="s">
        <v>388</v>
      </c>
      <c r="M395" s="10" t="s">
        <v>389</v>
      </c>
      <c r="N395" s="10" t="s">
        <v>42</v>
      </c>
      <c r="O395" s="10">
        <v>3</v>
      </c>
      <c r="P395" s="10" t="s">
        <v>42</v>
      </c>
      <c r="Q395" s="10" t="s">
        <v>59</v>
      </c>
      <c r="R395" s="10" t="s">
        <v>528</v>
      </c>
      <c r="S395" s="10" t="s">
        <v>388</v>
      </c>
      <c r="T395" s="10" t="s">
        <v>42</v>
      </c>
      <c r="U395" s="10">
        <v>66</v>
      </c>
      <c r="V395" s="10">
        <v>346</v>
      </c>
      <c r="W395" s="10">
        <v>281</v>
      </c>
      <c r="X395" s="10" t="s">
        <v>390</v>
      </c>
      <c r="Y395" s="10" t="s">
        <v>529</v>
      </c>
      <c r="Z395" s="10" t="s">
        <v>530</v>
      </c>
      <c r="AA395" s="10" t="s">
        <v>531</v>
      </c>
      <c r="AB395" s="10" t="s">
        <v>532</v>
      </c>
      <c r="AC395" s="10" t="s">
        <v>384</v>
      </c>
      <c r="AD395" s="10" t="s">
        <v>385</v>
      </c>
      <c r="AE395" s="10">
        <v>921</v>
      </c>
      <c r="AF395" s="10" t="s">
        <v>102</v>
      </c>
      <c r="AG395" s="44"/>
      <c r="AH395" s="44"/>
      <c r="AI395" s="44" t="s">
        <v>6052</v>
      </c>
      <c r="AJ395" s="44" t="s">
        <v>6052</v>
      </c>
      <c r="AK395" s="44" t="s">
        <v>6052</v>
      </c>
      <c r="AL395" s="44" t="s">
        <v>6052</v>
      </c>
      <c r="AM395" s="44" t="s">
        <v>6052</v>
      </c>
      <c r="AN395" s="44" t="s">
        <v>33029</v>
      </c>
      <c r="AO395" s="45">
        <v>11</v>
      </c>
      <c r="AP395" s="45">
        <v>1</v>
      </c>
      <c r="AQ395" s="45">
        <v>0</v>
      </c>
      <c r="AR395" s="45">
        <v>0</v>
      </c>
      <c r="AS395" s="45">
        <v>0</v>
      </c>
      <c r="AT395" s="45">
        <v>0</v>
      </c>
      <c r="AU395" s="10" t="s">
        <v>6052</v>
      </c>
      <c r="AV395" s="10" t="s">
        <v>6052</v>
      </c>
      <c r="AW395" s="10" t="s">
        <v>6052</v>
      </c>
      <c r="AX395" s="10" t="s">
        <v>6052</v>
      </c>
      <c r="AY395" s="10" t="s">
        <v>32253</v>
      </c>
      <c r="AZ395" s="44" t="s">
        <v>33117</v>
      </c>
      <c r="BA395" s="44" t="s">
        <v>31131</v>
      </c>
      <c r="BB395" s="44" t="s">
        <v>31649</v>
      </c>
      <c r="BC395" s="44" t="s">
        <v>6093</v>
      </c>
      <c r="BD395" s="44" t="s">
        <v>31713</v>
      </c>
      <c r="BE395" s="11">
        <v>1</v>
      </c>
      <c r="BF395" s="11">
        <v>0</v>
      </c>
      <c r="BG395" s="11">
        <v>0</v>
      </c>
      <c r="BH395" s="10" t="s">
        <v>32217</v>
      </c>
      <c r="BI395" s="11">
        <v>100</v>
      </c>
      <c r="BJ395" s="10" t="s">
        <v>33469</v>
      </c>
      <c r="BK395" s="11">
        <v>100</v>
      </c>
    </row>
    <row r="396" spans="1:63" x14ac:dyDescent="0.75">
      <c r="A396" t="s">
        <v>472</v>
      </c>
      <c r="B396" t="s">
        <v>104</v>
      </c>
      <c r="C396" t="s">
        <v>473</v>
      </c>
      <c r="D396" t="s">
        <v>474</v>
      </c>
      <c r="E396" s="22" t="s">
        <v>7550</v>
      </c>
      <c r="F396" t="s">
        <v>475</v>
      </c>
      <c r="G396" s="1" t="str">
        <f>HYPERLINK("https://homd.org/jbrowse/?data=homd_V11.02_phage_1.2%2FGCA_000192225.1&amp;loc=GCA_000192225.1%7CGL872413.1%3A245474..252307&amp;tracks=prokka,prokka_ncrna,ncbi,ncbi_ncrna,panggolin,cenote,genomad&amp;highlight=","Open JBrowse")</f>
        <v>Open JBrowse</v>
      </c>
      <c r="H396" s="10">
        <v>248474</v>
      </c>
      <c r="I396" s="10">
        <v>249307</v>
      </c>
      <c r="J396" s="10" t="s">
        <v>476</v>
      </c>
      <c r="K396" s="10" t="s">
        <v>39</v>
      </c>
      <c r="L396" s="10" t="s">
        <v>129</v>
      </c>
      <c r="M396" s="10" t="s">
        <v>130</v>
      </c>
      <c r="N396" s="10" t="s">
        <v>42</v>
      </c>
      <c r="O396" s="10">
        <v>3</v>
      </c>
      <c r="P396" s="10" t="s">
        <v>42</v>
      </c>
      <c r="Q396" s="10" t="s">
        <v>43</v>
      </c>
      <c r="R396" s="10" t="s">
        <v>477</v>
      </c>
      <c r="S396" s="10" t="s">
        <v>129</v>
      </c>
      <c r="T396" s="10" t="s">
        <v>42</v>
      </c>
      <c r="U396" s="10">
        <v>43</v>
      </c>
      <c r="V396" s="10">
        <v>275</v>
      </c>
      <c r="W396" s="10">
        <v>233</v>
      </c>
      <c r="X396" s="10" t="s">
        <v>45</v>
      </c>
      <c r="Y396" s="10" t="s">
        <v>478</v>
      </c>
      <c r="Z396" s="10" t="s">
        <v>47</v>
      </c>
      <c r="AA396" s="10" t="s">
        <v>479</v>
      </c>
      <c r="AB396" s="10"/>
      <c r="AC396" s="10"/>
      <c r="AD396" s="10"/>
      <c r="AE396" s="10"/>
      <c r="AF396" s="10"/>
      <c r="AG396" s="44"/>
      <c r="AH396" s="44"/>
      <c r="AI396" s="44" t="s">
        <v>6052</v>
      </c>
      <c r="AJ396" s="44" t="s">
        <v>6052</v>
      </c>
      <c r="AK396" s="44" t="s">
        <v>6052</v>
      </c>
      <c r="AL396" s="44" t="s">
        <v>6052</v>
      </c>
      <c r="AM396" s="44" t="s">
        <v>6052</v>
      </c>
      <c r="AN396" s="44" t="s">
        <v>32665</v>
      </c>
      <c r="AO396" s="45">
        <v>11</v>
      </c>
      <c r="AP396" s="45">
        <v>1</v>
      </c>
      <c r="AQ396" s="45">
        <v>0</v>
      </c>
      <c r="AR396" s="45">
        <v>0</v>
      </c>
      <c r="AS396" s="45">
        <v>0</v>
      </c>
      <c r="AT396" s="45">
        <v>0</v>
      </c>
      <c r="AU396" s="10" t="s">
        <v>6052</v>
      </c>
      <c r="AV396" s="10" t="s">
        <v>6052</v>
      </c>
      <c r="AW396" s="10" t="s">
        <v>6052</v>
      </c>
      <c r="AX396" s="10" t="s">
        <v>6052</v>
      </c>
      <c r="AY396" s="10" t="s">
        <v>32253</v>
      </c>
      <c r="AZ396" s="44" t="s">
        <v>33116</v>
      </c>
      <c r="BA396" s="44" t="s">
        <v>30962</v>
      </c>
      <c r="BB396" s="44" t="s">
        <v>31405</v>
      </c>
      <c r="BC396" s="44" t="s">
        <v>6415</v>
      </c>
      <c r="BD396" s="44" t="s">
        <v>31707</v>
      </c>
      <c r="BE396" s="11">
        <v>1</v>
      </c>
      <c r="BF396" s="11">
        <v>0</v>
      </c>
      <c r="BG396" s="11">
        <v>0</v>
      </c>
      <c r="BH396" s="10" t="s">
        <v>31856</v>
      </c>
      <c r="BI396" s="11">
        <v>100</v>
      </c>
      <c r="BJ396" s="10" t="s">
        <v>33278</v>
      </c>
      <c r="BK396" s="11">
        <v>100</v>
      </c>
    </row>
    <row r="397" spans="1:63" x14ac:dyDescent="0.75">
      <c r="A397" t="s">
        <v>461</v>
      </c>
      <c r="B397" t="s">
        <v>104</v>
      </c>
      <c r="C397" t="s">
        <v>462</v>
      </c>
      <c r="D397" t="s">
        <v>463</v>
      </c>
      <c r="E397" s="22" t="s">
        <v>7535</v>
      </c>
      <c r="F397" t="s">
        <v>464</v>
      </c>
      <c r="G397" s="1" t="str">
        <f>HYPERLINK("https://homd.org/jbrowse/?data=homd_V11.02_phage_1.2%2FGCA_000191765.2&amp;loc=GCA_000191765.2%7CAEXO01000095.1%3A83136..90095&amp;tracks=prokka,prokka_ncrna,ncbi,ncbi_ncrna,panggolin,cenote,genomad&amp;highlight=","Open JBrowse")</f>
        <v>Open JBrowse</v>
      </c>
      <c r="H397" s="10">
        <v>86136</v>
      </c>
      <c r="I397" s="10">
        <v>87095</v>
      </c>
      <c r="J397" s="10" t="s">
        <v>465</v>
      </c>
      <c r="K397" s="10" t="s">
        <v>59</v>
      </c>
      <c r="L397" s="10" t="s">
        <v>466</v>
      </c>
      <c r="M397" s="10" t="s">
        <v>467</v>
      </c>
      <c r="N397" s="10" t="s">
        <v>398</v>
      </c>
      <c r="O397" s="10">
        <v>3</v>
      </c>
      <c r="P397" s="10" t="s">
        <v>42</v>
      </c>
      <c r="Q397" s="10" t="s">
        <v>59</v>
      </c>
      <c r="R397" s="10" t="s">
        <v>468</v>
      </c>
      <c r="S397" s="10" t="s">
        <v>466</v>
      </c>
      <c r="T397" s="10" t="s">
        <v>42</v>
      </c>
      <c r="U397" s="10">
        <v>41</v>
      </c>
      <c r="V397" s="10">
        <v>267</v>
      </c>
      <c r="W397" s="10">
        <v>227</v>
      </c>
      <c r="X397" s="10" t="s">
        <v>160</v>
      </c>
      <c r="Y397" s="10" t="s">
        <v>469</v>
      </c>
      <c r="Z397" s="10" t="s">
        <v>470</v>
      </c>
      <c r="AA397" s="10" t="s">
        <v>471</v>
      </c>
      <c r="AB397" s="10"/>
      <c r="AC397" s="10"/>
      <c r="AD397" s="10"/>
      <c r="AE397" s="10"/>
      <c r="AF397" s="10"/>
      <c r="AG397" s="44"/>
      <c r="AH397" s="44"/>
      <c r="AI397" s="44" t="s">
        <v>6052</v>
      </c>
      <c r="AJ397" s="44" t="s">
        <v>6052</v>
      </c>
      <c r="AK397" s="44" t="s">
        <v>6052</v>
      </c>
      <c r="AL397" s="44" t="s">
        <v>6052</v>
      </c>
      <c r="AM397" s="44" t="s">
        <v>6052</v>
      </c>
      <c r="AN397" s="44" t="s">
        <v>32591</v>
      </c>
      <c r="AO397" s="45">
        <v>11</v>
      </c>
      <c r="AP397" s="45">
        <v>1</v>
      </c>
      <c r="AQ397" s="45">
        <v>0</v>
      </c>
      <c r="AR397" s="45">
        <v>0</v>
      </c>
      <c r="AS397" s="45">
        <v>0</v>
      </c>
      <c r="AT397" s="45">
        <v>0</v>
      </c>
      <c r="AU397" s="10" t="s">
        <v>6052</v>
      </c>
      <c r="AV397" s="10" t="s">
        <v>6052</v>
      </c>
      <c r="AW397" s="10" t="s">
        <v>6052</v>
      </c>
      <c r="AX397" s="10" t="s">
        <v>6052</v>
      </c>
      <c r="AY397" s="10" t="s">
        <v>32253</v>
      </c>
      <c r="AZ397" s="44" t="s">
        <v>33110</v>
      </c>
      <c r="BA397" s="44" t="s">
        <v>30925</v>
      </c>
      <c r="BB397" s="44" t="s">
        <v>31359</v>
      </c>
      <c r="BC397" s="44" t="s">
        <v>6594</v>
      </c>
      <c r="BD397" s="44" t="s">
        <v>31708</v>
      </c>
      <c r="BE397" s="11">
        <v>1</v>
      </c>
      <c r="BF397" s="11">
        <v>0</v>
      </c>
      <c r="BG397" s="11">
        <v>0</v>
      </c>
      <c r="BH397" s="10" t="s">
        <v>32155</v>
      </c>
      <c r="BI397" s="11">
        <v>100</v>
      </c>
      <c r="BJ397" s="10" t="s">
        <v>33356</v>
      </c>
      <c r="BK397" s="11">
        <v>100</v>
      </c>
    </row>
    <row r="398" spans="1:63" x14ac:dyDescent="0.75">
      <c r="A398" t="s">
        <v>449</v>
      </c>
      <c r="B398" t="s">
        <v>104</v>
      </c>
      <c r="C398" t="s">
        <v>450</v>
      </c>
      <c r="D398" t="s">
        <v>451</v>
      </c>
      <c r="E398" s="22" t="s">
        <v>7499</v>
      </c>
      <c r="F398" t="s">
        <v>452</v>
      </c>
      <c r="G398" s="1" t="str">
        <f>HYPERLINK("https://homd.org/jbrowse/?data=homd_V11.02_phage_1.2%2FGCA_000191065.1&amp;loc=GCA_000191065.1%7CGL872283.1%3A281235..288296&amp;tracks=prokka,prokka_ncrna,ncbi,ncbi_ncrna,panggolin,cenote,genomad&amp;highlight=","Open JBrowse")</f>
        <v>Open JBrowse</v>
      </c>
      <c r="H398" s="10">
        <v>284235</v>
      </c>
      <c r="I398" s="10">
        <v>285296</v>
      </c>
      <c r="J398" s="10" t="s">
        <v>453</v>
      </c>
      <c r="K398" s="10" t="s">
        <v>59</v>
      </c>
      <c r="L398" s="10" t="s">
        <v>454</v>
      </c>
      <c r="M398" s="10" t="s">
        <v>455</v>
      </c>
      <c r="N398" s="10" t="s">
        <v>42</v>
      </c>
      <c r="O398" s="10">
        <v>3</v>
      </c>
      <c r="P398" s="10" t="s">
        <v>42</v>
      </c>
      <c r="Q398" s="10" t="s">
        <v>59</v>
      </c>
      <c r="R398" s="10" t="s">
        <v>456</v>
      </c>
      <c r="S398" s="10" t="s">
        <v>454</v>
      </c>
      <c r="T398" s="10" t="s">
        <v>42</v>
      </c>
      <c r="U398" s="10">
        <v>71</v>
      </c>
      <c r="V398" s="10">
        <v>296</v>
      </c>
      <c r="W398" s="10">
        <v>226</v>
      </c>
      <c r="X398" s="10" t="s">
        <v>160</v>
      </c>
      <c r="Y398" s="10" t="s">
        <v>457</v>
      </c>
      <c r="Z398" s="10" t="s">
        <v>458</v>
      </c>
      <c r="AA398" s="10" t="s">
        <v>459</v>
      </c>
      <c r="AB398" s="10" t="s">
        <v>460</v>
      </c>
      <c r="AC398" s="10" t="s">
        <v>164</v>
      </c>
      <c r="AD398" s="10" t="s">
        <v>51</v>
      </c>
      <c r="AE398" s="10">
        <v>191.5</v>
      </c>
      <c r="AF398" s="10" t="s">
        <v>165</v>
      </c>
      <c r="AG398" s="44"/>
      <c r="AH398" s="44"/>
      <c r="AI398" s="44" t="s">
        <v>6052</v>
      </c>
      <c r="AJ398" s="44" t="s">
        <v>6052</v>
      </c>
      <c r="AK398" s="44" t="s">
        <v>6052</v>
      </c>
      <c r="AL398" s="44" t="s">
        <v>6052</v>
      </c>
      <c r="AM398" s="44" t="s">
        <v>6052</v>
      </c>
      <c r="AN398" s="44" t="s">
        <v>32607</v>
      </c>
      <c r="AO398" s="45">
        <v>11</v>
      </c>
      <c r="AP398" s="45">
        <v>1</v>
      </c>
      <c r="AQ398" s="45">
        <v>0</v>
      </c>
      <c r="AR398" s="45">
        <v>0</v>
      </c>
      <c r="AS398" s="45">
        <v>0</v>
      </c>
      <c r="AT398" s="45">
        <v>0</v>
      </c>
      <c r="AU398" s="10" t="s">
        <v>6052</v>
      </c>
      <c r="AV398" s="10" t="s">
        <v>6052</v>
      </c>
      <c r="AW398" s="10" t="s">
        <v>6052</v>
      </c>
      <c r="AX398" s="10" t="s">
        <v>6052</v>
      </c>
      <c r="AY398" s="10" t="s">
        <v>32253</v>
      </c>
      <c r="AZ398" s="44" t="s">
        <v>33117</v>
      </c>
      <c r="BA398" s="44" t="s">
        <v>30933</v>
      </c>
      <c r="BB398" s="44" t="s">
        <v>31370</v>
      </c>
      <c r="BC398" s="44" t="s">
        <v>6594</v>
      </c>
      <c r="BD398" s="44" t="s">
        <v>31708</v>
      </c>
      <c r="BE398" s="11">
        <v>1</v>
      </c>
      <c r="BF398" s="11">
        <v>0</v>
      </c>
      <c r="BG398" s="11">
        <v>0</v>
      </c>
      <c r="BH398" s="10" t="s">
        <v>32116</v>
      </c>
      <c r="BI398" s="11">
        <v>100</v>
      </c>
      <c r="BJ398" s="10" t="s">
        <v>33430</v>
      </c>
      <c r="BK398" s="11">
        <v>94.1</v>
      </c>
    </row>
    <row r="399" spans="1:63" x14ac:dyDescent="0.75">
      <c r="A399" t="s">
        <v>424</v>
      </c>
      <c r="B399" t="s">
        <v>104</v>
      </c>
      <c r="C399" t="s">
        <v>241</v>
      </c>
      <c r="D399" t="s">
        <v>242</v>
      </c>
      <c r="E399" s="22" t="s">
        <v>7377</v>
      </c>
      <c r="F399" t="s">
        <v>425</v>
      </c>
      <c r="G399" s="1" t="str">
        <f>HYPERLINK("https://homd.org/jbrowse/?data=homd_V11.02_phage_1.2%2FGCA_000184945.1&amp;loc=GCA_000184945.1%7CGL586311.1%3A3151990..3158652&amp;tracks=prokka,prokka_ncrna,ncbi,ncbi_ncrna,panggolin,cenote,genomad&amp;highlight=","Open JBrowse")</f>
        <v>Open JBrowse</v>
      </c>
      <c r="H399" s="10">
        <v>3154990</v>
      </c>
      <c r="I399" s="10">
        <v>3155652</v>
      </c>
      <c r="J399" s="10" t="s">
        <v>426</v>
      </c>
      <c r="K399" s="10" t="s">
        <v>59</v>
      </c>
      <c r="L399" s="10" t="s">
        <v>256</v>
      </c>
      <c r="M399" s="10" t="s">
        <v>257</v>
      </c>
      <c r="N399" s="10" t="s">
        <v>59</v>
      </c>
      <c r="O399" s="10">
        <v>2</v>
      </c>
      <c r="P399" s="10" t="s">
        <v>42</v>
      </c>
      <c r="Q399" s="10" t="s">
        <v>59</v>
      </c>
      <c r="R399" s="10" t="s">
        <v>427</v>
      </c>
      <c r="S399" s="10" t="s">
        <v>256</v>
      </c>
      <c r="T399" s="10" t="s">
        <v>42</v>
      </c>
      <c r="U399" s="10">
        <v>3</v>
      </c>
      <c r="V399" s="10">
        <v>214</v>
      </c>
      <c r="W399" s="10">
        <v>212</v>
      </c>
      <c r="X399" s="10" t="s">
        <v>258</v>
      </c>
      <c r="Y399" s="10" t="s">
        <v>428</v>
      </c>
      <c r="Z399" s="10" t="s">
        <v>429</v>
      </c>
      <c r="AA399" s="10" t="s">
        <v>430</v>
      </c>
      <c r="AB399" s="10" t="s">
        <v>431</v>
      </c>
      <c r="AC399" s="10"/>
      <c r="AD399" s="10"/>
      <c r="AE399" s="10"/>
      <c r="AF399" s="10"/>
      <c r="AG399" s="44" t="s">
        <v>263</v>
      </c>
      <c r="AH399" s="44">
        <v>2</v>
      </c>
      <c r="AI399" s="44" t="s">
        <v>6052</v>
      </c>
      <c r="AJ399" s="44" t="s">
        <v>6052</v>
      </c>
      <c r="AK399" s="44" t="s">
        <v>6052</v>
      </c>
      <c r="AL399" s="44" t="s">
        <v>6052</v>
      </c>
      <c r="AM399" s="44" t="s">
        <v>6052</v>
      </c>
      <c r="AN399" s="44" t="s">
        <v>32530</v>
      </c>
      <c r="AO399" s="45">
        <v>11</v>
      </c>
      <c r="AP399" s="45">
        <v>1</v>
      </c>
      <c r="AQ399" s="45">
        <v>0</v>
      </c>
      <c r="AR399" s="45">
        <v>0</v>
      </c>
      <c r="AS399" s="45">
        <v>0</v>
      </c>
      <c r="AT399" s="45">
        <v>0</v>
      </c>
      <c r="AU399" s="10" t="s">
        <v>6052</v>
      </c>
      <c r="AV399" s="10" t="s">
        <v>6052</v>
      </c>
      <c r="AW399" s="10" t="s">
        <v>6052</v>
      </c>
      <c r="AX399" s="10" t="s">
        <v>6052</v>
      </c>
      <c r="AY399" s="10" t="s">
        <v>32253</v>
      </c>
      <c r="AZ399" s="44" t="s">
        <v>33110</v>
      </c>
      <c r="BA399" s="44" t="s">
        <v>30900</v>
      </c>
      <c r="BB399" s="44" t="s">
        <v>31320</v>
      </c>
      <c r="BC399" s="44" t="s">
        <v>6564</v>
      </c>
      <c r="BD399" s="44" t="s">
        <v>31710</v>
      </c>
      <c r="BE399" s="11">
        <v>1</v>
      </c>
      <c r="BF399" s="11">
        <v>0</v>
      </c>
      <c r="BG399" s="11">
        <v>0</v>
      </c>
      <c r="BH399" s="10" t="s">
        <v>32230</v>
      </c>
      <c r="BI399" s="11">
        <v>100</v>
      </c>
      <c r="BJ399" s="10" t="s">
        <v>33463</v>
      </c>
      <c r="BK399" s="11">
        <v>100</v>
      </c>
    </row>
    <row r="400" spans="1:63" x14ac:dyDescent="0.75">
      <c r="A400" t="s">
        <v>403</v>
      </c>
      <c r="B400" t="s">
        <v>104</v>
      </c>
      <c r="C400" t="s">
        <v>105</v>
      </c>
      <c r="D400" t="s">
        <v>106</v>
      </c>
      <c r="E400" s="22" t="s">
        <v>7366</v>
      </c>
      <c r="F400" t="s">
        <v>404</v>
      </c>
      <c r="G400" s="1" t="str">
        <f>HYPERLINK("https://homd.org/jbrowse/?data=homd_V11.02_phage_1.2%2FGCA_000183985.1&amp;loc=GCA_000183985.1%7CGL573160.1%3A1705585..1712412&amp;tracks=prokka,prokka_ncrna,ncbi,ncbi_ncrna,panggolin,cenote,genomad&amp;highlight=","Open JBrowse")</f>
        <v>Open JBrowse</v>
      </c>
      <c r="H400" s="10">
        <v>1708585</v>
      </c>
      <c r="I400" s="10">
        <v>1709412</v>
      </c>
      <c r="J400" s="10" t="s">
        <v>412</v>
      </c>
      <c r="K400" s="10" t="s">
        <v>39</v>
      </c>
      <c r="L400" s="10" t="s">
        <v>413</v>
      </c>
      <c r="M400" s="10" t="s">
        <v>414</v>
      </c>
      <c r="N400" s="10" t="s">
        <v>42</v>
      </c>
      <c r="O400" s="10">
        <v>3</v>
      </c>
      <c r="P400" s="10" t="s">
        <v>42</v>
      </c>
      <c r="Q400" s="10" t="s">
        <v>43</v>
      </c>
      <c r="R400" s="10" t="s">
        <v>408</v>
      </c>
      <c r="S400" s="10" t="s">
        <v>413</v>
      </c>
      <c r="T400" s="10" t="s">
        <v>42</v>
      </c>
      <c r="U400" s="10">
        <v>43</v>
      </c>
      <c r="V400" s="10">
        <v>273</v>
      </c>
      <c r="W400" s="10">
        <v>231</v>
      </c>
      <c r="X400" s="10" t="s">
        <v>45</v>
      </c>
      <c r="Y400" s="10" t="s">
        <v>415</v>
      </c>
      <c r="Z400" s="10" t="s">
        <v>416</v>
      </c>
      <c r="AA400" s="10" t="s">
        <v>417</v>
      </c>
      <c r="AB400" s="10"/>
      <c r="AC400" s="10"/>
      <c r="AD400" s="10"/>
      <c r="AE400" s="10"/>
      <c r="AF400" s="10"/>
      <c r="AG400" s="44"/>
      <c r="AH400" s="44"/>
      <c r="AI400" s="44" t="s">
        <v>6052</v>
      </c>
      <c r="AJ400" s="44" t="s">
        <v>6052</v>
      </c>
      <c r="AK400" s="44" t="s">
        <v>6052</v>
      </c>
      <c r="AL400" s="44" t="s">
        <v>6052</v>
      </c>
      <c r="AM400" s="44" t="s">
        <v>6052</v>
      </c>
      <c r="AN400" s="44" t="s">
        <v>32671</v>
      </c>
      <c r="AO400" s="45">
        <v>11</v>
      </c>
      <c r="AP400" s="45">
        <v>1</v>
      </c>
      <c r="AQ400" s="45">
        <v>0</v>
      </c>
      <c r="AR400" s="45">
        <v>0</v>
      </c>
      <c r="AS400" s="45">
        <v>0</v>
      </c>
      <c r="AT400" s="45">
        <v>0</v>
      </c>
      <c r="AU400" s="10" t="s">
        <v>6052</v>
      </c>
      <c r="AV400" s="10" t="s">
        <v>6052</v>
      </c>
      <c r="AW400" s="10" t="s">
        <v>6052</v>
      </c>
      <c r="AX400" s="10" t="s">
        <v>6052</v>
      </c>
      <c r="AY400" s="10" t="s">
        <v>32253</v>
      </c>
      <c r="AZ400" s="44" t="s">
        <v>33116</v>
      </c>
      <c r="BA400" s="44" t="s">
        <v>30967</v>
      </c>
      <c r="BB400" s="44" t="s">
        <v>31411</v>
      </c>
      <c r="BC400" s="44" t="s">
        <v>6415</v>
      </c>
      <c r="BD400" s="44" t="s">
        <v>31707</v>
      </c>
      <c r="BE400" s="11">
        <v>1</v>
      </c>
      <c r="BF400" s="11">
        <v>0</v>
      </c>
      <c r="BG400" s="11">
        <v>0</v>
      </c>
      <c r="BH400" s="10" t="s">
        <v>31828</v>
      </c>
      <c r="BI400" s="11">
        <v>100</v>
      </c>
      <c r="BJ400" s="10" t="s">
        <v>33248</v>
      </c>
      <c r="BK400" s="11">
        <v>100</v>
      </c>
    </row>
    <row r="401" spans="1:63" x14ac:dyDescent="0.75">
      <c r="A401" t="s">
        <v>403</v>
      </c>
      <c r="B401" t="s">
        <v>104</v>
      </c>
      <c r="C401" t="s">
        <v>105</v>
      </c>
      <c r="D401" t="s">
        <v>106</v>
      </c>
      <c r="E401" s="22" t="s">
        <v>7366</v>
      </c>
      <c r="F401" t="s">
        <v>404</v>
      </c>
      <c r="G401" s="1" t="str">
        <f>HYPERLINK("https://homd.org/jbrowse/?data=homd_V11.02_phage_1.2%2FGCA_000183985.1&amp;loc=GCA_000183985.1%7CGL573160.1%3A1701107..1707892&amp;tracks=prokka,prokka_ncrna,ncbi,ncbi_ncrna,panggolin,cenote,genomad&amp;highlight=","Open JBrowse")</f>
        <v>Open JBrowse</v>
      </c>
      <c r="H401" s="10">
        <v>1704107</v>
      </c>
      <c r="I401" s="10">
        <v>1704892</v>
      </c>
      <c r="J401" s="10" t="s">
        <v>405</v>
      </c>
      <c r="K401" s="10" t="s">
        <v>39</v>
      </c>
      <c r="L401" s="10" t="s">
        <v>406</v>
      </c>
      <c r="M401" s="10" t="s">
        <v>407</v>
      </c>
      <c r="N401" s="10" t="s">
        <v>42</v>
      </c>
      <c r="O401" s="10">
        <v>3</v>
      </c>
      <c r="P401" s="10" t="s">
        <v>42</v>
      </c>
      <c r="Q401" s="10" t="s">
        <v>43</v>
      </c>
      <c r="R401" s="10" t="s">
        <v>408</v>
      </c>
      <c r="S401" s="10" t="s">
        <v>406</v>
      </c>
      <c r="T401" s="10" t="s">
        <v>42</v>
      </c>
      <c r="U401" s="10">
        <v>33</v>
      </c>
      <c r="V401" s="10">
        <v>259</v>
      </c>
      <c r="W401" s="10">
        <v>227</v>
      </c>
      <c r="X401" s="10" t="s">
        <v>45</v>
      </c>
      <c r="Y401" s="10" t="s">
        <v>409</v>
      </c>
      <c r="Z401" s="10" t="s">
        <v>410</v>
      </c>
      <c r="AA401" s="10" t="s">
        <v>411</v>
      </c>
      <c r="AB401" s="10"/>
      <c r="AC401" s="10"/>
      <c r="AD401" s="10"/>
      <c r="AE401" s="10"/>
      <c r="AF401" s="10"/>
      <c r="AG401" s="44"/>
      <c r="AH401" s="44"/>
      <c r="AI401" s="44" t="s">
        <v>6052</v>
      </c>
      <c r="AJ401" s="44" t="s">
        <v>6052</v>
      </c>
      <c r="AK401" s="44" t="s">
        <v>6052</v>
      </c>
      <c r="AL401" s="44" t="s">
        <v>6052</v>
      </c>
      <c r="AM401" s="44" t="s">
        <v>6052</v>
      </c>
      <c r="AN401" s="44" t="s">
        <v>32670</v>
      </c>
      <c r="AO401" s="45">
        <v>11</v>
      </c>
      <c r="AP401" s="45">
        <v>1</v>
      </c>
      <c r="AQ401" s="45">
        <v>0</v>
      </c>
      <c r="AR401" s="45">
        <v>0</v>
      </c>
      <c r="AS401" s="45">
        <v>0</v>
      </c>
      <c r="AT401" s="45">
        <v>0</v>
      </c>
      <c r="AU401" s="10" t="s">
        <v>6052</v>
      </c>
      <c r="AV401" s="10" t="s">
        <v>6052</v>
      </c>
      <c r="AW401" s="10" t="s">
        <v>6052</v>
      </c>
      <c r="AX401" s="10" t="s">
        <v>6052</v>
      </c>
      <c r="AY401" s="10" t="s">
        <v>32253</v>
      </c>
      <c r="AZ401" s="44" t="s">
        <v>33116</v>
      </c>
      <c r="BA401" s="44" t="s">
        <v>30967</v>
      </c>
      <c r="BB401" s="44" t="s">
        <v>31410</v>
      </c>
      <c r="BC401" s="44" t="s">
        <v>6415</v>
      </c>
      <c r="BD401" s="44" t="s">
        <v>31707</v>
      </c>
      <c r="BE401" s="11">
        <v>1</v>
      </c>
      <c r="BF401" s="11">
        <v>0</v>
      </c>
      <c r="BG401" s="11">
        <v>0</v>
      </c>
      <c r="BH401" s="10" t="s">
        <v>32032</v>
      </c>
      <c r="BI401" s="11">
        <v>100</v>
      </c>
      <c r="BJ401" s="10" t="s">
        <v>33247</v>
      </c>
      <c r="BK401" s="11">
        <v>100</v>
      </c>
    </row>
    <row r="402" spans="1:63" x14ac:dyDescent="0.75">
      <c r="A402" t="s">
        <v>370</v>
      </c>
      <c r="B402" t="s">
        <v>104</v>
      </c>
      <c r="C402" t="s">
        <v>371</v>
      </c>
      <c r="D402" t="s">
        <v>372</v>
      </c>
      <c r="E402" s="22" t="s">
        <v>7316</v>
      </c>
      <c r="F402" t="s">
        <v>373</v>
      </c>
      <c r="G402" s="1" t="str">
        <f>HYPERLINK("https://homd.org/jbrowse/?data=homd_V11.02_phage_1.2%2FGCA_000180035.1&amp;loc=GCA_000180035.1%7CAEKM01000012.1%3A184623..192878&amp;tracks=prokka,prokka_ncrna,ncbi,ncbi_ncrna,panggolin,cenote,genomad&amp;highlight=","Open JBrowse")</f>
        <v>Open JBrowse</v>
      </c>
      <c r="H402" s="10">
        <v>187623</v>
      </c>
      <c r="I402" s="10">
        <v>189878</v>
      </c>
      <c r="J402" s="10" t="s">
        <v>374</v>
      </c>
      <c r="K402" s="10" t="s">
        <v>375</v>
      </c>
      <c r="L402" s="10" t="s">
        <v>376</v>
      </c>
      <c r="M402" s="10" t="s">
        <v>377</v>
      </c>
      <c r="N402" s="10" t="s">
        <v>42</v>
      </c>
      <c r="O402" s="10">
        <v>3</v>
      </c>
      <c r="P402" s="10" t="s">
        <v>42</v>
      </c>
      <c r="Q402" s="10" t="s">
        <v>101</v>
      </c>
      <c r="R402" s="10" t="s">
        <v>378</v>
      </c>
      <c r="S402" s="10" t="s">
        <v>376</v>
      </c>
      <c r="T402" s="10" t="s">
        <v>42</v>
      </c>
      <c r="U402" s="10">
        <v>64</v>
      </c>
      <c r="V402" s="10">
        <v>345</v>
      </c>
      <c r="W402" s="10">
        <v>282</v>
      </c>
      <c r="X402" s="10" t="s">
        <v>379</v>
      </c>
      <c r="Y402" s="10" t="s">
        <v>380</v>
      </c>
      <c r="Z402" s="10" t="s">
        <v>381</v>
      </c>
      <c r="AA402" s="10" t="s">
        <v>382</v>
      </c>
      <c r="AB402" s="10" t="s">
        <v>383</v>
      </c>
      <c r="AC402" s="10" t="s">
        <v>384</v>
      </c>
      <c r="AD402" s="10" t="s">
        <v>385</v>
      </c>
      <c r="AE402" s="10">
        <v>923</v>
      </c>
      <c r="AF402" s="10" t="s">
        <v>386</v>
      </c>
      <c r="AG402" s="44"/>
      <c r="AH402" s="44"/>
      <c r="AI402" s="44" t="s">
        <v>6052</v>
      </c>
      <c r="AJ402" s="44" t="s">
        <v>6052</v>
      </c>
      <c r="AK402" s="44" t="s">
        <v>6052</v>
      </c>
      <c r="AL402" s="44" t="s">
        <v>6052</v>
      </c>
      <c r="AM402" s="44" t="s">
        <v>6052</v>
      </c>
      <c r="AN402" s="44" t="s">
        <v>32718</v>
      </c>
      <c r="AO402" s="45">
        <v>11</v>
      </c>
      <c r="AP402" s="45">
        <v>1</v>
      </c>
      <c r="AQ402" s="45">
        <v>0</v>
      </c>
      <c r="AR402" s="45">
        <v>0</v>
      </c>
      <c r="AS402" s="45">
        <v>0</v>
      </c>
      <c r="AT402" s="45">
        <v>0</v>
      </c>
      <c r="AU402" s="10" t="s">
        <v>6052</v>
      </c>
      <c r="AV402" s="10" t="s">
        <v>6052</v>
      </c>
      <c r="AW402" s="10" t="s">
        <v>6052</v>
      </c>
      <c r="AX402" s="10" t="s">
        <v>6052</v>
      </c>
      <c r="AY402" s="10" t="s">
        <v>32253</v>
      </c>
      <c r="AZ402" s="44" t="s">
        <v>33117</v>
      </c>
      <c r="BA402" s="44" t="s">
        <v>30982</v>
      </c>
      <c r="BB402" s="44" t="s">
        <v>31436</v>
      </c>
      <c r="BC402" s="44" t="s">
        <v>6093</v>
      </c>
      <c r="BD402" s="44" t="s">
        <v>31713</v>
      </c>
      <c r="BE402" s="11">
        <v>1</v>
      </c>
      <c r="BF402" s="11">
        <v>0</v>
      </c>
      <c r="BG402" s="11">
        <v>0</v>
      </c>
      <c r="BH402" s="10" t="s">
        <v>32183</v>
      </c>
      <c r="BI402" s="11">
        <v>100</v>
      </c>
      <c r="BJ402" s="10" t="s">
        <v>33467</v>
      </c>
      <c r="BK402" s="11">
        <v>100</v>
      </c>
    </row>
    <row r="403" spans="1:63" x14ac:dyDescent="0.75">
      <c r="A403" t="s">
        <v>370</v>
      </c>
      <c r="B403" t="s">
        <v>104</v>
      </c>
      <c r="C403" t="s">
        <v>371</v>
      </c>
      <c r="D403" t="s">
        <v>372</v>
      </c>
      <c r="E403" s="22" t="s">
        <v>7316</v>
      </c>
      <c r="F403" t="s">
        <v>373</v>
      </c>
      <c r="G403" s="1" t="str">
        <f>HYPERLINK("https://homd.org/jbrowse/?data=homd_V11.02_phage_1.2%2FGCA_000180035.1&amp;loc=GCA_000180035.1%7CAEKM01000012.1%3A188672..196579&amp;tracks=prokka,prokka_ncrna,ncbi,ncbi_ncrna,panggolin,cenote,genomad&amp;highlight=","Open JBrowse")</f>
        <v>Open JBrowse</v>
      </c>
      <c r="H403" s="10">
        <v>191672</v>
      </c>
      <c r="I403" s="10">
        <v>193579</v>
      </c>
      <c r="J403" s="10" t="s">
        <v>387</v>
      </c>
      <c r="K403" s="10" t="s">
        <v>59</v>
      </c>
      <c r="L403" s="10" t="s">
        <v>388</v>
      </c>
      <c r="M403" s="10" t="s">
        <v>389</v>
      </c>
      <c r="N403" s="10" t="s">
        <v>42</v>
      </c>
      <c r="O403" s="10">
        <v>3</v>
      </c>
      <c r="P403" s="10" t="s">
        <v>42</v>
      </c>
      <c r="Q403" s="10" t="s">
        <v>59</v>
      </c>
      <c r="R403" s="10" t="s">
        <v>378</v>
      </c>
      <c r="S403" s="10" t="s">
        <v>388</v>
      </c>
      <c r="T403" s="10" t="s">
        <v>42</v>
      </c>
      <c r="U403" s="10">
        <v>66</v>
      </c>
      <c r="V403" s="10">
        <v>346</v>
      </c>
      <c r="W403" s="10">
        <v>281</v>
      </c>
      <c r="X403" s="10" t="s">
        <v>390</v>
      </c>
      <c r="Y403" s="10" t="s">
        <v>380</v>
      </c>
      <c r="Z403" s="10" t="s">
        <v>381</v>
      </c>
      <c r="AA403" s="10" t="s">
        <v>382</v>
      </c>
      <c r="AB403" s="10" t="s">
        <v>383</v>
      </c>
      <c r="AC403" s="10" t="s">
        <v>384</v>
      </c>
      <c r="AD403" s="10" t="s">
        <v>385</v>
      </c>
      <c r="AE403" s="10">
        <v>923</v>
      </c>
      <c r="AF403" s="10" t="s">
        <v>386</v>
      </c>
      <c r="AG403" s="44"/>
      <c r="AH403" s="44"/>
      <c r="AI403" s="44" t="s">
        <v>6052</v>
      </c>
      <c r="AJ403" s="44" t="s">
        <v>6052</v>
      </c>
      <c r="AK403" s="44" t="s">
        <v>6052</v>
      </c>
      <c r="AL403" s="44" t="s">
        <v>6052</v>
      </c>
      <c r="AM403" s="44" t="s">
        <v>6052</v>
      </c>
      <c r="AN403" s="44" t="s">
        <v>32719</v>
      </c>
      <c r="AO403" s="45">
        <v>11</v>
      </c>
      <c r="AP403" s="45">
        <v>1</v>
      </c>
      <c r="AQ403" s="45">
        <v>0</v>
      </c>
      <c r="AR403" s="45">
        <v>0</v>
      </c>
      <c r="AS403" s="45">
        <v>0</v>
      </c>
      <c r="AT403" s="45">
        <v>0</v>
      </c>
      <c r="AU403" s="10" t="s">
        <v>6052</v>
      </c>
      <c r="AV403" s="10" t="s">
        <v>6052</v>
      </c>
      <c r="AW403" s="10" t="s">
        <v>6052</v>
      </c>
      <c r="AX403" s="10" t="s">
        <v>6052</v>
      </c>
      <c r="AY403" s="10" t="s">
        <v>32253</v>
      </c>
      <c r="AZ403" s="44" t="s">
        <v>33117</v>
      </c>
      <c r="BA403" s="44" t="s">
        <v>30982</v>
      </c>
      <c r="BB403" s="44" t="s">
        <v>31437</v>
      </c>
      <c r="BC403" s="44" t="s">
        <v>6093</v>
      </c>
      <c r="BD403" s="44" t="s">
        <v>31713</v>
      </c>
      <c r="BE403" s="11">
        <v>1</v>
      </c>
      <c r="BF403" s="11">
        <v>0</v>
      </c>
      <c r="BG403" s="11">
        <v>0</v>
      </c>
      <c r="BH403" s="10" t="s">
        <v>32211</v>
      </c>
      <c r="BI403" s="11">
        <v>100</v>
      </c>
      <c r="BJ403" s="10" t="s">
        <v>33468</v>
      </c>
      <c r="BK403" s="11">
        <v>100</v>
      </c>
    </row>
    <row r="404" spans="1:63" x14ac:dyDescent="0.75">
      <c r="A404" t="s">
        <v>318</v>
      </c>
      <c r="B404" t="s">
        <v>104</v>
      </c>
      <c r="C404" t="s">
        <v>319</v>
      </c>
      <c r="D404" t="s">
        <v>320</v>
      </c>
      <c r="E404" s="22" t="s">
        <v>7042</v>
      </c>
      <c r="F404" t="s">
        <v>321</v>
      </c>
      <c r="G404" s="1" t="str">
        <f>HYPERLINK("https://homd.org/jbrowse/?data=homd_V11.02_phage_1.2%2FGCA_000163695.1&amp;loc=GCA_000163695.1%7CGG774890.1%3A5481..12260&amp;tracks=prokka,prokka_ncrna,ncbi,ncbi_ncrna,panggolin,cenote,genomad&amp;highlight=","Open JBrowse")</f>
        <v>Open JBrowse</v>
      </c>
      <c r="H404" s="10">
        <v>8481</v>
      </c>
      <c r="I404" s="10">
        <v>9260</v>
      </c>
      <c r="J404" s="10" t="s">
        <v>322</v>
      </c>
      <c r="K404" s="10" t="s">
        <v>39</v>
      </c>
      <c r="L404" s="10" t="s">
        <v>323</v>
      </c>
      <c r="M404" s="10" t="s">
        <v>324</v>
      </c>
      <c r="N404" s="10" t="s">
        <v>42</v>
      </c>
      <c r="O404" s="10">
        <v>3</v>
      </c>
      <c r="P404" s="10" t="s">
        <v>42</v>
      </c>
      <c r="Q404" s="10" t="s">
        <v>43</v>
      </c>
      <c r="R404" s="10" t="s">
        <v>325</v>
      </c>
      <c r="S404" s="10" t="s">
        <v>323</v>
      </c>
      <c r="T404" s="10" t="s">
        <v>42</v>
      </c>
      <c r="U404" s="10">
        <v>29</v>
      </c>
      <c r="V404" s="10">
        <v>256</v>
      </c>
      <c r="W404" s="10">
        <v>228</v>
      </c>
      <c r="X404" s="10" t="s">
        <v>45</v>
      </c>
      <c r="Y404" s="10" t="s">
        <v>326</v>
      </c>
      <c r="Z404" s="10" t="s">
        <v>292</v>
      </c>
      <c r="AA404" s="10" t="s">
        <v>327</v>
      </c>
      <c r="AB404" s="10"/>
      <c r="AC404" s="10"/>
      <c r="AD404" s="10"/>
      <c r="AE404" s="10"/>
      <c r="AF404" s="10"/>
      <c r="AG404" s="44"/>
      <c r="AH404" s="44"/>
      <c r="AI404" s="44" t="s">
        <v>6052</v>
      </c>
      <c r="AJ404" s="44" t="s">
        <v>6052</v>
      </c>
      <c r="AK404" s="44" t="s">
        <v>6052</v>
      </c>
      <c r="AL404" s="44" t="s">
        <v>6052</v>
      </c>
      <c r="AM404" s="44" t="s">
        <v>6052</v>
      </c>
      <c r="AN404" s="44" t="s">
        <v>32645</v>
      </c>
      <c r="AO404" s="45">
        <v>11</v>
      </c>
      <c r="AP404" s="45">
        <v>1</v>
      </c>
      <c r="AQ404" s="45">
        <v>0</v>
      </c>
      <c r="AR404" s="45">
        <v>0</v>
      </c>
      <c r="AS404" s="45">
        <v>0</v>
      </c>
      <c r="AT404" s="45">
        <v>0</v>
      </c>
      <c r="AU404" s="10" t="s">
        <v>6052</v>
      </c>
      <c r="AV404" s="10" t="s">
        <v>6052</v>
      </c>
      <c r="AW404" s="10" t="s">
        <v>6052</v>
      </c>
      <c r="AX404" s="10" t="s">
        <v>6052</v>
      </c>
      <c r="AY404" s="10" t="s">
        <v>32253</v>
      </c>
      <c r="AZ404" s="44" t="s">
        <v>33116</v>
      </c>
      <c r="BA404" s="44" t="s">
        <v>30952</v>
      </c>
      <c r="BB404" s="44" t="s">
        <v>31393</v>
      </c>
      <c r="BC404" s="44" t="s">
        <v>7040</v>
      </c>
      <c r="BD404" s="44" t="s">
        <v>31726</v>
      </c>
      <c r="BE404" s="11">
        <v>1</v>
      </c>
      <c r="BF404" s="11">
        <v>0</v>
      </c>
      <c r="BG404" s="11">
        <v>0</v>
      </c>
      <c r="BH404" s="10" t="s">
        <v>31932</v>
      </c>
      <c r="BI404" s="11">
        <v>100</v>
      </c>
      <c r="BJ404" s="10" t="s">
        <v>33352</v>
      </c>
      <c r="BK404" s="11">
        <v>100</v>
      </c>
    </row>
    <row r="405" spans="1:63" x14ac:dyDescent="0.75">
      <c r="A405" t="s">
        <v>240</v>
      </c>
      <c r="B405" t="s">
        <v>104</v>
      </c>
      <c r="C405" t="s">
        <v>241</v>
      </c>
      <c r="D405" t="s">
        <v>242</v>
      </c>
      <c r="E405" s="22" t="s">
        <v>6990</v>
      </c>
      <c r="F405" t="s">
        <v>254</v>
      </c>
      <c r="G405" s="1" t="str">
        <f>HYPERLINK("https://homd.org/jbrowse/?data=homd_V11.02_phage_1.2%2FGCA_000162455.1&amp;loc=GCA_000162455.1%7CGG739939.1%3A4389..11051&amp;tracks=prokka,prokka_ncrna,ncbi,ncbi_ncrna,panggolin,cenote,genomad&amp;highlight=","Open JBrowse")</f>
        <v>Open JBrowse</v>
      </c>
      <c r="H405" s="10">
        <v>7389</v>
      </c>
      <c r="I405" s="10">
        <v>8051</v>
      </c>
      <c r="J405" s="10" t="s">
        <v>255</v>
      </c>
      <c r="K405" s="10" t="s">
        <v>59</v>
      </c>
      <c r="L405" s="10" t="s">
        <v>256</v>
      </c>
      <c r="M405" s="10" t="s">
        <v>257</v>
      </c>
      <c r="N405" s="10" t="s">
        <v>59</v>
      </c>
      <c r="O405" s="10">
        <v>2</v>
      </c>
      <c r="P405" s="10" t="s">
        <v>42</v>
      </c>
      <c r="Q405" s="10" t="s">
        <v>59</v>
      </c>
      <c r="R405" s="10" t="s">
        <v>247</v>
      </c>
      <c r="S405" s="10" t="s">
        <v>256</v>
      </c>
      <c r="T405" s="10" t="s">
        <v>42</v>
      </c>
      <c r="U405" s="10">
        <v>3</v>
      </c>
      <c r="V405" s="10">
        <v>214</v>
      </c>
      <c r="W405" s="10">
        <v>212</v>
      </c>
      <c r="X405" s="10" t="s">
        <v>258</v>
      </c>
      <c r="Y405" s="10" t="s">
        <v>259</v>
      </c>
      <c r="Z405" s="10" t="s">
        <v>260</v>
      </c>
      <c r="AA405" s="10" t="s">
        <v>261</v>
      </c>
      <c r="AB405" s="10" t="s">
        <v>262</v>
      </c>
      <c r="AC405" s="10"/>
      <c r="AD405" s="10"/>
      <c r="AE405" s="10"/>
      <c r="AF405" s="10"/>
      <c r="AG405" s="44" t="s">
        <v>263</v>
      </c>
      <c r="AH405" s="44">
        <v>2</v>
      </c>
      <c r="AI405" s="44" t="s">
        <v>6052</v>
      </c>
      <c r="AJ405" s="44" t="s">
        <v>6052</v>
      </c>
      <c r="AK405" s="44" t="s">
        <v>6052</v>
      </c>
      <c r="AL405" s="44" t="s">
        <v>6052</v>
      </c>
      <c r="AM405" s="44" t="s">
        <v>6052</v>
      </c>
      <c r="AN405" s="44" t="s">
        <v>32596</v>
      </c>
      <c r="AO405" s="45">
        <v>11</v>
      </c>
      <c r="AP405" s="45">
        <v>1</v>
      </c>
      <c r="AQ405" s="45">
        <v>0</v>
      </c>
      <c r="AR405" s="45">
        <v>0</v>
      </c>
      <c r="AS405" s="45">
        <v>0</v>
      </c>
      <c r="AT405" s="45">
        <v>0</v>
      </c>
      <c r="AU405" s="10" t="s">
        <v>6052</v>
      </c>
      <c r="AV405" s="10" t="s">
        <v>6052</v>
      </c>
      <c r="AW405" s="10" t="s">
        <v>6052</v>
      </c>
      <c r="AX405" s="10" t="s">
        <v>6052</v>
      </c>
      <c r="AY405" s="10" t="s">
        <v>32253</v>
      </c>
      <c r="AZ405" s="44" t="s">
        <v>33110</v>
      </c>
      <c r="BA405" s="44" t="s">
        <v>30927</v>
      </c>
      <c r="BB405" s="44" t="s">
        <v>31362</v>
      </c>
      <c r="BC405" s="44" t="s">
        <v>6564</v>
      </c>
      <c r="BD405" s="44" t="s">
        <v>31710</v>
      </c>
      <c r="BE405" s="11">
        <v>1</v>
      </c>
      <c r="BF405" s="11">
        <v>0</v>
      </c>
      <c r="BG405" s="11">
        <v>0</v>
      </c>
      <c r="BH405" s="10" t="s">
        <v>32233</v>
      </c>
      <c r="BI405" s="11">
        <v>100</v>
      </c>
      <c r="BJ405" s="10" t="s">
        <v>33462</v>
      </c>
      <c r="BK405" s="11">
        <v>100</v>
      </c>
    </row>
    <row r="406" spans="1:63" x14ac:dyDescent="0.75">
      <c r="A406" t="s">
        <v>297</v>
      </c>
      <c r="B406" t="s">
        <v>104</v>
      </c>
      <c r="C406" t="s">
        <v>153</v>
      </c>
      <c r="D406" t="s">
        <v>154</v>
      </c>
      <c r="E406" s="22" t="s">
        <v>7021</v>
      </c>
      <c r="F406" t="s">
        <v>298</v>
      </c>
      <c r="G406" s="1" t="str">
        <f>HYPERLINK("https://homd.org/jbrowse/?data=homd_V11.02_phage_1.2%2FGCA_000163035.1&amp;loc=GCA_000163035.1%7CGG740010.1%3A439131..446135&amp;tracks=prokka,prokka_ncrna,ncbi,ncbi_ncrna,panggolin,cenote,genomad&amp;highlight=","Open JBrowse")</f>
        <v>Open JBrowse</v>
      </c>
      <c r="H406" s="10">
        <v>442131</v>
      </c>
      <c r="I406" s="10">
        <v>443135</v>
      </c>
      <c r="J406" s="10" t="s">
        <v>299</v>
      </c>
      <c r="K406" s="10" t="s">
        <v>59</v>
      </c>
      <c r="L406" s="10" t="s">
        <v>157</v>
      </c>
      <c r="M406" s="10" t="s">
        <v>158</v>
      </c>
      <c r="N406" s="10" t="s">
        <v>42</v>
      </c>
      <c r="O406" s="10">
        <v>3</v>
      </c>
      <c r="P406" s="10" t="s">
        <v>42</v>
      </c>
      <c r="Q406" s="10" t="s">
        <v>59</v>
      </c>
      <c r="R406" s="10" t="s">
        <v>300</v>
      </c>
      <c r="S406" s="10" t="s">
        <v>157</v>
      </c>
      <c r="T406" s="10" t="s">
        <v>42</v>
      </c>
      <c r="U406" s="10">
        <v>53</v>
      </c>
      <c r="V406" s="10">
        <v>279</v>
      </c>
      <c r="W406" s="10">
        <v>227</v>
      </c>
      <c r="X406" s="10" t="s">
        <v>160</v>
      </c>
      <c r="Y406" s="10" t="s">
        <v>301</v>
      </c>
      <c r="Z406" s="10" t="s">
        <v>302</v>
      </c>
      <c r="AA406" s="10" t="s">
        <v>303</v>
      </c>
      <c r="AB406" s="10" t="s">
        <v>304</v>
      </c>
      <c r="AC406" s="10" t="s">
        <v>164</v>
      </c>
      <c r="AD406" s="10" t="s">
        <v>51</v>
      </c>
      <c r="AE406" s="10">
        <v>186.8</v>
      </c>
      <c r="AF406" s="10" t="s">
        <v>165</v>
      </c>
      <c r="AG406" s="44"/>
      <c r="AH406" s="44"/>
      <c r="AI406" s="44" t="s">
        <v>6052</v>
      </c>
      <c r="AJ406" s="44" t="s">
        <v>6052</v>
      </c>
      <c r="AK406" s="44" t="s">
        <v>6052</v>
      </c>
      <c r="AL406" s="44" t="s">
        <v>6052</v>
      </c>
      <c r="AM406" s="44" t="s">
        <v>6052</v>
      </c>
      <c r="AN406" s="44" t="s">
        <v>32600</v>
      </c>
      <c r="AO406" s="45">
        <v>11</v>
      </c>
      <c r="AP406" s="45">
        <v>1</v>
      </c>
      <c r="AQ406" s="45">
        <v>0</v>
      </c>
      <c r="AR406" s="45">
        <v>0</v>
      </c>
      <c r="AS406" s="45">
        <v>0</v>
      </c>
      <c r="AT406" s="45">
        <v>0</v>
      </c>
      <c r="AU406" s="10" t="s">
        <v>6052</v>
      </c>
      <c r="AV406" s="10" t="s">
        <v>6052</v>
      </c>
      <c r="AW406" s="10" t="s">
        <v>6052</v>
      </c>
      <c r="AX406" s="10" t="s">
        <v>6052</v>
      </c>
      <c r="AY406" s="10" t="s">
        <v>32253</v>
      </c>
      <c r="AZ406" s="44" t="s">
        <v>33117</v>
      </c>
      <c r="BA406" s="44" t="s">
        <v>30928</v>
      </c>
      <c r="BB406" s="44" t="s">
        <v>31364</v>
      </c>
      <c r="BC406" s="44" t="s">
        <v>6594</v>
      </c>
      <c r="BD406" s="44" t="s">
        <v>31708</v>
      </c>
      <c r="BE406" s="11">
        <v>1</v>
      </c>
      <c r="BF406" s="11">
        <v>0</v>
      </c>
      <c r="BG406" s="11">
        <v>0</v>
      </c>
      <c r="BH406" s="10" t="s">
        <v>32065</v>
      </c>
      <c r="BI406" s="11">
        <v>100</v>
      </c>
      <c r="BJ406" s="10" t="s">
        <v>33426</v>
      </c>
      <c r="BK406" s="11">
        <v>95.5</v>
      </c>
    </row>
    <row r="407" spans="1:63" x14ac:dyDescent="0.75">
      <c r="A407" t="s">
        <v>264</v>
      </c>
      <c r="B407" t="s">
        <v>104</v>
      </c>
      <c r="C407" t="s">
        <v>265</v>
      </c>
      <c r="D407" t="s">
        <v>266</v>
      </c>
      <c r="E407" s="22" t="s">
        <v>7010</v>
      </c>
      <c r="F407" t="s">
        <v>267</v>
      </c>
      <c r="G407" s="1" t="str">
        <f>HYPERLINK("https://homd.org/jbrowse/?data=homd_V11.02_phage_1.2%2FGCA_000162895.1&amp;loc=GCA_000162895.1%7CGG703879.1%3A972771..979751&amp;tracks=prokka,prokka_ncrna,ncbi,ncbi_ncrna,panggolin,cenote,genomad&amp;highlight=","Open JBrowse")</f>
        <v>Open JBrowse</v>
      </c>
      <c r="H407" s="10">
        <v>975771</v>
      </c>
      <c r="I407" s="10">
        <v>976751</v>
      </c>
      <c r="J407" s="10" t="s">
        <v>268</v>
      </c>
      <c r="K407" s="10" t="s">
        <v>269</v>
      </c>
      <c r="L407" s="10" t="s">
        <v>270</v>
      </c>
      <c r="M407" s="10" t="s">
        <v>271</v>
      </c>
      <c r="N407" s="10" t="s">
        <v>59</v>
      </c>
      <c r="O407" s="10">
        <v>2</v>
      </c>
      <c r="P407" s="10" t="s">
        <v>42</v>
      </c>
      <c r="Q407" s="10" t="s">
        <v>43</v>
      </c>
      <c r="R407" s="10" t="s">
        <v>272</v>
      </c>
      <c r="S407" s="10" t="s">
        <v>270</v>
      </c>
      <c r="T407" s="10" t="s">
        <v>42</v>
      </c>
      <c r="U407" s="10">
        <v>74</v>
      </c>
      <c r="V407" s="10">
        <v>322</v>
      </c>
      <c r="W407" s="10">
        <v>249</v>
      </c>
      <c r="X407" s="10" t="s">
        <v>273</v>
      </c>
      <c r="Y407" s="10"/>
      <c r="Z407" s="10"/>
      <c r="AA407" s="10"/>
      <c r="AB407" s="10"/>
      <c r="AC407" s="10"/>
      <c r="AD407" s="10"/>
      <c r="AE407" s="10"/>
      <c r="AF407" s="10"/>
      <c r="AG407" s="44"/>
      <c r="AH407" s="44"/>
      <c r="AI407" s="46" t="s">
        <v>6054</v>
      </c>
      <c r="AJ407" s="44" t="s">
        <v>6052</v>
      </c>
      <c r="AK407" s="44" t="s">
        <v>6052</v>
      </c>
      <c r="AL407" s="44" t="s">
        <v>6052</v>
      </c>
      <c r="AM407" s="44" t="s">
        <v>6052</v>
      </c>
      <c r="AN407" s="44" t="s">
        <v>32703</v>
      </c>
      <c r="AO407" s="45">
        <v>11</v>
      </c>
      <c r="AP407" s="45">
        <v>1</v>
      </c>
      <c r="AQ407" s="45">
        <v>0</v>
      </c>
      <c r="AR407" s="45">
        <v>0</v>
      </c>
      <c r="AS407" s="45">
        <v>0</v>
      </c>
      <c r="AT407" s="45">
        <v>0</v>
      </c>
      <c r="AU407" s="10" t="s">
        <v>6052</v>
      </c>
      <c r="AV407" s="10" t="s">
        <v>6052</v>
      </c>
      <c r="AW407" s="10" t="s">
        <v>6052</v>
      </c>
      <c r="AX407" s="10" t="s">
        <v>6052</v>
      </c>
      <c r="AY407" s="10" t="s">
        <v>32253</v>
      </c>
      <c r="AZ407" s="44" t="s">
        <v>33117</v>
      </c>
      <c r="BA407" s="44" t="s">
        <v>30977</v>
      </c>
      <c r="BB407" s="44" t="s">
        <v>31426</v>
      </c>
      <c r="BC407" s="44" t="s">
        <v>7008</v>
      </c>
      <c r="BD407" s="44" t="s">
        <v>31719</v>
      </c>
      <c r="BE407" s="11">
        <v>1</v>
      </c>
      <c r="BF407" s="11">
        <v>0</v>
      </c>
      <c r="BG407" s="11">
        <v>0</v>
      </c>
      <c r="BH407" s="10" t="s">
        <v>32179</v>
      </c>
      <c r="BI407" s="11">
        <v>100</v>
      </c>
      <c r="BJ407" s="10" t="s">
        <v>33353</v>
      </c>
      <c r="BK407" s="11">
        <v>96</v>
      </c>
    </row>
    <row r="408" spans="1:63" x14ac:dyDescent="0.75">
      <c r="A408" t="s">
        <v>359</v>
      </c>
      <c r="B408" t="s">
        <v>104</v>
      </c>
      <c r="C408" t="s">
        <v>360</v>
      </c>
      <c r="D408" t="s">
        <v>361</v>
      </c>
      <c r="E408" s="22" t="s">
        <v>7226</v>
      </c>
      <c r="F408" t="s">
        <v>362</v>
      </c>
      <c r="G408" s="1" t="str">
        <f>HYPERLINK("https://homd.org/jbrowse/?data=homd_V11.02_phage_1.2%2FGCA_000176335.1&amp;loc=GCA_000176335.1%7CADAD01000002.1%3A2199..9380&amp;tracks=prokka,prokka_ncrna,ncbi,ncbi_ncrna,panggolin,cenote,genomad&amp;highlight=","Open JBrowse")</f>
        <v>Open JBrowse</v>
      </c>
      <c r="H408" s="10">
        <v>5199</v>
      </c>
      <c r="I408" s="10">
        <v>6380</v>
      </c>
      <c r="J408" s="10" t="s">
        <v>363</v>
      </c>
      <c r="K408" s="10" t="s">
        <v>59</v>
      </c>
      <c r="L408" s="10" t="s">
        <v>364</v>
      </c>
      <c r="M408" s="10" t="s">
        <v>365</v>
      </c>
      <c r="N408" s="10" t="s">
        <v>42</v>
      </c>
      <c r="O408" s="10">
        <v>3</v>
      </c>
      <c r="P408" s="10" t="s">
        <v>42</v>
      </c>
      <c r="Q408" s="10" t="s">
        <v>59</v>
      </c>
      <c r="R408" s="10" t="s">
        <v>366</v>
      </c>
      <c r="S408" s="10" t="s">
        <v>364</v>
      </c>
      <c r="T408" s="10" t="s">
        <v>42</v>
      </c>
      <c r="U408" s="10">
        <v>137</v>
      </c>
      <c r="V408" s="10">
        <v>390</v>
      </c>
      <c r="W408" s="10">
        <v>254</v>
      </c>
      <c r="X408" s="10" t="s">
        <v>142</v>
      </c>
      <c r="Y408" s="10" t="s">
        <v>367</v>
      </c>
      <c r="Z408" s="10" t="s">
        <v>368</v>
      </c>
      <c r="AA408" s="10" t="s">
        <v>369</v>
      </c>
      <c r="AB408" s="10"/>
      <c r="AC408" s="10"/>
      <c r="AD408" s="10"/>
      <c r="AE408" s="10"/>
      <c r="AF408" s="10"/>
      <c r="AG408" s="44"/>
      <c r="AH408" s="44"/>
      <c r="AI408" s="44" t="s">
        <v>6052</v>
      </c>
      <c r="AJ408" s="44" t="s">
        <v>6052</v>
      </c>
      <c r="AK408" s="44" t="s">
        <v>6052</v>
      </c>
      <c r="AL408" s="44" t="s">
        <v>6052</v>
      </c>
      <c r="AM408" s="44" t="s">
        <v>6052</v>
      </c>
      <c r="AN408" s="44" t="s">
        <v>32668</v>
      </c>
      <c r="AO408" s="45">
        <v>11</v>
      </c>
      <c r="AP408" s="45">
        <v>1</v>
      </c>
      <c r="AQ408" s="45">
        <v>0</v>
      </c>
      <c r="AR408" s="45">
        <v>0</v>
      </c>
      <c r="AS408" s="45">
        <v>0</v>
      </c>
      <c r="AT408" s="45">
        <v>0</v>
      </c>
      <c r="AU408" s="10" t="s">
        <v>6052</v>
      </c>
      <c r="AV408" s="10" t="s">
        <v>6052</v>
      </c>
      <c r="AW408" s="10" t="s">
        <v>6052</v>
      </c>
      <c r="AX408" s="10" t="s">
        <v>6052</v>
      </c>
      <c r="AY408" s="10" t="s">
        <v>32253</v>
      </c>
      <c r="AZ408" s="44" t="s">
        <v>33117</v>
      </c>
      <c r="BA408" s="44" t="s">
        <v>30965</v>
      </c>
      <c r="BB408" s="44" t="s">
        <v>31408</v>
      </c>
      <c r="BC408" s="44" t="s">
        <v>7224</v>
      </c>
      <c r="BD408" s="44" t="s">
        <v>31715</v>
      </c>
      <c r="BE408" s="11">
        <v>1</v>
      </c>
      <c r="BF408" s="11">
        <v>0</v>
      </c>
      <c r="BG408" s="11">
        <v>0</v>
      </c>
      <c r="BH408" s="10" t="s">
        <v>32051</v>
      </c>
      <c r="BI408" s="11">
        <v>100</v>
      </c>
      <c r="BJ408" s="10" t="s">
        <v>33436</v>
      </c>
      <c r="BK408" s="11">
        <v>100</v>
      </c>
    </row>
    <row r="409" spans="1:63" x14ac:dyDescent="0.75">
      <c r="A409" t="s">
        <v>283</v>
      </c>
      <c r="B409" t="s">
        <v>104</v>
      </c>
      <c r="C409" t="s">
        <v>284</v>
      </c>
      <c r="D409" t="s">
        <v>285</v>
      </c>
      <c r="E409" s="22" t="s">
        <v>7019</v>
      </c>
      <c r="F409" t="s">
        <v>286</v>
      </c>
      <c r="G409" s="1" t="str">
        <f>HYPERLINK("https://homd.org/jbrowse/?data=homd_V11.02_phage_1.2%2FGCA_000162955.1&amp;loc=GCA_000162955.1%7CGG700633.1%3A107802..114584&amp;tracks=prokka,prokka_ncrna,ncbi,ncbi_ncrna,panggolin,cenote,genomad&amp;highlight=","Open JBrowse")</f>
        <v>Open JBrowse</v>
      </c>
      <c r="H409" s="10">
        <v>110802</v>
      </c>
      <c r="I409" s="10">
        <v>111584</v>
      </c>
      <c r="J409" s="10" t="s">
        <v>287</v>
      </c>
      <c r="K409" s="10" t="s">
        <v>59</v>
      </c>
      <c r="L409" s="10" t="s">
        <v>288</v>
      </c>
      <c r="M409" s="10" t="s">
        <v>289</v>
      </c>
      <c r="N409" s="10" t="s">
        <v>42</v>
      </c>
      <c r="O409" s="10">
        <v>3</v>
      </c>
      <c r="P409" s="10" t="s">
        <v>42</v>
      </c>
      <c r="Q409" s="10" t="s">
        <v>59</v>
      </c>
      <c r="R409" s="10" t="s">
        <v>290</v>
      </c>
      <c r="S409" s="10" t="s">
        <v>288</v>
      </c>
      <c r="T409" s="10" t="s">
        <v>42</v>
      </c>
      <c r="U409" s="10">
        <v>2</v>
      </c>
      <c r="V409" s="10">
        <v>257</v>
      </c>
      <c r="W409" s="10">
        <v>256</v>
      </c>
      <c r="X409" s="10" t="s">
        <v>142</v>
      </c>
      <c r="Y409" s="10" t="s">
        <v>291</v>
      </c>
      <c r="Z409" s="10" t="s">
        <v>292</v>
      </c>
      <c r="AA409" s="10" t="s">
        <v>293</v>
      </c>
      <c r="AB409" s="10" t="s">
        <v>294</v>
      </c>
      <c r="AC409" s="10" t="s">
        <v>295</v>
      </c>
      <c r="AD409" s="10" t="s">
        <v>183</v>
      </c>
      <c r="AE409" s="10">
        <v>524.70000000000005</v>
      </c>
      <c r="AF409" s="10" t="s">
        <v>296</v>
      </c>
      <c r="AG409" s="44" t="s">
        <v>185</v>
      </c>
      <c r="AH409" s="44">
        <v>2</v>
      </c>
      <c r="AI409" s="44" t="s">
        <v>6052</v>
      </c>
      <c r="AJ409" s="44" t="s">
        <v>6052</v>
      </c>
      <c r="AK409" s="44" t="s">
        <v>6052</v>
      </c>
      <c r="AL409" s="44" t="s">
        <v>6052</v>
      </c>
      <c r="AM409" s="44" t="s">
        <v>6052</v>
      </c>
      <c r="AN409" s="44" t="s">
        <v>32666</v>
      </c>
      <c r="AO409" s="45">
        <v>11</v>
      </c>
      <c r="AP409" s="45">
        <v>1</v>
      </c>
      <c r="AQ409" s="45">
        <v>0</v>
      </c>
      <c r="AR409" s="45">
        <v>0</v>
      </c>
      <c r="AS409" s="45">
        <v>0</v>
      </c>
      <c r="AT409" s="45">
        <v>0</v>
      </c>
      <c r="AU409" s="10" t="s">
        <v>6052</v>
      </c>
      <c r="AV409" s="10" t="s">
        <v>6052</v>
      </c>
      <c r="AW409" s="10" t="s">
        <v>6052</v>
      </c>
      <c r="AX409" s="10" t="s">
        <v>6052</v>
      </c>
      <c r="AY409" s="10" t="s">
        <v>32253</v>
      </c>
      <c r="AZ409" s="44" t="s">
        <v>33110</v>
      </c>
      <c r="BA409" s="44" t="s">
        <v>30963</v>
      </c>
      <c r="BB409" s="44" t="s">
        <v>31406</v>
      </c>
      <c r="BC409" s="44" t="s">
        <v>6425</v>
      </c>
      <c r="BD409" s="44" t="s">
        <v>31709</v>
      </c>
      <c r="BE409" s="11">
        <v>1</v>
      </c>
      <c r="BF409" s="11">
        <v>0</v>
      </c>
      <c r="BG409" s="11">
        <v>0</v>
      </c>
      <c r="BH409" s="10" t="s">
        <v>31998</v>
      </c>
      <c r="BI409" s="11">
        <v>100</v>
      </c>
      <c r="BJ409" s="10" t="s">
        <v>33296</v>
      </c>
      <c r="BK409" s="11">
        <v>100</v>
      </c>
    </row>
    <row r="410" spans="1:63" x14ac:dyDescent="0.75">
      <c r="A410" t="s">
        <v>274</v>
      </c>
      <c r="B410" t="s">
        <v>104</v>
      </c>
      <c r="C410" t="s">
        <v>275</v>
      </c>
      <c r="D410" t="s">
        <v>276</v>
      </c>
      <c r="E410" s="22" t="s">
        <v>7016</v>
      </c>
      <c r="F410" t="s">
        <v>277</v>
      </c>
      <c r="G410" s="1" t="str">
        <f>HYPERLINK("https://homd.org/jbrowse/?data=homd_V11.02_phage_1.2%2FGCA_000162935.1&amp;loc=GCA_000162935.1%7CGG698713.1%3A352076..358924&amp;tracks=prokka,prokka_ncrna,ncbi,ncbi_ncrna,panggolin,cenote,genomad&amp;highlight=","Open JBrowse")</f>
        <v>Open JBrowse</v>
      </c>
      <c r="H410" s="10">
        <v>355076</v>
      </c>
      <c r="I410" s="10">
        <v>355924</v>
      </c>
      <c r="J410" s="10" t="s">
        <v>278</v>
      </c>
      <c r="K410" s="10" t="s">
        <v>59</v>
      </c>
      <c r="L410" s="10" t="s">
        <v>157</v>
      </c>
      <c r="M410" s="10" t="s">
        <v>158</v>
      </c>
      <c r="N410" s="10" t="s">
        <v>42</v>
      </c>
      <c r="O410" s="10">
        <v>3</v>
      </c>
      <c r="P410" s="10" t="s">
        <v>42</v>
      </c>
      <c r="Q410" s="10" t="s">
        <v>59</v>
      </c>
      <c r="R410" s="10" t="s">
        <v>279</v>
      </c>
      <c r="S410" s="10" t="s">
        <v>157</v>
      </c>
      <c r="T410" s="10" t="s">
        <v>42</v>
      </c>
      <c r="U410" s="10">
        <v>53</v>
      </c>
      <c r="V410" s="10">
        <v>279</v>
      </c>
      <c r="W410" s="10">
        <v>227</v>
      </c>
      <c r="X410" s="10" t="s">
        <v>160</v>
      </c>
      <c r="Y410" s="10" t="s">
        <v>280</v>
      </c>
      <c r="Z410" s="10" t="s">
        <v>281</v>
      </c>
      <c r="AA410" s="10" t="s">
        <v>282</v>
      </c>
      <c r="AB410" s="10"/>
      <c r="AC410" s="10"/>
      <c r="AD410" s="10"/>
      <c r="AE410" s="10"/>
      <c r="AF410" s="10"/>
      <c r="AG410" s="44"/>
      <c r="AH410" s="44"/>
      <c r="AI410" s="44" t="s">
        <v>6052</v>
      </c>
      <c r="AJ410" s="44" t="s">
        <v>6052</v>
      </c>
      <c r="AK410" s="44" t="s">
        <v>6052</v>
      </c>
      <c r="AL410" s="44" t="s">
        <v>6052</v>
      </c>
      <c r="AM410" s="44" t="s">
        <v>6052</v>
      </c>
      <c r="AN410" s="44" t="s">
        <v>32701</v>
      </c>
      <c r="AO410" s="45">
        <v>11</v>
      </c>
      <c r="AP410" s="45">
        <v>1</v>
      </c>
      <c r="AQ410" s="45">
        <v>0</v>
      </c>
      <c r="AR410" s="45">
        <v>0</v>
      </c>
      <c r="AS410" s="45">
        <v>0</v>
      </c>
      <c r="AT410" s="45">
        <v>0</v>
      </c>
      <c r="AU410" s="10" t="s">
        <v>6052</v>
      </c>
      <c r="AV410" s="10" t="s">
        <v>6052</v>
      </c>
      <c r="AW410" s="10" t="s">
        <v>6052</v>
      </c>
      <c r="AX410" s="10" t="s">
        <v>6052</v>
      </c>
      <c r="AY410" s="10" t="s">
        <v>32253</v>
      </c>
      <c r="AZ410" s="44" t="s">
        <v>33117</v>
      </c>
      <c r="BA410" s="44" t="s">
        <v>30975</v>
      </c>
      <c r="BB410" s="44" t="s">
        <v>31424</v>
      </c>
      <c r="BC410" s="44" t="s">
        <v>6594</v>
      </c>
      <c r="BD410" s="44" t="s">
        <v>31708</v>
      </c>
      <c r="BE410" s="11">
        <v>1</v>
      </c>
      <c r="BF410" s="11">
        <v>0</v>
      </c>
      <c r="BG410" s="11">
        <v>0</v>
      </c>
      <c r="BH410" s="10" t="s">
        <v>32140</v>
      </c>
      <c r="BI410" s="11">
        <v>100</v>
      </c>
      <c r="BJ410" s="10" t="s">
        <v>33435</v>
      </c>
      <c r="BK410" s="11">
        <v>100</v>
      </c>
    </row>
    <row r="411" spans="1:63" x14ac:dyDescent="0.75">
      <c r="A411" t="s">
        <v>222</v>
      </c>
      <c r="B411" t="s">
        <v>104</v>
      </c>
      <c r="C411" t="s">
        <v>223</v>
      </c>
      <c r="D411" t="s">
        <v>224</v>
      </c>
      <c r="E411" s="22" t="s">
        <v>6929</v>
      </c>
      <c r="F411" t="s">
        <v>229</v>
      </c>
      <c r="G411" s="1" t="str">
        <f>HYPERLINK("https://homd.org/jbrowse/?data=homd_V11.02_phage_1.2%2FGCA_000160655.1&amp;loc=GCA_000160655.1%7CGG694032.1%3A1..8014&amp;tracks=prokka,prokka_ncrna,ncbi,ncbi_ncrna,panggolin,cenote,genomad&amp;highlight=","Open JBrowse")</f>
        <v>Open JBrowse</v>
      </c>
      <c r="H411" s="10">
        <v>2</v>
      </c>
      <c r="I411" s="10">
        <v>5014</v>
      </c>
      <c r="J411" s="10" t="s">
        <v>230</v>
      </c>
      <c r="K411" s="10" t="s">
        <v>231</v>
      </c>
      <c r="L411" s="10" t="s">
        <v>232</v>
      </c>
      <c r="M411" s="10" t="s">
        <v>233</v>
      </c>
      <c r="N411" s="10" t="s">
        <v>227</v>
      </c>
      <c r="O411" s="10">
        <v>3</v>
      </c>
      <c r="P411" s="10" t="s">
        <v>234</v>
      </c>
      <c r="Q411" s="10" t="s">
        <v>235</v>
      </c>
      <c r="R411" s="10" t="s">
        <v>228</v>
      </c>
      <c r="S411" s="10" t="s">
        <v>236</v>
      </c>
      <c r="T411" s="10" t="s">
        <v>42</v>
      </c>
      <c r="U411" s="10">
        <v>149</v>
      </c>
      <c r="V411" s="10">
        <v>405</v>
      </c>
      <c r="W411" s="10">
        <v>257</v>
      </c>
      <c r="X411" s="10" t="s">
        <v>237</v>
      </c>
      <c r="Y411" s="10"/>
      <c r="Z411" s="10"/>
      <c r="AA411" s="10"/>
      <c r="AB411" s="10"/>
      <c r="AC411" s="10"/>
      <c r="AD411" s="10"/>
      <c r="AE411" s="10"/>
      <c r="AF411" s="10"/>
      <c r="AG411" s="44"/>
      <c r="AH411" s="44"/>
      <c r="AI411" s="46" t="s">
        <v>6054</v>
      </c>
      <c r="AJ411" s="44" t="s">
        <v>6052</v>
      </c>
      <c r="AK411" s="44" t="s">
        <v>6052</v>
      </c>
      <c r="AL411" s="44" t="s">
        <v>6052</v>
      </c>
      <c r="AM411" s="44" t="s">
        <v>6052</v>
      </c>
      <c r="AN411" s="44" t="s">
        <v>32524</v>
      </c>
      <c r="AO411" s="45">
        <v>11</v>
      </c>
      <c r="AP411" s="45">
        <v>1</v>
      </c>
      <c r="AQ411" s="45">
        <v>0</v>
      </c>
      <c r="AR411" s="45">
        <v>0</v>
      </c>
      <c r="AS411" s="45">
        <v>0</v>
      </c>
      <c r="AT411" s="45">
        <v>0</v>
      </c>
      <c r="AU411" s="10" t="s">
        <v>6052</v>
      </c>
      <c r="AV411" s="10" t="s">
        <v>6052</v>
      </c>
      <c r="AW411" s="10" t="s">
        <v>6052</v>
      </c>
      <c r="AX411" s="10" t="s">
        <v>6052</v>
      </c>
      <c r="AY411" s="10" t="s">
        <v>32253</v>
      </c>
      <c r="AZ411" s="44" t="s">
        <v>33110</v>
      </c>
      <c r="BA411" s="44" t="s">
        <v>30897</v>
      </c>
      <c r="BB411" s="44" t="s">
        <v>31317</v>
      </c>
      <c r="BC411" s="44" t="s">
        <v>6927</v>
      </c>
      <c r="BD411" s="44" t="s">
        <v>31721</v>
      </c>
      <c r="BE411" s="11">
        <v>1</v>
      </c>
      <c r="BF411" s="11">
        <v>0</v>
      </c>
      <c r="BG411" s="11">
        <v>0</v>
      </c>
      <c r="BH411" s="10" t="s">
        <v>31928</v>
      </c>
      <c r="BI411" s="11">
        <v>98.6</v>
      </c>
      <c r="BJ411" s="10" t="s">
        <v>33290</v>
      </c>
      <c r="BK411" s="11">
        <v>100</v>
      </c>
    </row>
    <row r="412" spans="1:63" x14ac:dyDescent="0.75">
      <c r="A412" t="s">
        <v>348</v>
      </c>
      <c r="B412" t="s">
        <v>104</v>
      </c>
      <c r="C412" t="s">
        <v>349</v>
      </c>
      <c r="D412" t="s">
        <v>350</v>
      </c>
      <c r="E412" s="22" t="s">
        <v>7172</v>
      </c>
      <c r="F412" t="s">
        <v>351</v>
      </c>
      <c r="G412" s="1" t="str">
        <f>HYPERLINK("https://homd.org/jbrowse/?data=homd_V11.02_phage_1.2%2FGCA_000174755.1&amp;loc=GCA_000174755.1%7CACLQ01000010.1%3A81431..88249&amp;tracks=prokka,prokka_ncrna,ncbi,ncbi_ncrna,panggolin,cenote,genomad&amp;highlight=","Open JBrowse")</f>
        <v>Open JBrowse</v>
      </c>
      <c r="H412" s="10">
        <v>84431</v>
      </c>
      <c r="I412" s="10">
        <v>85249</v>
      </c>
      <c r="J412" s="10" t="s">
        <v>352</v>
      </c>
      <c r="K412" s="10" t="s">
        <v>39</v>
      </c>
      <c r="L412" s="10" t="s">
        <v>353</v>
      </c>
      <c r="M412" s="10" t="s">
        <v>354</v>
      </c>
      <c r="N412" s="10" t="s">
        <v>42</v>
      </c>
      <c r="O412" s="10">
        <v>3</v>
      </c>
      <c r="P412" s="10" t="s">
        <v>42</v>
      </c>
      <c r="Q412" s="10" t="s">
        <v>43</v>
      </c>
      <c r="R412" s="10" t="s">
        <v>355</v>
      </c>
      <c r="S412" s="10" t="s">
        <v>353</v>
      </c>
      <c r="T412" s="10" t="s">
        <v>42</v>
      </c>
      <c r="U412" s="10">
        <v>37</v>
      </c>
      <c r="V412" s="10">
        <v>269</v>
      </c>
      <c r="W412" s="10">
        <v>233</v>
      </c>
      <c r="X412" s="10" t="s">
        <v>45</v>
      </c>
      <c r="Y412" s="10" t="s">
        <v>356</v>
      </c>
      <c r="Z412" s="10" t="s">
        <v>357</v>
      </c>
      <c r="AA412" s="10" t="s">
        <v>358</v>
      </c>
      <c r="AB412" s="10"/>
      <c r="AC412" s="10"/>
      <c r="AD412" s="10"/>
      <c r="AE412" s="10"/>
      <c r="AF412" s="10"/>
      <c r="AG412" s="44"/>
      <c r="AH412" s="44"/>
      <c r="AI412" s="44" t="s">
        <v>6052</v>
      </c>
      <c r="AJ412" s="44" t="s">
        <v>6052</v>
      </c>
      <c r="AK412" s="44" t="s">
        <v>6052</v>
      </c>
      <c r="AL412" s="44" t="s">
        <v>6052</v>
      </c>
      <c r="AM412" s="44" t="s">
        <v>6052</v>
      </c>
      <c r="AN412" s="44" t="s">
        <v>32534</v>
      </c>
      <c r="AO412" s="45">
        <v>11</v>
      </c>
      <c r="AP412" s="45">
        <v>1</v>
      </c>
      <c r="AQ412" s="45">
        <v>0</v>
      </c>
      <c r="AR412" s="45">
        <v>0</v>
      </c>
      <c r="AS412" s="45">
        <v>0</v>
      </c>
      <c r="AT412" s="45">
        <v>0</v>
      </c>
      <c r="AU412" s="10" t="s">
        <v>6052</v>
      </c>
      <c r="AV412" s="10" t="s">
        <v>6052</v>
      </c>
      <c r="AW412" s="10" t="s">
        <v>6052</v>
      </c>
      <c r="AX412" s="10" t="s">
        <v>6052</v>
      </c>
      <c r="AY412" s="10" t="s">
        <v>32253</v>
      </c>
      <c r="AZ412" s="44" t="s">
        <v>33116</v>
      </c>
      <c r="BA412" s="44" t="s">
        <v>30901</v>
      </c>
      <c r="BB412" s="44" t="s">
        <v>31322</v>
      </c>
      <c r="BC412" s="44" t="s">
        <v>6415</v>
      </c>
      <c r="BD412" s="44" t="s">
        <v>31707</v>
      </c>
      <c r="BE412" s="11">
        <v>1</v>
      </c>
      <c r="BF412" s="11">
        <v>0</v>
      </c>
      <c r="BG412" s="11">
        <v>0</v>
      </c>
      <c r="BH412" s="10" t="s">
        <v>31931</v>
      </c>
      <c r="BI412" s="11">
        <v>100</v>
      </c>
      <c r="BJ412" s="10" t="s">
        <v>33220</v>
      </c>
      <c r="BK412" s="11">
        <v>100</v>
      </c>
    </row>
    <row r="413" spans="1:63" x14ac:dyDescent="0.75">
      <c r="A413" t="s">
        <v>328</v>
      </c>
      <c r="B413" t="s">
        <v>104</v>
      </c>
      <c r="C413" t="s">
        <v>329</v>
      </c>
      <c r="D413" t="s">
        <v>330</v>
      </c>
      <c r="E413" s="22" t="s">
        <v>7116</v>
      </c>
      <c r="F413" t="s">
        <v>341</v>
      </c>
      <c r="G413" s="1" t="str">
        <f>HYPERLINK("https://homd.org/jbrowse/?data=homd_V11.02_phage_1.2%2FGCA_000173675.1&amp;loc=GCA_000173675.1%7CABZV01000007.1%3A129072..135899&amp;tracks=prokka,prokka_ncrna,ncbi,ncbi_ncrna,panggolin,cenote,genomad&amp;highlight=","Open JBrowse")</f>
        <v>Open JBrowse</v>
      </c>
      <c r="H413" s="10">
        <v>132072</v>
      </c>
      <c r="I413" s="10">
        <v>132899</v>
      </c>
      <c r="J413" s="10" t="s">
        <v>342</v>
      </c>
      <c r="K413" s="10" t="s">
        <v>39</v>
      </c>
      <c r="L413" s="10" t="s">
        <v>343</v>
      </c>
      <c r="M413" s="10" t="s">
        <v>344</v>
      </c>
      <c r="N413" s="10" t="s">
        <v>42</v>
      </c>
      <c r="O413" s="10">
        <v>3</v>
      </c>
      <c r="P413" s="10" t="s">
        <v>42</v>
      </c>
      <c r="Q413" s="10" t="s">
        <v>43</v>
      </c>
      <c r="R413" s="10" t="s">
        <v>334</v>
      </c>
      <c r="S413" s="10" t="s">
        <v>343</v>
      </c>
      <c r="T413" s="10" t="s">
        <v>42</v>
      </c>
      <c r="U413" s="10">
        <v>38</v>
      </c>
      <c r="V413" s="10">
        <v>270</v>
      </c>
      <c r="W413" s="10">
        <v>233</v>
      </c>
      <c r="X413" s="10" t="s">
        <v>45</v>
      </c>
      <c r="Y413" s="10" t="s">
        <v>345</v>
      </c>
      <c r="Z413" s="10" t="s">
        <v>346</v>
      </c>
      <c r="AA413" s="10" t="s">
        <v>347</v>
      </c>
      <c r="AB413" s="10"/>
      <c r="AC413" s="10"/>
      <c r="AD413" s="10"/>
      <c r="AE413" s="10"/>
      <c r="AF413" s="10"/>
      <c r="AG413" s="44"/>
      <c r="AH413" s="44"/>
      <c r="AI413" s="44" t="s">
        <v>6052</v>
      </c>
      <c r="AJ413" s="44" t="s">
        <v>6052</v>
      </c>
      <c r="AK413" s="44" t="s">
        <v>6052</v>
      </c>
      <c r="AL413" s="44" t="s">
        <v>6052</v>
      </c>
      <c r="AM413" s="44" t="s">
        <v>6052</v>
      </c>
      <c r="AN413" s="44" t="s">
        <v>32563</v>
      </c>
      <c r="AO413" s="45">
        <v>11</v>
      </c>
      <c r="AP413" s="45">
        <v>1</v>
      </c>
      <c r="AQ413" s="45">
        <v>0</v>
      </c>
      <c r="AR413" s="45">
        <v>0</v>
      </c>
      <c r="AS413" s="45">
        <v>0</v>
      </c>
      <c r="AT413" s="45">
        <v>0</v>
      </c>
      <c r="AU413" s="10" t="s">
        <v>6052</v>
      </c>
      <c r="AV413" s="10" t="s">
        <v>6052</v>
      </c>
      <c r="AW413" s="10" t="s">
        <v>6052</v>
      </c>
      <c r="AX413" s="10" t="s">
        <v>6052</v>
      </c>
      <c r="AY413" s="10" t="s">
        <v>32253</v>
      </c>
      <c r="AZ413" s="44" t="s">
        <v>33116</v>
      </c>
      <c r="BA413" s="44" t="s">
        <v>30915</v>
      </c>
      <c r="BB413" s="44" t="s">
        <v>31343</v>
      </c>
      <c r="BC413" s="44" t="s">
        <v>6415</v>
      </c>
      <c r="BD413" s="44" t="s">
        <v>31707</v>
      </c>
      <c r="BE413" s="11">
        <v>1</v>
      </c>
      <c r="BF413" s="11">
        <v>0</v>
      </c>
      <c r="BG413" s="11">
        <v>0</v>
      </c>
      <c r="BH413" s="10" t="s">
        <v>31881</v>
      </c>
      <c r="BI413" s="11">
        <v>100</v>
      </c>
      <c r="BJ413" s="10" t="s">
        <v>33279</v>
      </c>
      <c r="BK413" s="11">
        <v>100</v>
      </c>
    </row>
    <row r="414" spans="1:63" x14ac:dyDescent="0.75">
      <c r="A414" t="s">
        <v>4173</v>
      </c>
      <c r="B414" t="s">
        <v>104</v>
      </c>
      <c r="C414" t="s">
        <v>392</v>
      </c>
      <c r="D414" t="s">
        <v>393</v>
      </c>
      <c r="E414" s="22" t="s">
        <v>7332</v>
      </c>
      <c r="F414" t="s">
        <v>4174</v>
      </c>
      <c r="G414" s="1" t="str">
        <f>HYPERLINK("https://homd.org/jbrowse/?data=homd_V11.02_phage_1.2%2FGCA_023169925.1&amp;loc=GCA_023169925.1%7CAP025590.1%3A572965..579825&amp;tracks=prokka,prokka_ncrna,ncbi,ncbi_ncrna,panggolin,cenote,genomad&amp;highlight=","Open JBrowse")</f>
        <v>Open JBrowse</v>
      </c>
      <c r="H414" s="10">
        <v>575965</v>
      </c>
      <c r="I414" s="10">
        <v>576825</v>
      </c>
      <c r="J414" s="10" t="s">
        <v>4175</v>
      </c>
      <c r="K414" s="10" t="s">
        <v>59</v>
      </c>
      <c r="L414" s="10" t="s">
        <v>396</v>
      </c>
      <c r="M414" s="10" t="s">
        <v>397</v>
      </c>
      <c r="N414" s="10" t="s">
        <v>398</v>
      </c>
      <c r="O414" s="10">
        <v>3</v>
      </c>
      <c r="P414" s="10" t="s">
        <v>42</v>
      </c>
      <c r="Q414" s="10" t="s">
        <v>59</v>
      </c>
      <c r="R414" s="10" t="s">
        <v>4176</v>
      </c>
      <c r="S414" s="10" t="s">
        <v>396</v>
      </c>
      <c r="T414" s="10" t="s">
        <v>42</v>
      </c>
      <c r="U414" s="10">
        <v>46</v>
      </c>
      <c r="V414" s="10">
        <v>282</v>
      </c>
      <c r="W414" s="10">
        <v>237</v>
      </c>
      <c r="X414" s="10" t="s">
        <v>400</v>
      </c>
      <c r="Y414" s="10" t="s">
        <v>4177</v>
      </c>
      <c r="Z414" s="10" t="s">
        <v>547</v>
      </c>
      <c r="AA414" s="10" t="s">
        <v>3163</v>
      </c>
      <c r="AB414" s="10"/>
      <c r="AC414" s="10"/>
      <c r="AD414" s="10"/>
      <c r="AE414" s="10"/>
      <c r="AF414" s="10"/>
      <c r="AG414" s="44"/>
      <c r="AH414" s="44"/>
      <c r="AI414" s="44" t="s">
        <v>6052</v>
      </c>
      <c r="AJ414" s="44" t="s">
        <v>6052</v>
      </c>
      <c r="AK414" s="44" t="s">
        <v>6052</v>
      </c>
      <c r="AL414" s="44" t="s">
        <v>6052</v>
      </c>
      <c r="AM414" s="44" t="s">
        <v>6052</v>
      </c>
      <c r="AN414" s="44" t="s">
        <v>32871</v>
      </c>
      <c r="AO414" s="45">
        <v>11</v>
      </c>
      <c r="AP414" s="45">
        <v>1</v>
      </c>
      <c r="AQ414" s="45">
        <v>0</v>
      </c>
      <c r="AR414" s="45">
        <v>0</v>
      </c>
      <c r="AS414" s="45">
        <v>0</v>
      </c>
      <c r="AT414" s="45">
        <v>0</v>
      </c>
      <c r="AU414" s="10" t="s">
        <v>6052</v>
      </c>
      <c r="AV414" s="10" t="s">
        <v>6052</v>
      </c>
      <c r="AW414" s="10" t="s">
        <v>6052</v>
      </c>
      <c r="AX414" s="10" t="s">
        <v>6052</v>
      </c>
      <c r="AY414" s="10" t="s">
        <v>32253</v>
      </c>
      <c r="AZ414" s="44" t="s">
        <v>33118</v>
      </c>
      <c r="BA414" s="44" t="s">
        <v>31061</v>
      </c>
      <c r="BB414" s="44" t="s">
        <v>31547</v>
      </c>
      <c r="BC414" s="44" t="s">
        <v>7190</v>
      </c>
      <c r="BD414" s="44" t="s">
        <v>31712</v>
      </c>
      <c r="BE414" s="11">
        <v>1</v>
      </c>
      <c r="BF414" s="11">
        <v>0</v>
      </c>
      <c r="BG414" s="11">
        <v>0</v>
      </c>
      <c r="BH414" s="10" t="s">
        <v>33183</v>
      </c>
      <c r="BI414" s="11">
        <v>100</v>
      </c>
      <c r="BJ414" s="10" t="s">
        <v>33184</v>
      </c>
      <c r="BK414" s="11">
        <v>100</v>
      </c>
    </row>
    <row r="415" spans="1:63" x14ac:dyDescent="0.75">
      <c r="A415" t="s">
        <v>2426</v>
      </c>
      <c r="B415" t="s">
        <v>104</v>
      </c>
      <c r="C415" t="s">
        <v>2427</v>
      </c>
      <c r="D415" t="s">
        <v>2428</v>
      </c>
      <c r="E415" s="22" t="s">
        <v>17200</v>
      </c>
      <c r="F415" t="s">
        <v>2429</v>
      </c>
      <c r="G415" s="1" t="str">
        <f>HYPERLINK("https://homd.org/jbrowse/?data=homd_V11.02_phage_1.2%2FGCA_007990635.1&amp;loc=GCA_007990635.1%7CAP019846.1%3A73172..80188&amp;tracks=prokka,prokka_ncrna,ncbi,ncbi_ncrna,panggolin,cenote,genomad&amp;highlight=","Open JBrowse")</f>
        <v>Open JBrowse</v>
      </c>
      <c r="H415" s="10">
        <v>76172</v>
      </c>
      <c r="I415" s="10">
        <v>77188</v>
      </c>
      <c r="J415" s="10" t="s">
        <v>2430</v>
      </c>
      <c r="K415" s="10" t="s">
        <v>59</v>
      </c>
      <c r="L415" s="10" t="s">
        <v>2431</v>
      </c>
      <c r="M415" s="10" t="s">
        <v>2432</v>
      </c>
      <c r="N415" s="10" t="s">
        <v>42</v>
      </c>
      <c r="O415" s="10">
        <v>3</v>
      </c>
      <c r="P415" s="10" t="s">
        <v>42</v>
      </c>
      <c r="Q415" s="10" t="s">
        <v>59</v>
      </c>
      <c r="R415" s="10" t="s">
        <v>2433</v>
      </c>
      <c r="S415" s="10" t="s">
        <v>2431</v>
      </c>
      <c r="T415" s="10" t="s">
        <v>42</v>
      </c>
      <c r="U415" s="10">
        <v>80</v>
      </c>
      <c r="V415" s="10">
        <v>335</v>
      </c>
      <c r="W415" s="10">
        <v>256</v>
      </c>
      <c r="X415" s="10" t="s">
        <v>142</v>
      </c>
      <c r="Y415" s="10" t="s">
        <v>2434</v>
      </c>
      <c r="Z415" s="10" t="s">
        <v>645</v>
      </c>
      <c r="AA415" s="10" t="s">
        <v>2435</v>
      </c>
      <c r="AB415" s="10"/>
      <c r="AC415" s="10"/>
      <c r="AD415" s="10"/>
      <c r="AE415" s="10"/>
      <c r="AF415" s="10"/>
      <c r="AG415" s="44"/>
      <c r="AH415" s="44"/>
      <c r="AI415" s="44" t="s">
        <v>6052</v>
      </c>
      <c r="AJ415" s="44" t="s">
        <v>6052</v>
      </c>
      <c r="AK415" s="44" t="s">
        <v>6052</v>
      </c>
      <c r="AL415" s="44" t="s">
        <v>6052</v>
      </c>
      <c r="AM415" s="44" t="s">
        <v>6052</v>
      </c>
      <c r="AN415" s="44" t="s">
        <v>32869</v>
      </c>
      <c r="AO415" s="45">
        <v>11</v>
      </c>
      <c r="AP415" s="45">
        <v>1</v>
      </c>
      <c r="AQ415" s="45">
        <v>0</v>
      </c>
      <c r="AR415" s="45">
        <v>0</v>
      </c>
      <c r="AS415" s="45">
        <v>0</v>
      </c>
      <c r="AT415" s="45">
        <v>0</v>
      </c>
      <c r="AU415" s="10" t="s">
        <v>6052</v>
      </c>
      <c r="AV415" s="10" t="s">
        <v>6052</v>
      </c>
      <c r="AW415" s="10" t="s">
        <v>6052</v>
      </c>
      <c r="AX415" s="10" t="s">
        <v>6052</v>
      </c>
      <c r="AY415" s="10" t="s">
        <v>32253</v>
      </c>
      <c r="AZ415" s="44" t="s">
        <v>33117</v>
      </c>
      <c r="BA415" s="44" t="s">
        <v>31060</v>
      </c>
      <c r="BB415" s="44" t="s">
        <v>31545</v>
      </c>
      <c r="BC415" s="44" t="s">
        <v>6425</v>
      </c>
      <c r="BD415" s="44" t="s">
        <v>31709</v>
      </c>
      <c r="BE415" s="11">
        <v>1</v>
      </c>
      <c r="BF415" s="11">
        <v>0</v>
      </c>
      <c r="BG415" s="11">
        <v>0</v>
      </c>
      <c r="BH415" s="10" t="s">
        <v>31985</v>
      </c>
      <c r="BI415" s="11">
        <v>100</v>
      </c>
      <c r="BJ415" s="10" t="s">
        <v>33298</v>
      </c>
      <c r="BK415" s="11">
        <v>100</v>
      </c>
    </row>
    <row r="416" spans="1:63" x14ac:dyDescent="0.75">
      <c r="A416" t="s">
        <v>2404</v>
      </c>
      <c r="B416" t="s">
        <v>104</v>
      </c>
      <c r="C416" t="s">
        <v>2405</v>
      </c>
      <c r="D416" t="s">
        <v>1069</v>
      </c>
      <c r="E416" s="22" t="s">
        <v>17192</v>
      </c>
      <c r="F416" t="s">
        <v>2406</v>
      </c>
      <c r="G416" s="1" t="str">
        <f>HYPERLINK("https://homd.org/jbrowse/?data=homd_V11.02_phage_1.2%2FGCA_007990445.1&amp;loc=GCA_007990445.1%7CAP019841.1%3A2240924..2247940&amp;tracks=prokka,prokka_ncrna,ncbi,ncbi_ncrna,panggolin,cenote,genomad&amp;highlight=","Open JBrowse")</f>
        <v>Open JBrowse</v>
      </c>
      <c r="H416" s="10">
        <v>2243924</v>
      </c>
      <c r="I416" s="10">
        <v>2244940</v>
      </c>
      <c r="J416" s="10" t="s">
        <v>2407</v>
      </c>
      <c r="K416" s="10" t="s">
        <v>59</v>
      </c>
      <c r="L416" s="10" t="s">
        <v>877</v>
      </c>
      <c r="M416" s="10" t="s">
        <v>878</v>
      </c>
      <c r="N416" s="10" t="s">
        <v>42</v>
      </c>
      <c r="O416" s="10">
        <v>3</v>
      </c>
      <c r="P416" s="10" t="s">
        <v>42</v>
      </c>
      <c r="Q416" s="10" t="s">
        <v>59</v>
      </c>
      <c r="R416" s="10" t="s">
        <v>2408</v>
      </c>
      <c r="S416" s="10" t="s">
        <v>877</v>
      </c>
      <c r="T416" s="10" t="s">
        <v>42</v>
      </c>
      <c r="U416" s="10">
        <v>79</v>
      </c>
      <c r="V416" s="10">
        <v>335</v>
      </c>
      <c r="W416" s="10">
        <v>257</v>
      </c>
      <c r="X416" s="10" t="s">
        <v>142</v>
      </c>
      <c r="Y416" s="10"/>
      <c r="Z416" s="10"/>
      <c r="AA416" s="10"/>
      <c r="AB416" s="10"/>
      <c r="AC416" s="10"/>
      <c r="AD416" s="10"/>
      <c r="AE416" s="10"/>
      <c r="AF416" s="10"/>
      <c r="AG416" s="44"/>
      <c r="AH416" s="44"/>
      <c r="AI416" s="46" t="s">
        <v>6054</v>
      </c>
      <c r="AJ416" s="44" t="s">
        <v>6052</v>
      </c>
      <c r="AK416" s="44" t="s">
        <v>6052</v>
      </c>
      <c r="AL416" s="44" t="s">
        <v>6052</v>
      </c>
      <c r="AM416" s="44" t="s">
        <v>6052</v>
      </c>
      <c r="AN416" s="44" t="s">
        <v>32868</v>
      </c>
      <c r="AO416" s="45">
        <v>11</v>
      </c>
      <c r="AP416" s="45">
        <v>1</v>
      </c>
      <c r="AQ416" s="45">
        <v>0</v>
      </c>
      <c r="AR416" s="45">
        <v>0</v>
      </c>
      <c r="AS416" s="45">
        <v>0</v>
      </c>
      <c r="AT416" s="45">
        <v>0</v>
      </c>
      <c r="AU416" s="10" t="s">
        <v>6052</v>
      </c>
      <c r="AV416" s="10" t="s">
        <v>6052</v>
      </c>
      <c r="AW416" s="10" t="s">
        <v>6052</v>
      </c>
      <c r="AX416" s="10" t="s">
        <v>6052</v>
      </c>
      <c r="AY416" s="10" t="s">
        <v>32253</v>
      </c>
      <c r="AZ416" s="44" t="s">
        <v>33117</v>
      </c>
      <c r="BA416" s="44" t="s">
        <v>31059</v>
      </c>
      <c r="BB416" s="44" t="s">
        <v>31544</v>
      </c>
      <c r="BC416" s="44" t="s">
        <v>6425</v>
      </c>
      <c r="BD416" s="44" t="s">
        <v>31709</v>
      </c>
      <c r="BE416" s="11">
        <v>1</v>
      </c>
      <c r="BF416" s="11">
        <v>0</v>
      </c>
      <c r="BG416" s="11">
        <v>0</v>
      </c>
      <c r="BH416" s="10" t="s">
        <v>31861</v>
      </c>
      <c r="BI416" s="11">
        <v>100</v>
      </c>
      <c r="BJ416" s="10" t="s">
        <v>33301</v>
      </c>
      <c r="BK416" s="11">
        <v>100</v>
      </c>
    </row>
    <row r="417" spans="1:63" x14ac:dyDescent="0.75">
      <c r="A417" t="s">
        <v>2398</v>
      </c>
      <c r="B417" t="s">
        <v>104</v>
      </c>
      <c r="C417" t="s">
        <v>873</v>
      </c>
      <c r="D417" t="s">
        <v>874</v>
      </c>
      <c r="E417" s="22" t="s">
        <v>17189</v>
      </c>
      <c r="F417" t="s">
        <v>2399</v>
      </c>
      <c r="G417" s="1" t="str">
        <f>HYPERLINK("https://homd.org/jbrowse/?data=homd_V11.02_phage_1.2%2FGCA_007990405.1&amp;loc=GCA_007990405.1%7CAP019835.1%3A2309094..2316110&amp;tracks=prokka,prokka_ncrna,ncbi,ncbi_ncrna,panggolin,cenote,genomad&amp;highlight=","Open JBrowse")</f>
        <v>Open JBrowse</v>
      </c>
      <c r="H417" s="10">
        <v>2312094</v>
      </c>
      <c r="I417" s="10">
        <v>2313110</v>
      </c>
      <c r="J417" s="10" t="s">
        <v>2400</v>
      </c>
      <c r="K417" s="10" t="s">
        <v>59</v>
      </c>
      <c r="L417" s="10" t="s">
        <v>877</v>
      </c>
      <c r="M417" s="10" t="s">
        <v>878</v>
      </c>
      <c r="N417" s="10" t="s">
        <v>42</v>
      </c>
      <c r="O417" s="10">
        <v>3</v>
      </c>
      <c r="P417" s="10" t="s">
        <v>42</v>
      </c>
      <c r="Q417" s="10" t="s">
        <v>59</v>
      </c>
      <c r="R417" s="10" t="s">
        <v>2401</v>
      </c>
      <c r="S417" s="10" t="s">
        <v>877</v>
      </c>
      <c r="T417" s="10" t="s">
        <v>42</v>
      </c>
      <c r="U417" s="10">
        <v>79</v>
      </c>
      <c r="V417" s="10">
        <v>335</v>
      </c>
      <c r="W417" s="10">
        <v>257</v>
      </c>
      <c r="X417" s="10" t="s">
        <v>142</v>
      </c>
      <c r="Y417" s="10" t="s">
        <v>2402</v>
      </c>
      <c r="Z417" s="10" t="s">
        <v>118</v>
      </c>
      <c r="AA417" s="10" t="s">
        <v>2403</v>
      </c>
      <c r="AB417" s="10"/>
      <c r="AC417" s="10"/>
      <c r="AD417" s="10"/>
      <c r="AE417" s="10"/>
      <c r="AF417" s="10"/>
      <c r="AG417" s="44"/>
      <c r="AH417" s="44"/>
      <c r="AI417" s="44" t="s">
        <v>6052</v>
      </c>
      <c r="AJ417" s="44" t="s">
        <v>6052</v>
      </c>
      <c r="AK417" s="44" t="s">
        <v>6052</v>
      </c>
      <c r="AL417" s="44" t="s">
        <v>6052</v>
      </c>
      <c r="AM417" s="44" t="s">
        <v>6052</v>
      </c>
      <c r="AN417" s="44" t="s">
        <v>32867</v>
      </c>
      <c r="AO417" s="45">
        <v>11</v>
      </c>
      <c r="AP417" s="45">
        <v>1</v>
      </c>
      <c r="AQ417" s="45">
        <v>0</v>
      </c>
      <c r="AR417" s="45">
        <v>0</v>
      </c>
      <c r="AS417" s="45">
        <v>0</v>
      </c>
      <c r="AT417" s="45">
        <v>0</v>
      </c>
      <c r="AU417" s="10" t="s">
        <v>6052</v>
      </c>
      <c r="AV417" s="10" t="s">
        <v>6052</v>
      </c>
      <c r="AW417" s="10" t="s">
        <v>6052</v>
      </c>
      <c r="AX417" s="10" t="s">
        <v>6052</v>
      </c>
      <c r="AY417" s="10" t="s">
        <v>32253</v>
      </c>
      <c r="AZ417" s="44" t="s">
        <v>33117</v>
      </c>
      <c r="BA417" s="44" t="s">
        <v>31058</v>
      </c>
      <c r="BB417" s="44" t="s">
        <v>31543</v>
      </c>
      <c r="BC417" s="44" t="s">
        <v>6425</v>
      </c>
      <c r="BD417" s="44" t="s">
        <v>31709</v>
      </c>
      <c r="BE417" s="11">
        <v>1</v>
      </c>
      <c r="BF417" s="11">
        <v>0</v>
      </c>
      <c r="BG417" s="11">
        <v>0</v>
      </c>
      <c r="BH417" s="10" t="s">
        <v>31845</v>
      </c>
      <c r="BI417" s="11">
        <v>100</v>
      </c>
      <c r="BJ417" s="10" t="s">
        <v>33317</v>
      </c>
      <c r="BK417" s="11">
        <v>100</v>
      </c>
    </row>
    <row r="418" spans="1:63" x14ac:dyDescent="0.75">
      <c r="A418" t="s">
        <v>2389</v>
      </c>
      <c r="B418" t="s">
        <v>104</v>
      </c>
      <c r="C418" t="s">
        <v>873</v>
      </c>
      <c r="D418" t="s">
        <v>874</v>
      </c>
      <c r="E418" s="22" t="s">
        <v>17187</v>
      </c>
      <c r="F418" t="s">
        <v>2390</v>
      </c>
      <c r="G418" s="1" t="str">
        <f>HYPERLINK("https://homd.org/jbrowse/?data=homd_V11.02_phage_1.2%2FGCA_007990385.1&amp;loc=GCA_007990385.1%7CAP019834.1%3A2237174..2244190&amp;tracks=prokka,prokka_ncrna,ncbi,ncbi_ncrna,panggolin,cenote,genomad&amp;highlight=","Open JBrowse")</f>
        <v>Open JBrowse</v>
      </c>
      <c r="H418" s="10">
        <v>2240174</v>
      </c>
      <c r="I418" s="10">
        <v>2241190</v>
      </c>
      <c r="J418" s="10" t="s">
        <v>2395</v>
      </c>
      <c r="K418" s="10" t="s">
        <v>59</v>
      </c>
      <c r="L418" s="10" t="s">
        <v>877</v>
      </c>
      <c r="M418" s="10" t="s">
        <v>878</v>
      </c>
      <c r="N418" s="10" t="s">
        <v>42</v>
      </c>
      <c r="O418" s="10">
        <v>3</v>
      </c>
      <c r="P418" s="10" t="s">
        <v>42</v>
      </c>
      <c r="Q418" s="10" t="s">
        <v>59</v>
      </c>
      <c r="R418" s="10" t="s">
        <v>2392</v>
      </c>
      <c r="S418" s="10" t="s">
        <v>877</v>
      </c>
      <c r="T418" s="10" t="s">
        <v>42</v>
      </c>
      <c r="U418" s="10">
        <v>79</v>
      </c>
      <c r="V418" s="10">
        <v>335</v>
      </c>
      <c r="W418" s="10">
        <v>257</v>
      </c>
      <c r="X418" s="10" t="s">
        <v>142</v>
      </c>
      <c r="Y418" s="10" t="s">
        <v>2396</v>
      </c>
      <c r="Z418" s="10" t="s">
        <v>743</v>
      </c>
      <c r="AA418" s="10" t="s">
        <v>2397</v>
      </c>
      <c r="AB418" s="10"/>
      <c r="AC418" s="10"/>
      <c r="AD418" s="10"/>
      <c r="AE418" s="10"/>
      <c r="AF418" s="10"/>
      <c r="AG418" s="44"/>
      <c r="AH418" s="44"/>
      <c r="AI418" s="44" t="s">
        <v>6052</v>
      </c>
      <c r="AJ418" s="44" t="s">
        <v>6052</v>
      </c>
      <c r="AK418" s="44" t="s">
        <v>6052</v>
      </c>
      <c r="AL418" s="44" t="s">
        <v>6052</v>
      </c>
      <c r="AM418" s="44" t="s">
        <v>6052</v>
      </c>
      <c r="AN418" s="44" t="s">
        <v>32865</v>
      </c>
      <c r="AO418" s="45">
        <v>11</v>
      </c>
      <c r="AP418" s="45">
        <v>1</v>
      </c>
      <c r="AQ418" s="45">
        <v>0</v>
      </c>
      <c r="AR418" s="45">
        <v>0</v>
      </c>
      <c r="AS418" s="45">
        <v>0</v>
      </c>
      <c r="AT418" s="45">
        <v>0</v>
      </c>
      <c r="AU418" s="10" t="s">
        <v>6052</v>
      </c>
      <c r="AV418" s="10" t="s">
        <v>6052</v>
      </c>
      <c r="AW418" s="10" t="s">
        <v>6052</v>
      </c>
      <c r="AX418" s="10" t="s">
        <v>6052</v>
      </c>
      <c r="AY418" s="10" t="s">
        <v>32253</v>
      </c>
      <c r="AZ418" s="44" t="s">
        <v>33117</v>
      </c>
      <c r="BA418" s="44" t="s">
        <v>31057</v>
      </c>
      <c r="BB418" s="44" t="s">
        <v>31541</v>
      </c>
      <c r="BC418" s="44" t="s">
        <v>6425</v>
      </c>
      <c r="BD418" s="44" t="s">
        <v>31709</v>
      </c>
      <c r="BE418" s="11">
        <v>1</v>
      </c>
      <c r="BF418" s="11">
        <v>0</v>
      </c>
      <c r="BG418" s="11">
        <v>0</v>
      </c>
      <c r="BH418" s="10" t="s">
        <v>31855</v>
      </c>
      <c r="BI418" s="11">
        <v>100</v>
      </c>
      <c r="BJ418" s="10" t="s">
        <v>33316</v>
      </c>
      <c r="BK418" s="11">
        <v>100</v>
      </c>
    </row>
    <row r="419" spans="1:63" x14ac:dyDescent="0.75">
      <c r="A419" t="s">
        <v>2389</v>
      </c>
      <c r="B419" t="s">
        <v>104</v>
      </c>
      <c r="C419" t="s">
        <v>873</v>
      </c>
      <c r="D419" t="s">
        <v>874</v>
      </c>
      <c r="E419" s="22" t="s">
        <v>17187</v>
      </c>
      <c r="F419" t="s">
        <v>2390</v>
      </c>
      <c r="G419" s="1" t="str">
        <f>HYPERLINK("https://homd.org/jbrowse/?data=homd_V11.02_phage_1.2%2FGCA_007990385.1&amp;loc=GCA_007990385.1%7CAP019834.1%3A151509..158645&amp;tracks=prokka,prokka_ncrna,ncbi,ncbi_ncrna,panggolin,cenote,genomad&amp;highlight=","Open JBrowse")</f>
        <v>Open JBrowse</v>
      </c>
      <c r="H419" s="10">
        <v>154509</v>
      </c>
      <c r="I419" s="10">
        <v>155645</v>
      </c>
      <c r="J419" s="10" t="s">
        <v>2391</v>
      </c>
      <c r="K419" s="10" t="s">
        <v>59</v>
      </c>
      <c r="L419" s="10" t="s">
        <v>1528</v>
      </c>
      <c r="M419" s="10" t="s">
        <v>1529</v>
      </c>
      <c r="N419" s="10" t="s">
        <v>42</v>
      </c>
      <c r="O419" s="10">
        <v>3</v>
      </c>
      <c r="P419" s="10" t="s">
        <v>42</v>
      </c>
      <c r="Q419" s="10" t="s">
        <v>59</v>
      </c>
      <c r="R419" s="10" t="s">
        <v>2392</v>
      </c>
      <c r="S419" s="10" t="s">
        <v>1528</v>
      </c>
      <c r="T419" s="10" t="s">
        <v>42</v>
      </c>
      <c r="U419" s="10">
        <v>120</v>
      </c>
      <c r="V419" s="10">
        <v>375</v>
      </c>
      <c r="W419" s="10">
        <v>256</v>
      </c>
      <c r="X419" s="10" t="s">
        <v>142</v>
      </c>
      <c r="Y419" s="10" t="s">
        <v>2393</v>
      </c>
      <c r="Z419" s="10" t="s">
        <v>47</v>
      </c>
      <c r="AA419" s="10" t="s">
        <v>2394</v>
      </c>
      <c r="AB419" s="10"/>
      <c r="AC419" s="10"/>
      <c r="AD419" s="10"/>
      <c r="AE419" s="10"/>
      <c r="AF419" s="10"/>
      <c r="AG419" s="44"/>
      <c r="AH419" s="44"/>
      <c r="AI419" s="44" t="s">
        <v>6052</v>
      </c>
      <c r="AJ419" s="44" t="s">
        <v>6052</v>
      </c>
      <c r="AK419" s="44" t="s">
        <v>6052</v>
      </c>
      <c r="AL419" s="44" t="s">
        <v>6052</v>
      </c>
      <c r="AM419" s="44" t="s">
        <v>6052</v>
      </c>
      <c r="AN419" s="44" t="s">
        <v>32866</v>
      </c>
      <c r="AO419" s="45">
        <v>11</v>
      </c>
      <c r="AP419" s="45">
        <v>1</v>
      </c>
      <c r="AQ419" s="45">
        <v>0</v>
      </c>
      <c r="AR419" s="45">
        <v>0</v>
      </c>
      <c r="AS419" s="45">
        <v>0</v>
      </c>
      <c r="AT419" s="45">
        <v>0</v>
      </c>
      <c r="AU419" s="10" t="s">
        <v>6052</v>
      </c>
      <c r="AV419" s="10" t="s">
        <v>6052</v>
      </c>
      <c r="AW419" s="10" t="s">
        <v>6052</v>
      </c>
      <c r="AX419" s="10" t="s">
        <v>6052</v>
      </c>
      <c r="AY419" s="10" t="s">
        <v>32253</v>
      </c>
      <c r="AZ419" s="44" t="s">
        <v>33116</v>
      </c>
      <c r="BA419" s="44" t="s">
        <v>31057</v>
      </c>
      <c r="BB419" s="44" t="s">
        <v>31542</v>
      </c>
      <c r="BC419" s="44" t="s">
        <v>6425</v>
      </c>
      <c r="BD419" s="44" t="s">
        <v>31709</v>
      </c>
      <c r="BE419" s="11">
        <v>1</v>
      </c>
      <c r="BF419" s="11">
        <v>0</v>
      </c>
      <c r="BG419" s="11">
        <v>0</v>
      </c>
      <c r="BH419" s="10" t="s">
        <v>32005</v>
      </c>
      <c r="BI419" s="11">
        <v>100</v>
      </c>
      <c r="BJ419" s="10" t="s">
        <v>33315</v>
      </c>
      <c r="BK419" s="11">
        <v>100</v>
      </c>
    </row>
    <row r="420" spans="1:63" x14ac:dyDescent="0.75">
      <c r="A420" t="s">
        <v>2421</v>
      </c>
      <c r="B420" t="s">
        <v>104</v>
      </c>
      <c r="C420" t="s">
        <v>873</v>
      </c>
      <c r="D420" t="s">
        <v>874</v>
      </c>
      <c r="E420" s="22" t="s">
        <v>17198</v>
      </c>
      <c r="F420" t="s">
        <v>2422</v>
      </c>
      <c r="G420" s="1" t="str">
        <f>HYPERLINK("https://homd.org/jbrowse/?data=homd_V11.02_phage_1.2%2FGCA_007990545.2&amp;loc=GCA_007990545.2%7CAP019829.2%3A2196187..2203203&amp;tracks=prokka,prokka_ncrna,ncbi,ncbi_ncrna,panggolin,cenote,genomad&amp;highlight=","Open JBrowse")</f>
        <v>Open JBrowse</v>
      </c>
      <c r="H420" s="10">
        <v>2199187</v>
      </c>
      <c r="I420" s="10">
        <v>2200203</v>
      </c>
      <c r="J420" s="10" t="s">
        <v>2423</v>
      </c>
      <c r="K420" s="10" t="s">
        <v>59</v>
      </c>
      <c r="L420" s="10" t="s">
        <v>877</v>
      </c>
      <c r="M420" s="10" t="s">
        <v>878</v>
      </c>
      <c r="N420" s="10" t="s">
        <v>42</v>
      </c>
      <c r="O420" s="10">
        <v>3</v>
      </c>
      <c r="P420" s="10" t="s">
        <v>42</v>
      </c>
      <c r="Q420" s="10" t="s">
        <v>59</v>
      </c>
      <c r="R420" s="10" t="s">
        <v>2424</v>
      </c>
      <c r="S420" s="10" t="s">
        <v>877</v>
      </c>
      <c r="T420" s="10" t="s">
        <v>42</v>
      </c>
      <c r="U420" s="10">
        <v>79</v>
      </c>
      <c r="V420" s="10">
        <v>335</v>
      </c>
      <c r="W420" s="10">
        <v>257</v>
      </c>
      <c r="X420" s="10" t="s">
        <v>142</v>
      </c>
      <c r="Y420" s="10" t="s">
        <v>2425</v>
      </c>
      <c r="Z420" s="10" t="s">
        <v>904</v>
      </c>
      <c r="AA420" s="10" t="s">
        <v>2403</v>
      </c>
      <c r="AB420" s="10"/>
      <c r="AC420" s="10"/>
      <c r="AD420" s="10"/>
      <c r="AE420" s="10"/>
      <c r="AF420" s="10"/>
      <c r="AG420" s="44"/>
      <c r="AH420" s="44"/>
      <c r="AI420" s="44" t="s">
        <v>6052</v>
      </c>
      <c r="AJ420" s="44" t="s">
        <v>6052</v>
      </c>
      <c r="AK420" s="44" t="s">
        <v>6052</v>
      </c>
      <c r="AL420" s="44" t="s">
        <v>6052</v>
      </c>
      <c r="AM420" s="44" t="s">
        <v>6052</v>
      </c>
      <c r="AN420" s="44" t="s">
        <v>32834</v>
      </c>
      <c r="AO420" s="45">
        <v>11</v>
      </c>
      <c r="AP420" s="45">
        <v>1</v>
      </c>
      <c r="AQ420" s="45">
        <v>0</v>
      </c>
      <c r="AR420" s="45">
        <v>0</v>
      </c>
      <c r="AS420" s="45">
        <v>0</v>
      </c>
      <c r="AT420" s="45">
        <v>0</v>
      </c>
      <c r="AU420" s="10" t="s">
        <v>6052</v>
      </c>
      <c r="AV420" s="10" t="s">
        <v>6052</v>
      </c>
      <c r="AW420" s="10" t="s">
        <v>6052</v>
      </c>
      <c r="AX420" s="10" t="s">
        <v>6052</v>
      </c>
      <c r="AY420" s="10" t="s">
        <v>32253</v>
      </c>
      <c r="AZ420" s="44" t="s">
        <v>33117</v>
      </c>
      <c r="BA420" s="44" t="s">
        <v>31032</v>
      </c>
      <c r="BB420" s="44" t="s">
        <v>31511</v>
      </c>
      <c r="BC420" s="44" t="s">
        <v>6425</v>
      </c>
      <c r="BD420" s="44" t="s">
        <v>31709</v>
      </c>
      <c r="BE420" s="11">
        <v>1</v>
      </c>
      <c r="BF420" s="11">
        <v>0</v>
      </c>
      <c r="BG420" s="11">
        <v>0</v>
      </c>
      <c r="BH420" s="10" t="s">
        <v>31846</v>
      </c>
      <c r="BI420" s="11">
        <v>100</v>
      </c>
      <c r="BJ420" s="10" t="s">
        <v>33314</v>
      </c>
      <c r="BK420" s="11">
        <v>100</v>
      </c>
    </row>
    <row r="421" spans="1:63" x14ac:dyDescent="0.75">
      <c r="A421" t="s">
        <v>2499</v>
      </c>
      <c r="B421" t="s">
        <v>104</v>
      </c>
      <c r="C421" t="s">
        <v>853</v>
      </c>
      <c r="D421" t="s">
        <v>854</v>
      </c>
      <c r="E421" s="22" t="s">
        <v>17312</v>
      </c>
      <c r="F421" t="s">
        <v>2500</v>
      </c>
      <c r="G421" s="1" t="str">
        <f>HYPERLINK("https://homd.org/jbrowse/?data=homd_V11.02_phage_1.2%2FGCA_008327825.1&amp;loc=GCA_008327825.1%7CAP019827.1%3A105240..112259&amp;tracks=prokka,prokka_ncrna,ncbi,ncbi_ncrna,panggolin,cenote,genomad&amp;highlight=","Open JBrowse")</f>
        <v>Open JBrowse</v>
      </c>
      <c r="H421" s="10">
        <v>108240</v>
      </c>
      <c r="I421" s="10">
        <v>109259</v>
      </c>
      <c r="J421" s="10" t="s">
        <v>2501</v>
      </c>
      <c r="K421" s="10" t="s">
        <v>59</v>
      </c>
      <c r="L421" s="10" t="s">
        <v>857</v>
      </c>
      <c r="M421" s="10" t="s">
        <v>858</v>
      </c>
      <c r="N421" s="10" t="s">
        <v>42</v>
      </c>
      <c r="O421" s="10">
        <v>3</v>
      </c>
      <c r="P421" s="10" t="s">
        <v>42</v>
      </c>
      <c r="Q421" s="10" t="s">
        <v>59</v>
      </c>
      <c r="R421" s="10" t="s">
        <v>2502</v>
      </c>
      <c r="S421" s="10" t="s">
        <v>857</v>
      </c>
      <c r="T421" s="10" t="s">
        <v>42</v>
      </c>
      <c r="U421" s="10">
        <v>80</v>
      </c>
      <c r="V421" s="10">
        <v>336</v>
      </c>
      <c r="W421" s="10">
        <v>257</v>
      </c>
      <c r="X421" s="10" t="s">
        <v>142</v>
      </c>
      <c r="Y421" s="10" t="s">
        <v>2503</v>
      </c>
      <c r="Z421" s="10" t="s">
        <v>47</v>
      </c>
      <c r="AA421" s="10" t="s">
        <v>1083</v>
      </c>
      <c r="AB421" s="10"/>
      <c r="AC421" s="10"/>
      <c r="AD421" s="10"/>
      <c r="AE421" s="10"/>
      <c r="AF421" s="10"/>
      <c r="AG421" s="44"/>
      <c r="AH421" s="44"/>
      <c r="AI421" s="44" t="s">
        <v>6052</v>
      </c>
      <c r="AJ421" s="44" t="s">
        <v>6052</v>
      </c>
      <c r="AK421" s="44" t="s">
        <v>6052</v>
      </c>
      <c r="AL421" s="44" t="s">
        <v>6052</v>
      </c>
      <c r="AM421" s="44" t="s">
        <v>6052</v>
      </c>
      <c r="AN421" s="44" t="s">
        <v>32833</v>
      </c>
      <c r="AO421" s="45">
        <v>11</v>
      </c>
      <c r="AP421" s="45">
        <v>1</v>
      </c>
      <c r="AQ421" s="45">
        <v>0</v>
      </c>
      <c r="AR421" s="45">
        <v>0</v>
      </c>
      <c r="AS421" s="45">
        <v>0</v>
      </c>
      <c r="AT421" s="45">
        <v>0</v>
      </c>
      <c r="AU421" s="10" t="s">
        <v>6052</v>
      </c>
      <c r="AV421" s="10" t="s">
        <v>6052</v>
      </c>
      <c r="AW421" s="10" t="s">
        <v>6052</v>
      </c>
      <c r="AX421" s="10" t="s">
        <v>6052</v>
      </c>
      <c r="AY421" s="10" t="s">
        <v>32253</v>
      </c>
      <c r="AZ421" s="44" t="s">
        <v>33116</v>
      </c>
      <c r="BA421" s="44" t="s">
        <v>31031</v>
      </c>
      <c r="BB421" s="44" t="s">
        <v>31510</v>
      </c>
      <c r="BC421" s="44" t="s">
        <v>6425</v>
      </c>
      <c r="BD421" s="44" t="s">
        <v>31709</v>
      </c>
      <c r="BE421" s="11">
        <v>1</v>
      </c>
      <c r="BF421" s="11">
        <v>0</v>
      </c>
      <c r="BG421" s="11">
        <v>0</v>
      </c>
      <c r="BH421" s="10" t="s">
        <v>31851</v>
      </c>
      <c r="BI421" s="11">
        <v>100</v>
      </c>
      <c r="BJ421" s="10" t="s">
        <v>33300</v>
      </c>
      <c r="BK421" s="11">
        <v>100</v>
      </c>
    </row>
    <row r="422" spans="1:63" x14ac:dyDescent="0.75">
      <c r="A422" t="s">
        <v>2414</v>
      </c>
      <c r="B422" t="s">
        <v>104</v>
      </c>
      <c r="C422" t="s">
        <v>284</v>
      </c>
      <c r="D422" t="s">
        <v>285</v>
      </c>
      <c r="E422" s="22" t="s">
        <v>17196</v>
      </c>
      <c r="F422" t="s">
        <v>2415</v>
      </c>
      <c r="G422" s="1" t="str">
        <f>HYPERLINK("https://homd.org/jbrowse/?data=homd_V11.02_phage_1.2%2FGCA_007990525.1&amp;loc=GCA_007990525.1%7CAP019823.1%3A2365307..2372332&amp;tracks=prokka,prokka_ncrna,ncbi,ncbi_ncrna,panggolin,cenote,genomad&amp;highlight=","Open JBrowse")</f>
        <v>Open JBrowse</v>
      </c>
      <c r="H422" s="10">
        <v>2368307</v>
      </c>
      <c r="I422" s="10">
        <v>2369332</v>
      </c>
      <c r="J422" s="10" t="s">
        <v>2416</v>
      </c>
      <c r="K422" s="10" t="s">
        <v>59</v>
      </c>
      <c r="L422" s="10" t="s">
        <v>1013</v>
      </c>
      <c r="M422" s="10" t="s">
        <v>1014</v>
      </c>
      <c r="N422" s="10" t="s">
        <v>42</v>
      </c>
      <c r="O422" s="10">
        <v>3</v>
      </c>
      <c r="P422" s="10" t="s">
        <v>42</v>
      </c>
      <c r="Q422" s="10" t="s">
        <v>59</v>
      </c>
      <c r="R422" s="10" t="s">
        <v>2417</v>
      </c>
      <c r="S422" s="10" t="s">
        <v>1013</v>
      </c>
      <c r="T422" s="10" t="s">
        <v>42</v>
      </c>
      <c r="U422" s="10">
        <v>83</v>
      </c>
      <c r="V422" s="10">
        <v>338</v>
      </c>
      <c r="W422" s="10">
        <v>256</v>
      </c>
      <c r="X422" s="10" t="s">
        <v>142</v>
      </c>
      <c r="Y422" s="10" t="s">
        <v>2418</v>
      </c>
      <c r="Z422" s="10" t="s">
        <v>743</v>
      </c>
      <c r="AA422" s="10" t="s">
        <v>2419</v>
      </c>
      <c r="AB422" s="10" t="s">
        <v>2420</v>
      </c>
      <c r="AC422" s="10" t="s">
        <v>295</v>
      </c>
      <c r="AD422" s="10" t="s">
        <v>183</v>
      </c>
      <c r="AE422" s="10">
        <v>601</v>
      </c>
      <c r="AF422" s="10" t="s">
        <v>296</v>
      </c>
      <c r="AG422" s="44"/>
      <c r="AH422" s="44"/>
      <c r="AI422" s="44" t="s">
        <v>6052</v>
      </c>
      <c r="AJ422" s="44" t="s">
        <v>6052</v>
      </c>
      <c r="AK422" s="44" t="s">
        <v>6052</v>
      </c>
      <c r="AL422" s="44" t="s">
        <v>6052</v>
      </c>
      <c r="AM422" s="44" t="s">
        <v>6052</v>
      </c>
      <c r="AN422" s="44" t="s">
        <v>32832</v>
      </c>
      <c r="AO422" s="45">
        <v>11</v>
      </c>
      <c r="AP422" s="45">
        <v>1</v>
      </c>
      <c r="AQ422" s="45">
        <v>0</v>
      </c>
      <c r="AR422" s="45">
        <v>0</v>
      </c>
      <c r="AS422" s="45">
        <v>0</v>
      </c>
      <c r="AT422" s="45">
        <v>0</v>
      </c>
      <c r="AU422" s="10" t="s">
        <v>6052</v>
      </c>
      <c r="AV422" s="10" t="s">
        <v>6052</v>
      </c>
      <c r="AW422" s="10" t="s">
        <v>6052</v>
      </c>
      <c r="AX422" s="10" t="s">
        <v>6052</v>
      </c>
      <c r="AY422" s="10" t="s">
        <v>32253</v>
      </c>
      <c r="AZ422" s="44" t="s">
        <v>33117</v>
      </c>
      <c r="BA422" s="44" t="s">
        <v>31030</v>
      </c>
      <c r="BB422" s="44" t="s">
        <v>31509</v>
      </c>
      <c r="BC422" s="44" t="s">
        <v>6425</v>
      </c>
      <c r="BD422" s="44" t="s">
        <v>31709</v>
      </c>
      <c r="BE422" s="11">
        <v>1</v>
      </c>
      <c r="BF422" s="11">
        <v>0</v>
      </c>
      <c r="BG422" s="11">
        <v>0</v>
      </c>
      <c r="BH422" s="10" t="s">
        <v>31957</v>
      </c>
      <c r="BI422" s="11">
        <v>100</v>
      </c>
      <c r="BJ422" s="10" t="s">
        <v>33295</v>
      </c>
      <c r="BK422" s="11">
        <v>100</v>
      </c>
    </row>
    <row r="423" spans="1:63" x14ac:dyDescent="0.75">
      <c r="A423" t="s">
        <v>2409</v>
      </c>
      <c r="B423" t="s">
        <v>104</v>
      </c>
      <c r="C423" t="s">
        <v>360</v>
      </c>
      <c r="D423" t="s">
        <v>361</v>
      </c>
      <c r="E423" s="22" t="s">
        <v>17194</v>
      </c>
      <c r="F423" t="s">
        <v>2410</v>
      </c>
      <c r="G423" s="1" t="str">
        <f>HYPERLINK("https://homd.org/jbrowse/?data=homd_V11.02_phage_1.2%2FGCA_007990505.1&amp;loc=GCA_007990505.1%7CAP019822.1%3A2256355..2263362&amp;tracks=prokka,prokka_ncrna,ncbi,ncbi_ncrna,panggolin,cenote,genomad&amp;highlight=","Open JBrowse")</f>
        <v>Open JBrowse</v>
      </c>
      <c r="H423" s="10">
        <v>2259355</v>
      </c>
      <c r="I423" s="10">
        <v>2260362</v>
      </c>
      <c r="J423" s="10" t="s">
        <v>2411</v>
      </c>
      <c r="K423" s="10" t="s">
        <v>59</v>
      </c>
      <c r="L423" s="10" t="s">
        <v>1190</v>
      </c>
      <c r="M423" s="10" t="s">
        <v>1191</v>
      </c>
      <c r="N423" s="10" t="s">
        <v>42</v>
      </c>
      <c r="O423" s="10">
        <v>3</v>
      </c>
      <c r="P423" s="10" t="s">
        <v>42</v>
      </c>
      <c r="Q423" s="10" t="s">
        <v>59</v>
      </c>
      <c r="R423" s="10" t="s">
        <v>2412</v>
      </c>
      <c r="S423" s="10" t="s">
        <v>1190</v>
      </c>
      <c r="T423" s="10" t="s">
        <v>42</v>
      </c>
      <c r="U423" s="10">
        <v>79</v>
      </c>
      <c r="V423" s="10">
        <v>332</v>
      </c>
      <c r="W423" s="10">
        <v>254</v>
      </c>
      <c r="X423" s="10" t="s">
        <v>142</v>
      </c>
      <c r="Y423" s="10" t="s">
        <v>2413</v>
      </c>
      <c r="Z423" s="10" t="s">
        <v>824</v>
      </c>
      <c r="AA423" s="10" t="s">
        <v>1194</v>
      </c>
      <c r="AB423" s="10"/>
      <c r="AC423" s="10"/>
      <c r="AD423" s="10"/>
      <c r="AE423" s="10"/>
      <c r="AF423" s="10"/>
      <c r="AG423" s="44"/>
      <c r="AH423" s="44"/>
      <c r="AI423" s="44" t="s">
        <v>6052</v>
      </c>
      <c r="AJ423" s="44" t="s">
        <v>6052</v>
      </c>
      <c r="AK423" s="44" t="s">
        <v>6052</v>
      </c>
      <c r="AL423" s="44" t="s">
        <v>6052</v>
      </c>
      <c r="AM423" s="44" t="s">
        <v>6052</v>
      </c>
      <c r="AN423" s="44" t="s">
        <v>32831</v>
      </c>
      <c r="AO423" s="45">
        <v>11</v>
      </c>
      <c r="AP423" s="45">
        <v>1</v>
      </c>
      <c r="AQ423" s="45">
        <v>0</v>
      </c>
      <c r="AR423" s="45">
        <v>0</v>
      </c>
      <c r="AS423" s="45">
        <v>0</v>
      </c>
      <c r="AT423" s="45">
        <v>0</v>
      </c>
      <c r="AU423" s="10" t="s">
        <v>6052</v>
      </c>
      <c r="AV423" s="10" t="s">
        <v>6052</v>
      </c>
      <c r="AW423" s="10" t="s">
        <v>6052</v>
      </c>
      <c r="AX423" s="10" t="s">
        <v>6052</v>
      </c>
      <c r="AY423" s="10" t="s">
        <v>32253</v>
      </c>
      <c r="AZ423" s="44" t="s">
        <v>33117</v>
      </c>
      <c r="BA423" s="44" t="s">
        <v>31029</v>
      </c>
      <c r="BB423" s="44" t="s">
        <v>31508</v>
      </c>
      <c r="BC423" s="44" t="s">
        <v>7224</v>
      </c>
      <c r="BD423" s="44" t="s">
        <v>31715</v>
      </c>
      <c r="BE423" s="11">
        <v>1</v>
      </c>
      <c r="BF423" s="11">
        <v>0</v>
      </c>
      <c r="BG423" s="11">
        <v>0</v>
      </c>
      <c r="BH423" s="10" t="s">
        <v>32039</v>
      </c>
      <c r="BI423" s="11">
        <v>100</v>
      </c>
      <c r="BJ423" s="10" t="s">
        <v>33437</v>
      </c>
      <c r="BK423" s="11">
        <v>100</v>
      </c>
    </row>
    <row r="424" spans="1:63" x14ac:dyDescent="0.75">
      <c r="A424" t="s">
        <v>2188</v>
      </c>
      <c r="B424" t="s">
        <v>104</v>
      </c>
      <c r="C424" t="s">
        <v>153</v>
      </c>
      <c r="D424" t="s">
        <v>154</v>
      </c>
      <c r="E424" s="22" t="s">
        <v>15873</v>
      </c>
      <c r="F424" t="s">
        <v>2189</v>
      </c>
      <c r="G424" s="1" t="str">
        <f>HYPERLINK("https://homd.org/jbrowse/?data=homd_V11.02_phage_1.2%2FGCA_003609775.1&amp;loc=GCA_003609775.1%7CAP018049.1%3A1678673..1685677&amp;tracks=prokka,prokka_ncrna,ncbi,ncbi_ncrna,panggolin,cenote,genomad&amp;highlight=","Open JBrowse")</f>
        <v>Open JBrowse</v>
      </c>
      <c r="H424" s="10">
        <v>1681673</v>
      </c>
      <c r="I424" s="10">
        <v>1682677</v>
      </c>
      <c r="J424" s="10" t="s">
        <v>2190</v>
      </c>
      <c r="K424" s="10" t="s">
        <v>59</v>
      </c>
      <c r="L424" s="10" t="s">
        <v>157</v>
      </c>
      <c r="M424" s="10" t="s">
        <v>158</v>
      </c>
      <c r="N424" s="10" t="s">
        <v>42</v>
      </c>
      <c r="O424" s="10">
        <v>3</v>
      </c>
      <c r="P424" s="10" t="s">
        <v>42</v>
      </c>
      <c r="Q424" s="10" t="s">
        <v>59</v>
      </c>
      <c r="R424" s="10" t="s">
        <v>2191</v>
      </c>
      <c r="S424" s="10" t="s">
        <v>157</v>
      </c>
      <c r="T424" s="10" t="s">
        <v>42</v>
      </c>
      <c r="U424" s="10">
        <v>53</v>
      </c>
      <c r="V424" s="10">
        <v>279</v>
      </c>
      <c r="W424" s="10">
        <v>227</v>
      </c>
      <c r="X424" s="10" t="s">
        <v>160</v>
      </c>
      <c r="Y424" s="10"/>
      <c r="Z424" s="10"/>
      <c r="AA424" s="10"/>
      <c r="AB424" s="10"/>
      <c r="AC424" s="10"/>
      <c r="AD424" s="10"/>
      <c r="AE424" s="10"/>
      <c r="AF424" s="10"/>
      <c r="AG424" s="44"/>
      <c r="AH424" s="44"/>
      <c r="AI424" s="46" t="s">
        <v>6054</v>
      </c>
      <c r="AJ424" s="44" t="s">
        <v>6052</v>
      </c>
      <c r="AK424" s="44" t="s">
        <v>6052</v>
      </c>
      <c r="AL424" s="44" t="s">
        <v>6052</v>
      </c>
      <c r="AM424" s="44" t="s">
        <v>6052</v>
      </c>
      <c r="AN424" s="44" t="s">
        <v>32795</v>
      </c>
      <c r="AO424" s="45">
        <v>11</v>
      </c>
      <c r="AP424" s="45">
        <v>1</v>
      </c>
      <c r="AQ424" s="45">
        <v>0</v>
      </c>
      <c r="AR424" s="45">
        <v>0</v>
      </c>
      <c r="AS424" s="45">
        <v>0</v>
      </c>
      <c r="AT424" s="45">
        <v>0</v>
      </c>
      <c r="AU424" s="10" t="s">
        <v>6052</v>
      </c>
      <c r="AV424" s="10" t="s">
        <v>6052</v>
      </c>
      <c r="AW424" s="10" t="s">
        <v>6052</v>
      </c>
      <c r="AX424" s="10" t="s">
        <v>6052</v>
      </c>
      <c r="AY424" s="10" t="s">
        <v>32253</v>
      </c>
      <c r="AZ424" s="44" t="s">
        <v>33117</v>
      </c>
      <c r="BA424" s="44" t="s">
        <v>31014</v>
      </c>
      <c r="BB424" s="44" t="s">
        <v>31486</v>
      </c>
      <c r="BC424" s="44" t="s">
        <v>6594</v>
      </c>
      <c r="BD424" s="44" t="s">
        <v>31708</v>
      </c>
      <c r="BE424" s="11">
        <v>1</v>
      </c>
      <c r="BF424" s="11">
        <v>0</v>
      </c>
      <c r="BG424" s="11">
        <v>0</v>
      </c>
      <c r="BH424" s="10" t="s">
        <v>31986</v>
      </c>
      <c r="BI424" s="11">
        <v>100</v>
      </c>
      <c r="BJ424" s="10" t="s">
        <v>33421</v>
      </c>
      <c r="BK424" s="11">
        <v>100</v>
      </c>
    </row>
    <row r="425" spans="1:63" x14ac:dyDescent="0.75">
      <c r="A425" t="s">
        <v>2183</v>
      </c>
      <c r="B425" t="s">
        <v>104</v>
      </c>
      <c r="C425" t="s">
        <v>462</v>
      </c>
      <c r="D425" t="s">
        <v>463</v>
      </c>
      <c r="E425" s="22" t="s">
        <v>15798</v>
      </c>
      <c r="F425" t="s">
        <v>2184</v>
      </c>
      <c r="G425" s="1" t="str">
        <f>HYPERLINK("https://homd.org/jbrowse/?data=homd_V11.02_phage_1.2%2FGCA_003515045.1&amp;loc=GCA_003515045.1%7CCP032056.1%3A1170109..1177068&amp;tracks=prokka,prokka_ncrna,ncbi,ncbi_ncrna,panggolin,cenote,genomad&amp;highlight=","Open JBrowse")</f>
        <v>Open JBrowse</v>
      </c>
      <c r="H425" s="10">
        <v>1173109</v>
      </c>
      <c r="I425" s="10">
        <v>1174068</v>
      </c>
      <c r="J425" s="10" t="s">
        <v>2185</v>
      </c>
      <c r="K425" s="10" t="s">
        <v>59</v>
      </c>
      <c r="L425" s="10" t="s">
        <v>466</v>
      </c>
      <c r="M425" s="10" t="s">
        <v>467</v>
      </c>
      <c r="N425" s="10" t="s">
        <v>398</v>
      </c>
      <c r="O425" s="10">
        <v>3</v>
      </c>
      <c r="P425" s="10" t="s">
        <v>42</v>
      </c>
      <c r="Q425" s="10" t="s">
        <v>59</v>
      </c>
      <c r="R425" s="10" t="s">
        <v>2186</v>
      </c>
      <c r="S425" s="10" t="s">
        <v>466</v>
      </c>
      <c r="T425" s="10" t="s">
        <v>42</v>
      </c>
      <c r="U425" s="10">
        <v>41</v>
      </c>
      <c r="V425" s="10">
        <v>267</v>
      </c>
      <c r="W425" s="10">
        <v>227</v>
      </c>
      <c r="X425" s="10" t="s">
        <v>160</v>
      </c>
      <c r="Y425" s="10" t="s">
        <v>2187</v>
      </c>
      <c r="Z425" s="10" t="s">
        <v>281</v>
      </c>
      <c r="AA425" s="10" t="s">
        <v>471</v>
      </c>
      <c r="AB425" s="10"/>
      <c r="AC425" s="10"/>
      <c r="AD425" s="10"/>
      <c r="AE425" s="10"/>
      <c r="AF425" s="10"/>
      <c r="AG425" s="44"/>
      <c r="AH425" s="44"/>
      <c r="AI425" s="44" t="s">
        <v>6052</v>
      </c>
      <c r="AJ425" s="44" t="s">
        <v>6052</v>
      </c>
      <c r="AK425" s="44" t="s">
        <v>6052</v>
      </c>
      <c r="AL425" s="44" t="s">
        <v>6052</v>
      </c>
      <c r="AM425" s="44" t="s">
        <v>6052</v>
      </c>
      <c r="AN425" s="44" t="s">
        <v>32880</v>
      </c>
      <c r="AO425" s="45">
        <v>11</v>
      </c>
      <c r="AP425" s="45">
        <v>1</v>
      </c>
      <c r="AQ425" s="45">
        <v>0</v>
      </c>
      <c r="AR425" s="45">
        <v>0</v>
      </c>
      <c r="AS425" s="45">
        <v>0</v>
      </c>
      <c r="AT425" s="45">
        <v>0</v>
      </c>
      <c r="AU425" s="10" t="s">
        <v>6052</v>
      </c>
      <c r="AV425" s="10" t="s">
        <v>6052</v>
      </c>
      <c r="AW425" s="10" t="s">
        <v>6052</v>
      </c>
      <c r="AX425" s="10" t="s">
        <v>6052</v>
      </c>
      <c r="AY425" s="10" t="s">
        <v>32253</v>
      </c>
      <c r="AZ425" s="44" t="s">
        <v>33117</v>
      </c>
      <c r="BA425" s="44" t="s">
        <v>31065</v>
      </c>
      <c r="BB425" s="44" t="s">
        <v>31554</v>
      </c>
      <c r="BC425" s="44" t="s">
        <v>6594</v>
      </c>
      <c r="BD425" s="44" t="s">
        <v>31708</v>
      </c>
      <c r="BE425" s="11">
        <v>1</v>
      </c>
      <c r="BF425" s="11">
        <v>0</v>
      </c>
      <c r="BG425" s="11">
        <v>0</v>
      </c>
      <c r="BH425" s="10" t="s">
        <v>32147</v>
      </c>
      <c r="BI425" s="11">
        <v>100</v>
      </c>
      <c r="BJ425" s="10" t="s">
        <v>33358</v>
      </c>
      <c r="BK425" s="11">
        <v>100</v>
      </c>
    </row>
    <row r="426" spans="1:63" x14ac:dyDescent="0.75">
      <c r="A426" t="s">
        <v>2012</v>
      </c>
      <c r="B426" t="s">
        <v>104</v>
      </c>
      <c r="C426" t="s">
        <v>105</v>
      </c>
      <c r="D426" t="s">
        <v>106</v>
      </c>
      <c r="E426" s="22" t="s">
        <v>14727</v>
      </c>
      <c r="F426" t="s">
        <v>2013</v>
      </c>
      <c r="G426" s="1" t="str">
        <f>HYPERLINK("https://homd.org/jbrowse/?data=homd_V11.02_phage_1.2%2FGCA_002998835.1&amp;loc=GCA_002998835.1%7CCP027232.1%3A2178567..2185352&amp;tracks=prokka,prokka_ncrna,ncbi,ncbi_ncrna,panggolin,cenote,genomad&amp;highlight=","Open JBrowse")</f>
        <v>Open JBrowse</v>
      </c>
      <c r="H426" s="10">
        <v>2181567</v>
      </c>
      <c r="I426" s="10">
        <v>2182352</v>
      </c>
      <c r="J426" s="10" t="s">
        <v>2021</v>
      </c>
      <c r="K426" s="10" t="s">
        <v>39</v>
      </c>
      <c r="L426" s="10" t="s">
        <v>406</v>
      </c>
      <c r="M426" s="10" t="s">
        <v>407</v>
      </c>
      <c r="N426" s="10" t="s">
        <v>398</v>
      </c>
      <c r="O426" s="10">
        <v>3</v>
      </c>
      <c r="P426" s="10" t="s">
        <v>42</v>
      </c>
      <c r="Q426" s="10" t="s">
        <v>43</v>
      </c>
      <c r="R426" s="10" t="s">
        <v>2015</v>
      </c>
      <c r="S426" s="10" t="s">
        <v>406</v>
      </c>
      <c r="T426" s="10" t="s">
        <v>42</v>
      </c>
      <c r="U426" s="10">
        <v>33</v>
      </c>
      <c r="V426" s="10">
        <v>259</v>
      </c>
      <c r="W426" s="10">
        <v>227</v>
      </c>
      <c r="X426" s="10" t="s">
        <v>45</v>
      </c>
      <c r="Y426" s="10" t="s">
        <v>2022</v>
      </c>
      <c r="Z426" s="10" t="s">
        <v>1236</v>
      </c>
      <c r="AA426" s="10" t="s">
        <v>2023</v>
      </c>
      <c r="AB426" s="10"/>
      <c r="AC426" s="10"/>
      <c r="AD426" s="10"/>
      <c r="AE426" s="10"/>
      <c r="AF426" s="10"/>
      <c r="AG426" s="44"/>
      <c r="AH426" s="44"/>
      <c r="AI426" s="44" t="s">
        <v>6052</v>
      </c>
      <c r="AJ426" s="44" t="s">
        <v>6052</v>
      </c>
      <c r="AK426" s="44" t="s">
        <v>6052</v>
      </c>
      <c r="AL426" s="44" t="s">
        <v>6052</v>
      </c>
      <c r="AM426" s="44" t="s">
        <v>6052</v>
      </c>
      <c r="AN426" s="44" t="s">
        <v>32751</v>
      </c>
      <c r="AO426" s="45">
        <v>11</v>
      </c>
      <c r="AP426" s="45">
        <v>1</v>
      </c>
      <c r="AQ426" s="45">
        <v>0</v>
      </c>
      <c r="AR426" s="45">
        <v>0</v>
      </c>
      <c r="AS426" s="45">
        <v>0</v>
      </c>
      <c r="AT426" s="45">
        <v>0</v>
      </c>
      <c r="AU426" s="10" t="s">
        <v>6052</v>
      </c>
      <c r="AV426" s="10" t="s">
        <v>6052</v>
      </c>
      <c r="AW426" s="10" t="s">
        <v>6052</v>
      </c>
      <c r="AX426" s="10" t="s">
        <v>6052</v>
      </c>
      <c r="AY426" s="10" t="s">
        <v>32253</v>
      </c>
      <c r="AZ426" s="44" t="s">
        <v>33116</v>
      </c>
      <c r="BA426" s="44" t="s">
        <v>30990</v>
      </c>
      <c r="BB426" s="44" t="s">
        <v>31457</v>
      </c>
      <c r="BC426" s="44" t="s">
        <v>6415</v>
      </c>
      <c r="BD426" s="44" t="s">
        <v>31707</v>
      </c>
      <c r="BE426" s="11">
        <v>1</v>
      </c>
      <c r="BF426" s="11">
        <v>0</v>
      </c>
      <c r="BG426" s="11">
        <v>0</v>
      </c>
      <c r="BH426" s="10" t="s">
        <v>32041</v>
      </c>
      <c r="BI426" s="11">
        <v>100</v>
      </c>
      <c r="BJ426" s="10" t="s">
        <v>33235</v>
      </c>
      <c r="BK426" s="11">
        <v>100</v>
      </c>
    </row>
    <row r="427" spans="1:63" x14ac:dyDescent="0.75">
      <c r="A427" t="s">
        <v>2012</v>
      </c>
      <c r="B427" t="s">
        <v>104</v>
      </c>
      <c r="C427" t="s">
        <v>105</v>
      </c>
      <c r="D427" t="s">
        <v>106</v>
      </c>
      <c r="E427" s="22" t="s">
        <v>14727</v>
      </c>
      <c r="F427" t="s">
        <v>2013</v>
      </c>
      <c r="G427" s="1" t="str">
        <f>HYPERLINK("https://homd.org/jbrowse/?data=homd_V11.02_phage_1.2%2FGCA_002998835.1&amp;loc=GCA_002998835.1%7CCP027232.1%3A2149800..2156633&amp;tracks=prokka,prokka_ncrna,ncbi,ncbi_ncrna,panggolin,cenote,genomad&amp;highlight=","Open JBrowse")</f>
        <v>Open JBrowse</v>
      </c>
      <c r="H427" s="10">
        <v>2152800</v>
      </c>
      <c r="I427" s="10">
        <v>2153633</v>
      </c>
      <c r="J427" s="10" t="s">
        <v>2019</v>
      </c>
      <c r="K427" s="10" t="s">
        <v>39</v>
      </c>
      <c r="L427" s="10" t="s">
        <v>129</v>
      </c>
      <c r="M427" s="10" t="s">
        <v>130</v>
      </c>
      <c r="N427" s="10" t="s">
        <v>42</v>
      </c>
      <c r="O427" s="10">
        <v>3</v>
      </c>
      <c r="P427" s="10" t="s">
        <v>42</v>
      </c>
      <c r="Q427" s="10" t="s">
        <v>43</v>
      </c>
      <c r="R427" s="10" t="s">
        <v>2015</v>
      </c>
      <c r="S427" s="10" t="s">
        <v>129</v>
      </c>
      <c r="T427" s="10" t="s">
        <v>42</v>
      </c>
      <c r="U427" s="10">
        <v>43</v>
      </c>
      <c r="V427" s="10">
        <v>275</v>
      </c>
      <c r="W427" s="10">
        <v>233</v>
      </c>
      <c r="X427" s="10" t="s">
        <v>45</v>
      </c>
      <c r="Y427" s="10" t="s">
        <v>2020</v>
      </c>
      <c r="Z427" s="10" t="s">
        <v>470</v>
      </c>
      <c r="AA427" s="10" t="s">
        <v>417</v>
      </c>
      <c r="AB427" s="10"/>
      <c r="AC427" s="10"/>
      <c r="AD427" s="10"/>
      <c r="AE427" s="10"/>
      <c r="AF427" s="10"/>
      <c r="AG427" s="44"/>
      <c r="AH427" s="44"/>
      <c r="AI427" s="44" t="s">
        <v>6052</v>
      </c>
      <c r="AJ427" s="44" t="s">
        <v>6052</v>
      </c>
      <c r="AK427" s="44" t="s">
        <v>6052</v>
      </c>
      <c r="AL427" s="44" t="s">
        <v>6052</v>
      </c>
      <c r="AM427" s="44" t="s">
        <v>6052</v>
      </c>
      <c r="AN427" s="44" t="s">
        <v>32750</v>
      </c>
      <c r="AO427" s="45">
        <v>11</v>
      </c>
      <c r="AP427" s="45">
        <v>1</v>
      </c>
      <c r="AQ427" s="45">
        <v>0</v>
      </c>
      <c r="AR427" s="45">
        <v>0</v>
      </c>
      <c r="AS427" s="45">
        <v>0</v>
      </c>
      <c r="AT427" s="45">
        <v>0</v>
      </c>
      <c r="AU427" s="10" t="s">
        <v>6052</v>
      </c>
      <c r="AV427" s="10" t="s">
        <v>6052</v>
      </c>
      <c r="AW427" s="10" t="s">
        <v>6052</v>
      </c>
      <c r="AX427" s="10" t="s">
        <v>6052</v>
      </c>
      <c r="AY427" s="10" t="s">
        <v>32253</v>
      </c>
      <c r="AZ427" s="44" t="s">
        <v>33116</v>
      </c>
      <c r="BA427" s="44" t="s">
        <v>30990</v>
      </c>
      <c r="BB427" s="44" t="s">
        <v>31456</v>
      </c>
      <c r="BC427" s="44" t="s">
        <v>6415</v>
      </c>
      <c r="BD427" s="44" t="s">
        <v>31707</v>
      </c>
      <c r="BE427" s="11">
        <v>1</v>
      </c>
      <c r="BF427" s="11">
        <v>0</v>
      </c>
      <c r="BG427" s="11">
        <v>0</v>
      </c>
      <c r="BH427" s="10" t="s">
        <v>31837</v>
      </c>
      <c r="BI427" s="11">
        <v>100</v>
      </c>
      <c r="BJ427" s="10" t="s">
        <v>33234</v>
      </c>
      <c r="BK427" s="11">
        <v>100</v>
      </c>
    </row>
    <row r="428" spans="1:63" x14ac:dyDescent="0.75">
      <c r="A428" t="s">
        <v>1894</v>
      </c>
      <c r="B428" t="s">
        <v>104</v>
      </c>
      <c r="C428" t="s">
        <v>550</v>
      </c>
      <c r="D428" t="s">
        <v>551</v>
      </c>
      <c r="E428" s="22" t="s">
        <v>14304</v>
      </c>
      <c r="F428" t="s">
        <v>1895</v>
      </c>
      <c r="G428" s="1" t="str">
        <f>HYPERLINK("https://homd.org/jbrowse/?data=homd_V11.02_phage_1.2%2FGCA_002849795.1&amp;loc=GCA_002849795.1%7CCP023863.1%3A1991355..1998359&amp;tracks=prokka,prokka_ncrna,ncbi,ncbi_ncrna,panggolin,cenote,genomad&amp;highlight=","Open JBrowse")</f>
        <v>Open JBrowse</v>
      </c>
      <c r="H428" s="10">
        <v>1994355</v>
      </c>
      <c r="I428" s="10">
        <v>1995359</v>
      </c>
      <c r="J428" s="10" t="s">
        <v>1896</v>
      </c>
      <c r="K428" s="10" t="s">
        <v>59</v>
      </c>
      <c r="L428" s="10" t="s">
        <v>157</v>
      </c>
      <c r="M428" s="10" t="s">
        <v>158</v>
      </c>
      <c r="N428" s="10" t="s">
        <v>42</v>
      </c>
      <c r="O428" s="10">
        <v>3</v>
      </c>
      <c r="P428" s="10" t="s">
        <v>42</v>
      </c>
      <c r="Q428" s="10" t="s">
        <v>59</v>
      </c>
      <c r="R428" s="10" t="s">
        <v>1897</v>
      </c>
      <c r="S428" s="10" t="s">
        <v>157</v>
      </c>
      <c r="T428" s="10" t="s">
        <v>42</v>
      </c>
      <c r="U428" s="10">
        <v>53</v>
      </c>
      <c r="V428" s="10">
        <v>279</v>
      </c>
      <c r="W428" s="10">
        <v>227</v>
      </c>
      <c r="X428" s="10" t="s">
        <v>160</v>
      </c>
      <c r="Y428" s="10" t="s">
        <v>1898</v>
      </c>
      <c r="Z428" s="10" t="s">
        <v>458</v>
      </c>
      <c r="AA428" s="10" t="s">
        <v>557</v>
      </c>
      <c r="AB428" s="10"/>
      <c r="AC428" s="10"/>
      <c r="AD428" s="10"/>
      <c r="AE428" s="10"/>
      <c r="AF428" s="10"/>
      <c r="AG428" s="44"/>
      <c r="AH428" s="44"/>
      <c r="AI428" s="44" t="s">
        <v>6052</v>
      </c>
      <c r="AJ428" s="44" t="s">
        <v>6052</v>
      </c>
      <c r="AK428" s="44" t="s">
        <v>6052</v>
      </c>
      <c r="AL428" s="44" t="s">
        <v>6052</v>
      </c>
      <c r="AM428" s="44" t="s">
        <v>6052</v>
      </c>
      <c r="AN428" s="44" t="s">
        <v>32575</v>
      </c>
      <c r="AO428" s="45">
        <v>11</v>
      </c>
      <c r="AP428" s="45">
        <v>1</v>
      </c>
      <c r="AQ428" s="45">
        <v>0</v>
      </c>
      <c r="AR428" s="45">
        <v>0</v>
      </c>
      <c r="AS428" s="45">
        <v>0</v>
      </c>
      <c r="AT428" s="45">
        <v>0</v>
      </c>
      <c r="AU428" s="10" t="s">
        <v>6052</v>
      </c>
      <c r="AV428" s="10" t="s">
        <v>6052</v>
      </c>
      <c r="AW428" s="10" t="s">
        <v>6052</v>
      </c>
      <c r="AX428" s="10" t="s">
        <v>6052</v>
      </c>
      <c r="AY428" s="10" t="s">
        <v>32253</v>
      </c>
      <c r="AZ428" s="44" t="s">
        <v>33117</v>
      </c>
      <c r="BA428" s="44" t="s">
        <v>30919</v>
      </c>
      <c r="BB428" s="44" t="s">
        <v>31349</v>
      </c>
      <c r="BC428" s="44" t="s">
        <v>6594</v>
      </c>
      <c r="BD428" s="44" t="s">
        <v>31708</v>
      </c>
      <c r="BE428" s="11">
        <v>1</v>
      </c>
      <c r="BF428" s="11">
        <v>0</v>
      </c>
      <c r="BG428" s="11">
        <v>0</v>
      </c>
      <c r="BH428" s="10" t="s">
        <v>32059</v>
      </c>
      <c r="BI428" s="11">
        <v>100</v>
      </c>
      <c r="BJ428" s="10" t="s">
        <v>33388</v>
      </c>
      <c r="BK428" s="11">
        <v>100</v>
      </c>
    </row>
    <row r="429" spans="1:63" x14ac:dyDescent="0.75">
      <c r="A429" t="s">
        <v>1821</v>
      </c>
      <c r="B429" t="s">
        <v>104</v>
      </c>
      <c r="C429" t="s">
        <v>349</v>
      </c>
      <c r="D429" t="s">
        <v>350</v>
      </c>
      <c r="E429" s="22" t="s">
        <v>13900</v>
      </c>
      <c r="F429" t="s">
        <v>1822</v>
      </c>
      <c r="G429" s="1" t="str">
        <f>HYPERLINK("https://homd.org/jbrowse/?data=homd_V11.02_phage_1.2%2FGCA_002302415.1&amp;loc=GCA_002302415.1%7CCP022386.1%3A1572288..1579106&amp;tracks=prokka,prokka_ncrna,ncbi,ncbi_ncrna,panggolin,cenote,genomad&amp;highlight=","Open JBrowse")</f>
        <v>Open JBrowse</v>
      </c>
      <c r="H429" s="10">
        <v>1575288</v>
      </c>
      <c r="I429" s="10">
        <v>1576106</v>
      </c>
      <c r="J429" s="10" t="s">
        <v>1823</v>
      </c>
      <c r="K429" s="10" t="s">
        <v>39</v>
      </c>
      <c r="L429" s="10" t="s">
        <v>353</v>
      </c>
      <c r="M429" s="10" t="s">
        <v>354</v>
      </c>
      <c r="N429" s="10" t="s">
        <v>42</v>
      </c>
      <c r="O429" s="10">
        <v>3</v>
      </c>
      <c r="P429" s="10" t="s">
        <v>42</v>
      </c>
      <c r="Q429" s="10" t="s">
        <v>43</v>
      </c>
      <c r="R429" s="10" t="s">
        <v>1824</v>
      </c>
      <c r="S429" s="10" t="s">
        <v>353</v>
      </c>
      <c r="T429" s="10" t="s">
        <v>42</v>
      </c>
      <c r="U429" s="10">
        <v>37</v>
      </c>
      <c r="V429" s="10">
        <v>269</v>
      </c>
      <c r="W429" s="10">
        <v>233</v>
      </c>
      <c r="X429" s="10" t="s">
        <v>45</v>
      </c>
      <c r="Y429" s="10"/>
      <c r="Z429" s="10"/>
      <c r="AA429" s="10"/>
      <c r="AB429" s="10"/>
      <c r="AC429" s="10"/>
      <c r="AD429" s="10"/>
      <c r="AE429" s="10"/>
      <c r="AF429" s="10"/>
      <c r="AG429" s="44"/>
      <c r="AH429" s="44"/>
      <c r="AI429" s="46" t="s">
        <v>6054</v>
      </c>
      <c r="AJ429" s="44" t="s">
        <v>6052</v>
      </c>
      <c r="AK429" s="44" t="s">
        <v>6052</v>
      </c>
      <c r="AL429" s="44" t="s">
        <v>6052</v>
      </c>
      <c r="AM429" s="44" t="s">
        <v>6052</v>
      </c>
      <c r="AN429" s="44" t="s">
        <v>32796</v>
      </c>
      <c r="AO429" s="45">
        <v>11</v>
      </c>
      <c r="AP429" s="45">
        <v>1</v>
      </c>
      <c r="AQ429" s="45">
        <v>0</v>
      </c>
      <c r="AR429" s="45">
        <v>1</v>
      </c>
      <c r="AS429" s="45">
        <v>0</v>
      </c>
      <c r="AT429" s="45">
        <v>0</v>
      </c>
      <c r="AU429" s="10" t="s">
        <v>6052</v>
      </c>
      <c r="AV429" s="10" t="s">
        <v>32797</v>
      </c>
      <c r="AW429" s="10" t="s">
        <v>6052</v>
      </c>
      <c r="AX429" s="10" t="s">
        <v>6052</v>
      </c>
      <c r="AY429" s="10" t="s">
        <v>32354</v>
      </c>
      <c r="AZ429" s="44" t="s">
        <v>33116</v>
      </c>
      <c r="BA429" s="44" t="s">
        <v>31015</v>
      </c>
      <c r="BB429" s="44" t="s">
        <v>31487</v>
      </c>
      <c r="BC429" s="44" t="s">
        <v>6415</v>
      </c>
      <c r="BD429" s="44" t="s">
        <v>31707</v>
      </c>
      <c r="BE429" s="11">
        <v>1</v>
      </c>
      <c r="BF429" s="11">
        <v>0</v>
      </c>
      <c r="BG429" s="11">
        <v>0</v>
      </c>
      <c r="BH429" s="10" t="s">
        <v>31897</v>
      </c>
      <c r="BI429" s="11">
        <v>100</v>
      </c>
      <c r="BJ429" s="10" t="s">
        <v>33493</v>
      </c>
      <c r="BK429" s="11">
        <v>100</v>
      </c>
    </row>
    <row r="430" spans="1:63" x14ac:dyDescent="0.75">
      <c r="A430" t="s">
        <v>1812</v>
      </c>
      <c r="B430" t="s">
        <v>104</v>
      </c>
      <c r="C430" t="s">
        <v>329</v>
      </c>
      <c r="D430" t="s">
        <v>330</v>
      </c>
      <c r="E430" s="22" t="s">
        <v>13898</v>
      </c>
      <c r="F430" t="s">
        <v>1813</v>
      </c>
      <c r="G430" s="1" t="str">
        <f>HYPERLINK("https://homd.org/jbrowse/?data=homd_V11.02_phage_1.2%2FGCA_002302395.1&amp;loc=GCA_002302395.1%7CCP022385.1%3A2004306..2011133&amp;tracks=prokka,prokka_ncrna,ncbi,ncbi_ncrna,panggolin,cenote,genomad&amp;highlight=","Open JBrowse")</f>
        <v>Open JBrowse</v>
      </c>
      <c r="H430" s="10">
        <v>2007306</v>
      </c>
      <c r="I430" s="10">
        <v>2008133</v>
      </c>
      <c r="J430" s="10" t="s">
        <v>1818</v>
      </c>
      <c r="K430" s="10" t="s">
        <v>39</v>
      </c>
      <c r="L430" s="10" t="s">
        <v>343</v>
      </c>
      <c r="M430" s="10" t="s">
        <v>344</v>
      </c>
      <c r="N430" s="10" t="s">
        <v>42</v>
      </c>
      <c r="O430" s="10">
        <v>3</v>
      </c>
      <c r="P430" s="10" t="s">
        <v>42</v>
      </c>
      <c r="Q430" s="10" t="s">
        <v>43</v>
      </c>
      <c r="R430" s="10" t="s">
        <v>1815</v>
      </c>
      <c r="S430" s="10" t="s">
        <v>343</v>
      </c>
      <c r="T430" s="10" t="s">
        <v>42</v>
      </c>
      <c r="U430" s="10">
        <v>38</v>
      </c>
      <c r="V430" s="10">
        <v>270</v>
      </c>
      <c r="W430" s="10">
        <v>233</v>
      </c>
      <c r="X430" s="10" t="s">
        <v>45</v>
      </c>
      <c r="Y430" s="10" t="s">
        <v>1819</v>
      </c>
      <c r="Z430" s="10" t="s">
        <v>667</v>
      </c>
      <c r="AA430" s="10" t="s">
        <v>1820</v>
      </c>
      <c r="AB430" s="10"/>
      <c r="AC430" s="10"/>
      <c r="AD430" s="10"/>
      <c r="AE430" s="10"/>
      <c r="AF430" s="10"/>
      <c r="AG430" s="44"/>
      <c r="AH430" s="44"/>
      <c r="AI430" s="44" t="s">
        <v>6052</v>
      </c>
      <c r="AJ430" s="44" t="s">
        <v>6052</v>
      </c>
      <c r="AK430" s="44" t="s">
        <v>6052</v>
      </c>
      <c r="AL430" s="44" t="s">
        <v>6052</v>
      </c>
      <c r="AM430" s="44" t="s">
        <v>6052</v>
      </c>
      <c r="AN430" s="44" t="s">
        <v>32876</v>
      </c>
      <c r="AO430" s="45">
        <v>11</v>
      </c>
      <c r="AP430" s="45">
        <v>1</v>
      </c>
      <c r="AQ430" s="45">
        <v>0</v>
      </c>
      <c r="AR430" s="45">
        <v>0</v>
      </c>
      <c r="AS430" s="45">
        <v>0</v>
      </c>
      <c r="AT430" s="45">
        <v>0</v>
      </c>
      <c r="AU430" s="10" t="s">
        <v>6052</v>
      </c>
      <c r="AV430" s="10" t="s">
        <v>6052</v>
      </c>
      <c r="AW430" s="10" t="s">
        <v>6052</v>
      </c>
      <c r="AX430" s="10" t="s">
        <v>6052</v>
      </c>
      <c r="AY430" s="10" t="s">
        <v>32253</v>
      </c>
      <c r="AZ430" s="44" t="s">
        <v>33116</v>
      </c>
      <c r="BA430" s="44" t="s">
        <v>31064</v>
      </c>
      <c r="BB430" s="44" t="s">
        <v>31552</v>
      </c>
      <c r="BC430" s="44" t="s">
        <v>6415</v>
      </c>
      <c r="BD430" s="44" t="s">
        <v>31707</v>
      </c>
      <c r="BE430" s="11">
        <v>1</v>
      </c>
      <c r="BF430" s="11">
        <v>0</v>
      </c>
      <c r="BG430" s="11">
        <v>0</v>
      </c>
      <c r="BH430" s="10" t="s">
        <v>31880</v>
      </c>
      <c r="BI430" s="11">
        <v>100</v>
      </c>
      <c r="BJ430" s="10" t="s">
        <v>33283</v>
      </c>
      <c r="BK430" s="11">
        <v>100</v>
      </c>
    </row>
    <row r="431" spans="1:63" x14ac:dyDescent="0.75">
      <c r="A431" t="s">
        <v>1836</v>
      </c>
      <c r="B431" t="s">
        <v>104</v>
      </c>
      <c r="C431" t="s">
        <v>329</v>
      </c>
      <c r="D431" t="s">
        <v>330</v>
      </c>
      <c r="E431" s="22" t="s">
        <v>13904</v>
      </c>
      <c r="F431" t="s">
        <v>1837</v>
      </c>
      <c r="G431" s="1" t="str">
        <f>HYPERLINK("https://homd.org/jbrowse/?data=homd_V11.02_phage_1.2%2FGCA_002302595.1&amp;loc=GCA_002302595.1%7CCP022383.1%3A2227130..2233957&amp;tracks=prokka,prokka_ncrna,ncbi,ncbi_ncrna,panggolin,cenote,genomad&amp;highlight=","Open JBrowse")</f>
        <v>Open JBrowse</v>
      </c>
      <c r="H431" s="10">
        <v>2230130</v>
      </c>
      <c r="I431" s="10">
        <v>2230957</v>
      </c>
      <c r="J431" s="10" t="s">
        <v>1844</v>
      </c>
      <c r="K431" s="10" t="s">
        <v>39</v>
      </c>
      <c r="L431" s="10" t="s">
        <v>343</v>
      </c>
      <c r="M431" s="10" t="s">
        <v>344</v>
      </c>
      <c r="N431" s="10" t="s">
        <v>42</v>
      </c>
      <c r="O431" s="10">
        <v>3</v>
      </c>
      <c r="P431" s="10" t="s">
        <v>42</v>
      </c>
      <c r="Q431" s="10" t="s">
        <v>43</v>
      </c>
      <c r="R431" s="10" t="s">
        <v>1839</v>
      </c>
      <c r="S431" s="10" t="s">
        <v>343</v>
      </c>
      <c r="T431" s="10" t="s">
        <v>42</v>
      </c>
      <c r="U431" s="10">
        <v>38</v>
      </c>
      <c r="V431" s="10">
        <v>270</v>
      </c>
      <c r="W431" s="10">
        <v>233</v>
      </c>
      <c r="X431" s="10" t="s">
        <v>45</v>
      </c>
      <c r="Y431" s="10" t="s">
        <v>1845</v>
      </c>
      <c r="Z431" s="10" t="s">
        <v>653</v>
      </c>
      <c r="AA431" s="10" t="s">
        <v>1846</v>
      </c>
      <c r="AB431" s="10"/>
      <c r="AC431" s="10"/>
      <c r="AD431" s="10"/>
      <c r="AE431" s="10"/>
      <c r="AF431" s="10"/>
      <c r="AG431" s="44"/>
      <c r="AH431" s="44"/>
      <c r="AI431" s="44" t="s">
        <v>6052</v>
      </c>
      <c r="AJ431" s="44" t="s">
        <v>6052</v>
      </c>
      <c r="AK431" s="44" t="s">
        <v>6052</v>
      </c>
      <c r="AL431" s="44" t="s">
        <v>6052</v>
      </c>
      <c r="AM431" s="44" t="s">
        <v>6052</v>
      </c>
      <c r="AN431" s="44" t="s">
        <v>32798</v>
      </c>
      <c r="AO431" s="45">
        <v>11</v>
      </c>
      <c r="AP431" s="45">
        <v>1</v>
      </c>
      <c r="AQ431" s="45">
        <v>0</v>
      </c>
      <c r="AR431" s="45">
        <v>0</v>
      </c>
      <c r="AS431" s="45">
        <v>0</v>
      </c>
      <c r="AT431" s="45">
        <v>0</v>
      </c>
      <c r="AU431" s="10" t="s">
        <v>6052</v>
      </c>
      <c r="AV431" s="10" t="s">
        <v>6052</v>
      </c>
      <c r="AW431" s="10" t="s">
        <v>6052</v>
      </c>
      <c r="AX431" s="10" t="s">
        <v>6052</v>
      </c>
      <c r="AY431" s="10" t="s">
        <v>32253</v>
      </c>
      <c r="AZ431" s="44" t="s">
        <v>33116</v>
      </c>
      <c r="BA431" s="44" t="s">
        <v>31016</v>
      </c>
      <c r="BB431" s="44" t="s">
        <v>31488</v>
      </c>
      <c r="BC431" s="44" t="s">
        <v>6415</v>
      </c>
      <c r="BD431" s="44" t="s">
        <v>31707</v>
      </c>
      <c r="BE431" s="11">
        <v>1</v>
      </c>
      <c r="BF431" s="11">
        <v>0</v>
      </c>
      <c r="BG431" s="11">
        <v>0</v>
      </c>
      <c r="BH431" s="10" t="s">
        <v>31874</v>
      </c>
      <c r="BI431" s="11">
        <v>100</v>
      </c>
      <c r="BJ431" s="10" t="s">
        <v>33282</v>
      </c>
      <c r="BK431" s="11">
        <v>100</v>
      </c>
    </row>
    <row r="432" spans="1:63" x14ac:dyDescent="0.75">
      <c r="A432" t="s">
        <v>1836</v>
      </c>
      <c r="B432" t="s">
        <v>104</v>
      </c>
      <c r="C432" t="s">
        <v>329</v>
      </c>
      <c r="D432" t="s">
        <v>330</v>
      </c>
      <c r="E432" s="22" t="s">
        <v>13904</v>
      </c>
      <c r="F432" t="s">
        <v>1837</v>
      </c>
      <c r="G432" s="1" t="str">
        <f>HYPERLINK("https://homd.org/jbrowse/?data=homd_V11.02_phage_1.2%2FGCA_002302595.1&amp;loc=GCA_002302595.1%7CCP022383.1%3A2015830..2022612&amp;tracks=prokka,prokka_ncrna,ncbi,ncbi_ncrna,panggolin,cenote,genomad&amp;highlight=","Open JBrowse")</f>
        <v>Open JBrowse</v>
      </c>
      <c r="H432" s="10">
        <v>2018830</v>
      </c>
      <c r="I432" s="10">
        <v>2019612</v>
      </c>
      <c r="J432" s="10" t="s">
        <v>1838</v>
      </c>
      <c r="K432" s="10" t="s">
        <v>39</v>
      </c>
      <c r="L432" s="10" t="s">
        <v>818</v>
      </c>
      <c r="M432" s="10" t="s">
        <v>819</v>
      </c>
      <c r="N432" s="10" t="s">
        <v>42</v>
      </c>
      <c r="O432" s="10">
        <v>3</v>
      </c>
      <c r="P432" s="10" t="s">
        <v>42</v>
      </c>
      <c r="Q432" s="10" t="s">
        <v>43</v>
      </c>
      <c r="R432" s="10" t="s">
        <v>1839</v>
      </c>
      <c r="S432" s="10" t="s">
        <v>818</v>
      </c>
      <c r="T432" s="10" t="s">
        <v>42</v>
      </c>
      <c r="U432" s="10">
        <v>28</v>
      </c>
      <c r="V432" s="10">
        <v>256</v>
      </c>
      <c r="W432" s="10">
        <v>229</v>
      </c>
      <c r="X432" s="10" t="s">
        <v>45</v>
      </c>
      <c r="Y432" s="10"/>
      <c r="Z432" s="10"/>
      <c r="AA432" s="10"/>
      <c r="AB432" s="10"/>
      <c r="AC432" s="10"/>
      <c r="AD432" s="10"/>
      <c r="AE432" s="10"/>
      <c r="AF432" s="10"/>
      <c r="AG432" s="44"/>
      <c r="AH432" s="44"/>
      <c r="AI432" s="46" t="s">
        <v>6054</v>
      </c>
      <c r="AJ432" s="44" t="s">
        <v>6052</v>
      </c>
      <c r="AK432" s="44" t="s">
        <v>6052</v>
      </c>
      <c r="AL432" s="44" t="s">
        <v>6052</v>
      </c>
      <c r="AM432" s="44" t="s">
        <v>6052</v>
      </c>
      <c r="AN432" s="44" t="s">
        <v>32799</v>
      </c>
      <c r="AO432" s="45">
        <v>11</v>
      </c>
      <c r="AP432" s="45">
        <v>1</v>
      </c>
      <c r="AQ432" s="45">
        <v>0</v>
      </c>
      <c r="AR432" s="45">
        <v>0</v>
      </c>
      <c r="AS432" s="45">
        <v>0</v>
      </c>
      <c r="AT432" s="45">
        <v>0</v>
      </c>
      <c r="AU432" s="10" t="s">
        <v>6052</v>
      </c>
      <c r="AV432" s="10" t="s">
        <v>6052</v>
      </c>
      <c r="AW432" s="10" t="s">
        <v>6052</v>
      </c>
      <c r="AX432" s="10" t="s">
        <v>6052</v>
      </c>
      <c r="AY432" s="10" t="s">
        <v>32253</v>
      </c>
      <c r="AZ432" s="44" t="s">
        <v>33117</v>
      </c>
      <c r="BA432" s="44" t="s">
        <v>31016</v>
      </c>
      <c r="BB432" s="44" t="s">
        <v>31489</v>
      </c>
      <c r="BC432" s="44" t="s">
        <v>6415</v>
      </c>
      <c r="BD432" s="44" t="s">
        <v>31707</v>
      </c>
      <c r="BE432" s="11">
        <v>1</v>
      </c>
      <c r="BF432" s="11">
        <v>0</v>
      </c>
      <c r="BG432" s="11">
        <v>0</v>
      </c>
      <c r="BH432" s="10" t="s">
        <v>31923</v>
      </c>
      <c r="BI432" s="11">
        <v>100</v>
      </c>
      <c r="BJ432" s="10" t="s">
        <v>33281</v>
      </c>
      <c r="BK432" s="11">
        <v>100</v>
      </c>
    </row>
    <row r="433" spans="1:63" x14ac:dyDescent="0.75">
      <c r="A433" t="s">
        <v>1825</v>
      </c>
      <c r="B433" t="s">
        <v>104</v>
      </c>
      <c r="C433" t="s">
        <v>329</v>
      </c>
      <c r="D433" t="s">
        <v>330</v>
      </c>
      <c r="E433" s="22" t="s">
        <v>13902</v>
      </c>
      <c r="F433" t="s">
        <v>1826</v>
      </c>
      <c r="G433" s="1" t="str">
        <f>HYPERLINK("https://homd.org/jbrowse/?data=homd_V11.02_phage_1.2%2FGCA_002302495.1&amp;loc=GCA_002302495.1%7CCP022379.1%3A2014589..2021410&amp;tracks=prokka,prokka_ncrna,ncbi,ncbi_ncrna,panggolin,cenote,genomad&amp;highlight=","Open JBrowse")</f>
        <v>Open JBrowse</v>
      </c>
      <c r="H433" s="10">
        <v>2017589</v>
      </c>
      <c r="I433" s="10">
        <v>2018410</v>
      </c>
      <c r="J433" s="10" t="s">
        <v>1832</v>
      </c>
      <c r="K433" s="10" t="s">
        <v>39</v>
      </c>
      <c r="L433" s="10" t="s">
        <v>343</v>
      </c>
      <c r="M433" s="10" t="s">
        <v>1833</v>
      </c>
      <c r="N433" s="10" t="s">
        <v>42</v>
      </c>
      <c r="O433" s="10">
        <v>3</v>
      </c>
      <c r="P433" s="10" t="s">
        <v>42</v>
      </c>
      <c r="Q433" s="10" t="s">
        <v>43</v>
      </c>
      <c r="R433" s="10" t="s">
        <v>1828</v>
      </c>
      <c r="S433" s="10" t="s">
        <v>343</v>
      </c>
      <c r="T433" s="10" t="s">
        <v>42</v>
      </c>
      <c r="U433" s="10">
        <v>38</v>
      </c>
      <c r="V433" s="10">
        <v>270</v>
      </c>
      <c r="W433" s="10">
        <v>233</v>
      </c>
      <c r="X433" s="10" t="s">
        <v>45</v>
      </c>
      <c r="Y433" s="10" t="s">
        <v>1834</v>
      </c>
      <c r="Z433" s="10" t="s">
        <v>667</v>
      </c>
      <c r="AA433" s="10" t="s">
        <v>1835</v>
      </c>
      <c r="AB433" s="10"/>
      <c r="AC433" s="10"/>
      <c r="AD433" s="10"/>
      <c r="AE433" s="10"/>
      <c r="AF433" s="10"/>
      <c r="AG433" s="44"/>
      <c r="AH433" s="44"/>
      <c r="AI433" s="44" t="s">
        <v>6052</v>
      </c>
      <c r="AJ433" s="44" t="s">
        <v>6052</v>
      </c>
      <c r="AK433" s="44" t="s">
        <v>6052</v>
      </c>
      <c r="AL433" s="44" t="s">
        <v>6052</v>
      </c>
      <c r="AM433" s="44" t="s">
        <v>6052</v>
      </c>
      <c r="AN433" s="44" t="s">
        <v>32592</v>
      </c>
      <c r="AO433" s="45">
        <v>11</v>
      </c>
      <c r="AP433" s="45">
        <v>1</v>
      </c>
      <c r="AQ433" s="45">
        <v>0</v>
      </c>
      <c r="AR433" s="45">
        <v>0</v>
      </c>
      <c r="AS433" s="45">
        <v>0</v>
      </c>
      <c r="AT433" s="45">
        <v>0</v>
      </c>
      <c r="AU433" s="10" t="s">
        <v>6052</v>
      </c>
      <c r="AV433" s="10" t="s">
        <v>6052</v>
      </c>
      <c r="AW433" s="10" t="s">
        <v>6052</v>
      </c>
      <c r="AX433" s="10" t="s">
        <v>6052</v>
      </c>
      <c r="AY433" s="10" t="s">
        <v>32253</v>
      </c>
      <c r="AZ433" s="44" t="s">
        <v>33116</v>
      </c>
      <c r="BA433" s="44" t="s">
        <v>30926</v>
      </c>
      <c r="BB433" s="44" t="s">
        <v>31360</v>
      </c>
      <c r="BC433" s="44" t="s">
        <v>6415</v>
      </c>
      <c r="BD433" s="44" t="s">
        <v>31707</v>
      </c>
      <c r="BE433" s="11">
        <v>1</v>
      </c>
      <c r="BF433" s="11">
        <v>0</v>
      </c>
      <c r="BG433" s="11">
        <v>0</v>
      </c>
      <c r="BH433" s="10" t="s">
        <v>31877</v>
      </c>
      <c r="BI433" s="11">
        <v>100</v>
      </c>
      <c r="BJ433" s="10" t="s">
        <v>33280</v>
      </c>
      <c r="BK433" s="11">
        <v>100</v>
      </c>
    </row>
    <row r="434" spans="1:63" x14ac:dyDescent="0.75">
      <c r="A434" t="s">
        <v>1793</v>
      </c>
      <c r="B434" t="s">
        <v>104</v>
      </c>
      <c r="C434" t="s">
        <v>1794</v>
      </c>
      <c r="D434" t="s">
        <v>1069</v>
      </c>
      <c r="E434" s="22" t="s">
        <v>13825</v>
      </c>
      <c r="F434" t="s">
        <v>1795</v>
      </c>
      <c r="G434" s="1" t="str">
        <f>HYPERLINK("https://homd.org/jbrowse/?data=homd_V11.02_phage_1.2%2FGCA_002240055.1&amp;loc=GCA_002240055.1%7CCP016753.1%3A751984..759081&amp;tracks=prokka,prokka_ncrna,ncbi,ncbi_ncrna,panggolin,cenote,genomad&amp;highlight=","Open JBrowse")</f>
        <v>Open JBrowse</v>
      </c>
      <c r="H434" s="10">
        <v>754984</v>
      </c>
      <c r="I434" s="10">
        <v>756081</v>
      </c>
      <c r="J434" s="10" t="s">
        <v>1796</v>
      </c>
      <c r="K434" s="10" t="s">
        <v>59</v>
      </c>
      <c r="L434" s="10" t="s">
        <v>1797</v>
      </c>
      <c r="M434" s="10" t="s">
        <v>1798</v>
      </c>
      <c r="N434" s="10" t="s">
        <v>42</v>
      </c>
      <c r="O434" s="10">
        <v>3</v>
      </c>
      <c r="P434" s="10" t="s">
        <v>42</v>
      </c>
      <c r="Q434" s="10" t="s">
        <v>59</v>
      </c>
      <c r="R434" s="10" t="s">
        <v>1799</v>
      </c>
      <c r="S434" s="10" t="s">
        <v>1797</v>
      </c>
      <c r="T434" s="10" t="s">
        <v>42</v>
      </c>
      <c r="U434" s="10">
        <v>105</v>
      </c>
      <c r="V434" s="10">
        <v>361</v>
      </c>
      <c r="W434" s="10">
        <v>257</v>
      </c>
      <c r="X434" s="10" t="s">
        <v>142</v>
      </c>
      <c r="Y434" s="10" t="s">
        <v>1800</v>
      </c>
      <c r="Z434" s="10" t="s">
        <v>932</v>
      </c>
      <c r="AA434" s="10" t="s">
        <v>1801</v>
      </c>
      <c r="AB434" s="10" t="s">
        <v>1802</v>
      </c>
      <c r="AC434" s="10" t="s">
        <v>1803</v>
      </c>
      <c r="AD434" s="10" t="s">
        <v>51</v>
      </c>
      <c r="AE434" s="10">
        <v>374.3</v>
      </c>
      <c r="AF434" s="10" t="s">
        <v>1214</v>
      </c>
      <c r="AG434" s="44"/>
      <c r="AH434" s="44"/>
      <c r="AI434" s="44" t="s">
        <v>6052</v>
      </c>
      <c r="AJ434" s="44" t="s">
        <v>6052</v>
      </c>
      <c r="AK434" s="44" t="s">
        <v>6052</v>
      </c>
      <c r="AL434" s="44" t="s">
        <v>6052</v>
      </c>
      <c r="AM434" s="44" t="s">
        <v>6052</v>
      </c>
      <c r="AN434" s="44" t="s">
        <v>32766</v>
      </c>
      <c r="AO434" s="45">
        <v>11</v>
      </c>
      <c r="AP434" s="45">
        <v>1</v>
      </c>
      <c r="AQ434" s="45">
        <v>0</v>
      </c>
      <c r="AR434" s="45">
        <v>0</v>
      </c>
      <c r="AS434" s="45">
        <v>0</v>
      </c>
      <c r="AT434" s="45">
        <v>0</v>
      </c>
      <c r="AU434" s="10" t="s">
        <v>6052</v>
      </c>
      <c r="AV434" s="10" t="s">
        <v>6052</v>
      </c>
      <c r="AW434" s="10" t="s">
        <v>6052</v>
      </c>
      <c r="AX434" s="10" t="s">
        <v>6052</v>
      </c>
      <c r="AY434" s="10" t="s">
        <v>32253</v>
      </c>
      <c r="AZ434" s="44" t="s">
        <v>33116</v>
      </c>
      <c r="BA434" s="44" t="s">
        <v>30998</v>
      </c>
      <c r="BB434" s="44" t="s">
        <v>31466</v>
      </c>
      <c r="BC434" s="44" t="s">
        <v>6425</v>
      </c>
      <c r="BD434" s="44" t="s">
        <v>31709</v>
      </c>
      <c r="BE434" s="11">
        <v>1</v>
      </c>
      <c r="BF434" s="11">
        <v>0</v>
      </c>
      <c r="BG434" s="11">
        <v>0</v>
      </c>
      <c r="BH434" s="10" t="s">
        <v>32076</v>
      </c>
      <c r="BI434" s="11">
        <v>100</v>
      </c>
      <c r="BJ434" s="10" t="s">
        <v>33304</v>
      </c>
      <c r="BK434" s="11">
        <v>75.7</v>
      </c>
    </row>
    <row r="435" spans="1:63" x14ac:dyDescent="0.75">
      <c r="A435" t="s">
        <v>1733</v>
      </c>
      <c r="B435" t="s">
        <v>104</v>
      </c>
      <c r="C435" t="s">
        <v>814</v>
      </c>
      <c r="D435" t="s">
        <v>815</v>
      </c>
      <c r="E435" s="22" t="s">
        <v>13751</v>
      </c>
      <c r="F435" t="s">
        <v>1734</v>
      </c>
      <c r="G435" s="1" t="str">
        <f>HYPERLINK("https://homd.org/jbrowse/?data=homd_V11.02_phage_1.2%2FGCA_002209445.1&amp;loc=GCA_002209445.1%7CCP022022.1%3A3341368..3348195&amp;tracks=prokka,prokka_ncrna,ncbi,ncbi_ncrna,panggolin,cenote,genomad&amp;highlight=","Open JBrowse")</f>
        <v>Open JBrowse</v>
      </c>
      <c r="H435" s="10">
        <v>3344368</v>
      </c>
      <c r="I435" s="10">
        <v>3345195</v>
      </c>
      <c r="J435" s="10" t="s">
        <v>1737</v>
      </c>
      <c r="K435" s="10" t="s">
        <v>39</v>
      </c>
      <c r="L435" s="10" t="s">
        <v>343</v>
      </c>
      <c r="M435" s="10" t="s">
        <v>344</v>
      </c>
      <c r="N435" s="10" t="s">
        <v>42</v>
      </c>
      <c r="O435" s="10">
        <v>3</v>
      </c>
      <c r="P435" s="10" t="s">
        <v>42</v>
      </c>
      <c r="Q435" s="10" t="s">
        <v>43</v>
      </c>
      <c r="R435" s="10" t="s">
        <v>1736</v>
      </c>
      <c r="S435" s="10" t="s">
        <v>343</v>
      </c>
      <c r="T435" s="10" t="s">
        <v>42</v>
      </c>
      <c r="U435" s="10">
        <v>38</v>
      </c>
      <c r="V435" s="10">
        <v>270</v>
      </c>
      <c r="W435" s="10">
        <v>233</v>
      </c>
      <c r="X435" s="10" t="s">
        <v>45</v>
      </c>
      <c r="Y435" s="10" t="s">
        <v>1738</v>
      </c>
      <c r="Z435" s="10" t="s">
        <v>780</v>
      </c>
      <c r="AA435" s="10" t="s">
        <v>1739</v>
      </c>
      <c r="AB435" s="10"/>
      <c r="AC435" s="10"/>
      <c r="AD435" s="10"/>
      <c r="AE435" s="10"/>
      <c r="AF435" s="10"/>
      <c r="AG435" s="44"/>
      <c r="AH435" s="44"/>
      <c r="AI435" s="44" t="s">
        <v>6052</v>
      </c>
      <c r="AJ435" s="44" t="s">
        <v>6052</v>
      </c>
      <c r="AK435" s="44" t="s">
        <v>6052</v>
      </c>
      <c r="AL435" s="44" t="s">
        <v>6052</v>
      </c>
      <c r="AM435" s="44" t="s">
        <v>6052</v>
      </c>
      <c r="AN435" s="44" t="s">
        <v>32576</v>
      </c>
      <c r="AO435" s="45">
        <v>11</v>
      </c>
      <c r="AP435" s="45">
        <v>1</v>
      </c>
      <c r="AQ435" s="45">
        <v>0</v>
      </c>
      <c r="AR435" s="45">
        <v>0</v>
      </c>
      <c r="AS435" s="45">
        <v>0</v>
      </c>
      <c r="AT435" s="45">
        <v>0</v>
      </c>
      <c r="AU435" s="10" t="s">
        <v>6052</v>
      </c>
      <c r="AV435" s="10" t="s">
        <v>6052</v>
      </c>
      <c r="AW435" s="10" t="s">
        <v>6052</v>
      </c>
      <c r="AX435" s="10" t="s">
        <v>6052</v>
      </c>
      <c r="AY435" s="10" t="s">
        <v>32253</v>
      </c>
      <c r="AZ435" s="44" t="s">
        <v>33116</v>
      </c>
      <c r="BA435" s="44" t="s">
        <v>30920</v>
      </c>
      <c r="BB435" s="44" t="s">
        <v>31350</v>
      </c>
      <c r="BC435" s="44" t="s">
        <v>6415</v>
      </c>
      <c r="BD435" s="44" t="s">
        <v>31707</v>
      </c>
      <c r="BE435" s="11">
        <v>1</v>
      </c>
      <c r="BF435" s="11">
        <v>0</v>
      </c>
      <c r="BG435" s="11">
        <v>0</v>
      </c>
      <c r="BH435" s="10" t="s">
        <v>31890</v>
      </c>
      <c r="BI435" s="11">
        <v>100</v>
      </c>
      <c r="BJ435" s="10" t="s">
        <v>33262</v>
      </c>
      <c r="BK435" s="11">
        <v>100</v>
      </c>
    </row>
    <row r="436" spans="1:63" x14ac:dyDescent="0.75">
      <c r="A436" t="s">
        <v>1733</v>
      </c>
      <c r="B436" t="s">
        <v>104</v>
      </c>
      <c r="C436" t="s">
        <v>814</v>
      </c>
      <c r="D436" t="s">
        <v>815</v>
      </c>
      <c r="E436" s="22" t="s">
        <v>13751</v>
      </c>
      <c r="F436" t="s">
        <v>1734</v>
      </c>
      <c r="G436" s="1" t="str">
        <f>HYPERLINK("https://homd.org/jbrowse/?data=homd_V11.02_phage_1.2%2FGCA_002209445.1&amp;loc=GCA_002209445.1%7CCP022022.1%3A246332..253114&amp;tracks=prokka,prokka_ncrna,ncbi,ncbi_ncrna,panggolin,cenote,genomad&amp;highlight=","Open JBrowse")</f>
        <v>Open JBrowse</v>
      </c>
      <c r="H436" s="10">
        <v>249332</v>
      </c>
      <c r="I436" s="10">
        <v>250114</v>
      </c>
      <c r="J436" s="10" t="s">
        <v>1735</v>
      </c>
      <c r="K436" s="10" t="s">
        <v>39</v>
      </c>
      <c r="L436" s="10" t="s">
        <v>818</v>
      </c>
      <c r="M436" s="10" t="s">
        <v>819</v>
      </c>
      <c r="N436" s="10" t="s">
        <v>42</v>
      </c>
      <c r="O436" s="10">
        <v>3</v>
      </c>
      <c r="P436" s="10" t="s">
        <v>42</v>
      </c>
      <c r="Q436" s="10" t="s">
        <v>43</v>
      </c>
      <c r="R436" s="10" t="s">
        <v>1736</v>
      </c>
      <c r="S436" s="10" t="s">
        <v>818</v>
      </c>
      <c r="T436" s="10" t="s">
        <v>42</v>
      </c>
      <c r="U436" s="10">
        <v>28</v>
      </c>
      <c r="V436" s="10">
        <v>256</v>
      </c>
      <c r="W436" s="10">
        <v>229</v>
      </c>
      <c r="X436" s="10" t="s">
        <v>45</v>
      </c>
      <c r="Y436" s="10"/>
      <c r="Z436" s="10"/>
      <c r="AA436" s="10"/>
      <c r="AB436" s="10"/>
      <c r="AC436" s="10"/>
      <c r="AD436" s="10"/>
      <c r="AE436" s="10"/>
      <c r="AF436" s="10"/>
      <c r="AG436" s="44"/>
      <c r="AH436" s="44"/>
      <c r="AI436" s="46" t="s">
        <v>6054</v>
      </c>
      <c r="AJ436" s="44" t="s">
        <v>6052</v>
      </c>
      <c r="AK436" s="44" t="s">
        <v>6052</v>
      </c>
      <c r="AL436" s="44" t="s">
        <v>6052</v>
      </c>
      <c r="AM436" s="44" t="s">
        <v>6052</v>
      </c>
      <c r="AN436" s="44" t="s">
        <v>32577</v>
      </c>
      <c r="AO436" s="45">
        <v>11</v>
      </c>
      <c r="AP436" s="45">
        <v>1</v>
      </c>
      <c r="AQ436" s="45">
        <v>0</v>
      </c>
      <c r="AR436" s="45">
        <v>0</v>
      </c>
      <c r="AS436" s="45">
        <v>0</v>
      </c>
      <c r="AT436" s="45">
        <v>0</v>
      </c>
      <c r="AU436" s="10" t="s">
        <v>6052</v>
      </c>
      <c r="AV436" s="10" t="s">
        <v>6052</v>
      </c>
      <c r="AW436" s="10" t="s">
        <v>6052</v>
      </c>
      <c r="AX436" s="10" t="s">
        <v>6052</v>
      </c>
      <c r="AY436" s="10" t="s">
        <v>32253</v>
      </c>
      <c r="AZ436" s="44" t="s">
        <v>33117</v>
      </c>
      <c r="BA436" s="44" t="s">
        <v>30920</v>
      </c>
      <c r="BB436" s="44" t="s">
        <v>31351</v>
      </c>
      <c r="BC436" s="44" t="s">
        <v>6415</v>
      </c>
      <c r="BD436" s="44" t="s">
        <v>31707</v>
      </c>
      <c r="BE436" s="11">
        <v>1</v>
      </c>
      <c r="BF436" s="11">
        <v>0</v>
      </c>
      <c r="BG436" s="11">
        <v>0</v>
      </c>
      <c r="BH436" s="10" t="s">
        <v>31935</v>
      </c>
      <c r="BI436" s="11">
        <v>100</v>
      </c>
      <c r="BJ436" s="10" t="s">
        <v>33261</v>
      </c>
      <c r="BK436" s="11">
        <v>100</v>
      </c>
    </row>
    <row r="437" spans="1:63" x14ac:dyDescent="0.75">
      <c r="A437" t="s">
        <v>1726</v>
      </c>
      <c r="B437" t="s">
        <v>104</v>
      </c>
      <c r="C437" t="s">
        <v>153</v>
      </c>
      <c r="D437" t="s">
        <v>154</v>
      </c>
      <c r="E437" s="22" t="s">
        <v>13744</v>
      </c>
      <c r="F437" t="s">
        <v>1727</v>
      </c>
      <c r="G437" s="1" t="str">
        <f>HYPERLINK("https://homd.org/jbrowse/?data=homd_V11.02_phage_1.2%2FGCA_002208725.2&amp;loc=GCA_002208725.2%7CCP022040.2%3A1136..8140&amp;tracks=prokka,prokka_ncrna,ncbi,ncbi_ncrna,panggolin,cenote,genomad&amp;highlight=","Open JBrowse")</f>
        <v>Open JBrowse</v>
      </c>
      <c r="H437" s="10">
        <v>4136</v>
      </c>
      <c r="I437" s="10">
        <v>5140</v>
      </c>
      <c r="J437" s="10" t="s">
        <v>1728</v>
      </c>
      <c r="K437" s="10" t="s">
        <v>59</v>
      </c>
      <c r="L437" s="10" t="s">
        <v>157</v>
      </c>
      <c r="M437" s="10" t="s">
        <v>158</v>
      </c>
      <c r="N437" s="10" t="s">
        <v>42</v>
      </c>
      <c r="O437" s="10">
        <v>3</v>
      </c>
      <c r="P437" s="10" t="s">
        <v>42</v>
      </c>
      <c r="Q437" s="10" t="s">
        <v>59</v>
      </c>
      <c r="R437" s="10" t="s">
        <v>1729</v>
      </c>
      <c r="S437" s="10" t="s">
        <v>157</v>
      </c>
      <c r="T437" s="10" t="s">
        <v>42</v>
      </c>
      <c r="U437" s="10">
        <v>53</v>
      </c>
      <c r="V437" s="10">
        <v>279</v>
      </c>
      <c r="W437" s="10">
        <v>227</v>
      </c>
      <c r="X437" s="10" t="s">
        <v>160</v>
      </c>
      <c r="Y437" s="10" t="s">
        <v>1730</v>
      </c>
      <c r="Z437" s="10" t="s">
        <v>368</v>
      </c>
      <c r="AA437" s="10" t="s">
        <v>1731</v>
      </c>
      <c r="AB437" s="10" t="s">
        <v>1732</v>
      </c>
      <c r="AC437" s="10" t="s">
        <v>164</v>
      </c>
      <c r="AD437" s="10" t="s">
        <v>51</v>
      </c>
      <c r="AE437" s="10">
        <v>185.3</v>
      </c>
      <c r="AF437" s="10" t="s">
        <v>165</v>
      </c>
      <c r="AG437" s="44"/>
      <c r="AH437" s="44"/>
      <c r="AI437" s="44" t="s">
        <v>6052</v>
      </c>
      <c r="AJ437" s="44" t="s">
        <v>6052</v>
      </c>
      <c r="AK437" s="44" t="s">
        <v>6052</v>
      </c>
      <c r="AL437" s="44" t="s">
        <v>6052</v>
      </c>
      <c r="AM437" s="44" t="s">
        <v>6052</v>
      </c>
      <c r="AN437" s="44" t="s">
        <v>32788</v>
      </c>
      <c r="AO437" s="45">
        <v>10</v>
      </c>
      <c r="AP437" s="45">
        <v>1</v>
      </c>
      <c r="AQ437" s="45">
        <v>0</v>
      </c>
      <c r="AR437" s="45">
        <v>0</v>
      </c>
      <c r="AS437" s="45">
        <v>0</v>
      </c>
      <c r="AT437" s="45">
        <v>0</v>
      </c>
      <c r="AU437" s="10" t="s">
        <v>6052</v>
      </c>
      <c r="AV437" s="10" t="s">
        <v>6052</v>
      </c>
      <c r="AW437" s="10" t="s">
        <v>6052</v>
      </c>
      <c r="AX437" s="10" t="s">
        <v>6052</v>
      </c>
      <c r="AY437" s="10" t="s">
        <v>32789</v>
      </c>
      <c r="AZ437" s="44" t="s">
        <v>33117</v>
      </c>
      <c r="BA437" s="44" t="s">
        <v>31011</v>
      </c>
      <c r="BB437" s="44" t="s">
        <v>31483</v>
      </c>
      <c r="BC437" s="44" t="s">
        <v>6594</v>
      </c>
      <c r="BD437" s="44" t="s">
        <v>31708</v>
      </c>
      <c r="BE437" s="11">
        <v>1</v>
      </c>
      <c r="BF437" s="11">
        <v>0</v>
      </c>
      <c r="BG437" s="11">
        <v>0</v>
      </c>
      <c r="BH437" s="10" t="s">
        <v>32017</v>
      </c>
      <c r="BI437" s="11">
        <v>100</v>
      </c>
      <c r="BJ437" s="10" t="s">
        <v>33409</v>
      </c>
      <c r="BK437" s="11">
        <v>100</v>
      </c>
    </row>
    <row r="438" spans="1:63" x14ac:dyDescent="0.75">
      <c r="A438" t="s">
        <v>1646</v>
      </c>
      <c r="B438" t="s">
        <v>104</v>
      </c>
      <c r="C438" t="s">
        <v>1647</v>
      </c>
      <c r="D438" t="s">
        <v>1648</v>
      </c>
      <c r="E438" s="22" t="s">
        <v>12542</v>
      </c>
      <c r="F438" t="s">
        <v>1649</v>
      </c>
      <c r="G438" s="1" t="str">
        <f>HYPERLINK("https://homd.org/jbrowse/?data=homd_V11.02_phage_1.2%2FGCA_001717545.1&amp;loc=GCA_001717545.1%7CCP017039.1%3A2379070..2385930&amp;tracks=prokka,prokka_ncrna,ncbi,ncbi_ncrna,panggolin,cenote,genomad&amp;highlight=","Open JBrowse")</f>
        <v>Open JBrowse</v>
      </c>
      <c r="H438" s="10">
        <v>2382070</v>
      </c>
      <c r="I438" s="10">
        <v>2382930</v>
      </c>
      <c r="J438" s="10" t="s">
        <v>1661</v>
      </c>
      <c r="K438" s="10" t="s">
        <v>614</v>
      </c>
      <c r="L438" s="10" t="s">
        <v>1662</v>
      </c>
      <c r="M438" s="10" t="s">
        <v>1663</v>
      </c>
      <c r="N438" s="10" t="s">
        <v>42</v>
      </c>
      <c r="O438" s="10">
        <v>3</v>
      </c>
      <c r="P438" s="10" t="s">
        <v>42</v>
      </c>
      <c r="Q438" s="10" t="s">
        <v>101</v>
      </c>
      <c r="R438" s="10" t="s">
        <v>1653</v>
      </c>
      <c r="S438" s="10" t="s">
        <v>1662</v>
      </c>
      <c r="T438" s="10" t="s">
        <v>42</v>
      </c>
      <c r="U438" s="10">
        <v>54</v>
      </c>
      <c r="V438" s="10">
        <v>281</v>
      </c>
      <c r="W438" s="10">
        <v>228</v>
      </c>
      <c r="X438" s="10" t="s">
        <v>1664</v>
      </c>
      <c r="Y438" s="10" t="s">
        <v>1655</v>
      </c>
      <c r="Z438" s="10" t="s">
        <v>1236</v>
      </c>
      <c r="AA438" s="10" t="s">
        <v>1656</v>
      </c>
      <c r="AB438" s="10" t="s">
        <v>1657</v>
      </c>
      <c r="AC438" s="10" t="s">
        <v>1658</v>
      </c>
      <c r="AD438" s="10" t="s">
        <v>1659</v>
      </c>
      <c r="AE438" s="10">
        <v>262.2</v>
      </c>
      <c r="AF438" s="10" t="s">
        <v>1660</v>
      </c>
      <c r="AG438" s="44"/>
      <c r="AH438" s="44"/>
      <c r="AI438" s="44" t="s">
        <v>6052</v>
      </c>
      <c r="AJ438" s="44" t="s">
        <v>6052</v>
      </c>
      <c r="AK438" s="44" t="s">
        <v>6052</v>
      </c>
      <c r="AL438" s="44" t="s">
        <v>6052</v>
      </c>
      <c r="AM438" s="44" t="s">
        <v>6052</v>
      </c>
      <c r="AN438" s="44" t="s">
        <v>33089</v>
      </c>
      <c r="AO438" s="45">
        <v>11</v>
      </c>
      <c r="AP438" s="45">
        <v>1</v>
      </c>
      <c r="AQ438" s="45">
        <v>0</v>
      </c>
      <c r="AR438" s="45">
        <v>0</v>
      </c>
      <c r="AS438" s="45">
        <v>0</v>
      </c>
      <c r="AT438" s="45">
        <v>0</v>
      </c>
      <c r="AU438" s="10" t="s">
        <v>6052</v>
      </c>
      <c r="AV438" s="10" t="s">
        <v>6052</v>
      </c>
      <c r="AW438" s="10" t="s">
        <v>6052</v>
      </c>
      <c r="AX438" s="10" t="s">
        <v>6052</v>
      </c>
      <c r="AY438" s="10" t="s">
        <v>32253</v>
      </c>
      <c r="AZ438" s="44" t="s">
        <v>33117</v>
      </c>
      <c r="BA438" s="44" t="s">
        <v>31154</v>
      </c>
      <c r="BB438" s="44" t="s">
        <v>31693</v>
      </c>
      <c r="BC438" s="44" t="s">
        <v>9439</v>
      </c>
      <c r="BD438" s="44" t="s">
        <v>31723</v>
      </c>
      <c r="BE438" s="11">
        <v>1</v>
      </c>
      <c r="BF438" s="11">
        <v>0</v>
      </c>
      <c r="BG438" s="11">
        <v>0</v>
      </c>
      <c r="BH438" s="10" t="s">
        <v>31763</v>
      </c>
      <c r="BI438" s="11">
        <v>100</v>
      </c>
      <c r="BJ438" s="10" t="s">
        <v>33215</v>
      </c>
      <c r="BK438" s="11">
        <v>92</v>
      </c>
    </row>
    <row r="439" spans="1:63" x14ac:dyDescent="0.75">
      <c r="A439" t="s">
        <v>1646</v>
      </c>
      <c r="B439" t="s">
        <v>104</v>
      </c>
      <c r="C439" t="s">
        <v>1647</v>
      </c>
      <c r="D439" t="s">
        <v>1648</v>
      </c>
      <c r="E439" s="22" t="s">
        <v>12542</v>
      </c>
      <c r="F439" t="s">
        <v>1649</v>
      </c>
      <c r="G439" s="1" t="str">
        <f>HYPERLINK("https://homd.org/jbrowse/?data=homd_V11.02_phage_1.2%2FGCA_001717545.1&amp;loc=GCA_001717545.1%7CCP017039.1%3A2378282..2385073&amp;tracks=prokka,prokka_ncrna,ncbi,ncbi_ncrna,panggolin,cenote,genomad&amp;highlight=","Open JBrowse")</f>
        <v>Open JBrowse</v>
      </c>
      <c r="H439" s="10">
        <v>2381282</v>
      </c>
      <c r="I439" s="10">
        <v>2382073</v>
      </c>
      <c r="J439" s="10" t="s">
        <v>1650</v>
      </c>
      <c r="K439" s="10" t="s">
        <v>59</v>
      </c>
      <c r="L439" s="10" t="s">
        <v>1651</v>
      </c>
      <c r="M439" s="10" t="s">
        <v>1652</v>
      </c>
      <c r="N439" s="10" t="s">
        <v>42</v>
      </c>
      <c r="O439" s="10">
        <v>3</v>
      </c>
      <c r="P439" s="10" t="s">
        <v>42</v>
      </c>
      <c r="Q439" s="10" t="s">
        <v>59</v>
      </c>
      <c r="R439" s="10" t="s">
        <v>1653</v>
      </c>
      <c r="S439" s="10" t="s">
        <v>1651</v>
      </c>
      <c r="T439" s="10" t="s">
        <v>42</v>
      </c>
      <c r="U439" s="10">
        <v>11</v>
      </c>
      <c r="V439" s="10">
        <v>260</v>
      </c>
      <c r="W439" s="10">
        <v>250</v>
      </c>
      <c r="X439" s="10" t="s">
        <v>1654</v>
      </c>
      <c r="Y439" s="10" t="s">
        <v>1655</v>
      </c>
      <c r="Z439" s="10" t="s">
        <v>1236</v>
      </c>
      <c r="AA439" s="10" t="s">
        <v>1656</v>
      </c>
      <c r="AB439" s="10" t="s">
        <v>1657</v>
      </c>
      <c r="AC439" s="10" t="s">
        <v>1658</v>
      </c>
      <c r="AD439" s="10" t="s">
        <v>1659</v>
      </c>
      <c r="AE439" s="10">
        <v>262.2</v>
      </c>
      <c r="AF439" s="10" t="s">
        <v>1660</v>
      </c>
      <c r="AG439" s="44"/>
      <c r="AH439" s="44"/>
      <c r="AI439" s="44" t="s">
        <v>6052</v>
      </c>
      <c r="AJ439" s="44" t="s">
        <v>6052</v>
      </c>
      <c r="AK439" s="44" t="s">
        <v>6052</v>
      </c>
      <c r="AL439" s="44" t="s">
        <v>6052</v>
      </c>
      <c r="AM439" s="44" t="s">
        <v>6052</v>
      </c>
      <c r="AN439" s="44" t="s">
        <v>33088</v>
      </c>
      <c r="AO439" s="45">
        <v>11</v>
      </c>
      <c r="AP439" s="45">
        <v>1</v>
      </c>
      <c r="AQ439" s="45">
        <v>0</v>
      </c>
      <c r="AR439" s="45">
        <v>0</v>
      </c>
      <c r="AS439" s="45">
        <v>0</v>
      </c>
      <c r="AT439" s="45">
        <v>0</v>
      </c>
      <c r="AU439" s="10" t="s">
        <v>6052</v>
      </c>
      <c r="AV439" s="10" t="s">
        <v>6052</v>
      </c>
      <c r="AW439" s="10" t="s">
        <v>6052</v>
      </c>
      <c r="AX439" s="10" t="s">
        <v>6052</v>
      </c>
      <c r="AY439" s="10" t="s">
        <v>32253</v>
      </c>
      <c r="AZ439" s="44" t="s">
        <v>33110</v>
      </c>
      <c r="BA439" s="44" t="s">
        <v>31154</v>
      </c>
      <c r="BB439" s="44" t="s">
        <v>31692</v>
      </c>
      <c r="BC439" s="44" t="s">
        <v>9439</v>
      </c>
      <c r="BD439" s="44" t="s">
        <v>31723</v>
      </c>
      <c r="BE439" s="11">
        <v>1</v>
      </c>
      <c r="BF439" s="11">
        <v>0</v>
      </c>
      <c r="BG439" s="11">
        <v>0</v>
      </c>
      <c r="BH439" s="10" t="s">
        <v>32148</v>
      </c>
      <c r="BI439" s="11">
        <v>100</v>
      </c>
      <c r="BJ439" s="10" t="s">
        <v>33214</v>
      </c>
      <c r="BK439" s="11">
        <v>100</v>
      </c>
    </row>
    <row r="440" spans="1:63" x14ac:dyDescent="0.75">
      <c r="A440" t="s">
        <v>1553</v>
      </c>
      <c r="B440" t="s">
        <v>104</v>
      </c>
      <c r="C440" t="s">
        <v>1554</v>
      </c>
      <c r="D440" t="s">
        <v>1069</v>
      </c>
      <c r="E440" s="22" t="s">
        <v>11924</v>
      </c>
      <c r="F440" t="s">
        <v>1555</v>
      </c>
      <c r="G440" s="1" t="str">
        <f>HYPERLINK("https://homd.org/jbrowse/?data=homd_V11.02_phage_1.2%2FGCA_001553645.1&amp;loc=GCA_001553645.1%7CCP014231.1%3A1255957..1263099&amp;tracks=prokka,prokka_ncrna,ncbi,ncbi_ncrna,panggolin,cenote,genomad&amp;highlight=","Open JBrowse")</f>
        <v>Open JBrowse</v>
      </c>
      <c r="H440" s="10">
        <v>1258957</v>
      </c>
      <c r="I440" s="10">
        <v>1260099</v>
      </c>
      <c r="J440" s="10" t="s">
        <v>1556</v>
      </c>
      <c r="K440" s="10" t="s">
        <v>59</v>
      </c>
      <c r="L440" s="10" t="s">
        <v>1557</v>
      </c>
      <c r="M440" s="10" t="s">
        <v>1558</v>
      </c>
      <c r="N440" s="10" t="s">
        <v>42</v>
      </c>
      <c r="O440" s="10">
        <v>3</v>
      </c>
      <c r="P440" s="10" t="s">
        <v>42</v>
      </c>
      <c r="Q440" s="10" t="s">
        <v>59</v>
      </c>
      <c r="R440" s="10" t="s">
        <v>1559</v>
      </c>
      <c r="S440" s="10" t="s">
        <v>1557</v>
      </c>
      <c r="T440" s="10" t="s">
        <v>42</v>
      </c>
      <c r="U440" s="10">
        <v>120</v>
      </c>
      <c r="V440" s="10">
        <v>376</v>
      </c>
      <c r="W440" s="10">
        <v>257</v>
      </c>
      <c r="X440" s="10" t="s">
        <v>142</v>
      </c>
      <c r="Y440" s="10" t="s">
        <v>1560</v>
      </c>
      <c r="Z440" s="10" t="s">
        <v>126</v>
      </c>
      <c r="AA440" s="10" t="s">
        <v>1561</v>
      </c>
      <c r="AB440" s="10"/>
      <c r="AC440" s="10"/>
      <c r="AD440" s="10"/>
      <c r="AE440" s="10"/>
      <c r="AF440" s="10"/>
      <c r="AG440" s="44"/>
      <c r="AH440" s="44"/>
      <c r="AI440" s="44" t="s">
        <v>6052</v>
      </c>
      <c r="AJ440" s="44" t="s">
        <v>6052</v>
      </c>
      <c r="AK440" s="44" t="s">
        <v>6052</v>
      </c>
      <c r="AL440" s="44" t="s">
        <v>6052</v>
      </c>
      <c r="AM440" s="44" t="s">
        <v>6052</v>
      </c>
      <c r="AN440" s="44" t="s">
        <v>32667</v>
      </c>
      <c r="AO440" s="45">
        <v>11</v>
      </c>
      <c r="AP440" s="45">
        <v>1</v>
      </c>
      <c r="AQ440" s="45">
        <v>0</v>
      </c>
      <c r="AR440" s="45">
        <v>0</v>
      </c>
      <c r="AS440" s="45">
        <v>0</v>
      </c>
      <c r="AT440" s="45">
        <v>0</v>
      </c>
      <c r="AU440" s="10" t="s">
        <v>6052</v>
      </c>
      <c r="AV440" s="10" t="s">
        <v>6052</v>
      </c>
      <c r="AW440" s="10" t="s">
        <v>6052</v>
      </c>
      <c r="AX440" s="10" t="s">
        <v>6052</v>
      </c>
      <c r="AY440" s="10" t="s">
        <v>32253</v>
      </c>
      <c r="AZ440" s="44" t="s">
        <v>33116</v>
      </c>
      <c r="BA440" s="44" t="s">
        <v>30964</v>
      </c>
      <c r="BB440" s="44" t="s">
        <v>31407</v>
      </c>
      <c r="BC440" s="44" t="s">
        <v>6425</v>
      </c>
      <c r="BD440" s="44" t="s">
        <v>31709</v>
      </c>
      <c r="BE440" s="11">
        <v>1</v>
      </c>
      <c r="BF440" s="11">
        <v>0</v>
      </c>
      <c r="BG440" s="11">
        <v>0</v>
      </c>
      <c r="BH440" s="10" t="s">
        <v>31995</v>
      </c>
      <c r="BI440" s="11">
        <v>100</v>
      </c>
      <c r="BJ440" s="10" t="s">
        <v>33303</v>
      </c>
      <c r="BK440" s="11">
        <v>72.7</v>
      </c>
    </row>
    <row r="441" spans="1:63" x14ac:dyDescent="0.75">
      <c r="A441" t="s">
        <v>1533</v>
      </c>
      <c r="B441" t="s">
        <v>104</v>
      </c>
      <c r="C441" t="s">
        <v>1534</v>
      </c>
      <c r="D441" t="s">
        <v>1535</v>
      </c>
      <c r="E441" s="22" t="s">
        <v>11908</v>
      </c>
      <c r="F441" t="s">
        <v>1536</v>
      </c>
      <c r="G441" s="1" t="str">
        <f>HYPERLINK("https://homd.org/jbrowse/?data=homd_V11.02_phage_1.2%2FGCA_001553545.1&amp;loc=GCA_001553545.1%7CCP014227.1%3A2595972..2602931&amp;tracks=prokka,prokka_ncrna,ncbi,ncbi_ncrna,panggolin,cenote,genomad&amp;highlight=","Open JBrowse")</f>
        <v>Open JBrowse</v>
      </c>
      <c r="H441" s="10">
        <v>2598972</v>
      </c>
      <c r="I441" s="10">
        <v>2599931</v>
      </c>
      <c r="J441" s="10" t="s">
        <v>1537</v>
      </c>
      <c r="K441" s="10" t="s">
        <v>59</v>
      </c>
      <c r="L441" s="10" t="s">
        <v>1538</v>
      </c>
      <c r="M441" s="10" t="s">
        <v>1539</v>
      </c>
      <c r="N441" s="10" t="s">
        <v>398</v>
      </c>
      <c r="O441" s="10">
        <v>3</v>
      </c>
      <c r="P441" s="10" t="s">
        <v>42</v>
      </c>
      <c r="Q441" s="10" t="s">
        <v>59</v>
      </c>
      <c r="R441" s="10" t="s">
        <v>1540</v>
      </c>
      <c r="S441" s="10" t="s">
        <v>1538</v>
      </c>
      <c r="T441" s="10" t="s">
        <v>42</v>
      </c>
      <c r="U441" s="10">
        <v>51</v>
      </c>
      <c r="V441" s="10">
        <v>314</v>
      </c>
      <c r="W441" s="10">
        <v>264</v>
      </c>
      <c r="X441" s="10" t="s">
        <v>1541</v>
      </c>
      <c r="Y441" s="10" t="s">
        <v>1542</v>
      </c>
      <c r="Z441" s="10" t="s">
        <v>193</v>
      </c>
      <c r="AA441" s="10" t="s">
        <v>1543</v>
      </c>
      <c r="AB441" s="10"/>
      <c r="AC441" s="10"/>
      <c r="AD441" s="10"/>
      <c r="AE441" s="10"/>
      <c r="AF441" s="10"/>
      <c r="AG441" s="44"/>
      <c r="AH441" s="44"/>
      <c r="AI441" s="44" t="s">
        <v>6052</v>
      </c>
      <c r="AJ441" s="44" t="s">
        <v>6052</v>
      </c>
      <c r="AK441" s="44" t="s">
        <v>6052</v>
      </c>
      <c r="AL441" s="44" t="s">
        <v>6052</v>
      </c>
      <c r="AM441" s="44" t="s">
        <v>6052</v>
      </c>
      <c r="AN441" s="44" t="s">
        <v>32567</v>
      </c>
      <c r="AO441" s="45">
        <v>11</v>
      </c>
      <c r="AP441" s="45">
        <v>1</v>
      </c>
      <c r="AQ441" s="45">
        <v>0</v>
      </c>
      <c r="AR441" s="45">
        <v>0</v>
      </c>
      <c r="AS441" s="45">
        <v>0</v>
      </c>
      <c r="AT441" s="45">
        <v>0</v>
      </c>
      <c r="AU441" s="10" t="s">
        <v>6052</v>
      </c>
      <c r="AV441" s="10" t="s">
        <v>6052</v>
      </c>
      <c r="AW441" s="10" t="s">
        <v>6052</v>
      </c>
      <c r="AX441" s="10" t="s">
        <v>6052</v>
      </c>
      <c r="AY441" s="10" t="s">
        <v>32253</v>
      </c>
      <c r="AZ441" s="44" t="s">
        <v>33116</v>
      </c>
      <c r="BA441" s="44" t="s">
        <v>30916</v>
      </c>
      <c r="BB441" s="44" t="s">
        <v>31345</v>
      </c>
      <c r="BC441" s="44" t="s">
        <v>6415</v>
      </c>
      <c r="BD441" s="44" t="s">
        <v>31707</v>
      </c>
      <c r="BE441" s="11">
        <v>1</v>
      </c>
      <c r="BF441" s="11">
        <v>0</v>
      </c>
      <c r="BG441" s="11">
        <v>0</v>
      </c>
      <c r="BH441" s="10" t="s">
        <v>32225</v>
      </c>
      <c r="BI441" s="11">
        <v>100</v>
      </c>
      <c r="BJ441" s="10" t="s">
        <v>33221</v>
      </c>
      <c r="BK441" s="11">
        <v>95.3</v>
      </c>
    </row>
    <row r="442" spans="1:63" x14ac:dyDescent="0.75">
      <c r="A442" t="s">
        <v>1439</v>
      </c>
      <c r="B442" t="s">
        <v>104</v>
      </c>
      <c r="C442" t="s">
        <v>105</v>
      </c>
      <c r="D442" t="s">
        <v>106</v>
      </c>
      <c r="E442" s="22" t="s">
        <v>11480</v>
      </c>
      <c r="F442" t="s">
        <v>1440</v>
      </c>
      <c r="G442" s="1" t="str">
        <f>HYPERLINK("https://homd.org/jbrowse/?data=homd_V11.02_phage_1.2%2FGCA_001278825.1&amp;loc=GCA_001278825.1%7CCP012589.1%3A1510658..1517476&amp;tracks=prokka,prokka_ncrna,ncbi,ncbi_ncrna,panggolin,cenote,genomad&amp;highlight=","Open JBrowse")</f>
        <v>Open JBrowse</v>
      </c>
      <c r="H442" s="10">
        <v>1513658</v>
      </c>
      <c r="I442" s="10">
        <v>1514476</v>
      </c>
      <c r="J442" s="10" t="s">
        <v>1445</v>
      </c>
      <c r="K442" s="10" t="s">
        <v>39</v>
      </c>
      <c r="L442" s="10" t="s">
        <v>1379</v>
      </c>
      <c r="M442" s="10" t="s">
        <v>1380</v>
      </c>
      <c r="N442" s="10" t="s">
        <v>42</v>
      </c>
      <c r="O442" s="10">
        <v>3</v>
      </c>
      <c r="P442" s="10" t="s">
        <v>42</v>
      </c>
      <c r="Q442" s="10" t="s">
        <v>43</v>
      </c>
      <c r="R442" s="10" t="s">
        <v>1442</v>
      </c>
      <c r="S442" s="10" t="s">
        <v>1379</v>
      </c>
      <c r="T442" s="10" t="s">
        <v>42</v>
      </c>
      <c r="U442" s="10">
        <v>43</v>
      </c>
      <c r="V442" s="10">
        <v>270</v>
      </c>
      <c r="W442" s="10">
        <v>228</v>
      </c>
      <c r="X442" s="10" t="s">
        <v>45</v>
      </c>
      <c r="Y442" s="10" t="s">
        <v>1446</v>
      </c>
      <c r="Z442" s="10" t="s">
        <v>97</v>
      </c>
      <c r="AA442" s="10" t="s">
        <v>1447</v>
      </c>
      <c r="AB442" s="10"/>
      <c r="AC442" s="10"/>
      <c r="AD442" s="10"/>
      <c r="AE442" s="10"/>
      <c r="AF442" s="10"/>
      <c r="AG442" s="44"/>
      <c r="AH442" s="44"/>
      <c r="AI442" s="44" t="s">
        <v>6052</v>
      </c>
      <c r="AJ442" s="44" t="s">
        <v>6060</v>
      </c>
      <c r="AK442" s="44" t="s">
        <v>6052</v>
      </c>
      <c r="AL442" s="44" t="s">
        <v>6052</v>
      </c>
      <c r="AM442" s="44" t="s">
        <v>6052</v>
      </c>
      <c r="AN442" s="44" t="s">
        <v>32713</v>
      </c>
      <c r="AO442" s="45">
        <v>11</v>
      </c>
      <c r="AP442" s="45">
        <v>1</v>
      </c>
      <c r="AQ442" s="45">
        <v>0</v>
      </c>
      <c r="AR442" s="45">
        <v>0</v>
      </c>
      <c r="AS442" s="45">
        <v>0</v>
      </c>
      <c r="AT442" s="45">
        <v>0</v>
      </c>
      <c r="AU442" s="10" t="s">
        <v>6052</v>
      </c>
      <c r="AV442" s="10" t="s">
        <v>6052</v>
      </c>
      <c r="AW442" s="10" t="s">
        <v>6052</v>
      </c>
      <c r="AX442" s="10" t="s">
        <v>6052</v>
      </c>
      <c r="AY442" s="10" t="s">
        <v>32253</v>
      </c>
      <c r="AZ442" s="44" t="s">
        <v>33116</v>
      </c>
      <c r="BA442" s="44" t="s">
        <v>30981</v>
      </c>
      <c r="BB442" s="44" t="s">
        <v>31434</v>
      </c>
      <c r="BC442" s="44" t="s">
        <v>6415</v>
      </c>
      <c r="BD442" s="44" t="s">
        <v>31707</v>
      </c>
      <c r="BE442" s="11">
        <v>1</v>
      </c>
      <c r="BF442" s="11">
        <v>0</v>
      </c>
      <c r="BG442" s="11">
        <v>0</v>
      </c>
      <c r="BH442" s="10" t="s">
        <v>31857</v>
      </c>
      <c r="BI442" s="11">
        <v>100</v>
      </c>
      <c r="BJ442" s="10" t="s">
        <v>33260</v>
      </c>
      <c r="BK442" s="11">
        <v>100</v>
      </c>
    </row>
    <row r="443" spans="1:63" x14ac:dyDescent="0.75">
      <c r="A443" t="s">
        <v>1439</v>
      </c>
      <c r="B443" t="s">
        <v>104</v>
      </c>
      <c r="C443" t="s">
        <v>105</v>
      </c>
      <c r="D443" t="s">
        <v>106</v>
      </c>
      <c r="E443" s="22" t="s">
        <v>11480</v>
      </c>
      <c r="F443" t="s">
        <v>1440</v>
      </c>
      <c r="G443" s="1" t="str">
        <f>HYPERLINK("https://homd.org/jbrowse/?data=homd_V11.02_phage_1.2%2FGCA_001278825.1&amp;loc=GCA_001278825.1%7CCP012589.1%3A1476877..1483662&amp;tracks=prokka,prokka_ncrna,ncbi,ncbi_ncrna,panggolin,cenote,genomad&amp;highlight=","Open JBrowse")</f>
        <v>Open JBrowse</v>
      </c>
      <c r="H443" s="10">
        <v>1479877</v>
      </c>
      <c r="I443" s="10">
        <v>1480662</v>
      </c>
      <c r="J443" s="10" t="s">
        <v>1441</v>
      </c>
      <c r="K443" s="10" t="s">
        <v>39</v>
      </c>
      <c r="L443" s="10" t="s">
        <v>406</v>
      </c>
      <c r="M443" s="10" t="s">
        <v>407</v>
      </c>
      <c r="N443" s="10" t="s">
        <v>42</v>
      </c>
      <c r="O443" s="10">
        <v>3</v>
      </c>
      <c r="P443" s="10" t="s">
        <v>42</v>
      </c>
      <c r="Q443" s="10" t="s">
        <v>43</v>
      </c>
      <c r="R443" s="10" t="s">
        <v>1442</v>
      </c>
      <c r="S443" s="10" t="s">
        <v>406</v>
      </c>
      <c r="T443" s="10" t="s">
        <v>42</v>
      </c>
      <c r="U443" s="10">
        <v>33</v>
      </c>
      <c r="V443" s="10">
        <v>259</v>
      </c>
      <c r="W443" s="10">
        <v>227</v>
      </c>
      <c r="X443" s="10" t="s">
        <v>45</v>
      </c>
      <c r="Y443" s="10" t="s">
        <v>1443</v>
      </c>
      <c r="Z443" s="10" t="s">
        <v>904</v>
      </c>
      <c r="AA443" s="10" t="s">
        <v>1444</v>
      </c>
      <c r="AB443" s="10"/>
      <c r="AC443" s="10"/>
      <c r="AD443" s="10"/>
      <c r="AE443" s="10"/>
      <c r="AF443" s="10"/>
      <c r="AG443" s="44"/>
      <c r="AH443" s="44"/>
      <c r="AI443" s="44" t="s">
        <v>6052</v>
      </c>
      <c r="AJ443" s="44" t="s">
        <v>6052</v>
      </c>
      <c r="AK443" s="44" t="s">
        <v>6052</v>
      </c>
      <c r="AL443" s="44" t="s">
        <v>6052</v>
      </c>
      <c r="AM443" s="44" t="s">
        <v>6052</v>
      </c>
      <c r="AN443" s="44" t="s">
        <v>32712</v>
      </c>
      <c r="AO443" s="45">
        <v>11</v>
      </c>
      <c r="AP443" s="45">
        <v>1</v>
      </c>
      <c r="AQ443" s="45">
        <v>0</v>
      </c>
      <c r="AR443" s="45">
        <v>0</v>
      </c>
      <c r="AS443" s="45">
        <v>0</v>
      </c>
      <c r="AT443" s="45">
        <v>0</v>
      </c>
      <c r="AU443" s="10" t="s">
        <v>6052</v>
      </c>
      <c r="AV443" s="10" t="s">
        <v>6052</v>
      </c>
      <c r="AW443" s="10" t="s">
        <v>6052</v>
      </c>
      <c r="AX443" s="10" t="s">
        <v>6052</v>
      </c>
      <c r="AY443" s="10" t="s">
        <v>32253</v>
      </c>
      <c r="AZ443" s="44" t="s">
        <v>33116</v>
      </c>
      <c r="BA443" s="44" t="s">
        <v>30981</v>
      </c>
      <c r="BB443" s="44" t="s">
        <v>31433</v>
      </c>
      <c r="BC443" s="44" t="s">
        <v>6415</v>
      </c>
      <c r="BD443" s="44" t="s">
        <v>31707</v>
      </c>
      <c r="BE443" s="11">
        <v>1</v>
      </c>
      <c r="BF443" s="11">
        <v>0</v>
      </c>
      <c r="BG443" s="11">
        <v>0</v>
      </c>
      <c r="BH443" s="10" t="s">
        <v>32060</v>
      </c>
      <c r="BI443" s="11">
        <v>100</v>
      </c>
      <c r="BJ443" s="10" t="s">
        <v>33233</v>
      </c>
      <c r="BK443" s="11">
        <v>100</v>
      </c>
    </row>
    <row r="444" spans="1:63" x14ac:dyDescent="0.75">
      <c r="A444" t="s">
        <v>1427</v>
      </c>
      <c r="B444" t="s">
        <v>104</v>
      </c>
      <c r="C444" t="s">
        <v>1428</v>
      </c>
      <c r="D444" t="s">
        <v>1086</v>
      </c>
      <c r="E444" s="22" t="s">
        <v>11467</v>
      </c>
      <c r="F444" t="s">
        <v>1429</v>
      </c>
      <c r="G444" s="1" t="str">
        <f>HYPERLINK("https://homd.org/jbrowse/?data=homd_V11.02_phage_1.2%2FGCA_001274535.1&amp;loc=GCA_001274535.1%7CCP012410.1%3A2301368..2308372&amp;tracks=prokka,prokka_ncrna,ncbi,ncbi_ncrna,panggolin,cenote,genomad&amp;highlight=","Open JBrowse")</f>
        <v>Open JBrowse</v>
      </c>
      <c r="H444" s="10">
        <v>2304368</v>
      </c>
      <c r="I444" s="10">
        <v>2305372</v>
      </c>
      <c r="J444" s="10" t="s">
        <v>1430</v>
      </c>
      <c r="K444" s="10" t="s">
        <v>59</v>
      </c>
      <c r="L444" s="10" t="s">
        <v>1431</v>
      </c>
      <c r="M444" s="10" t="s">
        <v>1432</v>
      </c>
      <c r="N444" s="10" t="s">
        <v>42</v>
      </c>
      <c r="O444" s="10">
        <v>3</v>
      </c>
      <c r="P444" s="10" t="s">
        <v>42</v>
      </c>
      <c r="Q444" s="10" t="s">
        <v>59</v>
      </c>
      <c r="R444" s="10" t="s">
        <v>1433</v>
      </c>
      <c r="S444" s="10" t="s">
        <v>1431</v>
      </c>
      <c r="T444" s="10" t="s">
        <v>42</v>
      </c>
      <c r="U444" s="10">
        <v>78</v>
      </c>
      <c r="V444" s="10">
        <v>331</v>
      </c>
      <c r="W444" s="10">
        <v>254</v>
      </c>
      <c r="X444" s="10" t="s">
        <v>142</v>
      </c>
      <c r="Y444" s="10" t="s">
        <v>1434</v>
      </c>
      <c r="Z444" s="10" t="s">
        <v>743</v>
      </c>
      <c r="AA444" s="10" t="s">
        <v>1435</v>
      </c>
      <c r="AB444" s="10"/>
      <c r="AC444" s="10"/>
      <c r="AD444" s="10"/>
      <c r="AE444" s="10"/>
      <c r="AF444" s="10"/>
      <c r="AG444" s="44"/>
      <c r="AH444" s="44"/>
      <c r="AI444" s="44" t="s">
        <v>6052</v>
      </c>
      <c r="AJ444" s="44" t="s">
        <v>6052</v>
      </c>
      <c r="AK444" s="44" t="s">
        <v>6052</v>
      </c>
      <c r="AL444" s="44" t="s">
        <v>6052</v>
      </c>
      <c r="AM444" s="44" t="s">
        <v>6052</v>
      </c>
      <c r="AN444" s="44" t="s">
        <v>33075</v>
      </c>
      <c r="AO444" s="45">
        <v>11</v>
      </c>
      <c r="AP444" s="45">
        <v>1</v>
      </c>
      <c r="AQ444" s="45">
        <v>0</v>
      </c>
      <c r="AR444" s="45">
        <v>0</v>
      </c>
      <c r="AS444" s="45">
        <v>0</v>
      </c>
      <c r="AT444" s="45">
        <v>0</v>
      </c>
      <c r="AU444" s="10" t="s">
        <v>6052</v>
      </c>
      <c r="AV444" s="10" t="s">
        <v>6052</v>
      </c>
      <c r="AW444" s="10" t="s">
        <v>6052</v>
      </c>
      <c r="AX444" s="10" t="s">
        <v>6052</v>
      </c>
      <c r="AY444" s="10" t="s">
        <v>32253</v>
      </c>
      <c r="AZ444" s="44" t="s">
        <v>33117</v>
      </c>
      <c r="BA444" s="44" t="s">
        <v>31150</v>
      </c>
      <c r="BB444" s="44" t="s">
        <v>31683</v>
      </c>
      <c r="BC444" s="44" t="s">
        <v>7224</v>
      </c>
      <c r="BD444" s="44" t="s">
        <v>31715</v>
      </c>
      <c r="BE444" s="11">
        <v>1</v>
      </c>
      <c r="BF444" s="11">
        <v>0</v>
      </c>
      <c r="BG444" s="11">
        <v>0</v>
      </c>
      <c r="BH444" s="10" t="s">
        <v>31933</v>
      </c>
      <c r="BI444" s="11">
        <v>100</v>
      </c>
      <c r="BJ444" s="10" t="s">
        <v>33438</v>
      </c>
      <c r="BK444" s="11">
        <v>100</v>
      </c>
    </row>
    <row r="445" spans="1:63" x14ac:dyDescent="0.75">
      <c r="A445" t="s">
        <v>1427</v>
      </c>
      <c r="B445" t="s">
        <v>104</v>
      </c>
      <c r="C445" t="s">
        <v>1428</v>
      </c>
      <c r="D445" t="s">
        <v>1086</v>
      </c>
      <c r="E445" s="22" t="s">
        <v>11467</v>
      </c>
      <c r="F445" t="s">
        <v>1429</v>
      </c>
      <c r="G445" s="1" t="str">
        <f>HYPERLINK("https://homd.org/jbrowse/?data=homd_V11.02_phage_1.2%2FGCA_001274535.1&amp;loc=GCA_001274535.1%7CCP012410.1%3A772744..779730&amp;tracks=prokka,prokka_ncrna,ncbi,ncbi_ncrna,panggolin,cenote,genomad&amp;highlight=","Open JBrowse")</f>
        <v>Open JBrowse</v>
      </c>
      <c r="H445" s="10">
        <v>775744</v>
      </c>
      <c r="I445" s="10">
        <v>776730</v>
      </c>
      <c r="J445" s="10" t="s">
        <v>1436</v>
      </c>
      <c r="K445" s="10" t="s">
        <v>1096</v>
      </c>
      <c r="L445" s="10" t="s">
        <v>1097</v>
      </c>
      <c r="M445" s="10" t="s">
        <v>1098</v>
      </c>
      <c r="N445" s="10" t="s">
        <v>398</v>
      </c>
      <c r="O445" s="10">
        <v>3</v>
      </c>
      <c r="P445" s="10" t="s">
        <v>42</v>
      </c>
      <c r="Q445" s="10" t="s">
        <v>101</v>
      </c>
      <c r="R445" s="10" t="s">
        <v>1433</v>
      </c>
      <c r="S445" s="10" t="s">
        <v>1097</v>
      </c>
      <c r="T445" s="10" t="s">
        <v>42</v>
      </c>
      <c r="U445" s="10">
        <v>59</v>
      </c>
      <c r="V445" s="10">
        <v>324</v>
      </c>
      <c r="W445" s="10">
        <v>266</v>
      </c>
      <c r="X445" s="10" t="s">
        <v>1099</v>
      </c>
      <c r="Y445" s="10" t="s">
        <v>1437</v>
      </c>
      <c r="Z445" s="10" t="s">
        <v>547</v>
      </c>
      <c r="AA445" s="10" t="s">
        <v>1438</v>
      </c>
      <c r="AB445" s="10"/>
      <c r="AC445" s="10"/>
      <c r="AD445" s="10"/>
      <c r="AE445" s="10"/>
      <c r="AF445" s="10"/>
      <c r="AG445" s="44"/>
      <c r="AH445" s="44"/>
      <c r="AI445" s="44" t="s">
        <v>6052</v>
      </c>
      <c r="AJ445" s="44" t="s">
        <v>6052</v>
      </c>
      <c r="AK445" s="44" t="s">
        <v>6052</v>
      </c>
      <c r="AL445" s="44" t="s">
        <v>6052</v>
      </c>
      <c r="AM445" s="44" t="s">
        <v>6052</v>
      </c>
      <c r="AN445" s="44" t="s">
        <v>33076</v>
      </c>
      <c r="AO445" s="45">
        <v>11</v>
      </c>
      <c r="AP445" s="45">
        <v>1</v>
      </c>
      <c r="AQ445" s="45">
        <v>0</v>
      </c>
      <c r="AR445" s="45">
        <v>0</v>
      </c>
      <c r="AS445" s="45">
        <v>0</v>
      </c>
      <c r="AT445" s="45">
        <v>0</v>
      </c>
      <c r="AU445" s="10" t="s">
        <v>6052</v>
      </c>
      <c r="AV445" s="10" t="s">
        <v>6052</v>
      </c>
      <c r="AW445" s="10" t="s">
        <v>6052</v>
      </c>
      <c r="AX445" s="10" t="s">
        <v>6052</v>
      </c>
      <c r="AY445" s="10" t="s">
        <v>32253</v>
      </c>
      <c r="AZ445" s="44" t="s">
        <v>33117</v>
      </c>
      <c r="BA445" s="44" t="s">
        <v>31150</v>
      </c>
      <c r="BB445" s="44" t="s">
        <v>31684</v>
      </c>
      <c r="BC445" s="44" t="s">
        <v>7224</v>
      </c>
      <c r="BD445" s="44" t="s">
        <v>31715</v>
      </c>
      <c r="BE445" s="11">
        <v>1</v>
      </c>
      <c r="BF445" s="11">
        <v>0</v>
      </c>
      <c r="BG445" s="11">
        <v>0</v>
      </c>
      <c r="BH445" s="10" t="s">
        <v>32236</v>
      </c>
      <c r="BI445" s="11">
        <v>100</v>
      </c>
      <c r="BJ445" s="10" t="s">
        <v>33439</v>
      </c>
      <c r="BK445" s="11">
        <v>100</v>
      </c>
    </row>
    <row r="446" spans="1:63" x14ac:dyDescent="0.75">
      <c r="A446" t="s">
        <v>1420</v>
      </c>
      <c r="B446" t="s">
        <v>104</v>
      </c>
      <c r="C446" t="s">
        <v>1273</v>
      </c>
      <c r="D446" t="s">
        <v>1274</v>
      </c>
      <c r="E446" s="22" t="s">
        <v>11430</v>
      </c>
      <c r="F446" t="s">
        <v>1421</v>
      </c>
      <c r="G446" s="1" t="str">
        <f>HYPERLINK("https://homd.org/jbrowse/?data=homd_V11.02_phage_1.2%2FGCA_001262015.1&amp;loc=GCA_001262015.1%7CCP012074.1%3A1647826..1654830&amp;tracks=prokka,prokka_ncrna,ncbi,ncbi_ncrna,panggolin,cenote,genomad&amp;highlight=","Open JBrowse")</f>
        <v>Open JBrowse</v>
      </c>
      <c r="H446" s="10">
        <v>1650826</v>
      </c>
      <c r="I446" s="10">
        <v>1651830</v>
      </c>
      <c r="J446" s="10" t="s">
        <v>1422</v>
      </c>
      <c r="K446" s="10" t="s">
        <v>59</v>
      </c>
      <c r="L446" s="10" t="s">
        <v>157</v>
      </c>
      <c r="M446" s="10" t="s">
        <v>158</v>
      </c>
      <c r="N446" s="10" t="s">
        <v>42</v>
      </c>
      <c r="O446" s="10">
        <v>3</v>
      </c>
      <c r="P446" s="10" t="s">
        <v>42</v>
      </c>
      <c r="Q446" s="10" t="s">
        <v>59</v>
      </c>
      <c r="R446" s="10" t="s">
        <v>1423</v>
      </c>
      <c r="S446" s="10" t="s">
        <v>157</v>
      </c>
      <c r="T446" s="10" t="s">
        <v>42</v>
      </c>
      <c r="U446" s="10">
        <v>53</v>
      </c>
      <c r="V446" s="10">
        <v>279</v>
      </c>
      <c r="W446" s="10">
        <v>227</v>
      </c>
      <c r="X446" s="10" t="s">
        <v>160</v>
      </c>
      <c r="Y446" s="10" t="s">
        <v>1424</v>
      </c>
      <c r="Z446" s="10" t="s">
        <v>381</v>
      </c>
      <c r="AA446" s="10" t="s">
        <v>1425</v>
      </c>
      <c r="AB446" s="10" t="s">
        <v>1426</v>
      </c>
      <c r="AC446" s="10" t="s">
        <v>164</v>
      </c>
      <c r="AD446" s="10" t="s">
        <v>51</v>
      </c>
      <c r="AE446" s="10">
        <v>192</v>
      </c>
      <c r="AF446" s="10" t="s">
        <v>165</v>
      </c>
      <c r="AG446" s="44"/>
      <c r="AH446" s="44"/>
      <c r="AI446" s="44" t="s">
        <v>6052</v>
      </c>
      <c r="AJ446" s="44" t="s">
        <v>6052</v>
      </c>
      <c r="AK446" s="44" t="s">
        <v>6052</v>
      </c>
      <c r="AL446" s="44" t="s">
        <v>6052</v>
      </c>
      <c r="AM446" s="44" t="s">
        <v>6052</v>
      </c>
      <c r="AN446" s="44" t="s">
        <v>33091</v>
      </c>
      <c r="AO446" s="45">
        <v>11</v>
      </c>
      <c r="AP446" s="45">
        <v>1</v>
      </c>
      <c r="AQ446" s="45">
        <v>0</v>
      </c>
      <c r="AR446" s="45">
        <v>0</v>
      </c>
      <c r="AS446" s="45">
        <v>0</v>
      </c>
      <c r="AT446" s="45">
        <v>0</v>
      </c>
      <c r="AU446" s="10" t="s">
        <v>6052</v>
      </c>
      <c r="AV446" s="10" t="s">
        <v>6052</v>
      </c>
      <c r="AW446" s="10" t="s">
        <v>6052</v>
      </c>
      <c r="AX446" s="10" t="s">
        <v>6052</v>
      </c>
      <c r="AY446" s="10" t="s">
        <v>32253</v>
      </c>
      <c r="AZ446" s="44" t="s">
        <v>33117</v>
      </c>
      <c r="BA446" s="44" t="s">
        <v>31155</v>
      </c>
      <c r="BB446" s="44" t="s">
        <v>31695</v>
      </c>
      <c r="BC446" s="44" t="s">
        <v>6594</v>
      </c>
      <c r="BD446" s="44" t="s">
        <v>31708</v>
      </c>
      <c r="BE446" s="11">
        <v>1</v>
      </c>
      <c r="BF446" s="11">
        <v>0</v>
      </c>
      <c r="BG446" s="11">
        <v>0</v>
      </c>
      <c r="BH446" s="10" t="s">
        <v>32102</v>
      </c>
      <c r="BI446" s="11">
        <v>100</v>
      </c>
      <c r="BJ446" s="10" t="s">
        <v>33368</v>
      </c>
      <c r="BK446" s="11">
        <v>100</v>
      </c>
    </row>
    <row r="447" spans="1:63" x14ac:dyDescent="0.75">
      <c r="A447" t="s">
        <v>1342</v>
      </c>
      <c r="B447" t="s">
        <v>104</v>
      </c>
      <c r="C447" t="s">
        <v>1343</v>
      </c>
      <c r="D447" t="s">
        <v>1344</v>
      </c>
      <c r="E447" s="22" t="s">
        <v>10702</v>
      </c>
      <c r="F447" t="s">
        <v>1345</v>
      </c>
      <c r="G447" s="1" t="str">
        <f>HYPERLINK("https://homd.org/jbrowse/?data=homd_V11.02_phage_1.2%2FGCA_000803625.1&amp;loc=GCA_000803625.1%7CCP007496.1%3A670150..677778&amp;tracks=prokka,prokka_ncrna,ncbi,ncbi_ncrna,panggolin,cenote,genomad&amp;highlight=","Open JBrowse")</f>
        <v>Open JBrowse</v>
      </c>
      <c r="H447" s="10">
        <v>673150</v>
      </c>
      <c r="I447" s="10">
        <v>674778</v>
      </c>
      <c r="J447" s="10" t="s">
        <v>1346</v>
      </c>
      <c r="K447" s="10" t="s">
        <v>59</v>
      </c>
      <c r="L447" s="10" t="s">
        <v>1347</v>
      </c>
      <c r="M447" s="10" t="s">
        <v>1348</v>
      </c>
      <c r="N447" s="10" t="s">
        <v>42</v>
      </c>
      <c r="O447" s="10">
        <v>3</v>
      </c>
      <c r="P447" s="10" t="s">
        <v>42</v>
      </c>
      <c r="Q447" s="10" t="s">
        <v>59</v>
      </c>
      <c r="R447" s="10" t="s">
        <v>1349</v>
      </c>
      <c r="S447" s="10" t="s">
        <v>1347</v>
      </c>
      <c r="T447" s="10" t="s">
        <v>42</v>
      </c>
      <c r="U447" s="10">
        <v>55</v>
      </c>
      <c r="V447" s="10">
        <v>297</v>
      </c>
      <c r="W447" s="10">
        <v>243</v>
      </c>
      <c r="X447" s="10" t="s">
        <v>237</v>
      </c>
      <c r="Y447" s="10" t="s">
        <v>1350</v>
      </c>
      <c r="Z447" s="10" t="s">
        <v>836</v>
      </c>
      <c r="AA447" s="10" t="s">
        <v>1351</v>
      </c>
      <c r="AB447" s="10"/>
      <c r="AC447" s="10"/>
      <c r="AD447" s="10"/>
      <c r="AE447" s="10"/>
      <c r="AF447" s="10"/>
      <c r="AG447" s="44"/>
      <c r="AH447" s="44"/>
      <c r="AI447" s="44" t="s">
        <v>6052</v>
      </c>
      <c r="AJ447" s="44" t="s">
        <v>6052</v>
      </c>
      <c r="AK447" s="44" t="s">
        <v>6052</v>
      </c>
      <c r="AL447" s="44" t="s">
        <v>6052</v>
      </c>
      <c r="AM447" s="44" t="s">
        <v>6052</v>
      </c>
      <c r="AN447" s="44" t="s">
        <v>33053</v>
      </c>
      <c r="AO447" s="45">
        <v>11</v>
      </c>
      <c r="AP447" s="45">
        <v>1</v>
      </c>
      <c r="AQ447" s="45">
        <v>0</v>
      </c>
      <c r="AR447" s="45">
        <v>0</v>
      </c>
      <c r="AS447" s="45">
        <v>0</v>
      </c>
      <c r="AT447" s="45">
        <v>0</v>
      </c>
      <c r="AU447" s="10" t="s">
        <v>6052</v>
      </c>
      <c r="AV447" s="10" t="s">
        <v>6052</v>
      </c>
      <c r="AW447" s="10" t="s">
        <v>6052</v>
      </c>
      <c r="AX447" s="10" t="s">
        <v>6052</v>
      </c>
      <c r="AY447" s="10" t="s">
        <v>32253</v>
      </c>
      <c r="AZ447" s="44" t="s">
        <v>33117</v>
      </c>
      <c r="BA447" s="44" t="s">
        <v>31144</v>
      </c>
      <c r="BB447" s="44" t="s">
        <v>31673</v>
      </c>
      <c r="BC447" s="44" t="s">
        <v>10700</v>
      </c>
      <c r="BD447" s="44" t="s">
        <v>31711</v>
      </c>
      <c r="BE447" s="11">
        <v>1</v>
      </c>
      <c r="BF447" s="11">
        <v>0</v>
      </c>
      <c r="BG447" s="11">
        <v>0</v>
      </c>
      <c r="BH447" s="10" t="s">
        <v>31922</v>
      </c>
      <c r="BI447" s="11">
        <v>100</v>
      </c>
      <c r="BJ447" s="10" t="s">
        <v>33322</v>
      </c>
      <c r="BK447" s="11">
        <v>100</v>
      </c>
    </row>
    <row r="448" spans="1:63" x14ac:dyDescent="0.75">
      <c r="A448" t="s">
        <v>480</v>
      </c>
      <c r="B448" t="s">
        <v>104</v>
      </c>
      <c r="C448" t="s">
        <v>462</v>
      </c>
      <c r="D448" t="s">
        <v>463</v>
      </c>
      <c r="E448" s="22" t="s">
        <v>7569</v>
      </c>
      <c r="F448" t="s">
        <v>481</v>
      </c>
      <c r="G448" s="1" t="str">
        <f>HYPERLINK("https://homd.org/jbrowse/?data=homd_V11.02_phage_1.2%2FGCA_000193395.1&amp;loc=GCA_000193395.1%7CCP002589.1%3A620540..627499&amp;tracks=prokka,prokka_ncrna,ncbi,ncbi_ncrna,panggolin,cenote,genomad&amp;highlight=","Open JBrowse")</f>
        <v>Open JBrowse</v>
      </c>
      <c r="H448" s="10">
        <v>623540</v>
      </c>
      <c r="I448" s="10">
        <v>624499</v>
      </c>
      <c r="J448" s="10" t="s">
        <v>482</v>
      </c>
      <c r="K448" s="10" t="s">
        <v>59</v>
      </c>
      <c r="L448" s="10" t="s">
        <v>466</v>
      </c>
      <c r="M448" s="10" t="s">
        <v>467</v>
      </c>
      <c r="N448" s="10" t="s">
        <v>398</v>
      </c>
      <c r="O448" s="10">
        <v>3</v>
      </c>
      <c r="P448" s="10" t="s">
        <v>42</v>
      </c>
      <c r="Q448" s="10" t="s">
        <v>59</v>
      </c>
      <c r="R448" s="10" t="s">
        <v>483</v>
      </c>
      <c r="S448" s="10" t="s">
        <v>466</v>
      </c>
      <c r="T448" s="10" t="s">
        <v>42</v>
      </c>
      <c r="U448" s="10">
        <v>41</v>
      </c>
      <c r="V448" s="10">
        <v>267</v>
      </c>
      <c r="W448" s="10">
        <v>227</v>
      </c>
      <c r="X448" s="10" t="s">
        <v>160</v>
      </c>
      <c r="Y448" s="10" t="s">
        <v>484</v>
      </c>
      <c r="Z448" s="10" t="s">
        <v>336</v>
      </c>
      <c r="AA448" s="10" t="s">
        <v>471</v>
      </c>
      <c r="AB448" s="10"/>
      <c r="AC448" s="10"/>
      <c r="AD448" s="10"/>
      <c r="AE448" s="10"/>
      <c r="AF448" s="10"/>
      <c r="AG448" s="44"/>
      <c r="AH448" s="44"/>
      <c r="AI448" s="44" t="s">
        <v>6052</v>
      </c>
      <c r="AJ448" s="44" t="s">
        <v>6052</v>
      </c>
      <c r="AK448" s="44" t="s">
        <v>6052</v>
      </c>
      <c r="AL448" s="44" t="s">
        <v>6052</v>
      </c>
      <c r="AM448" s="44" t="s">
        <v>6052</v>
      </c>
      <c r="AN448" s="44" t="s">
        <v>32677</v>
      </c>
      <c r="AO448" s="45">
        <v>11</v>
      </c>
      <c r="AP448" s="45">
        <v>1</v>
      </c>
      <c r="AQ448" s="45">
        <v>0</v>
      </c>
      <c r="AR448" s="45">
        <v>0</v>
      </c>
      <c r="AS448" s="45">
        <v>0</v>
      </c>
      <c r="AT448" s="45">
        <v>0</v>
      </c>
      <c r="AU448" s="10" t="s">
        <v>6052</v>
      </c>
      <c r="AV448" s="10" t="s">
        <v>6052</v>
      </c>
      <c r="AW448" s="10" t="s">
        <v>6052</v>
      </c>
      <c r="AX448" s="10" t="s">
        <v>6052</v>
      </c>
      <c r="AY448" s="10" t="s">
        <v>32253</v>
      </c>
      <c r="AZ448" s="44" t="s">
        <v>33117</v>
      </c>
      <c r="BA448" s="44" t="s">
        <v>30969</v>
      </c>
      <c r="BB448" s="44" t="s">
        <v>31414</v>
      </c>
      <c r="BC448" s="44" t="s">
        <v>6594</v>
      </c>
      <c r="BD448" s="44" t="s">
        <v>31708</v>
      </c>
      <c r="BE448" s="11">
        <v>1</v>
      </c>
      <c r="BF448" s="11">
        <v>0</v>
      </c>
      <c r="BG448" s="11">
        <v>0</v>
      </c>
      <c r="BH448" s="10" t="s">
        <v>32157</v>
      </c>
      <c r="BI448" s="11">
        <v>100</v>
      </c>
      <c r="BJ448" s="10" t="s">
        <v>33357</v>
      </c>
      <c r="BK448" s="11">
        <v>100</v>
      </c>
    </row>
    <row r="449" spans="1:63" x14ac:dyDescent="0.75">
      <c r="A449" t="s">
        <v>134</v>
      </c>
      <c r="B449" t="s">
        <v>104</v>
      </c>
      <c r="C449" t="s">
        <v>135</v>
      </c>
      <c r="D449" t="s">
        <v>136</v>
      </c>
      <c r="E449" s="22" t="s">
        <v>6427</v>
      </c>
      <c r="F449" t="s">
        <v>137</v>
      </c>
      <c r="G449" s="1" t="str">
        <f>HYPERLINK("https://homd.org/jbrowse/?data=homd_V11.02_phage_1.2%2FGCA_000023905.1&amp;loc=GCA_000023905.1%7CCP001685.1%3A2287862..2294836&amp;tracks=prokka,prokka_ncrna,ncbi,ncbi_ncrna,panggolin,cenote,genomad&amp;highlight=","Open JBrowse")</f>
        <v>Open JBrowse</v>
      </c>
      <c r="H449" s="10">
        <v>2290862</v>
      </c>
      <c r="I449" s="10">
        <v>2291836</v>
      </c>
      <c r="J449" s="10" t="s">
        <v>138</v>
      </c>
      <c r="K449" s="10" t="s">
        <v>59</v>
      </c>
      <c r="L449" s="10" t="s">
        <v>139</v>
      </c>
      <c r="M449" s="10" t="s">
        <v>140</v>
      </c>
      <c r="N449" s="10" t="s">
        <v>42</v>
      </c>
      <c r="O449" s="10">
        <v>3</v>
      </c>
      <c r="P449" s="10" t="s">
        <v>42</v>
      </c>
      <c r="Q449" s="10" t="s">
        <v>59</v>
      </c>
      <c r="R449" s="10" t="s">
        <v>141</v>
      </c>
      <c r="S449" s="10" t="s">
        <v>139</v>
      </c>
      <c r="T449" s="10" t="s">
        <v>42</v>
      </c>
      <c r="U449" s="10">
        <v>66</v>
      </c>
      <c r="V449" s="10">
        <v>321</v>
      </c>
      <c r="W449" s="10">
        <v>256</v>
      </c>
      <c r="X449" s="10" t="s">
        <v>142</v>
      </c>
      <c r="Y449" s="10"/>
      <c r="Z449" s="10"/>
      <c r="AA449" s="10"/>
      <c r="AB449" s="10"/>
      <c r="AC449" s="10"/>
      <c r="AD449" s="10"/>
      <c r="AE449" s="10"/>
      <c r="AF449" s="10"/>
      <c r="AG449" s="44"/>
      <c r="AH449" s="44"/>
      <c r="AI449" s="46" t="s">
        <v>6054</v>
      </c>
      <c r="AJ449" s="44" t="s">
        <v>6052</v>
      </c>
      <c r="AK449" s="44" t="s">
        <v>6052</v>
      </c>
      <c r="AL449" s="44" t="s">
        <v>6052</v>
      </c>
      <c r="AM449" s="44" t="s">
        <v>6052</v>
      </c>
      <c r="AN449" s="44" t="s">
        <v>32603</v>
      </c>
      <c r="AO449" s="45">
        <v>11</v>
      </c>
      <c r="AP449" s="45">
        <v>1</v>
      </c>
      <c r="AQ449" s="45">
        <v>0</v>
      </c>
      <c r="AR449" s="45">
        <v>0</v>
      </c>
      <c r="AS449" s="45">
        <v>0</v>
      </c>
      <c r="AT449" s="45">
        <v>0</v>
      </c>
      <c r="AU449" s="10" t="s">
        <v>6052</v>
      </c>
      <c r="AV449" s="10" t="s">
        <v>6052</v>
      </c>
      <c r="AW449" s="10" t="s">
        <v>6052</v>
      </c>
      <c r="AX449" s="10" t="s">
        <v>6052</v>
      </c>
      <c r="AY449" s="10" t="s">
        <v>32253</v>
      </c>
      <c r="AZ449" s="44" t="s">
        <v>33117</v>
      </c>
      <c r="BA449" s="44" t="s">
        <v>30931</v>
      </c>
      <c r="BB449" s="44" t="s">
        <v>31367</v>
      </c>
      <c r="BC449" s="44" t="s">
        <v>6425</v>
      </c>
      <c r="BD449" s="44" t="s">
        <v>31709</v>
      </c>
      <c r="BE449" s="11">
        <v>1</v>
      </c>
      <c r="BF449" s="11">
        <v>0</v>
      </c>
      <c r="BG449" s="11">
        <v>0</v>
      </c>
      <c r="BH449" s="10" t="s">
        <v>32010</v>
      </c>
      <c r="BI449" s="11">
        <v>100</v>
      </c>
      <c r="BJ449" s="10" t="s">
        <v>33294</v>
      </c>
      <c r="BK449" s="11">
        <v>100</v>
      </c>
    </row>
    <row r="450" spans="1:63" x14ac:dyDescent="0.75">
      <c r="A450" t="s">
        <v>103</v>
      </c>
      <c r="B450" t="s">
        <v>104</v>
      </c>
      <c r="C450" t="s">
        <v>105</v>
      </c>
      <c r="D450" t="s">
        <v>106</v>
      </c>
      <c r="E450" s="22" t="s">
        <v>6417</v>
      </c>
      <c r="F450" t="s">
        <v>107</v>
      </c>
      <c r="G450" s="1" t="str">
        <f>HYPERLINK("https://homd.org/jbrowse/?data=homd_V11.02_phage_1.2%2FGCA_000023285.1&amp;loc=GCA_000023285.1%7CCP001632.1%3A731769..738602&amp;tracks=prokka,prokka_ncrna,ncbi,ncbi_ncrna,panggolin,cenote,genomad&amp;highlight=","Open JBrowse")</f>
        <v>Open JBrowse</v>
      </c>
      <c r="H450" s="10">
        <v>734769</v>
      </c>
      <c r="I450" s="10">
        <v>735602</v>
      </c>
      <c r="J450" s="10" t="s">
        <v>128</v>
      </c>
      <c r="K450" s="10" t="s">
        <v>39</v>
      </c>
      <c r="L450" s="10" t="s">
        <v>129</v>
      </c>
      <c r="M450" s="10" t="s">
        <v>130</v>
      </c>
      <c r="N450" s="10" t="s">
        <v>42</v>
      </c>
      <c r="O450" s="10">
        <v>3</v>
      </c>
      <c r="P450" s="10" t="s">
        <v>42</v>
      </c>
      <c r="Q450" s="10" t="s">
        <v>43</v>
      </c>
      <c r="R450" s="10" t="s">
        <v>114</v>
      </c>
      <c r="S450" s="10" t="s">
        <v>129</v>
      </c>
      <c r="T450" s="10" t="s">
        <v>42</v>
      </c>
      <c r="U450" s="10">
        <v>43</v>
      </c>
      <c r="V450" s="10">
        <v>275</v>
      </c>
      <c r="W450" s="10">
        <v>233</v>
      </c>
      <c r="X450" s="10" t="s">
        <v>45</v>
      </c>
      <c r="Y450" s="10" t="s">
        <v>131</v>
      </c>
      <c r="Z450" s="10" t="s">
        <v>132</v>
      </c>
      <c r="AA450" s="10" t="s">
        <v>133</v>
      </c>
      <c r="AB450" s="10"/>
      <c r="AC450" s="10"/>
      <c r="AD450" s="10"/>
      <c r="AE450" s="10"/>
      <c r="AF450" s="10"/>
      <c r="AG450" s="44"/>
      <c r="AH450" s="44"/>
      <c r="AI450" s="44" t="s">
        <v>6052</v>
      </c>
      <c r="AJ450" s="44" t="s">
        <v>6052</v>
      </c>
      <c r="AK450" s="44" t="s">
        <v>6052</v>
      </c>
      <c r="AL450" s="44" t="s">
        <v>6052</v>
      </c>
      <c r="AM450" s="44" t="s">
        <v>6052</v>
      </c>
      <c r="AN450" s="44" t="s">
        <v>32632</v>
      </c>
      <c r="AO450" s="45">
        <v>11</v>
      </c>
      <c r="AP450" s="45">
        <v>1</v>
      </c>
      <c r="AQ450" s="45">
        <v>0</v>
      </c>
      <c r="AR450" s="45">
        <v>0</v>
      </c>
      <c r="AS450" s="45">
        <v>0</v>
      </c>
      <c r="AT450" s="45">
        <v>0</v>
      </c>
      <c r="AU450" s="10" t="s">
        <v>6052</v>
      </c>
      <c r="AV450" s="10" t="s">
        <v>6052</v>
      </c>
      <c r="AW450" s="10" t="s">
        <v>6052</v>
      </c>
      <c r="AX450" s="10" t="s">
        <v>6052</v>
      </c>
      <c r="AY450" s="10" t="s">
        <v>32253</v>
      </c>
      <c r="AZ450" s="44" t="s">
        <v>33116</v>
      </c>
      <c r="BA450" s="44" t="s">
        <v>30947</v>
      </c>
      <c r="BB450" s="44" t="s">
        <v>31386</v>
      </c>
      <c r="BC450" s="44" t="s">
        <v>6415</v>
      </c>
      <c r="BD450" s="44" t="s">
        <v>31707</v>
      </c>
      <c r="BE450" s="11">
        <v>1</v>
      </c>
      <c r="BF450" s="11">
        <v>0</v>
      </c>
      <c r="BG450" s="11">
        <v>0</v>
      </c>
      <c r="BH450" s="10" t="s">
        <v>31850</v>
      </c>
      <c r="BI450" s="11">
        <v>100</v>
      </c>
      <c r="BJ450" s="10" t="s">
        <v>33232</v>
      </c>
      <c r="BK450" s="11">
        <v>100</v>
      </c>
    </row>
    <row r="451" spans="1:63" x14ac:dyDescent="0.75">
      <c r="A451" t="s">
        <v>103</v>
      </c>
      <c r="B451" t="s">
        <v>104</v>
      </c>
      <c r="C451" t="s">
        <v>105</v>
      </c>
      <c r="D451" t="s">
        <v>106</v>
      </c>
      <c r="E451" s="22" t="s">
        <v>6417</v>
      </c>
      <c r="F451" t="s">
        <v>107</v>
      </c>
      <c r="G451" s="1" t="str">
        <f>HYPERLINK("https://homd.org/jbrowse/?data=homd_V11.02_phage_1.2%2FGCA_000023285.1&amp;loc=GCA_000023285.1%7CCP001632.1%3A699236..706027&amp;tracks=prokka,prokka_ncrna,ncbi,ncbi_ncrna,panggolin,cenote,genomad&amp;highlight=","Open JBrowse")</f>
        <v>Open JBrowse</v>
      </c>
      <c r="H451" s="10">
        <v>702236</v>
      </c>
      <c r="I451" s="10">
        <v>703027</v>
      </c>
      <c r="J451" s="10" t="s">
        <v>122</v>
      </c>
      <c r="K451" s="10" t="s">
        <v>39</v>
      </c>
      <c r="L451" s="10" t="s">
        <v>123</v>
      </c>
      <c r="M451" s="10" t="s">
        <v>124</v>
      </c>
      <c r="N451" s="10" t="s">
        <v>42</v>
      </c>
      <c r="O451" s="10">
        <v>3</v>
      </c>
      <c r="P451" s="10" t="s">
        <v>42</v>
      </c>
      <c r="Q451" s="10" t="s">
        <v>43</v>
      </c>
      <c r="R451" s="10" t="s">
        <v>114</v>
      </c>
      <c r="S451" s="10" t="s">
        <v>123</v>
      </c>
      <c r="T451" s="10" t="s">
        <v>42</v>
      </c>
      <c r="U451" s="10">
        <v>35</v>
      </c>
      <c r="V451" s="10">
        <v>261</v>
      </c>
      <c r="W451" s="10">
        <v>227</v>
      </c>
      <c r="X451" s="10" t="s">
        <v>45</v>
      </c>
      <c r="Y451" s="10" t="s">
        <v>125</v>
      </c>
      <c r="Z451" s="10" t="s">
        <v>126</v>
      </c>
      <c r="AA451" s="10" t="s">
        <v>127</v>
      </c>
      <c r="AB451" s="10"/>
      <c r="AC451" s="10"/>
      <c r="AD451" s="10"/>
      <c r="AE451" s="10"/>
      <c r="AF451" s="10"/>
      <c r="AG451" s="44"/>
      <c r="AH451" s="44"/>
      <c r="AI451" s="44" t="s">
        <v>6052</v>
      </c>
      <c r="AJ451" s="44" t="s">
        <v>6052</v>
      </c>
      <c r="AK451" s="44" t="s">
        <v>6052</v>
      </c>
      <c r="AL451" s="44" t="s">
        <v>6052</v>
      </c>
      <c r="AM451" s="44" t="s">
        <v>6052</v>
      </c>
      <c r="AN451" s="44" t="s">
        <v>32631</v>
      </c>
      <c r="AO451" s="45">
        <v>11</v>
      </c>
      <c r="AP451" s="45">
        <v>1</v>
      </c>
      <c r="AQ451" s="45">
        <v>0</v>
      </c>
      <c r="AR451" s="45">
        <v>0</v>
      </c>
      <c r="AS451" s="45">
        <v>0</v>
      </c>
      <c r="AT451" s="45">
        <v>0</v>
      </c>
      <c r="AU451" s="10" t="s">
        <v>6052</v>
      </c>
      <c r="AV451" s="10" t="s">
        <v>6052</v>
      </c>
      <c r="AW451" s="10" t="s">
        <v>6052</v>
      </c>
      <c r="AX451" s="10" t="s">
        <v>6052</v>
      </c>
      <c r="AY451" s="10" t="s">
        <v>32253</v>
      </c>
      <c r="AZ451" s="44" t="s">
        <v>33116</v>
      </c>
      <c r="BA451" s="44" t="s">
        <v>30947</v>
      </c>
      <c r="BB451" s="44" t="s">
        <v>31385</v>
      </c>
      <c r="BC451" s="44" t="s">
        <v>6415</v>
      </c>
      <c r="BD451" s="44" t="s">
        <v>31707</v>
      </c>
      <c r="BE451" s="11">
        <v>1</v>
      </c>
      <c r="BF451" s="11">
        <v>0</v>
      </c>
      <c r="BG451" s="11">
        <v>0</v>
      </c>
      <c r="BH451" s="10" t="s">
        <v>32044</v>
      </c>
      <c r="BI451" s="11">
        <v>100</v>
      </c>
      <c r="BJ451" s="10" t="s">
        <v>33231</v>
      </c>
      <c r="BK451" s="11">
        <v>100</v>
      </c>
    </row>
    <row r="452" spans="1:63" x14ac:dyDescent="0.75">
      <c r="A452" t="s">
        <v>5282</v>
      </c>
      <c r="B452" t="s">
        <v>104</v>
      </c>
      <c r="C452" t="s">
        <v>1998</v>
      </c>
      <c r="D452" t="s">
        <v>1999</v>
      </c>
      <c r="E452" s="22" t="s">
        <v>28063</v>
      </c>
      <c r="F452" t="s">
        <v>5283</v>
      </c>
      <c r="G452" s="1" t="str">
        <f>HYPERLINK("https://homd.org/jbrowse/?data=homd_V11.02_phage_1.2%2FGCA_900683665.1&amp;loc=GCA_900683665.1%7CCAACYH010000004.1%3A2647994..2655040&amp;tracks=prokka,prokka_ncrna,ncbi,ncbi_ncrna,panggolin,cenote,genomad&amp;highlight=","Open JBrowse")</f>
        <v>Open JBrowse</v>
      </c>
      <c r="H452" s="10">
        <v>2650994</v>
      </c>
      <c r="I452" s="10">
        <v>2652040</v>
      </c>
      <c r="J452" s="10" t="s">
        <v>5284</v>
      </c>
      <c r="K452" s="10" t="s">
        <v>109</v>
      </c>
      <c r="L452" s="10" t="s">
        <v>2266</v>
      </c>
      <c r="M452" s="10" t="s">
        <v>2267</v>
      </c>
      <c r="N452" s="10" t="s">
        <v>42</v>
      </c>
      <c r="O452" s="10">
        <v>3</v>
      </c>
      <c r="P452" s="10" t="s">
        <v>42</v>
      </c>
      <c r="Q452" s="10" t="s">
        <v>101</v>
      </c>
      <c r="R452" s="10" t="s">
        <v>5285</v>
      </c>
      <c r="S452" s="10" t="s">
        <v>2266</v>
      </c>
      <c r="T452" s="10" t="s">
        <v>42</v>
      </c>
      <c r="U452" s="10">
        <v>109</v>
      </c>
      <c r="V452" s="10">
        <v>345</v>
      </c>
      <c r="W452" s="10">
        <v>237</v>
      </c>
      <c r="X452" s="10" t="s">
        <v>248</v>
      </c>
      <c r="Y452" s="10" t="s">
        <v>5286</v>
      </c>
      <c r="Z452" s="10" t="s">
        <v>2583</v>
      </c>
      <c r="AA452" s="10" t="s">
        <v>5287</v>
      </c>
      <c r="AB452" s="10" t="s">
        <v>5288</v>
      </c>
      <c r="AC452" s="10" t="s">
        <v>2010</v>
      </c>
      <c r="AD452" s="10" t="s">
        <v>101</v>
      </c>
      <c r="AE452" s="10">
        <v>4424</v>
      </c>
      <c r="AF452" s="10" t="s">
        <v>2270</v>
      </c>
      <c r="AG452" s="44"/>
      <c r="AH452" s="44"/>
      <c r="AI452" s="44" t="s">
        <v>6052</v>
      </c>
      <c r="AJ452" s="44" t="s">
        <v>6058</v>
      </c>
      <c r="AK452" s="44" t="s">
        <v>6052</v>
      </c>
      <c r="AL452" s="44" t="s">
        <v>6052</v>
      </c>
      <c r="AM452" s="44" t="s">
        <v>6052</v>
      </c>
      <c r="AN452" s="44" t="s">
        <v>32476</v>
      </c>
      <c r="AO452" s="45">
        <v>11</v>
      </c>
      <c r="AP452" s="45">
        <v>1</v>
      </c>
      <c r="AQ452" s="45">
        <v>1</v>
      </c>
      <c r="AR452" s="45">
        <v>1</v>
      </c>
      <c r="AS452" s="45">
        <v>0</v>
      </c>
      <c r="AT452" s="45">
        <v>0</v>
      </c>
      <c r="AU452" s="10" t="s">
        <v>32477</v>
      </c>
      <c r="AV452" s="10" t="s">
        <v>32478</v>
      </c>
      <c r="AW452" s="10" t="s">
        <v>6052</v>
      </c>
      <c r="AX452" s="10" t="s">
        <v>6052</v>
      </c>
      <c r="AY452" s="10" t="s">
        <v>32271</v>
      </c>
      <c r="AZ452" s="44" t="s">
        <v>33110</v>
      </c>
      <c r="BA452" s="44" t="s">
        <v>30883</v>
      </c>
      <c r="BB452" s="44" t="s">
        <v>31291</v>
      </c>
      <c r="BC452" s="44" t="s">
        <v>6718</v>
      </c>
      <c r="BD452" s="44" t="s">
        <v>31717</v>
      </c>
      <c r="BE452" s="11">
        <v>1</v>
      </c>
      <c r="BF452" s="11">
        <v>1</v>
      </c>
      <c r="BG452" s="11">
        <v>0</v>
      </c>
      <c r="BH452" s="10" t="s">
        <v>31749</v>
      </c>
      <c r="BI452" s="11">
        <v>100</v>
      </c>
      <c r="BJ452" s="10" t="s">
        <v>33499</v>
      </c>
      <c r="BK452" s="11">
        <v>100</v>
      </c>
    </row>
    <row r="453" spans="1:63" x14ac:dyDescent="0.75">
      <c r="A453" t="s">
        <v>5270</v>
      </c>
      <c r="B453" t="s">
        <v>104</v>
      </c>
      <c r="C453" t="s">
        <v>329</v>
      </c>
      <c r="D453" t="s">
        <v>330</v>
      </c>
      <c r="E453" s="22" t="s">
        <v>28022</v>
      </c>
      <c r="F453" t="s">
        <v>5271</v>
      </c>
      <c r="G453" s="1" t="str">
        <f>HYPERLINK("https://homd.org/jbrowse/?data=homd_V11.02_phage_1.2%2FGCA_900638125.1&amp;loc=GCA_900638125.1%7CLR134489.1%3A2009353..2016996&amp;tracks=prokka,prokka_ncrna,ncbi,ncbi_ncrna,panggolin,cenote,genomad&amp;highlight=","Open JBrowse")</f>
        <v>Open JBrowse</v>
      </c>
      <c r="H453" s="10">
        <v>2012353</v>
      </c>
      <c r="I453" s="10">
        <v>2013996</v>
      </c>
      <c r="J453" s="10" t="s">
        <v>5274</v>
      </c>
      <c r="K453" s="10" t="s">
        <v>109</v>
      </c>
      <c r="L453" s="10" t="s">
        <v>110</v>
      </c>
      <c r="M453" s="10" t="s">
        <v>111</v>
      </c>
      <c r="N453" s="10" t="s">
        <v>112</v>
      </c>
      <c r="O453" s="10">
        <v>3</v>
      </c>
      <c r="P453" s="10" t="s">
        <v>113</v>
      </c>
      <c r="Q453" s="10" t="s">
        <v>101</v>
      </c>
      <c r="R453" s="10" t="s">
        <v>5273</v>
      </c>
      <c r="S453" s="10" t="s">
        <v>115</v>
      </c>
      <c r="T453" s="10" t="s">
        <v>42</v>
      </c>
      <c r="U453" s="10">
        <v>322</v>
      </c>
      <c r="V453" s="10">
        <v>546</v>
      </c>
      <c r="W453" s="10">
        <v>225</v>
      </c>
      <c r="X453" s="10" t="s">
        <v>116</v>
      </c>
      <c r="Y453" s="10" t="s">
        <v>5275</v>
      </c>
      <c r="Z453" s="10" t="s">
        <v>824</v>
      </c>
      <c r="AA453" s="10" t="s">
        <v>5276</v>
      </c>
      <c r="AB453" s="10" t="s">
        <v>5277</v>
      </c>
      <c r="AC453" s="10" t="s">
        <v>68</v>
      </c>
      <c r="AD453" s="10" t="s">
        <v>69</v>
      </c>
      <c r="AE453" s="10">
        <v>3166</v>
      </c>
      <c r="AF453" s="10" t="s">
        <v>5278</v>
      </c>
      <c r="AG453" s="44"/>
      <c r="AH453" s="44"/>
      <c r="AI453" s="44" t="s">
        <v>6052</v>
      </c>
      <c r="AJ453" s="44" t="s">
        <v>6066</v>
      </c>
      <c r="AK453" s="44" t="s">
        <v>6069</v>
      </c>
      <c r="AL453" s="44" t="s">
        <v>6052</v>
      </c>
      <c r="AM453" s="44" t="s">
        <v>6052</v>
      </c>
      <c r="AN453" s="44" t="s">
        <v>32940</v>
      </c>
      <c r="AO453" s="45">
        <v>11</v>
      </c>
      <c r="AP453" s="45">
        <v>1</v>
      </c>
      <c r="AQ453" s="45">
        <v>1</v>
      </c>
      <c r="AR453" s="45">
        <v>1</v>
      </c>
      <c r="AS453" s="45">
        <v>0</v>
      </c>
      <c r="AT453" s="45">
        <v>0</v>
      </c>
      <c r="AU453" s="10" t="s">
        <v>32941</v>
      </c>
      <c r="AV453" s="10" t="s">
        <v>32942</v>
      </c>
      <c r="AW453" s="10" t="s">
        <v>6052</v>
      </c>
      <c r="AX453" s="10" t="s">
        <v>6052</v>
      </c>
      <c r="AY453" s="10" t="s">
        <v>32407</v>
      </c>
      <c r="AZ453" s="44" t="s">
        <v>33116</v>
      </c>
      <c r="BA453" s="44" t="s">
        <v>31086</v>
      </c>
      <c r="BB453" s="44" t="s">
        <v>31590</v>
      </c>
      <c r="BC453" s="44" t="s">
        <v>6415</v>
      </c>
      <c r="BD453" s="44" t="s">
        <v>31707</v>
      </c>
      <c r="BE453" s="11">
        <v>1</v>
      </c>
      <c r="BF453" s="11">
        <v>1</v>
      </c>
      <c r="BG453" s="11">
        <v>0</v>
      </c>
      <c r="BH453" s="10" t="s">
        <v>31784</v>
      </c>
      <c r="BI453" s="11">
        <v>100</v>
      </c>
      <c r="BJ453" s="10" t="s">
        <v>33539</v>
      </c>
      <c r="BK453" s="11">
        <v>100</v>
      </c>
    </row>
    <row r="454" spans="1:63" x14ac:dyDescent="0.75">
      <c r="A454" t="s">
        <v>5251</v>
      </c>
      <c r="B454" t="s">
        <v>104</v>
      </c>
      <c r="C454" t="s">
        <v>105</v>
      </c>
      <c r="D454" t="s">
        <v>106</v>
      </c>
      <c r="E454" s="22" t="s">
        <v>27896</v>
      </c>
      <c r="F454" t="s">
        <v>5252</v>
      </c>
      <c r="G454" s="1" t="str">
        <f>HYPERLINK("https://homd.org/jbrowse/?data=homd_V11.02_phage_1.2%2FGCA_900618145.1&amp;loc=GCA_900618145.1%7CUYIQ01000001.1%3A1567991..1575634&amp;tracks=prokka,prokka_ncrna,ncbi,ncbi_ncrna,panggolin,cenote,genomad&amp;highlight=","Open JBrowse")</f>
        <v>Open JBrowse</v>
      </c>
      <c r="H454" s="10">
        <v>1570991</v>
      </c>
      <c r="I454" s="10">
        <v>1572634</v>
      </c>
      <c r="J454" s="10" t="s">
        <v>5253</v>
      </c>
      <c r="K454" s="10" t="s">
        <v>109</v>
      </c>
      <c r="L454" s="10" t="s">
        <v>110</v>
      </c>
      <c r="M454" s="10" t="s">
        <v>111</v>
      </c>
      <c r="N454" s="10" t="s">
        <v>112</v>
      </c>
      <c r="O454" s="10">
        <v>3</v>
      </c>
      <c r="P454" s="10" t="s">
        <v>113</v>
      </c>
      <c r="Q454" s="10" t="s">
        <v>101</v>
      </c>
      <c r="R454" s="10" t="s">
        <v>5254</v>
      </c>
      <c r="S454" s="10" t="s">
        <v>115</v>
      </c>
      <c r="T454" s="10" t="s">
        <v>42</v>
      </c>
      <c r="U454" s="10">
        <v>322</v>
      </c>
      <c r="V454" s="10">
        <v>546</v>
      </c>
      <c r="W454" s="10">
        <v>225</v>
      </c>
      <c r="X454" s="10" t="s">
        <v>116</v>
      </c>
      <c r="Y454" s="10" t="s">
        <v>5255</v>
      </c>
      <c r="Z454" s="10" t="s">
        <v>743</v>
      </c>
      <c r="AA454" s="10" t="s">
        <v>5256</v>
      </c>
      <c r="AB454" s="10" t="s">
        <v>5257</v>
      </c>
      <c r="AC454" s="10" t="s">
        <v>68</v>
      </c>
      <c r="AD454" s="10" t="s">
        <v>69</v>
      </c>
      <c r="AE454" s="10">
        <v>3249</v>
      </c>
      <c r="AF454" s="10" t="s">
        <v>804</v>
      </c>
      <c r="AG454" s="44"/>
      <c r="AH454" s="44"/>
      <c r="AI454" s="44" t="s">
        <v>6052</v>
      </c>
      <c r="AJ454" s="44" t="s">
        <v>6058</v>
      </c>
      <c r="AK454" s="44" t="s">
        <v>6069</v>
      </c>
      <c r="AL454" s="44" t="s">
        <v>6052</v>
      </c>
      <c r="AM454" s="44" t="s">
        <v>6052</v>
      </c>
      <c r="AN454" s="44" t="s">
        <v>32945</v>
      </c>
      <c r="AO454" s="45">
        <v>11</v>
      </c>
      <c r="AP454" s="45">
        <v>1</v>
      </c>
      <c r="AQ454" s="45">
        <v>2</v>
      </c>
      <c r="AR454" s="45">
        <v>1</v>
      </c>
      <c r="AS454" s="45">
        <v>0</v>
      </c>
      <c r="AT454" s="45">
        <v>0</v>
      </c>
      <c r="AU454" s="10" t="s">
        <v>32946</v>
      </c>
      <c r="AV454" s="10" t="s">
        <v>32947</v>
      </c>
      <c r="AW454" s="10" t="s">
        <v>6052</v>
      </c>
      <c r="AX454" s="10" t="s">
        <v>6052</v>
      </c>
      <c r="AY454" s="10" t="s">
        <v>32886</v>
      </c>
      <c r="AZ454" s="44" t="s">
        <v>33116</v>
      </c>
      <c r="BA454" s="44" t="s">
        <v>31087</v>
      </c>
      <c r="BB454" s="44" t="s">
        <v>31593</v>
      </c>
      <c r="BC454" s="44" t="s">
        <v>6415</v>
      </c>
      <c r="BD454" s="44" t="s">
        <v>31707</v>
      </c>
      <c r="BE454" s="11">
        <v>1</v>
      </c>
      <c r="BF454" s="11">
        <v>1</v>
      </c>
      <c r="BG454" s="11">
        <v>0</v>
      </c>
      <c r="BH454" s="10" t="s">
        <v>31795</v>
      </c>
      <c r="BI454" s="11">
        <v>100</v>
      </c>
      <c r="BJ454" s="10" t="s">
        <v>33517</v>
      </c>
      <c r="BK454" s="11">
        <v>100</v>
      </c>
    </row>
    <row r="455" spans="1:63" x14ac:dyDescent="0.75">
      <c r="A455" t="s">
        <v>4794</v>
      </c>
      <c r="B455" t="s">
        <v>104</v>
      </c>
      <c r="C455" t="s">
        <v>105</v>
      </c>
      <c r="D455" t="s">
        <v>106</v>
      </c>
      <c r="E455" s="22" t="s">
        <v>24254</v>
      </c>
      <c r="F455" t="s">
        <v>4795</v>
      </c>
      <c r="G455" s="1" t="str">
        <f>HYPERLINK("https://homd.org/jbrowse/?data=homd_V11.02_phage_1.2%2FGCA_026013825.1&amp;loc=GCA_026013825.1%7CCP110230.1%3A1295025..1302668&amp;tracks=prokka,prokka_ncrna,ncbi,ncbi_ncrna,panggolin,cenote,genomad&amp;highlight=","Open JBrowse")</f>
        <v>Open JBrowse</v>
      </c>
      <c r="H455" s="10">
        <v>1298025</v>
      </c>
      <c r="I455" s="10">
        <v>1299668</v>
      </c>
      <c r="J455" s="10" t="s">
        <v>4796</v>
      </c>
      <c r="K455" s="10" t="s">
        <v>109</v>
      </c>
      <c r="L455" s="10" t="s">
        <v>110</v>
      </c>
      <c r="M455" s="10" t="s">
        <v>333</v>
      </c>
      <c r="N455" s="10" t="s">
        <v>112</v>
      </c>
      <c r="O455" s="10">
        <v>3</v>
      </c>
      <c r="P455" s="10" t="s">
        <v>113</v>
      </c>
      <c r="Q455" s="10" t="s">
        <v>101</v>
      </c>
      <c r="R455" s="10" t="s">
        <v>4797</v>
      </c>
      <c r="S455" s="10" t="s">
        <v>115</v>
      </c>
      <c r="T455" s="10" t="s">
        <v>42</v>
      </c>
      <c r="U455" s="10">
        <v>322</v>
      </c>
      <c r="V455" s="10">
        <v>546</v>
      </c>
      <c r="W455" s="10">
        <v>225</v>
      </c>
      <c r="X455" s="10" t="s">
        <v>116</v>
      </c>
      <c r="Y455" s="10" t="s">
        <v>4798</v>
      </c>
      <c r="Z455" s="10" t="s">
        <v>132</v>
      </c>
      <c r="AA455" s="10" t="s">
        <v>4799</v>
      </c>
      <c r="AB455" s="10" t="s">
        <v>4800</v>
      </c>
      <c r="AC455" s="10" t="s">
        <v>339</v>
      </c>
      <c r="AD455" s="10" t="s">
        <v>101</v>
      </c>
      <c r="AE455" s="10">
        <v>3609</v>
      </c>
      <c r="AF455" s="10" t="s">
        <v>4801</v>
      </c>
      <c r="AG455" s="44"/>
      <c r="AH455" s="44"/>
      <c r="AI455" s="44" t="s">
        <v>6052</v>
      </c>
      <c r="AJ455" s="44" t="s">
        <v>6058</v>
      </c>
      <c r="AK455" s="44" t="s">
        <v>6069</v>
      </c>
      <c r="AL455" s="44" t="s">
        <v>6052</v>
      </c>
      <c r="AM455" s="44" t="s">
        <v>6052</v>
      </c>
      <c r="AN455" s="44" t="s">
        <v>32894</v>
      </c>
      <c r="AO455" s="45">
        <v>11</v>
      </c>
      <c r="AP455" s="45">
        <v>1</v>
      </c>
      <c r="AQ455" s="45">
        <v>2</v>
      </c>
      <c r="AR455" s="45">
        <v>1</v>
      </c>
      <c r="AS455" s="45">
        <v>0</v>
      </c>
      <c r="AT455" s="45">
        <v>0</v>
      </c>
      <c r="AU455" s="10" t="s">
        <v>32895</v>
      </c>
      <c r="AV455" s="10" t="s">
        <v>32896</v>
      </c>
      <c r="AW455" s="10" t="s">
        <v>6052</v>
      </c>
      <c r="AX455" s="10" t="s">
        <v>6052</v>
      </c>
      <c r="AY455" s="10" t="s">
        <v>32733</v>
      </c>
      <c r="AZ455" s="44" t="s">
        <v>33116</v>
      </c>
      <c r="BA455" s="44" t="s">
        <v>31068</v>
      </c>
      <c r="BB455" s="44" t="s">
        <v>31563</v>
      </c>
      <c r="BC455" s="44" t="s">
        <v>6415</v>
      </c>
      <c r="BD455" s="44" t="s">
        <v>31707</v>
      </c>
      <c r="BE455" s="11">
        <v>1</v>
      </c>
      <c r="BF455" s="11">
        <v>1</v>
      </c>
      <c r="BG455" s="11">
        <v>0</v>
      </c>
      <c r="BH455" s="10" t="s">
        <v>31760</v>
      </c>
      <c r="BI455" s="11">
        <v>100</v>
      </c>
      <c r="BJ455" s="10" t="s">
        <v>33520</v>
      </c>
      <c r="BK455" s="11">
        <v>100</v>
      </c>
    </row>
    <row r="456" spans="1:63" x14ac:dyDescent="0.75">
      <c r="A456" t="s">
        <v>4783</v>
      </c>
      <c r="B456" t="s">
        <v>104</v>
      </c>
      <c r="C456" t="s">
        <v>105</v>
      </c>
      <c r="D456" t="s">
        <v>106</v>
      </c>
      <c r="E456" s="22" t="s">
        <v>24252</v>
      </c>
      <c r="F456" t="s">
        <v>4784</v>
      </c>
      <c r="G456" s="1" t="str">
        <f>HYPERLINK("https://homd.org/jbrowse/?data=homd_V11.02_phage_1.2%2FGCA_026013805.1&amp;loc=GCA_026013805.1%7CCP110229.1%3A166469..174112&amp;tracks=prokka,prokka_ncrna,ncbi,ncbi_ncrna,panggolin,cenote,genomad&amp;highlight=","Open JBrowse")</f>
        <v>Open JBrowse</v>
      </c>
      <c r="H456" s="10">
        <v>169469</v>
      </c>
      <c r="I456" s="10">
        <v>171112</v>
      </c>
      <c r="J456" s="10" t="s">
        <v>4785</v>
      </c>
      <c r="K456" s="10" t="s">
        <v>109</v>
      </c>
      <c r="L456" s="10" t="s">
        <v>110</v>
      </c>
      <c r="M456" s="10" t="s">
        <v>333</v>
      </c>
      <c r="N456" s="10" t="s">
        <v>112</v>
      </c>
      <c r="O456" s="10">
        <v>3</v>
      </c>
      <c r="P456" s="10" t="s">
        <v>113</v>
      </c>
      <c r="Q456" s="10" t="s">
        <v>101</v>
      </c>
      <c r="R456" s="10" t="s">
        <v>4786</v>
      </c>
      <c r="S456" s="10" t="s">
        <v>115</v>
      </c>
      <c r="T456" s="10" t="s">
        <v>42</v>
      </c>
      <c r="U456" s="10">
        <v>322</v>
      </c>
      <c r="V456" s="10">
        <v>546</v>
      </c>
      <c r="W456" s="10">
        <v>225</v>
      </c>
      <c r="X456" s="10" t="s">
        <v>116</v>
      </c>
      <c r="Y456" s="10" t="s">
        <v>4787</v>
      </c>
      <c r="Z456" s="10" t="s">
        <v>1257</v>
      </c>
      <c r="AA456" s="10" t="s">
        <v>4788</v>
      </c>
      <c r="AB456" s="10" t="s">
        <v>4789</v>
      </c>
      <c r="AC456" s="10" t="s">
        <v>339</v>
      </c>
      <c r="AD456" s="10" t="s">
        <v>101</v>
      </c>
      <c r="AE456" s="10">
        <v>3483</v>
      </c>
      <c r="AF456" s="10" t="s">
        <v>656</v>
      </c>
      <c r="AG456" s="44"/>
      <c r="AH456" s="44"/>
      <c r="AI456" s="44" t="s">
        <v>6052</v>
      </c>
      <c r="AJ456" s="44" t="s">
        <v>6058</v>
      </c>
      <c r="AK456" s="44" t="s">
        <v>6063</v>
      </c>
      <c r="AL456" s="44" t="s">
        <v>6052</v>
      </c>
      <c r="AM456" s="44" t="s">
        <v>6052</v>
      </c>
      <c r="AN456" s="44" t="s">
        <v>32889</v>
      </c>
      <c r="AO456" s="45">
        <v>11</v>
      </c>
      <c r="AP456" s="45">
        <v>1</v>
      </c>
      <c r="AQ456" s="45">
        <v>1</v>
      </c>
      <c r="AR456" s="45">
        <v>1</v>
      </c>
      <c r="AS456" s="45">
        <v>0</v>
      </c>
      <c r="AT456" s="45">
        <v>0</v>
      </c>
      <c r="AU456" s="10" t="s">
        <v>32890</v>
      </c>
      <c r="AV456" s="10" t="s">
        <v>32891</v>
      </c>
      <c r="AW456" s="10" t="s">
        <v>6052</v>
      </c>
      <c r="AX456" s="10" t="s">
        <v>6052</v>
      </c>
      <c r="AY456" s="10" t="s">
        <v>32407</v>
      </c>
      <c r="AZ456" s="44" t="s">
        <v>33116</v>
      </c>
      <c r="BA456" s="44" t="s">
        <v>31067</v>
      </c>
      <c r="BB456" s="44" t="s">
        <v>31560</v>
      </c>
      <c r="BC456" s="44" t="s">
        <v>6415</v>
      </c>
      <c r="BD456" s="44" t="s">
        <v>31707</v>
      </c>
      <c r="BE456" s="11">
        <v>1</v>
      </c>
      <c r="BF456" s="11">
        <v>1</v>
      </c>
      <c r="BG456" s="11">
        <v>0</v>
      </c>
      <c r="BH456" s="10" t="s">
        <v>31787</v>
      </c>
      <c r="BI456" s="11">
        <v>100</v>
      </c>
      <c r="BJ456" s="10" t="s">
        <v>33509</v>
      </c>
      <c r="BK456" s="11">
        <v>100</v>
      </c>
    </row>
    <row r="457" spans="1:63" x14ac:dyDescent="0.75">
      <c r="A457" t="s">
        <v>4771</v>
      </c>
      <c r="B457" t="s">
        <v>104</v>
      </c>
      <c r="C457" t="s">
        <v>105</v>
      </c>
      <c r="D457" t="s">
        <v>106</v>
      </c>
      <c r="E457" s="22" t="s">
        <v>24250</v>
      </c>
      <c r="F457" t="s">
        <v>4772</v>
      </c>
      <c r="G457" s="1" t="str">
        <f>HYPERLINK("https://homd.org/jbrowse/?data=homd_V11.02_phage_1.2%2FGCA_026013785.1&amp;loc=GCA_026013785.1%7CCP110228.1%3A693946..701589&amp;tracks=prokka,prokka_ncrna,ncbi,ncbi_ncrna,panggolin,cenote,genomad&amp;highlight=","Open JBrowse")</f>
        <v>Open JBrowse</v>
      </c>
      <c r="H457" s="10">
        <v>696946</v>
      </c>
      <c r="I457" s="10">
        <v>698589</v>
      </c>
      <c r="J457" s="10" t="s">
        <v>4777</v>
      </c>
      <c r="K457" s="10" t="s">
        <v>109</v>
      </c>
      <c r="L457" s="10" t="s">
        <v>110</v>
      </c>
      <c r="M457" s="10" t="s">
        <v>333</v>
      </c>
      <c r="N457" s="10" t="s">
        <v>112</v>
      </c>
      <c r="O457" s="10">
        <v>3</v>
      </c>
      <c r="P457" s="10" t="s">
        <v>113</v>
      </c>
      <c r="Q457" s="10" t="s">
        <v>101</v>
      </c>
      <c r="R457" s="10" t="s">
        <v>4774</v>
      </c>
      <c r="S457" s="10" t="s">
        <v>115</v>
      </c>
      <c r="T457" s="10" t="s">
        <v>42</v>
      </c>
      <c r="U457" s="10">
        <v>322</v>
      </c>
      <c r="V457" s="10">
        <v>546</v>
      </c>
      <c r="W457" s="10">
        <v>225</v>
      </c>
      <c r="X457" s="10" t="s">
        <v>116</v>
      </c>
      <c r="Y457" s="10" t="s">
        <v>4778</v>
      </c>
      <c r="Z457" s="10" t="s">
        <v>932</v>
      </c>
      <c r="AA457" s="10" t="s">
        <v>4779</v>
      </c>
      <c r="AB457" s="10" t="s">
        <v>4780</v>
      </c>
      <c r="AC457" s="10" t="s">
        <v>68</v>
      </c>
      <c r="AD457" s="10" t="s">
        <v>69</v>
      </c>
      <c r="AE457" s="10">
        <v>3248</v>
      </c>
      <c r="AF457" s="10" t="s">
        <v>804</v>
      </c>
      <c r="AG457" s="44"/>
      <c r="AH457" s="44"/>
      <c r="AI457" s="44" t="s">
        <v>6052</v>
      </c>
      <c r="AJ457" s="44" t="s">
        <v>6058</v>
      </c>
      <c r="AK457" s="44" t="s">
        <v>6069</v>
      </c>
      <c r="AL457" s="44" t="s">
        <v>6052</v>
      </c>
      <c r="AM457" s="44" t="s">
        <v>6052</v>
      </c>
      <c r="AN457" s="44" t="s">
        <v>32883</v>
      </c>
      <c r="AO457" s="45">
        <v>11</v>
      </c>
      <c r="AP457" s="45">
        <v>1</v>
      </c>
      <c r="AQ457" s="45">
        <v>2</v>
      </c>
      <c r="AR457" s="45">
        <v>1</v>
      </c>
      <c r="AS457" s="45">
        <v>0</v>
      </c>
      <c r="AT457" s="45">
        <v>0</v>
      </c>
      <c r="AU457" s="10" t="s">
        <v>32884</v>
      </c>
      <c r="AV457" s="10" t="s">
        <v>32885</v>
      </c>
      <c r="AW457" s="10" t="s">
        <v>6052</v>
      </c>
      <c r="AX457" s="10" t="s">
        <v>6052</v>
      </c>
      <c r="AY457" s="10" t="s">
        <v>32886</v>
      </c>
      <c r="AZ457" s="44" t="s">
        <v>33116</v>
      </c>
      <c r="BA457" s="44" t="s">
        <v>31066</v>
      </c>
      <c r="BB457" s="44" t="s">
        <v>31557</v>
      </c>
      <c r="BC457" s="44" t="s">
        <v>6415</v>
      </c>
      <c r="BD457" s="44" t="s">
        <v>31707</v>
      </c>
      <c r="BE457" s="11">
        <v>1</v>
      </c>
      <c r="BF457" s="11">
        <v>1</v>
      </c>
      <c r="BG457" s="11">
        <v>0</v>
      </c>
      <c r="BH457" s="10" t="s">
        <v>31762</v>
      </c>
      <c r="BI457" s="11">
        <v>100</v>
      </c>
      <c r="BJ457" s="10" t="s">
        <v>33519</v>
      </c>
      <c r="BK457" s="11">
        <v>100</v>
      </c>
    </row>
    <row r="458" spans="1:63" x14ac:dyDescent="0.75">
      <c r="A458" t="s">
        <v>4026</v>
      </c>
      <c r="B458" t="s">
        <v>104</v>
      </c>
      <c r="C458" t="s">
        <v>105</v>
      </c>
      <c r="D458" t="s">
        <v>106</v>
      </c>
      <c r="E458" s="22" t="s">
        <v>21872</v>
      </c>
      <c r="F458" t="s">
        <v>4027</v>
      </c>
      <c r="G458" s="1" t="str">
        <f>HYPERLINK("https://homd.org/jbrowse/?data=homd_V11.02_phage_1.2%2FGCA_020736165.1&amp;loc=GCA_020736165.1%7CCP085961.1%3A1868873..1876516&amp;tracks=prokka,prokka_ncrna,ncbi,ncbi_ncrna,panggolin,cenote,genomad&amp;highlight=","Open JBrowse")</f>
        <v>Open JBrowse</v>
      </c>
      <c r="H458" s="10">
        <v>1871873</v>
      </c>
      <c r="I458" s="10">
        <v>1873516</v>
      </c>
      <c r="J458" s="10" t="s">
        <v>4033</v>
      </c>
      <c r="K458" s="10" t="s">
        <v>109</v>
      </c>
      <c r="L458" s="10" t="s">
        <v>110</v>
      </c>
      <c r="M458" s="10" t="s">
        <v>333</v>
      </c>
      <c r="N458" s="10" t="s">
        <v>112</v>
      </c>
      <c r="O458" s="10">
        <v>3</v>
      </c>
      <c r="P458" s="10" t="s">
        <v>113</v>
      </c>
      <c r="Q458" s="10" t="s">
        <v>101</v>
      </c>
      <c r="R458" s="10" t="s">
        <v>4029</v>
      </c>
      <c r="S458" s="10" t="s">
        <v>115</v>
      </c>
      <c r="T458" s="10" t="s">
        <v>42</v>
      </c>
      <c r="U458" s="10">
        <v>322</v>
      </c>
      <c r="V458" s="10">
        <v>546</v>
      </c>
      <c r="W458" s="10">
        <v>225</v>
      </c>
      <c r="X458" s="10" t="s">
        <v>116</v>
      </c>
      <c r="Y458" s="10" t="s">
        <v>4034</v>
      </c>
      <c r="Z458" s="10" t="s">
        <v>653</v>
      </c>
      <c r="AA458" s="10" t="s">
        <v>421</v>
      </c>
      <c r="AB458" s="10" t="s">
        <v>4035</v>
      </c>
      <c r="AC458" s="10" t="s">
        <v>339</v>
      </c>
      <c r="AD458" s="10" t="s">
        <v>101</v>
      </c>
      <c r="AE458" s="10">
        <v>3468</v>
      </c>
      <c r="AF458" s="10" t="s">
        <v>423</v>
      </c>
      <c r="AG458" s="44"/>
      <c r="AH458" s="44"/>
      <c r="AI458" s="44" t="s">
        <v>6052</v>
      </c>
      <c r="AJ458" s="44" t="s">
        <v>6058</v>
      </c>
      <c r="AK458" s="44" t="s">
        <v>6069</v>
      </c>
      <c r="AL458" s="44" t="s">
        <v>6052</v>
      </c>
      <c r="AM458" s="44" t="s">
        <v>6052</v>
      </c>
      <c r="AN458" s="44" t="s">
        <v>32783</v>
      </c>
      <c r="AO458" s="45">
        <v>11</v>
      </c>
      <c r="AP458" s="45">
        <v>1</v>
      </c>
      <c r="AQ458" s="45">
        <v>2</v>
      </c>
      <c r="AR458" s="45">
        <v>2</v>
      </c>
      <c r="AS458" s="45">
        <v>0</v>
      </c>
      <c r="AT458" s="45">
        <v>0</v>
      </c>
      <c r="AU458" s="10" t="s">
        <v>32784</v>
      </c>
      <c r="AV458" s="10" t="s">
        <v>32785</v>
      </c>
      <c r="AW458" s="10" t="s">
        <v>6052</v>
      </c>
      <c r="AX458" s="10" t="s">
        <v>6052</v>
      </c>
      <c r="AY458" s="10" t="s">
        <v>32675</v>
      </c>
      <c r="AZ458" s="44" t="s">
        <v>33116</v>
      </c>
      <c r="BA458" s="44" t="s">
        <v>31009</v>
      </c>
      <c r="BB458" s="44" t="s">
        <v>31481</v>
      </c>
      <c r="BC458" s="44" t="s">
        <v>6415</v>
      </c>
      <c r="BD458" s="44" t="s">
        <v>31707</v>
      </c>
      <c r="BE458" s="11">
        <v>1</v>
      </c>
      <c r="BF458" s="11">
        <v>1</v>
      </c>
      <c r="BG458" s="11">
        <v>0</v>
      </c>
      <c r="BH458" s="10" t="s">
        <v>31792</v>
      </c>
      <c r="BI458" s="11">
        <v>100</v>
      </c>
      <c r="BJ458" s="10" t="s">
        <v>33522</v>
      </c>
      <c r="BK458" s="11">
        <v>100</v>
      </c>
    </row>
    <row r="459" spans="1:63" x14ac:dyDescent="0.75">
      <c r="A459" t="s">
        <v>3894</v>
      </c>
      <c r="B459" t="s">
        <v>104</v>
      </c>
      <c r="C459" t="s">
        <v>105</v>
      </c>
      <c r="D459" t="s">
        <v>106</v>
      </c>
      <c r="E459" s="22" t="s">
        <v>21659</v>
      </c>
      <c r="F459" t="s">
        <v>3895</v>
      </c>
      <c r="G459" s="1" t="str">
        <f>HYPERLINK("https://homd.org/jbrowse/?data=homd_V11.02_phage_1.2%2FGCA_019930725.1&amp;loc=GCA_019930725.1%7CCP082870.1%3A187037..194680&amp;tracks=prokka,prokka_ncrna,ncbi,ncbi_ncrna,panggolin,cenote,genomad&amp;highlight=","Open JBrowse")</f>
        <v>Open JBrowse</v>
      </c>
      <c r="H459" s="10">
        <v>190037</v>
      </c>
      <c r="I459" s="10">
        <v>191680</v>
      </c>
      <c r="J459" s="10" t="s">
        <v>3896</v>
      </c>
      <c r="K459" s="10" t="s">
        <v>109</v>
      </c>
      <c r="L459" s="10" t="s">
        <v>110</v>
      </c>
      <c r="M459" s="10" t="s">
        <v>111</v>
      </c>
      <c r="N459" s="10" t="s">
        <v>112</v>
      </c>
      <c r="O459" s="10">
        <v>3</v>
      </c>
      <c r="P459" s="10" t="s">
        <v>113</v>
      </c>
      <c r="Q459" s="10" t="s">
        <v>101</v>
      </c>
      <c r="R459" s="10" t="s">
        <v>3897</v>
      </c>
      <c r="S459" s="10" t="s">
        <v>115</v>
      </c>
      <c r="T459" s="10" t="s">
        <v>42</v>
      </c>
      <c r="U459" s="10">
        <v>322</v>
      </c>
      <c r="V459" s="10">
        <v>546</v>
      </c>
      <c r="W459" s="10">
        <v>225</v>
      </c>
      <c r="X459" s="10" t="s">
        <v>116</v>
      </c>
      <c r="Y459" s="10" t="s">
        <v>3898</v>
      </c>
      <c r="Z459" s="10" t="s">
        <v>1334</v>
      </c>
      <c r="AA459" s="10" t="s">
        <v>119</v>
      </c>
      <c r="AB459" s="10" t="s">
        <v>3899</v>
      </c>
      <c r="AC459" s="10" t="s">
        <v>68</v>
      </c>
      <c r="AD459" s="10" t="s">
        <v>69</v>
      </c>
      <c r="AE459" s="10">
        <v>3260</v>
      </c>
      <c r="AF459" s="10" t="s">
        <v>121</v>
      </c>
      <c r="AG459" s="44"/>
      <c r="AH459" s="44"/>
      <c r="AI459" s="44" t="s">
        <v>6052</v>
      </c>
      <c r="AJ459" s="44" t="s">
        <v>6058</v>
      </c>
      <c r="AK459" s="44" t="s">
        <v>6069</v>
      </c>
      <c r="AL459" s="44" t="s">
        <v>6052</v>
      </c>
      <c r="AM459" s="44" t="s">
        <v>6052</v>
      </c>
      <c r="AN459" s="44" t="s">
        <v>32778</v>
      </c>
      <c r="AO459" s="45">
        <v>11</v>
      </c>
      <c r="AP459" s="45">
        <v>1</v>
      </c>
      <c r="AQ459" s="45">
        <v>1</v>
      </c>
      <c r="AR459" s="45">
        <v>1</v>
      </c>
      <c r="AS459" s="45">
        <v>0</v>
      </c>
      <c r="AT459" s="45">
        <v>0</v>
      </c>
      <c r="AU459" s="10" t="s">
        <v>32779</v>
      </c>
      <c r="AV459" s="10" t="s">
        <v>32780</v>
      </c>
      <c r="AW459" s="10" t="s">
        <v>6052</v>
      </c>
      <c r="AX459" s="10" t="s">
        <v>6052</v>
      </c>
      <c r="AY459" s="10" t="s">
        <v>32407</v>
      </c>
      <c r="AZ459" s="44" t="s">
        <v>33116</v>
      </c>
      <c r="BA459" s="44" t="s">
        <v>31008</v>
      </c>
      <c r="BB459" s="44" t="s">
        <v>31478</v>
      </c>
      <c r="BC459" s="44" t="s">
        <v>6415</v>
      </c>
      <c r="BD459" s="44" t="s">
        <v>31707</v>
      </c>
      <c r="BE459" s="11">
        <v>1</v>
      </c>
      <c r="BF459" s="11">
        <v>1</v>
      </c>
      <c r="BG459" s="11">
        <v>0</v>
      </c>
      <c r="BH459" s="10" t="s">
        <v>31822</v>
      </c>
      <c r="BI459" s="11">
        <v>100</v>
      </c>
      <c r="BJ459" s="10" t="s">
        <v>33508</v>
      </c>
      <c r="BK459" s="11">
        <v>100</v>
      </c>
    </row>
    <row r="460" spans="1:63" x14ac:dyDescent="0.75">
      <c r="A460" t="s">
        <v>2260</v>
      </c>
      <c r="B460" t="s">
        <v>104</v>
      </c>
      <c r="C460" t="s">
        <v>1998</v>
      </c>
      <c r="D460" t="s">
        <v>1999</v>
      </c>
      <c r="E460" s="22" t="s">
        <v>16612</v>
      </c>
      <c r="F460" t="s">
        <v>2264</v>
      </c>
      <c r="G460" s="1" t="str">
        <f>HYPERLINK("https://homd.org/jbrowse/?data=homd_V11.02_phage_1.2%2FGCA_004342845.1&amp;loc=GCA_004342845.1%7CSLXB01000040.1%3A809..7855&amp;tracks=prokka,prokka_ncrna,ncbi,ncbi_ncrna,panggolin,cenote,genomad&amp;highlight=","Open JBrowse")</f>
        <v>Open JBrowse</v>
      </c>
      <c r="H460" s="10">
        <v>3809</v>
      </c>
      <c r="I460" s="10">
        <v>4855</v>
      </c>
      <c r="J460" s="10" t="s">
        <v>2265</v>
      </c>
      <c r="K460" s="10" t="s">
        <v>109</v>
      </c>
      <c r="L460" s="10" t="s">
        <v>2266</v>
      </c>
      <c r="M460" s="10" t="s">
        <v>2267</v>
      </c>
      <c r="N460" s="10" t="s">
        <v>42</v>
      </c>
      <c r="O460" s="10">
        <v>3</v>
      </c>
      <c r="P460" s="10" t="s">
        <v>42</v>
      </c>
      <c r="Q460" s="10" t="s">
        <v>101</v>
      </c>
      <c r="R460" s="10" t="s">
        <v>2263</v>
      </c>
      <c r="S460" s="10" t="s">
        <v>2266</v>
      </c>
      <c r="T460" s="10" t="s">
        <v>42</v>
      </c>
      <c r="U460" s="10">
        <v>109</v>
      </c>
      <c r="V460" s="10">
        <v>345</v>
      </c>
      <c r="W460" s="10">
        <v>237</v>
      </c>
      <c r="X460" s="10" t="s">
        <v>248</v>
      </c>
      <c r="Y460" s="10" t="s">
        <v>2268</v>
      </c>
      <c r="Z460" s="10" t="s">
        <v>429</v>
      </c>
      <c r="AA460" s="10" t="s">
        <v>250</v>
      </c>
      <c r="AB460" s="10" t="s">
        <v>2269</v>
      </c>
      <c r="AC460" s="10" t="s">
        <v>2010</v>
      </c>
      <c r="AD460" s="10" t="s">
        <v>101</v>
      </c>
      <c r="AE460" s="10">
        <v>4425</v>
      </c>
      <c r="AF460" s="10" t="s">
        <v>2270</v>
      </c>
      <c r="AG460" s="44"/>
      <c r="AH460" s="44"/>
      <c r="AI460" s="44" t="s">
        <v>6052</v>
      </c>
      <c r="AJ460" s="44" t="s">
        <v>6058</v>
      </c>
      <c r="AK460" s="44" t="s">
        <v>6052</v>
      </c>
      <c r="AL460" s="44" t="s">
        <v>6052</v>
      </c>
      <c r="AM460" s="44" t="s">
        <v>6052</v>
      </c>
      <c r="AN460" s="44" t="s">
        <v>32626</v>
      </c>
      <c r="AO460" s="45">
        <v>11</v>
      </c>
      <c r="AP460" s="45">
        <v>1</v>
      </c>
      <c r="AQ460" s="45">
        <v>1</v>
      </c>
      <c r="AR460" s="45">
        <v>1</v>
      </c>
      <c r="AS460" s="45">
        <v>0</v>
      </c>
      <c r="AT460" s="45">
        <v>0</v>
      </c>
      <c r="AU460" s="10" t="s">
        <v>32627</v>
      </c>
      <c r="AV460" s="10" t="s">
        <v>32628</v>
      </c>
      <c r="AW460" s="10" t="s">
        <v>6052</v>
      </c>
      <c r="AX460" s="10" t="s">
        <v>6052</v>
      </c>
      <c r="AY460" s="10" t="s">
        <v>32271</v>
      </c>
      <c r="AZ460" s="44" t="s">
        <v>33110</v>
      </c>
      <c r="BA460" s="44" t="s">
        <v>30944</v>
      </c>
      <c r="BB460" s="44" t="s">
        <v>31382</v>
      </c>
      <c r="BC460" s="44" t="s">
        <v>6718</v>
      </c>
      <c r="BD460" s="44" t="s">
        <v>31717</v>
      </c>
      <c r="BE460" s="11">
        <v>1</v>
      </c>
      <c r="BF460" s="11">
        <v>1</v>
      </c>
      <c r="BG460" s="11">
        <v>0</v>
      </c>
      <c r="BH460" s="10" t="s">
        <v>31755</v>
      </c>
      <c r="BI460" s="11">
        <v>100</v>
      </c>
      <c r="BJ460" s="10" t="s">
        <v>33498</v>
      </c>
      <c r="BK460" s="11">
        <v>100</v>
      </c>
    </row>
    <row r="461" spans="1:63" x14ac:dyDescent="0.75">
      <c r="A461" t="s">
        <v>5221</v>
      </c>
      <c r="B461" t="s">
        <v>104</v>
      </c>
      <c r="C461" t="s">
        <v>241</v>
      </c>
      <c r="D461" t="s">
        <v>242</v>
      </c>
      <c r="E461" s="22" t="s">
        <v>27559</v>
      </c>
      <c r="F461" t="s">
        <v>5222</v>
      </c>
      <c r="G461" s="1" t="str">
        <f>HYPERLINK("https://homd.org/jbrowse/?data=homd_V11.02_phage_1.2%2FGCA_900454855.1&amp;loc=GCA_900454855.1%7CUGTJ01000001.1%3A1923317..1930423&amp;tracks=prokka,prokka_ncrna,ncbi,ncbi_ncrna,panggolin,cenote,genomad&amp;highlight=","Open JBrowse")</f>
        <v>Open JBrowse</v>
      </c>
      <c r="H461" s="10">
        <v>1926317</v>
      </c>
      <c r="I461" s="10">
        <v>1927423</v>
      </c>
      <c r="J461" s="10" t="s">
        <v>5223</v>
      </c>
      <c r="K461" s="10" t="s">
        <v>109</v>
      </c>
      <c r="L461" s="10" t="s">
        <v>245</v>
      </c>
      <c r="M461" s="10" t="s">
        <v>246</v>
      </c>
      <c r="N461" s="10" t="s">
        <v>42</v>
      </c>
      <c r="O461" s="10">
        <v>3</v>
      </c>
      <c r="P461" s="10" t="s">
        <v>42</v>
      </c>
      <c r="Q461" s="10" t="s">
        <v>101</v>
      </c>
      <c r="R461" s="10" t="s">
        <v>5224</v>
      </c>
      <c r="S461" s="10" t="s">
        <v>245</v>
      </c>
      <c r="T461" s="10" t="s">
        <v>42</v>
      </c>
      <c r="U461" s="10">
        <v>138</v>
      </c>
      <c r="V461" s="10">
        <v>366</v>
      </c>
      <c r="W461" s="10">
        <v>229</v>
      </c>
      <c r="X461" s="10" t="s">
        <v>248</v>
      </c>
      <c r="Y461" s="10" t="s">
        <v>5225</v>
      </c>
      <c r="Z461" s="10" t="s">
        <v>811</v>
      </c>
      <c r="AA461" s="10" t="s">
        <v>992</v>
      </c>
      <c r="AB461" s="10" t="s">
        <v>5226</v>
      </c>
      <c r="AC461" s="10" t="s">
        <v>252</v>
      </c>
      <c r="AD461" s="10" t="s">
        <v>101</v>
      </c>
      <c r="AE461" s="10">
        <v>2701</v>
      </c>
      <c r="AF461" s="10" t="s">
        <v>3789</v>
      </c>
      <c r="AG461" s="44"/>
      <c r="AH461" s="44"/>
      <c r="AI461" s="44" t="s">
        <v>6052</v>
      </c>
      <c r="AJ461" s="44" t="s">
        <v>6058</v>
      </c>
      <c r="AK461" s="44" t="s">
        <v>6052</v>
      </c>
      <c r="AL461" s="44" t="s">
        <v>6052</v>
      </c>
      <c r="AM461" s="44" t="s">
        <v>6052</v>
      </c>
      <c r="AN461" s="44" t="s">
        <v>32968</v>
      </c>
      <c r="AO461" s="45">
        <v>11</v>
      </c>
      <c r="AP461" s="45">
        <v>1</v>
      </c>
      <c r="AQ461" s="45">
        <v>1</v>
      </c>
      <c r="AR461" s="45">
        <v>1</v>
      </c>
      <c r="AS461" s="45">
        <v>0</v>
      </c>
      <c r="AT461" s="45">
        <v>0</v>
      </c>
      <c r="AU461" s="10" t="s">
        <v>32969</v>
      </c>
      <c r="AV461" s="10" t="s">
        <v>32970</v>
      </c>
      <c r="AW461" s="10" t="s">
        <v>6052</v>
      </c>
      <c r="AX461" s="10" t="s">
        <v>6052</v>
      </c>
      <c r="AY461" s="10" t="s">
        <v>32407</v>
      </c>
      <c r="AZ461" s="44" t="s">
        <v>33116</v>
      </c>
      <c r="BA461" s="44" t="s">
        <v>31092</v>
      </c>
      <c r="BB461" s="44" t="s">
        <v>31604</v>
      </c>
      <c r="BC461" s="44" t="s">
        <v>6564</v>
      </c>
      <c r="BD461" s="44" t="s">
        <v>31710</v>
      </c>
      <c r="BE461" s="11">
        <v>1</v>
      </c>
      <c r="BF461" s="11">
        <v>1</v>
      </c>
      <c r="BG461" s="11">
        <v>0</v>
      </c>
      <c r="BH461" s="10" t="s">
        <v>31809</v>
      </c>
      <c r="BI461" s="11">
        <v>100</v>
      </c>
      <c r="BJ461" s="10" t="s">
        <v>33555</v>
      </c>
      <c r="BK461" s="11">
        <v>100</v>
      </c>
    </row>
    <row r="462" spans="1:63" x14ac:dyDescent="0.75">
      <c r="A462" t="s">
        <v>5227</v>
      </c>
      <c r="B462" t="s">
        <v>104</v>
      </c>
      <c r="C462" t="s">
        <v>105</v>
      </c>
      <c r="D462" t="s">
        <v>106</v>
      </c>
      <c r="E462" s="22" t="s">
        <v>27647</v>
      </c>
      <c r="F462" t="s">
        <v>5228</v>
      </c>
      <c r="G462" s="1" t="str">
        <f>HYPERLINK("https://homd.org/jbrowse/?data=homd_V11.02_phage_1.2%2FGCA_900460915.1&amp;loc=GCA_900460915.1%7CUAVS01000001.1%3A103778..111418&amp;tracks=prokka,prokka_ncrna,ncbi,ncbi_ncrna,panggolin,cenote,genomad&amp;highlight=","Open JBrowse")</f>
        <v>Open JBrowse</v>
      </c>
      <c r="H462" s="10">
        <v>106778</v>
      </c>
      <c r="I462" s="10">
        <v>108418</v>
      </c>
      <c r="J462" s="10" t="s">
        <v>5229</v>
      </c>
      <c r="K462" s="10" t="s">
        <v>109</v>
      </c>
      <c r="L462" s="10" t="s">
        <v>5230</v>
      </c>
      <c r="M462" s="10" t="s">
        <v>5231</v>
      </c>
      <c r="N462" s="10" t="s">
        <v>112</v>
      </c>
      <c r="O462" s="10">
        <v>3</v>
      </c>
      <c r="P462" s="10" t="s">
        <v>113</v>
      </c>
      <c r="Q462" s="10" t="s">
        <v>101</v>
      </c>
      <c r="R462" s="10" t="s">
        <v>5232</v>
      </c>
      <c r="S462" s="10" t="s">
        <v>5233</v>
      </c>
      <c r="T462" s="10" t="s">
        <v>42</v>
      </c>
      <c r="U462" s="10">
        <v>322</v>
      </c>
      <c r="V462" s="10">
        <v>545</v>
      </c>
      <c r="W462" s="10">
        <v>224</v>
      </c>
      <c r="X462" s="10" t="s">
        <v>116</v>
      </c>
      <c r="Y462" s="10" t="s">
        <v>5234</v>
      </c>
      <c r="Z462" s="10" t="s">
        <v>368</v>
      </c>
      <c r="AA462" s="10" t="s">
        <v>5235</v>
      </c>
      <c r="AB462" s="10" t="s">
        <v>5236</v>
      </c>
      <c r="AC462" s="10" t="s">
        <v>339</v>
      </c>
      <c r="AD462" s="10" t="s">
        <v>101</v>
      </c>
      <c r="AE462" s="10">
        <v>3474</v>
      </c>
      <c r="AF462" s="10" t="s">
        <v>681</v>
      </c>
      <c r="AG462" s="44"/>
      <c r="AH462" s="44"/>
      <c r="AI462" s="44" t="s">
        <v>6052</v>
      </c>
      <c r="AJ462" s="44" t="s">
        <v>6066</v>
      </c>
      <c r="AK462" s="44" t="s">
        <v>6069</v>
      </c>
      <c r="AL462" s="44" t="s">
        <v>6052</v>
      </c>
      <c r="AM462" s="44" t="s">
        <v>6052</v>
      </c>
      <c r="AN462" s="44" t="s">
        <v>32950</v>
      </c>
      <c r="AO462" s="45">
        <v>11</v>
      </c>
      <c r="AP462" s="45">
        <v>1</v>
      </c>
      <c r="AQ462" s="45">
        <v>1</v>
      </c>
      <c r="AR462" s="45">
        <v>2</v>
      </c>
      <c r="AS462" s="45">
        <v>0</v>
      </c>
      <c r="AT462" s="45">
        <v>0</v>
      </c>
      <c r="AU462" s="10" t="s">
        <v>32951</v>
      </c>
      <c r="AV462" s="10" t="s">
        <v>32952</v>
      </c>
      <c r="AW462" s="10" t="s">
        <v>6052</v>
      </c>
      <c r="AX462" s="10" t="s">
        <v>6052</v>
      </c>
      <c r="AY462" s="10" t="s">
        <v>32953</v>
      </c>
      <c r="AZ462" s="44" t="s">
        <v>33116</v>
      </c>
      <c r="BA462" s="44" t="s">
        <v>31088</v>
      </c>
      <c r="BB462" s="44" t="s">
        <v>31596</v>
      </c>
      <c r="BC462" s="44" t="s">
        <v>6415</v>
      </c>
      <c r="BD462" s="44" t="s">
        <v>31707</v>
      </c>
      <c r="BE462" s="11">
        <v>1</v>
      </c>
      <c r="BF462" s="11">
        <v>1</v>
      </c>
      <c r="BG462" s="11">
        <v>0</v>
      </c>
      <c r="BH462" s="10" t="s">
        <v>31802</v>
      </c>
      <c r="BI462" s="11">
        <v>100</v>
      </c>
      <c r="BJ462" s="10" t="s">
        <v>33516</v>
      </c>
      <c r="BK462" s="11">
        <v>100</v>
      </c>
    </row>
    <row r="463" spans="1:63" x14ac:dyDescent="0.75">
      <c r="A463" t="s">
        <v>5198</v>
      </c>
      <c r="B463" t="s">
        <v>104</v>
      </c>
      <c r="C463" t="s">
        <v>105</v>
      </c>
      <c r="D463" t="s">
        <v>106</v>
      </c>
      <c r="E463" s="22" t="s">
        <v>27434</v>
      </c>
      <c r="F463" t="s">
        <v>5199</v>
      </c>
      <c r="G463" s="1" t="str">
        <f>HYPERLINK("https://homd.org/jbrowse/?data=homd_V11.02_phage_1.2%2FGCA_900446705.1&amp;loc=GCA_900446705.1%7CUARG01000017.1%3A1689287..1696930&amp;tracks=prokka,prokka_ncrna,ncbi,ncbi_ncrna,panggolin,cenote,genomad&amp;highlight=","Open JBrowse")</f>
        <v>Open JBrowse</v>
      </c>
      <c r="H463" s="10">
        <v>1692287</v>
      </c>
      <c r="I463" s="10">
        <v>1693930</v>
      </c>
      <c r="J463" s="10" t="s">
        <v>5200</v>
      </c>
      <c r="K463" s="10" t="s">
        <v>109</v>
      </c>
      <c r="L463" s="10" t="s">
        <v>110</v>
      </c>
      <c r="M463" s="10" t="s">
        <v>111</v>
      </c>
      <c r="N463" s="10" t="s">
        <v>112</v>
      </c>
      <c r="O463" s="10">
        <v>3</v>
      </c>
      <c r="P463" s="10" t="s">
        <v>113</v>
      </c>
      <c r="Q463" s="10" t="s">
        <v>101</v>
      </c>
      <c r="R463" s="10" t="s">
        <v>5201</v>
      </c>
      <c r="S463" s="10" t="s">
        <v>115</v>
      </c>
      <c r="T463" s="10" t="s">
        <v>42</v>
      </c>
      <c r="U463" s="10">
        <v>322</v>
      </c>
      <c r="V463" s="10">
        <v>546</v>
      </c>
      <c r="W463" s="10">
        <v>225</v>
      </c>
      <c r="X463" s="10" t="s">
        <v>116</v>
      </c>
      <c r="Y463" s="10" t="s">
        <v>5202</v>
      </c>
      <c r="Z463" s="10" t="s">
        <v>892</v>
      </c>
      <c r="AA463" s="10" t="s">
        <v>5203</v>
      </c>
      <c r="AB463" s="10" t="s">
        <v>5204</v>
      </c>
      <c r="AC463" s="10" t="s">
        <v>339</v>
      </c>
      <c r="AD463" s="10" t="s">
        <v>101</v>
      </c>
      <c r="AE463" s="10">
        <v>3471</v>
      </c>
      <c r="AF463" s="10" t="s">
        <v>5205</v>
      </c>
      <c r="AG463" s="44"/>
      <c r="AH463" s="44"/>
      <c r="AI463" s="44" t="s">
        <v>6052</v>
      </c>
      <c r="AJ463" s="44" t="s">
        <v>6058</v>
      </c>
      <c r="AK463" s="44" t="s">
        <v>6069</v>
      </c>
      <c r="AL463" s="44" t="s">
        <v>6052</v>
      </c>
      <c r="AM463" s="44" t="s">
        <v>6052</v>
      </c>
      <c r="AN463" s="44" t="s">
        <v>32956</v>
      </c>
      <c r="AO463" s="45">
        <v>11</v>
      </c>
      <c r="AP463" s="45">
        <v>1</v>
      </c>
      <c r="AQ463" s="45">
        <v>2</v>
      </c>
      <c r="AR463" s="45">
        <v>2</v>
      </c>
      <c r="AS463" s="45">
        <v>0</v>
      </c>
      <c r="AT463" s="45">
        <v>0</v>
      </c>
      <c r="AU463" s="10" t="s">
        <v>32957</v>
      </c>
      <c r="AV463" s="10" t="s">
        <v>32958</v>
      </c>
      <c r="AW463" s="10" t="s">
        <v>6052</v>
      </c>
      <c r="AX463" s="10" t="s">
        <v>6052</v>
      </c>
      <c r="AY463" s="10" t="s">
        <v>32959</v>
      </c>
      <c r="AZ463" s="44" t="s">
        <v>33116</v>
      </c>
      <c r="BA463" s="44" t="s">
        <v>31089</v>
      </c>
      <c r="BB463" s="44" t="s">
        <v>31599</v>
      </c>
      <c r="BC463" s="44" t="s">
        <v>6415</v>
      </c>
      <c r="BD463" s="44" t="s">
        <v>31707</v>
      </c>
      <c r="BE463" s="11">
        <v>1</v>
      </c>
      <c r="BF463" s="11">
        <v>1</v>
      </c>
      <c r="BG463" s="11">
        <v>0</v>
      </c>
      <c r="BH463" s="10" t="s">
        <v>31786</v>
      </c>
      <c r="BI463" s="11">
        <v>100</v>
      </c>
      <c r="BJ463" s="10" t="s">
        <v>33525</v>
      </c>
      <c r="BK463" s="11">
        <v>100</v>
      </c>
    </row>
    <row r="464" spans="1:63" x14ac:dyDescent="0.75">
      <c r="A464" t="s">
        <v>5189</v>
      </c>
      <c r="B464" t="s">
        <v>104</v>
      </c>
      <c r="C464" t="s">
        <v>329</v>
      </c>
      <c r="D464" t="s">
        <v>330</v>
      </c>
      <c r="E464" s="22" t="s">
        <v>27432</v>
      </c>
      <c r="F464" t="s">
        <v>5190</v>
      </c>
      <c r="G464" s="1" t="str">
        <f>HYPERLINK("https://homd.org/jbrowse/?data=homd_V11.02_phage_1.2%2FGCA_900446695.1&amp;loc=GCA_900446695.1%7CUAVP01000008.1%3A226548..234191&amp;tracks=prokka,prokka_ncrna,ncbi,ncbi_ncrna,panggolin,cenote,genomad&amp;highlight=","Open JBrowse")</f>
        <v>Open JBrowse</v>
      </c>
      <c r="H464" s="10">
        <v>229548</v>
      </c>
      <c r="I464" s="10">
        <v>231191</v>
      </c>
      <c r="J464" s="10" t="s">
        <v>5194</v>
      </c>
      <c r="K464" s="10" t="s">
        <v>109</v>
      </c>
      <c r="L464" s="10" t="s">
        <v>110</v>
      </c>
      <c r="M464" s="10" t="s">
        <v>333</v>
      </c>
      <c r="N464" s="10" t="s">
        <v>112</v>
      </c>
      <c r="O464" s="10">
        <v>3</v>
      </c>
      <c r="P464" s="10" t="s">
        <v>113</v>
      </c>
      <c r="Q464" s="10" t="s">
        <v>101</v>
      </c>
      <c r="R464" s="10" t="s">
        <v>5192</v>
      </c>
      <c r="S464" s="10" t="s">
        <v>115</v>
      </c>
      <c r="T464" s="10" t="s">
        <v>42</v>
      </c>
      <c r="U464" s="10">
        <v>322</v>
      </c>
      <c r="V464" s="10">
        <v>546</v>
      </c>
      <c r="W464" s="10">
        <v>225</v>
      </c>
      <c r="X464" s="10" t="s">
        <v>116</v>
      </c>
      <c r="Y464" s="10" t="s">
        <v>5195</v>
      </c>
      <c r="Z464" s="10" t="s">
        <v>892</v>
      </c>
      <c r="AA464" s="10" t="s">
        <v>5196</v>
      </c>
      <c r="AB464" s="10" t="s">
        <v>5197</v>
      </c>
      <c r="AC464" s="10" t="s">
        <v>339</v>
      </c>
      <c r="AD464" s="10" t="s">
        <v>101</v>
      </c>
      <c r="AE464" s="10">
        <v>3477</v>
      </c>
      <c r="AF464" s="10" t="s">
        <v>1864</v>
      </c>
      <c r="AG464" s="44"/>
      <c r="AH464" s="44"/>
      <c r="AI464" s="44" t="s">
        <v>6052</v>
      </c>
      <c r="AJ464" s="44" t="s">
        <v>6058</v>
      </c>
      <c r="AK464" s="44" t="s">
        <v>6069</v>
      </c>
      <c r="AL464" s="44" t="s">
        <v>6052</v>
      </c>
      <c r="AM464" s="44" t="s">
        <v>6052</v>
      </c>
      <c r="AN464" s="44" t="s">
        <v>32961</v>
      </c>
      <c r="AO464" s="45">
        <v>11</v>
      </c>
      <c r="AP464" s="45">
        <v>1</v>
      </c>
      <c r="AQ464" s="45">
        <v>1</v>
      </c>
      <c r="AR464" s="45">
        <v>1</v>
      </c>
      <c r="AS464" s="45">
        <v>0</v>
      </c>
      <c r="AT464" s="45">
        <v>0</v>
      </c>
      <c r="AU464" s="10" t="s">
        <v>32962</v>
      </c>
      <c r="AV464" s="10" t="s">
        <v>32963</v>
      </c>
      <c r="AW464" s="10" t="s">
        <v>6052</v>
      </c>
      <c r="AX464" s="10" t="s">
        <v>6052</v>
      </c>
      <c r="AY464" s="10" t="s">
        <v>32271</v>
      </c>
      <c r="AZ464" s="44" t="s">
        <v>33116</v>
      </c>
      <c r="BA464" s="44" t="s">
        <v>31090</v>
      </c>
      <c r="BB464" s="44" t="s">
        <v>31601</v>
      </c>
      <c r="BC464" s="44" t="s">
        <v>6415</v>
      </c>
      <c r="BD464" s="44" t="s">
        <v>31707</v>
      </c>
      <c r="BE464" s="11">
        <v>1</v>
      </c>
      <c r="BF464" s="11">
        <v>1</v>
      </c>
      <c r="BG464" s="11">
        <v>0</v>
      </c>
      <c r="BH464" s="10" t="s">
        <v>31818</v>
      </c>
      <c r="BI464" s="11">
        <v>100</v>
      </c>
      <c r="BJ464" s="10" t="s">
        <v>33541</v>
      </c>
      <c r="BK464" s="11">
        <v>100</v>
      </c>
    </row>
    <row r="465" spans="1:63" x14ac:dyDescent="0.75">
      <c r="A465" t="s">
        <v>5154</v>
      </c>
      <c r="B465" t="s">
        <v>104</v>
      </c>
      <c r="C465" t="s">
        <v>1534</v>
      </c>
      <c r="D465" t="s">
        <v>1535</v>
      </c>
      <c r="E465" s="22" t="s">
        <v>27316</v>
      </c>
      <c r="F465" t="s">
        <v>5155</v>
      </c>
      <c r="G465" s="1" t="str">
        <f>HYPERLINK("https://homd.org/jbrowse/?data=homd_V11.02_phage_1.2%2FGCA_900187255.1&amp;loc=GCA_900187255.1%7CLT906449.1%3A999731..1007398&amp;tracks=prokka,prokka_ncrna,ncbi,ncbi_ncrna,panggolin,cenote,genomad&amp;highlight=","Open JBrowse")</f>
        <v>Open JBrowse</v>
      </c>
      <c r="H465" s="10">
        <v>1002731</v>
      </c>
      <c r="I465" s="10">
        <v>1004398</v>
      </c>
      <c r="J465" s="10" t="s">
        <v>5159</v>
      </c>
      <c r="K465" s="10" t="s">
        <v>109</v>
      </c>
      <c r="L465" s="10" t="s">
        <v>1545</v>
      </c>
      <c r="M465" s="10" t="s">
        <v>1546</v>
      </c>
      <c r="N465" s="10" t="s">
        <v>112</v>
      </c>
      <c r="O465" s="10">
        <v>3</v>
      </c>
      <c r="P465" s="10" t="s">
        <v>113</v>
      </c>
      <c r="Q465" s="10" t="s">
        <v>101</v>
      </c>
      <c r="R465" s="10" t="s">
        <v>5157</v>
      </c>
      <c r="S465" s="10" t="s">
        <v>1547</v>
      </c>
      <c r="T465" s="10" t="s">
        <v>42</v>
      </c>
      <c r="U465" s="10">
        <v>332</v>
      </c>
      <c r="V465" s="10">
        <v>554</v>
      </c>
      <c r="W465" s="10">
        <v>223</v>
      </c>
      <c r="X465" s="10" t="s">
        <v>116</v>
      </c>
      <c r="Y465" s="10" t="s">
        <v>5160</v>
      </c>
      <c r="Z465" s="10" t="s">
        <v>292</v>
      </c>
      <c r="AA465" s="10" t="s">
        <v>5161</v>
      </c>
      <c r="AB465" s="10" t="s">
        <v>5162</v>
      </c>
      <c r="AC465" s="10" t="s">
        <v>1551</v>
      </c>
      <c r="AD465" s="10" t="s">
        <v>101</v>
      </c>
      <c r="AE465" s="10">
        <v>3308</v>
      </c>
      <c r="AF465" s="10" t="s">
        <v>5163</v>
      </c>
      <c r="AG465" s="44" t="s">
        <v>101</v>
      </c>
      <c r="AH465" s="44">
        <v>2</v>
      </c>
      <c r="AI465" s="44" t="s">
        <v>6052</v>
      </c>
      <c r="AJ465" s="44" t="s">
        <v>6058</v>
      </c>
      <c r="AK465" s="44" t="s">
        <v>6063</v>
      </c>
      <c r="AL465" s="44" t="s">
        <v>6052</v>
      </c>
      <c r="AM465" s="44" t="s">
        <v>6052</v>
      </c>
      <c r="AN465" s="44" t="s">
        <v>32965</v>
      </c>
      <c r="AO465" s="45">
        <v>11</v>
      </c>
      <c r="AP465" s="45">
        <v>1</v>
      </c>
      <c r="AQ465" s="45">
        <v>1</v>
      </c>
      <c r="AR465" s="45">
        <v>0</v>
      </c>
      <c r="AS465" s="45">
        <v>0</v>
      </c>
      <c r="AT465" s="45">
        <v>0</v>
      </c>
      <c r="AU465" s="10" t="s">
        <v>32966</v>
      </c>
      <c r="AV465" s="10" t="s">
        <v>6052</v>
      </c>
      <c r="AW465" s="10" t="s">
        <v>6052</v>
      </c>
      <c r="AX465" s="10" t="s">
        <v>6052</v>
      </c>
      <c r="AY465" s="10" t="s">
        <v>32967</v>
      </c>
      <c r="AZ465" s="44" t="s">
        <v>33116</v>
      </c>
      <c r="BA465" s="44" t="s">
        <v>31091</v>
      </c>
      <c r="BB465" s="44" t="s">
        <v>31603</v>
      </c>
      <c r="BC465" s="44" t="s">
        <v>6415</v>
      </c>
      <c r="BD465" s="44" t="s">
        <v>31707</v>
      </c>
      <c r="BE465" s="11">
        <v>1</v>
      </c>
      <c r="BF465" s="11">
        <v>1</v>
      </c>
      <c r="BG465" s="11">
        <v>0</v>
      </c>
      <c r="BH465" s="10" t="s">
        <v>31757</v>
      </c>
      <c r="BI465" s="11">
        <v>100</v>
      </c>
      <c r="BJ465" s="10" t="s">
        <v>33502</v>
      </c>
      <c r="BK465" s="11">
        <v>100</v>
      </c>
    </row>
    <row r="466" spans="1:63" x14ac:dyDescent="0.75">
      <c r="A466" t="s">
        <v>5135</v>
      </c>
      <c r="B466" t="s">
        <v>104</v>
      </c>
      <c r="C466" t="s">
        <v>1534</v>
      </c>
      <c r="D466" t="s">
        <v>1535</v>
      </c>
      <c r="E466" s="22" t="s">
        <v>27197</v>
      </c>
      <c r="F466" t="s">
        <v>5136</v>
      </c>
      <c r="G466" s="1" t="str">
        <f>HYPERLINK("https://homd.org/jbrowse/?data=homd_V11.02_phage_1.2%2FGCA_900115315.1&amp;loc=GCA_900115315.1%7CFOVX01000002.1%3A13116..20783&amp;tracks=prokka,prokka_ncrna,ncbi,ncbi_ncrna,panggolin,cenote,genomad&amp;highlight=","Open JBrowse")</f>
        <v>Open JBrowse</v>
      </c>
      <c r="H466" s="10">
        <v>16116</v>
      </c>
      <c r="I466" s="10">
        <v>17783</v>
      </c>
      <c r="J466" s="10" t="s">
        <v>5137</v>
      </c>
      <c r="K466" s="10" t="s">
        <v>109</v>
      </c>
      <c r="L466" s="10" t="s">
        <v>1545</v>
      </c>
      <c r="M466" s="10" t="s">
        <v>1546</v>
      </c>
      <c r="N466" s="10" t="s">
        <v>112</v>
      </c>
      <c r="O466" s="10">
        <v>3</v>
      </c>
      <c r="P466" s="10" t="s">
        <v>113</v>
      </c>
      <c r="Q466" s="10" t="s">
        <v>101</v>
      </c>
      <c r="R466" s="10" t="s">
        <v>5138</v>
      </c>
      <c r="S466" s="10" t="s">
        <v>1547</v>
      </c>
      <c r="T466" s="10" t="s">
        <v>42</v>
      </c>
      <c r="U466" s="10">
        <v>332</v>
      </c>
      <c r="V466" s="10">
        <v>554</v>
      </c>
      <c r="W466" s="10">
        <v>223</v>
      </c>
      <c r="X466" s="10" t="s">
        <v>116</v>
      </c>
      <c r="Y466" s="10" t="s">
        <v>5139</v>
      </c>
      <c r="Z466" s="10" t="s">
        <v>1334</v>
      </c>
      <c r="AA466" s="10" t="s">
        <v>1549</v>
      </c>
      <c r="AB466" s="10" t="s">
        <v>5140</v>
      </c>
      <c r="AC466" s="10" t="s">
        <v>1551</v>
      </c>
      <c r="AD466" s="10" t="s">
        <v>101</v>
      </c>
      <c r="AE466" s="10">
        <v>3308</v>
      </c>
      <c r="AF466" s="10" t="s">
        <v>1552</v>
      </c>
      <c r="AG466" s="44" t="s">
        <v>101</v>
      </c>
      <c r="AH466" s="44">
        <v>2</v>
      </c>
      <c r="AI466" s="44" t="s">
        <v>6052</v>
      </c>
      <c r="AJ466" s="44" t="s">
        <v>6058</v>
      </c>
      <c r="AK466" s="44" t="s">
        <v>6063</v>
      </c>
      <c r="AL466" s="44" t="s">
        <v>6052</v>
      </c>
      <c r="AM466" s="44" t="s">
        <v>6052</v>
      </c>
      <c r="AN466" s="44" t="s">
        <v>32605</v>
      </c>
      <c r="AO466" s="45">
        <v>11</v>
      </c>
      <c r="AP466" s="45">
        <v>1</v>
      </c>
      <c r="AQ466" s="45">
        <v>1</v>
      </c>
      <c r="AR466" s="45">
        <v>0</v>
      </c>
      <c r="AS466" s="45">
        <v>0</v>
      </c>
      <c r="AT466" s="45">
        <v>0</v>
      </c>
      <c r="AU466" s="10" t="s">
        <v>32606</v>
      </c>
      <c r="AV466" s="10" t="s">
        <v>6052</v>
      </c>
      <c r="AW466" s="10" t="s">
        <v>6052</v>
      </c>
      <c r="AX466" s="10" t="s">
        <v>6052</v>
      </c>
      <c r="AY466" s="10" t="s">
        <v>32570</v>
      </c>
      <c r="AZ466" s="44" t="s">
        <v>33116</v>
      </c>
      <c r="BA466" s="44" t="s">
        <v>30932</v>
      </c>
      <c r="BB466" s="44" t="s">
        <v>31369</v>
      </c>
      <c r="BC466" s="44" t="s">
        <v>6415</v>
      </c>
      <c r="BD466" s="44" t="s">
        <v>31707</v>
      </c>
      <c r="BE466" s="11">
        <v>1</v>
      </c>
      <c r="BF466" s="11">
        <v>1</v>
      </c>
      <c r="BG466" s="11">
        <v>0</v>
      </c>
      <c r="BH466" s="10" t="s">
        <v>31758</v>
      </c>
      <c r="BI466" s="11">
        <v>100</v>
      </c>
      <c r="BJ466" s="10" t="s">
        <v>33501</v>
      </c>
      <c r="BK466" s="11">
        <v>100</v>
      </c>
    </row>
    <row r="467" spans="1:63" x14ac:dyDescent="0.75">
      <c r="A467" t="s">
        <v>2205</v>
      </c>
      <c r="B467" t="s">
        <v>104</v>
      </c>
      <c r="C467" t="s">
        <v>1998</v>
      </c>
      <c r="D467" t="s">
        <v>1999</v>
      </c>
      <c r="E467" s="22" t="s">
        <v>16116</v>
      </c>
      <c r="F467" t="s">
        <v>2209</v>
      </c>
      <c r="G467" s="1" t="str">
        <f>HYPERLINK("https://homd.org/jbrowse/?data=homd_V11.02_phage_1.2%2FGCA_003932775.1&amp;loc=GCA_003932775.1%7CRQYF01000021.1%3A5328..12416&amp;tracks=prokka,prokka_ncrna,ncbi,ncbi_ncrna,panggolin,cenote,genomad&amp;highlight=","Open JBrowse")</f>
        <v>Open JBrowse</v>
      </c>
      <c r="H467" s="10">
        <v>8328</v>
      </c>
      <c r="I467" s="10">
        <v>9416</v>
      </c>
      <c r="J467" s="10" t="s">
        <v>2210</v>
      </c>
      <c r="K467" s="10" t="s">
        <v>109</v>
      </c>
      <c r="L467" s="10" t="s">
        <v>2004</v>
      </c>
      <c r="M467" s="10" t="s">
        <v>2005</v>
      </c>
      <c r="N467" s="10" t="s">
        <v>42</v>
      </c>
      <c r="O467" s="10">
        <v>3</v>
      </c>
      <c r="P467" s="10" t="s">
        <v>42</v>
      </c>
      <c r="Q467" s="10" t="s">
        <v>101</v>
      </c>
      <c r="R467" s="10" t="s">
        <v>2208</v>
      </c>
      <c r="S467" s="10" t="s">
        <v>2004</v>
      </c>
      <c r="T467" s="10" t="s">
        <v>42</v>
      </c>
      <c r="U467" s="10">
        <v>123</v>
      </c>
      <c r="V467" s="10">
        <v>359</v>
      </c>
      <c r="W467" s="10">
        <v>237</v>
      </c>
      <c r="X467" s="10" t="s">
        <v>248</v>
      </c>
      <c r="Y467" s="10" t="s">
        <v>2211</v>
      </c>
      <c r="Z467" s="10" t="s">
        <v>410</v>
      </c>
      <c r="AA467" s="10" t="s">
        <v>2008</v>
      </c>
      <c r="AB467" s="10" t="s">
        <v>2212</v>
      </c>
      <c r="AC467" s="10" t="s">
        <v>2010</v>
      </c>
      <c r="AD467" s="10" t="s">
        <v>101</v>
      </c>
      <c r="AE467" s="10">
        <v>4430</v>
      </c>
      <c r="AF467" s="10" t="s">
        <v>2011</v>
      </c>
      <c r="AG467" s="44"/>
      <c r="AH467" s="44"/>
      <c r="AI467" s="44" t="s">
        <v>6052</v>
      </c>
      <c r="AJ467" s="44" t="s">
        <v>6058</v>
      </c>
      <c r="AK467" s="44" t="s">
        <v>6052</v>
      </c>
      <c r="AL467" s="44" t="s">
        <v>6052</v>
      </c>
      <c r="AM467" s="44" t="s">
        <v>6052</v>
      </c>
      <c r="AN467" s="44" t="s">
        <v>32979</v>
      </c>
      <c r="AO467" s="45">
        <v>11</v>
      </c>
      <c r="AP467" s="45">
        <v>1</v>
      </c>
      <c r="AQ467" s="45">
        <v>1</v>
      </c>
      <c r="AR467" s="45">
        <v>1</v>
      </c>
      <c r="AS467" s="45">
        <v>0</v>
      </c>
      <c r="AT467" s="45">
        <v>0</v>
      </c>
      <c r="AU467" s="10" t="s">
        <v>32980</v>
      </c>
      <c r="AV467" s="10" t="s">
        <v>32981</v>
      </c>
      <c r="AW467" s="10" t="s">
        <v>6052</v>
      </c>
      <c r="AX467" s="10" t="s">
        <v>6052</v>
      </c>
      <c r="AY467" s="10" t="s">
        <v>32407</v>
      </c>
      <c r="AZ467" s="44" t="s">
        <v>33116</v>
      </c>
      <c r="BA467" s="44" t="s">
        <v>31097</v>
      </c>
      <c r="BB467" s="44" t="s">
        <v>31609</v>
      </c>
      <c r="BC467" s="44" t="s">
        <v>6718</v>
      </c>
      <c r="BD467" s="44" t="s">
        <v>31717</v>
      </c>
      <c r="BE467" s="11">
        <v>1</v>
      </c>
      <c r="BF467" s="11">
        <v>1</v>
      </c>
      <c r="BG467" s="11">
        <v>0</v>
      </c>
      <c r="BH467" s="10" t="s">
        <v>31752</v>
      </c>
      <c r="BI467" s="11">
        <v>100</v>
      </c>
      <c r="BJ467" s="10" t="s">
        <v>33497</v>
      </c>
      <c r="BK467" s="11">
        <v>100</v>
      </c>
    </row>
    <row r="468" spans="1:63" x14ac:dyDescent="0.75">
      <c r="A468" t="s">
        <v>3398</v>
      </c>
      <c r="B468" t="s">
        <v>104</v>
      </c>
      <c r="C468" t="s">
        <v>1054</v>
      </c>
      <c r="D468" t="s">
        <v>1055</v>
      </c>
      <c r="E468" s="22" t="s">
        <v>20652</v>
      </c>
      <c r="F468" t="s">
        <v>3399</v>
      </c>
      <c r="G468" s="1" t="str">
        <f>HYPERLINK("https://homd.org/jbrowse/?data=homd_V11.02_phage_1.2%2FGCA_018128045.1&amp;loc=GCA_018128045.1%7CCP072361.1%3A595035..602006&amp;tracks=prokka,prokka_ncrna,ncbi,ncbi_ncrna,panggolin,cenote,genomad&amp;highlight=","Open JBrowse")</f>
        <v>Open JBrowse</v>
      </c>
      <c r="H468" s="10">
        <v>598035</v>
      </c>
      <c r="I468" s="10">
        <v>599006</v>
      </c>
      <c r="J468" s="10" t="s">
        <v>3402</v>
      </c>
      <c r="K468" s="10" t="s">
        <v>59</v>
      </c>
      <c r="L468" s="10" t="s">
        <v>3364</v>
      </c>
      <c r="M468" s="10" t="s">
        <v>3365</v>
      </c>
      <c r="N468" s="10" t="s">
        <v>42</v>
      </c>
      <c r="O468" s="10">
        <v>3</v>
      </c>
      <c r="P468" s="10" t="s">
        <v>42</v>
      </c>
      <c r="Q468" s="10" t="s">
        <v>59</v>
      </c>
      <c r="R468" s="10" t="s">
        <v>3401</v>
      </c>
      <c r="S468" s="10" t="s">
        <v>3364</v>
      </c>
      <c r="T468" s="10" t="s">
        <v>42</v>
      </c>
      <c r="U468" s="10">
        <v>66</v>
      </c>
      <c r="V468" s="10">
        <v>320</v>
      </c>
      <c r="W468" s="10">
        <v>255</v>
      </c>
      <c r="X468" s="10" t="s">
        <v>3366</v>
      </c>
      <c r="Y468" s="10" t="s">
        <v>3403</v>
      </c>
      <c r="Z468" s="10" t="s">
        <v>357</v>
      </c>
      <c r="AA468" s="10" t="s">
        <v>3404</v>
      </c>
      <c r="AB468" s="10" t="s">
        <v>3405</v>
      </c>
      <c r="AC468" s="10" t="s">
        <v>164</v>
      </c>
      <c r="AD468" s="10" t="s">
        <v>51</v>
      </c>
      <c r="AE468" s="10">
        <v>614.6</v>
      </c>
      <c r="AF468" s="10" t="s">
        <v>102</v>
      </c>
      <c r="AG468" s="44"/>
      <c r="AH468" s="44"/>
      <c r="AI468" s="44" t="s">
        <v>6052</v>
      </c>
      <c r="AJ468" s="44" t="s">
        <v>6058</v>
      </c>
      <c r="AK468" s="44" t="s">
        <v>6052</v>
      </c>
      <c r="AL468" s="44" t="s">
        <v>6052</v>
      </c>
      <c r="AM468" s="44" t="s">
        <v>6052</v>
      </c>
      <c r="AN468" s="44" t="s">
        <v>32641</v>
      </c>
      <c r="AO468" s="45">
        <v>11</v>
      </c>
      <c r="AP468" s="45">
        <v>1</v>
      </c>
      <c r="AQ468" s="45">
        <v>1</v>
      </c>
      <c r="AR468" s="45">
        <v>1</v>
      </c>
      <c r="AS468" s="45">
        <v>0</v>
      </c>
      <c r="AT468" s="45">
        <v>0</v>
      </c>
      <c r="AU468" s="10" t="s">
        <v>32642</v>
      </c>
      <c r="AV468" s="10" t="s">
        <v>32643</v>
      </c>
      <c r="AW468" s="10" t="s">
        <v>6052</v>
      </c>
      <c r="AX468" s="10" t="s">
        <v>6052</v>
      </c>
      <c r="AY468" s="10" t="s">
        <v>32644</v>
      </c>
      <c r="AZ468" s="44" t="s">
        <v>33117</v>
      </c>
      <c r="BA468" s="44" t="s">
        <v>30951</v>
      </c>
      <c r="BB468" s="44" t="s">
        <v>31392</v>
      </c>
      <c r="BC468" s="44" t="s">
        <v>6594</v>
      </c>
      <c r="BD468" s="44" t="s">
        <v>31708</v>
      </c>
      <c r="BE468" s="11">
        <v>1</v>
      </c>
      <c r="BF468" s="11">
        <v>1</v>
      </c>
      <c r="BG468" s="11">
        <v>0</v>
      </c>
      <c r="BH468" s="10" t="s">
        <v>31966</v>
      </c>
      <c r="BI468" s="11">
        <v>100</v>
      </c>
      <c r="BJ468" s="10" t="s">
        <v>33549</v>
      </c>
      <c r="BK468" s="11">
        <v>100</v>
      </c>
    </row>
    <row r="469" spans="1:63" x14ac:dyDescent="0.75">
      <c r="A469" t="s">
        <v>3388</v>
      </c>
      <c r="B469" t="s">
        <v>104</v>
      </c>
      <c r="C469" t="s">
        <v>153</v>
      </c>
      <c r="D469" t="s">
        <v>154</v>
      </c>
      <c r="E469" s="22" t="s">
        <v>20650</v>
      </c>
      <c r="F469" t="s">
        <v>3389</v>
      </c>
      <c r="G469" s="1" t="str">
        <f>HYPERLINK("https://homd.org/jbrowse/?data=homd_V11.02_phage_1.2%2FGCA_018128005.1&amp;loc=GCA_018128005.1%7CCP072354.1%3A1615958..1622929&amp;tracks=prokka,prokka_ncrna,ncbi,ncbi_ncrna,panggolin,cenote,genomad&amp;highlight=","Open JBrowse")</f>
        <v>Open JBrowse</v>
      </c>
      <c r="H469" s="10">
        <v>1618958</v>
      </c>
      <c r="I469" s="10">
        <v>1619929</v>
      </c>
      <c r="J469" s="10" t="s">
        <v>3390</v>
      </c>
      <c r="K469" s="10" t="s">
        <v>59</v>
      </c>
      <c r="L469" s="10" t="s">
        <v>3364</v>
      </c>
      <c r="M469" s="10" t="s">
        <v>3365</v>
      </c>
      <c r="N469" s="10" t="s">
        <v>42</v>
      </c>
      <c r="O469" s="10">
        <v>3</v>
      </c>
      <c r="P469" s="10" t="s">
        <v>42</v>
      </c>
      <c r="Q469" s="10" t="s">
        <v>59</v>
      </c>
      <c r="R469" s="10" t="s">
        <v>3391</v>
      </c>
      <c r="S469" s="10" t="s">
        <v>3364</v>
      </c>
      <c r="T469" s="10" t="s">
        <v>42</v>
      </c>
      <c r="U469" s="10">
        <v>66</v>
      </c>
      <c r="V469" s="10">
        <v>320</v>
      </c>
      <c r="W469" s="10">
        <v>255</v>
      </c>
      <c r="X469" s="10" t="s">
        <v>3366</v>
      </c>
      <c r="Y469" s="10" t="s">
        <v>3392</v>
      </c>
      <c r="Z469" s="10" t="s">
        <v>458</v>
      </c>
      <c r="AA469" s="10" t="s">
        <v>3393</v>
      </c>
      <c r="AB469" s="10" t="s">
        <v>3394</v>
      </c>
      <c r="AC469" s="10" t="s">
        <v>589</v>
      </c>
      <c r="AD469" s="10" t="s">
        <v>101</v>
      </c>
      <c r="AE469" s="10">
        <v>665</v>
      </c>
      <c r="AF469" s="10" t="s">
        <v>102</v>
      </c>
      <c r="AG469" s="44"/>
      <c r="AH469" s="44"/>
      <c r="AI469" s="44" t="s">
        <v>6052</v>
      </c>
      <c r="AJ469" s="44" t="s">
        <v>6058</v>
      </c>
      <c r="AK469" s="44" t="s">
        <v>6062</v>
      </c>
      <c r="AL469" s="44" t="s">
        <v>6052</v>
      </c>
      <c r="AM469" s="44" t="s">
        <v>6052</v>
      </c>
      <c r="AN469" s="44" t="s">
        <v>32685</v>
      </c>
      <c r="AO469" s="45">
        <v>11</v>
      </c>
      <c r="AP469" s="45">
        <v>1</v>
      </c>
      <c r="AQ469" s="45">
        <v>1</v>
      </c>
      <c r="AR469" s="45">
        <v>2</v>
      </c>
      <c r="AS469" s="45">
        <v>0</v>
      </c>
      <c r="AT469" s="45">
        <v>0</v>
      </c>
      <c r="AU469" s="10" t="s">
        <v>32686</v>
      </c>
      <c r="AV469" s="10" t="s">
        <v>32687</v>
      </c>
      <c r="AW469" s="10" t="s">
        <v>6052</v>
      </c>
      <c r="AX469" s="10" t="s">
        <v>6052</v>
      </c>
      <c r="AY469" s="10" t="s">
        <v>32688</v>
      </c>
      <c r="AZ469" s="44" t="s">
        <v>33117</v>
      </c>
      <c r="BA469" s="44" t="s">
        <v>30972</v>
      </c>
      <c r="BB469" s="44" t="s">
        <v>31418</v>
      </c>
      <c r="BC469" s="44" t="s">
        <v>6594</v>
      </c>
      <c r="BD469" s="44" t="s">
        <v>31708</v>
      </c>
      <c r="BE469" s="11">
        <v>1</v>
      </c>
      <c r="BF469" s="11">
        <v>1</v>
      </c>
      <c r="BG469" s="11">
        <v>0</v>
      </c>
      <c r="BH469" s="10" t="s">
        <v>31912</v>
      </c>
      <c r="BI469" s="11">
        <v>100</v>
      </c>
      <c r="BJ469" s="10" t="s">
        <v>33548</v>
      </c>
      <c r="BK469" s="11">
        <v>100</v>
      </c>
    </row>
    <row r="470" spans="1:63" x14ac:dyDescent="0.75">
      <c r="A470" t="s">
        <v>3358</v>
      </c>
      <c r="B470" t="s">
        <v>104</v>
      </c>
      <c r="C470" t="s">
        <v>153</v>
      </c>
      <c r="D470" t="s">
        <v>154</v>
      </c>
      <c r="E470" s="22" t="s">
        <v>20644</v>
      </c>
      <c r="F470" t="s">
        <v>3359</v>
      </c>
      <c r="G470" s="1" t="str">
        <f>HYPERLINK("https://homd.org/jbrowse/?data=homd_V11.02_phage_1.2%2FGCA_018127945.1&amp;loc=GCA_018127945.1%7CCP072351.1%3A407236..414207&amp;tracks=prokka,prokka_ncrna,ncbi,ncbi_ncrna,panggolin,cenote,genomad&amp;highlight=","Open JBrowse")</f>
        <v>Open JBrowse</v>
      </c>
      <c r="H470" s="10">
        <v>410236</v>
      </c>
      <c r="I470" s="10">
        <v>411207</v>
      </c>
      <c r="J470" s="10" t="s">
        <v>3363</v>
      </c>
      <c r="K470" s="10" t="s">
        <v>59</v>
      </c>
      <c r="L470" s="10" t="s">
        <v>3364</v>
      </c>
      <c r="M470" s="10" t="s">
        <v>3365</v>
      </c>
      <c r="N470" s="10" t="s">
        <v>42</v>
      </c>
      <c r="O470" s="10">
        <v>3</v>
      </c>
      <c r="P470" s="10" t="s">
        <v>42</v>
      </c>
      <c r="Q470" s="10" t="s">
        <v>59</v>
      </c>
      <c r="R470" s="10" t="s">
        <v>3361</v>
      </c>
      <c r="S470" s="10" t="s">
        <v>3364</v>
      </c>
      <c r="T470" s="10" t="s">
        <v>42</v>
      </c>
      <c r="U470" s="10">
        <v>66</v>
      </c>
      <c r="V470" s="10">
        <v>320</v>
      </c>
      <c r="W470" s="10">
        <v>255</v>
      </c>
      <c r="X470" s="10" t="s">
        <v>3366</v>
      </c>
      <c r="Y470" s="10" t="s">
        <v>3367</v>
      </c>
      <c r="Z470" s="10" t="s">
        <v>357</v>
      </c>
      <c r="AA470" s="10" t="s">
        <v>3368</v>
      </c>
      <c r="AB470" s="10" t="s">
        <v>3369</v>
      </c>
      <c r="AC470" s="10" t="s">
        <v>589</v>
      </c>
      <c r="AD470" s="10" t="s">
        <v>101</v>
      </c>
      <c r="AE470" s="10">
        <v>665</v>
      </c>
      <c r="AF470" s="10" t="s">
        <v>386</v>
      </c>
      <c r="AG470" s="44"/>
      <c r="AH470" s="44"/>
      <c r="AI470" s="44" t="s">
        <v>6052</v>
      </c>
      <c r="AJ470" s="44" t="s">
        <v>6058</v>
      </c>
      <c r="AK470" s="44" t="s">
        <v>6062</v>
      </c>
      <c r="AL470" s="44" t="s">
        <v>6052</v>
      </c>
      <c r="AM470" s="44" t="s">
        <v>6052</v>
      </c>
      <c r="AN470" s="44" t="s">
        <v>32690</v>
      </c>
      <c r="AO470" s="45">
        <v>11</v>
      </c>
      <c r="AP470" s="45">
        <v>1</v>
      </c>
      <c r="AQ470" s="45">
        <v>1</v>
      </c>
      <c r="AR470" s="45">
        <v>2</v>
      </c>
      <c r="AS470" s="45">
        <v>0</v>
      </c>
      <c r="AT470" s="45">
        <v>0</v>
      </c>
      <c r="AU470" s="10" t="s">
        <v>32691</v>
      </c>
      <c r="AV470" s="10" t="s">
        <v>32692</v>
      </c>
      <c r="AW470" s="10" t="s">
        <v>6052</v>
      </c>
      <c r="AX470" s="10" t="s">
        <v>6052</v>
      </c>
      <c r="AY470" s="10" t="s">
        <v>32693</v>
      </c>
      <c r="AZ470" s="44" t="s">
        <v>33117</v>
      </c>
      <c r="BA470" s="44" t="s">
        <v>30973</v>
      </c>
      <c r="BB470" s="44" t="s">
        <v>31420</v>
      </c>
      <c r="BC470" s="44" t="s">
        <v>6594</v>
      </c>
      <c r="BD470" s="44" t="s">
        <v>31708</v>
      </c>
      <c r="BE470" s="11">
        <v>1</v>
      </c>
      <c r="BF470" s="11">
        <v>1</v>
      </c>
      <c r="BG470" s="11">
        <v>0</v>
      </c>
      <c r="BH470" s="10" t="s">
        <v>31913</v>
      </c>
      <c r="BI470" s="11">
        <v>100</v>
      </c>
      <c r="BJ470" s="10" t="s">
        <v>33547</v>
      </c>
      <c r="BK470" s="11">
        <v>100</v>
      </c>
    </row>
    <row r="471" spans="1:63" x14ac:dyDescent="0.75">
      <c r="A471" t="s">
        <v>3370</v>
      </c>
      <c r="B471" t="s">
        <v>104</v>
      </c>
      <c r="C471" t="s">
        <v>153</v>
      </c>
      <c r="D471" t="s">
        <v>154</v>
      </c>
      <c r="E471" s="22" t="s">
        <v>20646</v>
      </c>
      <c r="F471" t="s">
        <v>3371</v>
      </c>
      <c r="G471" s="1" t="str">
        <f>HYPERLINK("https://homd.org/jbrowse/?data=homd_V11.02_phage_1.2%2FGCA_018127965.1&amp;loc=GCA_018127965.1%7CCP072349.1%3A1477134..1484105&amp;tracks=prokka,prokka_ncrna,ncbi,ncbi_ncrna,panggolin,cenote,genomad&amp;highlight=","Open JBrowse")</f>
        <v>Open JBrowse</v>
      </c>
      <c r="H471" s="10">
        <v>1480134</v>
      </c>
      <c r="I471" s="10">
        <v>1481105</v>
      </c>
      <c r="J471" s="10" t="s">
        <v>3372</v>
      </c>
      <c r="K471" s="10" t="s">
        <v>59</v>
      </c>
      <c r="L471" s="10" t="s">
        <v>3364</v>
      </c>
      <c r="M471" s="10" t="s">
        <v>3365</v>
      </c>
      <c r="N471" s="10" t="s">
        <v>42</v>
      </c>
      <c r="O471" s="10">
        <v>3</v>
      </c>
      <c r="P471" s="10" t="s">
        <v>42</v>
      </c>
      <c r="Q471" s="10" t="s">
        <v>59</v>
      </c>
      <c r="R471" s="10" t="s">
        <v>3373</v>
      </c>
      <c r="S471" s="10" t="s">
        <v>3364</v>
      </c>
      <c r="T471" s="10" t="s">
        <v>42</v>
      </c>
      <c r="U471" s="10">
        <v>66</v>
      </c>
      <c r="V471" s="10">
        <v>320</v>
      </c>
      <c r="W471" s="10">
        <v>255</v>
      </c>
      <c r="X471" s="10" t="s">
        <v>3366</v>
      </c>
      <c r="Y471" s="10" t="s">
        <v>3374</v>
      </c>
      <c r="Z471" s="10" t="s">
        <v>281</v>
      </c>
      <c r="AA471" s="10" t="s">
        <v>3375</v>
      </c>
      <c r="AB471" s="10" t="s">
        <v>3376</v>
      </c>
      <c r="AC471" s="10" t="s">
        <v>164</v>
      </c>
      <c r="AD471" s="10" t="s">
        <v>51</v>
      </c>
      <c r="AE471" s="10">
        <v>618.5</v>
      </c>
      <c r="AF471" s="10" t="s">
        <v>102</v>
      </c>
      <c r="AG471" s="44"/>
      <c r="AH471" s="44"/>
      <c r="AI471" s="44" t="s">
        <v>6052</v>
      </c>
      <c r="AJ471" s="44" t="s">
        <v>6058</v>
      </c>
      <c r="AK471" s="44" t="s">
        <v>6062</v>
      </c>
      <c r="AL471" s="44" t="s">
        <v>6052</v>
      </c>
      <c r="AM471" s="44" t="s">
        <v>6052</v>
      </c>
      <c r="AN471" s="44" t="s">
        <v>32697</v>
      </c>
      <c r="AO471" s="45">
        <v>11</v>
      </c>
      <c r="AP471" s="45">
        <v>1</v>
      </c>
      <c r="AQ471" s="45">
        <v>1</v>
      </c>
      <c r="AR471" s="45">
        <v>2</v>
      </c>
      <c r="AS471" s="45">
        <v>0</v>
      </c>
      <c r="AT471" s="45">
        <v>0</v>
      </c>
      <c r="AU471" s="10" t="s">
        <v>32698</v>
      </c>
      <c r="AV471" s="10" t="s">
        <v>32699</v>
      </c>
      <c r="AW471" s="10" t="s">
        <v>6052</v>
      </c>
      <c r="AX471" s="10" t="s">
        <v>6052</v>
      </c>
      <c r="AY471" s="10" t="s">
        <v>32688</v>
      </c>
      <c r="AZ471" s="44" t="s">
        <v>33117</v>
      </c>
      <c r="BA471" s="44" t="s">
        <v>30974</v>
      </c>
      <c r="BB471" s="44" t="s">
        <v>31422</v>
      </c>
      <c r="BC471" s="44" t="s">
        <v>6594</v>
      </c>
      <c r="BD471" s="44" t="s">
        <v>31708</v>
      </c>
      <c r="BE471" s="11">
        <v>1</v>
      </c>
      <c r="BF471" s="11">
        <v>1</v>
      </c>
      <c r="BG471" s="11">
        <v>0</v>
      </c>
      <c r="BH471" s="10" t="s">
        <v>31878</v>
      </c>
      <c r="BI471" s="11">
        <v>100</v>
      </c>
      <c r="BJ471" s="10" t="s">
        <v>33546</v>
      </c>
      <c r="BK471" s="11">
        <v>100</v>
      </c>
    </row>
    <row r="472" spans="1:63" x14ac:dyDescent="0.75">
      <c r="A472" t="s">
        <v>2796</v>
      </c>
      <c r="B472" t="s">
        <v>104</v>
      </c>
      <c r="C472" t="s">
        <v>105</v>
      </c>
      <c r="D472" t="s">
        <v>106</v>
      </c>
      <c r="E472" s="22" t="s">
        <v>18741</v>
      </c>
      <c r="F472" t="s">
        <v>2797</v>
      </c>
      <c r="G472" s="1" t="str">
        <f>HYPERLINK("https://homd.org/jbrowse/?data=homd_V11.02_phage_1.2%2FGCA_013394735.1&amp;loc=GCA_013394735.1%7CCP058261.1%3A1747832..1755475&amp;tracks=prokka,prokka_ncrna,ncbi,ncbi_ncrna,panggolin,cenote,genomad&amp;highlight=","Open JBrowse")</f>
        <v>Open JBrowse</v>
      </c>
      <c r="H472" s="10">
        <v>1750832</v>
      </c>
      <c r="I472" s="10">
        <v>1752475</v>
      </c>
      <c r="J472" s="10" t="s">
        <v>2798</v>
      </c>
      <c r="K472" s="10" t="s">
        <v>109</v>
      </c>
      <c r="L472" s="10" t="s">
        <v>110</v>
      </c>
      <c r="M472" s="10" t="s">
        <v>333</v>
      </c>
      <c r="N472" s="10" t="s">
        <v>112</v>
      </c>
      <c r="O472" s="10">
        <v>3</v>
      </c>
      <c r="P472" s="10" t="s">
        <v>113</v>
      </c>
      <c r="Q472" s="10" t="s">
        <v>101</v>
      </c>
      <c r="R472" s="10" t="s">
        <v>2799</v>
      </c>
      <c r="S472" s="10" t="s">
        <v>115</v>
      </c>
      <c r="T472" s="10" t="s">
        <v>42</v>
      </c>
      <c r="U472" s="10">
        <v>322</v>
      </c>
      <c r="V472" s="10">
        <v>546</v>
      </c>
      <c r="W472" s="10">
        <v>225</v>
      </c>
      <c r="X472" s="10" t="s">
        <v>116</v>
      </c>
      <c r="Y472" s="10" t="s">
        <v>2800</v>
      </c>
      <c r="Z472" s="10" t="s">
        <v>824</v>
      </c>
      <c r="AA472" s="10" t="s">
        <v>2801</v>
      </c>
      <c r="AB472" s="10" t="s">
        <v>2802</v>
      </c>
      <c r="AC472" s="10" t="s">
        <v>339</v>
      </c>
      <c r="AD472" s="10" t="s">
        <v>101</v>
      </c>
      <c r="AE472" s="10">
        <v>3617</v>
      </c>
      <c r="AF472" s="10" t="s">
        <v>2803</v>
      </c>
      <c r="AG472" s="44"/>
      <c r="AH472" s="44"/>
      <c r="AI472" s="44" t="s">
        <v>6052</v>
      </c>
      <c r="AJ472" s="44" t="s">
        <v>6066</v>
      </c>
      <c r="AK472" s="44" t="s">
        <v>6069</v>
      </c>
      <c r="AL472" s="44" t="s">
        <v>6052</v>
      </c>
      <c r="AM472" s="44" t="s">
        <v>6052</v>
      </c>
      <c r="AN472" s="44" t="s">
        <v>33079</v>
      </c>
      <c r="AO472" s="45">
        <v>11</v>
      </c>
      <c r="AP472" s="45">
        <v>1</v>
      </c>
      <c r="AQ472" s="45">
        <v>1</v>
      </c>
      <c r="AR472" s="45">
        <v>2</v>
      </c>
      <c r="AS472" s="45">
        <v>0</v>
      </c>
      <c r="AT472" s="45">
        <v>0</v>
      </c>
      <c r="AU472" s="10" t="s">
        <v>33080</v>
      </c>
      <c r="AV472" s="10" t="s">
        <v>33081</v>
      </c>
      <c r="AW472" s="10" t="s">
        <v>6052</v>
      </c>
      <c r="AX472" s="10" t="s">
        <v>6052</v>
      </c>
      <c r="AY472" s="10" t="s">
        <v>32485</v>
      </c>
      <c r="AZ472" s="44" t="s">
        <v>33116</v>
      </c>
      <c r="BA472" s="44" t="s">
        <v>31151</v>
      </c>
      <c r="BB472" s="44" t="s">
        <v>31687</v>
      </c>
      <c r="BC472" s="44" t="s">
        <v>6415</v>
      </c>
      <c r="BD472" s="44" t="s">
        <v>31707</v>
      </c>
      <c r="BE472" s="11">
        <v>1</v>
      </c>
      <c r="BF472" s="11">
        <v>1</v>
      </c>
      <c r="BG472" s="11">
        <v>0</v>
      </c>
      <c r="BH472" s="10" t="s">
        <v>31761</v>
      </c>
      <c r="BI472" s="11">
        <v>100</v>
      </c>
      <c r="BJ472" s="10" t="s">
        <v>33512</v>
      </c>
      <c r="BK472" s="11">
        <v>100</v>
      </c>
    </row>
    <row r="473" spans="1:63" x14ac:dyDescent="0.75">
      <c r="A473" t="s">
        <v>2569</v>
      </c>
      <c r="B473" t="s">
        <v>104</v>
      </c>
      <c r="C473" t="s">
        <v>514</v>
      </c>
      <c r="D473" t="s">
        <v>515</v>
      </c>
      <c r="E473" s="22" t="s">
        <v>17905</v>
      </c>
      <c r="F473" t="s">
        <v>2570</v>
      </c>
      <c r="G473" s="1" t="str">
        <f>HYPERLINK("https://homd.org/jbrowse/?data=homd_V11.02_phage_1.2%2FGCA_009730375.1&amp;loc=GCA_009730375.1%7CCP046316.1%3A2523999..2530835&amp;tracks=prokka,prokka_ncrna,ncbi,ncbi_ncrna,panggolin,cenote,genomad&amp;highlight=","Open JBrowse")</f>
        <v>Open JBrowse</v>
      </c>
      <c r="H473" s="10">
        <v>2526999</v>
      </c>
      <c r="I473" s="10">
        <v>2527835</v>
      </c>
      <c r="J473" s="10" t="s">
        <v>2571</v>
      </c>
      <c r="K473" s="10" t="s">
        <v>39</v>
      </c>
      <c r="L473" s="10" t="s">
        <v>518</v>
      </c>
      <c r="M473" s="10" t="s">
        <v>519</v>
      </c>
      <c r="N473" s="10" t="s">
        <v>42</v>
      </c>
      <c r="O473" s="10">
        <v>3</v>
      </c>
      <c r="P473" s="10" t="s">
        <v>42</v>
      </c>
      <c r="Q473" s="10" t="s">
        <v>43</v>
      </c>
      <c r="R473" s="10" t="s">
        <v>2572</v>
      </c>
      <c r="S473" s="10" t="s">
        <v>518</v>
      </c>
      <c r="T473" s="10" t="s">
        <v>42</v>
      </c>
      <c r="U473" s="10">
        <v>47</v>
      </c>
      <c r="V473" s="10">
        <v>274</v>
      </c>
      <c r="W473" s="10">
        <v>228</v>
      </c>
      <c r="X473" s="10" t="s">
        <v>45</v>
      </c>
      <c r="Y473" s="10" t="s">
        <v>2573</v>
      </c>
      <c r="Z473" s="10" t="s">
        <v>811</v>
      </c>
      <c r="AA473" s="10" t="s">
        <v>2574</v>
      </c>
      <c r="AB473" s="10" t="s">
        <v>2575</v>
      </c>
      <c r="AC473" s="10" t="s">
        <v>182</v>
      </c>
      <c r="AD473" s="10" t="s">
        <v>183</v>
      </c>
      <c r="AE473" s="10">
        <v>1162</v>
      </c>
      <c r="AF473" s="10" t="s">
        <v>2576</v>
      </c>
      <c r="AG473" s="44" t="s">
        <v>185</v>
      </c>
      <c r="AH473" s="44">
        <v>2</v>
      </c>
      <c r="AI473" s="44" t="s">
        <v>6052</v>
      </c>
      <c r="AJ473" s="44" t="s">
        <v>6058</v>
      </c>
      <c r="AK473" s="44" t="s">
        <v>6062</v>
      </c>
      <c r="AL473" s="44" t="s">
        <v>6052</v>
      </c>
      <c r="AM473" s="44" t="s">
        <v>6052</v>
      </c>
      <c r="AN473" s="44" t="s">
        <v>32790</v>
      </c>
      <c r="AO473" s="45">
        <v>11</v>
      </c>
      <c r="AP473" s="45">
        <v>1</v>
      </c>
      <c r="AQ473" s="45">
        <v>1</v>
      </c>
      <c r="AR473" s="45">
        <v>2</v>
      </c>
      <c r="AS473" s="45">
        <v>0</v>
      </c>
      <c r="AT473" s="45">
        <v>0</v>
      </c>
      <c r="AU473" s="10" t="s">
        <v>32791</v>
      </c>
      <c r="AV473" s="10" t="s">
        <v>32792</v>
      </c>
      <c r="AW473" s="10" t="s">
        <v>6052</v>
      </c>
      <c r="AX473" s="10" t="s">
        <v>6052</v>
      </c>
      <c r="AY473" s="10" t="s">
        <v>32793</v>
      </c>
      <c r="AZ473" s="44" t="s">
        <v>33116</v>
      </c>
      <c r="BA473" s="44" t="s">
        <v>31012</v>
      </c>
      <c r="BB473" s="44" t="s">
        <v>31484</v>
      </c>
      <c r="BC473" s="44" t="s">
        <v>6415</v>
      </c>
      <c r="BD473" s="44" t="s">
        <v>31707</v>
      </c>
      <c r="BE473" s="11">
        <v>1</v>
      </c>
      <c r="BF473" s="11">
        <v>1</v>
      </c>
      <c r="BG473" s="11">
        <v>0</v>
      </c>
      <c r="BH473" s="10" t="s">
        <v>31831</v>
      </c>
      <c r="BI473" s="11">
        <v>100</v>
      </c>
      <c r="BJ473" s="10" t="s">
        <v>33504</v>
      </c>
      <c r="BK473" s="11">
        <v>100</v>
      </c>
    </row>
    <row r="474" spans="1:63" x14ac:dyDescent="0.75">
      <c r="A474" t="s">
        <v>2047</v>
      </c>
      <c r="B474" t="s">
        <v>104</v>
      </c>
      <c r="C474" t="s">
        <v>2048</v>
      </c>
      <c r="D474" t="s">
        <v>2049</v>
      </c>
      <c r="E474" s="22" t="s">
        <v>14793</v>
      </c>
      <c r="F474" t="s">
        <v>2050</v>
      </c>
      <c r="G474" s="1" t="str">
        <f>HYPERLINK("https://homd.org/jbrowse/?data=homd_V11.02_phage_1.2%2FGCA_003043925.1&amp;loc=GCA_003043925.1%7CPYXD01000001.1%3A602474..609337&amp;tracks=prokka,prokka_ncrna,ncbi,ncbi_ncrna,panggolin,cenote,genomad&amp;highlight=","Open JBrowse")</f>
        <v>Open JBrowse</v>
      </c>
      <c r="H474" s="10">
        <v>605474</v>
      </c>
      <c r="I474" s="10">
        <v>606337</v>
      </c>
      <c r="J474" s="10" t="s">
        <v>2051</v>
      </c>
      <c r="K474" s="10" t="s">
        <v>59</v>
      </c>
      <c r="L474" s="10" t="s">
        <v>952</v>
      </c>
      <c r="M474" s="10" t="s">
        <v>953</v>
      </c>
      <c r="N474" s="10" t="s">
        <v>42</v>
      </c>
      <c r="O474" s="10">
        <v>3</v>
      </c>
      <c r="P474" s="10" t="s">
        <v>42</v>
      </c>
      <c r="Q474" s="10" t="s">
        <v>59</v>
      </c>
      <c r="R474" s="10" t="s">
        <v>2052</v>
      </c>
      <c r="S474" s="10" t="s">
        <v>952</v>
      </c>
      <c r="T474" s="10" t="s">
        <v>42</v>
      </c>
      <c r="U474" s="10">
        <v>51</v>
      </c>
      <c r="V474" s="10">
        <v>284</v>
      </c>
      <c r="W474" s="10">
        <v>234</v>
      </c>
      <c r="X474" s="10" t="s">
        <v>63</v>
      </c>
      <c r="Y474" s="10" t="s">
        <v>2053</v>
      </c>
      <c r="Z474" s="10" t="s">
        <v>1463</v>
      </c>
      <c r="AA474" s="10" t="s">
        <v>2054</v>
      </c>
      <c r="AB474" s="10" t="s">
        <v>2055</v>
      </c>
      <c r="AC474" s="10" t="s">
        <v>589</v>
      </c>
      <c r="AD474" s="10" t="s">
        <v>101</v>
      </c>
      <c r="AE474" s="10">
        <v>591</v>
      </c>
      <c r="AF474" s="10" t="s">
        <v>386</v>
      </c>
      <c r="AG474" s="44"/>
      <c r="AH474" s="44"/>
      <c r="AI474" s="44" t="s">
        <v>6052</v>
      </c>
      <c r="AJ474" s="44" t="s">
        <v>6059</v>
      </c>
      <c r="AK474" s="44" t="s">
        <v>6052</v>
      </c>
      <c r="AL474" s="44" t="s">
        <v>6052</v>
      </c>
      <c r="AM474" s="44" t="s">
        <v>6052</v>
      </c>
      <c r="AN474" s="44" t="s">
        <v>33092</v>
      </c>
      <c r="AO474" s="45">
        <v>11</v>
      </c>
      <c r="AP474" s="45">
        <v>1</v>
      </c>
      <c r="AQ474" s="45">
        <v>1</v>
      </c>
      <c r="AR474" s="45">
        <v>1</v>
      </c>
      <c r="AS474" s="45">
        <v>0</v>
      </c>
      <c r="AT474" s="45">
        <v>0</v>
      </c>
      <c r="AU474" s="10" t="s">
        <v>33093</v>
      </c>
      <c r="AV474" s="10" t="s">
        <v>33094</v>
      </c>
      <c r="AW474" s="10" t="s">
        <v>6052</v>
      </c>
      <c r="AX474" s="10" t="s">
        <v>6052</v>
      </c>
      <c r="AY474" s="10" t="s">
        <v>32432</v>
      </c>
      <c r="AZ474" s="44" t="s">
        <v>33116</v>
      </c>
      <c r="BA474" s="44" t="s">
        <v>31156</v>
      </c>
      <c r="BB474" s="44" t="s">
        <v>31696</v>
      </c>
      <c r="BC474" s="44" t="s">
        <v>6594</v>
      </c>
      <c r="BD474" s="44" t="s">
        <v>31708</v>
      </c>
      <c r="BE474" s="11">
        <v>1</v>
      </c>
      <c r="BF474" s="11">
        <v>1</v>
      </c>
      <c r="BG474" s="11">
        <v>0</v>
      </c>
      <c r="BH474" s="10" t="s">
        <v>31743</v>
      </c>
      <c r="BI474" s="11">
        <v>100</v>
      </c>
      <c r="BJ474" s="10" t="s">
        <v>33545</v>
      </c>
      <c r="BK474" s="11">
        <v>100</v>
      </c>
    </row>
    <row r="475" spans="1:63" x14ac:dyDescent="0.75">
      <c r="A475" t="s">
        <v>1854</v>
      </c>
      <c r="B475" t="s">
        <v>104</v>
      </c>
      <c r="C475" t="s">
        <v>329</v>
      </c>
      <c r="D475" t="s">
        <v>330</v>
      </c>
      <c r="E475" s="22" t="s">
        <v>13911</v>
      </c>
      <c r="F475" t="s">
        <v>1855</v>
      </c>
      <c r="G475" s="1" t="str">
        <f>HYPERLINK("https://homd.org/jbrowse/?data=homd_V11.02_phage_1.2%2FGCA_002312885.1&amp;loc=GCA_002312885.1%7CNIBW01000001.1%3A434527..442170&amp;tracks=prokka,prokka_ncrna,ncbi,ncbi_ncrna,panggolin,cenote,genomad&amp;highlight=","Open JBrowse")</f>
        <v>Open JBrowse</v>
      </c>
      <c r="H475" s="10">
        <v>437527</v>
      </c>
      <c r="I475" s="10">
        <v>439170</v>
      </c>
      <c r="J475" s="10" t="s">
        <v>1860</v>
      </c>
      <c r="K475" s="10" t="s">
        <v>109</v>
      </c>
      <c r="L475" s="10" t="s">
        <v>110</v>
      </c>
      <c r="M475" s="10" t="s">
        <v>333</v>
      </c>
      <c r="N475" s="10" t="s">
        <v>112</v>
      </c>
      <c r="O475" s="10">
        <v>3</v>
      </c>
      <c r="P475" s="10" t="s">
        <v>113</v>
      </c>
      <c r="Q475" s="10" t="s">
        <v>101</v>
      </c>
      <c r="R475" s="10" t="s">
        <v>1857</v>
      </c>
      <c r="S475" s="10" t="s">
        <v>115</v>
      </c>
      <c r="T475" s="10" t="s">
        <v>42</v>
      </c>
      <c r="U475" s="10">
        <v>322</v>
      </c>
      <c r="V475" s="10">
        <v>546</v>
      </c>
      <c r="W475" s="10">
        <v>225</v>
      </c>
      <c r="X475" s="10" t="s">
        <v>116</v>
      </c>
      <c r="Y475" s="10" t="s">
        <v>1861</v>
      </c>
      <c r="Z475" s="10" t="s">
        <v>586</v>
      </c>
      <c r="AA475" s="10" t="s">
        <v>1862</v>
      </c>
      <c r="AB475" s="10" t="s">
        <v>1863</v>
      </c>
      <c r="AC475" s="10" t="s">
        <v>339</v>
      </c>
      <c r="AD475" s="10" t="s">
        <v>101</v>
      </c>
      <c r="AE475" s="10">
        <v>3464</v>
      </c>
      <c r="AF475" s="10" t="s">
        <v>1864</v>
      </c>
      <c r="AG475" s="44"/>
      <c r="AH475" s="44"/>
      <c r="AI475" s="44" t="s">
        <v>6052</v>
      </c>
      <c r="AJ475" s="44" t="s">
        <v>6066</v>
      </c>
      <c r="AK475" s="44" t="s">
        <v>6069</v>
      </c>
      <c r="AL475" s="44" t="s">
        <v>6052</v>
      </c>
      <c r="AM475" s="44" t="s">
        <v>6052</v>
      </c>
      <c r="AN475" s="44" t="s">
        <v>32808</v>
      </c>
      <c r="AO475" s="45">
        <v>11</v>
      </c>
      <c r="AP475" s="45">
        <v>1</v>
      </c>
      <c r="AQ475" s="45">
        <v>1</v>
      </c>
      <c r="AR475" s="45">
        <v>1</v>
      </c>
      <c r="AS475" s="45">
        <v>0</v>
      </c>
      <c r="AT475" s="45">
        <v>0</v>
      </c>
      <c r="AU475" s="10" t="s">
        <v>32809</v>
      </c>
      <c r="AV475" s="10" t="s">
        <v>32810</v>
      </c>
      <c r="AW475" s="10" t="s">
        <v>6052</v>
      </c>
      <c r="AX475" s="10" t="s">
        <v>6052</v>
      </c>
      <c r="AY475" s="10" t="s">
        <v>32271</v>
      </c>
      <c r="AZ475" s="44" t="s">
        <v>33116</v>
      </c>
      <c r="BA475" s="44" t="s">
        <v>31018</v>
      </c>
      <c r="BB475" s="44" t="s">
        <v>31494</v>
      </c>
      <c r="BC475" s="44" t="s">
        <v>6415</v>
      </c>
      <c r="BD475" s="44" t="s">
        <v>31707</v>
      </c>
      <c r="BE475" s="11">
        <v>1</v>
      </c>
      <c r="BF475" s="11">
        <v>1</v>
      </c>
      <c r="BG475" s="11">
        <v>0</v>
      </c>
      <c r="BH475" s="10" t="s">
        <v>31764</v>
      </c>
      <c r="BI475" s="11">
        <v>100</v>
      </c>
      <c r="BJ475" s="10" t="s">
        <v>33540</v>
      </c>
      <c r="BK475" s="11">
        <v>100</v>
      </c>
    </row>
    <row r="476" spans="1:63" x14ac:dyDescent="0.75">
      <c r="A476" t="s">
        <v>2809</v>
      </c>
      <c r="B476" t="s">
        <v>104</v>
      </c>
      <c r="C476" t="s">
        <v>105</v>
      </c>
      <c r="D476" t="s">
        <v>106</v>
      </c>
      <c r="E476" s="22" t="s">
        <v>18751</v>
      </c>
      <c r="F476" t="s">
        <v>2810</v>
      </c>
      <c r="G476" s="1" t="str">
        <f>HYPERLINK("https://homd.org/jbrowse/?data=homd_V11.02_phage_1.2%2FGCA_013394785.1&amp;loc=GCA_013394785.1%7CJABXYW010000002.1%3A1237716..1245359&amp;tracks=prokka,prokka_ncrna,ncbi,ncbi_ncrna,panggolin,cenote,genomad&amp;highlight=","Open JBrowse")</f>
        <v>Open JBrowse</v>
      </c>
      <c r="H476" s="10">
        <v>1240716</v>
      </c>
      <c r="I476" s="10">
        <v>1242359</v>
      </c>
      <c r="J476" s="10" t="s">
        <v>2811</v>
      </c>
      <c r="K476" s="10" t="s">
        <v>109</v>
      </c>
      <c r="L476" s="10" t="s">
        <v>110</v>
      </c>
      <c r="M476" s="10" t="s">
        <v>333</v>
      </c>
      <c r="N476" s="10" t="s">
        <v>112</v>
      </c>
      <c r="O476" s="10">
        <v>3</v>
      </c>
      <c r="P476" s="10" t="s">
        <v>113</v>
      </c>
      <c r="Q476" s="10" t="s">
        <v>101</v>
      </c>
      <c r="R476" s="10" t="s">
        <v>2812</v>
      </c>
      <c r="S476" s="10" t="s">
        <v>115</v>
      </c>
      <c r="T476" s="10" t="s">
        <v>42</v>
      </c>
      <c r="U476" s="10">
        <v>322</v>
      </c>
      <c r="V476" s="10">
        <v>546</v>
      </c>
      <c r="W476" s="10">
        <v>225</v>
      </c>
      <c r="X476" s="10" t="s">
        <v>116</v>
      </c>
      <c r="Y476" s="10" t="s">
        <v>2813</v>
      </c>
      <c r="Z476" s="10" t="s">
        <v>118</v>
      </c>
      <c r="AA476" s="10" t="s">
        <v>2814</v>
      </c>
      <c r="AB476" s="10" t="s">
        <v>2815</v>
      </c>
      <c r="AC476" s="10" t="s">
        <v>339</v>
      </c>
      <c r="AD476" s="10" t="s">
        <v>101</v>
      </c>
      <c r="AE476" s="10">
        <v>3473</v>
      </c>
      <c r="AF476" s="10" t="s">
        <v>656</v>
      </c>
      <c r="AG476" s="44"/>
      <c r="AH476" s="44"/>
      <c r="AI476" s="44" t="s">
        <v>6052</v>
      </c>
      <c r="AJ476" s="44" t="s">
        <v>6058</v>
      </c>
      <c r="AK476" s="44" t="s">
        <v>6069</v>
      </c>
      <c r="AL476" s="44" t="s">
        <v>6052</v>
      </c>
      <c r="AM476" s="44" t="s">
        <v>6052</v>
      </c>
      <c r="AN476" s="44" t="s">
        <v>33084</v>
      </c>
      <c r="AO476" s="45">
        <v>11</v>
      </c>
      <c r="AP476" s="45">
        <v>1</v>
      </c>
      <c r="AQ476" s="45">
        <v>2</v>
      </c>
      <c r="AR476" s="45">
        <v>1</v>
      </c>
      <c r="AS476" s="45">
        <v>0</v>
      </c>
      <c r="AT476" s="45">
        <v>0</v>
      </c>
      <c r="AU476" s="10" t="s">
        <v>33085</v>
      </c>
      <c r="AV476" s="10" t="s">
        <v>33086</v>
      </c>
      <c r="AW476" s="10" t="s">
        <v>6052</v>
      </c>
      <c r="AX476" s="10" t="s">
        <v>6052</v>
      </c>
      <c r="AY476" s="10" t="s">
        <v>32886</v>
      </c>
      <c r="AZ476" s="44" t="s">
        <v>33116</v>
      </c>
      <c r="BA476" s="44" t="s">
        <v>31152</v>
      </c>
      <c r="BB476" s="44" t="s">
        <v>31690</v>
      </c>
      <c r="BC476" s="44" t="s">
        <v>6415</v>
      </c>
      <c r="BD476" s="44" t="s">
        <v>31707</v>
      </c>
      <c r="BE476" s="11">
        <v>1</v>
      </c>
      <c r="BF476" s="11">
        <v>1</v>
      </c>
      <c r="BG476" s="11">
        <v>0</v>
      </c>
      <c r="BH476" s="10" t="s">
        <v>31803</v>
      </c>
      <c r="BI476" s="11">
        <v>100</v>
      </c>
      <c r="BJ476" s="10" t="s">
        <v>33513</v>
      </c>
      <c r="BK476" s="11">
        <v>100</v>
      </c>
    </row>
    <row r="477" spans="1:63" x14ac:dyDescent="0.75">
      <c r="A477" t="s">
        <v>5936</v>
      </c>
      <c r="B477" t="s">
        <v>104</v>
      </c>
      <c r="C477" t="s">
        <v>1998</v>
      </c>
      <c r="D477" t="s">
        <v>1999</v>
      </c>
      <c r="E477" s="22" t="s">
        <v>30844</v>
      </c>
      <c r="F477" t="s">
        <v>5940</v>
      </c>
      <c r="G477" s="1" t="str">
        <f>HYPERLINK("https://homd.org/jbrowse/?data=homd_V11.02_phage_1.2%2FGCA_945829905.1&amp;loc=GCA_945829905.1%7CCALZWP010000026.1%3A14204..21196&amp;tracks=prokka,prokka_ncrna,ncbi,ncbi_ncrna,panggolin,cenote,genomad&amp;highlight=","Open JBrowse")</f>
        <v>Open JBrowse</v>
      </c>
      <c r="H477" s="10">
        <v>17204</v>
      </c>
      <c r="I477" s="10">
        <v>18196</v>
      </c>
      <c r="J477" s="10" t="s">
        <v>5941</v>
      </c>
      <c r="K477" s="10" t="s">
        <v>109</v>
      </c>
      <c r="L477" s="10" t="s">
        <v>4184</v>
      </c>
      <c r="M477" s="10" t="s">
        <v>4185</v>
      </c>
      <c r="N477" s="10" t="s">
        <v>42</v>
      </c>
      <c r="O477" s="10">
        <v>3</v>
      </c>
      <c r="P477" s="10" t="s">
        <v>42</v>
      </c>
      <c r="Q477" s="10" t="s">
        <v>101</v>
      </c>
      <c r="R477" s="10" t="s">
        <v>5939</v>
      </c>
      <c r="S477" s="10" t="s">
        <v>4184</v>
      </c>
      <c r="T477" s="10" t="s">
        <v>42</v>
      </c>
      <c r="U477" s="10">
        <v>91</v>
      </c>
      <c r="V477" s="10">
        <v>327</v>
      </c>
      <c r="W477" s="10">
        <v>237</v>
      </c>
      <c r="X477" s="10" t="s">
        <v>248</v>
      </c>
      <c r="Y477" s="10" t="s">
        <v>5942</v>
      </c>
      <c r="Z477" s="10" t="s">
        <v>556</v>
      </c>
      <c r="AA477" s="10" t="s">
        <v>5943</v>
      </c>
      <c r="AB477" s="10" t="s">
        <v>5944</v>
      </c>
      <c r="AC477" s="10" t="s">
        <v>2010</v>
      </c>
      <c r="AD477" s="10" t="s">
        <v>101</v>
      </c>
      <c r="AE477" s="10">
        <v>4431</v>
      </c>
      <c r="AF477" s="10" t="s">
        <v>2270</v>
      </c>
      <c r="AG477" s="44"/>
      <c r="AH477" s="44"/>
      <c r="AI477" s="44" t="s">
        <v>6052</v>
      </c>
      <c r="AJ477" s="44" t="s">
        <v>6058</v>
      </c>
      <c r="AK477" s="44" t="s">
        <v>6052</v>
      </c>
      <c r="AL477" s="44" t="s">
        <v>6052</v>
      </c>
      <c r="AM477" s="44" t="s">
        <v>6052</v>
      </c>
      <c r="AN477" s="44" t="s">
        <v>32417</v>
      </c>
      <c r="AO477" s="45">
        <v>11</v>
      </c>
      <c r="AP477" s="45">
        <v>1</v>
      </c>
      <c r="AQ477" s="45">
        <v>1</v>
      </c>
      <c r="AR477" s="45">
        <v>1</v>
      </c>
      <c r="AS477" s="45">
        <v>0</v>
      </c>
      <c r="AT477" s="45">
        <v>0</v>
      </c>
      <c r="AU477" s="10" t="s">
        <v>32418</v>
      </c>
      <c r="AV477" s="10" t="s">
        <v>32419</v>
      </c>
      <c r="AW477" s="10" t="s">
        <v>6052</v>
      </c>
      <c r="AX477" s="10" t="s">
        <v>6052</v>
      </c>
      <c r="AY477" s="10" t="s">
        <v>32271</v>
      </c>
      <c r="AZ477" s="44" t="s">
        <v>33110</v>
      </c>
      <c r="BA477" s="44" t="s">
        <v>30880</v>
      </c>
      <c r="BB477" s="44" t="s">
        <v>31274</v>
      </c>
      <c r="BC477" s="44" t="s">
        <v>6718</v>
      </c>
      <c r="BD477" s="44" t="s">
        <v>31717</v>
      </c>
      <c r="BE477" s="11">
        <v>1</v>
      </c>
      <c r="BF477" s="11">
        <v>1</v>
      </c>
      <c r="BG477" s="11">
        <v>0</v>
      </c>
      <c r="BH477" s="10" t="s">
        <v>31748</v>
      </c>
      <c r="BI477" s="11">
        <v>100</v>
      </c>
      <c r="BJ477" s="10" t="s">
        <v>33162</v>
      </c>
      <c r="BK477" s="11" t="s">
        <v>33162</v>
      </c>
    </row>
    <row r="478" spans="1:63" x14ac:dyDescent="0.75">
      <c r="A478" t="s">
        <v>5936</v>
      </c>
      <c r="B478" t="s">
        <v>104</v>
      </c>
      <c r="C478" t="s">
        <v>1998</v>
      </c>
      <c r="D478" t="s">
        <v>1999</v>
      </c>
      <c r="E478" s="22" t="s">
        <v>30844</v>
      </c>
      <c r="F478" t="s">
        <v>5945</v>
      </c>
      <c r="G478" s="1" t="str">
        <f>HYPERLINK("https://homd.org/jbrowse/?data=homd_V11.02_phage_1.2%2FGCA_945829905.1&amp;loc=GCA_945829905.1%7CCALZWP010000066.1%3A1..4257&amp;tracks=prokka,prokka_ncrna,ncbi,ncbi_ncrna,panggolin,cenote,genomad&amp;highlight=","Open JBrowse")</f>
        <v>Open JBrowse</v>
      </c>
      <c r="H478" s="10">
        <v>439</v>
      </c>
      <c r="I478" s="10">
        <v>1257</v>
      </c>
      <c r="J478" s="10" t="s">
        <v>5946</v>
      </c>
      <c r="K478" s="10" t="s">
        <v>996</v>
      </c>
      <c r="L478" s="10" t="s">
        <v>997</v>
      </c>
      <c r="M478" s="10" t="s">
        <v>998</v>
      </c>
      <c r="N478" s="10" t="s">
        <v>42</v>
      </c>
      <c r="O478" s="10">
        <v>3</v>
      </c>
      <c r="P478" s="10" t="s">
        <v>42</v>
      </c>
      <c r="Q478" s="10" t="s">
        <v>101</v>
      </c>
      <c r="R478" s="10" t="s">
        <v>5939</v>
      </c>
      <c r="S478" s="10" t="s">
        <v>997</v>
      </c>
      <c r="T478" s="10" t="s">
        <v>42</v>
      </c>
      <c r="U478" s="10">
        <v>39</v>
      </c>
      <c r="V478" s="10">
        <v>271</v>
      </c>
      <c r="W478" s="10">
        <v>233</v>
      </c>
      <c r="X478" s="10" t="s">
        <v>999</v>
      </c>
      <c r="Y478" s="10" t="s">
        <v>5947</v>
      </c>
      <c r="Z478" s="10" t="s">
        <v>503</v>
      </c>
      <c r="AA478" s="10" t="s">
        <v>5948</v>
      </c>
      <c r="AB478" s="10" t="s">
        <v>5949</v>
      </c>
      <c r="AC478" s="10" t="s">
        <v>1003</v>
      </c>
      <c r="AD478" s="10" t="s">
        <v>101</v>
      </c>
      <c r="AE478" s="10">
        <v>6058</v>
      </c>
      <c r="AF478" s="10" t="s">
        <v>5950</v>
      </c>
      <c r="AG478" s="44" t="s">
        <v>101</v>
      </c>
      <c r="AH478" s="44">
        <v>2</v>
      </c>
      <c r="AI478" s="44" t="s">
        <v>6052</v>
      </c>
      <c r="AJ478" s="44" t="s">
        <v>6059</v>
      </c>
      <c r="AK478" s="44" t="s">
        <v>6062</v>
      </c>
      <c r="AL478" s="44" t="s">
        <v>6052</v>
      </c>
      <c r="AM478" s="44" t="s">
        <v>6052</v>
      </c>
      <c r="AN478" s="44" t="s">
        <v>32461</v>
      </c>
      <c r="AO478" s="45">
        <v>11</v>
      </c>
      <c r="AP478" s="45">
        <v>1</v>
      </c>
      <c r="AQ478" s="45">
        <v>1</v>
      </c>
      <c r="AR478" s="45">
        <v>1</v>
      </c>
      <c r="AS478" s="45">
        <v>0</v>
      </c>
      <c r="AT478" s="45">
        <v>0</v>
      </c>
      <c r="AU478" s="10" t="s">
        <v>32462</v>
      </c>
      <c r="AV478" s="10" t="s">
        <v>32463</v>
      </c>
      <c r="AW478" s="10" t="s">
        <v>6052</v>
      </c>
      <c r="AX478" s="10" t="s">
        <v>6052</v>
      </c>
      <c r="AY478" s="10" t="s">
        <v>32464</v>
      </c>
      <c r="AZ478" s="44" t="s">
        <v>33116</v>
      </c>
      <c r="BA478" s="44" t="s">
        <v>30880</v>
      </c>
      <c r="BB478" s="44" t="s">
        <v>31286</v>
      </c>
      <c r="BC478" s="44" t="s">
        <v>6718</v>
      </c>
      <c r="BD478" s="44" t="s">
        <v>31717</v>
      </c>
      <c r="BE478" s="11">
        <v>1</v>
      </c>
      <c r="BF478" s="11">
        <v>1</v>
      </c>
      <c r="BG478" s="11">
        <v>0</v>
      </c>
      <c r="BH478" s="10" t="s">
        <v>32170</v>
      </c>
      <c r="BI478" s="11">
        <v>100</v>
      </c>
      <c r="BJ478" s="10" t="s">
        <v>33162</v>
      </c>
      <c r="BK478" s="11" t="s">
        <v>33162</v>
      </c>
    </row>
    <row r="479" spans="1:63" x14ac:dyDescent="0.75">
      <c r="A479" t="s">
        <v>5951</v>
      </c>
      <c r="B479" t="s">
        <v>104</v>
      </c>
      <c r="C479" t="s">
        <v>1998</v>
      </c>
      <c r="D479" t="s">
        <v>1999</v>
      </c>
      <c r="E479" s="22" t="s">
        <v>30844</v>
      </c>
      <c r="F479" t="s">
        <v>5955</v>
      </c>
      <c r="G479" s="1" t="str">
        <f>HYPERLINK("https://homd.org/jbrowse/?data=homd_V11.02_phage_1.2%2FGCA_945869495.1&amp;loc=GCA_945869495.1%7CCAMBOX010000026.1%3A14299..21291&amp;tracks=prokka,prokka_ncrna,ncbi,ncbi_ncrna,panggolin,cenote,genomad&amp;highlight=","Open JBrowse")</f>
        <v>Open JBrowse</v>
      </c>
      <c r="H479" s="10">
        <v>17299</v>
      </c>
      <c r="I479" s="10">
        <v>18291</v>
      </c>
      <c r="J479" s="10" t="s">
        <v>5956</v>
      </c>
      <c r="K479" s="10" t="s">
        <v>109</v>
      </c>
      <c r="L479" s="10" t="s">
        <v>4184</v>
      </c>
      <c r="M479" s="10" t="s">
        <v>4185</v>
      </c>
      <c r="N479" s="10" t="s">
        <v>42</v>
      </c>
      <c r="O479" s="10">
        <v>3</v>
      </c>
      <c r="P479" s="10" t="s">
        <v>42</v>
      </c>
      <c r="Q479" s="10" t="s">
        <v>101</v>
      </c>
      <c r="R479" s="10" t="s">
        <v>5954</v>
      </c>
      <c r="S479" s="10" t="s">
        <v>4184</v>
      </c>
      <c r="T479" s="10" t="s">
        <v>42</v>
      </c>
      <c r="U479" s="10">
        <v>91</v>
      </c>
      <c r="V479" s="10">
        <v>327</v>
      </c>
      <c r="W479" s="10">
        <v>237</v>
      </c>
      <c r="X479" s="10" t="s">
        <v>248</v>
      </c>
      <c r="Y479" s="10" t="s">
        <v>5957</v>
      </c>
      <c r="Z479" s="10" t="s">
        <v>193</v>
      </c>
      <c r="AA479" s="10" t="s">
        <v>5943</v>
      </c>
      <c r="AB479" s="10" t="s">
        <v>5958</v>
      </c>
      <c r="AC479" s="10" t="s">
        <v>2010</v>
      </c>
      <c r="AD479" s="10" t="s">
        <v>101</v>
      </c>
      <c r="AE479" s="10">
        <v>4431</v>
      </c>
      <c r="AF479" s="10" t="s">
        <v>2270</v>
      </c>
      <c r="AG479" s="44"/>
      <c r="AH479" s="44"/>
      <c r="AI479" s="44" t="s">
        <v>6052</v>
      </c>
      <c r="AJ479" s="44" t="s">
        <v>6058</v>
      </c>
      <c r="AK479" s="44" t="s">
        <v>6052</v>
      </c>
      <c r="AL479" s="44" t="s">
        <v>6052</v>
      </c>
      <c r="AM479" s="44" t="s">
        <v>6052</v>
      </c>
      <c r="AN479" s="44" t="s">
        <v>32411</v>
      </c>
      <c r="AO479" s="45">
        <v>11</v>
      </c>
      <c r="AP479" s="45">
        <v>1</v>
      </c>
      <c r="AQ479" s="45">
        <v>1</v>
      </c>
      <c r="AR479" s="45">
        <v>1</v>
      </c>
      <c r="AS479" s="45">
        <v>0</v>
      </c>
      <c r="AT479" s="45">
        <v>0</v>
      </c>
      <c r="AU479" s="10" t="s">
        <v>32412</v>
      </c>
      <c r="AV479" s="10" t="s">
        <v>32413</v>
      </c>
      <c r="AW479" s="10" t="s">
        <v>6052</v>
      </c>
      <c r="AX479" s="10" t="s">
        <v>6052</v>
      </c>
      <c r="AY479" s="10" t="s">
        <v>32271</v>
      </c>
      <c r="AZ479" s="44" t="s">
        <v>33110</v>
      </c>
      <c r="BA479" s="44" t="s">
        <v>30880</v>
      </c>
      <c r="BB479" s="44" t="s">
        <v>31272</v>
      </c>
      <c r="BC479" s="44" t="s">
        <v>6718</v>
      </c>
      <c r="BD479" s="44" t="s">
        <v>31717</v>
      </c>
      <c r="BE479" s="11">
        <v>1</v>
      </c>
      <c r="BF479" s="11">
        <v>1</v>
      </c>
      <c r="BG479" s="11">
        <v>0</v>
      </c>
      <c r="BH479" s="10" t="s">
        <v>31747</v>
      </c>
      <c r="BI479" s="11">
        <v>100</v>
      </c>
      <c r="BJ479" s="10" t="s">
        <v>33162</v>
      </c>
      <c r="BK479" s="11" t="s">
        <v>33162</v>
      </c>
    </row>
    <row r="480" spans="1:63" x14ac:dyDescent="0.75">
      <c r="A480" t="s">
        <v>5959</v>
      </c>
      <c r="B480" t="s">
        <v>104</v>
      </c>
      <c r="C480" t="s">
        <v>1998</v>
      </c>
      <c r="D480" t="s">
        <v>1999</v>
      </c>
      <c r="E480" s="22" t="s">
        <v>30844</v>
      </c>
      <c r="F480" t="s">
        <v>5963</v>
      </c>
      <c r="G480" s="1" t="str">
        <f>HYPERLINK("https://homd.org/jbrowse/?data=homd_V11.02_phage_1.2%2FGCA_945917645.1&amp;loc=GCA_945917645.1%7CCAMEHQ010000036.1%3A4936..12024&amp;tracks=prokka,prokka_ncrna,ncbi,ncbi_ncrna,panggolin,cenote,genomad&amp;highlight=","Open JBrowse")</f>
        <v>Open JBrowse</v>
      </c>
      <c r="H480" s="10">
        <v>7936</v>
      </c>
      <c r="I480" s="10">
        <v>9024</v>
      </c>
      <c r="J480" s="10" t="s">
        <v>5964</v>
      </c>
      <c r="K480" s="10" t="s">
        <v>109</v>
      </c>
      <c r="L480" s="10" t="s">
        <v>2004</v>
      </c>
      <c r="M480" s="10" t="s">
        <v>2005</v>
      </c>
      <c r="N480" s="10" t="s">
        <v>42</v>
      </c>
      <c r="O480" s="10">
        <v>3</v>
      </c>
      <c r="P480" s="10" t="s">
        <v>42</v>
      </c>
      <c r="Q480" s="10" t="s">
        <v>101</v>
      </c>
      <c r="R480" s="10" t="s">
        <v>5962</v>
      </c>
      <c r="S480" s="10" t="s">
        <v>2004</v>
      </c>
      <c r="T480" s="10" t="s">
        <v>42</v>
      </c>
      <c r="U480" s="10">
        <v>123</v>
      </c>
      <c r="V480" s="10">
        <v>359</v>
      </c>
      <c r="W480" s="10">
        <v>237</v>
      </c>
      <c r="X480" s="10" t="s">
        <v>248</v>
      </c>
      <c r="Y480" s="10" t="s">
        <v>5965</v>
      </c>
      <c r="Z480" s="10" t="s">
        <v>2694</v>
      </c>
      <c r="AA480" s="10" t="s">
        <v>5966</v>
      </c>
      <c r="AB480" s="10" t="s">
        <v>5967</v>
      </c>
      <c r="AC480" s="10" t="s">
        <v>2010</v>
      </c>
      <c r="AD480" s="10" t="s">
        <v>101</v>
      </c>
      <c r="AE480" s="10">
        <v>4430</v>
      </c>
      <c r="AF480" s="10" t="s">
        <v>2011</v>
      </c>
      <c r="AG480" s="44"/>
      <c r="AH480" s="44"/>
      <c r="AI480" s="44" t="s">
        <v>6052</v>
      </c>
      <c r="AJ480" s="44" t="s">
        <v>6058</v>
      </c>
      <c r="AK480" s="44" t="s">
        <v>6052</v>
      </c>
      <c r="AL480" s="44" t="s">
        <v>6052</v>
      </c>
      <c r="AM480" s="44" t="s">
        <v>6052</v>
      </c>
      <c r="AN480" s="44" t="s">
        <v>32426</v>
      </c>
      <c r="AO480" s="45">
        <v>11</v>
      </c>
      <c r="AP480" s="45">
        <v>1</v>
      </c>
      <c r="AQ480" s="45">
        <v>1</v>
      </c>
      <c r="AR480" s="45">
        <v>1</v>
      </c>
      <c r="AS480" s="45">
        <v>0</v>
      </c>
      <c r="AT480" s="45">
        <v>0</v>
      </c>
      <c r="AU480" s="10" t="s">
        <v>32427</v>
      </c>
      <c r="AV480" s="10" t="s">
        <v>32428</v>
      </c>
      <c r="AW480" s="10" t="s">
        <v>6052</v>
      </c>
      <c r="AX480" s="10" t="s">
        <v>6052</v>
      </c>
      <c r="AY480" s="10" t="s">
        <v>32407</v>
      </c>
      <c r="AZ480" s="44" t="s">
        <v>33116</v>
      </c>
      <c r="BA480" s="44" t="s">
        <v>30880</v>
      </c>
      <c r="BB480" s="44" t="s">
        <v>31277</v>
      </c>
      <c r="BC480" s="44" t="s">
        <v>6718</v>
      </c>
      <c r="BD480" s="44" t="s">
        <v>31717</v>
      </c>
      <c r="BE480" s="11">
        <v>1</v>
      </c>
      <c r="BF480" s="11">
        <v>1</v>
      </c>
      <c r="BG480" s="11">
        <v>0</v>
      </c>
      <c r="BH480" s="10" t="s">
        <v>31754</v>
      </c>
      <c r="BI480" s="11">
        <v>100</v>
      </c>
      <c r="BJ480" s="10" t="s">
        <v>33162</v>
      </c>
      <c r="BK480" s="11" t="s">
        <v>33162</v>
      </c>
    </row>
    <row r="481" spans="1:63" x14ac:dyDescent="0.75">
      <c r="A481" t="s">
        <v>4189</v>
      </c>
      <c r="B481" t="s">
        <v>104</v>
      </c>
      <c r="C481" t="s">
        <v>1998</v>
      </c>
      <c r="D481" t="s">
        <v>1999</v>
      </c>
      <c r="E481" s="22" t="s">
        <v>23275</v>
      </c>
      <c r="F481" t="s">
        <v>4190</v>
      </c>
      <c r="G481" s="1" t="str">
        <f>HYPERLINK("https://homd.org/jbrowse/?data=homd_V11.02_phage_1.2%2FGCA_023436275.1&amp;loc=GCA_023436275.1%7CJAEZJU010000009.1%3A29821..36948&amp;tracks=prokka,prokka_ncrna,ncbi,ncbi_ncrna,panggolin,cenote,genomad&amp;highlight=","Open JBrowse")</f>
        <v>Open JBrowse</v>
      </c>
      <c r="H481" s="10">
        <v>32821</v>
      </c>
      <c r="I481" s="10">
        <v>33948</v>
      </c>
      <c r="J481" s="10" t="s">
        <v>4191</v>
      </c>
      <c r="K481" s="10" t="s">
        <v>109</v>
      </c>
      <c r="L481" s="10" t="s">
        <v>4192</v>
      </c>
      <c r="M481" s="10" t="s">
        <v>4193</v>
      </c>
      <c r="N481" s="10" t="s">
        <v>42</v>
      </c>
      <c r="O481" s="10">
        <v>3</v>
      </c>
      <c r="P481" s="10" t="s">
        <v>42</v>
      </c>
      <c r="Q481" s="10" t="s">
        <v>101</v>
      </c>
      <c r="R481" s="10" t="s">
        <v>4194</v>
      </c>
      <c r="S481" s="10" t="s">
        <v>4192</v>
      </c>
      <c r="T481" s="10" t="s">
        <v>42</v>
      </c>
      <c r="U481" s="10">
        <v>136</v>
      </c>
      <c r="V481" s="10">
        <v>372</v>
      </c>
      <c r="W481" s="10">
        <v>237</v>
      </c>
      <c r="X481" s="10" t="s">
        <v>248</v>
      </c>
      <c r="Y481" s="10" t="s">
        <v>4195</v>
      </c>
      <c r="Z481" s="10" t="s">
        <v>2007</v>
      </c>
      <c r="AA481" s="10" t="s">
        <v>4196</v>
      </c>
      <c r="AB481" s="10" t="s">
        <v>4197</v>
      </c>
      <c r="AC481" s="10" t="s">
        <v>2010</v>
      </c>
      <c r="AD481" s="10" t="s">
        <v>101</v>
      </c>
      <c r="AE481" s="10">
        <v>4422</v>
      </c>
      <c r="AF481" s="10" t="s">
        <v>2270</v>
      </c>
      <c r="AG481" s="44"/>
      <c r="AH481" s="44"/>
      <c r="AI481" s="44" t="s">
        <v>6052</v>
      </c>
      <c r="AJ481" s="44" t="s">
        <v>6058</v>
      </c>
      <c r="AK481" s="44" t="s">
        <v>6052</v>
      </c>
      <c r="AL481" s="44" t="s">
        <v>6052</v>
      </c>
      <c r="AM481" s="44" t="s">
        <v>6052</v>
      </c>
      <c r="AN481" s="44" t="s">
        <v>32973</v>
      </c>
      <c r="AO481" s="45">
        <v>11</v>
      </c>
      <c r="AP481" s="45">
        <v>1</v>
      </c>
      <c r="AQ481" s="45">
        <v>1</v>
      </c>
      <c r="AR481" s="45">
        <v>1</v>
      </c>
      <c r="AS481" s="45">
        <v>0</v>
      </c>
      <c r="AT481" s="45">
        <v>0</v>
      </c>
      <c r="AU481" s="10" t="s">
        <v>32974</v>
      </c>
      <c r="AV481" s="10" t="s">
        <v>32975</v>
      </c>
      <c r="AW481" s="10" t="s">
        <v>6052</v>
      </c>
      <c r="AX481" s="10" t="s">
        <v>6052</v>
      </c>
      <c r="AY481" s="10" t="s">
        <v>32271</v>
      </c>
      <c r="AZ481" s="44" t="s">
        <v>33116</v>
      </c>
      <c r="BA481" s="44" t="s">
        <v>31095</v>
      </c>
      <c r="BB481" s="44" t="s">
        <v>31607</v>
      </c>
      <c r="BC481" s="44" t="s">
        <v>6718</v>
      </c>
      <c r="BD481" s="44" t="s">
        <v>31717</v>
      </c>
      <c r="BE481" s="11">
        <v>1</v>
      </c>
      <c r="BF481" s="11">
        <v>1</v>
      </c>
      <c r="BG481" s="11">
        <v>0</v>
      </c>
      <c r="BH481" s="10" t="s">
        <v>31753</v>
      </c>
      <c r="BI481" s="11">
        <v>100</v>
      </c>
      <c r="BJ481" s="10" t="s">
        <v>33162</v>
      </c>
      <c r="BK481" s="11" t="s">
        <v>33162</v>
      </c>
    </row>
    <row r="482" spans="1:63" x14ac:dyDescent="0.75">
      <c r="A482" t="s">
        <v>4178</v>
      </c>
      <c r="B482" t="s">
        <v>104</v>
      </c>
      <c r="C482" t="s">
        <v>1998</v>
      </c>
      <c r="D482" t="s">
        <v>1999</v>
      </c>
      <c r="E482" s="22" t="s">
        <v>23273</v>
      </c>
      <c r="F482" t="s">
        <v>4182</v>
      </c>
      <c r="G482" s="1" t="str">
        <f>HYPERLINK("https://homd.org/jbrowse/?data=homd_V11.02_phage_1.2%2FGCA_023425005.1&amp;loc=GCA_023425005.1%7CJAFADK010000084.1%3A15037..22029&amp;tracks=prokka,prokka_ncrna,ncbi,ncbi_ncrna,panggolin,cenote,genomad&amp;highlight=","Open JBrowse")</f>
        <v>Open JBrowse</v>
      </c>
      <c r="H482" s="10">
        <v>18037</v>
      </c>
      <c r="I482" s="10">
        <v>19029</v>
      </c>
      <c r="J482" s="10" t="s">
        <v>4183</v>
      </c>
      <c r="K482" s="10" t="s">
        <v>109</v>
      </c>
      <c r="L482" s="10" t="s">
        <v>4184</v>
      </c>
      <c r="M482" s="10" t="s">
        <v>4185</v>
      </c>
      <c r="N482" s="10" t="s">
        <v>42</v>
      </c>
      <c r="O482" s="10">
        <v>3</v>
      </c>
      <c r="P482" s="10" t="s">
        <v>42</v>
      </c>
      <c r="Q482" s="10" t="s">
        <v>101</v>
      </c>
      <c r="R482" s="10" t="s">
        <v>4181</v>
      </c>
      <c r="S482" s="10" t="s">
        <v>4184</v>
      </c>
      <c r="T482" s="10" t="s">
        <v>42</v>
      </c>
      <c r="U482" s="10">
        <v>91</v>
      </c>
      <c r="V482" s="10">
        <v>327</v>
      </c>
      <c r="W482" s="10">
        <v>237</v>
      </c>
      <c r="X482" s="10" t="s">
        <v>248</v>
      </c>
      <c r="Y482" s="10" t="s">
        <v>4186</v>
      </c>
      <c r="Z482" s="10" t="s">
        <v>416</v>
      </c>
      <c r="AA482" s="10" t="s">
        <v>4187</v>
      </c>
      <c r="AB482" s="10" t="s">
        <v>4188</v>
      </c>
      <c r="AC482" s="10" t="s">
        <v>2010</v>
      </c>
      <c r="AD482" s="10" t="s">
        <v>101</v>
      </c>
      <c r="AE482" s="10">
        <v>4428</v>
      </c>
      <c r="AF482" s="10" t="s">
        <v>2011</v>
      </c>
      <c r="AG482" s="44"/>
      <c r="AH482" s="44"/>
      <c r="AI482" s="44" t="s">
        <v>6052</v>
      </c>
      <c r="AJ482" s="44" t="s">
        <v>6058</v>
      </c>
      <c r="AK482" s="44" t="s">
        <v>6052</v>
      </c>
      <c r="AL482" s="44" t="s">
        <v>6052</v>
      </c>
      <c r="AM482" s="44" t="s">
        <v>6052</v>
      </c>
      <c r="AN482" s="44" t="s">
        <v>32976</v>
      </c>
      <c r="AO482" s="45">
        <v>11</v>
      </c>
      <c r="AP482" s="45">
        <v>1</v>
      </c>
      <c r="AQ482" s="45">
        <v>1</v>
      </c>
      <c r="AR482" s="45">
        <v>1</v>
      </c>
      <c r="AS482" s="45">
        <v>0</v>
      </c>
      <c r="AT482" s="45">
        <v>0</v>
      </c>
      <c r="AU482" s="10" t="s">
        <v>32977</v>
      </c>
      <c r="AV482" s="10" t="s">
        <v>32978</v>
      </c>
      <c r="AW482" s="10" t="s">
        <v>6052</v>
      </c>
      <c r="AX482" s="10" t="s">
        <v>6052</v>
      </c>
      <c r="AY482" s="10" t="s">
        <v>32407</v>
      </c>
      <c r="AZ482" s="44" t="s">
        <v>33110</v>
      </c>
      <c r="BA482" s="44" t="s">
        <v>31096</v>
      </c>
      <c r="BB482" s="44" t="s">
        <v>31608</v>
      </c>
      <c r="BC482" s="44" t="s">
        <v>6718</v>
      </c>
      <c r="BD482" s="44" t="s">
        <v>31717</v>
      </c>
      <c r="BE482" s="11">
        <v>1</v>
      </c>
      <c r="BF482" s="11">
        <v>1</v>
      </c>
      <c r="BG482" s="11">
        <v>0</v>
      </c>
      <c r="BH482" s="10" t="s">
        <v>31751</v>
      </c>
      <c r="BI482" s="11">
        <v>100</v>
      </c>
      <c r="BJ482" s="10" t="s">
        <v>33162</v>
      </c>
      <c r="BK482" s="11" t="s">
        <v>33162</v>
      </c>
    </row>
    <row r="483" spans="1:63" x14ac:dyDescent="0.75">
      <c r="A483" t="s">
        <v>5849</v>
      </c>
      <c r="B483" t="s">
        <v>104</v>
      </c>
      <c r="C483" t="s">
        <v>514</v>
      </c>
      <c r="D483" t="s">
        <v>515</v>
      </c>
      <c r="E483" s="22" t="s">
        <v>30844</v>
      </c>
      <c r="F483" t="s">
        <v>5850</v>
      </c>
      <c r="G483" s="1" t="str">
        <f>HYPERLINK("https://homd.org/jbrowse/?data=homd_V11.02_phage_1.2%2FGCA_938018165.1&amp;loc=GCA_938018165.1%7CCALIIH010000002.1%3A59665..66501&amp;tracks=prokka,prokka_ncrna,ncbi,ncbi_ncrna,panggolin,cenote,genomad&amp;highlight=","Open JBrowse")</f>
        <v>Open JBrowse</v>
      </c>
      <c r="H483" s="10">
        <v>62665</v>
      </c>
      <c r="I483" s="10">
        <v>63501</v>
      </c>
      <c r="J483" s="10" t="s">
        <v>5851</v>
      </c>
      <c r="K483" s="10" t="s">
        <v>39</v>
      </c>
      <c r="L483" s="10" t="s">
        <v>518</v>
      </c>
      <c r="M483" s="10" t="s">
        <v>519</v>
      </c>
      <c r="N483" s="10" t="s">
        <v>42</v>
      </c>
      <c r="O483" s="10">
        <v>3</v>
      </c>
      <c r="P483" s="10" t="s">
        <v>42</v>
      </c>
      <c r="Q483" s="10" t="s">
        <v>43</v>
      </c>
      <c r="R483" s="10" t="s">
        <v>5852</v>
      </c>
      <c r="S483" s="10" t="s">
        <v>518</v>
      </c>
      <c r="T483" s="10" t="s">
        <v>42</v>
      </c>
      <c r="U483" s="10">
        <v>47</v>
      </c>
      <c r="V483" s="10">
        <v>274</v>
      </c>
      <c r="W483" s="10">
        <v>228</v>
      </c>
      <c r="X483" s="10" t="s">
        <v>45</v>
      </c>
      <c r="Y483" s="10" t="s">
        <v>5853</v>
      </c>
      <c r="Z483" s="10" t="s">
        <v>1257</v>
      </c>
      <c r="AA483" s="10" t="s">
        <v>5854</v>
      </c>
      <c r="AB483" s="10" t="s">
        <v>5855</v>
      </c>
      <c r="AC483" s="10" t="s">
        <v>339</v>
      </c>
      <c r="AD483" s="10" t="s">
        <v>101</v>
      </c>
      <c r="AE483" s="10">
        <v>202.4</v>
      </c>
      <c r="AF483" s="10" t="s">
        <v>102</v>
      </c>
      <c r="AG483" s="44"/>
      <c r="AH483" s="44"/>
      <c r="AI483" s="44" t="s">
        <v>6052</v>
      </c>
      <c r="AJ483" s="44" t="s">
        <v>6058</v>
      </c>
      <c r="AK483" s="44" t="s">
        <v>6062</v>
      </c>
      <c r="AL483" s="44" t="s">
        <v>6052</v>
      </c>
      <c r="AM483" s="44" t="s">
        <v>6052</v>
      </c>
      <c r="AN483" s="44" t="s">
        <v>32442</v>
      </c>
      <c r="AO483" s="45">
        <v>11</v>
      </c>
      <c r="AP483" s="45">
        <v>1</v>
      </c>
      <c r="AQ483" s="45">
        <v>1</v>
      </c>
      <c r="AR483" s="45">
        <v>1</v>
      </c>
      <c r="AS483" s="45">
        <v>0</v>
      </c>
      <c r="AT483" s="45">
        <v>0</v>
      </c>
      <c r="AU483" s="10" t="s">
        <v>32443</v>
      </c>
      <c r="AV483" s="10" t="s">
        <v>32444</v>
      </c>
      <c r="AW483" s="10" t="s">
        <v>6052</v>
      </c>
      <c r="AX483" s="10" t="s">
        <v>6052</v>
      </c>
      <c r="AY483" s="10" t="s">
        <v>32445</v>
      </c>
      <c r="AZ483" s="44" t="s">
        <v>33116</v>
      </c>
      <c r="BA483" s="44" t="s">
        <v>30873</v>
      </c>
      <c r="BB483" s="44" t="s">
        <v>31282</v>
      </c>
      <c r="BC483" s="44" t="s">
        <v>6415</v>
      </c>
      <c r="BD483" s="44" t="s">
        <v>31707</v>
      </c>
      <c r="BE483" s="11">
        <v>1</v>
      </c>
      <c r="BF483" s="11">
        <v>1</v>
      </c>
      <c r="BG483" s="11">
        <v>0</v>
      </c>
      <c r="BH483" s="10" t="s">
        <v>31835</v>
      </c>
      <c r="BI483" s="11">
        <v>100</v>
      </c>
      <c r="BJ483" s="10" t="s">
        <v>33162</v>
      </c>
      <c r="BK483" s="11" t="s">
        <v>33162</v>
      </c>
    </row>
    <row r="484" spans="1:63" x14ac:dyDescent="0.75">
      <c r="A484" t="s">
        <v>5431</v>
      </c>
      <c r="B484" t="s">
        <v>104</v>
      </c>
      <c r="C484" t="s">
        <v>105</v>
      </c>
      <c r="D484" t="s">
        <v>106</v>
      </c>
      <c r="E484" s="22" t="s">
        <v>30844</v>
      </c>
      <c r="F484" t="s">
        <v>5432</v>
      </c>
      <c r="G484" s="1" t="str">
        <f>HYPERLINK("https://homd.org/jbrowse/?data=homd_V11.02_phage_1.2%2FGCA_905371985.1&amp;loc=GCA_905371985.1%7CCAJPNJ010000052.1%3A9067..16710&amp;tracks=prokka,prokka_ncrna,ncbi,ncbi_ncrna,panggolin,cenote,genomad&amp;highlight=","Open JBrowse")</f>
        <v>Open JBrowse</v>
      </c>
      <c r="H484" s="10">
        <v>12067</v>
      </c>
      <c r="I484" s="10">
        <v>13710</v>
      </c>
      <c r="J484" s="10" t="s">
        <v>5433</v>
      </c>
      <c r="K484" s="10" t="s">
        <v>109</v>
      </c>
      <c r="L484" s="10" t="s">
        <v>110</v>
      </c>
      <c r="M484" s="10" t="s">
        <v>333</v>
      </c>
      <c r="N484" s="10" t="s">
        <v>112</v>
      </c>
      <c r="O484" s="10">
        <v>3</v>
      </c>
      <c r="P484" s="10" t="s">
        <v>113</v>
      </c>
      <c r="Q484" s="10" t="s">
        <v>101</v>
      </c>
      <c r="R484" s="10" t="s">
        <v>5434</v>
      </c>
      <c r="S484" s="10" t="s">
        <v>115</v>
      </c>
      <c r="T484" s="10" t="s">
        <v>42</v>
      </c>
      <c r="U484" s="10">
        <v>322</v>
      </c>
      <c r="V484" s="10">
        <v>546</v>
      </c>
      <c r="W484" s="10">
        <v>225</v>
      </c>
      <c r="X484" s="10" t="s">
        <v>116</v>
      </c>
      <c r="Y484" s="10" t="s">
        <v>5435</v>
      </c>
      <c r="Z484" s="10" t="s">
        <v>530</v>
      </c>
      <c r="AA484" s="10" t="s">
        <v>5436</v>
      </c>
      <c r="AB484" s="10" t="s">
        <v>5437</v>
      </c>
      <c r="AC484" s="10" t="s">
        <v>339</v>
      </c>
      <c r="AD484" s="10" t="s">
        <v>101</v>
      </c>
      <c r="AE484" s="10">
        <v>3479</v>
      </c>
      <c r="AF484" s="10" t="s">
        <v>656</v>
      </c>
      <c r="AG484" s="44"/>
      <c r="AH484" s="44"/>
      <c r="AI484" s="44" t="s">
        <v>6052</v>
      </c>
      <c r="AJ484" s="44" t="s">
        <v>6058</v>
      </c>
      <c r="AK484" s="44" t="s">
        <v>6063</v>
      </c>
      <c r="AL484" s="44" t="s">
        <v>6052</v>
      </c>
      <c r="AM484" s="44" t="s">
        <v>6052</v>
      </c>
      <c r="AN484" s="44" t="s">
        <v>32433</v>
      </c>
      <c r="AO484" s="45">
        <v>11</v>
      </c>
      <c r="AP484" s="45">
        <v>1</v>
      </c>
      <c r="AQ484" s="45">
        <v>1</v>
      </c>
      <c r="AR484" s="45">
        <v>1</v>
      </c>
      <c r="AS484" s="45">
        <v>0</v>
      </c>
      <c r="AT484" s="45">
        <v>0</v>
      </c>
      <c r="AU484" s="10" t="s">
        <v>32434</v>
      </c>
      <c r="AV484" s="10" t="s">
        <v>32435</v>
      </c>
      <c r="AW484" s="10" t="s">
        <v>6052</v>
      </c>
      <c r="AX484" s="10" t="s">
        <v>6052</v>
      </c>
      <c r="AY484" s="10" t="s">
        <v>32407</v>
      </c>
      <c r="AZ484" s="44" t="s">
        <v>33116</v>
      </c>
      <c r="BA484" s="44" t="s">
        <v>30857</v>
      </c>
      <c r="BB484" s="44" t="s">
        <v>31279</v>
      </c>
      <c r="BC484" s="44" t="s">
        <v>6415</v>
      </c>
      <c r="BD484" s="44" t="s">
        <v>31707</v>
      </c>
      <c r="BE484" s="11">
        <v>1</v>
      </c>
      <c r="BF484" s="11">
        <v>1</v>
      </c>
      <c r="BG484" s="11">
        <v>0</v>
      </c>
      <c r="BH484" s="10" t="s">
        <v>31766</v>
      </c>
      <c r="BI484" s="11">
        <v>100</v>
      </c>
      <c r="BJ484" s="10" t="s">
        <v>33162</v>
      </c>
      <c r="BK484" s="11" t="s">
        <v>33162</v>
      </c>
    </row>
    <row r="485" spans="1:63" x14ac:dyDescent="0.75">
      <c r="A485" t="s">
        <v>5770</v>
      </c>
      <c r="B485" t="s">
        <v>104</v>
      </c>
      <c r="C485" t="s">
        <v>105</v>
      </c>
      <c r="D485" t="s">
        <v>106</v>
      </c>
      <c r="E485" s="22" t="s">
        <v>30844</v>
      </c>
      <c r="F485" t="s">
        <v>5775</v>
      </c>
      <c r="G485" s="1" t="str">
        <f>HYPERLINK("https://homd.org/jbrowse/?data=homd_V11.02_phage_1.2%2FGCA_937926985.1&amp;loc=GCA_937926985.1%7CCALBCK010000143.1%3A8785..16428&amp;tracks=prokka,prokka_ncrna,ncbi,ncbi_ncrna,panggolin,cenote,genomad&amp;highlight=","Open JBrowse")</f>
        <v>Open JBrowse</v>
      </c>
      <c r="H485" s="10">
        <v>11785</v>
      </c>
      <c r="I485" s="10">
        <v>13428</v>
      </c>
      <c r="J485" s="10" t="s">
        <v>5776</v>
      </c>
      <c r="K485" s="10" t="s">
        <v>109</v>
      </c>
      <c r="L485" s="10" t="s">
        <v>110</v>
      </c>
      <c r="M485" s="10" t="s">
        <v>333</v>
      </c>
      <c r="N485" s="10" t="s">
        <v>112</v>
      </c>
      <c r="O485" s="10">
        <v>3</v>
      </c>
      <c r="P485" s="10" t="s">
        <v>113</v>
      </c>
      <c r="Q485" s="10" t="s">
        <v>101</v>
      </c>
      <c r="R485" s="10" t="s">
        <v>5773</v>
      </c>
      <c r="S485" s="10" t="s">
        <v>115</v>
      </c>
      <c r="T485" s="10" t="s">
        <v>42</v>
      </c>
      <c r="U485" s="10">
        <v>322</v>
      </c>
      <c r="V485" s="10">
        <v>546</v>
      </c>
      <c r="W485" s="10">
        <v>225</v>
      </c>
      <c r="X485" s="10" t="s">
        <v>116</v>
      </c>
      <c r="Y485" s="10" t="s">
        <v>5777</v>
      </c>
      <c r="Z485" s="10" t="s">
        <v>530</v>
      </c>
      <c r="AA485" s="10" t="s">
        <v>5778</v>
      </c>
      <c r="AB485" s="10" t="s">
        <v>5779</v>
      </c>
      <c r="AC485" s="10" t="s">
        <v>339</v>
      </c>
      <c r="AD485" s="10" t="s">
        <v>101</v>
      </c>
      <c r="AE485" s="10">
        <v>3601</v>
      </c>
      <c r="AF485" s="10" t="s">
        <v>2803</v>
      </c>
      <c r="AG485" s="44"/>
      <c r="AH485" s="44"/>
      <c r="AI485" s="44" t="s">
        <v>6052</v>
      </c>
      <c r="AJ485" s="44" t="s">
        <v>6058</v>
      </c>
      <c r="AK485" s="44" t="s">
        <v>6063</v>
      </c>
      <c r="AL485" s="44" t="s">
        <v>6052</v>
      </c>
      <c r="AM485" s="44" t="s">
        <v>6052</v>
      </c>
      <c r="AN485" s="44" t="s">
        <v>32436</v>
      </c>
      <c r="AO485" s="45">
        <v>11</v>
      </c>
      <c r="AP485" s="45">
        <v>1</v>
      </c>
      <c r="AQ485" s="45">
        <v>1</v>
      </c>
      <c r="AR485" s="45">
        <v>1</v>
      </c>
      <c r="AS485" s="45">
        <v>0</v>
      </c>
      <c r="AT485" s="45">
        <v>0</v>
      </c>
      <c r="AU485" s="10" t="s">
        <v>32437</v>
      </c>
      <c r="AV485" s="10" t="s">
        <v>32438</v>
      </c>
      <c r="AW485" s="10" t="s">
        <v>6052</v>
      </c>
      <c r="AX485" s="10" t="s">
        <v>6052</v>
      </c>
      <c r="AY485" s="10" t="s">
        <v>32407</v>
      </c>
      <c r="AZ485" s="44" t="s">
        <v>33116</v>
      </c>
      <c r="BA485" s="44" t="s">
        <v>30857</v>
      </c>
      <c r="BB485" s="44" t="s">
        <v>31280</v>
      </c>
      <c r="BC485" s="44" t="s">
        <v>6415</v>
      </c>
      <c r="BD485" s="44" t="s">
        <v>31707</v>
      </c>
      <c r="BE485" s="11">
        <v>1</v>
      </c>
      <c r="BF485" s="11">
        <v>1</v>
      </c>
      <c r="BG485" s="11">
        <v>0</v>
      </c>
      <c r="BH485" s="10" t="s">
        <v>31781</v>
      </c>
      <c r="BI485" s="11">
        <v>100</v>
      </c>
      <c r="BJ485" s="10" t="s">
        <v>33162</v>
      </c>
      <c r="BK485" s="11" t="s">
        <v>33162</v>
      </c>
    </row>
    <row r="486" spans="1:63" x14ac:dyDescent="0.75">
      <c r="A486" t="s">
        <v>5383</v>
      </c>
      <c r="B486" t="s">
        <v>104</v>
      </c>
      <c r="C486" t="s">
        <v>105</v>
      </c>
      <c r="D486" t="s">
        <v>106</v>
      </c>
      <c r="E486" s="22" t="s">
        <v>28536</v>
      </c>
      <c r="F486" t="s">
        <v>5384</v>
      </c>
      <c r="G486" s="1" t="str">
        <f>HYPERLINK("https://homd.org/jbrowse/?data=homd_V11.02_phage_1.2%2FGCA_902482725.1&amp;loc=GCA_902482725.1%7CCABTAG010000052.1%3A8949..16592&amp;tracks=prokka,prokka_ncrna,ncbi,ncbi_ncrna,panggolin,cenote,genomad&amp;highlight=","Open JBrowse")</f>
        <v>Open JBrowse</v>
      </c>
      <c r="H486" s="10">
        <v>11949</v>
      </c>
      <c r="I486" s="10">
        <v>13592</v>
      </c>
      <c r="J486" s="10" t="s">
        <v>5385</v>
      </c>
      <c r="K486" s="10" t="s">
        <v>109</v>
      </c>
      <c r="L486" s="10" t="s">
        <v>110</v>
      </c>
      <c r="M486" s="10" t="s">
        <v>333</v>
      </c>
      <c r="N486" s="10" t="s">
        <v>112</v>
      </c>
      <c r="O486" s="10">
        <v>3</v>
      </c>
      <c r="P486" s="10" t="s">
        <v>113</v>
      </c>
      <c r="Q486" s="10" t="s">
        <v>101</v>
      </c>
      <c r="R486" s="10" t="s">
        <v>5386</v>
      </c>
      <c r="S486" s="10" t="s">
        <v>115</v>
      </c>
      <c r="T486" s="10" t="s">
        <v>42</v>
      </c>
      <c r="U486" s="10">
        <v>322</v>
      </c>
      <c r="V486" s="10">
        <v>546</v>
      </c>
      <c r="W486" s="10">
        <v>225</v>
      </c>
      <c r="X486" s="10" t="s">
        <v>116</v>
      </c>
      <c r="Y486" s="10" t="s">
        <v>5387</v>
      </c>
      <c r="Z486" s="10" t="s">
        <v>381</v>
      </c>
      <c r="AA486" s="10" t="s">
        <v>5388</v>
      </c>
      <c r="AB486" s="10" t="s">
        <v>5389</v>
      </c>
      <c r="AC486" s="10" t="s">
        <v>339</v>
      </c>
      <c r="AD486" s="10" t="s">
        <v>101</v>
      </c>
      <c r="AE486" s="10">
        <v>3612</v>
      </c>
      <c r="AF486" s="10" t="s">
        <v>2803</v>
      </c>
      <c r="AG486" s="44"/>
      <c r="AH486" s="44"/>
      <c r="AI486" s="44" t="s">
        <v>6052</v>
      </c>
      <c r="AJ486" s="44" t="s">
        <v>6058</v>
      </c>
      <c r="AK486" s="44" t="s">
        <v>6063</v>
      </c>
      <c r="AL486" s="44" t="s">
        <v>6052</v>
      </c>
      <c r="AM486" s="44" t="s">
        <v>6052</v>
      </c>
      <c r="AN486" s="44" t="s">
        <v>32918</v>
      </c>
      <c r="AO486" s="45">
        <v>11</v>
      </c>
      <c r="AP486" s="45">
        <v>1</v>
      </c>
      <c r="AQ486" s="45">
        <v>2</v>
      </c>
      <c r="AR486" s="45">
        <v>2</v>
      </c>
      <c r="AS486" s="45">
        <v>0</v>
      </c>
      <c r="AT486" s="45">
        <v>0</v>
      </c>
      <c r="AU486" s="10" t="s">
        <v>32919</v>
      </c>
      <c r="AV486" s="10" t="s">
        <v>32920</v>
      </c>
      <c r="AW486" s="10" t="s">
        <v>6052</v>
      </c>
      <c r="AX486" s="10" t="s">
        <v>6052</v>
      </c>
      <c r="AY486" s="10" t="s">
        <v>32675</v>
      </c>
      <c r="AZ486" s="44" t="s">
        <v>33116</v>
      </c>
      <c r="BA486" s="44" t="s">
        <v>31077</v>
      </c>
      <c r="BB486" s="44" t="s">
        <v>31576</v>
      </c>
      <c r="BC486" s="44" t="s">
        <v>6415</v>
      </c>
      <c r="BD486" s="44" t="s">
        <v>31707</v>
      </c>
      <c r="BE486" s="11">
        <v>1</v>
      </c>
      <c r="BF486" s="11">
        <v>1</v>
      </c>
      <c r="BG486" s="11">
        <v>0</v>
      </c>
      <c r="BH486" s="10" t="s">
        <v>31765</v>
      </c>
      <c r="BI486" s="11">
        <v>100</v>
      </c>
      <c r="BJ486" s="10" t="s">
        <v>33162</v>
      </c>
      <c r="BK486" s="11" t="s">
        <v>33162</v>
      </c>
    </row>
    <row r="487" spans="1:63" x14ac:dyDescent="0.75">
      <c r="A487" t="s">
        <v>1376</v>
      </c>
      <c r="B487" t="s">
        <v>104</v>
      </c>
      <c r="C487" t="s">
        <v>105</v>
      </c>
      <c r="D487" t="s">
        <v>106</v>
      </c>
      <c r="E487" s="22" t="s">
        <v>11033</v>
      </c>
      <c r="F487" t="s">
        <v>1387</v>
      </c>
      <c r="G487" s="1" t="str">
        <f>HYPERLINK("https://homd.org/jbrowse/?data=homd_V11.02_phage_1.2%2FGCA_001057035.1&amp;loc=GCA_001057035.1%7CJVFB01000068.1%3A74181..81824&amp;tracks=prokka,prokka_ncrna,ncbi,ncbi_ncrna,panggolin,cenote,genomad&amp;highlight=","Open JBrowse")</f>
        <v>Open JBrowse</v>
      </c>
      <c r="H487" s="10">
        <v>77181</v>
      </c>
      <c r="I487" s="10">
        <v>78824</v>
      </c>
      <c r="J487" s="10" t="s">
        <v>1388</v>
      </c>
      <c r="K487" s="10" t="s">
        <v>109</v>
      </c>
      <c r="L487" s="10" t="s">
        <v>110</v>
      </c>
      <c r="M487" s="10" t="s">
        <v>333</v>
      </c>
      <c r="N487" s="10" t="s">
        <v>112</v>
      </c>
      <c r="O487" s="10">
        <v>3</v>
      </c>
      <c r="P487" s="10" t="s">
        <v>113</v>
      </c>
      <c r="Q487" s="10" t="s">
        <v>101</v>
      </c>
      <c r="R487" s="10" t="s">
        <v>1381</v>
      </c>
      <c r="S487" s="10" t="s">
        <v>115</v>
      </c>
      <c r="T487" s="10" t="s">
        <v>42</v>
      </c>
      <c r="U487" s="10">
        <v>322</v>
      </c>
      <c r="V487" s="10">
        <v>546</v>
      </c>
      <c r="W487" s="10">
        <v>225</v>
      </c>
      <c r="X487" s="10" t="s">
        <v>116</v>
      </c>
      <c r="Y487" s="10" t="s">
        <v>1389</v>
      </c>
      <c r="Z487" s="10" t="s">
        <v>667</v>
      </c>
      <c r="AA487" s="10" t="s">
        <v>1390</v>
      </c>
      <c r="AB487" s="10" t="s">
        <v>1391</v>
      </c>
      <c r="AC487" s="10" t="s">
        <v>339</v>
      </c>
      <c r="AD487" s="10" t="s">
        <v>101</v>
      </c>
      <c r="AE487" s="10">
        <v>3486</v>
      </c>
      <c r="AF487" s="10" t="s">
        <v>656</v>
      </c>
      <c r="AG487" s="44"/>
      <c r="AH487" s="44"/>
      <c r="AI487" s="44" t="s">
        <v>6052</v>
      </c>
      <c r="AJ487" s="44" t="s">
        <v>6066</v>
      </c>
      <c r="AK487" s="44" t="s">
        <v>6069</v>
      </c>
      <c r="AL487" s="44" t="s">
        <v>6052</v>
      </c>
      <c r="AM487" s="44" t="s">
        <v>6052</v>
      </c>
      <c r="AN487" s="44" t="s">
        <v>32482</v>
      </c>
      <c r="AO487" s="45">
        <v>11</v>
      </c>
      <c r="AP487" s="45">
        <v>1</v>
      </c>
      <c r="AQ487" s="45">
        <v>1</v>
      </c>
      <c r="AR487" s="45">
        <v>2</v>
      </c>
      <c r="AS487" s="45">
        <v>0</v>
      </c>
      <c r="AT487" s="45">
        <v>0</v>
      </c>
      <c r="AU487" s="10" t="s">
        <v>32483</v>
      </c>
      <c r="AV487" s="10" t="s">
        <v>32484</v>
      </c>
      <c r="AW487" s="10" t="s">
        <v>6052</v>
      </c>
      <c r="AX487" s="10" t="s">
        <v>6052</v>
      </c>
      <c r="AY487" s="10" t="s">
        <v>32485</v>
      </c>
      <c r="AZ487" s="44" t="s">
        <v>33116</v>
      </c>
      <c r="BA487" s="44" t="s">
        <v>30884</v>
      </c>
      <c r="BB487" s="44" t="s">
        <v>31294</v>
      </c>
      <c r="BC487" s="44" t="s">
        <v>6415</v>
      </c>
      <c r="BD487" s="44" t="s">
        <v>31707</v>
      </c>
      <c r="BE487" s="11">
        <v>1</v>
      </c>
      <c r="BF487" s="11">
        <v>1</v>
      </c>
      <c r="BG487" s="11">
        <v>0</v>
      </c>
      <c r="BH487" s="10" t="s">
        <v>31785</v>
      </c>
      <c r="BI487" s="11">
        <v>100</v>
      </c>
      <c r="BJ487" s="10" t="s">
        <v>33162</v>
      </c>
      <c r="BK487" s="11" t="s">
        <v>33162</v>
      </c>
    </row>
    <row r="488" spans="1:63" x14ac:dyDescent="0.75">
      <c r="A488" t="s">
        <v>5914</v>
      </c>
      <c r="B488" t="s">
        <v>104</v>
      </c>
      <c r="C488" t="s">
        <v>814</v>
      </c>
      <c r="D488" t="s">
        <v>815</v>
      </c>
      <c r="E488" s="22" t="s">
        <v>30844</v>
      </c>
      <c r="F488" t="s">
        <v>5919</v>
      </c>
      <c r="G488" s="1" t="str">
        <f>HYPERLINK("https://homd.org/jbrowse/?data=homd_V11.02_phage_1.2%2FGCA_938045645.1&amp;loc=GCA_938045645.1%7CCALIAT010000112.1%3A1..7502&amp;tracks=prokka,prokka_ncrna,ncbi,ncbi_ncrna,panggolin,cenote,genomad&amp;highlight=","Open JBrowse")</f>
        <v>Open JBrowse</v>
      </c>
      <c r="H488" s="10">
        <v>2859</v>
      </c>
      <c r="I488" s="10">
        <v>4502</v>
      </c>
      <c r="J488" s="10" t="s">
        <v>5920</v>
      </c>
      <c r="K488" s="10" t="s">
        <v>109</v>
      </c>
      <c r="L488" s="10" t="s">
        <v>110</v>
      </c>
      <c r="M488" s="10" t="s">
        <v>111</v>
      </c>
      <c r="N488" s="10" t="s">
        <v>112</v>
      </c>
      <c r="O488" s="10">
        <v>3</v>
      </c>
      <c r="P488" s="10" t="s">
        <v>113</v>
      </c>
      <c r="Q488" s="10" t="s">
        <v>101</v>
      </c>
      <c r="R488" s="10" t="s">
        <v>5918</v>
      </c>
      <c r="S488" s="10" t="s">
        <v>115</v>
      </c>
      <c r="T488" s="10" t="s">
        <v>42</v>
      </c>
      <c r="U488" s="10">
        <v>322</v>
      </c>
      <c r="V488" s="10">
        <v>546</v>
      </c>
      <c r="W488" s="10">
        <v>225</v>
      </c>
      <c r="X488" s="10" t="s">
        <v>116</v>
      </c>
      <c r="Y488" s="10" t="s">
        <v>5921</v>
      </c>
      <c r="Z488" s="10" t="s">
        <v>743</v>
      </c>
      <c r="AA488" s="10" t="s">
        <v>5922</v>
      </c>
      <c r="AB488" s="10" t="s">
        <v>5923</v>
      </c>
      <c r="AC488" s="10" t="s">
        <v>339</v>
      </c>
      <c r="AD488" s="10" t="s">
        <v>101</v>
      </c>
      <c r="AE488" s="10">
        <v>3478</v>
      </c>
      <c r="AF488" s="10" t="s">
        <v>681</v>
      </c>
      <c r="AG488" s="44"/>
      <c r="AH488" s="44"/>
      <c r="AI488" s="44" t="s">
        <v>6052</v>
      </c>
      <c r="AJ488" s="44" t="s">
        <v>6058</v>
      </c>
      <c r="AK488" s="44" t="s">
        <v>6069</v>
      </c>
      <c r="AL488" s="44" t="s">
        <v>6052</v>
      </c>
      <c r="AM488" s="44" t="s">
        <v>6052</v>
      </c>
      <c r="AN488" s="44" t="s">
        <v>32468</v>
      </c>
      <c r="AO488" s="45">
        <v>11</v>
      </c>
      <c r="AP488" s="45">
        <v>1</v>
      </c>
      <c r="AQ488" s="45">
        <v>1</v>
      </c>
      <c r="AR488" s="45">
        <v>1</v>
      </c>
      <c r="AS488" s="45">
        <v>0</v>
      </c>
      <c r="AT488" s="45">
        <v>0</v>
      </c>
      <c r="AU488" s="10" t="s">
        <v>32469</v>
      </c>
      <c r="AV488" s="10" t="s">
        <v>32470</v>
      </c>
      <c r="AW488" s="10" t="s">
        <v>6052</v>
      </c>
      <c r="AX488" s="10" t="s">
        <v>6052</v>
      </c>
      <c r="AY488" s="10" t="s">
        <v>32271</v>
      </c>
      <c r="AZ488" s="44" t="s">
        <v>33116</v>
      </c>
      <c r="BA488" s="44" t="s">
        <v>30868</v>
      </c>
      <c r="BB488" s="44" t="s">
        <v>31288</v>
      </c>
      <c r="BC488" s="44" t="s">
        <v>6415</v>
      </c>
      <c r="BD488" s="44" t="s">
        <v>31707</v>
      </c>
      <c r="BE488" s="11">
        <v>1</v>
      </c>
      <c r="BF488" s="11">
        <v>1</v>
      </c>
      <c r="BG488" s="11">
        <v>0</v>
      </c>
      <c r="BH488" s="10" t="s">
        <v>31777</v>
      </c>
      <c r="BI488" s="11">
        <v>100</v>
      </c>
      <c r="BJ488" s="10" t="s">
        <v>33162</v>
      </c>
      <c r="BK488" s="11" t="s">
        <v>33162</v>
      </c>
    </row>
    <row r="489" spans="1:63" x14ac:dyDescent="0.75">
      <c r="A489" t="s">
        <v>328</v>
      </c>
      <c r="B489" t="s">
        <v>104</v>
      </c>
      <c r="C489" t="s">
        <v>329</v>
      </c>
      <c r="D489" t="s">
        <v>330</v>
      </c>
      <c r="E489" s="22" t="s">
        <v>7116</v>
      </c>
      <c r="F489" t="s">
        <v>331</v>
      </c>
      <c r="G489" s="1" t="str">
        <f>HYPERLINK("https://homd.org/jbrowse/?data=homd_V11.02_phage_1.2%2FGCA_000173675.1&amp;loc=GCA_000173675.1%7CABZV01000002.1%3A136510..144153&amp;tracks=prokka,prokka_ncrna,ncbi,ncbi_ncrna,panggolin,cenote,genomad&amp;highlight=","Open JBrowse")</f>
        <v>Open JBrowse</v>
      </c>
      <c r="H489" s="10">
        <v>139510</v>
      </c>
      <c r="I489" s="10">
        <v>141153</v>
      </c>
      <c r="J489" s="10" t="s">
        <v>332</v>
      </c>
      <c r="K489" s="10" t="s">
        <v>109</v>
      </c>
      <c r="L489" s="10" t="s">
        <v>110</v>
      </c>
      <c r="M489" s="10" t="s">
        <v>333</v>
      </c>
      <c r="N489" s="10" t="s">
        <v>112</v>
      </c>
      <c r="O489" s="10">
        <v>3</v>
      </c>
      <c r="P489" s="10" t="s">
        <v>113</v>
      </c>
      <c r="Q489" s="10" t="s">
        <v>101</v>
      </c>
      <c r="R489" s="10" t="s">
        <v>334</v>
      </c>
      <c r="S489" s="10" t="s">
        <v>115</v>
      </c>
      <c r="T489" s="10" t="s">
        <v>42</v>
      </c>
      <c r="U489" s="10">
        <v>322</v>
      </c>
      <c r="V489" s="10">
        <v>546</v>
      </c>
      <c r="W489" s="10">
        <v>225</v>
      </c>
      <c r="X489" s="10" t="s">
        <v>116</v>
      </c>
      <c r="Y489" s="10" t="s">
        <v>335</v>
      </c>
      <c r="Z489" s="10" t="s">
        <v>336</v>
      </c>
      <c r="AA489" s="10" t="s">
        <v>337</v>
      </c>
      <c r="AB489" s="10" t="s">
        <v>338</v>
      </c>
      <c r="AC489" s="10" t="s">
        <v>339</v>
      </c>
      <c r="AD489" s="10" t="s">
        <v>101</v>
      </c>
      <c r="AE489" s="10">
        <v>2869</v>
      </c>
      <c r="AF489" s="10" t="s">
        <v>340</v>
      </c>
      <c r="AG489" s="44"/>
      <c r="AH489" s="44"/>
      <c r="AI489" s="44" t="s">
        <v>6052</v>
      </c>
      <c r="AJ489" s="44" t="s">
        <v>6058</v>
      </c>
      <c r="AK489" s="44" t="s">
        <v>6069</v>
      </c>
      <c r="AL489" s="44" t="s">
        <v>6052</v>
      </c>
      <c r="AM489" s="44" t="s">
        <v>6052</v>
      </c>
      <c r="AN489" s="44" t="s">
        <v>32564</v>
      </c>
      <c r="AO489" s="45">
        <v>11</v>
      </c>
      <c r="AP489" s="45">
        <v>1</v>
      </c>
      <c r="AQ489" s="45">
        <v>1</v>
      </c>
      <c r="AR489" s="45">
        <v>1</v>
      </c>
      <c r="AS489" s="45">
        <v>0</v>
      </c>
      <c r="AT489" s="45">
        <v>0</v>
      </c>
      <c r="AU489" s="10" t="s">
        <v>32565</v>
      </c>
      <c r="AV489" s="10" t="s">
        <v>32566</v>
      </c>
      <c r="AW489" s="10" t="s">
        <v>6052</v>
      </c>
      <c r="AX489" s="10" t="s">
        <v>6052</v>
      </c>
      <c r="AY489" s="10" t="s">
        <v>32407</v>
      </c>
      <c r="AZ489" s="44" t="s">
        <v>33116</v>
      </c>
      <c r="BA489" s="44" t="s">
        <v>30915</v>
      </c>
      <c r="BB489" s="44" t="s">
        <v>31344</v>
      </c>
      <c r="BC489" s="44" t="s">
        <v>6415</v>
      </c>
      <c r="BD489" s="44" t="s">
        <v>31707</v>
      </c>
      <c r="BE489" s="11">
        <v>1</v>
      </c>
      <c r="BF489" s="11">
        <v>1</v>
      </c>
      <c r="BG489" s="11">
        <v>0</v>
      </c>
      <c r="BH489" s="10" t="s">
        <v>31820</v>
      </c>
      <c r="BI489" s="11">
        <v>100</v>
      </c>
      <c r="BJ489" s="10" t="s">
        <v>33162</v>
      </c>
      <c r="BK489" s="11" t="s">
        <v>33162</v>
      </c>
    </row>
    <row r="490" spans="1:63" x14ac:dyDescent="0.75">
      <c r="A490" t="s">
        <v>5709</v>
      </c>
      <c r="B490" t="s">
        <v>104</v>
      </c>
      <c r="C490" t="s">
        <v>329</v>
      </c>
      <c r="D490" t="s">
        <v>330</v>
      </c>
      <c r="E490" s="22" t="s">
        <v>30844</v>
      </c>
      <c r="F490" t="s">
        <v>5710</v>
      </c>
      <c r="G490" s="1" t="str">
        <f>HYPERLINK("https://homd.org/jbrowse/?data=homd_V11.02_phage_1.2%2FGCA_937881025.1&amp;loc=GCA_937881025.1%7CCALGFZ010000002.1%3A54440..62083&amp;tracks=prokka,prokka_ncrna,ncbi,ncbi_ncrna,panggolin,cenote,genomad&amp;highlight=","Open JBrowse")</f>
        <v>Open JBrowse</v>
      </c>
      <c r="H490" s="10">
        <v>57440</v>
      </c>
      <c r="I490" s="10">
        <v>59083</v>
      </c>
      <c r="J490" s="10" t="s">
        <v>5713</v>
      </c>
      <c r="K490" s="10" t="s">
        <v>109</v>
      </c>
      <c r="L490" s="10" t="s">
        <v>110</v>
      </c>
      <c r="M490" s="10" t="s">
        <v>333</v>
      </c>
      <c r="N490" s="10" t="s">
        <v>112</v>
      </c>
      <c r="O490" s="10">
        <v>3</v>
      </c>
      <c r="P490" s="10" t="s">
        <v>113</v>
      </c>
      <c r="Q490" s="10" t="s">
        <v>101</v>
      </c>
      <c r="R490" s="10" t="s">
        <v>5712</v>
      </c>
      <c r="S490" s="10" t="s">
        <v>115</v>
      </c>
      <c r="T490" s="10" t="s">
        <v>42</v>
      </c>
      <c r="U490" s="10">
        <v>322</v>
      </c>
      <c r="V490" s="10">
        <v>546</v>
      </c>
      <c r="W490" s="10">
        <v>225</v>
      </c>
      <c r="X490" s="10" t="s">
        <v>116</v>
      </c>
      <c r="Y490" s="10" t="s">
        <v>5714</v>
      </c>
      <c r="Z490" s="10" t="s">
        <v>368</v>
      </c>
      <c r="AA490" s="10" t="s">
        <v>5715</v>
      </c>
      <c r="AB490" s="10" t="s">
        <v>5716</v>
      </c>
      <c r="AC490" s="10" t="s">
        <v>339</v>
      </c>
      <c r="AD490" s="10" t="s">
        <v>101</v>
      </c>
      <c r="AE490" s="10">
        <v>3460</v>
      </c>
      <c r="AF490" s="10" t="s">
        <v>1864</v>
      </c>
      <c r="AG490" s="44"/>
      <c r="AH490" s="44"/>
      <c r="AI490" s="44" t="s">
        <v>6052</v>
      </c>
      <c r="AJ490" s="44" t="s">
        <v>6066</v>
      </c>
      <c r="AK490" s="44" t="s">
        <v>6069</v>
      </c>
      <c r="AL490" s="44" t="s">
        <v>6052</v>
      </c>
      <c r="AM490" s="44" t="s">
        <v>6052</v>
      </c>
      <c r="AN490" s="44" t="s">
        <v>32465</v>
      </c>
      <c r="AO490" s="45">
        <v>11</v>
      </c>
      <c r="AP490" s="45">
        <v>1</v>
      </c>
      <c r="AQ490" s="45">
        <v>1</v>
      </c>
      <c r="AR490" s="45">
        <v>1</v>
      </c>
      <c r="AS490" s="45">
        <v>0</v>
      </c>
      <c r="AT490" s="45">
        <v>0</v>
      </c>
      <c r="AU490" s="10" t="s">
        <v>32466</v>
      </c>
      <c r="AV490" s="10" t="s">
        <v>32467</v>
      </c>
      <c r="AW490" s="10" t="s">
        <v>6052</v>
      </c>
      <c r="AX490" s="10" t="s">
        <v>6052</v>
      </c>
      <c r="AY490" s="10" t="s">
        <v>32271</v>
      </c>
      <c r="AZ490" s="44" t="s">
        <v>33116</v>
      </c>
      <c r="BA490" s="44" t="s">
        <v>30849</v>
      </c>
      <c r="BB490" s="44" t="s">
        <v>31287</v>
      </c>
      <c r="BC490" s="44" t="s">
        <v>6415</v>
      </c>
      <c r="BD490" s="44" t="s">
        <v>31707</v>
      </c>
      <c r="BE490" s="11">
        <v>1</v>
      </c>
      <c r="BF490" s="11">
        <v>1</v>
      </c>
      <c r="BG490" s="11">
        <v>0</v>
      </c>
      <c r="BH490" s="10" t="s">
        <v>31783</v>
      </c>
      <c r="BI490" s="11">
        <v>100</v>
      </c>
      <c r="BJ490" s="10" t="s">
        <v>33162</v>
      </c>
      <c r="BK490" s="11" t="s">
        <v>33162</v>
      </c>
    </row>
    <row r="491" spans="1:63" x14ac:dyDescent="0.75">
      <c r="A491" t="s">
        <v>5492</v>
      </c>
      <c r="B491" t="s">
        <v>104</v>
      </c>
      <c r="C491" t="s">
        <v>329</v>
      </c>
      <c r="D491" t="s">
        <v>330</v>
      </c>
      <c r="E491" s="22" t="s">
        <v>30844</v>
      </c>
      <c r="F491" t="s">
        <v>5502</v>
      </c>
      <c r="G491" s="1" t="str">
        <f>HYPERLINK("https://homd.org/jbrowse/?data=homd_V11.02_phage_1.2%2FGCA_905373265.1&amp;loc=GCA_905373265.1%7CCAJPRX010000025.1%3A1..7126&amp;tracks=prokka,prokka_ncrna,ncbi,ncbi_ncrna,panggolin,cenote,genomad&amp;highlight=","Open JBrowse")</f>
        <v>Open JBrowse</v>
      </c>
      <c r="H491" s="10">
        <v>2483</v>
      </c>
      <c r="I491" s="10">
        <v>4126</v>
      </c>
      <c r="J491" s="10" t="s">
        <v>5503</v>
      </c>
      <c r="K491" s="10" t="s">
        <v>109</v>
      </c>
      <c r="L491" s="10" t="s">
        <v>110</v>
      </c>
      <c r="M491" s="10" t="s">
        <v>333</v>
      </c>
      <c r="N491" s="10" t="s">
        <v>112</v>
      </c>
      <c r="O491" s="10">
        <v>3</v>
      </c>
      <c r="P491" s="10" t="s">
        <v>113</v>
      </c>
      <c r="Q491" s="10" t="s">
        <v>101</v>
      </c>
      <c r="R491" s="10" t="s">
        <v>5495</v>
      </c>
      <c r="S491" s="10" t="s">
        <v>115</v>
      </c>
      <c r="T491" s="10" t="s">
        <v>42</v>
      </c>
      <c r="U491" s="10">
        <v>322</v>
      </c>
      <c r="V491" s="10">
        <v>546</v>
      </c>
      <c r="W491" s="10">
        <v>225</v>
      </c>
      <c r="X491" s="10" t="s">
        <v>116</v>
      </c>
      <c r="Y491" s="10" t="s">
        <v>5504</v>
      </c>
      <c r="Z491" s="10" t="s">
        <v>530</v>
      </c>
      <c r="AA491" s="10" t="s">
        <v>5505</v>
      </c>
      <c r="AB491" s="10" t="s">
        <v>5506</v>
      </c>
      <c r="AC491" s="10" t="s">
        <v>339</v>
      </c>
      <c r="AD491" s="10" t="s">
        <v>101</v>
      </c>
      <c r="AE491" s="10">
        <v>3472</v>
      </c>
      <c r="AF491" s="10" t="s">
        <v>1864</v>
      </c>
      <c r="AG491" s="44"/>
      <c r="AH491" s="44"/>
      <c r="AI491" s="44" t="s">
        <v>6052</v>
      </c>
      <c r="AJ491" s="44" t="s">
        <v>6058</v>
      </c>
      <c r="AK491" s="44" t="s">
        <v>6069</v>
      </c>
      <c r="AL491" s="44" t="s">
        <v>6052</v>
      </c>
      <c r="AM491" s="44" t="s">
        <v>6052</v>
      </c>
      <c r="AN491" s="44" t="s">
        <v>32471</v>
      </c>
      <c r="AO491" s="45">
        <v>11</v>
      </c>
      <c r="AP491" s="45">
        <v>1</v>
      </c>
      <c r="AQ491" s="45">
        <v>2</v>
      </c>
      <c r="AR491" s="45">
        <v>2</v>
      </c>
      <c r="AS491" s="45">
        <v>0</v>
      </c>
      <c r="AT491" s="45">
        <v>0</v>
      </c>
      <c r="AU491" s="10" t="s">
        <v>32472</v>
      </c>
      <c r="AV491" s="10" t="s">
        <v>32473</v>
      </c>
      <c r="AW491" s="10" t="s">
        <v>6052</v>
      </c>
      <c r="AX491" s="10" t="s">
        <v>6052</v>
      </c>
      <c r="AY491" s="10" t="s">
        <v>32474</v>
      </c>
      <c r="AZ491" s="44" t="s">
        <v>33116</v>
      </c>
      <c r="BA491" s="44" t="s">
        <v>30849</v>
      </c>
      <c r="BB491" s="44" t="s">
        <v>31289</v>
      </c>
      <c r="BC491" s="44" t="s">
        <v>6415</v>
      </c>
      <c r="BD491" s="44" t="s">
        <v>31707</v>
      </c>
      <c r="BE491" s="11">
        <v>1</v>
      </c>
      <c r="BF491" s="11">
        <v>1</v>
      </c>
      <c r="BG491" s="11">
        <v>0</v>
      </c>
      <c r="BH491" s="10" t="s">
        <v>31768</v>
      </c>
      <c r="BI491" s="11">
        <v>100</v>
      </c>
      <c r="BJ491" s="10" t="s">
        <v>33162</v>
      </c>
      <c r="BK491" s="11" t="s">
        <v>33162</v>
      </c>
    </row>
    <row r="492" spans="1:63" x14ac:dyDescent="0.75">
      <c r="A492" t="s">
        <v>887</v>
      </c>
      <c r="B492" t="s">
        <v>104</v>
      </c>
      <c r="C492" t="s">
        <v>306</v>
      </c>
      <c r="D492" t="s">
        <v>307</v>
      </c>
      <c r="E492" s="22" t="s">
        <v>9372</v>
      </c>
      <c r="F492" t="s">
        <v>888</v>
      </c>
      <c r="G492" s="1" t="str">
        <f>HYPERLINK("https://homd.org/jbrowse/?data=homd_V11.02_phage_1.2%2FGCA_000378085.1&amp;loc=GCA_000378085.1%7CKB899214.1%3A236878..243996&amp;tracks=prokka,prokka_ncrna,ncbi,ncbi_ncrna,panggolin,cenote,genomad&amp;highlight=","Open JBrowse")</f>
        <v>Open JBrowse</v>
      </c>
      <c r="H492" s="10">
        <v>239878</v>
      </c>
      <c r="I492" s="10">
        <v>240996</v>
      </c>
      <c r="J492" s="10" t="s">
        <v>889</v>
      </c>
      <c r="K492" s="10" t="s">
        <v>109</v>
      </c>
      <c r="L492" s="10" t="s">
        <v>310</v>
      </c>
      <c r="M492" s="10" t="s">
        <v>311</v>
      </c>
      <c r="N492" s="10" t="s">
        <v>42</v>
      </c>
      <c r="O492" s="10">
        <v>3</v>
      </c>
      <c r="P492" s="10" t="s">
        <v>42</v>
      </c>
      <c r="Q492" s="10" t="s">
        <v>101</v>
      </c>
      <c r="R492" s="10" t="s">
        <v>890</v>
      </c>
      <c r="S492" s="10" t="s">
        <v>310</v>
      </c>
      <c r="T492" s="10" t="s">
        <v>42</v>
      </c>
      <c r="U492" s="10">
        <v>142</v>
      </c>
      <c r="V492" s="10">
        <v>370</v>
      </c>
      <c r="W492" s="10">
        <v>229</v>
      </c>
      <c r="X492" s="10" t="s">
        <v>248</v>
      </c>
      <c r="Y492" s="10" t="s">
        <v>891</v>
      </c>
      <c r="Z492" s="10" t="s">
        <v>892</v>
      </c>
      <c r="AA492" s="10" t="s">
        <v>893</v>
      </c>
      <c r="AB492" s="10" t="s">
        <v>894</v>
      </c>
      <c r="AC492" s="10" t="s">
        <v>316</v>
      </c>
      <c r="AD492" s="10" t="s">
        <v>101</v>
      </c>
      <c r="AE492" s="10">
        <v>2675</v>
      </c>
      <c r="AF492" s="10" t="s">
        <v>895</v>
      </c>
      <c r="AG492" s="44"/>
      <c r="AH492" s="44"/>
      <c r="AI492" s="44" t="s">
        <v>6052</v>
      </c>
      <c r="AJ492" s="44" t="s">
        <v>6058</v>
      </c>
      <c r="AK492" s="44" t="s">
        <v>6052</v>
      </c>
      <c r="AL492" s="44" t="s">
        <v>6052</v>
      </c>
      <c r="AM492" s="44" t="s">
        <v>6052</v>
      </c>
      <c r="AN492" s="44" t="s">
        <v>32615</v>
      </c>
      <c r="AO492" s="45">
        <v>11</v>
      </c>
      <c r="AP492" s="45">
        <v>1</v>
      </c>
      <c r="AQ492" s="45">
        <v>1</v>
      </c>
      <c r="AR492" s="45">
        <v>1</v>
      </c>
      <c r="AS492" s="45">
        <v>0</v>
      </c>
      <c r="AT492" s="45">
        <v>0</v>
      </c>
      <c r="AU492" s="10" t="s">
        <v>32616</v>
      </c>
      <c r="AV492" s="10" t="s">
        <v>32617</v>
      </c>
      <c r="AW492" s="10" t="s">
        <v>6052</v>
      </c>
      <c r="AX492" s="10" t="s">
        <v>6052</v>
      </c>
      <c r="AY492" s="10" t="s">
        <v>32271</v>
      </c>
      <c r="AZ492" s="44" t="s">
        <v>33116</v>
      </c>
      <c r="BA492" s="44" t="s">
        <v>30936</v>
      </c>
      <c r="BB492" s="44" t="s">
        <v>31374</v>
      </c>
      <c r="BC492" s="44" t="s">
        <v>6634</v>
      </c>
      <c r="BD492" s="44" t="s">
        <v>31722</v>
      </c>
      <c r="BE492" s="11">
        <v>1</v>
      </c>
      <c r="BF492" s="11">
        <v>1</v>
      </c>
      <c r="BG492" s="11">
        <v>0</v>
      </c>
      <c r="BH492" s="10" t="s">
        <v>31801</v>
      </c>
      <c r="BI492" s="11">
        <v>100</v>
      </c>
      <c r="BJ492" s="10" t="s">
        <v>33162</v>
      </c>
      <c r="BK492" s="11" t="s">
        <v>33162</v>
      </c>
    </row>
    <row r="493" spans="1:63" x14ac:dyDescent="0.75">
      <c r="A493" t="s">
        <v>1231</v>
      </c>
      <c r="B493" t="s">
        <v>104</v>
      </c>
      <c r="C493" t="s">
        <v>306</v>
      </c>
      <c r="D493" t="s">
        <v>307</v>
      </c>
      <c r="E493" s="22" t="s">
        <v>10274</v>
      </c>
      <c r="F493" t="s">
        <v>1232</v>
      </c>
      <c r="G493" s="1" t="str">
        <f>HYPERLINK("https://homd.org/jbrowse/?data=homd_V11.02_phage_1.2%2FGCA_000613485.1&amp;loc=GCA_000613485.1%7CBAJB01000012.1%3A48687..55805&amp;tracks=prokka,prokka_ncrna,ncbi,ncbi_ncrna,panggolin,cenote,genomad&amp;highlight=","Open JBrowse")</f>
        <v>Open JBrowse</v>
      </c>
      <c r="H493" s="10">
        <v>51687</v>
      </c>
      <c r="I493" s="10">
        <v>52805</v>
      </c>
      <c r="J493" s="10" t="s">
        <v>1233</v>
      </c>
      <c r="K493" s="10" t="s">
        <v>109</v>
      </c>
      <c r="L493" s="10" t="s">
        <v>310</v>
      </c>
      <c r="M493" s="10" t="s">
        <v>311</v>
      </c>
      <c r="N493" s="10" t="s">
        <v>42</v>
      </c>
      <c r="O493" s="10">
        <v>3</v>
      </c>
      <c r="P493" s="10" t="s">
        <v>42</v>
      </c>
      <c r="Q493" s="10" t="s">
        <v>101</v>
      </c>
      <c r="R493" s="10" t="s">
        <v>1234</v>
      </c>
      <c r="S493" s="10" t="s">
        <v>310</v>
      </c>
      <c r="T493" s="10" t="s">
        <v>42</v>
      </c>
      <c r="U493" s="10">
        <v>142</v>
      </c>
      <c r="V493" s="10">
        <v>370</v>
      </c>
      <c r="W493" s="10">
        <v>229</v>
      </c>
      <c r="X493" s="10" t="s">
        <v>248</v>
      </c>
      <c r="Y493" s="10" t="s">
        <v>1235</v>
      </c>
      <c r="Z493" s="10" t="s">
        <v>1236</v>
      </c>
      <c r="AA493" s="10" t="s">
        <v>1237</v>
      </c>
      <c r="AB493" s="10" t="s">
        <v>1238</v>
      </c>
      <c r="AC493" s="10" t="s">
        <v>316</v>
      </c>
      <c r="AD493" s="10" t="s">
        <v>101</v>
      </c>
      <c r="AE493" s="10">
        <v>1699</v>
      </c>
      <c r="AF493" s="10" t="s">
        <v>1239</v>
      </c>
      <c r="AG493" s="44"/>
      <c r="AH493" s="44"/>
      <c r="AI493" s="44" t="s">
        <v>6052</v>
      </c>
      <c r="AJ493" s="44" t="s">
        <v>6058</v>
      </c>
      <c r="AK493" s="44" t="s">
        <v>6052</v>
      </c>
      <c r="AL493" s="44" t="s">
        <v>6052</v>
      </c>
      <c r="AM493" s="44" t="s">
        <v>6052</v>
      </c>
      <c r="AN493" s="44" t="s">
        <v>32819</v>
      </c>
      <c r="AO493" s="45">
        <v>11</v>
      </c>
      <c r="AP493" s="45">
        <v>1</v>
      </c>
      <c r="AQ493" s="45">
        <v>1</v>
      </c>
      <c r="AR493" s="45">
        <v>1</v>
      </c>
      <c r="AS493" s="45">
        <v>0</v>
      </c>
      <c r="AT493" s="45">
        <v>0</v>
      </c>
      <c r="AU493" s="10" t="s">
        <v>32820</v>
      </c>
      <c r="AV493" s="10" t="s">
        <v>32821</v>
      </c>
      <c r="AW493" s="10" t="s">
        <v>6052</v>
      </c>
      <c r="AX493" s="10" t="s">
        <v>6052</v>
      </c>
      <c r="AY493" s="10" t="s">
        <v>32822</v>
      </c>
      <c r="AZ493" s="44" t="s">
        <v>33116</v>
      </c>
      <c r="BA493" s="44" t="s">
        <v>31023</v>
      </c>
      <c r="BB493" s="44" t="s">
        <v>31501</v>
      </c>
      <c r="BC493" s="44" t="s">
        <v>6634</v>
      </c>
      <c r="BD493" s="44" t="s">
        <v>31722</v>
      </c>
      <c r="BE493" s="11">
        <v>1</v>
      </c>
      <c r="BF493" s="11">
        <v>1</v>
      </c>
      <c r="BG493" s="11">
        <v>0</v>
      </c>
      <c r="BH493" s="10" t="s">
        <v>31800</v>
      </c>
      <c r="BI493" s="11">
        <v>100</v>
      </c>
      <c r="BJ493" s="10" t="s">
        <v>33162</v>
      </c>
      <c r="BK493" s="11" t="s">
        <v>33162</v>
      </c>
    </row>
    <row r="494" spans="1:63" x14ac:dyDescent="0.75">
      <c r="A494" t="s">
        <v>5545</v>
      </c>
      <c r="B494" t="s">
        <v>104</v>
      </c>
      <c r="C494" t="s">
        <v>306</v>
      </c>
      <c r="D494" t="s">
        <v>307</v>
      </c>
      <c r="E494" s="22" t="s">
        <v>30844</v>
      </c>
      <c r="F494" t="s">
        <v>5546</v>
      </c>
      <c r="G494" s="1" t="str">
        <f>HYPERLINK("https://homd.org/jbrowse/?data=homd_V11.02_phage_1.2%2FGCA_905373515.1&amp;loc=GCA_905373515.1%7CCAJPTE010000005.1%3A1369..8487&amp;tracks=prokka,prokka_ncrna,ncbi,ncbi_ncrna,panggolin,cenote,genomad&amp;highlight=","Open JBrowse")</f>
        <v>Open JBrowse</v>
      </c>
      <c r="H494" s="10">
        <v>4369</v>
      </c>
      <c r="I494" s="10">
        <v>5487</v>
      </c>
      <c r="J494" s="10" t="s">
        <v>5547</v>
      </c>
      <c r="K494" s="10" t="s">
        <v>109</v>
      </c>
      <c r="L494" s="10" t="s">
        <v>310</v>
      </c>
      <c r="M494" s="10" t="s">
        <v>311</v>
      </c>
      <c r="N494" s="10" t="s">
        <v>42</v>
      </c>
      <c r="O494" s="10">
        <v>3</v>
      </c>
      <c r="P494" s="10" t="s">
        <v>42</v>
      </c>
      <c r="Q494" s="10" t="s">
        <v>101</v>
      </c>
      <c r="R494" s="10" t="s">
        <v>5548</v>
      </c>
      <c r="S494" s="10" t="s">
        <v>310</v>
      </c>
      <c r="T494" s="10" t="s">
        <v>42</v>
      </c>
      <c r="U494" s="10">
        <v>142</v>
      </c>
      <c r="V494" s="10">
        <v>370</v>
      </c>
      <c r="W494" s="10">
        <v>229</v>
      </c>
      <c r="X494" s="10" t="s">
        <v>248</v>
      </c>
      <c r="Y494" s="10" t="s">
        <v>5549</v>
      </c>
      <c r="Z494" s="10" t="s">
        <v>1334</v>
      </c>
      <c r="AA494" s="10" t="s">
        <v>5550</v>
      </c>
      <c r="AB494" s="10" t="s">
        <v>5551</v>
      </c>
      <c r="AC494" s="10" t="s">
        <v>316</v>
      </c>
      <c r="AD494" s="10" t="s">
        <v>101</v>
      </c>
      <c r="AE494" s="10">
        <v>2692</v>
      </c>
      <c r="AF494" s="10" t="s">
        <v>895</v>
      </c>
      <c r="AG494" s="44"/>
      <c r="AH494" s="44"/>
      <c r="AI494" s="44" t="s">
        <v>6052</v>
      </c>
      <c r="AJ494" s="44" t="s">
        <v>6058</v>
      </c>
      <c r="AK494" s="44" t="s">
        <v>6052</v>
      </c>
      <c r="AL494" s="44" t="s">
        <v>6052</v>
      </c>
      <c r="AM494" s="44" t="s">
        <v>6052</v>
      </c>
      <c r="AN494" s="44" t="s">
        <v>32414</v>
      </c>
      <c r="AO494" s="45">
        <v>11</v>
      </c>
      <c r="AP494" s="45">
        <v>1</v>
      </c>
      <c r="AQ494" s="45">
        <v>1</v>
      </c>
      <c r="AR494" s="45">
        <v>1</v>
      </c>
      <c r="AS494" s="45">
        <v>0</v>
      </c>
      <c r="AT494" s="45">
        <v>0</v>
      </c>
      <c r="AU494" s="10" t="s">
        <v>32415</v>
      </c>
      <c r="AV494" s="10" t="s">
        <v>32416</v>
      </c>
      <c r="AW494" s="10" t="s">
        <v>6052</v>
      </c>
      <c r="AX494" s="10" t="s">
        <v>6052</v>
      </c>
      <c r="AY494" s="10" t="s">
        <v>32271</v>
      </c>
      <c r="AZ494" s="44" t="s">
        <v>33116</v>
      </c>
      <c r="BA494" s="44" t="s">
        <v>30879</v>
      </c>
      <c r="BB494" s="44" t="s">
        <v>31273</v>
      </c>
      <c r="BC494" s="44" t="s">
        <v>6634</v>
      </c>
      <c r="BD494" s="44" t="s">
        <v>31722</v>
      </c>
      <c r="BE494" s="11">
        <v>1</v>
      </c>
      <c r="BF494" s="11">
        <v>1</v>
      </c>
      <c r="BG494" s="11">
        <v>0</v>
      </c>
      <c r="BH494" s="10" t="s">
        <v>31817</v>
      </c>
      <c r="BI494" s="11">
        <v>100</v>
      </c>
      <c r="BJ494" s="10" t="s">
        <v>33162</v>
      </c>
      <c r="BK494" s="11" t="s">
        <v>33162</v>
      </c>
    </row>
    <row r="495" spans="1:63" x14ac:dyDescent="0.75">
      <c r="A495" t="s">
        <v>5745</v>
      </c>
      <c r="B495" t="s">
        <v>104</v>
      </c>
      <c r="C495" t="s">
        <v>306</v>
      </c>
      <c r="D495" t="s">
        <v>307</v>
      </c>
      <c r="E495" s="22" t="s">
        <v>30844</v>
      </c>
      <c r="F495" t="s">
        <v>5746</v>
      </c>
      <c r="G495" s="1" t="str">
        <f>HYPERLINK("https://homd.org/jbrowse/?data=homd_V11.02_phage_1.2%2FGCA_937919505.1&amp;loc=GCA_937919505.1%7CCALFPC010000022.1%3A39596..46714&amp;tracks=prokka,prokka_ncrna,ncbi,ncbi_ncrna,panggolin,cenote,genomad&amp;highlight=","Open JBrowse")</f>
        <v>Open JBrowse</v>
      </c>
      <c r="H495" s="10">
        <v>42596</v>
      </c>
      <c r="I495" s="10">
        <v>43714</v>
      </c>
      <c r="J495" s="10" t="s">
        <v>5747</v>
      </c>
      <c r="K495" s="10" t="s">
        <v>109</v>
      </c>
      <c r="L495" s="10" t="s">
        <v>310</v>
      </c>
      <c r="M495" s="10" t="s">
        <v>311</v>
      </c>
      <c r="N495" s="10" t="s">
        <v>42</v>
      </c>
      <c r="O495" s="10">
        <v>3</v>
      </c>
      <c r="P495" s="10" t="s">
        <v>42</v>
      </c>
      <c r="Q495" s="10" t="s">
        <v>101</v>
      </c>
      <c r="R495" s="10" t="s">
        <v>5748</v>
      </c>
      <c r="S495" s="10" t="s">
        <v>310</v>
      </c>
      <c r="T495" s="10" t="s">
        <v>42</v>
      </c>
      <c r="U495" s="10">
        <v>142</v>
      </c>
      <c r="V495" s="10">
        <v>370</v>
      </c>
      <c r="W495" s="10">
        <v>229</v>
      </c>
      <c r="X495" s="10" t="s">
        <v>248</v>
      </c>
      <c r="Y495" s="10" t="s">
        <v>5749</v>
      </c>
      <c r="Z495" s="10" t="s">
        <v>892</v>
      </c>
      <c r="AA495" s="10" t="s">
        <v>314</v>
      </c>
      <c r="AB495" s="10" t="s">
        <v>5750</v>
      </c>
      <c r="AC495" s="10" t="s">
        <v>316</v>
      </c>
      <c r="AD495" s="10" t="s">
        <v>101</v>
      </c>
      <c r="AE495" s="10">
        <v>2669</v>
      </c>
      <c r="AF495" s="10" t="s">
        <v>317</v>
      </c>
      <c r="AG495" s="44"/>
      <c r="AH495" s="44"/>
      <c r="AI495" s="44" t="s">
        <v>6052</v>
      </c>
      <c r="AJ495" s="44" t="s">
        <v>6058</v>
      </c>
      <c r="AK495" s="44" t="s">
        <v>6052</v>
      </c>
      <c r="AL495" s="44" t="s">
        <v>6052</v>
      </c>
      <c r="AM495" s="44" t="s">
        <v>6052</v>
      </c>
      <c r="AN495" s="44" t="s">
        <v>32404</v>
      </c>
      <c r="AO495" s="45">
        <v>11</v>
      </c>
      <c r="AP495" s="45">
        <v>1</v>
      </c>
      <c r="AQ495" s="45">
        <v>1</v>
      </c>
      <c r="AR495" s="45">
        <v>1</v>
      </c>
      <c r="AS495" s="45">
        <v>0</v>
      </c>
      <c r="AT495" s="45">
        <v>0</v>
      </c>
      <c r="AU495" s="10" t="s">
        <v>32405</v>
      </c>
      <c r="AV495" s="10" t="s">
        <v>32406</v>
      </c>
      <c r="AW495" s="10" t="s">
        <v>6052</v>
      </c>
      <c r="AX495" s="10" t="s">
        <v>6052</v>
      </c>
      <c r="AY495" s="10" t="s">
        <v>32407</v>
      </c>
      <c r="AZ495" s="44" t="s">
        <v>33116</v>
      </c>
      <c r="BA495" s="44" t="s">
        <v>30879</v>
      </c>
      <c r="BB495" s="44" t="s">
        <v>31270</v>
      </c>
      <c r="BC495" s="44" t="s">
        <v>6634</v>
      </c>
      <c r="BD495" s="44" t="s">
        <v>31722</v>
      </c>
      <c r="BE495" s="11">
        <v>1</v>
      </c>
      <c r="BF495" s="11">
        <v>1</v>
      </c>
      <c r="BG495" s="11">
        <v>0</v>
      </c>
      <c r="BH495" s="10" t="s">
        <v>31796</v>
      </c>
      <c r="BI495" s="11">
        <v>100</v>
      </c>
      <c r="BJ495" s="10" t="s">
        <v>33162</v>
      </c>
      <c r="BK495" s="11" t="s">
        <v>33162</v>
      </c>
    </row>
    <row r="496" spans="1:63" x14ac:dyDescent="0.75">
      <c r="A496" t="s">
        <v>5518</v>
      </c>
      <c r="B496" t="s">
        <v>104</v>
      </c>
      <c r="C496" t="s">
        <v>1054</v>
      </c>
      <c r="D496" t="s">
        <v>1055</v>
      </c>
      <c r="E496" s="22" t="s">
        <v>30844</v>
      </c>
      <c r="F496" t="s">
        <v>5522</v>
      </c>
      <c r="G496" s="1" t="str">
        <f>HYPERLINK("https://homd.org/jbrowse/?data=homd_V11.02_phage_1.2%2FGCA_905373445.1&amp;loc=GCA_905373445.1%7CCAJPSW010000018.1%3A8704..15675&amp;tracks=prokka,prokka_ncrna,ncbi,ncbi_ncrna,panggolin,cenote,genomad&amp;highlight=","Open JBrowse")</f>
        <v>Open JBrowse</v>
      </c>
      <c r="H496" s="10">
        <v>11704</v>
      </c>
      <c r="I496" s="10">
        <v>12675</v>
      </c>
      <c r="J496" s="10" t="s">
        <v>5523</v>
      </c>
      <c r="K496" s="10" t="s">
        <v>59</v>
      </c>
      <c r="L496" s="10" t="s">
        <v>3364</v>
      </c>
      <c r="M496" s="10" t="s">
        <v>3365</v>
      </c>
      <c r="N496" s="10" t="s">
        <v>42</v>
      </c>
      <c r="O496" s="10">
        <v>3</v>
      </c>
      <c r="P496" s="10" t="s">
        <v>42</v>
      </c>
      <c r="Q496" s="10" t="s">
        <v>59</v>
      </c>
      <c r="R496" s="10" t="s">
        <v>5521</v>
      </c>
      <c r="S496" s="10" t="s">
        <v>3364</v>
      </c>
      <c r="T496" s="10" t="s">
        <v>42</v>
      </c>
      <c r="U496" s="10">
        <v>66</v>
      </c>
      <c r="V496" s="10">
        <v>320</v>
      </c>
      <c r="W496" s="10">
        <v>255</v>
      </c>
      <c r="X496" s="10" t="s">
        <v>3366</v>
      </c>
      <c r="Y496" s="10" t="s">
        <v>5524</v>
      </c>
      <c r="Z496" s="10" t="s">
        <v>357</v>
      </c>
      <c r="AA496" s="10" t="s">
        <v>5525</v>
      </c>
      <c r="AB496" s="10" t="s">
        <v>5526</v>
      </c>
      <c r="AC496" s="10" t="s">
        <v>164</v>
      </c>
      <c r="AD496" s="10" t="s">
        <v>51</v>
      </c>
      <c r="AE496" s="10">
        <v>614.6</v>
      </c>
      <c r="AF496" s="10" t="s">
        <v>386</v>
      </c>
      <c r="AG496" s="44"/>
      <c r="AH496" s="44"/>
      <c r="AI496" s="44" t="s">
        <v>6052</v>
      </c>
      <c r="AJ496" s="44" t="s">
        <v>6058</v>
      </c>
      <c r="AK496" s="44" t="s">
        <v>6052</v>
      </c>
      <c r="AL496" s="44" t="s">
        <v>6052</v>
      </c>
      <c r="AM496" s="44" t="s">
        <v>6052</v>
      </c>
      <c r="AN496" s="44" t="s">
        <v>32429</v>
      </c>
      <c r="AO496" s="45">
        <v>11</v>
      </c>
      <c r="AP496" s="45">
        <v>1</v>
      </c>
      <c r="AQ496" s="45">
        <v>1</v>
      </c>
      <c r="AR496" s="45">
        <v>1</v>
      </c>
      <c r="AS496" s="45">
        <v>0</v>
      </c>
      <c r="AT496" s="45">
        <v>0</v>
      </c>
      <c r="AU496" s="10" t="s">
        <v>32430</v>
      </c>
      <c r="AV496" s="10" t="s">
        <v>32431</v>
      </c>
      <c r="AW496" s="10" t="s">
        <v>6052</v>
      </c>
      <c r="AX496" s="10" t="s">
        <v>6052</v>
      </c>
      <c r="AY496" s="10" t="s">
        <v>32432</v>
      </c>
      <c r="AZ496" s="44" t="s">
        <v>33117</v>
      </c>
      <c r="BA496" s="44" t="s">
        <v>30875</v>
      </c>
      <c r="BB496" s="44" t="s">
        <v>31278</v>
      </c>
      <c r="BC496" s="44" t="s">
        <v>6594</v>
      </c>
      <c r="BD496" s="44" t="s">
        <v>31708</v>
      </c>
      <c r="BE496" s="11">
        <v>1</v>
      </c>
      <c r="BF496" s="11">
        <v>1</v>
      </c>
      <c r="BG496" s="11">
        <v>0</v>
      </c>
      <c r="BH496" s="10" t="s">
        <v>31965</v>
      </c>
      <c r="BI496" s="11">
        <v>100</v>
      </c>
      <c r="BJ496" s="10" t="s">
        <v>33162</v>
      </c>
      <c r="BK496" s="11" t="s">
        <v>33162</v>
      </c>
    </row>
    <row r="497" spans="1:63" x14ac:dyDescent="0.75">
      <c r="A497" t="s">
        <v>947</v>
      </c>
      <c r="B497" t="s">
        <v>104</v>
      </c>
      <c r="C497" t="s">
        <v>948</v>
      </c>
      <c r="D497" t="s">
        <v>949</v>
      </c>
      <c r="E497" s="22" t="s">
        <v>9569</v>
      </c>
      <c r="F497" t="s">
        <v>950</v>
      </c>
      <c r="G497" s="1" t="str">
        <f>HYPERLINK("https://homd.org/jbrowse/?data=homd_V11.02_phage_1.2%2FGCA_000426585.1&amp;loc=GCA_000426585.1%7CAUFQ01000005.1%3A151164..158027&amp;tracks=prokka,prokka_ncrna,ncbi,ncbi_ncrna,panggolin,cenote,genomad&amp;highlight=","Open JBrowse")</f>
        <v>Open JBrowse</v>
      </c>
      <c r="H497" s="10">
        <v>154164</v>
      </c>
      <c r="I497" s="10">
        <v>155027</v>
      </c>
      <c r="J497" s="10" t="s">
        <v>951</v>
      </c>
      <c r="K497" s="10" t="s">
        <v>59</v>
      </c>
      <c r="L497" s="10" t="s">
        <v>952</v>
      </c>
      <c r="M497" s="10" t="s">
        <v>953</v>
      </c>
      <c r="N497" s="10" t="s">
        <v>42</v>
      </c>
      <c r="O497" s="10">
        <v>3</v>
      </c>
      <c r="P497" s="10" t="s">
        <v>42</v>
      </c>
      <c r="Q497" s="10" t="s">
        <v>59</v>
      </c>
      <c r="R497" s="10" t="s">
        <v>954</v>
      </c>
      <c r="S497" s="10" t="s">
        <v>952</v>
      </c>
      <c r="T497" s="10" t="s">
        <v>42</v>
      </c>
      <c r="U497" s="10">
        <v>51</v>
      </c>
      <c r="V497" s="10">
        <v>284</v>
      </c>
      <c r="W497" s="10">
        <v>234</v>
      </c>
      <c r="X497" s="10" t="s">
        <v>63</v>
      </c>
      <c r="Y497" s="10" t="s">
        <v>955</v>
      </c>
      <c r="Z497" s="10" t="s">
        <v>381</v>
      </c>
      <c r="AA497" s="10" t="s">
        <v>956</v>
      </c>
      <c r="AB497" s="10" t="s">
        <v>957</v>
      </c>
      <c r="AC497" s="10" t="s">
        <v>589</v>
      </c>
      <c r="AD497" s="10" t="s">
        <v>101</v>
      </c>
      <c r="AE497" s="10">
        <v>583</v>
      </c>
      <c r="AF497" s="10" t="s">
        <v>386</v>
      </c>
      <c r="AG497" s="44"/>
      <c r="AH497" s="44"/>
      <c r="AI497" s="44" t="s">
        <v>6052</v>
      </c>
      <c r="AJ497" s="44" t="s">
        <v>6059</v>
      </c>
      <c r="AK497" s="44" t="s">
        <v>6052</v>
      </c>
      <c r="AL497" s="44" t="s">
        <v>6052</v>
      </c>
      <c r="AM497" s="44" t="s">
        <v>6052</v>
      </c>
      <c r="AN497" s="44" t="s">
        <v>32611</v>
      </c>
      <c r="AO497" s="45">
        <v>11</v>
      </c>
      <c r="AP497" s="45">
        <v>1</v>
      </c>
      <c r="AQ497" s="45">
        <v>0</v>
      </c>
      <c r="AR497" s="45">
        <v>1</v>
      </c>
      <c r="AS497" s="45">
        <v>0</v>
      </c>
      <c r="AT497" s="45">
        <v>0</v>
      </c>
      <c r="AU497" s="10" t="s">
        <v>6052</v>
      </c>
      <c r="AV497" s="10" t="s">
        <v>32612</v>
      </c>
      <c r="AW497" s="10" t="s">
        <v>6052</v>
      </c>
      <c r="AX497" s="10" t="s">
        <v>6052</v>
      </c>
      <c r="AY497" s="10" t="s">
        <v>32613</v>
      </c>
      <c r="AZ497" s="44" t="s">
        <v>33116</v>
      </c>
      <c r="BA497" s="44" t="s">
        <v>30934</v>
      </c>
      <c r="BB497" s="44" t="s">
        <v>31372</v>
      </c>
      <c r="BC497" s="44" t="s">
        <v>6564</v>
      </c>
      <c r="BD497" s="44" t="s">
        <v>31710</v>
      </c>
      <c r="BE497" s="11">
        <v>1</v>
      </c>
      <c r="BF497" s="11">
        <v>1</v>
      </c>
      <c r="BG497" s="11">
        <v>0</v>
      </c>
      <c r="BH497" s="10" t="s">
        <v>31746</v>
      </c>
      <c r="BI497" s="11">
        <v>100</v>
      </c>
      <c r="BJ497" s="10" t="s">
        <v>33162</v>
      </c>
      <c r="BK497" s="11" t="s">
        <v>33162</v>
      </c>
    </row>
    <row r="498" spans="1:63" x14ac:dyDescent="0.75">
      <c r="A498" t="s">
        <v>1240</v>
      </c>
      <c r="B498" t="s">
        <v>104</v>
      </c>
      <c r="C498" t="s">
        <v>948</v>
      </c>
      <c r="D498" t="s">
        <v>949</v>
      </c>
      <c r="E498" s="22" t="s">
        <v>10279</v>
      </c>
      <c r="F498" t="s">
        <v>1241</v>
      </c>
      <c r="G498" s="1" t="str">
        <f>HYPERLINK("https://homd.org/jbrowse/?data=homd_V11.02_phage_1.2%2FGCA_000613565.1&amp;loc=GCA_000613565.1%7CBAJF01000020.1%3A41011..47874&amp;tracks=prokka,prokka_ncrna,ncbi,ncbi_ncrna,panggolin,cenote,genomad&amp;highlight=","Open JBrowse")</f>
        <v>Open JBrowse</v>
      </c>
      <c r="H498" s="10">
        <v>44011</v>
      </c>
      <c r="I498" s="10">
        <v>44874</v>
      </c>
      <c r="J498" s="10" t="s">
        <v>1242</v>
      </c>
      <c r="K498" s="10" t="s">
        <v>59</v>
      </c>
      <c r="L498" s="10" t="s">
        <v>952</v>
      </c>
      <c r="M498" s="10" t="s">
        <v>953</v>
      </c>
      <c r="N498" s="10" t="s">
        <v>42</v>
      </c>
      <c r="O498" s="10">
        <v>3</v>
      </c>
      <c r="P498" s="10" t="s">
        <v>42</v>
      </c>
      <c r="Q498" s="10" t="s">
        <v>59</v>
      </c>
      <c r="R498" s="10" t="s">
        <v>1243</v>
      </c>
      <c r="S498" s="10" t="s">
        <v>952</v>
      </c>
      <c r="T498" s="10" t="s">
        <v>42</v>
      </c>
      <c r="U498" s="10">
        <v>51</v>
      </c>
      <c r="V498" s="10">
        <v>284</v>
      </c>
      <c r="W498" s="10">
        <v>234</v>
      </c>
      <c r="X498" s="10" t="s">
        <v>63</v>
      </c>
      <c r="Y498" s="10" t="s">
        <v>1244</v>
      </c>
      <c r="Z498" s="10" t="s">
        <v>667</v>
      </c>
      <c r="AA498" s="10" t="s">
        <v>1245</v>
      </c>
      <c r="AB498" s="10" t="s">
        <v>1246</v>
      </c>
      <c r="AC498" s="10" t="s">
        <v>589</v>
      </c>
      <c r="AD498" s="10" t="s">
        <v>101</v>
      </c>
      <c r="AE498" s="10">
        <v>583</v>
      </c>
      <c r="AF498" s="10" t="s">
        <v>386</v>
      </c>
      <c r="AG498" s="44"/>
      <c r="AH498" s="44"/>
      <c r="AI498" s="44" t="s">
        <v>6052</v>
      </c>
      <c r="AJ498" s="44" t="s">
        <v>6059</v>
      </c>
      <c r="AK498" s="44" t="s">
        <v>6052</v>
      </c>
      <c r="AL498" s="44" t="s">
        <v>6052</v>
      </c>
      <c r="AM498" s="44" t="s">
        <v>6052</v>
      </c>
      <c r="AN498" s="44" t="s">
        <v>32825</v>
      </c>
      <c r="AO498" s="45">
        <v>11</v>
      </c>
      <c r="AP498" s="45">
        <v>1</v>
      </c>
      <c r="AQ498" s="45">
        <v>0</v>
      </c>
      <c r="AR498" s="45">
        <v>1</v>
      </c>
      <c r="AS498" s="45">
        <v>0</v>
      </c>
      <c r="AT498" s="45">
        <v>0</v>
      </c>
      <c r="AU498" s="10" t="s">
        <v>6052</v>
      </c>
      <c r="AV498" s="10" t="s">
        <v>32826</v>
      </c>
      <c r="AW498" s="10" t="s">
        <v>6052</v>
      </c>
      <c r="AX498" s="10" t="s">
        <v>6052</v>
      </c>
      <c r="AY498" s="10" t="s">
        <v>32613</v>
      </c>
      <c r="AZ498" s="44" t="s">
        <v>33116</v>
      </c>
      <c r="BA498" s="44" t="s">
        <v>31024</v>
      </c>
      <c r="BB498" s="44" t="s">
        <v>31503</v>
      </c>
      <c r="BC498" s="44" t="s">
        <v>6564</v>
      </c>
      <c r="BD498" s="44" t="s">
        <v>31710</v>
      </c>
      <c r="BE498" s="11">
        <v>1</v>
      </c>
      <c r="BF498" s="11">
        <v>1</v>
      </c>
      <c r="BG498" s="11">
        <v>0</v>
      </c>
      <c r="BH498" s="10" t="s">
        <v>31745</v>
      </c>
      <c r="BI498" s="11">
        <v>100</v>
      </c>
      <c r="BJ498" s="10" t="s">
        <v>33162</v>
      </c>
      <c r="BK498" s="11" t="s">
        <v>33162</v>
      </c>
    </row>
    <row r="499" spans="1:63" x14ac:dyDescent="0.75">
      <c r="A499" t="s">
        <v>6023</v>
      </c>
      <c r="B499" t="s">
        <v>104</v>
      </c>
      <c r="C499" t="s">
        <v>241</v>
      </c>
      <c r="D499" t="s">
        <v>242</v>
      </c>
      <c r="E499" s="22" t="s">
        <v>30844</v>
      </c>
      <c r="F499" t="s">
        <v>6024</v>
      </c>
      <c r="G499" s="1" t="str">
        <f>HYPERLINK("https://homd.org/jbrowse/?data=homd_V11.02_phage_1.2%2FGCA_958415905.1&amp;loc=GCA_958415905.1%7CCATYZT010000009.1%3A41825..48931&amp;tracks=prokka,prokka_ncrna,ncbi,ncbi_ncrna,panggolin,cenote,genomad&amp;highlight=","Open JBrowse")</f>
        <v>Open JBrowse</v>
      </c>
      <c r="H499" s="10">
        <v>44825</v>
      </c>
      <c r="I499" s="10">
        <v>45931</v>
      </c>
      <c r="J499" s="10" t="s">
        <v>6025</v>
      </c>
      <c r="K499" s="10" t="s">
        <v>109</v>
      </c>
      <c r="L499" s="10" t="s">
        <v>245</v>
      </c>
      <c r="M499" s="10" t="s">
        <v>246</v>
      </c>
      <c r="N499" s="10" t="s">
        <v>42</v>
      </c>
      <c r="O499" s="10">
        <v>3</v>
      </c>
      <c r="P499" s="10" t="s">
        <v>42</v>
      </c>
      <c r="Q499" s="10" t="s">
        <v>101</v>
      </c>
      <c r="R499" s="10" t="s">
        <v>6026</v>
      </c>
      <c r="S499" s="10" t="s">
        <v>245</v>
      </c>
      <c r="T499" s="10" t="s">
        <v>42</v>
      </c>
      <c r="U499" s="10">
        <v>138</v>
      </c>
      <c r="V499" s="10">
        <v>366</v>
      </c>
      <c r="W499" s="10">
        <v>229</v>
      </c>
      <c r="X499" s="10" t="s">
        <v>248</v>
      </c>
      <c r="Y499" s="10" t="s">
        <v>6027</v>
      </c>
      <c r="Z499" s="10" t="s">
        <v>292</v>
      </c>
      <c r="AA499" s="10" t="s">
        <v>250</v>
      </c>
      <c r="AB499" s="10" t="s">
        <v>6028</v>
      </c>
      <c r="AC499" s="10" t="s">
        <v>252</v>
      </c>
      <c r="AD499" s="10" t="s">
        <v>101</v>
      </c>
      <c r="AE499" s="10">
        <v>2697</v>
      </c>
      <c r="AF499" s="10" t="s">
        <v>253</v>
      </c>
      <c r="AG499" s="44"/>
      <c r="AH499" s="44"/>
      <c r="AI499" s="44" t="s">
        <v>6052</v>
      </c>
      <c r="AJ499" s="44" t="s">
        <v>6058</v>
      </c>
      <c r="AK499" s="44" t="s">
        <v>6052</v>
      </c>
      <c r="AL499" s="44" t="s">
        <v>6052</v>
      </c>
      <c r="AM499" s="44" t="s">
        <v>6052</v>
      </c>
      <c r="AN499" s="44" t="s">
        <v>32395</v>
      </c>
      <c r="AO499" s="45">
        <v>11</v>
      </c>
      <c r="AP499" s="45">
        <v>1</v>
      </c>
      <c r="AQ499" s="45">
        <v>1</v>
      </c>
      <c r="AR499" s="45">
        <v>1</v>
      </c>
      <c r="AS499" s="45">
        <v>0</v>
      </c>
      <c r="AT499" s="45">
        <v>0</v>
      </c>
      <c r="AU499" s="10" t="s">
        <v>32396</v>
      </c>
      <c r="AV499" s="10" t="s">
        <v>32397</v>
      </c>
      <c r="AW499" s="10" t="s">
        <v>6052</v>
      </c>
      <c r="AX499" s="10" t="s">
        <v>6052</v>
      </c>
      <c r="AY499" s="10" t="s">
        <v>32271</v>
      </c>
      <c r="AZ499" s="44" t="s">
        <v>33116</v>
      </c>
      <c r="BA499" s="44" t="s">
        <v>30870</v>
      </c>
      <c r="BB499" s="44" t="s">
        <v>31267</v>
      </c>
      <c r="BC499" s="44" t="s">
        <v>6564</v>
      </c>
      <c r="BD499" s="44" t="s">
        <v>31710</v>
      </c>
      <c r="BE499" s="11">
        <v>1</v>
      </c>
      <c r="BF499" s="11">
        <v>1</v>
      </c>
      <c r="BG499" s="11">
        <v>0</v>
      </c>
      <c r="BH499" s="10" t="s">
        <v>31810</v>
      </c>
      <c r="BI499" s="11">
        <v>100</v>
      </c>
      <c r="BJ499" s="10" t="s">
        <v>33162</v>
      </c>
      <c r="BK499" s="11" t="s">
        <v>33162</v>
      </c>
    </row>
    <row r="500" spans="1:63" x14ac:dyDescent="0.75">
      <c r="A500" t="s">
        <v>6029</v>
      </c>
      <c r="B500" t="s">
        <v>104</v>
      </c>
      <c r="C500" t="s">
        <v>241</v>
      </c>
      <c r="D500" t="s">
        <v>242</v>
      </c>
      <c r="E500" s="22" t="s">
        <v>30844</v>
      </c>
      <c r="F500" t="s">
        <v>6030</v>
      </c>
      <c r="G500" s="1" t="str">
        <f>HYPERLINK("https://homd.org/jbrowse/?data=homd_V11.02_phage_1.2%2FGCA_958433865.1&amp;loc=GCA_958433865.1%7CCAUBAF010000089.1%3A1..7096&amp;tracks=prokka,prokka_ncrna,ncbi,ncbi_ncrna,panggolin,cenote,genomad&amp;highlight=","Open JBrowse")</f>
        <v>Open JBrowse</v>
      </c>
      <c r="H500" s="10">
        <v>2990</v>
      </c>
      <c r="I500" s="10">
        <v>4096</v>
      </c>
      <c r="J500" s="10" t="s">
        <v>6031</v>
      </c>
      <c r="K500" s="10" t="s">
        <v>109</v>
      </c>
      <c r="L500" s="10" t="s">
        <v>245</v>
      </c>
      <c r="M500" s="10" t="s">
        <v>246</v>
      </c>
      <c r="N500" s="10" t="s">
        <v>42</v>
      </c>
      <c r="O500" s="10">
        <v>3</v>
      </c>
      <c r="P500" s="10" t="s">
        <v>42</v>
      </c>
      <c r="Q500" s="10" t="s">
        <v>101</v>
      </c>
      <c r="R500" s="10" t="s">
        <v>6032</v>
      </c>
      <c r="S500" s="10" t="s">
        <v>245</v>
      </c>
      <c r="T500" s="10" t="s">
        <v>42</v>
      </c>
      <c r="U500" s="10">
        <v>138</v>
      </c>
      <c r="V500" s="10">
        <v>366</v>
      </c>
      <c r="W500" s="10">
        <v>229</v>
      </c>
      <c r="X500" s="10" t="s">
        <v>248</v>
      </c>
      <c r="Y500" s="10" t="s">
        <v>6033</v>
      </c>
      <c r="Z500" s="10" t="s">
        <v>594</v>
      </c>
      <c r="AA500" s="10" t="s">
        <v>250</v>
      </c>
      <c r="AB500" s="10" t="s">
        <v>6034</v>
      </c>
      <c r="AC500" s="10" t="s">
        <v>252</v>
      </c>
      <c r="AD500" s="10" t="s">
        <v>101</v>
      </c>
      <c r="AE500" s="10">
        <v>2699</v>
      </c>
      <c r="AF500" s="10" t="s">
        <v>253</v>
      </c>
      <c r="AG500" s="44"/>
      <c r="AH500" s="44"/>
      <c r="AI500" s="44" t="s">
        <v>6052</v>
      </c>
      <c r="AJ500" s="44" t="s">
        <v>6058</v>
      </c>
      <c r="AK500" s="44" t="s">
        <v>6052</v>
      </c>
      <c r="AL500" s="44" t="s">
        <v>6052</v>
      </c>
      <c r="AM500" s="44" t="s">
        <v>6052</v>
      </c>
      <c r="AN500" s="44" t="s">
        <v>32423</v>
      </c>
      <c r="AO500" s="45">
        <v>11</v>
      </c>
      <c r="AP500" s="45">
        <v>1</v>
      </c>
      <c r="AQ500" s="45">
        <v>1</v>
      </c>
      <c r="AR500" s="45">
        <v>1</v>
      </c>
      <c r="AS500" s="45">
        <v>0</v>
      </c>
      <c r="AT500" s="45">
        <v>0</v>
      </c>
      <c r="AU500" s="10" t="s">
        <v>32424</v>
      </c>
      <c r="AV500" s="10" t="s">
        <v>32425</v>
      </c>
      <c r="AW500" s="10" t="s">
        <v>6052</v>
      </c>
      <c r="AX500" s="10" t="s">
        <v>6052</v>
      </c>
      <c r="AY500" s="10" t="s">
        <v>32271</v>
      </c>
      <c r="AZ500" s="44" t="s">
        <v>33116</v>
      </c>
      <c r="BA500" s="44" t="s">
        <v>30870</v>
      </c>
      <c r="BB500" s="44" t="s">
        <v>31276</v>
      </c>
      <c r="BC500" s="44" t="s">
        <v>6564</v>
      </c>
      <c r="BD500" s="44" t="s">
        <v>31710</v>
      </c>
      <c r="BE500" s="11">
        <v>1</v>
      </c>
      <c r="BF500" s="11">
        <v>1</v>
      </c>
      <c r="BG500" s="11">
        <v>0</v>
      </c>
      <c r="BH500" s="10" t="s">
        <v>31816</v>
      </c>
      <c r="BI500" s="11">
        <v>100</v>
      </c>
      <c r="BJ500" s="10" t="s">
        <v>33162</v>
      </c>
      <c r="BK500" s="11" t="s">
        <v>33162</v>
      </c>
    </row>
    <row r="501" spans="1:63" x14ac:dyDescent="0.75">
      <c r="A501" t="s">
        <v>6035</v>
      </c>
      <c r="B501" t="s">
        <v>104</v>
      </c>
      <c r="C501" t="s">
        <v>241</v>
      </c>
      <c r="D501" t="s">
        <v>242</v>
      </c>
      <c r="E501" s="22" t="s">
        <v>30844</v>
      </c>
      <c r="F501" t="s">
        <v>6036</v>
      </c>
      <c r="G501" s="1" t="str">
        <f>HYPERLINK("https://homd.org/jbrowse/?data=homd_V11.02_phage_1.2%2FGCA_959023205.1&amp;loc=GCA_959023205.1%7CCAUFBI010000001.1%3A53548..60654&amp;tracks=prokka,prokka_ncrna,ncbi,ncbi_ncrna,panggolin,cenote,genomad&amp;highlight=","Open JBrowse")</f>
        <v>Open JBrowse</v>
      </c>
      <c r="H501" s="10">
        <v>56548</v>
      </c>
      <c r="I501" s="10">
        <v>57654</v>
      </c>
      <c r="J501" s="10" t="s">
        <v>6037</v>
      </c>
      <c r="K501" s="10" t="s">
        <v>109</v>
      </c>
      <c r="L501" s="10" t="s">
        <v>245</v>
      </c>
      <c r="M501" s="10" t="s">
        <v>246</v>
      </c>
      <c r="N501" s="10" t="s">
        <v>42</v>
      </c>
      <c r="O501" s="10">
        <v>3</v>
      </c>
      <c r="P501" s="10" t="s">
        <v>42</v>
      </c>
      <c r="Q501" s="10" t="s">
        <v>101</v>
      </c>
      <c r="R501" s="10" t="s">
        <v>6038</v>
      </c>
      <c r="S501" s="10" t="s">
        <v>245</v>
      </c>
      <c r="T501" s="10" t="s">
        <v>42</v>
      </c>
      <c r="U501" s="10">
        <v>138</v>
      </c>
      <c r="V501" s="10">
        <v>366</v>
      </c>
      <c r="W501" s="10">
        <v>229</v>
      </c>
      <c r="X501" s="10" t="s">
        <v>248</v>
      </c>
      <c r="Y501" s="10" t="s">
        <v>6039</v>
      </c>
      <c r="Z501" s="10" t="s">
        <v>645</v>
      </c>
      <c r="AA501" s="10" t="s">
        <v>250</v>
      </c>
      <c r="AB501" s="10" t="s">
        <v>6040</v>
      </c>
      <c r="AC501" s="10" t="s">
        <v>252</v>
      </c>
      <c r="AD501" s="10" t="s">
        <v>101</v>
      </c>
      <c r="AE501" s="10">
        <v>2703</v>
      </c>
      <c r="AF501" s="10" t="s">
        <v>253</v>
      </c>
      <c r="AG501" s="44"/>
      <c r="AH501" s="44"/>
      <c r="AI501" s="44" t="s">
        <v>6052</v>
      </c>
      <c r="AJ501" s="44" t="s">
        <v>6058</v>
      </c>
      <c r="AK501" s="44" t="s">
        <v>6052</v>
      </c>
      <c r="AL501" s="44" t="s">
        <v>6052</v>
      </c>
      <c r="AM501" s="44" t="s">
        <v>6052</v>
      </c>
      <c r="AN501" s="44" t="s">
        <v>32401</v>
      </c>
      <c r="AO501" s="45">
        <v>11</v>
      </c>
      <c r="AP501" s="45">
        <v>1</v>
      </c>
      <c r="AQ501" s="45">
        <v>1</v>
      </c>
      <c r="AR501" s="45">
        <v>1</v>
      </c>
      <c r="AS501" s="45">
        <v>0</v>
      </c>
      <c r="AT501" s="45">
        <v>0</v>
      </c>
      <c r="AU501" s="10" t="s">
        <v>32402</v>
      </c>
      <c r="AV501" s="10" t="s">
        <v>32403</v>
      </c>
      <c r="AW501" s="10" t="s">
        <v>6052</v>
      </c>
      <c r="AX501" s="10" t="s">
        <v>6052</v>
      </c>
      <c r="AY501" s="10" t="s">
        <v>32271</v>
      </c>
      <c r="AZ501" s="44" t="s">
        <v>33116</v>
      </c>
      <c r="BA501" s="44" t="s">
        <v>30870</v>
      </c>
      <c r="BB501" s="44" t="s">
        <v>31269</v>
      </c>
      <c r="BC501" s="44" t="s">
        <v>6564</v>
      </c>
      <c r="BD501" s="44" t="s">
        <v>31710</v>
      </c>
      <c r="BE501" s="11">
        <v>1</v>
      </c>
      <c r="BF501" s="11">
        <v>1</v>
      </c>
      <c r="BG501" s="11">
        <v>0</v>
      </c>
      <c r="BH501" s="10" t="s">
        <v>31756</v>
      </c>
      <c r="BI501" s="11">
        <v>100</v>
      </c>
      <c r="BJ501" s="10" t="s">
        <v>33162</v>
      </c>
      <c r="BK501" s="11" t="s">
        <v>33162</v>
      </c>
    </row>
    <row r="502" spans="1:63" x14ac:dyDescent="0.75">
      <c r="A502" t="s">
        <v>4897</v>
      </c>
      <c r="B502" t="s">
        <v>104</v>
      </c>
      <c r="C502" t="s">
        <v>241</v>
      </c>
      <c r="D502" t="s">
        <v>242</v>
      </c>
      <c r="E502" s="22" t="s">
        <v>24729</v>
      </c>
      <c r="F502" t="s">
        <v>4898</v>
      </c>
      <c r="G502" s="1" t="str">
        <f>HYPERLINK("https://homd.org/jbrowse/?data=homd_V11.02_phage_1.2%2FGCA_027696975.1&amp;loc=GCA_027696975.1%7CJAQETA010000002.1%3A173691..180797&amp;tracks=prokka,prokka_ncrna,ncbi,ncbi_ncrna,panggolin,cenote,genomad&amp;highlight=","Open JBrowse")</f>
        <v>Open JBrowse</v>
      </c>
      <c r="H502" s="10">
        <v>176691</v>
      </c>
      <c r="I502" s="10">
        <v>177797</v>
      </c>
      <c r="J502" s="10" t="s">
        <v>4899</v>
      </c>
      <c r="K502" s="10" t="s">
        <v>109</v>
      </c>
      <c r="L502" s="10" t="s">
        <v>245</v>
      </c>
      <c r="M502" s="10" t="s">
        <v>246</v>
      </c>
      <c r="N502" s="10" t="s">
        <v>42</v>
      </c>
      <c r="O502" s="10">
        <v>3</v>
      </c>
      <c r="P502" s="10" t="s">
        <v>42</v>
      </c>
      <c r="Q502" s="10" t="s">
        <v>101</v>
      </c>
      <c r="R502" s="10" t="s">
        <v>4900</v>
      </c>
      <c r="S502" s="10" t="s">
        <v>245</v>
      </c>
      <c r="T502" s="10" t="s">
        <v>42</v>
      </c>
      <c r="U502" s="10">
        <v>138</v>
      </c>
      <c r="V502" s="10">
        <v>366</v>
      </c>
      <c r="W502" s="10">
        <v>229</v>
      </c>
      <c r="X502" s="10" t="s">
        <v>248</v>
      </c>
      <c r="Y502" s="10" t="s">
        <v>4901</v>
      </c>
      <c r="Z502" s="10" t="s">
        <v>132</v>
      </c>
      <c r="AA502" s="10" t="s">
        <v>992</v>
      </c>
      <c r="AB502" s="10" t="s">
        <v>4902</v>
      </c>
      <c r="AC502" s="10" t="s">
        <v>252</v>
      </c>
      <c r="AD502" s="10" t="s">
        <v>101</v>
      </c>
      <c r="AE502" s="10">
        <v>2693</v>
      </c>
      <c r="AF502" s="10" t="s">
        <v>3789</v>
      </c>
      <c r="AG502" s="44"/>
      <c r="AH502" s="44"/>
      <c r="AI502" s="44" t="s">
        <v>6052</v>
      </c>
      <c r="AJ502" s="44" t="s">
        <v>6058</v>
      </c>
      <c r="AK502" s="44" t="s">
        <v>6052</v>
      </c>
      <c r="AL502" s="44" t="s">
        <v>6052</v>
      </c>
      <c r="AM502" s="44" t="s">
        <v>6052</v>
      </c>
      <c r="AN502" s="44" t="s">
        <v>32583</v>
      </c>
      <c r="AO502" s="45">
        <v>11</v>
      </c>
      <c r="AP502" s="45">
        <v>1</v>
      </c>
      <c r="AQ502" s="45">
        <v>1</v>
      </c>
      <c r="AR502" s="45">
        <v>1</v>
      </c>
      <c r="AS502" s="45">
        <v>0</v>
      </c>
      <c r="AT502" s="45">
        <v>0</v>
      </c>
      <c r="AU502" s="10" t="s">
        <v>32584</v>
      </c>
      <c r="AV502" s="10" t="s">
        <v>32585</v>
      </c>
      <c r="AW502" s="10" t="s">
        <v>6052</v>
      </c>
      <c r="AX502" s="10" t="s">
        <v>6052</v>
      </c>
      <c r="AY502" s="10" t="s">
        <v>32407</v>
      </c>
      <c r="AZ502" s="44" t="s">
        <v>33116</v>
      </c>
      <c r="BA502" s="44" t="s">
        <v>30922</v>
      </c>
      <c r="BB502" s="44" t="s">
        <v>31355</v>
      </c>
      <c r="BC502" s="44" t="s">
        <v>6564</v>
      </c>
      <c r="BD502" s="44" t="s">
        <v>31710</v>
      </c>
      <c r="BE502" s="11">
        <v>1</v>
      </c>
      <c r="BF502" s="11">
        <v>1</v>
      </c>
      <c r="BG502" s="11">
        <v>0</v>
      </c>
      <c r="BH502" s="10" t="s">
        <v>31813</v>
      </c>
      <c r="BI502" s="11">
        <v>100</v>
      </c>
      <c r="BJ502" s="10" t="s">
        <v>33162</v>
      </c>
      <c r="BK502" s="11" t="s">
        <v>33162</v>
      </c>
    </row>
    <row r="503" spans="1:63" x14ac:dyDescent="0.75">
      <c r="A503" t="s">
        <v>4886</v>
      </c>
      <c r="B503" t="s">
        <v>104</v>
      </c>
      <c r="C503" t="s">
        <v>241</v>
      </c>
      <c r="D503" t="s">
        <v>242</v>
      </c>
      <c r="E503" s="22" t="s">
        <v>24727</v>
      </c>
      <c r="F503" t="s">
        <v>4887</v>
      </c>
      <c r="G503" s="1" t="str">
        <f>HYPERLINK("https://homd.org/jbrowse/?data=homd_V11.02_phage_1.2%2FGCA_027696905.1&amp;loc=GCA_027696905.1%7CJAQETB010000001.1%3A300602..307708&amp;tracks=prokka,prokka_ncrna,ncbi,ncbi_ncrna,panggolin,cenote,genomad&amp;highlight=","Open JBrowse")</f>
        <v>Open JBrowse</v>
      </c>
      <c r="H503" s="10">
        <v>303602</v>
      </c>
      <c r="I503" s="10">
        <v>304708</v>
      </c>
      <c r="J503" s="10" t="s">
        <v>4888</v>
      </c>
      <c r="K503" s="10" t="s">
        <v>109</v>
      </c>
      <c r="L503" s="10" t="s">
        <v>245</v>
      </c>
      <c r="M503" s="10" t="s">
        <v>246</v>
      </c>
      <c r="N503" s="10" t="s">
        <v>42</v>
      </c>
      <c r="O503" s="10">
        <v>3</v>
      </c>
      <c r="P503" s="10" t="s">
        <v>42</v>
      </c>
      <c r="Q503" s="10" t="s">
        <v>101</v>
      </c>
      <c r="R503" s="10" t="s">
        <v>4889</v>
      </c>
      <c r="S503" s="10" t="s">
        <v>245</v>
      </c>
      <c r="T503" s="10" t="s">
        <v>42</v>
      </c>
      <c r="U503" s="10">
        <v>138</v>
      </c>
      <c r="V503" s="10">
        <v>366</v>
      </c>
      <c r="W503" s="10">
        <v>229</v>
      </c>
      <c r="X503" s="10" t="s">
        <v>248</v>
      </c>
      <c r="Y503" s="10" t="s">
        <v>4890</v>
      </c>
      <c r="Z503" s="10" t="s">
        <v>302</v>
      </c>
      <c r="AA503" s="10" t="s">
        <v>992</v>
      </c>
      <c r="AB503" s="10" t="s">
        <v>4891</v>
      </c>
      <c r="AC503" s="10" t="s">
        <v>252</v>
      </c>
      <c r="AD503" s="10" t="s">
        <v>101</v>
      </c>
      <c r="AE503" s="10">
        <v>2698</v>
      </c>
      <c r="AF503" s="10" t="s">
        <v>3789</v>
      </c>
      <c r="AG503" s="44"/>
      <c r="AH503" s="44"/>
      <c r="AI503" s="44" t="s">
        <v>6052</v>
      </c>
      <c r="AJ503" s="44" t="s">
        <v>6058</v>
      </c>
      <c r="AK503" s="44" t="s">
        <v>6052</v>
      </c>
      <c r="AL503" s="44" t="s">
        <v>6052</v>
      </c>
      <c r="AM503" s="44" t="s">
        <v>6052</v>
      </c>
      <c r="AN503" s="44" t="s">
        <v>32587</v>
      </c>
      <c r="AO503" s="45">
        <v>11</v>
      </c>
      <c r="AP503" s="45">
        <v>1</v>
      </c>
      <c r="AQ503" s="45">
        <v>1</v>
      </c>
      <c r="AR503" s="45">
        <v>1</v>
      </c>
      <c r="AS503" s="45">
        <v>0</v>
      </c>
      <c r="AT503" s="45">
        <v>0</v>
      </c>
      <c r="AU503" s="10" t="s">
        <v>32588</v>
      </c>
      <c r="AV503" s="10" t="s">
        <v>32589</v>
      </c>
      <c r="AW503" s="10" t="s">
        <v>6052</v>
      </c>
      <c r="AX503" s="10" t="s">
        <v>6052</v>
      </c>
      <c r="AY503" s="10" t="s">
        <v>32407</v>
      </c>
      <c r="AZ503" s="44" t="s">
        <v>33116</v>
      </c>
      <c r="BA503" s="44" t="s">
        <v>30923</v>
      </c>
      <c r="BB503" s="44" t="s">
        <v>31357</v>
      </c>
      <c r="BC503" s="44" t="s">
        <v>6564</v>
      </c>
      <c r="BD503" s="44" t="s">
        <v>31710</v>
      </c>
      <c r="BE503" s="11">
        <v>1</v>
      </c>
      <c r="BF503" s="11">
        <v>1</v>
      </c>
      <c r="BG503" s="11">
        <v>0</v>
      </c>
      <c r="BH503" s="10" t="s">
        <v>31811</v>
      </c>
      <c r="BI503" s="11">
        <v>100</v>
      </c>
      <c r="BJ503" s="10" t="s">
        <v>33162</v>
      </c>
      <c r="BK503" s="11" t="s">
        <v>33162</v>
      </c>
    </row>
    <row r="504" spans="1:63" x14ac:dyDescent="0.75">
      <c r="A504" t="s">
        <v>5010</v>
      </c>
      <c r="B504" t="s">
        <v>104</v>
      </c>
      <c r="C504" t="s">
        <v>241</v>
      </c>
      <c r="D504" t="s">
        <v>242</v>
      </c>
      <c r="E504" s="22" t="s">
        <v>26574</v>
      </c>
      <c r="F504" t="s">
        <v>5011</v>
      </c>
      <c r="G504" s="1" t="str">
        <f>HYPERLINK("https://homd.org/jbrowse/?data=homd_V11.02_phage_1.2%2FGCA_030843185.1&amp;loc=GCA_030843185.1%7CJAUUQB010000004.1%3A127685..134791&amp;tracks=prokka,prokka_ncrna,ncbi,ncbi_ncrna,panggolin,cenote,genomad&amp;highlight=","Open JBrowse")</f>
        <v>Open JBrowse</v>
      </c>
      <c r="H504" s="10">
        <v>130685</v>
      </c>
      <c r="I504" s="10">
        <v>131791</v>
      </c>
      <c r="J504" s="10" t="s">
        <v>5012</v>
      </c>
      <c r="K504" s="10" t="s">
        <v>109</v>
      </c>
      <c r="L504" s="10" t="s">
        <v>245</v>
      </c>
      <c r="M504" s="10" t="s">
        <v>246</v>
      </c>
      <c r="N504" s="10" t="s">
        <v>42</v>
      </c>
      <c r="O504" s="10">
        <v>3</v>
      </c>
      <c r="P504" s="10" t="s">
        <v>42</v>
      </c>
      <c r="Q504" s="10" t="s">
        <v>101</v>
      </c>
      <c r="R504" s="10" t="s">
        <v>5013</v>
      </c>
      <c r="S504" s="10" t="s">
        <v>245</v>
      </c>
      <c r="T504" s="10" t="s">
        <v>42</v>
      </c>
      <c r="U504" s="10">
        <v>138</v>
      </c>
      <c r="V504" s="10">
        <v>366</v>
      </c>
      <c r="W504" s="10">
        <v>229</v>
      </c>
      <c r="X504" s="10" t="s">
        <v>248</v>
      </c>
      <c r="Y504" s="10" t="s">
        <v>5014</v>
      </c>
      <c r="Z504" s="10" t="s">
        <v>126</v>
      </c>
      <c r="AA504" s="10" t="s">
        <v>250</v>
      </c>
      <c r="AB504" s="10" t="s">
        <v>5015</v>
      </c>
      <c r="AC504" s="10" t="s">
        <v>252</v>
      </c>
      <c r="AD504" s="10" t="s">
        <v>101</v>
      </c>
      <c r="AE504" s="10">
        <v>2701</v>
      </c>
      <c r="AF504" s="10" t="s">
        <v>253</v>
      </c>
      <c r="AG504" s="44"/>
      <c r="AH504" s="44"/>
      <c r="AI504" s="44" t="s">
        <v>6052</v>
      </c>
      <c r="AJ504" s="44" t="s">
        <v>6058</v>
      </c>
      <c r="AK504" s="44" t="s">
        <v>6052</v>
      </c>
      <c r="AL504" s="44" t="s">
        <v>6052</v>
      </c>
      <c r="AM504" s="44" t="s">
        <v>6052</v>
      </c>
      <c r="AN504" s="44" t="s">
        <v>32928</v>
      </c>
      <c r="AO504" s="45">
        <v>11</v>
      </c>
      <c r="AP504" s="45">
        <v>1</v>
      </c>
      <c r="AQ504" s="45">
        <v>1</v>
      </c>
      <c r="AR504" s="45">
        <v>1</v>
      </c>
      <c r="AS504" s="45">
        <v>0</v>
      </c>
      <c r="AT504" s="45">
        <v>0</v>
      </c>
      <c r="AU504" s="10" t="s">
        <v>32929</v>
      </c>
      <c r="AV504" s="10" t="s">
        <v>32930</v>
      </c>
      <c r="AW504" s="10" t="s">
        <v>6052</v>
      </c>
      <c r="AX504" s="10" t="s">
        <v>6052</v>
      </c>
      <c r="AY504" s="10" t="s">
        <v>32271</v>
      </c>
      <c r="AZ504" s="44" t="s">
        <v>33116</v>
      </c>
      <c r="BA504" s="44" t="s">
        <v>31082</v>
      </c>
      <c r="BB504" s="44" t="s">
        <v>31582</v>
      </c>
      <c r="BC504" s="44" t="s">
        <v>6564</v>
      </c>
      <c r="BD504" s="44" t="s">
        <v>31710</v>
      </c>
      <c r="BE504" s="11">
        <v>1</v>
      </c>
      <c r="BF504" s="11">
        <v>1</v>
      </c>
      <c r="BG504" s="11">
        <v>0</v>
      </c>
      <c r="BH504" s="10" t="s">
        <v>31805</v>
      </c>
      <c r="BI504" s="11">
        <v>100</v>
      </c>
      <c r="BJ504" s="10" t="s">
        <v>33162</v>
      </c>
      <c r="BK504" s="11" t="s">
        <v>33162</v>
      </c>
    </row>
    <row r="505" spans="1:63" x14ac:dyDescent="0.75">
      <c r="A505" t="s">
        <v>5345</v>
      </c>
      <c r="B505" t="s">
        <v>104</v>
      </c>
      <c r="C505" t="s">
        <v>241</v>
      </c>
      <c r="D505" t="s">
        <v>242</v>
      </c>
      <c r="E505" s="22" t="s">
        <v>28453</v>
      </c>
      <c r="F505" t="s">
        <v>5352</v>
      </c>
      <c r="G505" s="1" t="str">
        <f>HYPERLINK("https://homd.org/jbrowse/?data=homd_V11.02_phage_1.2%2FGCA_902461075.1&amp;loc=GCA_902461075.1%7CCABPVU010000050.1%3A11790..18896&amp;tracks=prokka,prokka_ncrna,ncbi,ncbi_ncrna,panggolin,cenote,genomad&amp;highlight=","Open JBrowse")</f>
        <v>Open JBrowse</v>
      </c>
      <c r="H505" s="10">
        <v>14790</v>
      </c>
      <c r="I505" s="10">
        <v>15896</v>
      </c>
      <c r="J505" s="10" t="s">
        <v>5353</v>
      </c>
      <c r="K505" s="10" t="s">
        <v>109</v>
      </c>
      <c r="L505" s="10" t="s">
        <v>245</v>
      </c>
      <c r="M505" s="10" t="s">
        <v>246</v>
      </c>
      <c r="N505" s="10" t="s">
        <v>42</v>
      </c>
      <c r="O505" s="10">
        <v>3</v>
      </c>
      <c r="P505" s="10" t="s">
        <v>42</v>
      </c>
      <c r="Q505" s="10" t="s">
        <v>101</v>
      </c>
      <c r="R505" s="10" t="s">
        <v>5348</v>
      </c>
      <c r="S505" s="10" t="s">
        <v>245</v>
      </c>
      <c r="T505" s="10" t="s">
        <v>42</v>
      </c>
      <c r="U505" s="10">
        <v>138</v>
      </c>
      <c r="V505" s="10">
        <v>366</v>
      </c>
      <c r="W505" s="10">
        <v>229</v>
      </c>
      <c r="X505" s="10" t="s">
        <v>248</v>
      </c>
      <c r="Y505" s="10" t="s">
        <v>5354</v>
      </c>
      <c r="Z505" s="10" t="s">
        <v>1612</v>
      </c>
      <c r="AA505" s="10" t="s">
        <v>992</v>
      </c>
      <c r="AB505" s="10" t="s">
        <v>5355</v>
      </c>
      <c r="AC505" s="10" t="s">
        <v>252</v>
      </c>
      <c r="AD505" s="10" t="s">
        <v>101</v>
      </c>
      <c r="AE505" s="10">
        <v>2700</v>
      </c>
      <c r="AF505" s="10" t="s">
        <v>3789</v>
      </c>
      <c r="AG505" s="44"/>
      <c r="AH505" s="44"/>
      <c r="AI505" s="44" t="s">
        <v>6052</v>
      </c>
      <c r="AJ505" s="44" t="s">
        <v>6058</v>
      </c>
      <c r="AK505" s="44" t="s">
        <v>6052</v>
      </c>
      <c r="AL505" s="44" t="s">
        <v>6052</v>
      </c>
      <c r="AM505" s="44" t="s">
        <v>6052</v>
      </c>
      <c r="AN505" s="44" t="s">
        <v>32908</v>
      </c>
      <c r="AO505" s="45">
        <v>11</v>
      </c>
      <c r="AP505" s="45">
        <v>1</v>
      </c>
      <c r="AQ505" s="45">
        <v>1</v>
      </c>
      <c r="AR505" s="45">
        <v>1</v>
      </c>
      <c r="AS505" s="45">
        <v>0</v>
      </c>
      <c r="AT505" s="45">
        <v>0</v>
      </c>
      <c r="AU505" s="10" t="s">
        <v>32909</v>
      </c>
      <c r="AV505" s="10" t="s">
        <v>32910</v>
      </c>
      <c r="AW505" s="10" t="s">
        <v>6052</v>
      </c>
      <c r="AX505" s="10" t="s">
        <v>6052</v>
      </c>
      <c r="AY505" s="10" t="s">
        <v>32407</v>
      </c>
      <c r="AZ505" s="44" t="s">
        <v>33116</v>
      </c>
      <c r="BA505" s="44" t="s">
        <v>31072</v>
      </c>
      <c r="BB505" s="44" t="s">
        <v>31569</v>
      </c>
      <c r="BC505" s="44" t="s">
        <v>6564</v>
      </c>
      <c r="BD505" s="44" t="s">
        <v>31710</v>
      </c>
      <c r="BE505" s="11">
        <v>1</v>
      </c>
      <c r="BF505" s="11">
        <v>1</v>
      </c>
      <c r="BG505" s="11">
        <v>0</v>
      </c>
      <c r="BH505" s="10" t="s">
        <v>31806</v>
      </c>
      <c r="BI505" s="11">
        <v>100</v>
      </c>
      <c r="BJ505" s="10" t="s">
        <v>33162</v>
      </c>
      <c r="BK505" s="11" t="s">
        <v>33162</v>
      </c>
    </row>
    <row r="506" spans="1:63" x14ac:dyDescent="0.75">
      <c r="A506" t="s">
        <v>5839</v>
      </c>
      <c r="B506" t="s">
        <v>104</v>
      </c>
      <c r="C506" t="s">
        <v>241</v>
      </c>
      <c r="D506" t="s">
        <v>242</v>
      </c>
      <c r="E506" s="22" t="s">
        <v>30844</v>
      </c>
      <c r="F506" t="s">
        <v>5845</v>
      </c>
      <c r="G506" s="1" t="str">
        <f>HYPERLINK("https://homd.org/jbrowse/?data=homd_V11.02_phage_1.2%2FGCA_938016215.1&amp;loc=GCA_938016215.1%7CCALLWX010000007.1%3A127623..134729&amp;tracks=prokka,prokka_ncrna,ncbi,ncbi_ncrna,panggolin,cenote,genomad&amp;highlight=","Open JBrowse")</f>
        <v>Open JBrowse</v>
      </c>
      <c r="H506" s="10">
        <v>130623</v>
      </c>
      <c r="I506" s="10">
        <v>131729</v>
      </c>
      <c r="J506" s="10" t="s">
        <v>5846</v>
      </c>
      <c r="K506" s="10" t="s">
        <v>109</v>
      </c>
      <c r="L506" s="10" t="s">
        <v>245</v>
      </c>
      <c r="M506" s="10" t="s">
        <v>246</v>
      </c>
      <c r="N506" s="10" t="s">
        <v>42</v>
      </c>
      <c r="O506" s="10">
        <v>3</v>
      </c>
      <c r="P506" s="10" t="s">
        <v>42</v>
      </c>
      <c r="Q506" s="10" t="s">
        <v>101</v>
      </c>
      <c r="R506" s="10" t="s">
        <v>5842</v>
      </c>
      <c r="S506" s="10" t="s">
        <v>245</v>
      </c>
      <c r="T506" s="10" t="s">
        <v>42</v>
      </c>
      <c r="U506" s="10">
        <v>138</v>
      </c>
      <c r="V506" s="10">
        <v>366</v>
      </c>
      <c r="W506" s="10">
        <v>229</v>
      </c>
      <c r="X506" s="10" t="s">
        <v>248</v>
      </c>
      <c r="Y506" s="10" t="s">
        <v>5847</v>
      </c>
      <c r="Z506" s="10" t="s">
        <v>90</v>
      </c>
      <c r="AA506" s="10" t="s">
        <v>250</v>
      </c>
      <c r="AB506" s="10" t="s">
        <v>5848</v>
      </c>
      <c r="AC506" s="10" t="s">
        <v>252</v>
      </c>
      <c r="AD506" s="10" t="s">
        <v>101</v>
      </c>
      <c r="AE506" s="10">
        <v>2700</v>
      </c>
      <c r="AF506" s="10" t="s">
        <v>253</v>
      </c>
      <c r="AG506" s="44"/>
      <c r="AH506" s="44"/>
      <c r="AI506" s="44" t="s">
        <v>6052</v>
      </c>
      <c r="AJ506" s="44" t="s">
        <v>6058</v>
      </c>
      <c r="AK506" s="44" t="s">
        <v>6052</v>
      </c>
      <c r="AL506" s="44" t="s">
        <v>6052</v>
      </c>
      <c r="AM506" s="44" t="s">
        <v>6052</v>
      </c>
      <c r="AN506" s="44" t="s">
        <v>32398</v>
      </c>
      <c r="AO506" s="45">
        <v>11</v>
      </c>
      <c r="AP506" s="45">
        <v>1</v>
      </c>
      <c r="AQ506" s="45">
        <v>1</v>
      </c>
      <c r="AR506" s="45">
        <v>1</v>
      </c>
      <c r="AS506" s="45">
        <v>0</v>
      </c>
      <c r="AT506" s="45">
        <v>0</v>
      </c>
      <c r="AU506" s="10" t="s">
        <v>32399</v>
      </c>
      <c r="AV506" s="10" t="s">
        <v>32400</v>
      </c>
      <c r="AW506" s="10" t="s">
        <v>6052</v>
      </c>
      <c r="AX506" s="10" t="s">
        <v>6052</v>
      </c>
      <c r="AY506" s="10" t="s">
        <v>32271</v>
      </c>
      <c r="AZ506" s="44" t="s">
        <v>33116</v>
      </c>
      <c r="BA506" s="44" t="s">
        <v>30870</v>
      </c>
      <c r="BB506" s="44" t="s">
        <v>31268</v>
      </c>
      <c r="BC506" s="44" t="s">
        <v>6564</v>
      </c>
      <c r="BD506" s="44" t="s">
        <v>31710</v>
      </c>
      <c r="BE506" s="11">
        <v>1</v>
      </c>
      <c r="BF506" s="11">
        <v>1</v>
      </c>
      <c r="BG506" s="11">
        <v>0</v>
      </c>
      <c r="BH506" s="10" t="s">
        <v>31812</v>
      </c>
      <c r="BI506" s="11">
        <v>100</v>
      </c>
      <c r="BJ506" s="10" t="s">
        <v>33162</v>
      </c>
      <c r="BK506" s="11" t="s">
        <v>33162</v>
      </c>
    </row>
    <row r="507" spans="1:63" x14ac:dyDescent="0.75">
      <c r="A507" t="s">
        <v>5455</v>
      </c>
      <c r="B507" t="s">
        <v>104</v>
      </c>
      <c r="C507" t="s">
        <v>623</v>
      </c>
      <c r="D507" t="s">
        <v>624</v>
      </c>
      <c r="E507" s="22" t="s">
        <v>30844</v>
      </c>
      <c r="F507" t="s">
        <v>5456</v>
      </c>
      <c r="G507" s="1" t="str">
        <f>HYPERLINK("https://homd.org/jbrowse/?data=homd_V11.02_phage_1.2%2FGCA_905372425.1&amp;loc=GCA_905372425.1%7CCAJPPA010000007.1%3A29141..36850&amp;tracks=prokka,prokka_ncrna,ncbi,ncbi_ncrna,panggolin,cenote,genomad&amp;highlight=","Open JBrowse")</f>
        <v>Open JBrowse</v>
      </c>
      <c r="H507" s="10">
        <v>32141</v>
      </c>
      <c r="I507" s="10">
        <v>33850</v>
      </c>
      <c r="J507" s="10" t="s">
        <v>5457</v>
      </c>
      <c r="K507" s="10" t="s">
        <v>627</v>
      </c>
      <c r="L507" s="10" t="s">
        <v>628</v>
      </c>
      <c r="M507" s="10" t="s">
        <v>629</v>
      </c>
      <c r="N507" s="10" t="s">
        <v>42</v>
      </c>
      <c r="O507" s="10">
        <v>3</v>
      </c>
      <c r="P507" s="10" t="s">
        <v>630</v>
      </c>
      <c r="Q507" s="10" t="s">
        <v>43</v>
      </c>
      <c r="R507" s="10" t="s">
        <v>5458</v>
      </c>
      <c r="S507" s="10" t="s">
        <v>632</v>
      </c>
      <c r="T507" s="10" t="s">
        <v>42</v>
      </c>
      <c r="U507" s="10">
        <v>305</v>
      </c>
      <c r="V507" s="10">
        <v>564</v>
      </c>
      <c r="W507" s="10">
        <v>260</v>
      </c>
      <c r="X507" s="10" t="s">
        <v>633</v>
      </c>
      <c r="Y507" s="10" t="s">
        <v>5459</v>
      </c>
      <c r="Z507" s="10" t="s">
        <v>2007</v>
      </c>
      <c r="AA507" s="10" t="s">
        <v>5460</v>
      </c>
      <c r="AB507" s="10" t="s">
        <v>5461</v>
      </c>
      <c r="AC507" s="10" t="s">
        <v>4582</v>
      </c>
      <c r="AD507" s="10" t="s">
        <v>4583</v>
      </c>
      <c r="AE507" s="10">
        <v>3488</v>
      </c>
      <c r="AF507" s="10" t="s">
        <v>5462</v>
      </c>
      <c r="AG507" s="44"/>
      <c r="AH507" s="44"/>
      <c r="AI507" s="44" t="s">
        <v>6052</v>
      </c>
      <c r="AJ507" s="44" t="s">
        <v>6058</v>
      </c>
      <c r="AK507" s="44" t="s">
        <v>6052</v>
      </c>
      <c r="AL507" s="44" t="s">
        <v>6052</v>
      </c>
      <c r="AM507" s="44" t="s">
        <v>6052</v>
      </c>
      <c r="AN507" s="44" t="s">
        <v>32391</v>
      </c>
      <c r="AO507" s="45">
        <v>11</v>
      </c>
      <c r="AP507" s="45">
        <v>1</v>
      </c>
      <c r="AQ507" s="45">
        <v>2</v>
      </c>
      <c r="AR507" s="45">
        <v>2</v>
      </c>
      <c r="AS507" s="45">
        <v>0</v>
      </c>
      <c r="AT507" s="45">
        <v>0</v>
      </c>
      <c r="AU507" s="10" t="s">
        <v>32392</v>
      </c>
      <c r="AV507" s="10" t="s">
        <v>32393</v>
      </c>
      <c r="AW507" s="10" t="s">
        <v>6052</v>
      </c>
      <c r="AX507" s="10" t="s">
        <v>6052</v>
      </c>
      <c r="AY507" s="10" t="s">
        <v>32394</v>
      </c>
      <c r="AZ507" s="44" t="s">
        <v>33116</v>
      </c>
      <c r="BA507" s="44" t="s">
        <v>30878</v>
      </c>
      <c r="BB507" s="44" t="s">
        <v>31266</v>
      </c>
      <c r="BC507" s="44" t="s">
        <v>6564</v>
      </c>
      <c r="BD507" s="44" t="s">
        <v>31710</v>
      </c>
      <c r="BE507" s="11">
        <v>1</v>
      </c>
      <c r="BF507" s="11">
        <v>1</v>
      </c>
      <c r="BG507" s="11">
        <v>0</v>
      </c>
      <c r="BH507" s="10" t="s">
        <v>32070</v>
      </c>
      <c r="BI507" s="11">
        <v>100</v>
      </c>
      <c r="BJ507" s="10" t="s">
        <v>33162</v>
      </c>
      <c r="BK507" s="11" t="s">
        <v>33162</v>
      </c>
    </row>
    <row r="508" spans="1:63" x14ac:dyDescent="0.75">
      <c r="A508" t="s">
        <v>5789</v>
      </c>
      <c r="B508" t="s">
        <v>104</v>
      </c>
      <c r="C508" t="s">
        <v>623</v>
      </c>
      <c r="D508" t="s">
        <v>624</v>
      </c>
      <c r="E508" s="22" t="s">
        <v>30844</v>
      </c>
      <c r="F508" t="s">
        <v>5790</v>
      </c>
      <c r="G508" s="1" t="str">
        <f>HYPERLINK("https://homd.org/jbrowse/?data=homd_V11.02_phage_1.2%2FGCA_937927175.1&amp;loc=GCA_937927175.1%7CCALBBY010000160.1%3A4150..11859&amp;tracks=prokka,prokka_ncrna,ncbi,ncbi_ncrna,panggolin,cenote,genomad&amp;highlight=","Open JBrowse")</f>
        <v>Open JBrowse</v>
      </c>
      <c r="H508" s="10">
        <v>7150</v>
      </c>
      <c r="I508" s="10">
        <v>8859</v>
      </c>
      <c r="J508" s="10" t="s">
        <v>5791</v>
      </c>
      <c r="K508" s="10" t="s">
        <v>627</v>
      </c>
      <c r="L508" s="10" t="s">
        <v>628</v>
      </c>
      <c r="M508" s="10" t="s">
        <v>629</v>
      </c>
      <c r="N508" s="10" t="s">
        <v>42</v>
      </c>
      <c r="O508" s="10">
        <v>3</v>
      </c>
      <c r="P508" s="10" t="s">
        <v>630</v>
      </c>
      <c r="Q508" s="10" t="s">
        <v>43</v>
      </c>
      <c r="R508" s="10" t="s">
        <v>5792</v>
      </c>
      <c r="S508" s="10" t="s">
        <v>632</v>
      </c>
      <c r="T508" s="10" t="s">
        <v>42</v>
      </c>
      <c r="U508" s="10">
        <v>305</v>
      </c>
      <c r="V508" s="10">
        <v>564</v>
      </c>
      <c r="W508" s="10">
        <v>260</v>
      </c>
      <c r="X508" s="10" t="s">
        <v>633</v>
      </c>
      <c r="Y508" s="10" t="s">
        <v>5793</v>
      </c>
      <c r="Z508" s="10" t="s">
        <v>1710</v>
      </c>
      <c r="AA508" s="10" t="s">
        <v>5794</v>
      </c>
      <c r="AB508" s="10" t="s">
        <v>5795</v>
      </c>
      <c r="AC508" s="10" t="s">
        <v>4582</v>
      </c>
      <c r="AD508" s="10" t="s">
        <v>4583</v>
      </c>
      <c r="AE508" s="10">
        <v>3495</v>
      </c>
      <c r="AF508" s="10" t="s">
        <v>5462</v>
      </c>
      <c r="AG508" s="44"/>
      <c r="AH508" s="44"/>
      <c r="AI508" s="44" t="s">
        <v>6052</v>
      </c>
      <c r="AJ508" s="44" t="s">
        <v>6058</v>
      </c>
      <c r="AK508" s="44" t="s">
        <v>6052</v>
      </c>
      <c r="AL508" s="44" t="s">
        <v>6052</v>
      </c>
      <c r="AM508" s="44" t="s">
        <v>6052</v>
      </c>
      <c r="AN508" s="44" t="s">
        <v>32420</v>
      </c>
      <c r="AO508" s="45">
        <v>11</v>
      </c>
      <c r="AP508" s="45">
        <v>1</v>
      </c>
      <c r="AQ508" s="45">
        <v>2</v>
      </c>
      <c r="AR508" s="45">
        <v>2</v>
      </c>
      <c r="AS508" s="45">
        <v>0</v>
      </c>
      <c r="AT508" s="45">
        <v>0</v>
      </c>
      <c r="AU508" s="10" t="s">
        <v>32421</v>
      </c>
      <c r="AV508" s="10" t="s">
        <v>32422</v>
      </c>
      <c r="AW508" s="10" t="s">
        <v>6052</v>
      </c>
      <c r="AX508" s="10" t="s">
        <v>6052</v>
      </c>
      <c r="AY508" s="10" t="s">
        <v>32394</v>
      </c>
      <c r="AZ508" s="44" t="s">
        <v>33116</v>
      </c>
      <c r="BA508" s="44" t="s">
        <v>30878</v>
      </c>
      <c r="BB508" s="44" t="s">
        <v>31275</v>
      </c>
      <c r="BC508" s="44" t="s">
        <v>6564</v>
      </c>
      <c r="BD508" s="44" t="s">
        <v>31710</v>
      </c>
      <c r="BE508" s="11">
        <v>1</v>
      </c>
      <c r="BF508" s="11">
        <v>1</v>
      </c>
      <c r="BG508" s="11">
        <v>0</v>
      </c>
      <c r="BH508" s="10" t="s">
        <v>32088</v>
      </c>
      <c r="BI508" s="11">
        <v>100</v>
      </c>
      <c r="BJ508" s="10" t="s">
        <v>33162</v>
      </c>
      <c r="BK508" s="11" t="s">
        <v>33162</v>
      </c>
    </row>
    <row r="509" spans="1:63" x14ac:dyDescent="0.75">
      <c r="A509" t="s">
        <v>3783</v>
      </c>
      <c r="B509" t="s">
        <v>104</v>
      </c>
      <c r="C509" t="s">
        <v>241</v>
      </c>
      <c r="D509" t="s">
        <v>242</v>
      </c>
      <c r="E509" s="22" t="s">
        <v>21289</v>
      </c>
      <c r="F509" t="s">
        <v>3784</v>
      </c>
      <c r="G509" s="1" t="str">
        <f>HYPERLINK("https://homd.org/jbrowse/?data=homd_V11.02_phage_1.2%2FGCA_019391755.1&amp;loc=GCA_019391755.1%7CJAHXQX010000002.1%3A164869..171975&amp;tracks=prokka,prokka_ncrna,ncbi,ncbi_ncrna,panggolin,cenote,genomad&amp;highlight=","Open JBrowse")</f>
        <v>Open JBrowse</v>
      </c>
      <c r="H509" s="10">
        <v>167869</v>
      </c>
      <c r="I509" s="10">
        <v>168975</v>
      </c>
      <c r="J509" s="10" t="s">
        <v>3785</v>
      </c>
      <c r="K509" s="10" t="s">
        <v>109</v>
      </c>
      <c r="L509" s="10" t="s">
        <v>245</v>
      </c>
      <c r="M509" s="10" t="s">
        <v>246</v>
      </c>
      <c r="N509" s="10" t="s">
        <v>42</v>
      </c>
      <c r="O509" s="10">
        <v>3</v>
      </c>
      <c r="P509" s="10" t="s">
        <v>42</v>
      </c>
      <c r="Q509" s="10" t="s">
        <v>101</v>
      </c>
      <c r="R509" s="10" t="s">
        <v>3786</v>
      </c>
      <c r="S509" s="10" t="s">
        <v>245</v>
      </c>
      <c r="T509" s="10" t="s">
        <v>42</v>
      </c>
      <c r="U509" s="10">
        <v>138</v>
      </c>
      <c r="V509" s="10">
        <v>366</v>
      </c>
      <c r="W509" s="10">
        <v>229</v>
      </c>
      <c r="X509" s="10" t="s">
        <v>248</v>
      </c>
      <c r="Y509" s="10" t="s">
        <v>3787</v>
      </c>
      <c r="Z509" s="10" t="s">
        <v>1948</v>
      </c>
      <c r="AA509" s="10" t="s">
        <v>992</v>
      </c>
      <c r="AB509" s="10" t="s">
        <v>3788</v>
      </c>
      <c r="AC509" s="10" t="s">
        <v>252</v>
      </c>
      <c r="AD509" s="10" t="s">
        <v>101</v>
      </c>
      <c r="AE509" s="10">
        <v>2700</v>
      </c>
      <c r="AF509" s="10" t="s">
        <v>3789</v>
      </c>
      <c r="AG509" s="44"/>
      <c r="AH509" s="44"/>
      <c r="AI509" s="44" t="s">
        <v>6052</v>
      </c>
      <c r="AJ509" s="44" t="s">
        <v>6058</v>
      </c>
      <c r="AK509" s="44" t="s">
        <v>6052</v>
      </c>
      <c r="AL509" s="44" t="s">
        <v>6052</v>
      </c>
      <c r="AM509" s="44" t="s">
        <v>6052</v>
      </c>
      <c r="AN509" s="44" t="s">
        <v>33022</v>
      </c>
      <c r="AO509" s="45">
        <v>11</v>
      </c>
      <c r="AP509" s="45">
        <v>1</v>
      </c>
      <c r="AQ509" s="45">
        <v>1</v>
      </c>
      <c r="AR509" s="45">
        <v>1</v>
      </c>
      <c r="AS509" s="45">
        <v>0</v>
      </c>
      <c r="AT509" s="45">
        <v>0</v>
      </c>
      <c r="AU509" s="10" t="s">
        <v>33023</v>
      </c>
      <c r="AV509" s="10" t="s">
        <v>33024</v>
      </c>
      <c r="AW509" s="10" t="s">
        <v>6052</v>
      </c>
      <c r="AX509" s="10" t="s">
        <v>6052</v>
      </c>
      <c r="AY509" s="10" t="s">
        <v>32407</v>
      </c>
      <c r="AZ509" s="44" t="s">
        <v>33116</v>
      </c>
      <c r="BA509" s="44" t="s">
        <v>31128</v>
      </c>
      <c r="BB509" s="44" t="s">
        <v>31645</v>
      </c>
      <c r="BC509" s="44" t="s">
        <v>6564</v>
      </c>
      <c r="BD509" s="44" t="s">
        <v>31710</v>
      </c>
      <c r="BE509" s="11">
        <v>1</v>
      </c>
      <c r="BF509" s="11">
        <v>1</v>
      </c>
      <c r="BG509" s="11">
        <v>0</v>
      </c>
      <c r="BH509" s="10" t="s">
        <v>31804</v>
      </c>
      <c r="BI509" s="11">
        <v>100</v>
      </c>
      <c r="BJ509" s="10" t="s">
        <v>33554</v>
      </c>
      <c r="BK509" s="11">
        <v>100</v>
      </c>
    </row>
    <row r="510" spans="1:63" x14ac:dyDescent="0.75">
      <c r="A510" t="s">
        <v>3623</v>
      </c>
      <c r="B510" t="s">
        <v>104</v>
      </c>
      <c r="C510" t="s">
        <v>241</v>
      </c>
      <c r="D510" t="s">
        <v>242</v>
      </c>
      <c r="E510" s="22" t="s">
        <v>30844</v>
      </c>
      <c r="F510" t="s">
        <v>3630</v>
      </c>
      <c r="G510" s="1" t="str">
        <f>HYPERLINK("https://homd.org/jbrowse/?data=homd_V11.02_phage_1.2%2FGCA_018372275.1&amp;loc=GCA_018372275.1%7CJAHAJI010000009.1%3A87498..94604&amp;tracks=prokka,prokka_ncrna,ncbi,ncbi_ncrna,panggolin,cenote,genomad&amp;highlight=","Open JBrowse")</f>
        <v>Open JBrowse</v>
      </c>
      <c r="H510" s="10">
        <v>90498</v>
      </c>
      <c r="I510" s="10">
        <v>91604</v>
      </c>
      <c r="J510" s="10" t="s">
        <v>3631</v>
      </c>
      <c r="K510" s="10" t="s">
        <v>109</v>
      </c>
      <c r="L510" s="10" t="s">
        <v>245</v>
      </c>
      <c r="M510" s="10" t="s">
        <v>246</v>
      </c>
      <c r="N510" s="10" t="s">
        <v>42</v>
      </c>
      <c r="O510" s="10">
        <v>3</v>
      </c>
      <c r="P510" s="10" t="s">
        <v>42</v>
      </c>
      <c r="Q510" s="10" t="s">
        <v>101</v>
      </c>
      <c r="R510" s="10" t="s">
        <v>3626</v>
      </c>
      <c r="S510" s="10" t="s">
        <v>245</v>
      </c>
      <c r="T510" s="10" t="s">
        <v>42</v>
      </c>
      <c r="U510" s="10">
        <v>138</v>
      </c>
      <c r="V510" s="10">
        <v>366</v>
      </c>
      <c r="W510" s="10">
        <v>229</v>
      </c>
      <c r="X510" s="10" t="s">
        <v>248</v>
      </c>
      <c r="Y510" s="10" t="s">
        <v>3632</v>
      </c>
      <c r="Z510" s="10" t="s">
        <v>416</v>
      </c>
      <c r="AA510" s="10" t="s">
        <v>250</v>
      </c>
      <c r="AB510" s="10" t="s">
        <v>3633</v>
      </c>
      <c r="AC510" s="10" t="s">
        <v>252</v>
      </c>
      <c r="AD510" s="10" t="s">
        <v>101</v>
      </c>
      <c r="AE510" s="10">
        <v>2694</v>
      </c>
      <c r="AF510" s="10" t="s">
        <v>253</v>
      </c>
      <c r="AG510" s="44"/>
      <c r="AH510" s="44"/>
      <c r="AI510" s="44" t="s">
        <v>6052</v>
      </c>
      <c r="AJ510" s="44" t="s">
        <v>6058</v>
      </c>
      <c r="AK510" s="44" t="s">
        <v>6052</v>
      </c>
      <c r="AL510" s="44" t="s">
        <v>6052</v>
      </c>
      <c r="AM510" s="44" t="s">
        <v>6052</v>
      </c>
      <c r="AN510" s="44" t="s">
        <v>32408</v>
      </c>
      <c r="AO510" s="45">
        <v>11</v>
      </c>
      <c r="AP510" s="45">
        <v>1</v>
      </c>
      <c r="AQ510" s="45">
        <v>1</v>
      </c>
      <c r="AR510" s="45">
        <v>1</v>
      </c>
      <c r="AS510" s="45">
        <v>0</v>
      </c>
      <c r="AT510" s="45">
        <v>0</v>
      </c>
      <c r="AU510" s="10" t="s">
        <v>32409</v>
      </c>
      <c r="AV510" s="10" t="s">
        <v>32410</v>
      </c>
      <c r="AW510" s="10" t="s">
        <v>6052</v>
      </c>
      <c r="AX510" s="10" t="s">
        <v>6052</v>
      </c>
      <c r="AY510" s="10" t="s">
        <v>32271</v>
      </c>
      <c r="AZ510" s="44" t="s">
        <v>33116</v>
      </c>
      <c r="BA510" s="44" t="s">
        <v>30870</v>
      </c>
      <c r="BB510" s="44" t="s">
        <v>31271</v>
      </c>
      <c r="BC510" s="44" t="s">
        <v>6564</v>
      </c>
      <c r="BD510" s="44" t="s">
        <v>31710</v>
      </c>
      <c r="BE510" s="11">
        <v>1</v>
      </c>
      <c r="BF510" s="11">
        <v>1</v>
      </c>
      <c r="BG510" s="11">
        <v>0</v>
      </c>
      <c r="BH510" s="10" t="s">
        <v>31815</v>
      </c>
      <c r="BI510" s="11">
        <v>100</v>
      </c>
      <c r="BJ510" s="10" t="s">
        <v>33553</v>
      </c>
      <c r="BK510" s="11">
        <v>100</v>
      </c>
    </row>
    <row r="511" spans="1:63" x14ac:dyDescent="0.75">
      <c r="A511" t="s">
        <v>3310</v>
      </c>
      <c r="B511" t="s">
        <v>104</v>
      </c>
      <c r="C511" t="s">
        <v>2048</v>
      </c>
      <c r="D511" t="s">
        <v>2049</v>
      </c>
      <c r="E511" s="22" t="s">
        <v>20493</v>
      </c>
      <c r="F511" t="s">
        <v>3311</v>
      </c>
      <c r="G511" s="1" t="str">
        <f>HYPERLINK("https://homd.org/jbrowse/?data=homd_V11.02_phage_1.2%2FGCA_017426725.1&amp;loc=GCA_017426725.1%7CJAERMS010000038.1%3A8686..15549&amp;tracks=prokka,prokka_ncrna,ncbi,ncbi_ncrna,panggolin,cenote,genomad&amp;highlight=","Open JBrowse")</f>
        <v>Open JBrowse</v>
      </c>
      <c r="H511" s="10">
        <v>11686</v>
      </c>
      <c r="I511" s="10">
        <v>12549</v>
      </c>
      <c r="J511" s="10" t="s">
        <v>3312</v>
      </c>
      <c r="K511" s="10" t="s">
        <v>59</v>
      </c>
      <c r="L511" s="10" t="s">
        <v>952</v>
      </c>
      <c r="M511" s="10" t="s">
        <v>953</v>
      </c>
      <c r="N511" s="10" t="s">
        <v>42</v>
      </c>
      <c r="O511" s="10">
        <v>3</v>
      </c>
      <c r="P511" s="10" t="s">
        <v>42</v>
      </c>
      <c r="Q511" s="10" t="s">
        <v>59</v>
      </c>
      <c r="R511" s="10" t="s">
        <v>3313</v>
      </c>
      <c r="S511" s="10" t="s">
        <v>952</v>
      </c>
      <c r="T511" s="10" t="s">
        <v>42</v>
      </c>
      <c r="U511" s="10">
        <v>51</v>
      </c>
      <c r="V511" s="10">
        <v>284</v>
      </c>
      <c r="W511" s="10">
        <v>234</v>
      </c>
      <c r="X511" s="10" t="s">
        <v>63</v>
      </c>
      <c r="Y511" s="10" t="s">
        <v>3314</v>
      </c>
      <c r="Z511" s="10" t="s">
        <v>1159</v>
      </c>
      <c r="AA511" s="10" t="s">
        <v>2054</v>
      </c>
      <c r="AB511" s="10" t="s">
        <v>3315</v>
      </c>
      <c r="AC511" s="10" t="s">
        <v>589</v>
      </c>
      <c r="AD511" s="10" t="s">
        <v>101</v>
      </c>
      <c r="AE511" s="10">
        <v>591</v>
      </c>
      <c r="AF511" s="10" t="s">
        <v>386</v>
      </c>
      <c r="AG511" s="44"/>
      <c r="AH511" s="44"/>
      <c r="AI511" s="44" t="s">
        <v>6052</v>
      </c>
      <c r="AJ511" s="44" t="s">
        <v>6059</v>
      </c>
      <c r="AK511" s="44" t="s">
        <v>6052</v>
      </c>
      <c r="AL511" s="44" t="s">
        <v>6052</v>
      </c>
      <c r="AM511" s="44" t="s">
        <v>6052</v>
      </c>
      <c r="AN511" s="44" t="s">
        <v>32495</v>
      </c>
      <c r="AO511" s="45">
        <v>11</v>
      </c>
      <c r="AP511" s="45">
        <v>1</v>
      </c>
      <c r="AQ511" s="45">
        <v>1</v>
      </c>
      <c r="AR511" s="45">
        <v>1</v>
      </c>
      <c r="AS511" s="45">
        <v>0</v>
      </c>
      <c r="AT511" s="45">
        <v>0</v>
      </c>
      <c r="AU511" s="10" t="s">
        <v>32496</v>
      </c>
      <c r="AV511" s="10" t="s">
        <v>32497</v>
      </c>
      <c r="AW511" s="10" t="s">
        <v>6052</v>
      </c>
      <c r="AX511" s="10" t="s">
        <v>6052</v>
      </c>
      <c r="AY511" s="10" t="s">
        <v>32432</v>
      </c>
      <c r="AZ511" s="44" t="s">
        <v>33116</v>
      </c>
      <c r="BA511" s="44" t="s">
        <v>30889</v>
      </c>
      <c r="BB511" s="44" t="s">
        <v>31300</v>
      </c>
      <c r="BC511" s="44" t="s">
        <v>6594</v>
      </c>
      <c r="BD511" s="44" t="s">
        <v>31708</v>
      </c>
      <c r="BE511" s="11">
        <v>1</v>
      </c>
      <c r="BF511" s="11">
        <v>1</v>
      </c>
      <c r="BG511" s="11">
        <v>0</v>
      </c>
      <c r="BH511" s="10" t="s">
        <v>31742</v>
      </c>
      <c r="BI511" s="11">
        <v>100</v>
      </c>
      <c r="BJ511" s="10" t="s">
        <v>33544</v>
      </c>
      <c r="BK511" s="11">
        <v>100</v>
      </c>
    </row>
    <row r="512" spans="1:63" x14ac:dyDescent="0.75">
      <c r="A512" t="s">
        <v>3215</v>
      </c>
      <c r="B512" t="s">
        <v>104</v>
      </c>
      <c r="C512" t="s">
        <v>814</v>
      </c>
      <c r="D512" t="s">
        <v>815</v>
      </c>
      <c r="E512" s="22" t="s">
        <v>20289</v>
      </c>
      <c r="F512" t="s">
        <v>3216</v>
      </c>
      <c r="G512" s="1" t="str">
        <f>HYPERLINK("https://homd.org/jbrowse/?data=homd_V11.02_phage_1.2%2FGCA_016806965.1&amp;loc=GCA_016806965.1%7CJAESPH010000002.1%3A394590..402233&amp;tracks=prokka,prokka_ncrna,ncbi,ncbi_ncrna,panggolin,cenote,genomad&amp;highlight=","Open JBrowse")</f>
        <v>Open JBrowse</v>
      </c>
      <c r="H512" s="10">
        <v>397590</v>
      </c>
      <c r="I512" s="10">
        <v>399233</v>
      </c>
      <c r="J512" s="10" t="s">
        <v>3219</v>
      </c>
      <c r="K512" s="10" t="s">
        <v>109</v>
      </c>
      <c r="L512" s="10" t="s">
        <v>110</v>
      </c>
      <c r="M512" s="10" t="s">
        <v>333</v>
      </c>
      <c r="N512" s="10" t="s">
        <v>112</v>
      </c>
      <c r="O512" s="10">
        <v>3</v>
      </c>
      <c r="P512" s="10" t="s">
        <v>113</v>
      </c>
      <c r="Q512" s="10" t="s">
        <v>101</v>
      </c>
      <c r="R512" s="10" t="s">
        <v>3218</v>
      </c>
      <c r="S512" s="10" t="s">
        <v>115</v>
      </c>
      <c r="T512" s="10" t="s">
        <v>42</v>
      </c>
      <c r="U512" s="10">
        <v>322</v>
      </c>
      <c r="V512" s="10">
        <v>546</v>
      </c>
      <c r="W512" s="10">
        <v>225</v>
      </c>
      <c r="X512" s="10" t="s">
        <v>116</v>
      </c>
      <c r="Y512" s="10" t="s">
        <v>3220</v>
      </c>
      <c r="Z512" s="10" t="s">
        <v>357</v>
      </c>
      <c r="AA512" s="10" t="s">
        <v>3213</v>
      </c>
      <c r="AB512" s="10" t="s">
        <v>3221</v>
      </c>
      <c r="AC512" s="10" t="s">
        <v>339</v>
      </c>
      <c r="AD512" s="10" t="s">
        <v>101</v>
      </c>
      <c r="AE512" s="10">
        <v>3481</v>
      </c>
      <c r="AF512" s="10" t="s">
        <v>656</v>
      </c>
      <c r="AG512" s="44"/>
      <c r="AH512" s="44"/>
      <c r="AI512" s="44" t="s">
        <v>6052</v>
      </c>
      <c r="AJ512" s="44" t="s">
        <v>6058</v>
      </c>
      <c r="AK512" s="44" t="s">
        <v>6063</v>
      </c>
      <c r="AL512" s="44" t="s">
        <v>6052</v>
      </c>
      <c r="AM512" s="44" t="s">
        <v>6052</v>
      </c>
      <c r="AN512" s="44" t="s">
        <v>32510</v>
      </c>
      <c r="AO512" s="45">
        <v>11</v>
      </c>
      <c r="AP512" s="45">
        <v>1</v>
      </c>
      <c r="AQ512" s="45">
        <v>1</v>
      </c>
      <c r="AR512" s="45">
        <v>1</v>
      </c>
      <c r="AS512" s="45">
        <v>0</v>
      </c>
      <c r="AT512" s="45">
        <v>0</v>
      </c>
      <c r="AU512" s="10" t="s">
        <v>32511</v>
      </c>
      <c r="AV512" s="10" t="s">
        <v>32512</v>
      </c>
      <c r="AW512" s="10" t="s">
        <v>6052</v>
      </c>
      <c r="AX512" s="10" t="s">
        <v>6052</v>
      </c>
      <c r="AY512" s="10" t="s">
        <v>32407</v>
      </c>
      <c r="AZ512" s="44" t="s">
        <v>33116</v>
      </c>
      <c r="BA512" s="44" t="s">
        <v>30893</v>
      </c>
      <c r="BB512" s="44" t="s">
        <v>31309</v>
      </c>
      <c r="BC512" s="44" t="s">
        <v>6415</v>
      </c>
      <c r="BD512" s="44" t="s">
        <v>31707</v>
      </c>
      <c r="BE512" s="11">
        <v>1</v>
      </c>
      <c r="BF512" s="11">
        <v>1</v>
      </c>
      <c r="BG512" s="11">
        <v>0</v>
      </c>
      <c r="BH512" s="10" t="s">
        <v>31780</v>
      </c>
      <c r="BI512" s="11">
        <v>100</v>
      </c>
      <c r="BJ512" s="10" t="s">
        <v>33529</v>
      </c>
      <c r="BK512" s="11">
        <v>100</v>
      </c>
    </row>
    <row r="513" spans="1:63" x14ac:dyDescent="0.75">
      <c r="A513" t="s">
        <v>3235</v>
      </c>
      <c r="B513" t="s">
        <v>104</v>
      </c>
      <c r="C513" t="s">
        <v>814</v>
      </c>
      <c r="D513" t="s">
        <v>815</v>
      </c>
      <c r="E513" s="22" t="s">
        <v>30843</v>
      </c>
      <c r="F513" t="s">
        <v>3236</v>
      </c>
      <c r="G513" s="1" t="str">
        <f>HYPERLINK("https://homd.org/jbrowse/?data=homd_V11.02_phage_1.2%2FGCA_016806995.1&amp;loc=GCA_016806995.1%7CJAESPK010000015.1%3A24665..32308&amp;tracks=prokka,prokka_ncrna,ncbi,ncbi_ncrna,panggolin,cenote,genomad&amp;highlight=","Open JBrowse")</f>
        <v>Open JBrowse</v>
      </c>
      <c r="H513" s="10">
        <v>27665</v>
      </c>
      <c r="I513" s="10">
        <v>29308</v>
      </c>
      <c r="J513" s="10" t="s">
        <v>3237</v>
      </c>
      <c r="K513" s="10" t="s">
        <v>109</v>
      </c>
      <c r="L513" s="10" t="s">
        <v>110</v>
      </c>
      <c r="M513" s="10" t="s">
        <v>333</v>
      </c>
      <c r="N513" s="10" t="s">
        <v>112</v>
      </c>
      <c r="O513" s="10">
        <v>3</v>
      </c>
      <c r="P513" s="10" t="s">
        <v>113</v>
      </c>
      <c r="Q513" s="10" t="s">
        <v>101</v>
      </c>
      <c r="R513" s="10" t="s">
        <v>3238</v>
      </c>
      <c r="S513" s="10" t="s">
        <v>115</v>
      </c>
      <c r="T513" s="10" t="s">
        <v>42</v>
      </c>
      <c r="U513" s="10">
        <v>322</v>
      </c>
      <c r="V513" s="10">
        <v>546</v>
      </c>
      <c r="W513" s="10">
        <v>225</v>
      </c>
      <c r="X513" s="10" t="s">
        <v>116</v>
      </c>
      <c r="Y513" s="10" t="s">
        <v>3239</v>
      </c>
      <c r="Z513" s="10" t="s">
        <v>1327</v>
      </c>
      <c r="AA513" s="10" t="s">
        <v>1742</v>
      </c>
      <c r="AB513" s="10" t="s">
        <v>3240</v>
      </c>
      <c r="AC513" s="10" t="s">
        <v>339</v>
      </c>
      <c r="AD513" s="10" t="s">
        <v>101</v>
      </c>
      <c r="AE513" s="10">
        <v>3477</v>
      </c>
      <c r="AF513" s="10" t="s">
        <v>681</v>
      </c>
      <c r="AG513" s="44"/>
      <c r="AH513" s="44"/>
      <c r="AI513" s="44" t="s">
        <v>6052</v>
      </c>
      <c r="AJ513" s="44" t="s">
        <v>6058</v>
      </c>
      <c r="AK513" s="44" t="s">
        <v>6063</v>
      </c>
      <c r="AL513" s="44" t="s">
        <v>6052</v>
      </c>
      <c r="AM513" s="44" t="s">
        <v>6052</v>
      </c>
      <c r="AN513" s="44" t="s">
        <v>32934</v>
      </c>
      <c r="AO513" s="45">
        <v>11</v>
      </c>
      <c r="AP513" s="45">
        <v>1</v>
      </c>
      <c r="AQ513" s="45">
        <v>1</v>
      </c>
      <c r="AR513" s="45">
        <v>1</v>
      </c>
      <c r="AS513" s="45">
        <v>0</v>
      </c>
      <c r="AT513" s="45">
        <v>0</v>
      </c>
      <c r="AU513" s="10" t="s">
        <v>32935</v>
      </c>
      <c r="AV513" s="10" t="s">
        <v>32936</v>
      </c>
      <c r="AW513" s="10" t="s">
        <v>6052</v>
      </c>
      <c r="AX513" s="10" t="s">
        <v>6052</v>
      </c>
      <c r="AY513" s="10" t="s">
        <v>32271</v>
      </c>
      <c r="AZ513" s="44" t="s">
        <v>33116</v>
      </c>
      <c r="BA513" s="44" t="s">
        <v>31084</v>
      </c>
      <c r="BB513" s="44" t="s">
        <v>31586</v>
      </c>
      <c r="BC513" s="44" t="s">
        <v>6415</v>
      </c>
      <c r="BD513" s="44" t="s">
        <v>31707</v>
      </c>
      <c r="BE513" s="11">
        <v>1</v>
      </c>
      <c r="BF513" s="11">
        <v>1</v>
      </c>
      <c r="BG513" s="11">
        <v>0</v>
      </c>
      <c r="BH513" s="10" t="s">
        <v>31772</v>
      </c>
      <c r="BI513" s="11">
        <v>100</v>
      </c>
      <c r="BJ513" s="10" t="s">
        <v>33532</v>
      </c>
      <c r="BK513" s="11">
        <v>100</v>
      </c>
    </row>
    <row r="514" spans="1:63" x14ac:dyDescent="0.75">
      <c r="A514" t="s">
        <v>3202</v>
      </c>
      <c r="B514" t="s">
        <v>104</v>
      </c>
      <c r="C514" t="s">
        <v>814</v>
      </c>
      <c r="D514" t="s">
        <v>815</v>
      </c>
      <c r="E514" s="22" t="s">
        <v>20287</v>
      </c>
      <c r="F514" t="s">
        <v>3210</v>
      </c>
      <c r="G514" s="1" t="str">
        <f>HYPERLINK("https://homd.org/jbrowse/?data=homd_V11.02_phage_1.2%2FGCA_016806945.1&amp;loc=GCA_016806945.1%7CJAESPJ010000027.1%3A6723..14366&amp;tracks=prokka,prokka_ncrna,ncbi,ncbi_ncrna,panggolin,cenote,genomad&amp;highlight=","Open JBrowse")</f>
        <v>Open JBrowse</v>
      </c>
      <c r="H514" s="10">
        <v>9723</v>
      </c>
      <c r="I514" s="10">
        <v>11366</v>
      </c>
      <c r="J514" s="10" t="s">
        <v>3211</v>
      </c>
      <c r="K514" s="10" t="s">
        <v>109</v>
      </c>
      <c r="L514" s="10" t="s">
        <v>110</v>
      </c>
      <c r="M514" s="10" t="s">
        <v>111</v>
      </c>
      <c r="N514" s="10" t="s">
        <v>112</v>
      </c>
      <c r="O514" s="10">
        <v>3</v>
      </c>
      <c r="P514" s="10" t="s">
        <v>113</v>
      </c>
      <c r="Q514" s="10" t="s">
        <v>101</v>
      </c>
      <c r="R514" s="10" t="s">
        <v>3205</v>
      </c>
      <c r="S514" s="10" t="s">
        <v>115</v>
      </c>
      <c r="T514" s="10" t="s">
        <v>42</v>
      </c>
      <c r="U514" s="10">
        <v>322</v>
      </c>
      <c r="V514" s="10">
        <v>546</v>
      </c>
      <c r="W514" s="10">
        <v>225</v>
      </c>
      <c r="X514" s="10" t="s">
        <v>116</v>
      </c>
      <c r="Y514" s="10" t="s">
        <v>3212</v>
      </c>
      <c r="Z514" s="10" t="s">
        <v>1236</v>
      </c>
      <c r="AA514" s="10" t="s">
        <v>3213</v>
      </c>
      <c r="AB514" s="10" t="s">
        <v>3214</v>
      </c>
      <c r="AC514" s="10" t="s">
        <v>339</v>
      </c>
      <c r="AD514" s="10" t="s">
        <v>101</v>
      </c>
      <c r="AE514" s="10">
        <v>3473</v>
      </c>
      <c r="AF514" s="10" t="s">
        <v>656</v>
      </c>
      <c r="AG514" s="44"/>
      <c r="AH514" s="44"/>
      <c r="AI514" s="44" t="s">
        <v>6052</v>
      </c>
      <c r="AJ514" s="44" t="s">
        <v>6058</v>
      </c>
      <c r="AK514" s="44" t="s">
        <v>6063</v>
      </c>
      <c r="AL514" s="44" t="s">
        <v>6052</v>
      </c>
      <c r="AM514" s="44" t="s">
        <v>6052</v>
      </c>
      <c r="AN514" s="44" t="s">
        <v>32501</v>
      </c>
      <c r="AO514" s="45">
        <v>11</v>
      </c>
      <c r="AP514" s="45">
        <v>1</v>
      </c>
      <c r="AQ514" s="45">
        <v>1</v>
      </c>
      <c r="AR514" s="45">
        <v>1</v>
      </c>
      <c r="AS514" s="45">
        <v>0</v>
      </c>
      <c r="AT514" s="45">
        <v>0</v>
      </c>
      <c r="AU514" s="10" t="s">
        <v>32502</v>
      </c>
      <c r="AV514" s="10" t="s">
        <v>32503</v>
      </c>
      <c r="AW514" s="10" t="s">
        <v>6052</v>
      </c>
      <c r="AX514" s="10" t="s">
        <v>6052</v>
      </c>
      <c r="AY514" s="10" t="s">
        <v>32407</v>
      </c>
      <c r="AZ514" s="44" t="s">
        <v>33116</v>
      </c>
      <c r="BA514" s="44" t="s">
        <v>30891</v>
      </c>
      <c r="BB514" s="44" t="s">
        <v>31304</v>
      </c>
      <c r="BC514" s="44" t="s">
        <v>6415</v>
      </c>
      <c r="BD514" s="44" t="s">
        <v>31707</v>
      </c>
      <c r="BE514" s="11">
        <v>1</v>
      </c>
      <c r="BF514" s="11">
        <v>1</v>
      </c>
      <c r="BG514" s="11">
        <v>0</v>
      </c>
      <c r="BH514" s="10" t="s">
        <v>31789</v>
      </c>
      <c r="BI514" s="11">
        <v>100</v>
      </c>
      <c r="BJ514" s="10" t="s">
        <v>33531</v>
      </c>
      <c r="BK514" s="11">
        <v>100</v>
      </c>
    </row>
    <row r="515" spans="1:63" x14ac:dyDescent="0.75">
      <c r="A515" t="s">
        <v>3226</v>
      </c>
      <c r="B515" t="s">
        <v>104</v>
      </c>
      <c r="C515" t="s">
        <v>814</v>
      </c>
      <c r="D515" t="s">
        <v>815</v>
      </c>
      <c r="E515" s="22" t="s">
        <v>20291</v>
      </c>
      <c r="F515" t="s">
        <v>3227</v>
      </c>
      <c r="G515" s="1" t="str">
        <f>HYPERLINK("https://homd.org/jbrowse/?data=homd_V11.02_phage_1.2%2FGCA_016806985.1&amp;loc=GCA_016806985.1%7CJAESPI010000045.1%3A2049..9692&amp;tracks=prokka,prokka_ncrna,ncbi,ncbi_ncrna,panggolin,cenote,genomad&amp;highlight=","Open JBrowse")</f>
        <v>Open JBrowse</v>
      </c>
      <c r="H515" s="10">
        <v>5049</v>
      </c>
      <c r="I515" s="10">
        <v>6692</v>
      </c>
      <c r="J515" s="10" t="s">
        <v>3228</v>
      </c>
      <c r="K515" s="10" t="s">
        <v>109</v>
      </c>
      <c r="L515" s="10" t="s">
        <v>110</v>
      </c>
      <c r="M515" s="10" t="s">
        <v>333</v>
      </c>
      <c r="N515" s="10" t="s">
        <v>112</v>
      </c>
      <c r="O515" s="10">
        <v>3</v>
      </c>
      <c r="P515" s="10" t="s">
        <v>113</v>
      </c>
      <c r="Q515" s="10" t="s">
        <v>101</v>
      </c>
      <c r="R515" s="10" t="s">
        <v>3229</v>
      </c>
      <c r="S515" s="10" t="s">
        <v>115</v>
      </c>
      <c r="T515" s="10" t="s">
        <v>42</v>
      </c>
      <c r="U515" s="10">
        <v>322</v>
      </c>
      <c r="V515" s="10">
        <v>546</v>
      </c>
      <c r="W515" s="10">
        <v>225</v>
      </c>
      <c r="X515" s="10" t="s">
        <v>116</v>
      </c>
      <c r="Y515" s="10" t="s">
        <v>3230</v>
      </c>
      <c r="Z515" s="10" t="s">
        <v>420</v>
      </c>
      <c r="AA515" s="10" t="s">
        <v>3231</v>
      </c>
      <c r="AB515" s="10" t="s">
        <v>3232</v>
      </c>
      <c r="AC515" s="10" t="s">
        <v>339</v>
      </c>
      <c r="AD515" s="10" t="s">
        <v>101</v>
      </c>
      <c r="AE515" s="10">
        <v>3482</v>
      </c>
      <c r="AF515" s="10" t="s">
        <v>681</v>
      </c>
      <c r="AG515" s="44"/>
      <c r="AH515" s="44"/>
      <c r="AI515" s="44" t="s">
        <v>6052</v>
      </c>
      <c r="AJ515" s="44" t="s">
        <v>6058</v>
      </c>
      <c r="AK515" s="44" t="s">
        <v>6063</v>
      </c>
      <c r="AL515" s="44" t="s">
        <v>6052</v>
      </c>
      <c r="AM515" s="44" t="s">
        <v>6052</v>
      </c>
      <c r="AN515" s="44" t="s">
        <v>32505</v>
      </c>
      <c r="AO515" s="45">
        <v>11</v>
      </c>
      <c r="AP515" s="45">
        <v>1</v>
      </c>
      <c r="AQ515" s="45">
        <v>1</v>
      </c>
      <c r="AR515" s="45">
        <v>1</v>
      </c>
      <c r="AS515" s="45">
        <v>0</v>
      </c>
      <c r="AT515" s="45">
        <v>0</v>
      </c>
      <c r="AU515" s="10" t="s">
        <v>32506</v>
      </c>
      <c r="AV515" s="10" t="s">
        <v>32507</v>
      </c>
      <c r="AW515" s="10" t="s">
        <v>6052</v>
      </c>
      <c r="AX515" s="10" t="s">
        <v>6052</v>
      </c>
      <c r="AY515" s="10" t="s">
        <v>32271</v>
      </c>
      <c r="AZ515" s="44" t="s">
        <v>33116</v>
      </c>
      <c r="BA515" s="44" t="s">
        <v>30892</v>
      </c>
      <c r="BB515" s="44" t="s">
        <v>31306</v>
      </c>
      <c r="BC515" s="44" t="s">
        <v>6415</v>
      </c>
      <c r="BD515" s="44" t="s">
        <v>31707</v>
      </c>
      <c r="BE515" s="11">
        <v>1</v>
      </c>
      <c r="BF515" s="11">
        <v>1</v>
      </c>
      <c r="BG515" s="11">
        <v>0</v>
      </c>
      <c r="BH515" s="10" t="s">
        <v>31774</v>
      </c>
      <c r="BI515" s="11">
        <v>100</v>
      </c>
      <c r="BJ515" s="10" t="s">
        <v>33530</v>
      </c>
      <c r="BK515" s="11">
        <v>100</v>
      </c>
    </row>
    <row r="516" spans="1:63" x14ac:dyDescent="0.75">
      <c r="A516" t="s">
        <v>3247</v>
      </c>
      <c r="B516" t="s">
        <v>104</v>
      </c>
      <c r="C516" t="s">
        <v>814</v>
      </c>
      <c r="D516" t="s">
        <v>815</v>
      </c>
      <c r="E516" s="22" t="s">
        <v>20295</v>
      </c>
      <c r="F516" t="s">
        <v>3254</v>
      </c>
      <c r="G516" s="1" t="str">
        <f>HYPERLINK("https://homd.org/jbrowse/?data=homd_V11.02_phage_1.2%2FGCA_016807025.1&amp;loc=GCA_016807025.1%7CJAEUAH010000007.1%3A39387..47030&amp;tracks=prokka,prokka_ncrna,ncbi,ncbi_ncrna,panggolin,cenote,genomad&amp;highlight=","Open JBrowse")</f>
        <v>Open JBrowse</v>
      </c>
      <c r="H516" s="10">
        <v>42387</v>
      </c>
      <c r="I516" s="10">
        <v>44030</v>
      </c>
      <c r="J516" s="10" t="s">
        <v>3255</v>
      </c>
      <c r="K516" s="10" t="s">
        <v>109</v>
      </c>
      <c r="L516" s="10" t="s">
        <v>110</v>
      </c>
      <c r="M516" s="10" t="s">
        <v>333</v>
      </c>
      <c r="N516" s="10" t="s">
        <v>112</v>
      </c>
      <c r="O516" s="10">
        <v>3</v>
      </c>
      <c r="P516" s="10" t="s">
        <v>113</v>
      </c>
      <c r="Q516" s="10" t="s">
        <v>101</v>
      </c>
      <c r="R516" s="10" t="s">
        <v>3250</v>
      </c>
      <c r="S516" s="10" t="s">
        <v>115</v>
      </c>
      <c r="T516" s="10" t="s">
        <v>42</v>
      </c>
      <c r="U516" s="10">
        <v>322</v>
      </c>
      <c r="V516" s="10">
        <v>546</v>
      </c>
      <c r="W516" s="10">
        <v>225</v>
      </c>
      <c r="X516" s="10" t="s">
        <v>116</v>
      </c>
      <c r="Y516" s="10" t="s">
        <v>3256</v>
      </c>
      <c r="Z516" s="10" t="s">
        <v>1327</v>
      </c>
      <c r="AA516" s="10" t="s">
        <v>1742</v>
      </c>
      <c r="AB516" s="10" t="s">
        <v>3257</v>
      </c>
      <c r="AC516" s="10" t="s">
        <v>339</v>
      </c>
      <c r="AD516" s="10" t="s">
        <v>101</v>
      </c>
      <c r="AE516" s="10">
        <v>3481</v>
      </c>
      <c r="AF516" s="10" t="s">
        <v>681</v>
      </c>
      <c r="AG516" s="44"/>
      <c r="AH516" s="44"/>
      <c r="AI516" s="44" t="s">
        <v>6052</v>
      </c>
      <c r="AJ516" s="44" t="s">
        <v>6058</v>
      </c>
      <c r="AK516" s="44" t="s">
        <v>6063</v>
      </c>
      <c r="AL516" s="44" t="s">
        <v>6052</v>
      </c>
      <c r="AM516" s="44" t="s">
        <v>6052</v>
      </c>
      <c r="AN516" s="44" t="s">
        <v>32515</v>
      </c>
      <c r="AO516" s="45">
        <v>11</v>
      </c>
      <c r="AP516" s="45">
        <v>1</v>
      </c>
      <c r="AQ516" s="45">
        <v>1</v>
      </c>
      <c r="AR516" s="45">
        <v>1</v>
      </c>
      <c r="AS516" s="45">
        <v>0</v>
      </c>
      <c r="AT516" s="45">
        <v>0</v>
      </c>
      <c r="AU516" s="10" t="s">
        <v>32516</v>
      </c>
      <c r="AV516" s="10" t="s">
        <v>32517</v>
      </c>
      <c r="AW516" s="10" t="s">
        <v>6052</v>
      </c>
      <c r="AX516" s="10" t="s">
        <v>6052</v>
      </c>
      <c r="AY516" s="10" t="s">
        <v>32271</v>
      </c>
      <c r="AZ516" s="44" t="s">
        <v>33116</v>
      </c>
      <c r="BA516" s="44" t="s">
        <v>30894</v>
      </c>
      <c r="BB516" s="44" t="s">
        <v>31312</v>
      </c>
      <c r="BC516" s="44" t="s">
        <v>6415</v>
      </c>
      <c r="BD516" s="44" t="s">
        <v>31707</v>
      </c>
      <c r="BE516" s="11">
        <v>1</v>
      </c>
      <c r="BF516" s="11">
        <v>1</v>
      </c>
      <c r="BG516" s="11">
        <v>0</v>
      </c>
      <c r="BH516" s="10" t="s">
        <v>31779</v>
      </c>
      <c r="BI516" s="11">
        <v>100</v>
      </c>
      <c r="BJ516" s="10" t="s">
        <v>33533</v>
      </c>
      <c r="BK516" s="11">
        <v>100</v>
      </c>
    </row>
    <row r="517" spans="1:63" x14ac:dyDescent="0.75">
      <c r="A517" t="s">
        <v>3126</v>
      </c>
      <c r="B517" t="s">
        <v>104</v>
      </c>
      <c r="C517" t="s">
        <v>814</v>
      </c>
      <c r="D517" t="s">
        <v>815</v>
      </c>
      <c r="E517" s="22" t="s">
        <v>20006</v>
      </c>
      <c r="F517" t="s">
        <v>3127</v>
      </c>
      <c r="G517" s="1" t="str">
        <f>HYPERLINK("https://homd.org/jbrowse/?data=homd_V11.02_phage_1.2%2FGCA_016126015.1&amp;loc=GCA_016126015.1%7CJAEFDB010000002.1%3A326630..334273&amp;tracks=prokka,prokka_ncrna,ncbi,ncbi_ncrna,panggolin,cenote,genomad&amp;highlight=","Open JBrowse")</f>
        <v>Open JBrowse</v>
      </c>
      <c r="H517" s="10">
        <v>329630</v>
      </c>
      <c r="I517" s="10">
        <v>331273</v>
      </c>
      <c r="J517" s="10" t="s">
        <v>3132</v>
      </c>
      <c r="K517" s="10" t="s">
        <v>109</v>
      </c>
      <c r="L517" s="10" t="s">
        <v>110</v>
      </c>
      <c r="M517" s="10" t="s">
        <v>111</v>
      </c>
      <c r="N517" s="10" t="s">
        <v>112</v>
      </c>
      <c r="O517" s="10">
        <v>3</v>
      </c>
      <c r="P517" s="10" t="s">
        <v>113</v>
      </c>
      <c r="Q517" s="10" t="s">
        <v>101</v>
      </c>
      <c r="R517" s="10" t="s">
        <v>3129</v>
      </c>
      <c r="S517" s="10" t="s">
        <v>115</v>
      </c>
      <c r="T517" s="10" t="s">
        <v>42</v>
      </c>
      <c r="U517" s="10">
        <v>322</v>
      </c>
      <c r="V517" s="10">
        <v>546</v>
      </c>
      <c r="W517" s="10">
        <v>225</v>
      </c>
      <c r="X517" s="10" t="s">
        <v>116</v>
      </c>
      <c r="Y517" s="10" t="s">
        <v>3133</v>
      </c>
      <c r="Z517" s="10" t="s">
        <v>620</v>
      </c>
      <c r="AA517" s="10" t="s">
        <v>3134</v>
      </c>
      <c r="AB517" s="10" t="s">
        <v>3135</v>
      </c>
      <c r="AC517" s="10" t="s">
        <v>339</v>
      </c>
      <c r="AD517" s="10" t="s">
        <v>101</v>
      </c>
      <c r="AE517" s="10">
        <v>3478</v>
      </c>
      <c r="AF517" s="10" t="s">
        <v>656</v>
      </c>
      <c r="AG517" s="44"/>
      <c r="AH517" s="44"/>
      <c r="AI517" s="44" t="s">
        <v>6052</v>
      </c>
      <c r="AJ517" s="44" t="s">
        <v>6058</v>
      </c>
      <c r="AK517" s="44" t="s">
        <v>6069</v>
      </c>
      <c r="AL517" s="44" t="s">
        <v>6052</v>
      </c>
      <c r="AM517" s="44" t="s">
        <v>6052</v>
      </c>
      <c r="AN517" s="44" t="s">
        <v>32989</v>
      </c>
      <c r="AO517" s="45">
        <v>11</v>
      </c>
      <c r="AP517" s="45">
        <v>1</v>
      </c>
      <c r="AQ517" s="45">
        <v>1</v>
      </c>
      <c r="AR517" s="45">
        <v>1</v>
      </c>
      <c r="AS517" s="45">
        <v>0</v>
      </c>
      <c r="AT517" s="45">
        <v>0</v>
      </c>
      <c r="AU517" s="10" t="s">
        <v>32990</v>
      </c>
      <c r="AV517" s="10" t="s">
        <v>32991</v>
      </c>
      <c r="AW517" s="10" t="s">
        <v>6052</v>
      </c>
      <c r="AX517" s="10" t="s">
        <v>6052</v>
      </c>
      <c r="AY517" s="10" t="s">
        <v>32407</v>
      </c>
      <c r="AZ517" s="44" t="s">
        <v>33116</v>
      </c>
      <c r="BA517" s="44" t="s">
        <v>31100</v>
      </c>
      <c r="BB517" s="44" t="s">
        <v>31615</v>
      </c>
      <c r="BC517" s="44" t="s">
        <v>6415</v>
      </c>
      <c r="BD517" s="44" t="s">
        <v>31707</v>
      </c>
      <c r="BE517" s="11">
        <v>1</v>
      </c>
      <c r="BF517" s="11">
        <v>1</v>
      </c>
      <c r="BG517" s="11">
        <v>0</v>
      </c>
      <c r="BH517" s="10" t="s">
        <v>31778</v>
      </c>
      <c r="BI517" s="11">
        <v>100</v>
      </c>
      <c r="BJ517" s="10" t="s">
        <v>33527</v>
      </c>
      <c r="BK517" s="11">
        <v>100</v>
      </c>
    </row>
    <row r="518" spans="1:63" x14ac:dyDescent="0.75">
      <c r="A518" t="s">
        <v>3140</v>
      </c>
      <c r="B518" t="s">
        <v>104</v>
      </c>
      <c r="C518" t="s">
        <v>814</v>
      </c>
      <c r="D518" t="s">
        <v>815</v>
      </c>
      <c r="E518" s="22">
        <v>51621</v>
      </c>
      <c r="F518" t="s">
        <v>3141</v>
      </c>
      <c r="G518" s="1" t="str">
        <f>HYPERLINK("https://homd.org/jbrowse/?data=homd_V11.02_phage_1.2%2FGCA_016126035.1&amp;loc=GCA_016126035.1%7CJAEFDC010000001.1%3A108867..116510&amp;tracks=prokka,prokka_ncrna,ncbi,ncbi_ncrna,panggolin,cenote,genomad&amp;highlight=","Open JBrowse")</f>
        <v>Open JBrowse</v>
      </c>
      <c r="H518" s="10">
        <v>111867</v>
      </c>
      <c r="I518" s="10">
        <v>113510</v>
      </c>
      <c r="J518" s="10" t="s">
        <v>3142</v>
      </c>
      <c r="K518" s="10" t="s">
        <v>109</v>
      </c>
      <c r="L518" s="10" t="s">
        <v>110</v>
      </c>
      <c r="M518" s="10" t="s">
        <v>333</v>
      </c>
      <c r="N518" s="10" t="s">
        <v>112</v>
      </c>
      <c r="O518" s="10">
        <v>3</v>
      </c>
      <c r="P518" s="10" t="s">
        <v>113</v>
      </c>
      <c r="Q518" s="10" t="s">
        <v>101</v>
      </c>
      <c r="R518" s="10" t="s">
        <v>3143</v>
      </c>
      <c r="S518" s="10" t="s">
        <v>115</v>
      </c>
      <c r="T518" s="10" t="s">
        <v>42</v>
      </c>
      <c r="U518" s="10">
        <v>322</v>
      </c>
      <c r="V518" s="10">
        <v>546</v>
      </c>
      <c r="W518" s="10">
        <v>225</v>
      </c>
      <c r="X518" s="10" t="s">
        <v>116</v>
      </c>
      <c r="Y518" s="10" t="s">
        <v>3144</v>
      </c>
      <c r="Z518" s="10" t="s">
        <v>645</v>
      </c>
      <c r="AA518" s="10" t="s">
        <v>1742</v>
      </c>
      <c r="AB518" s="10" t="s">
        <v>3145</v>
      </c>
      <c r="AC518" s="10" t="s">
        <v>339</v>
      </c>
      <c r="AD518" s="10" t="s">
        <v>101</v>
      </c>
      <c r="AE518" s="10">
        <v>3477</v>
      </c>
      <c r="AF518" s="10" t="s">
        <v>681</v>
      </c>
      <c r="AG518" s="44"/>
      <c r="AH518" s="44"/>
      <c r="AI518" s="44" t="s">
        <v>6052</v>
      </c>
      <c r="AJ518" s="44" t="s">
        <v>6058</v>
      </c>
      <c r="AK518" s="44" t="s">
        <v>6063</v>
      </c>
      <c r="AL518" s="44" t="s">
        <v>6052</v>
      </c>
      <c r="AM518" s="44" t="s">
        <v>6052</v>
      </c>
      <c r="AN518" s="44" t="s">
        <v>32268</v>
      </c>
      <c r="AO518" s="45">
        <v>11</v>
      </c>
      <c r="AP518" s="45">
        <v>1</v>
      </c>
      <c r="AQ518" s="45">
        <v>1</v>
      </c>
      <c r="AR518" s="45">
        <v>1</v>
      </c>
      <c r="AS518" s="45">
        <v>0</v>
      </c>
      <c r="AT518" s="45">
        <v>0</v>
      </c>
      <c r="AU518" s="10" t="s">
        <v>32269</v>
      </c>
      <c r="AV518" s="10" t="s">
        <v>32270</v>
      </c>
      <c r="AW518" s="10" t="s">
        <v>6052</v>
      </c>
      <c r="AX518" s="10" t="s">
        <v>6052</v>
      </c>
      <c r="AY518" s="10" t="s">
        <v>32271</v>
      </c>
      <c r="AZ518" s="44" t="s">
        <v>33116</v>
      </c>
      <c r="BA518" s="44" t="s">
        <v>30847</v>
      </c>
      <c r="BB518" s="44" t="s">
        <v>31166</v>
      </c>
      <c r="BC518" s="44" t="s">
        <v>6415</v>
      </c>
      <c r="BD518" s="44" t="s">
        <v>31707</v>
      </c>
      <c r="BE518" s="11">
        <v>1</v>
      </c>
      <c r="BF518" s="11">
        <v>1</v>
      </c>
      <c r="BG518" s="11">
        <v>0</v>
      </c>
      <c r="BH518" s="10" t="s">
        <v>31769</v>
      </c>
      <c r="BI518" s="11">
        <v>100</v>
      </c>
      <c r="BJ518" s="10" t="s">
        <v>33528</v>
      </c>
      <c r="BK518" s="11">
        <v>100</v>
      </c>
    </row>
    <row r="519" spans="1:63" x14ac:dyDescent="0.75">
      <c r="A519" t="s">
        <v>513</v>
      </c>
      <c r="B519" t="s">
        <v>104</v>
      </c>
      <c r="C519" t="s">
        <v>514</v>
      </c>
      <c r="D519" t="s">
        <v>515</v>
      </c>
      <c r="E519" s="22" t="s">
        <v>7755</v>
      </c>
      <c r="F519" t="s">
        <v>516</v>
      </c>
      <c r="G519" s="1" t="str">
        <f>HYPERLINK("https://homd.org/jbrowse/?data=homd_V11.02_phage_1.2%2FGCA_000213295.2&amp;loc=GCA_000213295.2%7CKN390011.1%3A4042..10878&amp;tracks=prokka,prokka_ncrna,ncbi,ncbi_ncrna,panggolin,cenote,genomad&amp;highlight=","Open JBrowse")</f>
        <v>Open JBrowse</v>
      </c>
      <c r="H519" s="10">
        <v>7042</v>
      </c>
      <c r="I519" s="10">
        <v>7878</v>
      </c>
      <c r="J519" s="10" t="s">
        <v>517</v>
      </c>
      <c r="K519" s="10" t="s">
        <v>39</v>
      </c>
      <c r="L519" s="10" t="s">
        <v>518</v>
      </c>
      <c r="M519" s="10" t="s">
        <v>519</v>
      </c>
      <c r="N519" s="10" t="s">
        <v>42</v>
      </c>
      <c r="O519" s="10">
        <v>3</v>
      </c>
      <c r="P519" s="10" t="s">
        <v>42</v>
      </c>
      <c r="Q519" s="10" t="s">
        <v>43</v>
      </c>
      <c r="R519" s="10" t="s">
        <v>520</v>
      </c>
      <c r="S519" s="10" t="s">
        <v>518</v>
      </c>
      <c r="T519" s="10" t="s">
        <v>42</v>
      </c>
      <c r="U519" s="10">
        <v>47</v>
      </c>
      <c r="V519" s="10">
        <v>274</v>
      </c>
      <c r="W519" s="10">
        <v>228</v>
      </c>
      <c r="X519" s="10" t="s">
        <v>45</v>
      </c>
      <c r="Y519" s="10" t="s">
        <v>521</v>
      </c>
      <c r="Z519" s="10" t="s">
        <v>118</v>
      </c>
      <c r="AA519" s="10" t="s">
        <v>522</v>
      </c>
      <c r="AB519" s="10" t="s">
        <v>523</v>
      </c>
      <c r="AC519" s="10" t="s">
        <v>182</v>
      </c>
      <c r="AD519" s="10" t="s">
        <v>183</v>
      </c>
      <c r="AE519" s="10">
        <v>1162</v>
      </c>
      <c r="AF519" s="10" t="s">
        <v>524</v>
      </c>
      <c r="AG519" s="44" t="s">
        <v>185</v>
      </c>
      <c r="AH519" s="44">
        <v>2</v>
      </c>
      <c r="AI519" s="44" t="s">
        <v>6052</v>
      </c>
      <c r="AJ519" s="44" t="s">
        <v>6058</v>
      </c>
      <c r="AK519" s="44" t="s">
        <v>6062</v>
      </c>
      <c r="AL519" s="44" t="s">
        <v>6052</v>
      </c>
      <c r="AM519" s="44" t="s">
        <v>6052</v>
      </c>
      <c r="AN519" s="44" t="s">
        <v>32651</v>
      </c>
      <c r="AO519" s="45">
        <v>11</v>
      </c>
      <c r="AP519" s="45">
        <v>1</v>
      </c>
      <c r="AQ519" s="45">
        <v>1</v>
      </c>
      <c r="AR519" s="45">
        <v>1</v>
      </c>
      <c r="AS519" s="45">
        <v>0</v>
      </c>
      <c r="AT519" s="45">
        <v>0</v>
      </c>
      <c r="AU519" s="10" t="s">
        <v>32652</v>
      </c>
      <c r="AV519" s="10" t="s">
        <v>32653</v>
      </c>
      <c r="AW519" s="10" t="s">
        <v>6052</v>
      </c>
      <c r="AX519" s="10" t="s">
        <v>6052</v>
      </c>
      <c r="AY519" s="10" t="s">
        <v>32654</v>
      </c>
      <c r="AZ519" s="44" t="s">
        <v>33116</v>
      </c>
      <c r="BA519" s="44" t="s">
        <v>30954</v>
      </c>
      <c r="BB519" s="44" t="s">
        <v>31396</v>
      </c>
      <c r="BC519" s="44" t="s">
        <v>6415</v>
      </c>
      <c r="BD519" s="44" t="s">
        <v>31707</v>
      </c>
      <c r="BE519" s="11">
        <v>1</v>
      </c>
      <c r="BF519" s="11">
        <v>1</v>
      </c>
      <c r="BG519" s="11">
        <v>0</v>
      </c>
      <c r="BH519" s="10" t="s">
        <v>31832</v>
      </c>
      <c r="BI519" s="11">
        <v>100</v>
      </c>
      <c r="BJ519" s="10" t="s">
        <v>33503</v>
      </c>
      <c r="BK519" s="11">
        <v>100</v>
      </c>
    </row>
    <row r="520" spans="1:63" x14ac:dyDescent="0.75">
      <c r="A520" t="s">
        <v>1293</v>
      </c>
      <c r="B520" t="s">
        <v>104</v>
      </c>
      <c r="C520" t="s">
        <v>306</v>
      </c>
      <c r="D520" t="s">
        <v>307</v>
      </c>
      <c r="E520" s="22" t="s">
        <v>10409</v>
      </c>
      <c r="F520" t="s">
        <v>1294</v>
      </c>
      <c r="G520" s="1" t="str">
        <f>HYPERLINK("https://homd.org/jbrowse/?data=homd_V11.02_phage_1.2%2FGCA_000698925.1&amp;loc=GCA_000698925.1%7CKL205535.1%3A27832..34950&amp;tracks=prokka,prokka_ncrna,ncbi,ncbi_ncrna,panggolin,cenote,genomad&amp;highlight=","Open JBrowse")</f>
        <v>Open JBrowse</v>
      </c>
      <c r="H520" s="10">
        <v>30832</v>
      </c>
      <c r="I520" s="10">
        <v>31950</v>
      </c>
      <c r="J520" s="10" t="s">
        <v>1295</v>
      </c>
      <c r="K520" s="10" t="s">
        <v>109</v>
      </c>
      <c r="L520" s="10" t="s">
        <v>310</v>
      </c>
      <c r="M520" s="10" t="s">
        <v>311</v>
      </c>
      <c r="N520" s="10" t="s">
        <v>42</v>
      </c>
      <c r="O520" s="10">
        <v>3</v>
      </c>
      <c r="P520" s="10" t="s">
        <v>42</v>
      </c>
      <c r="Q520" s="10" t="s">
        <v>101</v>
      </c>
      <c r="R520" s="10" t="s">
        <v>1296</v>
      </c>
      <c r="S520" s="10" t="s">
        <v>310</v>
      </c>
      <c r="T520" s="10" t="s">
        <v>42</v>
      </c>
      <c r="U520" s="10">
        <v>142</v>
      </c>
      <c r="V520" s="10">
        <v>370</v>
      </c>
      <c r="W520" s="10">
        <v>229</v>
      </c>
      <c r="X520" s="10" t="s">
        <v>248</v>
      </c>
      <c r="Y520" s="10" t="s">
        <v>1297</v>
      </c>
      <c r="Z520" s="10" t="s">
        <v>653</v>
      </c>
      <c r="AA520" s="10" t="s">
        <v>1298</v>
      </c>
      <c r="AB520" s="10" t="s">
        <v>1299</v>
      </c>
      <c r="AC520" s="10" t="s">
        <v>316</v>
      </c>
      <c r="AD520" s="10" t="s">
        <v>101</v>
      </c>
      <c r="AE520" s="10">
        <v>2675</v>
      </c>
      <c r="AF520" s="10" t="s">
        <v>317</v>
      </c>
      <c r="AG520" s="44"/>
      <c r="AH520" s="44"/>
      <c r="AI520" s="44" t="s">
        <v>6052</v>
      </c>
      <c r="AJ520" s="44" t="s">
        <v>6058</v>
      </c>
      <c r="AK520" s="44" t="s">
        <v>6052</v>
      </c>
      <c r="AL520" s="44" t="s">
        <v>6052</v>
      </c>
      <c r="AM520" s="44" t="s">
        <v>6052</v>
      </c>
      <c r="AN520" s="44" t="s">
        <v>32525</v>
      </c>
      <c r="AO520" s="45">
        <v>11</v>
      </c>
      <c r="AP520" s="45">
        <v>1</v>
      </c>
      <c r="AQ520" s="45">
        <v>1</v>
      </c>
      <c r="AR520" s="45">
        <v>1</v>
      </c>
      <c r="AS520" s="45">
        <v>0</v>
      </c>
      <c r="AT520" s="45">
        <v>0</v>
      </c>
      <c r="AU520" s="10" t="s">
        <v>32526</v>
      </c>
      <c r="AV520" s="10" t="s">
        <v>32527</v>
      </c>
      <c r="AW520" s="10" t="s">
        <v>6052</v>
      </c>
      <c r="AX520" s="10" t="s">
        <v>6052</v>
      </c>
      <c r="AY520" s="10" t="s">
        <v>32407</v>
      </c>
      <c r="AZ520" s="44" t="s">
        <v>33116</v>
      </c>
      <c r="BA520" s="44" t="s">
        <v>30898</v>
      </c>
      <c r="BB520" s="44" t="s">
        <v>31318</v>
      </c>
      <c r="BC520" s="44" t="s">
        <v>6634</v>
      </c>
      <c r="BD520" s="44" t="s">
        <v>31722</v>
      </c>
      <c r="BE520" s="11">
        <v>1</v>
      </c>
      <c r="BF520" s="11">
        <v>1</v>
      </c>
      <c r="BG520" s="11">
        <v>0</v>
      </c>
      <c r="BH520" s="10" t="s">
        <v>31799</v>
      </c>
      <c r="BI520" s="11">
        <v>100</v>
      </c>
      <c r="BJ520" s="10" t="s">
        <v>33543</v>
      </c>
      <c r="BK520" s="11">
        <v>100</v>
      </c>
    </row>
    <row r="521" spans="1:63" x14ac:dyDescent="0.75">
      <c r="A521" t="s">
        <v>1059</v>
      </c>
      <c r="B521" t="s">
        <v>104</v>
      </c>
      <c r="C521" t="s">
        <v>948</v>
      </c>
      <c r="D521" t="s">
        <v>949</v>
      </c>
      <c r="E521" s="22" t="s">
        <v>9819</v>
      </c>
      <c r="F521" t="s">
        <v>1060</v>
      </c>
      <c r="G521" s="1" t="str">
        <f>HYPERLINK("https://homd.org/jbrowse/?data=homd_V11.02_phage_1.2%2FGCA_000468635.1&amp;loc=GCA_000468635.1%7CAWEY01000008.1%3A92735..99598&amp;tracks=prokka,prokka_ncrna,ncbi,ncbi_ncrna,panggolin,cenote,genomad&amp;highlight=","Open JBrowse")</f>
        <v>Open JBrowse</v>
      </c>
      <c r="H521" s="10">
        <v>95735</v>
      </c>
      <c r="I521" s="10">
        <v>96598</v>
      </c>
      <c r="J521" s="10" t="s">
        <v>1063</v>
      </c>
      <c r="K521" s="10" t="s">
        <v>59</v>
      </c>
      <c r="L521" s="10" t="s">
        <v>952</v>
      </c>
      <c r="M521" s="10" t="s">
        <v>953</v>
      </c>
      <c r="N521" s="10" t="s">
        <v>42</v>
      </c>
      <c r="O521" s="10">
        <v>3</v>
      </c>
      <c r="P521" s="10" t="s">
        <v>42</v>
      </c>
      <c r="Q521" s="10" t="s">
        <v>59</v>
      </c>
      <c r="R521" s="10" t="s">
        <v>1062</v>
      </c>
      <c r="S521" s="10" t="s">
        <v>952</v>
      </c>
      <c r="T521" s="10" t="s">
        <v>42</v>
      </c>
      <c r="U521" s="10">
        <v>51</v>
      </c>
      <c r="V521" s="10">
        <v>284</v>
      </c>
      <c r="W521" s="10">
        <v>234</v>
      </c>
      <c r="X521" s="10" t="s">
        <v>63</v>
      </c>
      <c r="Y521" s="10" t="s">
        <v>1064</v>
      </c>
      <c r="Z521" s="10" t="s">
        <v>132</v>
      </c>
      <c r="AA521" s="10" t="s">
        <v>1065</v>
      </c>
      <c r="AB521" s="10" t="s">
        <v>1066</v>
      </c>
      <c r="AC521" s="10" t="s">
        <v>589</v>
      </c>
      <c r="AD521" s="10" t="s">
        <v>101</v>
      </c>
      <c r="AE521" s="10">
        <v>581</v>
      </c>
      <c r="AF521" s="10" t="s">
        <v>102</v>
      </c>
      <c r="AG521" s="44"/>
      <c r="AH521" s="44"/>
      <c r="AI521" s="44" t="s">
        <v>6052</v>
      </c>
      <c r="AJ521" s="44" t="s">
        <v>6059</v>
      </c>
      <c r="AK521" s="44" t="s">
        <v>6052</v>
      </c>
      <c r="AL521" s="44" t="s">
        <v>6052</v>
      </c>
      <c r="AM521" s="44" t="s">
        <v>6052</v>
      </c>
      <c r="AN521" s="44" t="s">
        <v>32648</v>
      </c>
      <c r="AO521" s="45">
        <v>11</v>
      </c>
      <c r="AP521" s="45">
        <v>1</v>
      </c>
      <c r="AQ521" s="45">
        <v>0</v>
      </c>
      <c r="AR521" s="45">
        <v>1</v>
      </c>
      <c r="AS521" s="45">
        <v>0</v>
      </c>
      <c r="AT521" s="45">
        <v>0</v>
      </c>
      <c r="AU521" s="10" t="s">
        <v>6052</v>
      </c>
      <c r="AV521" s="10" t="s">
        <v>32649</v>
      </c>
      <c r="AW521" s="10" t="s">
        <v>6052</v>
      </c>
      <c r="AX521" s="10" t="s">
        <v>6052</v>
      </c>
      <c r="AY521" s="10" t="s">
        <v>32650</v>
      </c>
      <c r="AZ521" s="44" t="s">
        <v>33116</v>
      </c>
      <c r="BA521" s="44" t="s">
        <v>30953</v>
      </c>
      <c r="BB521" s="44" t="s">
        <v>31395</v>
      </c>
      <c r="BC521" s="44" t="s">
        <v>6564</v>
      </c>
      <c r="BD521" s="44" t="s">
        <v>31710</v>
      </c>
      <c r="BE521" s="11">
        <v>1</v>
      </c>
      <c r="BF521" s="11">
        <v>1</v>
      </c>
      <c r="BG521" s="11">
        <v>0</v>
      </c>
      <c r="BH521" s="10" t="s">
        <v>31744</v>
      </c>
      <c r="BI521" s="11">
        <v>100</v>
      </c>
      <c r="BJ521" s="10" t="s">
        <v>33550</v>
      </c>
      <c r="BK521" s="11">
        <v>100</v>
      </c>
    </row>
    <row r="522" spans="1:63" x14ac:dyDescent="0.75">
      <c r="A522" t="s">
        <v>914</v>
      </c>
      <c r="B522" t="s">
        <v>104</v>
      </c>
      <c r="C522" t="s">
        <v>105</v>
      </c>
      <c r="D522" t="s">
        <v>106</v>
      </c>
      <c r="E522" s="22" t="s">
        <v>9470</v>
      </c>
      <c r="F522" t="s">
        <v>915</v>
      </c>
      <c r="G522" s="1" t="str">
        <f>HYPERLINK("https://homd.org/jbrowse/?data=homd_V11.02_phage_1.2%2FGCA_000411575.1&amp;loc=GCA_000411575.1%7CKE150488.1%3A585778..593421&amp;tracks=prokka,prokka_ncrna,ncbi,ncbi_ncrna,panggolin,cenote,genomad&amp;highlight=","Open JBrowse")</f>
        <v>Open JBrowse</v>
      </c>
      <c r="H522" s="10">
        <v>588778</v>
      </c>
      <c r="I522" s="10">
        <v>590421</v>
      </c>
      <c r="J522" s="10" t="s">
        <v>920</v>
      </c>
      <c r="K522" s="10" t="s">
        <v>109</v>
      </c>
      <c r="L522" s="10" t="s">
        <v>110</v>
      </c>
      <c r="M522" s="10" t="s">
        <v>333</v>
      </c>
      <c r="N522" s="10" t="s">
        <v>112</v>
      </c>
      <c r="O522" s="10">
        <v>3</v>
      </c>
      <c r="P522" s="10" t="s">
        <v>113</v>
      </c>
      <c r="Q522" s="10" t="s">
        <v>101</v>
      </c>
      <c r="R522" s="10" t="s">
        <v>917</v>
      </c>
      <c r="S522" s="10" t="s">
        <v>115</v>
      </c>
      <c r="T522" s="10" t="s">
        <v>42</v>
      </c>
      <c r="U522" s="10">
        <v>322</v>
      </c>
      <c r="V522" s="10">
        <v>546</v>
      </c>
      <c r="W522" s="10">
        <v>225</v>
      </c>
      <c r="X522" s="10" t="s">
        <v>116</v>
      </c>
      <c r="Y522" s="10" t="s">
        <v>921</v>
      </c>
      <c r="Z522" s="10" t="s">
        <v>302</v>
      </c>
      <c r="AA522" s="10" t="s">
        <v>922</v>
      </c>
      <c r="AB522" s="10" t="s">
        <v>923</v>
      </c>
      <c r="AC522" s="10" t="s">
        <v>339</v>
      </c>
      <c r="AD522" s="10" t="s">
        <v>101</v>
      </c>
      <c r="AE522" s="10">
        <v>3480</v>
      </c>
      <c r="AF522" s="10" t="s">
        <v>423</v>
      </c>
      <c r="AG522" s="44"/>
      <c r="AH522" s="44"/>
      <c r="AI522" s="44" t="s">
        <v>6052</v>
      </c>
      <c r="AJ522" s="44" t="s">
        <v>6058</v>
      </c>
      <c r="AK522" s="44" t="s">
        <v>6069</v>
      </c>
      <c r="AL522" s="44" t="s">
        <v>6052</v>
      </c>
      <c r="AM522" s="44" t="s">
        <v>6052</v>
      </c>
      <c r="AN522" s="44" t="s">
        <v>32747</v>
      </c>
      <c r="AO522" s="45">
        <v>11</v>
      </c>
      <c r="AP522" s="45">
        <v>1</v>
      </c>
      <c r="AQ522" s="45">
        <v>2</v>
      </c>
      <c r="AR522" s="45">
        <v>2</v>
      </c>
      <c r="AS522" s="45">
        <v>0</v>
      </c>
      <c r="AT522" s="45">
        <v>0</v>
      </c>
      <c r="AU522" s="10" t="s">
        <v>32748</v>
      </c>
      <c r="AV522" s="10" t="s">
        <v>32749</v>
      </c>
      <c r="AW522" s="10" t="s">
        <v>6052</v>
      </c>
      <c r="AX522" s="10" t="s">
        <v>6052</v>
      </c>
      <c r="AY522" s="10" t="s">
        <v>32675</v>
      </c>
      <c r="AZ522" s="44" t="s">
        <v>33116</v>
      </c>
      <c r="BA522" s="44" t="s">
        <v>30989</v>
      </c>
      <c r="BB522" s="44" t="s">
        <v>31455</v>
      </c>
      <c r="BC522" s="44" t="s">
        <v>6415</v>
      </c>
      <c r="BD522" s="44" t="s">
        <v>31707</v>
      </c>
      <c r="BE522" s="11">
        <v>1</v>
      </c>
      <c r="BF522" s="11">
        <v>1</v>
      </c>
      <c r="BG522" s="11">
        <v>0</v>
      </c>
      <c r="BH522" s="10" t="s">
        <v>31797</v>
      </c>
      <c r="BI522" s="11">
        <v>100</v>
      </c>
      <c r="BJ522" s="10" t="s">
        <v>33524</v>
      </c>
      <c r="BK522" s="11">
        <v>100</v>
      </c>
    </row>
    <row r="523" spans="1:63" x14ac:dyDescent="0.75">
      <c r="A523" t="s">
        <v>813</v>
      </c>
      <c r="B523" t="s">
        <v>104</v>
      </c>
      <c r="C523" t="s">
        <v>814</v>
      </c>
      <c r="D523" t="s">
        <v>815</v>
      </c>
      <c r="E523" s="22" t="s">
        <v>8997</v>
      </c>
      <c r="F523" t="s">
        <v>826</v>
      </c>
      <c r="G523" s="1" t="str">
        <f>HYPERLINK("https://homd.org/jbrowse/?data=homd_V11.02_phage_1.2%2FGCA_000318295.1&amp;loc=GCA_000318295.1%7CKB291470.1%3A72644..80287&amp;tracks=prokka,prokka_ncrna,ncbi,ncbi_ncrna,panggolin,cenote,genomad&amp;highlight=","Open JBrowse")</f>
        <v>Open JBrowse</v>
      </c>
      <c r="H523" s="10">
        <v>75644</v>
      </c>
      <c r="I523" s="10">
        <v>77287</v>
      </c>
      <c r="J523" s="10" t="s">
        <v>827</v>
      </c>
      <c r="K523" s="10" t="s">
        <v>109</v>
      </c>
      <c r="L523" s="10" t="s">
        <v>651</v>
      </c>
      <c r="M523" s="10" t="s">
        <v>111</v>
      </c>
      <c r="N523" s="10" t="s">
        <v>112</v>
      </c>
      <c r="O523" s="10">
        <v>3</v>
      </c>
      <c r="P523" s="10" t="s">
        <v>113</v>
      </c>
      <c r="Q523" s="10" t="s">
        <v>101</v>
      </c>
      <c r="R523" s="10" t="s">
        <v>820</v>
      </c>
      <c r="S523" s="10" t="s">
        <v>115</v>
      </c>
      <c r="T523" s="10" t="s">
        <v>42</v>
      </c>
      <c r="U523" s="10">
        <v>322</v>
      </c>
      <c r="V523" s="10">
        <v>546</v>
      </c>
      <c r="W523" s="10">
        <v>225</v>
      </c>
      <c r="X523" s="10" t="s">
        <v>116</v>
      </c>
      <c r="Y523" s="10" t="s">
        <v>828</v>
      </c>
      <c r="Z523" s="10" t="s">
        <v>773</v>
      </c>
      <c r="AA523" s="10" t="s">
        <v>829</v>
      </c>
      <c r="AB523" s="10" t="s">
        <v>830</v>
      </c>
      <c r="AC523" s="10" t="s">
        <v>339</v>
      </c>
      <c r="AD523" s="10" t="s">
        <v>101</v>
      </c>
      <c r="AE523" s="10">
        <v>3467</v>
      </c>
      <c r="AF523" s="10" t="s">
        <v>681</v>
      </c>
      <c r="AG523" s="44"/>
      <c r="AH523" s="44"/>
      <c r="AI523" s="44" t="s">
        <v>6052</v>
      </c>
      <c r="AJ523" s="44" t="s">
        <v>6058</v>
      </c>
      <c r="AK523" s="44" t="s">
        <v>6063</v>
      </c>
      <c r="AL523" s="44" t="s">
        <v>6052</v>
      </c>
      <c r="AM523" s="44" t="s">
        <v>6052</v>
      </c>
      <c r="AN523" s="44" t="s">
        <v>32709</v>
      </c>
      <c r="AO523" s="45">
        <v>11</v>
      </c>
      <c r="AP523" s="45">
        <v>1</v>
      </c>
      <c r="AQ523" s="45">
        <v>1</v>
      </c>
      <c r="AR523" s="45">
        <v>1</v>
      </c>
      <c r="AS523" s="45">
        <v>0</v>
      </c>
      <c r="AT523" s="45">
        <v>0</v>
      </c>
      <c r="AU523" s="10" t="s">
        <v>32710</v>
      </c>
      <c r="AV523" s="10" t="s">
        <v>32711</v>
      </c>
      <c r="AW523" s="10" t="s">
        <v>6052</v>
      </c>
      <c r="AX523" s="10" t="s">
        <v>6052</v>
      </c>
      <c r="AY523" s="10" t="s">
        <v>32271</v>
      </c>
      <c r="AZ523" s="44" t="s">
        <v>33116</v>
      </c>
      <c r="BA523" s="44" t="s">
        <v>30980</v>
      </c>
      <c r="BB523" s="44" t="s">
        <v>31432</v>
      </c>
      <c r="BC523" s="44" t="s">
        <v>6415</v>
      </c>
      <c r="BD523" s="44" t="s">
        <v>31707</v>
      </c>
      <c r="BE523" s="11">
        <v>1</v>
      </c>
      <c r="BF523" s="11">
        <v>1</v>
      </c>
      <c r="BG523" s="11">
        <v>0</v>
      </c>
      <c r="BH523" s="10" t="s">
        <v>31790</v>
      </c>
      <c r="BI523" s="11">
        <v>100</v>
      </c>
      <c r="BJ523" s="10" t="s">
        <v>33534</v>
      </c>
      <c r="BK523" s="11">
        <v>100</v>
      </c>
    </row>
    <row r="524" spans="1:63" x14ac:dyDescent="0.75">
      <c r="A524" t="s">
        <v>831</v>
      </c>
      <c r="B524" t="s">
        <v>104</v>
      </c>
      <c r="C524" t="s">
        <v>105</v>
      </c>
      <c r="D524" t="s">
        <v>106</v>
      </c>
      <c r="E524" s="22" t="s">
        <v>8999</v>
      </c>
      <c r="F524" t="s">
        <v>842</v>
      </c>
      <c r="G524" s="1" t="str">
        <f>HYPERLINK("https://homd.org/jbrowse/?data=homd_V11.02_phage_1.2%2FGCA_000318315.2&amp;loc=GCA_000318315.2%7CKB291533.1%3A15721..23364&amp;tracks=prokka,prokka_ncrna,ncbi,ncbi_ncrna,panggolin,cenote,genomad&amp;highlight=","Open JBrowse")</f>
        <v>Open JBrowse</v>
      </c>
      <c r="H524" s="10">
        <v>18721</v>
      </c>
      <c r="I524" s="10">
        <v>20364</v>
      </c>
      <c r="J524" s="10" t="s">
        <v>843</v>
      </c>
      <c r="K524" s="10" t="s">
        <v>109</v>
      </c>
      <c r="L524" s="10" t="s">
        <v>110</v>
      </c>
      <c r="M524" s="10" t="s">
        <v>333</v>
      </c>
      <c r="N524" s="10" t="s">
        <v>112</v>
      </c>
      <c r="O524" s="10">
        <v>3</v>
      </c>
      <c r="P524" s="10" t="s">
        <v>113</v>
      </c>
      <c r="Q524" s="10" t="s">
        <v>101</v>
      </c>
      <c r="R524" s="10" t="s">
        <v>834</v>
      </c>
      <c r="S524" s="10" t="s">
        <v>115</v>
      </c>
      <c r="T524" s="10" t="s">
        <v>42</v>
      </c>
      <c r="U524" s="10">
        <v>322</v>
      </c>
      <c r="V524" s="10">
        <v>546</v>
      </c>
      <c r="W524" s="10">
        <v>225</v>
      </c>
      <c r="X524" s="10" t="s">
        <v>116</v>
      </c>
      <c r="Y524" s="10" t="s">
        <v>844</v>
      </c>
      <c r="Z524" s="10" t="s">
        <v>420</v>
      </c>
      <c r="AA524" s="10" t="s">
        <v>662</v>
      </c>
      <c r="AB524" s="10" t="s">
        <v>845</v>
      </c>
      <c r="AC524" s="10" t="s">
        <v>339</v>
      </c>
      <c r="AD524" s="10" t="s">
        <v>101</v>
      </c>
      <c r="AE524" s="10">
        <v>3474</v>
      </c>
      <c r="AF524" s="10" t="s">
        <v>423</v>
      </c>
      <c r="AG524" s="44"/>
      <c r="AH524" s="44"/>
      <c r="AI524" s="44" t="s">
        <v>6052</v>
      </c>
      <c r="AJ524" s="44" t="s">
        <v>6058</v>
      </c>
      <c r="AK524" s="44" t="s">
        <v>6069</v>
      </c>
      <c r="AL524" s="44" t="s">
        <v>6052</v>
      </c>
      <c r="AM524" s="44" t="s">
        <v>6052</v>
      </c>
      <c r="AN524" s="44" t="s">
        <v>32725</v>
      </c>
      <c r="AO524" s="45">
        <v>11</v>
      </c>
      <c r="AP524" s="45">
        <v>1</v>
      </c>
      <c r="AQ524" s="45">
        <v>2</v>
      </c>
      <c r="AR524" s="45">
        <v>2</v>
      </c>
      <c r="AS524" s="45">
        <v>0</v>
      </c>
      <c r="AT524" s="45">
        <v>0</v>
      </c>
      <c r="AU524" s="10" t="s">
        <v>32726</v>
      </c>
      <c r="AV524" s="10" t="s">
        <v>32727</v>
      </c>
      <c r="AW524" s="10" t="s">
        <v>6052</v>
      </c>
      <c r="AX524" s="10" t="s">
        <v>6052</v>
      </c>
      <c r="AY524" s="10" t="s">
        <v>32675</v>
      </c>
      <c r="AZ524" s="44" t="s">
        <v>33116</v>
      </c>
      <c r="BA524" s="44" t="s">
        <v>30984</v>
      </c>
      <c r="BB524" s="44" t="s">
        <v>31442</v>
      </c>
      <c r="BC524" s="44" t="s">
        <v>6415</v>
      </c>
      <c r="BD524" s="44" t="s">
        <v>31707</v>
      </c>
      <c r="BE524" s="11">
        <v>1</v>
      </c>
      <c r="BF524" s="11">
        <v>1</v>
      </c>
      <c r="BG524" s="11">
        <v>0</v>
      </c>
      <c r="BH524" s="10" t="s">
        <v>31775</v>
      </c>
      <c r="BI524" s="11">
        <v>100</v>
      </c>
      <c r="BJ524" s="10" t="s">
        <v>33523</v>
      </c>
      <c r="BK524" s="11">
        <v>100</v>
      </c>
    </row>
    <row r="525" spans="1:63" x14ac:dyDescent="0.75">
      <c r="A525" t="s">
        <v>797</v>
      </c>
      <c r="B525" t="s">
        <v>104</v>
      </c>
      <c r="C525" t="s">
        <v>105</v>
      </c>
      <c r="D525" t="s">
        <v>106</v>
      </c>
      <c r="E525" s="22" t="s">
        <v>8989</v>
      </c>
      <c r="F525" t="s">
        <v>798</v>
      </c>
      <c r="G525" s="1" t="str">
        <f>HYPERLINK("https://homd.org/jbrowse/?data=homd_V11.02_phage_1.2%2FGCA_000318255.2&amp;loc=GCA_000318255.2%7CKB291185.1%3A101517..109160&amp;tracks=prokka,prokka_ncrna,ncbi,ncbi_ncrna,panggolin,cenote,genomad&amp;highlight=","Open JBrowse")</f>
        <v>Open JBrowse</v>
      </c>
      <c r="H525" s="10">
        <v>104517</v>
      </c>
      <c r="I525" s="10">
        <v>106160</v>
      </c>
      <c r="J525" s="10" t="s">
        <v>799</v>
      </c>
      <c r="K525" s="10" t="s">
        <v>109</v>
      </c>
      <c r="L525" s="10" t="s">
        <v>110</v>
      </c>
      <c r="M525" s="10" t="s">
        <v>111</v>
      </c>
      <c r="N525" s="10" t="s">
        <v>112</v>
      </c>
      <c r="O525" s="10">
        <v>3</v>
      </c>
      <c r="P525" s="10" t="s">
        <v>113</v>
      </c>
      <c r="Q525" s="10" t="s">
        <v>101</v>
      </c>
      <c r="R525" s="10" t="s">
        <v>800</v>
      </c>
      <c r="S525" s="10" t="s">
        <v>115</v>
      </c>
      <c r="T525" s="10" t="s">
        <v>42</v>
      </c>
      <c r="U525" s="10">
        <v>322</v>
      </c>
      <c r="V525" s="10">
        <v>546</v>
      </c>
      <c r="W525" s="10">
        <v>225</v>
      </c>
      <c r="X525" s="10" t="s">
        <v>116</v>
      </c>
      <c r="Y525" s="10" t="s">
        <v>801</v>
      </c>
      <c r="Z525" s="10" t="s">
        <v>336</v>
      </c>
      <c r="AA525" s="10" t="s">
        <v>802</v>
      </c>
      <c r="AB525" s="10" t="s">
        <v>803</v>
      </c>
      <c r="AC525" s="10" t="s">
        <v>68</v>
      </c>
      <c r="AD525" s="10" t="s">
        <v>69</v>
      </c>
      <c r="AE525" s="10">
        <v>3249</v>
      </c>
      <c r="AF525" s="10" t="s">
        <v>804</v>
      </c>
      <c r="AG525" s="44"/>
      <c r="AH525" s="44"/>
      <c r="AI525" s="44" t="s">
        <v>6052</v>
      </c>
      <c r="AJ525" s="44" t="s">
        <v>6066</v>
      </c>
      <c r="AK525" s="44" t="s">
        <v>6069</v>
      </c>
      <c r="AL525" s="44" t="s">
        <v>6052</v>
      </c>
      <c r="AM525" s="44" t="s">
        <v>6052</v>
      </c>
      <c r="AN525" s="44" t="s">
        <v>32741</v>
      </c>
      <c r="AO525" s="45">
        <v>11</v>
      </c>
      <c r="AP525" s="45">
        <v>1</v>
      </c>
      <c r="AQ525" s="45">
        <v>1</v>
      </c>
      <c r="AR525" s="45">
        <v>2</v>
      </c>
      <c r="AS525" s="45">
        <v>0</v>
      </c>
      <c r="AT525" s="45">
        <v>0</v>
      </c>
      <c r="AU525" s="10" t="s">
        <v>32742</v>
      </c>
      <c r="AV525" s="10" t="s">
        <v>32743</v>
      </c>
      <c r="AW525" s="10" t="s">
        <v>6052</v>
      </c>
      <c r="AX525" s="10" t="s">
        <v>6052</v>
      </c>
      <c r="AY525" s="10" t="s">
        <v>32485</v>
      </c>
      <c r="AZ525" s="44" t="s">
        <v>33116</v>
      </c>
      <c r="BA525" s="44" t="s">
        <v>30987</v>
      </c>
      <c r="BB525" s="44" t="s">
        <v>31451</v>
      </c>
      <c r="BC525" s="44" t="s">
        <v>6415</v>
      </c>
      <c r="BD525" s="44" t="s">
        <v>31707</v>
      </c>
      <c r="BE525" s="11">
        <v>1</v>
      </c>
      <c r="BF525" s="11">
        <v>1</v>
      </c>
      <c r="BG525" s="11">
        <v>0</v>
      </c>
      <c r="BH525" s="10" t="s">
        <v>31821</v>
      </c>
      <c r="BI525" s="11">
        <v>100</v>
      </c>
      <c r="BJ525" s="10" t="s">
        <v>33514</v>
      </c>
      <c r="BK525" s="11">
        <v>100</v>
      </c>
    </row>
    <row r="526" spans="1:63" x14ac:dyDescent="0.75">
      <c r="A526" t="s">
        <v>734</v>
      </c>
      <c r="B526" t="s">
        <v>104</v>
      </c>
      <c r="C526" t="s">
        <v>241</v>
      </c>
      <c r="D526" t="s">
        <v>242</v>
      </c>
      <c r="E526" s="22" t="s">
        <v>8771</v>
      </c>
      <c r="F526" t="s">
        <v>740</v>
      </c>
      <c r="G526" s="1" t="str">
        <f>HYPERLINK("https://homd.org/jbrowse/?data=homd_V11.02_phage_1.2%2FGCA_000287635.1&amp;loc=GCA_000287635.1%7CALJQ01000024.1%3A215332..222438&amp;tracks=prokka,prokka_ncrna,ncbi,ncbi_ncrna,panggolin,cenote,genomad&amp;highlight=","Open JBrowse")</f>
        <v>Open JBrowse</v>
      </c>
      <c r="H526" s="10">
        <v>218332</v>
      </c>
      <c r="I526" s="10">
        <v>219438</v>
      </c>
      <c r="J526" s="10" t="s">
        <v>741</v>
      </c>
      <c r="K526" s="10" t="s">
        <v>109</v>
      </c>
      <c r="L526" s="10" t="s">
        <v>245</v>
      </c>
      <c r="M526" s="10" t="s">
        <v>246</v>
      </c>
      <c r="N526" s="10" t="s">
        <v>42</v>
      </c>
      <c r="O526" s="10">
        <v>3</v>
      </c>
      <c r="P526" s="10" t="s">
        <v>42</v>
      </c>
      <c r="Q526" s="10" t="s">
        <v>101</v>
      </c>
      <c r="R526" s="10" t="s">
        <v>737</v>
      </c>
      <c r="S526" s="10" t="s">
        <v>245</v>
      </c>
      <c r="T526" s="10" t="s">
        <v>42</v>
      </c>
      <c r="U526" s="10">
        <v>138</v>
      </c>
      <c r="V526" s="10">
        <v>366</v>
      </c>
      <c r="W526" s="10">
        <v>229</v>
      </c>
      <c r="X526" s="10" t="s">
        <v>248</v>
      </c>
      <c r="Y526" s="10" t="s">
        <v>742</v>
      </c>
      <c r="Z526" s="10" t="s">
        <v>743</v>
      </c>
      <c r="AA526" s="10" t="s">
        <v>250</v>
      </c>
      <c r="AB526" s="10" t="s">
        <v>744</v>
      </c>
      <c r="AC526" s="10" t="s">
        <v>252</v>
      </c>
      <c r="AD526" s="10" t="s">
        <v>101</v>
      </c>
      <c r="AE526" s="10">
        <v>2702</v>
      </c>
      <c r="AF526" s="10" t="s">
        <v>253</v>
      </c>
      <c r="AG526" s="44"/>
      <c r="AH526" s="44"/>
      <c r="AI526" s="44" t="s">
        <v>6052</v>
      </c>
      <c r="AJ526" s="44" t="s">
        <v>6058</v>
      </c>
      <c r="AK526" s="44" t="s">
        <v>6052</v>
      </c>
      <c r="AL526" s="44" t="s">
        <v>6052</v>
      </c>
      <c r="AM526" s="44" t="s">
        <v>6052</v>
      </c>
      <c r="AN526" s="44" t="s">
        <v>32925</v>
      </c>
      <c r="AO526" s="45">
        <v>11</v>
      </c>
      <c r="AP526" s="45">
        <v>1</v>
      </c>
      <c r="AQ526" s="45">
        <v>1</v>
      </c>
      <c r="AR526" s="45">
        <v>1</v>
      </c>
      <c r="AS526" s="45">
        <v>0</v>
      </c>
      <c r="AT526" s="45">
        <v>0</v>
      </c>
      <c r="AU526" s="10" t="s">
        <v>32926</v>
      </c>
      <c r="AV526" s="10" t="s">
        <v>32927</v>
      </c>
      <c r="AW526" s="10" t="s">
        <v>6052</v>
      </c>
      <c r="AX526" s="10" t="s">
        <v>6052</v>
      </c>
      <c r="AY526" s="10" t="s">
        <v>32271</v>
      </c>
      <c r="AZ526" s="44" t="s">
        <v>33116</v>
      </c>
      <c r="BA526" s="44" t="s">
        <v>31081</v>
      </c>
      <c r="BB526" s="44" t="s">
        <v>31581</v>
      </c>
      <c r="BC526" s="44" t="s">
        <v>6564</v>
      </c>
      <c r="BD526" s="44" t="s">
        <v>31710</v>
      </c>
      <c r="BE526" s="11">
        <v>1</v>
      </c>
      <c r="BF526" s="11">
        <v>1</v>
      </c>
      <c r="BG526" s="11">
        <v>0</v>
      </c>
      <c r="BH526" s="10" t="s">
        <v>31807</v>
      </c>
      <c r="BI526" s="11">
        <v>100</v>
      </c>
      <c r="BJ526" s="10" t="s">
        <v>33556</v>
      </c>
      <c r="BK526" s="11">
        <v>100</v>
      </c>
    </row>
    <row r="527" spans="1:63" x14ac:dyDescent="0.75">
      <c r="A527" t="s">
        <v>657</v>
      </c>
      <c r="B527" t="s">
        <v>104</v>
      </c>
      <c r="C527" t="s">
        <v>105</v>
      </c>
      <c r="D527" t="s">
        <v>106</v>
      </c>
      <c r="E527" s="22" t="s">
        <v>8678</v>
      </c>
      <c r="F527" t="s">
        <v>658</v>
      </c>
      <c r="G527" s="1" t="str">
        <f>HYPERLINK("https://homd.org/jbrowse/?data=homd_V11.02_phage_1.2%2FGCA_000277585.1&amp;loc=GCA_000277585.1%7CAKFV01000021.1%3A36226..43869&amp;tracks=prokka,prokka_ncrna,ncbi,ncbi_ncrna,panggolin,cenote,genomad&amp;highlight=","Open JBrowse")</f>
        <v>Open JBrowse</v>
      </c>
      <c r="H527" s="10">
        <v>39226</v>
      </c>
      <c r="I527" s="10">
        <v>40869</v>
      </c>
      <c r="J527" s="10" t="s">
        <v>659</v>
      </c>
      <c r="K527" s="10" t="s">
        <v>109</v>
      </c>
      <c r="L527" s="10" t="s">
        <v>110</v>
      </c>
      <c r="M527" s="10" t="s">
        <v>333</v>
      </c>
      <c r="N527" s="10" t="s">
        <v>112</v>
      </c>
      <c r="O527" s="10">
        <v>3</v>
      </c>
      <c r="P527" s="10" t="s">
        <v>113</v>
      </c>
      <c r="Q527" s="10" t="s">
        <v>101</v>
      </c>
      <c r="R527" s="10" t="s">
        <v>660</v>
      </c>
      <c r="S527" s="10" t="s">
        <v>115</v>
      </c>
      <c r="T527" s="10" t="s">
        <v>42</v>
      </c>
      <c r="U527" s="10">
        <v>322</v>
      </c>
      <c r="V527" s="10">
        <v>546</v>
      </c>
      <c r="W527" s="10">
        <v>225</v>
      </c>
      <c r="X527" s="10" t="s">
        <v>116</v>
      </c>
      <c r="Y527" s="10" t="s">
        <v>661</v>
      </c>
      <c r="Z527" s="10" t="s">
        <v>381</v>
      </c>
      <c r="AA527" s="10" t="s">
        <v>662</v>
      </c>
      <c r="AB527" s="10" t="s">
        <v>663</v>
      </c>
      <c r="AC527" s="10" t="s">
        <v>339</v>
      </c>
      <c r="AD527" s="10" t="s">
        <v>101</v>
      </c>
      <c r="AE527" s="10">
        <v>3468</v>
      </c>
      <c r="AF527" s="10" t="s">
        <v>423</v>
      </c>
      <c r="AG527" s="44"/>
      <c r="AH527" s="44"/>
      <c r="AI527" s="44" t="s">
        <v>6052</v>
      </c>
      <c r="AJ527" s="44" t="s">
        <v>6058</v>
      </c>
      <c r="AK527" s="44" t="s">
        <v>6069</v>
      </c>
      <c r="AL527" s="44" t="s">
        <v>6052</v>
      </c>
      <c r="AM527" s="44" t="s">
        <v>6052</v>
      </c>
      <c r="AN527" s="44" t="s">
        <v>32815</v>
      </c>
      <c r="AO527" s="45">
        <v>11</v>
      </c>
      <c r="AP527" s="45">
        <v>1</v>
      </c>
      <c r="AQ527" s="45">
        <v>2</v>
      </c>
      <c r="AR527" s="45">
        <v>2</v>
      </c>
      <c r="AS527" s="45">
        <v>0</v>
      </c>
      <c r="AT527" s="45">
        <v>0</v>
      </c>
      <c r="AU527" s="10" t="s">
        <v>32816</v>
      </c>
      <c r="AV527" s="10" t="s">
        <v>32817</v>
      </c>
      <c r="AW527" s="10" t="s">
        <v>6052</v>
      </c>
      <c r="AX527" s="10" t="s">
        <v>6052</v>
      </c>
      <c r="AY527" s="10" t="s">
        <v>32675</v>
      </c>
      <c r="AZ527" s="44" t="s">
        <v>33116</v>
      </c>
      <c r="BA527" s="44" t="s">
        <v>31021</v>
      </c>
      <c r="BB527" s="44" t="s">
        <v>31499</v>
      </c>
      <c r="BC527" s="44" t="s">
        <v>6415</v>
      </c>
      <c r="BD527" s="44" t="s">
        <v>31707</v>
      </c>
      <c r="BE527" s="11">
        <v>1</v>
      </c>
      <c r="BF527" s="11">
        <v>1</v>
      </c>
      <c r="BG527" s="11">
        <v>0</v>
      </c>
      <c r="BH527" s="10" t="s">
        <v>31793</v>
      </c>
      <c r="BI527" s="11">
        <v>100</v>
      </c>
      <c r="BJ527" s="10" t="s">
        <v>33510</v>
      </c>
      <c r="BK527" s="11">
        <v>100</v>
      </c>
    </row>
    <row r="528" spans="1:63" x14ac:dyDescent="0.75">
      <c r="A528" t="s">
        <v>670</v>
      </c>
      <c r="B528" t="s">
        <v>104</v>
      </c>
      <c r="C528" t="s">
        <v>105</v>
      </c>
      <c r="D528" t="s">
        <v>106</v>
      </c>
      <c r="E528" s="22" t="s">
        <v>8680</v>
      </c>
      <c r="F528" t="s">
        <v>676</v>
      </c>
      <c r="G528" s="1" t="str">
        <f>HYPERLINK("https://homd.org/jbrowse/?data=homd_V11.02_phage_1.2%2FGCA_000277665.1&amp;loc=GCA_000277665.1%7CAKFR01000015.1%3A109562..117205&amp;tracks=prokka,prokka_ncrna,ncbi,ncbi_ncrna,panggolin,cenote,genomad&amp;highlight=","Open JBrowse")</f>
        <v>Open JBrowse</v>
      </c>
      <c r="H528" s="10">
        <v>112562</v>
      </c>
      <c r="I528" s="10">
        <v>114205</v>
      </c>
      <c r="J528" s="10" t="s">
        <v>677</v>
      </c>
      <c r="K528" s="10" t="s">
        <v>109</v>
      </c>
      <c r="L528" s="10" t="s">
        <v>110</v>
      </c>
      <c r="M528" s="10" t="s">
        <v>333</v>
      </c>
      <c r="N528" s="10" t="s">
        <v>112</v>
      </c>
      <c r="O528" s="10">
        <v>3</v>
      </c>
      <c r="P528" s="10" t="s">
        <v>113</v>
      </c>
      <c r="Q528" s="10" t="s">
        <v>101</v>
      </c>
      <c r="R528" s="10" t="s">
        <v>673</v>
      </c>
      <c r="S528" s="10" t="s">
        <v>115</v>
      </c>
      <c r="T528" s="10" t="s">
        <v>42</v>
      </c>
      <c r="U528" s="10">
        <v>322</v>
      </c>
      <c r="V528" s="10">
        <v>546</v>
      </c>
      <c r="W528" s="10">
        <v>225</v>
      </c>
      <c r="X528" s="10" t="s">
        <v>116</v>
      </c>
      <c r="Y528" s="10" t="s">
        <v>678</v>
      </c>
      <c r="Z528" s="10" t="s">
        <v>292</v>
      </c>
      <c r="AA528" s="10" t="s">
        <v>679</v>
      </c>
      <c r="AB528" s="10" t="s">
        <v>680</v>
      </c>
      <c r="AC528" s="10" t="s">
        <v>339</v>
      </c>
      <c r="AD528" s="10" t="s">
        <v>101</v>
      </c>
      <c r="AE528" s="10">
        <v>3475</v>
      </c>
      <c r="AF528" s="10" t="s">
        <v>681</v>
      </c>
      <c r="AG528" s="44"/>
      <c r="AH528" s="44"/>
      <c r="AI528" s="44" t="s">
        <v>6052</v>
      </c>
      <c r="AJ528" s="44" t="s">
        <v>6058</v>
      </c>
      <c r="AK528" s="44" t="s">
        <v>6069</v>
      </c>
      <c r="AL528" s="44" t="s">
        <v>6052</v>
      </c>
      <c r="AM528" s="44" t="s">
        <v>6052</v>
      </c>
      <c r="AN528" s="44" t="s">
        <v>32730</v>
      </c>
      <c r="AO528" s="45">
        <v>11</v>
      </c>
      <c r="AP528" s="45">
        <v>1</v>
      </c>
      <c r="AQ528" s="45">
        <v>2</v>
      </c>
      <c r="AR528" s="45">
        <v>1</v>
      </c>
      <c r="AS528" s="45">
        <v>0</v>
      </c>
      <c r="AT528" s="45">
        <v>0</v>
      </c>
      <c r="AU528" s="10" t="s">
        <v>32731</v>
      </c>
      <c r="AV528" s="10" t="s">
        <v>32732</v>
      </c>
      <c r="AW528" s="10" t="s">
        <v>6052</v>
      </c>
      <c r="AX528" s="10" t="s">
        <v>6052</v>
      </c>
      <c r="AY528" s="10" t="s">
        <v>32733</v>
      </c>
      <c r="AZ528" s="44" t="s">
        <v>33116</v>
      </c>
      <c r="BA528" s="44" t="s">
        <v>30985</v>
      </c>
      <c r="BB528" s="44" t="s">
        <v>31445</v>
      </c>
      <c r="BC528" s="44" t="s">
        <v>6415</v>
      </c>
      <c r="BD528" s="44" t="s">
        <v>31707</v>
      </c>
      <c r="BE528" s="11">
        <v>1</v>
      </c>
      <c r="BF528" s="11">
        <v>1</v>
      </c>
      <c r="BG528" s="11">
        <v>0</v>
      </c>
      <c r="BH528" s="10" t="s">
        <v>31791</v>
      </c>
      <c r="BI528" s="11">
        <v>100</v>
      </c>
      <c r="BJ528" s="10" t="s">
        <v>33518</v>
      </c>
      <c r="BK528" s="11">
        <v>100</v>
      </c>
    </row>
    <row r="529" spans="1:63" x14ac:dyDescent="0.75">
      <c r="A529" t="s">
        <v>640</v>
      </c>
      <c r="B529" t="s">
        <v>104</v>
      </c>
      <c r="C529" t="s">
        <v>105</v>
      </c>
      <c r="D529" t="s">
        <v>106</v>
      </c>
      <c r="E529" s="22" t="s">
        <v>8658</v>
      </c>
      <c r="F529" t="s">
        <v>649</v>
      </c>
      <c r="G529" s="1" t="str">
        <f>HYPERLINK("https://homd.org/jbrowse/?data=homd_V11.02_phage_1.2%2FGCA_000271925.1&amp;loc=GCA_000271925.1%7CAJZR01000053.1%3A43044..50687&amp;tracks=prokka,prokka_ncrna,ncbi,ncbi_ncrna,panggolin,cenote,genomad&amp;highlight=","Open JBrowse")</f>
        <v>Open JBrowse</v>
      </c>
      <c r="H529" s="10">
        <v>46044</v>
      </c>
      <c r="I529" s="10">
        <v>47687</v>
      </c>
      <c r="J529" s="10" t="s">
        <v>650</v>
      </c>
      <c r="K529" s="10" t="s">
        <v>109</v>
      </c>
      <c r="L529" s="10" t="s">
        <v>651</v>
      </c>
      <c r="M529" s="10" t="s">
        <v>111</v>
      </c>
      <c r="N529" s="10" t="s">
        <v>112</v>
      </c>
      <c r="O529" s="10">
        <v>3</v>
      </c>
      <c r="P529" s="10" t="s">
        <v>113</v>
      </c>
      <c r="Q529" s="10" t="s">
        <v>101</v>
      </c>
      <c r="R529" s="10" t="s">
        <v>643</v>
      </c>
      <c r="S529" s="10" t="s">
        <v>115</v>
      </c>
      <c r="T529" s="10" t="s">
        <v>42</v>
      </c>
      <c r="U529" s="10">
        <v>322</v>
      </c>
      <c r="V529" s="10">
        <v>546</v>
      </c>
      <c r="W529" s="10">
        <v>225</v>
      </c>
      <c r="X529" s="10" t="s">
        <v>116</v>
      </c>
      <c r="Y529" s="10" t="s">
        <v>652</v>
      </c>
      <c r="Z529" s="10" t="s">
        <v>653</v>
      </c>
      <c r="AA529" s="10" t="s">
        <v>654</v>
      </c>
      <c r="AB529" s="10" t="s">
        <v>655</v>
      </c>
      <c r="AC529" s="10" t="s">
        <v>339</v>
      </c>
      <c r="AD529" s="10" t="s">
        <v>101</v>
      </c>
      <c r="AE529" s="10">
        <v>3497</v>
      </c>
      <c r="AF529" s="10" t="s">
        <v>656</v>
      </c>
      <c r="AG529" s="44"/>
      <c r="AH529" s="44"/>
      <c r="AI529" s="44" t="s">
        <v>6052</v>
      </c>
      <c r="AJ529" s="44" t="s">
        <v>6058</v>
      </c>
      <c r="AK529" s="44" t="s">
        <v>6069</v>
      </c>
      <c r="AL529" s="44" t="s">
        <v>6052</v>
      </c>
      <c r="AM529" s="44" t="s">
        <v>6052</v>
      </c>
      <c r="AN529" s="44" t="s">
        <v>32736</v>
      </c>
      <c r="AO529" s="45">
        <v>11</v>
      </c>
      <c r="AP529" s="45">
        <v>1</v>
      </c>
      <c r="AQ529" s="45">
        <v>1</v>
      </c>
      <c r="AR529" s="45">
        <v>1</v>
      </c>
      <c r="AS529" s="45">
        <v>0</v>
      </c>
      <c r="AT529" s="45">
        <v>0</v>
      </c>
      <c r="AU529" s="10" t="s">
        <v>32737</v>
      </c>
      <c r="AV529" s="10" t="s">
        <v>32738</v>
      </c>
      <c r="AW529" s="10" t="s">
        <v>6052</v>
      </c>
      <c r="AX529" s="10" t="s">
        <v>6052</v>
      </c>
      <c r="AY529" s="10" t="s">
        <v>32407</v>
      </c>
      <c r="AZ529" s="44" t="s">
        <v>33116</v>
      </c>
      <c r="BA529" s="44" t="s">
        <v>30986</v>
      </c>
      <c r="BB529" s="44" t="s">
        <v>31448</v>
      </c>
      <c r="BC529" s="44" t="s">
        <v>6415</v>
      </c>
      <c r="BD529" s="44" t="s">
        <v>31707</v>
      </c>
      <c r="BE529" s="11">
        <v>1</v>
      </c>
      <c r="BF529" s="11">
        <v>1</v>
      </c>
      <c r="BG529" s="11">
        <v>0</v>
      </c>
      <c r="BH529" s="10" t="s">
        <v>31782</v>
      </c>
      <c r="BI529" s="11">
        <v>100</v>
      </c>
      <c r="BJ529" s="10" t="s">
        <v>33506</v>
      </c>
      <c r="BK529" s="11">
        <v>100</v>
      </c>
    </row>
    <row r="530" spans="1:63" x14ac:dyDescent="0.75">
      <c r="A530" t="s">
        <v>622</v>
      </c>
      <c r="B530" t="s">
        <v>104</v>
      </c>
      <c r="C530" t="s">
        <v>623</v>
      </c>
      <c r="D530" t="s">
        <v>624</v>
      </c>
      <c r="E530" s="22" t="s">
        <v>8443</v>
      </c>
      <c r="F530" t="s">
        <v>625</v>
      </c>
      <c r="G530" s="1" t="str">
        <f>HYPERLINK("https://homd.org/jbrowse/?data=homd_V11.02_phage_1.2%2FGCA_000243015.1&amp;loc=GCA_000243015.1%7CJH594501.1%3A298489..306198&amp;tracks=prokka,prokka_ncrna,ncbi,ncbi_ncrna,panggolin,cenote,genomad&amp;highlight=","Open JBrowse")</f>
        <v>Open JBrowse</v>
      </c>
      <c r="H530" s="10">
        <v>301489</v>
      </c>
      <c r="I530" s="10">
        <v>303198</v>
      </c>
      <c r="J530" s="10" t="s">
        <v>626</v>
      </c>
      <c r="K530" s="10" t="s">
        <v>627</v>
      </c>
      <c r="L530" s="10" t="s">
        <v>628</v>
      </c>
      <c r="M530" s="10" t="s">
        <v>629</v>
      </c>
      <c r="N530" s="10" t="s">
        <v>42</v>
      </c>
      <c r="O530" s="10">
        <v>3</v>
      </c>
      <c r="P530" s="10" t="s">
        <v>630</v>
      </c>
      <c r="Q530" s="10" t="s">
        <v>43</v>
      </c>
      <c r="R530" s="10" t="s">
        <v>631</v>
      </c>
      <c r="S530" s="10" t="s">
        <v>632</v>
      </c>
      <c r="T530" s="10" t="s">
        <v>42</v>
      </c>
      <c r="U530" s="10">
        <v>305</v>
      </c>
      <c r="V530" s="10">
        <v>564</v>
      </c>
      <c r="W530" s="10">
        <v>260</v>
      </c>
      <c r="X530" s="10" t="s">
        <v>633</v>
      </c>
      <c r="Y530" s="10" t="s">
        <v>634</v>
      </c>
      <c r="Z530" s="10" t="s">
        <v>336</v>
      </c>
      <c r="AA530" s="10" t="s">
        <v>635</v>
      </c>
      <c r="AB530" s="10" t="s">
        <v>636</v>
      </c>
      <c r="AC530" s="10" t="s">
        <v>637</v>
      </c>
      <c r="AD530" s="10" t="s">
        <v>638</v>
      </c>
      <c r="AE530" s="10">
        <v>4191</v>
      </c>
      <c r="AF530" s="10" t="s">
        <v>639</v>
      </c>
      <c r="AG530" s="44"/>
      <c r="AH530" s="44"/>
      <c r="AI530" s="44" t="s">
        <v>6052</v>
      </c>
      <c r="AJ530" s="44" t="s">
        <v>6058</v>
      </c>
      <c r="AK530" s="44" t="s">
        <v>6052</v>
      </c>
      <c r="AL530" s="44" t="s">
        <v>6052</v>
      </c>
      <c r="AM530" s="44" t="s">
        <v>6052</v>
      </c>
      <c r="AN530" s="44" t="s">
        <v>32984</v>
      </c>
      <c r="AO530" s="45">
        <v>11</v>
      </c>
      <c r="AP530" s="45">
        <v>1</v>
      </c>
      <c r="AQ530" s="45">
        <v>2</v>
      </c>
      <c r="AR530" s="45">
        <v>2</v>
      </c>
      <c r="AS530" s="45">
        <v>0</v>
      </c>
      <c r="AT530" s="45">
        <v>0</v>
      </c>
      <c r="AU530" s="10" t="s">
        <v>32985</v>
      </c>
      <c r="AV530" s="10" t="s">
        <v>32986</v>
      </c>
      <c r="AW530" s="10" t="s">
        <v>6052</v>
      </c>
      <c r="AX530" s="10" t="s">
        <v>6052</v>
      </c>
      <c r="AY530" s="10" t="s">
        <v>32394</v>
      </c>
      <c r="AZ530" s="44" t="s">
        <v>33116</v>
      </c>
      <c r="BA530" s="44" t="s">
        <v>31099</v>
      </c>
      <c r="BB530" s="44" t="s">
        <v>31612</v>
      </c>
      <c r="BC530" s="44" t="s">
        <v>6564</v>
      </c>
      <c r="BD530" s="44" t="s">
        <v>31710</v>
      </c>
      <c r="BE530" s="11">
        <v>1</v>
      </c>
      <c r="BF530" s="11">
        <v>1</v>
      </c>
      <c r="BG530" s="11">
        <v>0</v>
      </c>
      <c r="BH530" s="10" t="s">
        <v>32057</v>
      </c>
      <c r="BI530" s="11">
        <v>100</v>
      </c>
      <c r="BJ530" s="10" t="s">
        <v>33557</v>
      </c>
      <c r="BK530" s="11">
        <v>100</v>
      </c>
    </row>
    <row r="531" spans="1:63" x14ac:dyDescent="0.75">
      <c r="A531" t="s">
        <v>424</v>
      </c>
      <c r="B531" t="s">
        <v>104</v>
      </c>
      <c r="C531" t="s">
        <v>241</v>
      </c>
      <c r="D531" t="s">
        <v>242</v>
      </c>
      <c r="E531" s="22" t="s">
        <v>7377</v>
      </c>
      <c r="F531" t="s">
        <v>425</v>
      </c>
      <c r="G531" s="1" t="str">
        <f>HYPERLINK("https://homd.org/jbrowse/?data=homd_V11.02_phage_1.2%2FGCA_000184945.1&amp;loc=GCA_000184945.1%7CGL586311.1%3A737182..744288&amp;tracks=prokka,prokka_ncrna,ncbi,ncbi_ncrna,panggolin,cenote,genomad&amp;highlight=","Open JBrowse")</f>
        <v>Open JBrowse</v>
      </c>
      <c r="H531" s="10">
        <v>740182</v>
      </c>
      <c r="I531" s="10">
        <v>741288</v>
      </c>
      <c r="J531" s="10" t="s">
        <v>432</v>
      </c>
      <c r="K531" s="10" t="s">
        <v>109</v>
      </c>
      <c r="L531" s="10" t="s">
        <v>245</v>
      </c>
      <c r="M531" s="10" t="s">
        <v>246</v>
      </c>
      <c r="N531" s="10" t="s">
        <v>42</v>
      </c>
      <c r="O531" s="10">
        <v>3</v>
      </c>
      <c r="P531" s="10" t="s">
        <v>42</v>
      </c>
      <c r="Q531" s="10" t="s">
        <v>101</v>
      </c>
      <c r="R531" s="10" t="s">
        <v>427</v>
      </c>
      <c r="S531" s="10" t="s">
        <v>245</v>
      </c>
      <c r="T531" s="10" t="s">
        <v>42</v>
      </c>
      <c r="U531" s="10">
        <v>138</v>
      </c>
      <c r="V531" s="10">
        <v>366</v>
      </c>
      <c r="W531" s="10">
        <v>229</v>
      </c>
      <c r="X531" s="10" t="s">
        <v>248</v>
      </c>
      <c r="Y531" s="10" t="s">
        <v>433</v>
      </c>
      <c r="Z531" s="10" t="s">
        <v>126</v>
      </c>
      <c r="AA531" s="10" t="s">
        <v>250</v>
      </c>
      <c r="AB531" s="10" t="s">
        <v>434</v>
      </c>
      <c r="AC531" s="10" t="s">
        <v>252</v>
      </c>
      <c r="AD531" s="10" t="s">
        <v>101</v>
      </c>
      <c r="AE531" s="10">
        <v>2696</v>
      </c>
      <c r="AF531" s="10" t="s">
        <v>253</v>
      </c>
      <c r="AG531" s="44"/>
      <c r="AH531" s="44"/>
      <c r="AI531" s="44" t="s">
        <v>6052</v>
      </c>
      <c r="AJ531" s="44" t="s">
        <v>6058</v>
      </c>
      <c r="AK531" s="44" t="s">
        <v>6052</v>
      </c>
      <c r="AL531" s="44" t="s">
        <v>6052</v>
      </c>
      <c r="AM531" s="44" t="s">
        <v>6052</v>
      </c>
      <c r="AN531" s="44" t="s">
        <v>32531</v>
      </c>
      <c r="AO531" s="45">
        <v>11</v>
      </c>
      <c r="AP531" s="45">
        <v>1</v>
      </c>
      <c r="AQ531" s="45">
        <v>1</v>
      </c>
      <c r="AR531" s="45">
        <v>1</v>
      </c>
      <c r="AS531" s="45">
        <v>0</v>
      </c>
      <c r="AT531" s="45">
        <v>0</v>
      </c>
      <c r="AU531" s="10" t="s">
        <v>32532</v>
      </c>
      <c r="AV531" s="10" t="s">
        <v>32533</v>
      </c>
      <c r="AW531" s="10" t="s">
        <v>6052</v>
      </c>
      <c r="AX531" s="10" t="s">
        <v>6052</v>
      </c>
      <c r="AY531" s="10" t="s">
        <v>32271</v>
      </c>
      <c r="AZ531" s="44" t="s">
        <v>33116</v>
      </c>
      <c r="BA531" s="44" t="s">
        <v>30900</v>
      </c>
      <c r="BB531" s="44" t="s">
        <v>31321</v>
      </c>
      <c r="BC531" s="44" t="s">
        <v>6564</v>
      </c>
      <c r="BD531" s="44" t="s">
        <v>31710</v>
      </c>
      <c r="BE531" s="11">
        <v>1</v>
      </c>
      <c r="BF531" s="11">
        <v>1</v>
      </c>
      <c r="BG531" s="11">
        <v>0</v>
      </c>
      <c r="BH531" s="10" t="s">
        <v>31808</v>
      </c>
      <c r="BI531" s="11">
        <v>100</v>
      </c>
      <c r="BJ531" s="10" t="s">
        <v>33552</v>
      </c>
      <c r="BK531" s="11">
        <v>100</v>
      </c>
    </row>
    <row r="532" spans="1:63" x14ac:dyDescent="0.75">
      <c r="A532" t="s">
        <v>403</v>
      </c>
      <c r="B532" t="s">
        <v>104</v>
      </c>
      <c r="C532" t="s">
        <v>105</v>
      </c>
      <c r="D532" t="s">
        <v>106</v>
      </c>
      <c r="E532" s="22" t="s">
        <v>7366</v>
      </c>
      <c r="F532" t="s">
        <v>404</v>
      </c>
      <c r="G532" s="1" t="str">
        <f>HYPERLINK("https://homd.org/jbrowse/?data=homd_V11.02_phage_1.2%2FGCA_000183985.1&amp;loc=GCA_000183985.1%7CGL573160.1%3A2294156..2301799&amp;tracks=prokka,prokka_ncrna,ncbi,ncbi_ncrna,panggolin,cenote,genomad&amp;highlight=","Open JBrowse")</f>
        <v>Open JBrowse</v>
      </c>
      <c r="H532" s="10">
        <v>2297156</v>
      </c>
      <c r="I532" s="10">
        <v>2298799</v>
      </c>
      <c r="J532" s="10" t="s">
        <v>418</v>
      </c>
      <c r="K532" s="10" t="s">
        <v>109</v>
      </c>
      <c r="L532" s="10" t="s">
        <v>110</v>
      </c>
      <c r="M532" s="10" t="s">
        <v>333</v>
      </c>
      <c r="N532" s="10" t="s">
        <v>112</v>
      </c>
      <c r="O532" s="10">
        <v>3</v>
      </c>
      <c r="P532" s="10" t="s">
        <v>113</v>
      </c>
      <c r="Q532" s="10" t="s">
        <v>101</v>
      </c>
      <c r="R532" s="10" t="s">
        <v>408</v>
      </c>
      <c r="S532" s="10" t="s">
        <v>115</v>
      </c>
      <c r="T532" s="10" t="s">
        <v>42</v>
      </c>
      <c r="U532" s="10">
        <v>322</v>
      </c>
      <c r="V532" s="10">
        <v>546</v>
      </c>
      <c r="W532" s="10">
        <v>225</v>
      </c>
      <c r="X532" s="10" t="s">
        <v>116</v>
      </c>
      <c r="Y532" s="10" t="s">
        <v>419</v>
      </c>
      <c r="Z532" s="10" t="s">
        <v>420</v>
      </c>
      <c r="AA532" s="10" t="s">
        <v>421</v>
      </c>
      <c r="AB532" s="10" t="s">
        <v>422</v>
      </c>
      <c r="AC532" s="10" t="s">
        <v>339</v>
      </c>
      <c r="AD532" s="10" t="s">
        <v>101</v>
      </c>
      <c r="AE532" s="10">
        <v>3468</v>
      </c>
      <c r="AF532" s="10" t="s">
        <v>423</v>
      </c>
      <c r="AG532" s="44"/>
      <c r="AH532" s="44"/>
      <c r="AI532" s="44" t="s">
        <v>6052</v>
      </c>
      <c r="AJ532" s="44" t="s">
        <v>6058</v>
      </c>
      <c r="AK532" s="44" t="s">
        <v>6069</v>
      </c>
      <c r="AL532" s="44" t="s">
        <v>6052</v>
      </c>
      <c r="AM532" s="44" t="s">
        <v>6052</v>
      </c>
      <c r="AN532" s="44" t="s">
        <v>32672</v>
      </c>
      <c r="AO532" s="45">
        <v>11</v>
      </c>
      <c r="AP532" s="45">
        <v>1</v>
      </c>
      <c r="AQ532" s="45">
        <v>2</v>
      </c>
      <c r="AR532" s="45">
        <v>2</v>
      </c>
      <c r="AS532" s="45">
        <v>0</v>
      </c>
      <c r="AT532" s="45">
        <v>0</v>
      </c>
      <c r="AU532" s="10" t="s">
        <v>32673</v>
      </c>
      <c r="AV532" s="10" t="s">
        <v>32674</v>
      </c>
      <c r="AW532" s="10" t="s">
        <v>6052</v>
      </c>
      <c r="AX532" s="10" t="s">
        <v>6052</v>
      </c>
      <c r="AY532" s="10" t="s">
        <v>32675</v>
      </c>
      <c r="AZ532" s="44" t="s">
        <v>33116</v>
      </c>
      <c r="BA532" s="44" t="s">
        <v>30967</v>
      </c>
      <c r="BB532" s="44" t="s">
        <v>31412</v>
      </c>
      <c r="BC532" s="44" t="s">
        <v>6415</v>
      </c>
      <c r="BD532" s="44" t="s">
        <v>31707</v>
      </c>
      <c r="BE532" s="11">
        <v>1</v>
      </c>
      <c r="BF532" s="11">
        <v>1</v>
      </c>
      <c r="BG532" s="11">
        <v>0</v>
      </c>
      <c r="BH532" s="10" t="s">
        <v>31794</v>
      </c>
      <c r="BI532" s="11">
        <v>100</v>
      </c>
      <c r="BJ532" s="10" t="s">
        <v>33515</v>
      </c>
      <c r="BK532" s="11">
        <v>100</v>
      </c>
    </row>
    <row r="533" spans="1:63" x14ac:dyDescent="0.75">
      <c r="A533" t="s">
        <v>240</v>
      </c>
      <c r="B533" t="s">
        <v>104</v>
      </c>
      <c r="C533" t="s">
        <v>241</v>
      </c>
      <c r="D533" t="s">
        <v>242</v>
      </c>
      <c r="E533" s="22" t="s">
        <v>6990</v>
      </c>
      <c r="F533" t="s">
        <v>243</v>
      </c>
      <c r="G533" s="1" t="str">
        <f>HYPERLINK("https://homd.org/jbrowse/?data=homd_V11.02_phage_1.2%2FGCA_000162455.1&amp;loc=GCA_000162455.1%7CGG739929.1%3A196224..203330&amp;tracks=prokka,prokka_ncrna,ncbi,ncbi_ncrna,panggolin,cenote,genomad&amp;highlight=","Open JBrowse")</f>
        <v>Open JBrowse</v>
      </c>
      <c r="H533" s="10">
        <v>199224</v>
      </c>
      <c r="I533" s="10">
        <v>200330</v>
      </c>
      <c r="J533" s="10" t="s">
        <v>244</v>
      </c>
      <c r="K533" s="10" t="s">
        <v>109</v>
      </c>
      <c r="L533" s="10" t="s">
        <v>245</v>
      </c>
      <c r="M533" s="10" t="s">
        <v>246</v>
      </c>
      <c r="N533" s="10" t="s">
        <v>42</v>
      </c>
      <c r="O533" s="10">
        <v>3</v>
      </c>
      <c r="P533" s="10" t="s">
        <v>42</v>
      </c>
      <c r="Q533" s="10" t="s">
        <v>101</v>
      </c>
      <c r="R533" s="10" t="s">
        <v>247</v>
      </c>
      <c r="S533" s="10" t="s">
        <v>245</v>
      </c>
      <c r="T533" s="10" t="s">
        <v>42</v>
      </c>
      <c r="U533" s="10">
        <v>138</v>
      </c>
      <c r="V533" s="10">
        <v>366</v>
      </c>
      <c r="W533" s="10">
        <v>229</v>
      </c>
      <c r="X533" s="10" t="s">
        <v>248</v>
      </c>
      <c r="Y533" s="10" t="s">
        <v>249</v>
      </c>
      <c r="Z533" s="10" t="s">
        <v>118</v>
      </c>
      <c r="AA533" s="10" t="s">
        <v>250</v>
      </c>
      <c r="AB533" s="10" t="s">
        <v>251</v>
      </c>
      <c r="AC533" s="10" t="s">
        <v>252</v>
      </c>
      <c r="AD533" s="10" t="s">
        <v>101</v>
      </c>
      <c r="AE533" s="10">
        <v>2707</v>
      </c>
      <c r="AF533" s="10" t="s">
        <v>253</v>
      </c>
      <c r="AG533" s="44"/>
      <c r="AH533" s="44"/>
      <c r="AI533" s="44" t="s">
        <v>6052</v>
      </c>
      <c r="AJ533" s="44" t="s">
        <v>6058</v>
      </c>
      <c r="AK533" s="44" t="s">
        <v>6052</v>
      </c>
      <c r="AL533" s="44" t="s">
        <v>6052</v>
      </c>
      <c r="AM533" s="44" t="s">
        <v>6052</v>
      </c>
      <c r="AN533" s="44" t="s">
        <v>32597</v>
      </c>
      <c r="AO533" s="45">
        <v>11</v>
      </c>
      <c r="AP533" s="45">
        <v>1</v>
      </c>
      <c r="AQ533" s="45">
        <v>1</v>
      </c>
      <c r="AR533" s="45">
        <v>1</v>
      </c>
      <c r="AS533" s="45">
        <v>0</v>
      </c>
      <c r="AT533" s="45">
        <v>0</v>
      </c>
      <c r="AU533" s="10" t="s">
        <v>32598</v>
      </c>
      <c r="AV533" s="10" t="s">
        <v>32599</v>
      </c>
      <c r="AW533" s="10" t="s">
        <v>6052</v>
      </c>
      <c r="AX533" s="10" t="s">
        <v>6052</v>
      </c>
      <c r="AY533" s="10" t="s">
        <v>32271</v>
      </c>
      <c r="AZ533" s="44" t="s">
        <v>33116</v>
      </c>
      <c r="BA533" s="44" t="s">
        <v>30927</v>
      </c>
      <c r="BB533" s="44" t="s">
        <v>31363</v>
      </c>
      <c r="BC533" s="44" t="s">
        <v>6564</v>
      </c>
      <c r="BD533" s="44" t="s">
        <v>31710</v>
      </c>
      <c r="BE533" s="11">
        <v>1</v>
      </c>
      <c r="BF533" s="11">
        <v>1</v>
      </c>
      <c r="BG533" s="11">
        <v>0</v>
      </c>
      <c r="BH533" s="10" t="s">
        <v>31814</v>
      </c>
      <c r="BI533" s="11">
        <v>100</v>
      </c>
      <c r="BJ533" s="10" t="s">
        <v>33551</v>
      </c>
      <c r="BK533" s="11">
        <v>100</v>
      </c>
    </row>
    <row r="534" spans="1:63" x14ac:dyDescent="0.75">
      <c r="A534" t="s">
        <v>305</v>
      </c>
      <c r="B534" t="s">
        <v>104</v>
      </c>
      <c r="C534" t="s">
        <v>306</v>
      </c>
      <c r="D534" t="s">
        <v>307</v>
      </c>
      <c r="E534" s="22" t="s">
        <v>7035</v>
      </c>
      <c r="F534" t="s">
        <v>308</v>
      </c>
      <c r="G534" s="1" t="str">
        <f>HYPERLINK("https://homd.org/jbrowse/?data=homd_V11.02_phage_1.2%2FGCA_000163495.1&amp;loc=GCA_000163495.1%7CGG704824.1%3A862724..869842&amp;tracks=prokka,prokka_ncrna,ncbi,ncbi_ncrna,panggolin,cenote,genomad&amp;highlight=","Open JBrowse")</f>
        <v>Open JBrowse</v>
      </c>
      <c r="H534" s="10">
        <v>865724</v>
      </c>
      <c r="I534" s="10">
        <v>866842</v>
      </c>
      <c r="J534" s="10" t="s">
        <v>309</v>
      </c>
      <c r="K534" s="10" t="s">
        <v>109</v>
      </c>
      <c r="L534" s="10" t="s">
        <v>310</v>
      </c>
      <c r="M534" s="10" t="s">
        <v>311</v>
      </c>
      <c r="N534" s="10" t="s">
        <v>42</v>
      </c>
      <c r="O534" s="10">
        <v>3</v>
      </c>
      <c r="P534" s="10" t="s">
        <v>42</v>
      </c>
      <c r="Q534" s="10" t="s">
        <v>101</v>
      </c>
      <c r="R534" s="10" t="s">
        <v>312</v>
      </c>
      <c r="S534" s="10" t="s">
        <v>310</v>
      </c>
      <c r="T534" s="10" t="s">
        <v>42</v>
      </c>
      <c r="U534" s="10">
        <v>142</v>
      </c>
      <c r="V534" s="10">
        <v>370</v>
      </c>
      <c r="W534" s="10">
        <v>229</v>
      </c>
      <c r="X534" s="10" t="s">
        <v>248</v>
      </c>
      <c r="Y534" s="10" t="s">
        <v>313</v>
      </c>
      <c r="Z534" s="10" t="s">
        <v>292</v>
      </c>
      <c r="AA534" s="10" t="s">
        <v>314</v>
      </c>
      <c r="AB534" s="10" t="s">
        <v>315</v>
      </c>
      <c r="AC534" s="10" t="s">
        <v>316</v>
      </c>
      <c r="AD534" s="10" t="s">
        <v>101</v>
      </c>
      <c r="AE534" s="10">
        <v>2690</v>
      </c>
      <c r="AF534" s="10" t="s">
        <v>317</v>
      </c>
      <c r="AG534" s="44"/>
      <c r="AH534" s="44"/>
      <c r="AI534" s="44" t="s">
        <v>6052</v>
      </c>
      <c r="AJ534" s="44" t="s">
        <v>6058</v>
      </c>
      <c r="AK534" s="44" t="s">
        <v>6052</v>
      </c>
      <c r="AL534" s="44" t="s">
        <v>6052</v>
      </c>
      <c r="AM534" s="44" t="s">
        <v>6052</v>
      </c>
      <c r="AN534" s="44" t="s">
        <v>32681</v>
      </c>
      <c r="AO534" s="45">
        <v>11</v>
      </c>
      <c r="AP534" s="45">
        <v>1</v>
      </c>
      <c r="AQ534" s="45">
        <v>1</v>
      </c>
      <c r="AR534" s="45">
        <v>1</v>
      </c>
      <c r="AS534" s="45">
        <v>0</v>
      </c>
      <c r="AT534" s="45">
        <v>0</v>
      </c>
      <c r="AU534" s="10" t="s">
        <v>32682</v>
      </c>
      <c r="AV534" s="10" t="s">
        <v>32683</v>
      </c>
      <c r="AW534" s="10" t="s">
        <v>6052</v>
      </c>
      <c r="AX534" s="10" t="s">
        <v>6052</v>
      </c>
      <c r="AY534" s="10" t="s">
        <v>32407</v>
      </c>
      <c r="AZ534" s="44" t="s">
        <v>33116</v>
      </c>
      <c r="BA534" s="44" t="s">
        <v>30971</v>
      </c>
      <c r="BB534" s="44" t="s">
        <v>31416</v>
      </c>
      <c r="BC534" s="44" t="s">
        <v>6634</v>
      </c>
      <c r="BD534" s="44" t="s">
        <v>31722</v>
      </c>
      <c r="BE534" s="11">
        <v>1</v>
      </c>
      <c r="BF534" s="11">
        <v>1</v>
      </c>
      <c r="BG534" s="11">
        <v>0</v>
      </c>
      <c r="BH534" s="10" t="s">
        <v>31798</v>
      </c>
      <c r="BI534" s="11">
        <v>100</v>
      </c>
      <c r="BJ534" s="10" t="s">
        <v>33542</v>
      </c>
      <c r="BK534" s="11">
        <v>100</v>
      </c>
    </row>
    <row r="535" spans="1:63" x14ac:dyDescent="0.75">
      <c r="A535" t="s">
        <v>1997</v>
      </c>
      <c r="B535" t="s">
        <v>104</v>
      </c>
      <c r="C535" t="s">
        <v>1998</v>
      </c>
      <c r="D535" t="s">
        <v>1999</v>
      </c>
      <c r="E535" s="22" t="s">
        <v>14719</v>
      </c>
      <c r="F535" t="s">
        <v>2000</v>
      </c>
      <c r="G535" s="1" t="str">
        <f>HYPERLINK("https://homd.org/jbrowse/?data=homd_V11.02_phage_1.2%2FGCA_002998535.1&amp;loc=GCA_002998535.1%7CCP027234.1%3A578590..585678&amp;tracks=prokka,prokka_ncrna,ncbi,ncbi_ncrna,panggolin,cenote,genomad&amp;highlight=","Open JBrowse")</f>
        <v>Open JBrowse</v>
      </c>
      <c r="H535" s="10">
        <v>581590</v>
      </c>
      <c r="I535" s="10">
        <v>582678</v>
      </c>
      <c r="J535" s="10" t="s">
        <v>2003</v>
      </c>
      <c r="K535" s="10" t="s">
        <v>109</v>
      </c>
      <c r="L535" s="10" t="s">
        <v>2004</v>
      </c>
      <c r="M535" s="10" t="s">
        <v>2005</v>
      </c>
      <c r="N535" s="10" t="s">
        <v>42</v>
      </c>
      <c r="O535" s="10">
        <v>3</v>
      </c>
      <c r="P535" s="10" t="s">
        <v>42</v>
      </c>
      <c r="Q535" s="10" t="s">
        <v>101</v>
      </c>
      <c r="R535" s="10" t="s">
        <v>2002</v>
      </c>
      <c r="S535" s="10" t="s">
        <v>2004</v>
      </c>
      <c r="T535" s="10" t="s">
        <v>42</v>
      </c>
      <c r="U535" s="10">
        <v>123</v>
      </c>
      <c r="V535" s="10">
        <v>359</v>
      </c>
      <c r="W535" s="10">
        <v>237</v>
      </c>
      <c r="X535" s="10" t="s">
        <v>248</v>
      </c>
      <c r="Y535" s="10" t="s">
        <v>2006</v>
      </c>
      <c r="Z535" s="10" t="s">
        <v>2007</v>
      </c>
      <c r="AA535" s="10" t="s">
        <v>2008</v>
      </c>
      <c r="AB535" s="10" t="s">
        <v>2009</v>
      </c>
      <c r="AC535" s="10" t="s">
        <v>2010</v>
      </c>
      <c r="AD535" s="10" t="s">
        <v>101</v>
      </c>
      <c r="AE535" s="10">
        <v>4428</v>
      </c>
      <c r="AF535" s="10" t="s">
        <v>2011</v>
      </c>
      <c r="AG535" s="44"/>
      <c r="AH535" s="44"/>
      <c r="AI535" s="44" t="s">
        <v>6052</v>
      </c>
      <c r="AJ535" s="44" t="s">
        <v>6058</v>
      </c>
      <c r="AK535" s="44" t="s">
        <v>6052</v>
      </c>
      <c r="AL535" s="44" t="s">
        <v>6052</v>
      </c>
      <c r="AM535" s="44" t="s">
        <v>6052</v>
      </c>
      <c r="AN535" s="44" t="s">
        <v>32660</v>
      </c>
      <c r="AO535" s="45">
        <v>11</v>
      </c>
      <c r="AP535" s="45">
        <v>1</v>
      </c>
      <c r="AQ535" s="45">
        <v>1</v>
      </c>
      <c r="AR535" s="45">
        <v>1</v>
      </c>
      <c r="AS535" s="45">
        <v>0</v>
      </c>
      <c r="AT535" s="45">
        <v>0</v>
      </c>
      <c r="AU535" s="10" t="s">
        <v>32661</v>
      </c>
      <c r="AV535" s="10" t="s">
        <v>32662</v>
      </c>
      <c r="AW535" s="10" t="s">
        <v>6052</v>
      </c>
      <c r="AX535" s="10" t="s">
        <v>6052</v>
      </c>
      <c r="AY535" s="10" t="s">
        <v>32407</v>
      </c>
      <c r="AZ535" s="44" t="s">
        <v>33116</v>
      </c>
      <c r="BA535" s="44" t="s">
        <v>30959</v>
      </c>
      <c r="BB535" s="44" t="s">
        <v>31402</v>
      </c>
      <c r="BC535" s="44" t="s">
        <v>6718</v>
      </c>
      <c r="BD535" s="44" t="s">
        <v>31717</v>
      </c>
      <c r="BE535" s="11">
        <v>1</v>
      </c>
      <c r="BF535" s="11">
        <v>1</v>
      </c>
      <c r="BG535" s="11">
        <v>0</v>
      </c>
      <c r="BH535" s="10" t="s">
        <v>31750</v>
      </c>
      <c r="BI535" s="11">
        <v>100</v>
      </c>
      <c r="BJ535" s="10" t="s">
        <v>33496</v>
      </c>
      <c r="BK535" s="11">
        <v>100</v>
      </c>
    </row>
    <row r="536" spans="1:63" x14ac:dyDescent="0.75">
      <c r="A536" t="s">
        <v>2012</v>
      </c>
      <c r="B536" t="s">
        <v>104</v>
      </c>
      <c r="C536" t="s">
        <v>105</v>
      </c>
      <c r="D536" t="s">
        <v>106</v>
      </c>
      <c r="E536" s="22" t="s">
        <v>14727</v>
      </c>
      <c r="F536" t="s">
        <v>2013</v>
      </c>
      <c r="G536" s="1" t="str">
        <f>HYPERLINK("https://homd.org/jbrowse/?data=homd_V11.02_phage_1.2%2FGCA_002998835.1&amp;loc=GCA_002998835.1%7CCP027232.1%3A1553359..1561002&amp;tracks=prokka,prokka_ncrna,ncbi,ncbi_ncrna,panggolin,cenote,genomad&amp;highlight=","Open JBrowse")</f>
        <v>Open JBrowse</v>
      </c>
      <c r="H536" s="10">
        <v>1556359</v>
      </c>
      <c r="I536" s="10">
        <v>1558002</v>
      </c>
      <c r="J536" s="10" t="s">
        <v>2014</v>
      </c>
      <c r="K536" s="10" t="s">
        <v>109</v>
      </c>
      <c r="L536" s="10" t="s">
        <v>110</v>
      </c>
      <c r="M536" s="10" t="s">
        <v>333</v>
      </c>
      <c r="N536" s="10" t="s">
        <v>112</v>
      </c>
      <c r="O536" s="10">
        <v>3</v>
      </c>
      <c r="P536" s="10" t="s">
        <v>113</v>
      </c>
      <c r="Q536" s="10" t="s">
        <v>101</v>
      </c>
      <c r="R536" s="10" t="s">
        <v>2015</v>
      </c>
      <c r="S536" s="10" t="s">
        <v>115</v>
      </c>
      <c r="T536" s="10" t="s">
        <v>42</v>
      </c>
      <c r="U536" s="10">
        <v>322</v>
      </c>
      <c r="V536" s="10">
        <v>546</v>
      </c>
      <c r="W536" s="10">
        <v>225</v>
      </c>
      <c r="X536" s="10" t="s">
        <v>116</v>
      </c>
      <c r="Y536" s="10" t="s">
        <v>2016</v>
      </c>
      <c r="Z536" s="10" t="s">
        <v>97</v>
      </c>
      <c r="AA536" s="10" t="s">
        <v>2017</v>
      </c>
      <c r="AB536" s="10" t="s">
        <v>2018</v>
      </c>
      <c r="AC536" s="10" t="s">
        <v>1551</v>
      </c>
      <c r="AD536" s="10" t="s">
        <v>101</v>
      </c>
      <c r="AE536" s="10">
        <v>3256</v>
      </c>
      <c r="AF536" s="10" t="s">
        <v>1552</v>
      </c>
      <c r="AG536" s="44"/>
      <c r="AH536" s="44"/>
      <c r="AI536" s="44" t="s">
        <v>6052</v>
      </c>
      <c r="AJ536" s="44" t="s">
        <v>6058</v>
      </c>
      <c r="AK536" s="44" t="s">
        <v>6069</v>
      </c>
      <c r="AL536" s="44" t="s">
        <v>6052</v>
      </c>
      <c r="AM536" s="44" t="s">
        <v>6052</v>
      </c>
      <c r="AN536" s="44" t="s">
        <v>32752</v>
      </c>
      <c r="AO536" s="45">
        <v>11</v>
      </c>
      <c r="AP536" s="45">
        <v>1</v>
      </c>
      <c r="AQ536" s="45">
        <v>2</v>
      </c>
      <c r="AR536" s="45">
        <v>2</v>
      </c>
      <c r="AS536" s="45">
        <v>0</v>
      </c>
      <c r="AT536" s="45">
        <v>0</v>
      </c>
      <c r="AU536" s="10" t="s">
        <v>32753</v>
      </c>
      <c r="AV536" s="10" t="s">
        <v>32754</v>
      </c>
      <c r="AW536" s="10" t="s">
        <v>6052</v>
      </c>
      <c r="AX536" s="10" t="s">
        <v>6052</v>
      </c>
      <c r="AY536" s="10" t="s">
        <v>32755</v>
      </c>
      <c r="AZ536" s="44" t="s">
        <v>33116</v>
      </c>
      <c r="BA536" s="44" t="s">
        <v>30990</v>
      </c>
      <c r="BB536" s="44" t="s">
        <v>31458</v>
      </c>
      <c r="BC536" s="44" t="s">
        <v>6415</v>
      </c>
      <c r="BD536" s="44" t="s">
        <v>31707</v>
      </c>
      <c r="BE536" s="11">
        <v>1</v>
      </c>
      <c r="BF536" s="11">
        <v>1</v>
      </c>
      <c r="BG536" s="11">
        <v>0</v>
      </c>
      <c r="BH536" s="10" t="s">
        <v>31776</v>
      </c>
      <c r="BI536" s="11">
        <v>100</v>
      </c>
      <c r="BJ536" s="10" t="s">
        <v>33521</v>
      </c>
      <c r="BK536" s="11">
        <v>100</v>
      </c>
    </row>
    <row r="537" spans="1:63" x14ac:dyDescent="0.75">
      <c r="A537" t="s">
        <v>2024</v>
      </c>
      <c r="B537" t="s">
        <v>104</v>
      </c>
      <c r="C537" t="s">
        <v>2025</v>
      </c>
      <c r="D537" t="s">
        <v>474</v>
      </c>
      <c r="E537" s="22" t="s">
        <v>14741</v>
      </c>
      <c r="F537" t="s">
        <v>2026</v>
      </c>
      <c r="G537" s="1" t="str">
        <f>HYPERLINK("https://homd.org/jbrowse/?data=homd_V11.02_phage_1.2%2FGCA_002999135.1&amp;loc=GCA_002999135.1%7CCP027229.1%3A1685289..1692095&amp;tracks=prokka,prokka_ncrna,ncbi,ncbi_ncrna,panggolin,cenote,genomad&amp;highlight=","Open JBrowse")</f>
        <v>Open JBrowse</v>
      </c>
      <c r="H537" s="10">
        <v>1688289</v>
      </c>
      <c r="I537" s="10">
        <v>1689095</v>
      </c>
      <c r="J537" s="10" t="s">
        <v>2027</v>
      </c>
      <c r="K537" s="10" t="s">
        <v>39</v>
      </c>
      <c r="L537" s="10" t="s">
        <v>2028</v>
      </c>
      <c r="M537" s="10" t="s">
        <v>2029</v>
      </c>
      <c r="N537" s="10" t="s">
        <v>42</v>
      </c>
      <c r="O537" s="10">
        <v>3</v>
      </c>
      <c r="P537" s="10" t="s">
        <v>42</v>
      </c>
      <c r="Q537" s="10" t="s">
        <v>43</v>
      </c>
      <c r="R537" s="10" t="s">
        <v>2030</v>
      </c>
      <c r="S537" s="10" t="s">
        <v>2028</v>
      </c>
      <c r="T537" s="10" t="s">
        <v>42</v>
      </c>
      <c r="U537" s="10">
        <v>40</v>
      </c>
      <c r="V537" s="10">
        <v>266</v>
      </c>
      <c r="W537" s="10">
        <v>227</v>
      </c>
      <c r="X537" s="10" t="s">
        <v>45</v>
      </c>
      <c r="Y537" s="10" t="s">
        <v>2031</v>
      </c>
      <c r="Z537" s="10" t="s">
        <v>346</v>
      </c>
      <c r="AA537" s="10" t="s">
        <v>2032</v>
      </c>
      <c r="AB537" s="10" t="s">
        <v>2033</v>
      </c>
      <c r="AC537" s="10" t="s">
        <v>2034</v>
      </c>
      <c r="AD537" s="10" t="s">
        <v>1213</v>
      </c>
      <c r="AE537" s="10">
        <v>249.2</v>
      </c>
      <c r="AF537" s="10" t="s">
        <v>2035</v>
      </c>
      <c r="AG537" s="44"/>
      <c r="AH537" s="44"/>
      <c r="AI537" s="44" t="s">
        <v>6052</v>
      </c>
      <c r="AJ537" s="44" t="s">
        <v>6058</v>
      </c>
      <c r="AK537" s="44" t="s">
        <v>6062</v>
      </c>
      <c r="AL537" s="44" t="s">
        <v>6052</v>
      </c>
      <c r="AM537" s="44" t="s">
        <v>6052</v>
      </c>
      <c r="AN537" s="44" t="s">
        <v>32760</v>
      </c>
      <c r="AO537" s="45">
        <v>11</v>
      </c>
      <c r="AP537" s="45">
        <v>1</v>
      </c>
      <c r="AQ537" s="45">
        <v>1</v>
      </c>
      <c r="AR537" s="45">
        <v>1</v>
      </c>
      <c r="AS537" s="45">
        <v>0</v>
      </c>
      <c r="AT537" s="45">
        <v>0</v>
      </c>
      <c r="AU537" s="10" t="s">
        <v>32761</v>
      </c>
      <c r="AV537" s="10" t="s">
        <v>32762</v>
      </c>
      <c r="AW537" s="10" t="s">
        <v>6052</v>
      </c>
      <c r="AX537" s="10" t="s">
        <v>6052</v>
      </c>
      <c r="AY537" s="10" t="s">
        <v>32644</v>
      </c>
      <c r="AZ537" s="44" t="s">
        <v>33117</v>
      </c>
      <c r="BA537" s="44" t="s">
        <v>30994</v>
      </c>
      <c r="BB537" s="44" t="s">
        <v>31462</v>
      </c>
      <c r="BC537" s="44" t="s">
        <v>6415</v>
      </c>
      <c r="BD537" s="44" t="s">
        <v>31707</v>
      </c>
      <c r="BE537" s="11">
        <v>1</v>
      </c>
      <c r="BF537" s="11">
        <v>1</v>
      </c>
      <c r="BG537" s="11">
        <v>0</v>
      </c>
      <c r="BH537" s="10" t="s">
        <v>31911</v>
      </c>
      <c r="BI537" s="11">
        <v>100</v>
      </c>
      <c r="BJ537" s="10" t="s">
        <v>33535</v>
      </c>
      <c r="BK537" s="11">
        <v>100</v>
      </c>
    </row>
    <row r="538" spans="1:63" x14ac:dyDescent="0.75">
      <c r="A538" t="s">
        <v>1812</v>
      </c>
      <c r="B538" t="s">
        <v>104</v>
      </c>
      <c r="C538" t="s">
        <v>329</v>
      </c>
      <c r="D538" t="s">
        <v>330</v>
      </c>
      <c r="E538" s="22" t="s">
        <v>13898</v>
      </c>
      <c r="F538" t="s">
        <v>1813</v>
      </c>
      <c r="G538" s="1" t="str">
        <f>HYPERLINK("https://homd.org/jbrowse/?data=homd_V11.02_phage_1.2%2FGCA_002302395.1&amp;loc=GCA_002302395.1%7CCP022385.1%3A1908526..1916169&amp;tracks=prokka,prokka_ncrna,ncbi,ncbi_ncrna,panggolin,cenote,genomad&amp;highlight=","Open JBrowse")</f>
        <v>Open JBrowse</v>
      </c>
      <c r="H538" s="10">
        <v>1911526</v>
      </c>
      <c r="I538" s="10">
        <v>1913169</v>
      </c>
      <c r="J538" s="10" t="s">
        <v>1814</v>
      </c>
      <c r="K538" s="10" t="s">
        <v>109</v>
      </c>
      <c r="L538" s="10" t="s">
        <v>110</v>
      </c>
      <c r="M538" s="10" t="s">
        <v>333</v>
      </c>
      <c r="N538" s="10" t="s">
        <v>112</v>
      </c>
      <c r="O538" s="10">
        <v>3</v>
      </c>
      <c r="P538" s="10" t="s">
        <v>113</v>
      </c>
      <c r="Q538" s="10" t="s">
        <v>101</v>
      </c>
      <c r="R538" s="10" t="s">
        <v>1815</v>
      </c>
      <c r="S538" s="10" t="s">
        <v>115</v>
      </c>
      <c r="T538" s="10" t="s">
        <v>42</v>
      </c>
      <c r="U538" s="10">
        <v>322</v>
      </c>
      <c r="V538" s="10">
        <v>546</v>
      </c>
      <c r="W538" s="10">
        <v>225</v>
      </c>
      <c r="X538" s="10" t="s">
        <v>116</v>
      </c>
      <c r="Y538" s="10" t="s">
        <v>1816</v>
      </c>
      <c r="Z538" s="10" t="s">
        <v>824</v>
      </c>
      <c r="AA538" s="10" t="s">
        <v>337</v>
      </c>
      <c r="AB538" s="10" t="s">
        <v>1817</v>
      </c>
      <c r="AC538" s="10" t="s">
        <v>339</v>
      </c>
      <c r="AD538" s="10" t="s">
        <v>101</v>
      </c>
      <c r="AE538" s="10">
        <v>2869</v>
      </c>
      <c r="AF538" s="10" t="s">
        <v>340</v>
      </c>
      <c r="AG538" s="44"/>
      <c r="AH538" s="44"/>
      <c r="AI538" s="44" t="s">
        <v>6052</v>
      </c>
      <c r="AJ538" s="44" t="s">
        <v>6058</v>
      </c>
      <c r="AK538" s="44" t="s">
        <v>6069</v>
      </c>
      <c r="AL538" s="44" t="s">
        <v>6052</v>
      </c>
      <c r="AM538" s="44" t="s">
        <v>6052</v>
      </c>
      <c r="AN538" s="44" t="s">
        <v>32877</v>
      </c>
      <c r="AO538" s="45">
        <v>11</v>
      </c>
      <c r="AP538" s="45">
        <v>1</v>
      </c>
      <c r="AQ538" s="45">
        <v>1</v>
      </c>
      <c r="AR538" s="45">
        <v>1</v>
      </c>
      <c r="AS538" s="45">
        <v>0</v>
      </c>
      <c r="AT538" s="45">
        <v>0</v>
      </c>
      <c r="AU538" s="10" t="s">
        <v>32878</v>
      </c>
      <c r="AV538" s="10" t="s">
        <v>32879</v>
      </c>
      <c r="AW538" s="10" t="s">
        <v>6052</v>
      </c>
      <c r="AX538" s="10" t="s">
        <v>6052</v>
      </c>
      <c r="AY538" s="10" t="s">
        <v>32407</v>
      </c>
      <c r="AZ538" s="44" t="s">
        <v>33116</v>
      </c>
      <c r="BA538" s="44" t="s">
        <v>31064</v>
      </c>
      <c r="BB538" s="44" t="s">
        <v>31553</v>
      </c>
      <c r="BC538" s="44" t="s">
        <v>6415</v>
      </c>
      <c r="BD538" s="44" t="s">
        <v>31707</v>
      </c>
      <c r="BE538" s="11">
        <v>1</v>
      </c>
      <c r="BF538" s="11">
        <v>1</v>
      </c>
      <c r="BG538" s="11">
        <v>0</v>
      </c>
      <c r="BH538" s="10" t="s">
        <v>31819</v>
      </c>
      <c r="BI538" s="11">
        <v>100</v>
      </c>
      <c r="BJ538" s="10" t="s">
        <v>33538</v>
      </c>
      <c r="BK538" s="11">
        <v>100</v>
      </c>
    </row>
    <row r="539" spans="1:63" x14ac:dyDescent="0.75">
      <c r="A539" t="s">
        <v>1847</v>
      </c>
      <c r="B539" t="s">
        <v>104</v>
      </c>
      <c r="C539" t="s">
        <v>514</v>
      </c>
      <c r="D539" t="s">
        <v>515</v>
      </c>
      <c r="E539" s="22" t="s">
        <v>13906</v>
      </c>
      <c r="F539" t="s">
        <v>1848</v>
      </c>
      <c r="G539" s="1" t="str">
        <f>HYPERLINK("https://homd.org/jbrowse/?data=homd_V11.02_phage_1.2%2FGCA_002302615.1&amp;loc=GCA_002302615.1%7CCP022384.1%3A1203406..1210242&amp;tracks=prokka,prokka_ncrna,ncbi,ncbi_ncrna,panggolin,cenote,genomad&amp;highlight=","Open JBrowse")</f>
        <v>Open JBrowse</v>
      </c>
      <c r="H539" s="10">
        <v>1206406</v>
      </c>
      <c r="I539" s="10">
        <v>1207242</v>
      </c>
      <c r="J539" s="10" t="s">
        <v>1849</v>
      </c>
      <c r="K539" s="10" t="s">
        <v>39</v>
      </c>
      <c r="L539" s="10" t="s">
        <v>518</v>
      </c>
      <c r="M539" s="10" t="s">
        <v>519</v>
      </c>
      <c r="N539" s="10" t="s">
        <v>42</v>
      </c>
      <c r="O539" s="10">
        <v>3</v>
      </c>
      <c r="P539" s="10" t="s">
        <v>42</v>
      </c>
      <c r="Q539" s="10" t="s">
        <v>43</v>
      </c>
      <c r="R539" s="10" t="s">
        <v>1850</v>
      </c>
      <c r="S539" s="10" t="s">
        <v>518</v>
      </c>
      <c r="T539" s="10" t="s">
        <v>42</v>
      </c>
      <c r="U539" s="10">
        <v>47</v>
      </c>
      <c r="V539" s="10">
        <v>274</v>
      </c>
      <c r="W539" s="10">
        <v>228</v>
      </c>
      <c r="X539" s="10" t="s">
        <v>45</v>
      </c>
      <c r="Y539" s="10" t="s">
        <v>1851</v>
      </c>
      <c r="Z539" s="10" t="s">
        <v>281</v>
      </c>
      <c r="AA539" s="10" t="s">
        <v>1852</v>
      </c>
      <c r="AB539" s="10" t="s">
        <v>1853</v>
      </c>
      <c r="AC539" s="10" t="s">
        <v>1551</v>
      </c>
      <c r="AD539" s="10" t="s">
        <v>101</v>
      </c>
      <c r="AE539" s="10">
        <v>493</v>
      </c>
      <c r="AF539" s="10" t="s">
        <v>102</v>
      </c>
      <c r="AG539" s="44"/>
      <c r="AH539" s="44"/>
      <c r="AI539" s="44" t="s">
        <v>6052</v>
      </c>
      <c r="AJ539" s="44" t="s">
        <v>6058</v>
      </c>
      <c r="AK539" s="44" t="s">
        <v>6062</v>
      </c>
      <c r="AL539" s="44" t="s">
        <v>6052</v>
      </c>
      <c r="AM539" s="44" t="s">
        <v>6052</v>
      </c>
      <c r="AN539" s="44" t="s">
        <v>32803</v>
      </c>
      <c r="AO539" s="45">
        <v>11</v>
      </c>
      <c r="AP539" s="45">
        <v>1</v>
      </c>
      <c r="AQ539" s="45">
        <v>2</v>
      </c>
      <c r="AR539" s="45">
        <v>2</v>
      </c>
      <c r="AS539" s="45">
        <v>0</v>
      </c>
      <c r="AT539" s="45">
        <v>0</v>
      </c>
      <c r="AU539" s="10" t="s">
        <v>32804</v>
      </c>
      <c r="AV539" s="10" t="s">
        <v>32805</v>
      </c>
      <c r="AW539" s="10" t="s">
        <v>6052</v>
      </c>
      <c r="AX539" s="10" t="s">
        <v>6052</v>
      </c>
      <c r="AY539" s="10" t="s">
        <v>32394</v>
      </c>
      <c r="AZ539" s="44" t="s">
        <v>33116</v>
      </c>
      <c r="BA539" s="44" t="s">
        <v>31017</v>
      </c>
      <c r="BB539" s="44" t="s">
        <v>31491</v>
      </c>
      <c r="BC539" s="44" t="s">
        <v>6415</v>
      </c>
      <c r="BD539" s="44" t="s">
        <v>31707</v>
      </c>
      <c r="BE539" s="11">
        <v>1</v>
      </c>
      <c r="BF539" s="11">
        <v>1</v>
      </c>
      <c r="BG539" s="11">
        <v>0</v>
      </c>
      <c r="BH539" s="10" t="s">
        <v>31830</v>
      </c>
      <c r="BI539" s="11">
        <v>100</v>
      </c>
      <c r="BJ539" s="10" t="s">
        <v>33505</v>
      </c>
      <c r="BK539" s="11">
        <v>100</v>
      </c>
    </row>
    <row r="540" spans="1:63" x14ac:dyDescent="0.75">
      <c r="A540" t="s">
        <v>1836</v>
      </c>
      <c r="B540" t="s">
        <v>104</v>
      </c>
      <c r="C540" t="s">
        <v>329</v>
      </c>
      <c r="D540" t="s">
        <v>330</v>
      </c>
      <c r="E540" s="22" t="s">
        <v>13904</v>
      </c>
      <c r="F540" t="s">
        <v>1837</v>
      </c>
      <c r="G540" s="1" t="str">
        <f>HYPERLINK("https://homd.org/jbrowse/?data=homd_V11.02_phage_1.2%2FGCA_002302595.1&amp;loc=GCA_002302595.1%7CCP022383.1%3A2129485..2137128&amp;tracks=prokka,prokka_ncrna,ncbi,ncbi_ncrna,panggolin,cenote,genomad&amp;highlight=","Open JBrowse")</f>
        <v>Open JBrowse</v>
      </c>
      <c r="H540" s="10">
        <v>2132485</v>
      </c>
      <c r="I540" s="10">
        <v>2134128</v>
      </c>
      <c r="J540" s="10" t="s">
        <v>1840</v>
      </c>
      <c r="K540" s="10" t="s">
        <v>109</v>
      </c>
      <c r="L540" s="10" t="s">
        <v>110</v>
      </c>
      <c r="M540" s="10" t="s">
        <v>333</v>
      </c>
      <c r="N540" s="10" t="s">
        <v>112</v>
      </c>
      <c r="O540" s="10">
        <v>3</v>
      </c>
      <c r="P540" s="10" t="s">
        <v>113</v>
      </c>
      <c r="Q540" s="10" t="s">
        <v>101</v>
      </c>
      <c r="R540" s="10" t="s">
        <v>1839</v>
      </c>
      <c r="S540" s="10" t="s">
        <v>115</v>
      </c>
      <c r="T540" s="10" t="s">
        <v>42</v>
      </c>
      <c r="U540" s="10">
        <v>322</v>
      </c>
      <c r="V540" s="10">
        <v>546</v>
      </c>
      <c r="W540" s="10">
        <v>225</v>
      </c>
      <c r="X540" s="10" t="s">
        <v>116</v>
      </c>
      <c r="Y540" s="10" t="s">
        <v>1841</v>
      </c>
      <c r="Z540" s="10" t="s">
        <v>667</v>
      </c>
      <c r="AA540" s="10" t="s">
        <v>1842</v>
      </c>
      <c r="AB540" s="10" t="s">
        <v>1843</v>
      </c>
      <c r="AC540" s="10" t="s">
        <v>339</v>
      </c>
      <c r="AD540" s="10" t="s">
        <v>101</v>
      </c>
      <c r="AE540" s="10">
        <v>2858</v>
      </c>
      <c r="AF540" s="10" t="s">
        <v>340</v>
      </c>
      <c r="AG540" s="44"/>
      <c r="AH540" s="44"/>
      <c r="AI540" s="44" t="s">
        <v>6052</v>
      </c>
      <c r="AJ540" s="44" t="s">
        <v>6066</v>
      </c>
      <c r="AK540" s="44" t="s">
        <v>6069</v>
      </c>
      <c r="AL540" s="44" t="s">
        <v>6052</v>
      </c>
      <c r="AM540" s="44" t="s">
        <v>6052</v>
      </c>
      <c r="AN540" s="44" t="s">
        <v>32800</v>
      </c>
      <c r="AO540" s="45">
        <v>11</v>
      </c>
      <c r="AP540" s="45">
        <v>1</v>
      </c>
      <c r="AQ540" s="45">
        <v>1</v>
      </c>
      <c r="AR540" s="45">
        <v>1</v>
      </c>
      <c r="AS540" s="45">
        <v>0</v>
      </c>
      <c r="AT540" s="45">
        <v>0</v>
      </c>
      <c r="AU540" s="10" t="s">
        <v>32801</v>
      </c>
      <c r="AV540" s="10" t="s">
        <v>32802</v>
      </c>
      <c r="AW540" s="10" t="s">
        <v>6052</v>
      </c>
      <c r="AX540" s="10" t="s">
        <v>6052</v>
      </c>
      <c r="AY540" s="10" t="s">
        <v>32407</v>
      </c>
      <c r="AZ540" s="44" t="s">
        <v>33116</v>
      </c>
      <c r="BA540" s="44" t="s">
        <v>31016</v>
      </c>
      <c r="BB540" s="44" t="s">
        <v>31490</v>
      </c>
      <c r="BC540" s="44" t="s">
        <v>6415</v>
      </c>
      <c r="BD540" s="44" t="s">
        <v>31707</v>
      </c>
      <c r="BE540" s="11">
        <v>1</v>
      </c>
      <c r="BF540" s="11">
        <v>1</v>
      </c>
      <c r="BG540" s="11">
        <v>0</v>
      </c>
      <c r="BH540" s="10" t="s">
        <v>31770</v>
      </c>
      <c r="BI540" s="11">
        <v>100</v>
      </c>
      <c r="BJ540" s="10" t="s">
        <v>33537</v>
      </c>
      <c r="BK540" s="11">
        <v>100</v>
      </c>
    </row>
    <row r="541" spans="1:63" x14ac:dyDescent="0.75">
      <c r="A541" t="s">
        <v>1825</v>
      </c>
      <c r="B541" t="s">
        <v>104</v>
      </c>
      <c r="C541" t="s">
        <v>329</v>
      </c>
      <c r="D541" t="s">
        <v>330</v>
      </c>
      <c r="E541" s="22" t="s">
        <v>13902</v>
      </c>
      <c r="F541" t="s">
        <v>1826</v>
      </c>
      <c r="G541" s="1" t="str">
        <f>HYPERLINK("https://homd.org/jbrowse/?data=homd_V11.02_phage_1.2%2FGCA_002302495.1&amp;loc=GCA_002302495.1%7CCP022379.1%3A1928944..1936587&amp;tracks=prokka,prokka_ncrna,ncbi,ncbi_ncrna,panggolin,cenote,genomad&amp;highlight=","Open JBrowse")</f>
        <v>Open JBrowse</v>
      </c>
      <c r="H541" s="10">
        <v>1931944</v>
      </c>
      <c r="I541" s="10">
        <v>1933587</v>
      </c>
      <c r="J541" s="10" t="s">
        <v>1827</v>
      </c>
      <c r="K541" s="10" t="s">
        <v>109</v>
      </c>
      <c r="L541" s="10" t="s">
        <v>110</v>
      </c>
      <c r="M541" s="10" t="s">
        <v>333</v>
      </c>
      <c r="N541" s="10" t="s">
        <v>112</v>
      </c>
      <c r="O541" s="10">
        <v>3</v>
      </c>
      <c r="P541" s="10" t="s">
        <v>113</v>
      </c>
      <c r="Q541" s="10" t="s">
        <v>101</v>
      </c>
      <c r="R541" s="10" t="s">
        <v>1828</v>
      </c>
      <c r="S541" s="10" t="s">
        <v>115</v>
      </c>
      <c r="T541" s="10" t="s">
        <v>42</v>
      </c>
      <c r="U541" s="10">
        <v>322</v>
      </c>
      <c r="V541" s="10">
        <v>546</v>
      </c>
      <c r="W541" s="10">
        <v>225</v>
      </c>
      <c r="X541" s="10" t="s">
        <v>116</v>
      </c>
      <c r="Y541" s="10" t="s">
        <v>1829</v>
      </c>
      <c r="Z541" s="10" t="s">
        <v>824</v>
      </c>
      <c r="AA541" s="10" t="s">
        <v>1830</v>
      </c>
      <c r="AB541" s="10" t="s">
        <v>1831</v>
      </c>
      <c r="AC541" s="10" t="s">
        <v>339</v>
      </c>
      <c r="AD541" s="10" t="s">
        <v>101</v>
      </c>
      <c r="AE541" s="10">
        <v>2851</v>
      </c>
      <c r="AF541" s="10" t="s">
        <v>340</v>
      </c>
      <c r="AG541" s="44"/>
      <c r="AH541" s="44"/>
      <c r="AI541" s="44" t="s">
        <v>6052</v>
      </c>
      <c r="AJ541" s="44" t="s">
        <v>6066</v>
      </c>
      <c r="AK541" s="44" t="s">
        <v>6069</v>
      </c>
      <c r="AL541" s="44" t="s">
        <v>6052</v>
      </c>
      <c r="AM541" s="44" t="s">
        <v>6052</v>
      </c>
      <c r="AN541" s="44" t="s">
        <v>32593</v>
      </c>
      <c r="AO541" s="45">
        <v>11</v>
      </c>
      <c r="AP541" s="45">
        <v>1</v>
      </c>
      <c r="AQ541" s="45">
        <v>1</v>
      </c>
      <c r="AR541" s="45">
        <v>1</v>
      </c>
      <c r="AS541" s="45">
        <v>0</v>
      </c>
      <c r="AT541" s="45">
        <v>0</v>
      </c>
      <c r="AU541" s="10" t="s">
        <v>32594</v>
      </c>
      <c r="AV541" s="10" t="s">
        <v>32595</v>
      </c>
      <c r="AW541" s="10" t="s">
        <v>6052</v>
      </c>
      <c r="AX541" s="10" t="s">
        <v>6052</v>
      </c>
      <c r="AY541" s="10" t="s">
        <v>32407</v>
      </c>
      <c r="AZ541" s="44" t="s">
        <v>33116</v>
      </c>
      <c r="BA541" s="44" t="s">
        <v>30926</v>
      </c>
      <c r="BB541" s="44" t="s">
        <v>31361</v>
      </c>
      <c r="BC541" s="44" t="s">
        <v>6415</v>
      </c>
      <c r="BD541" s="44" t="s">
        <v>31707</v>
      </c>
      <c r="BE541" s="11">
        <v>1</v>
      </c>
      <c r="BF541" s="11">
        <v>1</v>
      </c>
      <c r="BG541" s="11">
        <v>0</v>
      </c>
      <c r="BH541" s="10" t="s">
        <v>31767</v>
      </c>
      <c r="BI541" s="11">
        <v>100</v>
      </c>
      <c r="BJ541" s="10" t="s">
        <v>33536</v>
      </c>
      <c r="BK541" s="11">
        <v>100</v>
      </c>
    </row>
    <row r="542" spans="1:63" x14ac:dyDescent="0.75">
      <c r="A542" t="s">
        <v>1733</v>
      </c>
      <c r="B542" t="s">
        <v>104</v>
      </c>
      <c r="C542" t="s">
        <v>814</v>
      </c>
      <c r="D542" t="s">
        <v>815</v>
      </c>
      <c r="E542" s="22" t="s">
        <v>13751</v>
      </c>
      <c r="F542" t="s">
        <v>1734</v>
      </c>
      <c r="G542" s="1" t="str">
        <f>HYPERLINK("https://homd.org/jbrowse/?data=homd_V11.02_phage_1.2%2FGCA_002209445.1&amp;loc=GCA_002209445.1%7CCP022022.1%3A43795..51438&amp;tracks=prokka,prokka_ncrna,ncbi,ncbi_ncrna,panggolin,cenote,genomad&amp;highlight=","Open JBrowse")</f>
        <v>Open JBrowse</v>
      </c>
      <c r="H542" s="10">
        <v>46795</v>
      </c>
      <c r="I542" s="10">
        <v>48438</v>
      </c>
      <c r="J542" s="10" t="s">
        <v>1740</v>
      </c>
      <c r="K542" s="10" t="s">
        <v>109</v>
      </c>
      <c r="L542" s="10" t="s">
        <v>110</v>
      </c>
      <c r="M542" s="10" t="s">
        <v>111</v>
      </c>
      <c r="N542" s="10" t="s">
        <v>112</v>
      </c>
      <c r="O542" s="10">
        <v>3</v>
      </c>
      <c r="P542" s="10" t="s">
        <v>113</v>
      </c>
      <c r="Q542" s="10" t="s">
        <v>101</v>
      </c>
      <c r="R542" s="10" t="s">
        <v>1736</v>
      </c>
      <c r="S542" s="10" t="s">
        <v>115</v>
      </c>
      <c r="T542" s="10" t="s">
        <v>42</v>
      </c>
      <c r="U542" s="10">
        <v>322</v>
      </c>
      <c r="V542" s="10">
        <v>546</v>
      </c>
      <c r="W542" s="10">
        <v>225</v>
      </c>
      <c r="X542" s="10" t="s">
        <v>116</v>
      </c>
      <c r="Y542" s="10" t="s">
        <v>1741</v>
      </c>
      <c r="Z542" s="10" t="s">
        <v>368</v>
      </c>
      <c r="AA542" s="10" t="s">
        <v>1742</v>
      </c>
      <c r="AB542" s="10" t="s">
        <v>1743</v>
      </c>
      <c r="AC542" s="10" t="s">
        <v>339</v>
      </c>
      <c r="AD542" s="10" t="s">
        <v>101</v>
      </c>
      <c r="AE542" s="10">
        <v>3473</v>
      </c>
      <c r="AF542" s="10" t="s">
        <v>681</v>
      </c>
      <c r="AG542" s="44"/>
      <c r="AH542" s="44"/>
      <c r="AI542" s="44" t="s">
        <v>6052</v>
      </c>
      <c r="AJ542" s="44" t="s">
        <v>6058</v>
      </c>
      <c r="AK542" s="44" t="s">
        <v>6063</v>
      </c>
      <c r="AL542" s="44" t="s">
        <v>6052</v>
      </c>
      <c r="AM542" s="44" t="s">
        <v>6052</v>
      </c>
      <c r="AN542" s="44" t="s">
        <v>32578</v>
      </c>
      <c r="AO542" s="45">
        <v>11</v>
      </c>
      <c r="AP542" s="45">
        <v>1</v>
      </c>
      <c r="AQ542" s="45">
        <v>1</v>
      </c>
      <c r="AR542" s="45">
        <v>1</v>
      </c>
      <c r="AS542" s="45">
        <v>0</v>
      </c>
      <c r="AT542" s="45">
        <v>0</v>
      </c>
      <c r="AU542" s="10" t="s">
        <v>32579</v>
      </c>
      <c r="AV542" s="10" t="s">
        <v>32580</v>
      </c>
      <c r="AW542" s="10" t="s">
        <v>6052</v>
      </c>
      <c r="AX542" s="10" t="s">
        <v>6052</v>
      </c>
      <c r="AY542" s="10" t="s">
        <v>32271</v>
      </c>
      <c r="AZ542" s="44" t="s">
        <v>33116</v>
      </c>
      <c r="BA542" s="44" t="s">
        <v>30920</v>
      </c>
      <c r="BB542" s="44" t="s">
        <v>31352</v>
      </c>
      <c r="BC542" s="44" t="s">
        <v>6415</v>
      </c>
      <c r="BD542" s="44" t="s">
        <v>31707</v>
      </c>
      <c r="BE542" s="11">
        <v>1</v>
      </c>
      <c r="BF542" s="11">
        <v>1</v>
      </c>
      <c r="BG542" s="11">
        <v>0</v>
      </c>
      <c r="BH542" s="10" t="s">
        <v>31788</v>
      </c>
      <c r="BI542" s="11">
        <v>100</v>
      </c>
      <c r="BJ542" s="10" t="s">
        <v>33526</v>
      </c>
      <c r="BK542" s="11">
        <v>100</v>
      </c>
    </row>
    <row r="543" spans="1:63" x14ac:dyDescent="0.75">
      <c r="A543" t="s">
        <v>1533</v>
      </c>
      <c r="B543" t="s">
        <v>104</v>
      </c>
      <c r="C543" t="s">
        <v>1534</v>
      </c>
      <c r="D543" t="s">
        <v>1535</v>
      </c>
      <c r="E543" s="22" t="s">
        <v>11908</v>
      </c>
      <c r="F543" t="s">
        <v>1536</v>
      </c>
      <c r="G543" s="1" t="str">
        <f>HYPERLINK("https://homd.org/jbrowse/?data=homd_V11.02_phage_1.2%2FGCA_001553545.1&amp;loc=GCA_001553545.1%7CCP014227.1%3A856933..864600&amp;tracks=prokka,prokka_ncrna,ncbi,ncbi_ncrna,panggolin,cenote,genomad&amp;highlight=","Open JBrowse")</f>
        <v>Open JBrowse</v>
      </c>
      <c r="H543" s="10">
        <v>859933</v>
      </c>
      <c r="I543" s="10">
        <v>861600</v>
      </c>
      <c r="J543" s="10" t="s">
        <v>1544</v>
      </c>
      <c r="K543" s="10" t="s">
        <v>109</v>
      </c>
      <c r="L543" s="10" t="s">
        <v>1545</v>
      </c>
      <c r="M543" s="10" t="s">
        <v>1546</v>
      </c>
      <c r="N543" s="10" t="s">
        <v>112</v>
      </c>
      <c r="O543" s="10">
        <v>3</v>
      </c>
      <c r="P543" s="10" t="s">
        <v>113</v>
      </c>
      <c r="Q543" s="10" t="s">
        <v>101</v>
      </c>
      <c r="R543" s="10" t="s">
        <v>1540</v>
      </c>
      <c r="S543" s="10" t="s">
        <v>1547</v>
      </c>
      <c r="T543" s="10" t="s">
        <v>42</v>
      </c>
      <c r="U543" s="10">
        <v>332</v>
      </c>
      <c r="V543" s="10">
        <v>554</v>
      </c>
      <c r="W543" s="10">
        <v>223</v>
      </c>
      <c r="X543" s="10" t="s">
        <v>116</v>
      </c>
      <c r="Y543" s="10" t="s">
        <v>1548</v>
      </c>
      <c r="Z543" s="10" t="s">
        <v>292</v>
      </c>
      <c r="AA543" s="10" t="s">
        <v>1549</v>
      </c>
      <c r="AB543" s="10" t="s">
        <v>1550</v>
      </c>
      <c r="AC543" s="10" t="s">
        <v>1551</v>
      </c>
      <c r="AD543" s="10" t="s">
        <v>101</v>
      </c>
      <c r="AE543" s="10">
        <v>3308</v>
      </c>
      <c r="AF543" s="10" t="s">
        <v>1552</v>
      </c>
      <c r="AG543" s="44" t="s">
        <v>101</v>
      </c>
      <c r="AH543" s="44">
        <v>2</v>
      </c>
      <c r="AI543" s="44" t="s">
        <v>6052</v>
      </c>
      <c r="AJ543" s="44" t="s">
        <v>6058</v>
      </c>
      <c r="AK543" s="44" t="s">
        <v>6063</v>
      </c>
      <c r="AL543" s="44" t="s">
        <v>6052</v>
      </c>
      <c r="AM543" s="44" t="s">
        <v>6052</v>
      </c>
      <c r="AN543" s="44" t="s">
        <v>32568</v>
      </c>
      <c r="AO543" s="45">
        <v>11</v>
      </c>
      <c r="AP543" s="45">
        <v>1</v>
      </c>
      <c r="AQ543" s="45">
        <v>1</v>
      </c>
      <c r="AR543" s="45">
        <v>0</v>
      </c>
      <c r="AS543" s="45">
        <v>0</v>
      </c>
      <c r="AT543" s="45">
        <v>0</v>
      </c>
      <c r="AU543" s="10" t="s">
        <v>32569</v>
      </c>
      <c r="AV543" s="10" t="s">
        <v>6052</v>
      </c>
      <c r="AW543" s="10" t="s">
        <v>6052</v>
      </c>
      <c r="AX543" s="10" t="s">
        <v>6052</v>
      </c>
      <c r="AY543" s="10" t="s">
        <v>32570</v>
      </c>
      <c r="AZ543" s="44" t="s">
        <v>33116</v>
      </c>
      <c r="BA543" s="44" t="s">
        <v>30916</v>
      </c>
      <c r="BB543" s="44" t="s">
        <v>31346</v>
      </c>
      <c r="BC543" s="44" t="s">
        <v>6415</v>
      </c>
      <c r="BD543" s="44" t="s">
        <v>31707</v>
      </c>
      <c r="BE543" s="11">
        <v>1</v>
      </c>
      <c r="BF543" s="11">
        <v>1</v>
      </c>
      <c r="BG543" s="11">
        <v>0</v>
      </c>
      <c r="BH543" s="10" t="s">
        <v>31759</v>
      </c>
      <c r="BI543" s="11">
        <v>100</v>
      </c>
      <c r="BJ543" s="10" t="s">
        <v>33500</v>
      </c>
      <c r="BK543" s="11">
        <v>100</v>
      </c>
    </row>
    <row r="544" spans="1:63" x14ac:dyDescent="0.75">
      <c r="A544" t="s">
        <v>1439</v>
      </c>
      <c r="B544" t="s">
        <v>104</v>
      </c>
      <c r="C544" t="s">
        <v>105</v>
      </c>
      <c r="D544" t="s">
        <v>106</v>
      </c>
      <c r="E544" s="22" t="s">
        <v>11480</v>
      </c>
      <c r="F544" t="s">
        <v>1440</v>
      </c>
      <c r="G544" s="1" t="str">
        <f>HYPERLINK("https://homd.org/jbrowse/?data=homd_V11.02_phage_1.2%2FGCA_001278825.1&amp;loc=GCA_001278825.1%7CCP012589.1%3A2186543..2194186&amp;tracks=prokka,prokka_ncrna,ncbi,ncbi_ncrna,panggolin,cenote,genomad&amp;highlight=","Open JBrowse")</f>
        <v>Open JBrowse</v>
      </c>
      <c r="H544" s="10">
        <v>2189543</v>
      </c>
      <c r="I544" s="10">
        <v>2191186</v>
      </c>
      <c r="J544" s="10" t="s">
        <v>1448</v>
      </c>
      <c r="K544" s="10" t="s">
        <v>109</v>
      </c>
      <c r="L544" s="10" t="s">
        <v>110</v>
      </c>
      <c r="M544" s="10" t="s">
        <v>333</v>
      </c>
      <c r="N544" s="10" t="s">
        <v>112</v>
      </c>
      <c r="O544" s="10">
        <v>3</v>
      </c>
      <c r="P544" s="10" t="s">
        <v>113</v>
      </c>
      <c r="Q544" s="10" t="s">
        <v>101</v>
      </c>
      <c r="R544" s="10" t="s">
        <v>1442</v>
      </c>
      <c r="S544" s="10" t="s">
        <v>115</v>
      </c>
      <c r="T544" s="10" t="s">
        <v>42</v>
      </c>
      <c r="U544" s="10">
        <v>322</v>
      </c>
      <c r="V544" s="10">
        <v>546</v>
      </c>
      <c r="W544" s="10">
        <v>225</v>
      </c>
      <c r="X544" s="10" t="s">
        <v>116</v>
      </c>
      <c r="Y544" s="10" t="s">
        <v>1449</v>
      </c>
      <c r="Z544" s="10" t="s">
        <v>1450</v>
      </c>
      <c r="AA544" s="10" t="s">
        <v>1451</v>
      </c>
      <c r="AB544" s="10" t="s">
        <v>1452</v>
      </c>
      <c r="AC544" s="10" t="s">
        <v>339</v>
      </c>
      <c r="AD544" s="10" t="s">
        <v>101</v>
      </c>
      <c r="AE544" s="10">
        <v>3473</v>
      </c>
      <c r="AF544" s="10" t="s">
        <v>423</v>
      </c>
      <c r="AG544" s="44"/>
      <c r="AH544" s="44"/>
      <c r="AI544" s="44" t="s">
        <v>6052</v>
      </c>
      <c r="AJ544" s="44" t="s">
        <v>6066</v>
      </c>
      <c r="AK544" s="44" t="s">
        <v>6069</v>
      </c>
      <c r="AL544" s="44" t="s">
        <v>6052</v>
      </c>
      <c r="AM544" s="44" t="s">
        <v>6052</v>
      </c>
      <c r="AN544" s="44" t="s">
        <v>32714</v>
      </c>
      <c r="AO544" s="45">
        <v>11</v>
      </c>
      <c r="AP544" s="45">
        <v>1</v>
      </c>
      <c r="AQ544" s="45">
        <v>1</v>
      </c>
      <c r="AR544" s="45">
        <v>2</v>
      </c>
      <c r="AS544" s="45">
        <v>0</v>
      </c>
      <c r="AT544" s="45">
        <v>0</v>
      </c>
      <c r="AU544" s="10" t="s">
        <v>32715</v>
      </c>
      <c r="AV544" s="10" t="s">
        <v>32716</v>
      </c>
      <c r="AW544" s="10" t="s">
        <v>6052</v>
      </c>
      <c r="AX544" s="10" t="s">
        <v>6052</v>
      </c>
      <c r="AY544" s="10" t="s">
        <v>32717</v>
      </c>
      <c r="AZ544" s="44" t="s">
        <v>33116</v>
      </c>
      <c r="BA544" s="44" t="s">
        <v>30981</v>
      </c>
      <c r="BB544" s="44" t="s">
        <v>31435</v>
      </c>
      <c r="BC544" s="44" t="s">
        <v>6415</v>
      </c>
      <c r="BD544" s="44" t="s">
        <v>31707</v>
      </c>
      <c r="BE544" s="11">
        <v>1</v>
      </c>
      <c r="BF544" s="11">
        <v>1</v>
      </c>
      <c r="BG544" s="11">
        <v>0</v>
      </c>
      <c r="BH544" s="10" t="s">
        <v>31771</v>
      </c>
      <c r="BI544" s="11">
        <v>100</v>
      </c>
      <c r="BJ544" s="10" t="s">
        <v>33511</v>
      </c>
      <c r="BK544" s="11">
        <v>100</v>
      </c>
    </row>
    <row r="545" spans="1:63" x14ac:dyDescent="0.75">
      <c r="A545" t="s">
        <v>103</v>
      </c>
      <c r="B545" t="s">
        <v>104</v>
      </c>
      <c r="C545" t="s">
        <v>105</v>
      </c>
      <c r="D545" t="s">
        <v>106</v>
      </c>
      <c r="E545" s="22" t="s">
        <v>6417</v>
      </c>
      <c r="F545" t="s">
        <v>107</v>
      </c>
      <c r="G545" s="1" t="str">
        <f>HYPERLINK("https://homd.org/jbrowse/?data=homd_V11.02_phage_1.2%2FGCA_000023285.1&amp;loc=GCA_000023285.1%7CCP001632.1%3A1343325..1350968&amp;tracks=prokka,prokka_ncrna,ncbi,ncbi_ncrna,panggolin,cenote,genomad&amp;highlight=","Open JBrowse")</f>
        <v>Open JBrowse</v>
      </c>
      <c r="H545" s="10">
        <v>1346325</v>
      </c>
      <c r="I545" s="10">
        <v>1347968</v>
      </c>
      <c r="J545" s="10" t="s">
        <v>108</v>
      </c>
      <c r="K545" s="10" t="s">
        <v>109</v>
      </c>
      <c r="L545" s="10" t="s">
        <v>110</v>
      </c>
      <c r="M545" s="10" t="s">
        <v>111</v>
      </c>
      <c r="N545" s="10" t="s">
        <v>112</v>
      </c>
      <c r="O545" s="10">
        <v>3</v>
      </c>
      <c r="P545" s="10" t="s">
        <v>113</v>
      </c>
      <c r="Q545" s="10" t="s">
        <v>101</v>
      </c>
      <c r="R545" s="10" t="s">
        <v>114</v>
      </c>
      <c r="S545" s="10" t="s">
        <v>115</v>
      </c>
      <c r="T545" s="10" t="s">
        <v>42</v>
      </c>
      <c r="U545" s="10">
        <v>322</v>
      </c>
      <c r="V545" s="10">
        <v>546</v>
      </c>
      <c r="W545" s="10">
        <v>225</v>
      </c>
      <c r="X545" s="10" t="s">
        <v>116</v>
      </c>
      <c r="Y545" s="10" t="s">
        <v>117</v>
      </c>
      <c r="Z545" s="10" t="s">
        <v>118</v>
      </c>
      <c r="AA545" s="10" t="s">
        <v>119</v>
      </c>
      <c r="AB545" s="10" t="s">
        <v>120</v>
      </c>
      <c r="AC545" s="10" t="s">
        <v>68</v>
      </c>
      <c r="AD545" s="10" t="s">
        <v>69</v>
      </c>
      <c r="AE545" s="10">
        <v>3260</v>
      </c>
      <c r="AF545" s="10" t="s">
        <v>121</v>
      </c>
      <c r="AG545" s="44"/>
      <c r="AH545" s="44"/>
      <c r="AI545" s="44" t="s">
        <v>6052</v>
      </c>
      <c r="AJ545" s="44" t="s">
        <v>6058</v>
      </c>
      <c r="AK545" s="44" t="s">
        <v>6069</v>
      </c>
      <c r="AL545" s="44" t="s">
        <v>6052</v>
      </c>
      <c r="AM545" s="44" t="s">
        <v>6052</v>
      </c>
      <c r="AN545" s="44" t="s">
        <v>32633</v>
      </c>
      <c r="AO545" s="45">
        <v>11</v>
      </c>
      <c r="AP545" s="45">
        <v>1</v>
      </c>
      <c r="AQ545" s="45">
        <v>1</v>
      </c>
      <c r="AR545" s="45">
        <v>1</v>
      </c>
      <c r="AS545" s="45">
        <v>0</v>
      </c>
      <c r="AT545" s="45">
        <v>0</v>
      </c>
      <c r="AU545" s="10" t="s">
        <v>32634</v>
      </c>
      <c r="AV545" s="10" t="s">
        <v>32635</v>
      </c>
      <c r="AW545" s="10" t="s">
        <v>6052</v>
      </c>
      <c r="AX545" s="10" t="s">
        <v>6052</v>
      </c>
      <c r="AY545" s="10" t="s">
        <v>32407</v>
      </c>
      <c r="AZ545" s="44" t="s">
        <v>33116</v>
      </c>
      <c r="BA545" s="44" t="s">
        <v>30947</v>
      </c>
      <c r="BB545" s="44" t="s">
        <v>31387</v>
      </c>
      <c r="BC545" s="44" t="s">
        <v>6415</v>
      </c>
      <c r="BD545" s="44" t="s">
        <v>31707</v>
      </c>
      <c r="BE545" s="11">
        <v>1</v>
      </c>
      <c r="BF545" s="11">
        <v>1</v>
      </c>
      <c r="BG545" s="11">
        <v>0</v>
      </c>
      <c r="BH545" s="10" t="s">
        <v>31823</v>
      </c>
      <c r="BI545" s="11">
        <v>100</v>
      </c>
      <c r="BJ545" s="10" t="s">
        <v>33507</v>
      </c>
      <c r="BK545" s="11">
        <v>100</v>
      </c>
    </row>
  </sheetData>
  <autoFilter ref="A2:BK545" xr:uid="{263CBC03-2D60-41FB-B59E-EBDC9B012E1E}"/>
  <sortState xmlns:xlrd2="http://schemas.microsoft.com/office/spreadsheetml/2017/richdata2" ref="A3:BI545">
    <sortCondition ref="AV3:AV545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CA07-AF88-4694-A4E3-655D4D8817C0}">
  <sheetPr>
    <tabColor theme="7" tint="0.79998168889431442"/>
  </sheetPr>
  <dimension ref="A1:O545"/>
  <sheetViews>
    <sheetView workbookViewId="0"/>
  </sheetViews>
  <sheetFormatPr defaultRowHeight="14.75" x14ac:dyDescent="0.75"/>
  <cols>
    <col min="1" max="1" width="27.1328125" bestFit="1" customWidth="1"/>
    <col min="2" max="2" width="27.2265625" bestFit="1" customWidth="1"/>
    <col min="3" max="3" width="16.36328125" bestFit="1" customWidth="1"/>
    <col min="6" max="6" width="10.40625" bestFit="1" customWidth="1"/>
  </cols>
  <sheetData>
    <row r="1" spans="1:15" x14ac:dyDescent="0.75">
      <c r="A1" t="s">
        <v>33153</v>
      </c>
    </row>
    <row r="2" spans="1:15" x14ac:dyDescent="0.75">
      <c r="A2" t="s">
        <v>33154</v>
      </c>
      <c r="B2" t="s">
        <v>33155</v>
      </c>
      <c r="C2" t="s">
        <v>33156</v>
      </c>
      <c r="D2" t="s">
        <v>33109</v>
      </c>
      <c r="E2" t="s">
        <v>33110</v>
      </c>
      <c r="F2" t="s">
        <v>33111</v>
      </c>
      <c r="G2" t="s">
        <v>33112</v>
      </c>
      <c r="H2" t="s">
        <v>33113</v>
      </c>
      <c r="I2" t="s">
        <v>33114</v>
      </c>
      <c r="J2" t="s">
        <v>33115</v>
      </c>
      <c r="K2" t="s">
        <v>33123</v>
      </c>
      <c r="L2" t="s">
        <v>33124</v>
      </c>
    </row>
    <row r="3" spans="1:15" x14ac:dyDescent="0.75">
      <c r="A3" t="s">
        <v>122</v>
      </c>
      <c r="B3" t="s">
        <v>106</v>
      </c>
      <c r="C3" t="s">
        <v>103</v>
      </c>
      <c r="D3" t="s">
        <v>33116</v>
      </c>
      <c r="E3">
        <v>2.5999999999999998E-5</v>
      </c>
      <c r="F3">
        <v>0.166579</v>
      </c>
      <c r="G3">
        <v>0.83337799999999995</v>
      </c>
      <c r="H3">
        <v>1.8E-5</v>
      </c>
      <c r="I3">
        <v>1.5E-5</v>
      </c>
      <c r="J3">
        <v>1.5999999999999999E-5</v>
      </c>
      <c r="K3" t="s">
        <v>33123</v>
      </c>
      <c r="L3" t="s">
        <v>33125</v>
      </c>
      <c r="M3" t="s">
        <v>33126</v>
      </c>
      <c r="N3" t="s">
        <v>33127</v>
      </c>
      <c r="O3">
        <v>0.82920000000000005</v>
      </c>
    </row>
    <row r="4" spans="1:15" x14ac:dyDescent="0.75">
      <c r="A4" t="s">
        <v>128</v>
      </c>
      <c r="B4" t="s">
        <v>106</v>
      </c>
      <c r="C4" t="s">
        <v>103</v>
      </c>
      <c r="D4" t="s">
        <v>33116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 t="s">
        <v>33123</v>
      </c>
      <c r="L4" t="s">
        <v>33125</v>
      </c>
      <c r="M4" t="s">
        <v>33128</v>
      </c>
      <c r="N4" t="s">
        <v>33127</v>
      </c>
      <c r="O4">
        <v>0.99629999999999996</v>
      </c>
    </row>
    <row r="5" spans="1:15" x14ac:dyDescent="0.75">
      <c r="A5" t="s">
        <v>108</v>
      </c>
      <c r="B5" t="s">
        <v>106</v>
      </c>
      <c r="C5" t="s">
        <v>103</v>
      </c>
      <c r="D5" t="s">
        <v>33116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 t="s">
        <v>33123</v>
      </c>
      <c r="L5" t="s">
        <v>33125</v>
      </c>
      <c r="M5" t="s">
        <v>33129</v>
      </c>
      <c r="N5" t="s">
        <v>33127</v>
      </c>
      <c r="O5">
        <v>0.99429999999999996</v>
      </c>
    </row>
    <row r="6" spans="1:15" x14ac:dyDescent="0.75">
      <c r="A6" t="s">
        <v>138</v>
      </c>
      <c r="B6" t="s">
        <v>136</v>
      </c>
      <c r="C6" t="s">
        <v>134</v>
      </c>
      <c r="D6" t="s">
        <v>33117</v>
      </c>
      <c r="E6">
        <v>2.6200000000000003E-4</v>
      </c>
      <c r="F6">
        <v>0.998946</v>
      </c>
      <c r="G6">
        <v>2.3599999999999999E-4</v>
      </c>
      <c r="H6">
        <v>2.1499999999999999E-4</v>
      </c>
      <c r="I6">
        <v>1.75E-4</v>
      </c>
      <c r="J6">
        <v>1.7200000000000001E-4</v>
      </c>
      <c r="K6" t="s">
        <v>33123</v>
      </c>
      <c r="L6" t="s">
        <v>33125</v>
      </c>
      <c r="M6" t="s">
        <v>33130</v>
      </c>
      <c r="N6" t="s">
        <v>33127</v>
      </c>
      <c r="O6">
        <v>0.95979999999999999</v>
      </c>
    </row>
    <row r="7" spans="1:15" x14ac:dyDescent="0.75">
      <c r="A7" t="s">
        <v>156</v>
      </c>
      <c r="B7" t="s">
        <v>154</v>
      </c>
      <c r="C7" t="s">
        <v>152</v>
      </c>
      <c r="D7" t="s">
        <v>33117</v>
      </c>
      <c r="E7">
        <v>2.6899999999999998E-4</v>
      </c>
      <c r="F7">
        <v>0.99894899999999998</v>
      </c>
      <c r="G7">
        <v>2.33E-4</v>
      </c>
      <c r="H7">
        <v>2.05E-4</v>
      </c>
      <c r="I7">
        <v>1.7899999999999999E-4</v>
      </c>
      <c r="J7">
        <v>1.64E-4</v>
      </c>
      <c r="K7" t="s">
        <v>33123</v>
      </c>
      <c r="L7" t="s">
        <v>33125</v>
      </c>
      <c r="M7" t="s">
        <v>33131</v>
      </c>
      <c r="N7" t="s">
        <v>33127</v>
      </c>
      <c r="O7">
        <v>0.97009999999999996</v>
      </c>
    </row>
    <row r="8" spans="1:15" x14ac:dyDescent="0.75">
      <c r="A8" t="s">
        <v>230</v>
      </c>
      <c r="B8" t="s">
        <v>224</v>
      </c>
      <c r="C8" t="s">
        <v>222</v>
      </c>
      <c r="D8" t="s">
        <v>33110</v>
      </c>
      <c r="E8">
        <v>0.99998900000000002</v>
      </c>
      <c r="F8">
        <v>0</v>
      </c>
      <c r="G8">
        <v>0</v>
      </c>
      <c r="H8">
        <v>0</v>
      </c>
      <c r="I8">
        <v>0</v>
      </c>
      <c r="J8">
        <v>0</v>
      </c>
    </row>
    <row r="9" spans="1:15" x14ac:dyDescent="0.75">
      <c r="A9" t="s">
        <v>255</v>
      </c>
      <c r="B9" t="s">
        <v>242</v>
      </c>
      <c r="C9" t="s">
        <v>240</v>
      </c>
      <c r="D9" t="s">
        <v>33110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</row>
    <row r="10" spans="1:15" x14ac:dyDescent="0.75">
      <c r="A10" t="s">
        <v>244</v>
      </c>
      <c r="B10" t="s">
        <v>242</v>
      </c>
      <c r="C10" t="s">
        <v>240</v>
      </c>
      <c r="D10" t="s">
        <v>33116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 t="s">
        <v>33123</v>
      </c>
      <c r="L10" t="s">
        <v>33125</v>
      </c>
      <c r="M10" t="s">
        <v>33132</v>
      </c>
      <c r="N10" t="s">
        <v>33127</v>
      </c>
      <c r="O10">
        <v>0.99490000000000001</v>
      </c>
    </row>
    <row r="11" spans="1:15" x14ac:dyDescent="0.75">
      <c r="A11" t="s">
        <v>268</v>
      </c>
      <c r="B11" t="s">
        <v>266</v>
      </c>
      <c r="C11" t="s">
        <v>264</v>
      </c>
      <c r="D11" t="s">
        <v>33117</v>
      </c>
      <c r="E11">
        <v>2.4699999999999999E-4</v>
      </c>
      <c r="F11">
        <v>0.99890000000000001</v>
      </c>
      <c r="G11">
        <v>2.0900000000000001E-4</v>
      </c>
      <c r="H11">
        <v>2.5300000000000002E-4</v>
      </c>
      <c r="I11">
        <v>2.05E-4</v>
      </c>
      <c r="J11">
        <v>1.92E-4</v>
      </c>
      <c r="K11" t="s">
        <v>33123</v>
      </c>
      <c r="L11" t="s">
        <v>33125</v>
      </c>
      <c r="M11" t="s">
        <v>33133</v>
      </c>
      <c r="N11" t="s">
        <v>33127</v>
      </c>
      <c r="O11">
        <v>0.97089999999999999</v>
      </c>
    </row>
    <row r="12" spans="1:15" x14ac:dyDescent="0.75">
      <c r="A12" t="s">
        <v>278</v>
      </c>
      <c r="B12" t="s">
        <v>276</v>
      </c>
      <c r="C12" t="s">
        <v>274</v>
      </c>
      <c r="D12" t="s">
        <v>33117</v>
      </c>
      <c r="E12">
        <v>5.3200000000000003E-4</v>
      </c>
      <c r="F12">
        <v>0.99823099999999998</v>
      </c>
      <c r="G12">
        <v>4.2000000000000002E-4</v>
      </c>
      <c r="H12">
        <v>3.0699999999999998E-4</v>
      </c>
      <c r="I12">
        <v>2.8600000000000001E-4</v>
      </c>
      <c r="J12">
        <v>2.4499999999999999E-4</v>
      </c>
      <c r="K12" t="s">
        <v>33123</v>
      </c>
      <c r="L12" t="s">
        <v>33125</v>
      </c>
      <c r="M12" t="s">
        <v>33131</v>
      </c>
      <c r="N12" t="s">
        <v>33127</v>
      </c>
      <c r="O12">
        <v>0.88890000000000002</v>
      </c>
    </row>
    <row r="13" spans="1:15" x14ac:dyDescent="0.75">
      <c r="A13" t="s">
        <v>287</v>
      </c>
      <c r="B13" t="s">
        <v>285</v>
      </c>
      <c r="C13" t="s">
        <v>283</v>
      </c>
      <c r="D13" t="s">
        <v>33110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5" x14ac:dyDescent="0.75">
      <c r="A14" t="s">
        <v>299</v>
      </c>
      <c r="B14" t="s">
        <v>154</v>
      </c>
      <c r="C14" t="s">
        <v>297</v>
      </c>
      <c r="D14" t="s">
        <v>33117</v>
      </c>
      <c r="E14">
        <v>2.6200000000000003E-4</v>
      </c>
      <c r="F14">
        <v>0.99900199999999995</v>
      </c>
      <c r="G14">
        <v>2.2100000000000001E-4</v>
      </c>
      <c r="H14">
        <v>2.0100000000000001E-4</v>
      </c>
      <c r="I14">
        <v>1.74E-4</v>
      </c>
      <c r="J14">
        <v>1.6100000000000001E-4</v>
      </c>
      <c r="K14" t="s">
        <v>33123</v>
      </c>
      <c r="L14" t="s">
        <v>33125</v>
      </c>
      <c r="M14" t="s">
        <v>33131</v>
      </c>
      <c r="N14" t="s">
        <v>33127</v>
      </c>
      <c r="O14">
        <v>0.97519999999999996</v>
      </c>
    </row>
    <row r="15" spans="1:15" x14ac:dyDescent="0.75">
      <c r="A15" t="s">
        <v>309</v>
      </c>
      <c r="B15" t="s">
        <v>307</v>
      </c>
      <c r="C15" t="s">
        <v>305</v>
      </c>
      <c r="D15" t="s">
        <v>33116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 t="s">
        <v>33123</v>
      </c>
      <c r="L15" t="s">
        <v>33125</v>
      </c>
      <c r="M15" t="s">
        <v>33134</v>
      </c>
      <c r="N15" t="s">
        <v>33127</v>
      </c>
      <c r="O15">
        <v>0.99719999999999998</v>
      </c>
    </row>
    <row r="16" spans="1:15" x14ac:dyDescent="0.75">
      <c r="A16" t="s">
        <v>322</v>
      </c>
      <c r="B16" t="s">
        <v>33120</v>
      </c>
      <c r="C16" t="s">
        <v>318</v>
      </c>
      <c r="D16" t="s">
        <v>33116</v>
      </c>
      <c r="E16">
        <v>3.4E-5</v>
      </c>
      <c r="F16">
        <v>0.18390799999999999</v>
      </c>
      <c r="G16">
        <v>0.81599900000000003</v>
      </c>
      <c r="H16">
        <v>2.0000000000000002E-5</v>
      </c>
      <c r="I16">
        <v>1.5999999999999999E-5</v>
      </c>
      <c r="J16">
        <v>1.8E-5</v>
      </c>
      <c r="K16" t="s">
        <v>33123</v>
      </c>
      <c r="L16" t="s">
        <v>33125</v>
      </c>
      <c r="M16" t="s">
        <v>33129</v>
      </c>
      <c r="N16" t="s">
        <v>33127</v>
      </c>
      <c r="O16">
        <v>0.80210000000000004</v>
      </c>
    </row>
    <row r="17" spans="1:15" x14ac:dyDescent="0.75">
      <c r="A17" t="s">
        <v>342</v>
      </c>
      <c r="B17" t="s">
        <v>330</v>
      </c>
      <c r="C17" t="s">
        <v>328</v>
      </c>
      <c r="D17" t="s">
        <v>33116</v>
      </c>
      <c r="E17">
        <v>2.6999999999999999E-5</v>
      </c>
      <c r="F17">
        <v>0.16659499999999999</v>
      </c>
      <c r="G17">
        <v>0.83335700000000001</v>
      </c>
      <c r="H17">
        <v>1.4E-5</v>
      </c>
      <c r="I17">
        <v>1.2E-5</v>
      </c>
      <c r="J17">
        <v>1.2E-5</v>
      </c>
      <c r="K17" t="s">
        <v>33123</v>
      </c>
      <c r="L17" t="s">
        <v>33125</v>
      </c>
      <c r="M17" t="s">
        <v>33128</v>
      </c>
      <c r="N17" t="s">
        <v>33127</v>
      </c>
      <c r="O17">
        <v>0.82950000000000002</v>
      </c>
    </row>
    <row r="18" spans="1:15" x14ac:dyDescent="0.75">
      <c r="A18" t="s">
        <v>332</v>
      </c>
      <c r="B18" t="s">
        <v>330</v>
      </c>
      <c r="C18" t="s">
        <v>328</v>
      </c>
      <c r="D18" t="s">
        <v>33116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 t="s">
        <v>33123</v>
      </c>
      <c r="L18" t="s">
        <v>33125</v>
      </c>
      <c r="M18" t="s">
        <v>33129</v>
      </c>
      <c r="N18" t="s">
        <v>33127</v>
      </c>
      <c r="O18">
        <v>0.99429999999999996</v>
      </c>
    </row>
    <row r="19" spans="1:15" x14ac:dyDescent="0.75">
      <c r="A19" t="s">
        <v>352</v>
      </c>
      <c r="B19" t="s">
        <v>350</v>
      </c>
      <c r="C19" t="s">
        <v>348</v>
      </c>
      <c r="D19" t="s">
        <v>33116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 t="s">
        <v>33123</v>
      </c>
      <c r="L19" t="s">
        <v>33125</v>
      </c>
      <c r="M19" t="s">
        <v>33128</v>
      </c>
      <c r="N19" t="s">
        <v>33127</v>
      </c>
      <c r="O19">
        <v>0.99660000000000004</v>
      </c>
    </row>
    <row r="20" spans="1:15" x14ac:dyDescent="0.75">
      <c r="A20" t="s">
        <v>363</v>
      </c>
      <c r="B20" t="s">
        <v>361</v>
      </c>
      <c r="C20" t="s">
        <v>359</v>
      </c>
      <c r="D20" t="s">
        <v>33117</v>
      </c>
      <c r="E20">
        <v>4.5100000000000001E-4</v>
      </c>
      <c r="F20">
        <v>0.998529</v>
      </c>
      <c r="G20">
        <v>3.3700000000000001E-4</v>
      </c>
      <c r="H20">
        <v>2.61E-4</v>
      </c>
      <c r="I20">
        <v>2.14E-4</v>
      </c>
      <c r="J20">
        <v>2.0699999999999999E-4</v>
      </c>
      <c r="K20" t="s">
        <v>33123</v>
      </c>
      <c r="L20" t="s">
        <v>33125</v>
      </c>
      <c r="M20" t="s">
        <v>33130</v>
      </c>
      <c r="N20" t="s">
        <v>33127</v>
      </c>
      <c r="O20">
        <v>0.94130000000000003</v>
      </c>
    </row>
    <row r="21" spans="1:15" x14ac:dyDescent="0.75">
      <c r="A21" t="s">
        <v>374</v>
      </c>
      <c r="B21" t="s">
        <v>372</v>
      </c>
      <c r="C21" t="s">
        <v>370</v>
      </c>
      <c r="D21" t="s">
        <v>33117</v>
      </c>
      <c r="E21">
        <v>2.9999999999999997E-4</v>
      </c>
      <c r="F21">
        <v>0.99883599999999995</v>
      </c>
      <c r="G21">
        <v>2.2900000000000001E-4</v>
      </c>
      <c r="H21">
        <v>2.7500000000000002E-4</v>
      </c>
      <c r="I21">
        <v>1.9799999999999999E-4</v>
      </c>
      <c r="J21">
        <v>1.8900000000000001E-4</v>
      </c>
      <c r="K21" t="s">
        <v>33123</v>
      </c>
      <c r="L21" t="s">
        <v>33125</v>
      </c>
      <c r="M21" t="s">
        <v>33135</v>
      </c>
      <c r="N21" t="s">
        <v>33127</v>
      </c>
      <c r="O21">
        <v>0.96789999999999998</v>
      </c>
    </row>
    <row r="22" spans="1:15" x14ac:dyDescent="0.75">
      <c r="A22" t="s">
        <v>387</v>
      </c>
      <c r="B22" t="s">
        <v>372</v>
      </c>
      <c r="C22" t="s">
        <v>370</v>
      </c>
      <c r="D22" t="s">
        <v>33117</v>
      </c>
      <c r="E22">
        <v>3.1500000000000001E-4</v>
      </c>
      <c r="F22">
        <v>0.99870700000000001</v>
      </c>
      <c r="G22">
        <v>2.6600000000000001E-4</v>
      </c>
      <c r="H22">
        <v>2.9500000000000001E-4</v>
      </c>
      <c r="I22">
        <v>2.24E-4</v>
      </c>
      <c r="J22">
        <v>2.1000000000000001E-4</v>
      </c>
      <c r="K22" t="s">
        <v>33123</v>
      </c>
      <c r="L22" t="s">
        <v>33125</v>
      </c>
      <c r="M22" t="s">
        <v>33136</v>
      </c>
      <c r="N22" t="s">
        <v>33127</v>
      </c>
      <c r="O22">
        <v>0.9536</v>
      </c>
    </row>
    <row r="23" spans="1:15" x14ac:dyDescent="0.75">
      <c r="A23" t="s">
        <v>395</v>
      </c>
      <c r="B23" t="s">
        <v>393</v>
      </c>
      <c r="C23" t="s">
        <v>391</v>
      </c>
      <c r="D23" t="s">
        <v>33118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 t="s">
        <v>33123</v>
      </c>
      <c r="L23" t="s">
        <v>33125</v>
      </c>
      <c r="M23" t="s">
        <v>33137</v>
      </c>
      <c r="N23" t="s">
        <v>33127</v>
      </c>
      <c r="O23">
        <v>0.9365</v>
      </c>
    </row>
    <row r="24" spans="1:15" x14ac:dyDescent="0.75">
      <c r="A24" t="s">
        <v>405</v>
      </c>
      <c r="B24" t="s">
        <v>106</v>
      </c>
      <c r="C24" t="s">
        <v>403</v>
      </c>
      <c r="D24" t="s">
        <v>33116</v>
      </c>
      <c r="E24">
        <v>3.4999999999999997E-5</v>
      </c>
      <c r="F24">
        <v>0.166519</v>
      </c>
      <c r="G24">
        <v>0.83341200000000004</v>
      </c>
      <c r="H24">
        <v>2.6999999999999999E-5</v>
      </c>
      <c r="I24">
        <v>2.0999999999999999E-5</v>
      </c>
      <c r="J24">
        <v>2.5999999999999998E-5</v>
      </c>
      <c r="K24" t="s">
        <v>33123</v>
      </c>
      <c r="L24" t="s">
        <v>33125</v>
      </c>
      <c r="M24" t="s">
        <v>33129</v>
      </c>
      <c r="N24" t="s">
        <v>33127</v>
      </c>
      <c r="O24">
        <v>0.82950000000000002</v>
      </c>
    </row>
    <row r="25" spans="1:15" x14ac:dyDescent="0.75">
      <c r="A25" t="s">
        <v>412</v>
      </c>
      <c r="B25" t="s">
        <v>106</v>
      </c>
      <c r="C25" t="s">
        <v>403</v>
      </c>
      <c r="D25" t="s">
        <v>33116</v>
      </c>
      <c r="E25">
        <v>3.0000000000000001E-5</v>
      </c>
      <c r="F25">
        <v>0.166597</v>
      </c>
      <c r="G25">
        <v>0.83335999999999999</v>
      </c>
      <c r="H25">
        <v>1.4E-5</v>
      </c>
      <c r="I25">
        <v>1.2E-5</v>
      </c>
      <c r="J25">
        <v>1.4E-5</v>
      </c>
      <c r="K25" t="s">
        <v>33123</v>
      </c>
      <c r="L25" t="s">
        <v>33125</v>
      </c>
      <c r="M25" t="s">
        <v>33128</v>
      </c>
      <c r="N25" t="s">
        <v>33127</v>
      </c>
      <c r="O25">
        <v>0.83030000000000004</v>
      </c>
    </row>
    <row r="26" spans="1:15" x14ac:dyDescent="0.75">
      <c r="A26" t="s">
        <v>418</v>
      </c>
      <c r="B26" t="s">
        <v>106</v>
      </c>
      <c r="C26" t="s">
        <v>403</v>
      </c>
      <c r="D26" t="s">
        <v>33116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 t="s">
        <v>33123</v>
      </c>
      <c r="L26" t="s">
        <v>33125</v>
      </c>
      <c r="M26" t="s">
        <v>33129</v>
      </c>
      <c r="N26" t="s">
        <v>33127</v>
      </c>
      <c r="O26">
        <v>0.99570000000000003</v>
      </c>
    </row>
    <row r="27" spans="1:15" x14ac:dyDescent="0.75">
      <c r="A27" t="s">
        <v>432</v>
      </c>
      <c r="B27" t="s">
        <v>242</v>
      </c>
      <c r="C27" t="s">
        <v>424</v>
      </c>
      <c r="D27" t="s">
        <v>33116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 t="s">
        <v>33123</v>
      </c>
      <c r="L27" t="s">
        <v>33125</v>
      </c>
      <c r="M27" t="s">
        <v>33132</v>
      </c>
      <c r="N27" t="s">
        <v>33127</v>
      </c>
      <c r="O27">
        <v>0.99490000000000001</v>
      </c>
    </row>
    <row r="28" spans="1:15" x14ac:dyDescent="0.75">
      <c r="A28" t="s">
        <v>426</v>
      </c>
      <c r="B28" t="s">
        <v>242</v>
      </c>
      <c r="C28" t="s">
        <v>424</v>
      </c>
      <c r="D28" t="s">
        <v>33110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5" x14ac:dyDescent="0.75">
      <c r="A29" t="s">
        <v>453</v>
      </c>
      <c r="B29" t="s">
        <v>451</v>
      </c>
      <c r="C29" t="s">
        <v>449</v>
      </c>
      <c r="D29" t="s">
        <v>33117</v>
      </c>
      <c r="E29">
        <v>0.16247500000000001</v>
      </c>
      <c r="F29">
        <v>0.83699299999999999</v>
      </c>
      <c r="G29">
        <v>1.8000000000000001E-4</v>
      </c>
      <c r="H29">
        <v>1.2999999999999999E-4</v>
      </c>
      <c r="I29">
        <v>1.1900000000000001E-4</v>
      </c>
      <c r="J29">
        <v>1.17E-4</v>
      </c>
      <c r="K29" t="s">
        <v>33123</v>
      </c>
      <c r="L29" t="s">
        <v>33125</v>
      </c>
      <c r="M29" t="s">
        <v>33138</v>
      </c>
      <c r="N29" t="s">
        <v>33127</v>
      </c>
      <c r="O29">
        <v>0.80520000000000003</v>
      </c>
    </row>
    <row r="30" spans="1:15" x14ac:dyDescent="0.75">
      <c r="A30" t="s">
        <v>465</v>
      </c>
      <c r="B30" t="s">
        <v>463</v>
      </c>
      <c r="C30" t="s">
        <v>461</v>
      </c>
      <c r="D30" t="s">
        <v>33110</v>
      </c>
      <c r="E30">
        <v>0.66735299999999997</v>
      </c>
      <c r="F30">
        <v>0.331598</v>
      </c>
      <c r="G30">
        <v>3.7800000000000003E-4</v>
      </c>
      <c r="H30">
        <v>2.1000000000000001E-4</v>
      </c>
      <c r="I30">
        <v>2.5799999999999998E-4</v>
      </c>
      <c r="J30">
        <v>2.0699999999999999E-4</v>
      </c>
    </row>
    <row r="31" spans="1:15" x14ac:dyDescent="0.75">
      <c r="A31" t="s">
        <v>476</v>
      </c>
      <c r="B31" t="s">
        <v>474</v>
      </c>
      <c r="C31" t="s">
        <v>472</v>
      </c>
      <c r="D31" t="s">
        <v>33116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 t="s">
        <v>33123</v>
      </c>
      <c r="L31" t="s">
        <v>33125</v>
      </c>
      <c r="M31" t="s">
        <v>33128</v>
      </c>
      <c r="N31" t="s">
        <v>33127</v>
      </c>
      <c r="O31">
        <v>0.99729999999999996</v>
      </c>
    </row>
    <row r="32" spans="1:15" x14ac:dyDescent="0.75">
      <c r="A32" t="s">
        <v>482</v>
      </c>
      <c r="B32" t="s">
        <v>463</v>
      </c>
      <c r="C32" t="s">
        <v>480</v>
      </c>
      <c r="D32" t="s">
        <v>33117</v>
      </c>
      <c r="E32">
        <v>0.33671699999999999</v>
      </c>
      <c r="F32">
        <v>0.66274699999999998</v>
      </c>
      <c r="G32">
        <v>1.83E-4</v>
      </c>
      <c r="H32">
        <v>1.2799999999999999E-4</v>
      </c>
      <c r="I32">
        <v>1.2300000000000001E-4</v>
      </c>
      <c r="J32">
        <v>1.11E-4</v>
      </c>
      <c r="K32" t="s">
        <v>33123</v>
      </c>
      <c r="L32" t="s">
        <v>33125</v>
      </c>
      <c r="M32" t="s">
        <v>33139</v>
      </c>
      <c r="N32" t="s">
        <v>33127</v>
      </c>
      <c r="O32">
        <v>0.63129999999999997</v>
      </c>
    </row>
    <row r="33" spans="1:15" x14ac:dyDescent="0.75">
      <c r="A33" t="s">
        <v>517</v>
      </c>
      <c r="B33" t="s">
        <v>515</v>
      </c>
      <c r="C33" t="s">
        <v>513</v>
      </c>
      <c r="D33" t="s">
        <v>33116</v>
      </c>
      <c r="E33">
        <v>2.9E-5</v>
      </c>
      <c r="F33">
        <v>0.16656599999999999</v>
      </c>
      <c r="G33">
        <v>0.83336500000000002</v>
      </c>
      <c r="H33">
        <v>1.9000000000000001E-5</v>
      </c>
      <c r="I33">
        <v>1.5999999999999999E-5</v>
      </c>
      <c r="J33">
        <v>1.9000000000000001E-5</v>
      </c>
      <c r="K33" t="s">
        <v>33123</v>
      </c>
      <c r="L33" t="s">
        <v>33125</v>
      </c>
      <c r="M33" t="s">
        <v>33128</v>
      </c>
      <c r="N33" t="s">
        <v>33127</v>
      </c>
      <c r="O33">
        <v>0.8085</v>
      </c>
    </row>
    <row r="34" spans="1:15" x14ac:dyDescent="0.75">
      <c r="A34" t="s">
        <v>527</v>
      </c>
      <c r="B34" t="s">
        <v>372</v>
      </c>
      <c r="C34" t="s">
        <v>525</v>
      </c>
      <c r="D34" t="s">
        <v>33117</v>
      </c>
      <c r="E34">
        <v>2.7799999999999998E-4</v>
      </c>
      <c r="F34">
        <v>0.99887999999999999</v>
      </c>
      <c r="G34">
        <v>2.23E-4</v>
      </c>
      <c r="H34">
        <v>2.5700000000000001E-4</v>
      </c>
      <c r="I34">
        <v>1.8799999999999999E-4</v>
      </c>
      <c r="J34">
        <v>1.8100000000000001E-4</v>
      </c>
      <c r="K34" t="s">
        <v>33123</v>
      </c>
      <c r="L34" t="s">
        <v>33125</v>
      </c>
      <c r="M34" t="s">
        <v>33136</v>
      </c>
      <c r="N34" t="s">
        <v>33127</v>
      </c>
      <c r="O34">
        <v>0.96460000000000001</v>
      </c>
    </row>
    <row r="35" spans="1:15" x14ac:dyDescent="0.75">
      <c r="A35" t="s">
        <v>533</v>
      </c>
      <c r="B35" t="s">
        <v>372</v>
      </c>
      <c r="C35" t="s">
        <v>525</v>
      </c>
      <c r="D35" t="s">
        <v>33117</v>
      </c>
      <c r="E35">
        <v>2.61E-4</v>
      </c>
      <c r="F35">
        <v>0.99896499999999999</v>
      </c>
      <c r="G35">
        <v>2.0599999999999999E-4</v>
      </c>
      <c r="H35">
        <v>2.3699999999999999E-4</v>
      </c>
      <c r="I35">
        <v>1.7699999999999999E-4</v>
      </c>
      <c r="J35">
        <v>1.75E-4</v>
      </c>
      <c r="K35" t="s">
        <v>33123</v>
      </c>
      <c r="L35" t="s">
        <v>33125</v>
      </c>
      <c r="M35" t="s">
        <v>33136</v>
      </c>
      <c r="N35" t="s">
        <v>33127</v>
      </c>
      <c r="O35">
        <v>0.97050000000000003</v>
      </c>
    </row>
    <row r="36" spans="1:15" x14ac:dyDescent="0.75">
      <c r="A36" t="s">
        <v>540</v>
      </c>
      <c r="B36" t="s">
        <v>538</v>
      </c>
      <c r="C36" t="s">
        <v>536</v>
      </c>
      <c r="D36" t="s">
        <v>33117</v>
      </c>
      <c r="E36">
        <v>2.6699999999999998E-4</v>
      </c>
      <c r="F36">
        <v>0.998946</v>
      </c>
      <c r="G36">
        <v>2.1100000000000001E-4</v>
      </c>
      <c r="H36">
        <v>2.4699999999999999E-4</v>
      </c>
      <c r="I36">
        <v>1.85E-4</v>
      </c>
      <c r="J36">
        <v>1.76E-4</v>
      </c>
      <c r="K36" t="s">
        <v>33123</v>
      </c>
      <c r="L36" t="s">
        <v>33125</v>
      </c>
      <c r="M36" t="s">
        <v>33136</v>
      </c>
      <c r="N36" t="s">
        <v>33127</v>
      </c>
      <c r="O36">
        <v>0.97</v>
      </c>
    </row>
    <row r="37" spans="1:15" x14ac:dyDescent="0.75">
      <c r="A37" t="s">
        <v>553</v>
      </c>
      <c r="B37" t="s">
        <v>551</v>
      </c>
      <c r="C37" t="s">
        <v>549</v>
      </c>
      <c r="D37" t="s">
        <v>33117</v>
      </c>
      <c r="E37">
        <v>2.2800000000000001E-4</v>
      </c>
      <c r="F37">
        <v>0.99909400000000004</v>
      </c>
      <c r="G37">
        <v>1.8699999999999999E-4</v>
      </c>
      <c r="H37">
        <v>1.7699999999999999E-4</v>
      </c>
      <c r="I37">
        <v>1.45E-4</v>
      </c>
      <c r="J37">
        <v>1.46E-4</v>
      </c>
      <c r="K37" t="s">
        <v>33123</v>
      </c>
      <c r="L37" t="s">
        <v>33125</v>
      </c>
      <c r="M37" t="s">
        <v>33131</v>
      </c>
      <c r="N37" t="s">
        <v>33127</v>
      </c>
      <c r="O37">
        <v>0.97499999999999998</v>
      </c>
    </row>
    <row r="38" spans="1:15" x14ac:dyDescent="0.75">
      <c r="A38" t="s">
        <v>562</v>
      </c>
      <c r="B38" t="s">
        <v>560</v>
      </c>
      <c r="C38" t="s">
        <v>558</v>
      </c>
      <c r="D38" t="s">
        <v>33117</v>
      </c>
      <c r="E38">
        <v>1.44E-4</v>
      </c>
      <c r="F38">
        <v>0.99937699999999996</v>
      </c>
      <c r="G38">
        <v>1.2400000000000001E-4</v>
      </c>
      <c r="H38">
        <v>1.46E-4</v>
      </c>
      <c r="I38">
        <v>1.1400000000000001E-4</v>
      </c>
      <c r="J38">
        <v>1.1400000000000001E-4</v>
      </c>
      <c r="K38" t="s">
        <v>33123</v>
      </c>
      <c r="L38" t="s">
        <v>33125</v>
      </c>
      <c r="M38" t="s">
        <v>33140</v>
      </c>
      <c r="N38" t="s">
        <v>33127</v>
      </c>
      <c r="O38">
        <v>0.67230000000000001</v>
      </c>
    </row>
    <row r="39" spans="1:15" x14ac:dyDescent="0.75">
      <c r="A39" t="s">
        <v>570</v>
      </c>
      <c r="B39" t="s">
        <v>568</v>
      </c>
      <c r="C39" t="s">
        <v>566</v>
      </c>
      <c r="D39" t="s">
        <v>33117</v>
      </c>
      <c r="E39">
        <v>1.73E-4</v>
      </c>
      <c r="F39">
        <v>0.99926099999999995</v>
      </c>
      <c r="G39">
        <v>1.54E-4</v>
      </c>
      <c r="H39">
        <v>1.6200000000000001E-4</v>
      </c>
      <c r="I39">
        <v>1.3100000000000001E-4</v>
      </c>
      <c r="J39">
        <v>1.2999999999999999E-4</v>
      </c>
      <c r="K39" t="s">
        <v>33123</v>
      </c>
      <c r="L39" t="s">
        <v>33125</v>
      </c>
      <c r="M39" t="s">
        <v>33141</v>
      </c>
      <c r="N39" t="s">
        <v>33127</v>
      </c>
      <c r="O39">
        <v>0.97929999999999995</v>
      </c>
    </row>
    <row r="40" spans="1:15" x14ac:dyDescent="0.75">
      <c r="A40" t="s">
        <v>581</v>
      </c>
      <c r="B40" t="s">
        <v>579</v>
      </c>
      <c r="C40" t="s">
        <v>577</v>
      </c>
      <c r="D40" t="s">
        <v>33116</v>
      </c>
      <c r="E40">
        <v>0.12349</v>
      </c>
      <c r="F40">
        <v>7.4913999999999994E-2</v>
      </c>
      <c r="G40">
        <v>0.80115400000000003</v>
      </c>
      <c r="H40">
        <v>2.1900000000000001E-4</v>
      </c>
      <c r="I40">
        <v>2.2100000000000001E-4</v>
      </c>
      <c r="J40">
        <v>9.9999999999999995E-7</v>
      </c>
      <c r="K40" t="s">
        <v>33123</v>
      </c>
      <c r="L40" t="s">
        <v>33125</v>
      </c>
      <c r="M40" t="s">
        <v>33142</v>
      </c>
      <c r="N40" t="s">
        <v>33127</v>
      </c>
      <c r="O40">
        <v>0.95069999999999999</v>
      </c>
    </row>
    <row r="41" spans="1:15" x14ac:dyDescent="0.75">
      <c r="A41" t="s">
        <v>591</v>
      </c>
      <c r="B41" t="s">
        <v>579</v>
      </c>
      <c r="C41" t="s">
        <v>577</v>
      </c>
      <c r="D41" t="s">
        <v>33116</v>
      </c>
      <c r="E41">
        <v>3.4E-5</v>
      </c>
      <c r="F41">
        <v>0.16655800000000001</v>
      </c>
      <c r="G41">
        <v>0.83337300000000003</v>
      </c>
      <c r="H41">
        <v>2.0000000000000002E-5</v>
      </c>
      <c r="I41">
        <v>1.8E-5</v>
      </c>
      <c r="J41">
        <v>2.0000000000000002E-5</v>
      </c>
      <c r="K41" t="s">
        <v>33123</v>
      </c>
      <c r="L41" t="s">
        <v>33125</v>
      </c>
      <c r="M41" t="s">
        <v>33130</v>
      </c>
      <c r="N41" t="s">
        <v>33127</v>
      </c>
      <c r="O41">
        <v>0.60960000000000003</v>
      </c>
    </row>
    <row r="42" spans="1:15" x14ac:dyDescent="0.75">
      <c r="A42" t="s">
        <v>613</v>
      </c>
      <c r="B42" t="s">
        <v>611</v>
      </c>
      <c r="C42" t="s">
        <v>609</v>
      </c>
      <c r="D42" t="s">
        <v>33118</v>
      </c>
      <c r="E42">
        <v>1.64E-4</v>
      </c>
      <c r="F42">
        <v>0.49928600000000001</v>
      </c>
      <c r="G42">
        <v>1.2899999999999999E-4</v>
      </c>
      <c r="H42">
        <v>0.50018600000000002</v>
      </c>
      <c r="I42">
        <v>1.21E-4</v>
      </c>
      <c r="J42">
        <v>1.17E-4</v>
      </c>
      <c r="K42" t="s">
        <v>33123</v>
      </c>
      <c r="L42" t="s">
        <v>33125</v>
      </c>
      <c r="M42" t="s">
        <v>33143</v>
      </c>
      <c r="N42" t="s">
        <v>33127</v>
      </c>
      <c r="O42">
        <v>0.45119999999999999</v>
      </c>
    </row>
    <row r="43" spans="1:15" x14ac:dyDescent="0.75">
      <c r="A43" t="s">
        <v>626</v>
      </c>
      <c r="B43" t="s">
        <v>624</v>
      </c>
      <c r="C43" t="s">
        <v>622</v>
      </c>
      <c r="D43" t="s">
        <v>33116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 t="s">
        <v>33123</v>
      </c>
      <c r="L43" t="s">
        <v>33125</v>
      </c>
      <c r="M43" t="s">
        <v>33126</v>
      </c>
      <c r="N43" t="s">
        <v>33127</v>
      </c>
      <c r="O43">
        <v>0.996</v>
      </c>
    </row>
    <row r="44" spans="1:15" x14ac:dyDescent="0.75">
      <c r="A44" t="s">
        <v>642</v>
      </c>
      <c r="B44" t="s">
        <v>106</v>
      </c>
      <c r="C44" t="s">
        <v>640</v>
      </c>
      <c r="D44" t="s">
        <v>33116</v>
      </c>
      <c r="E44">
        <v>3.1999999999999999E-5</v>
      </c>
      <c r="F44">
        <v>0.166542</v>
      </c>
      <c r="G44">
        <v>0.83338900000000005</v>
      </c>
      <c r="H44">
        <v>2.3E-5</v>
      </c>
      <c r="I44">
        <v>1.8E-5</v>
      </c>
      <c r="J44">
        <v>2.0000000000000002E-5</v>
      </c>
      <c r="K44" t="s">
        <v>33123</v>
      </c>
      <c r="L44" t="s">
        <v>33125</v>
      </c>
      <c r="M44" t="s">
        <v>33126</v>
      </c>
      <c r="N44" t="s">
        <v>33127</v>
      </c>
      <c r="O44">
        <v>0.83020000000000005</v>
      </c>
    </row>
    <row r="45" spans="1:15" x14ac:dyDescent="0.75">
      <c r="A45" t="s">
        <v>647</v>
      </c>
      <c r="B45" t="s">
        <v>106</v>
      </c>
      <c r="C45" t="s">
        <v>640</v>
      </c>
      <c r="D45" t="s">
        <v>33116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 t="s">
        <v>33123</v>
      </c>
      <c r="L45" t="s">
        <v>33125</v>
      </c>
      <c r="M45" t="s">
        <v>33128</v>
      </c>
      <c r="N45" t="s">
        <v>33127</v>
      </c>
      <c r="O45">
        <v>0.99670000000000003</v>
      </c>
    </row>
    <row r="46" spans="1:15" x14ac:dyDescent="0.75">
      <c r="A46" t="s">
        <v>650</v>
      </c>
      <c r="B46" t="s">
        <v>106</v>
      </c>
      <c r="C46" t="s">
        <v>640</v>
      </c>
      <c r="D46" t="s">
        <v>33116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 t="s">
        <v>33123</v>
      </c>
      <c r="L46" t="s">
        <v>33125</v>
      </c>
      <c r="M46" t="s">
        <v>33129</v>
      </c>
      <c r="N46" t="s">
        <v>33127</v>
      </c>
      <c r="O46">
        <v>0.99399999999999999</v>
      </c>
    </row>
    <row r="47" spans="1:15" x14ac:dyDescent="0.75">
      <c r="A47" t="s">
        <v>659</v>
      </c>
      <c r="B47" t="s">
        <v>106</v>
      </c>
      <c r="C47" t="s">
        <v>657</v>
      </c>
      <c r="D47" t="s">
        <v>33116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 t="s">
        <v>33123</v>
      </c>
      <c r="L47" t="s">
        <v>33125</v>
      </c>
      <c r="M47" t="s">
        <v>33129</v>
      </c>
      <c r="N47" t="s">
        <v>33127</v>
      </c>
      <c r="O47">
        <v>0.99570000000000003</v>
      </c>
    </row>
    <row r="48" spans="1:15" x14ac:dyDescent="0.75">
      <c r="A48" t="s">
        <v>665</v>
      </c>
      <c r="B48" t="s">
        <v>106</v>
      </c>
      <c r="C48" t="s">
        <v>657</v>
      </c>
      <c r="D48" t="s">
        <v>33116</v>
      </c>
      <c r="E48">
        <v>3.4999999999999997E-5</v>
      </c>
      <c r="F48">
        <v>0.166519</v>
      </c>
      <c r="G48">
        <v>0.83341200000000004</v>
      </c>
      <c r="H48">
        <v>2.6999999999999999E-5</v>
      </c>
      <c r="I48">
        <v>2.0999999999999999E-5</v>
      </c>
      <c r="J48">
        <v>2.5999999999999998E-5</v>
      </c>
      <c r="K48" t="s">
        <v>33123</v>
      </c>
      <c r="L48" t="s">
        <v>33125</v>
      </c>
      <c r="M48" t="s">
        <v>33129</v>
      </c>
      <c r="N48" t="s">
        <v>33127</v>
      </c>
      <c r="O48">
        <v>0.82950000000000002</v>
      </c>
    </row>
    <row r="49" spans="1:15" x14ac:dyDescent="0.75">
      <c r="A49" t="s">
        <v>668</v>
      </c>
      <c r="B49" t="s">
        <v>106</v>
      </c>
      <c r="C49" t="s">
        <v>657</v>
      </c>
      <c r="D49" t="s">
        <v>33116</v>
      </c>
      <c r="E49">
        <v>3.0000000000000001E-5</v>
      </c>
      <c r="F49">
        <v>0.166597</v>
      </c>
      <c r="G49">
        <v>0.83335999999999999</v>
      </c>
      <c r="H49">
        <v>1.4E-5</v>
      </c>
      <c r="I49">
        <v>1.2E-5</v>
      </c>
      <c r="J49">
        <v>1.4E-5</v>
      </c>
      <c r="K49" t="s">
        <v>33123</v>
      </c>
      <c r="L49" t="s">
        <v>33125</v>
      </c>
      <c r="M49" t="s">
        <v>33128</v>
      </c>
      <c r="N49" t="s">
        <v>33127</v>
      </c>
      <c r="O49">
        <v>0.83030000000000004</v>
      </c>
    </row>
    <row r="50" spans="1:15" x14ac:dyDescent="0.75">
      <c r="A50" t="s">
        <v>672</v>
      </c>
      <c r="B50" t="s">
        <v>106</v>
      </c>
      <c r="C50" t="s">
        <v>670</v>
      </c>
      <c r="D50" t="s">
        <v>33116</v>
      </c>
      <c r="E50">
        <v>2.5000000000000001E-5</v>
      </c>
      <c r="F50">
        <v>0.166576</v>
      </c>
      <c r="G50">
        <v>0.83336100000000002</v>
      </c>
      <c r="H50">
        <v>1.8E-5</v>
      </c>
      <c r="I50">
        <v>1.4E-5</v>
      </c>
      <c r="J50">
        <v>1.5999999999999999E-5</v>
      </c>
      <c r="K50" t="s">
        <v>33123</v>
      </c>
      <c r="L50" t="s">
        <v>33125</v>
      </c>
      <c r="M50" t="s">
        <v>33126</v>
      </c>
      <c r="N50" t="s">
        <v>33127</v>
      </c>
      <c r="O50">
        <v>0.8286</v>
      </c>
    </row>
    <row r="51" spans="1:15" x14ac:dyDescent="0.75">
      <c r="A51" t="s">
        <v>677</v>
      </c>
      <c r="B51" t="s">
        <v>106</v>
      </c>
      <c r="C51" t="s">
        <v>670</v>
      </c>
      <c r="D51" t="s">
        <v>33116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 t="s">
        <v>33123</v>
      </c>
      <c r="L51" t="s">
        <v>33125</v>
      </c>
      <c r="M51" t="s">
        <v>33129</v>
      </c>
      <c r="N51" t="s">
        <v>33127</v>
      </c>
      <c r="O51">
        <v>0.99399999999999999</v>
      </c>
    </row>
    <row r="52" spans="1:15" x14ac:dyDescent="0.75">
      <c r="A52" t="s">
        <v>683</v>
      </c>
      <c r="B52" t="s">
        <v>106</v>
      </c>
      <c r="C52" t="s">
        <v>670</v>
      </c>
      <c r="D52" t="s">
        <v>33116</v>
      </c>
      <c r="E52">
        <v>0</v>
      </c>
      <c r="F52">
        <v>0</v>
      </c>
      <c r="G52">
        <v>1</v>
      </c>
      <c r="H52">
        <v>0</v>
      </c>
      <c r="I52">
        <v>0</v>
      </c>
      <c r="J52">
        <v>0</v>
      </c>
      <c r="K52" t="s">
        <v>33123</v>
      </c>
      <c r="L52" t="s">
        <v>33125</v>
      </c>
      <c r="M52" t="s">
        <v>33128</v>
      </c>
      <c r="N52" t="s">
        <v>33127</v>
      </c>
      <c r="O52">
        <v>0.99670000000000003</v>
      </c>
    </row>
    <row r="53" spans="1:15" x14ac:dyDescent="0.75">
      <c r="A53" t="s">
        <v>736</v>
      </c>
      <c r="B53" t="s">
        <v>242</v>
      </c>
      <c r="C53" t="s">
        <v>734</v>
      </c>
      <c r="D53" t="s">
        <v>33110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5" x14ac:dyDescent="0.75">
      <c r="A54" t="s">
        <v>741</v>
      </c>
      <c r="B54" t="s">
        <v>242</v>
      </c>
      <c r="C54" t="s">
        <v>734</v>
      </c>
      <c r="D54" t="s">
        <v>33116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 t="s">
        <v>33123</v>
      </c>
      <c r="L54" t="s">
        <v>33125</v>
      </c>
      <c r="M54" t="s">
        <v>33132</v>
      </c>
      <c r="N54" t="s">
        <v>33127</v>
      </c>
      <c r="O54">
        <v>0.99490000000000001</v>
      </c>
    </row>
    <row r="55" spans="1:15" x14ac:dyDescent="0.75">
      <c r="A55" t="s">
        <v>749</v>
      </c>
      <c r="B55" t="s">
        <v>747</v>
      </c>
      <c r="C55" t="s">
        <v>745</v>
      </c>
      <c r="D55" t="s">
        <v>33117</v>
      </c>
      <c r="E55">
        <v>2.5999999999999998E-4</v>
      </c>
      <c r="F55">
        <v>0.99885500000000005</v>
      </c>
      <c r="G55">
        <v>2.1599999999999999E-4</v>
      </c>
      <c r="H55">
        <v>2.7099999999999997E-4</v>
      </c>
      <c r="I55">
        <v>2.0699999999999999E-4</v>
      </c>
      <c r="J55">
        <v>1.94E-4</v>
      </c>
      <c r="K55" t="s">
        <v>33123</v>
      </c>
      <c r="L55" t="s">
        <v>33125</v>
      </c>
      <c r="M55" t="s">
        <v>33143</v>
      </c>
      <c r="N55" t="s">
        <v>33127</v>
      </c>
      <c r="O55">
        <v>0.96579999999999999</v>
      </c>
    </row>
    <row r="56" spans="1:15" x14ac:dyDescent="0.75">
      <c r="A56" t="s">
        <v>759</v>
      </c>
      <c r="B56" t="s">
        <v>757</v>
      </c>
      <c r="C56" t="s">
        <v>755</v>
      </c>
      <c r="D56" t="s">
        <v>33116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 t="s">
        <v>33123</v>
      </c>
      <c r="L56" t="s">
        <v>33125</v>
      </c>
      <c r="M56" t="s">
        <v>33126</v>
      </c>
      <c r="N56" t="s">
        <v>33127</v>
      </c>
      <c r="O56">
        <v>0.99770000000000003</v>
      </c>
    </row>
    <row r="57" spans="1:15" x14ac:dyDescent="0.75">
      <c r="A57" t="s">
        <v>786</v>
      </c>
      <c r="B57" t="s">
        <v>784</v>
      </c>
      <c r="C57" t="s">
        <v>782</v>
      </c>
      <c r="D57" t="s">
        <v>33117</v>
      </c>
      <c r="E57">
        <v>2.3000000000000001E-4</v>
      </c>
      <c r="F57">
        <v>0.99907900000000005</v>
      </c>
      <c r="G57">
        <v>1.94E-4</v>
      </c>
      <c r="H57">
        <v>1.9699999999999999E-4</v>
      </c>
      <c r="I57">
        <v>1.55E-4</v>
      </c>
      <c r="J57">
        <v>1.54E-4</v>
      </c>
      <c r="K57" t="s">
        <v>33123</v>
      </c>
      <c r="L57" t="s">
        <v>33125</v>
      </c>
      <c r="M57" t="s">
        <v>33130</v>
      </c>
      <c r="N57" t="s">
        <v>33127</v>
      </c>
      <c r="O57">
        <v>0.97719999999999996</v>
      </c>
    </row>
    <row r="58" spans="1:15" x14ac:dyDescent="0.75">
      <c r="A58" t="s">
        <v>799</v>
      </c>
      <c r="B58" t="s">
        <v>106</v>
      </c>
      <c r="C58" t="s">
        <v>797</v>
      </c>
      <c r="D58" t="s">
        <v>33116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 t="s">
        <v>33123</v>
      </c>
      <c r="L58" t="s">
        <v>33125</v>
      </c>
      <c r="M58" t="s">
        <v>33129</v>
      </c>
      <c r="N58" t="s">
        <v>33127</v>
      </c>
      <c r="O58">
        <v>0.99399999999999999</v>
      </c>
    </row>
    <row r="59" spans="1:15" x14ac:dyDescent="0.75">
      <c r="A59" t="s">
        <v>806</v>
      </c>
      <c r="B59" t="s">
        <v>106</v>
      </c>
      <c r="C59" t="s">
        <v>797</v>
      </c>
      <c r="D59" t="s">
        <v>33116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 t="s">
        <v>33123</v>
      </c>
      <c r="L59" t="s">
        <v>33125</v>
      </c>
      <c r="M59" t="s">
        <v>33128</v>
      </c>
      <c r="N59" t="s">
        <v>33127</v>
      </c>
      <c r="O59">
        <v>0.997</v>
      </c>
    </row>
    <row r="60" spans="1:15" x14ac:dyDescent="0.75">
      <c r="A60" t="s">
        <v>809</v>
      </c>
      <c r="B60" t="s">
        <v>106</v>
      </c>
      <c r="C60" t="s">
        <v>797</v>
      </c>
      <c r="D60" t="s">
        <v>33116</v>
      </c>
      <c r="E60">
        <v>3.1000000000000001E-5</v>
      </c>
      <c r="F60">
        <v>0.166542</v>
      </c>
      <c r="G60">
        <v>0.83338599999999996</v>
      </c>
      <c r="H60">
        <v>2.3E-5</v>
      </c>
      <c r="I60">
        <v>1.8E-5</v>
      </c>
      <c r="J60">
        <v>2.0999999999999999E-5</v>
      </c>
      <c r="K60" t="s">
        <v>33123</v>
      </c>
      <c r="L60" t="s">
        <v>33125</v>
      </c>
      <c r="M60" t="s">
        <v>33126</v>
      </c>
      <c r="N60" t="s">
        <v>33127</v>
      </c>
      <c r="O60">
        <v>0.82899999999999996</v>
      </c>
    </row>
    <row r="61" spans="1:15" x14ac:dyDescent="0.75">
      <c r="A61" t="s">
        <v>817</v>
      </c>
      <c r="B61" t="s">
        <v>815</v>
      </c>
      <c r="C61" t="s">
        <v>813</v>
      </c>
      <c r="D61" t="s">
        <v>33117</v>
      </c>
      <c r="E61">
        <v>2.0900000000000001E-4</v>
      </c>
      <c r="F61">
        <v>0.99915600000000004</v>
      </c>
      <c r="G61">
        <v>1.8799999999999999E-4</v>
      </c>
      <c r="H61">
        <v>1.7000000000000001E-4</v>
      </c>
      <c r="I61">
        <v>1.45E-4</v>
      </c>
      <c r="J61">
        <v>1.3999999999999999E-4</v>
      </c>
      <c r="K61" t="s">
        <v>33123</v>
      </c>
      <c r="L61" t="s">
        <v>33125</v>
      </c>
      <c r="M61" t="s">
        <v>33140</v>
      </c>
      <c r="N61" t="s">
        <v>33127</v>
      </c>
      <c r="O61">
        <v>0.97409999999999997</v>
      </c>
    </row>
    <row r="62" spans="1:15" x14ac:dyDescent="0.75">
      <c r="A62" t="s">
        <v>822</v>
      </c>
      <c r="B62" t="s">
        <v>815</v>
      </c>
      <c r="C62" t="s">
        <v>813</v>
      </c>
      <c r="D62" t="s">
        <v>33116</v>
      </c>
      <c r="E62">
        <v>2.9E-5</v>
      </c>
      <c r="F62">
        <v>0.16656899999999999</v>
      </c>
      <c r="G62">
        <v>0.83337799999999995</v>
      </c>
      <c r="H62">
        <v>1.9000000000000001E-5</v>
      </c>
      <c r="I62">
        <v>1.5999999999999999E-5</v>
      </c>
      <c r="J62">
        <v>1.9000000000000001E-5</v>
      </c>
      <c r="K62" t="s">
        <v>33123</v>
      </c>
      <c r="L62" t="s">
        <v>33125</v>
      </c>
      <c r="M62" t="s">
        <v>33128</v>
      </c>
      <c r="N62" t="s">
        <v>33127</v>
      </c>
      <c r="O62">
        <v>0.83079999999999998</v>
      </c>
    </row>
    <row r="63" spans="1:15" x14ac:dyDescent="0.75">
      <c r="A63" t="s">
        <v>827</v>
      </c>
      <c r="B63" t="s">
        <v>815</v>
      </c>
      <c r="C63" t="s">
        <v>813</v>
      </c>
      <c r="D63" t="s">
        <v>33116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 t="s">
        <v>33123</v>
      </c>
      <c r="L63" t="s">
        <v>33125</v>
      </c>
      <c r="M63" t="s">
        <v>33129</v>
      </c>
      <c r="N63" t="s">
        <v>33127</v>
      </c>
      <c r="O63">
        <v>0.99399999999999999</v>
      </c>
    </row>
    <row r="64" spans="1:15" x14ac:dyDescent="0.75">
      <c r="A64" t="s">
        <v>833</v>
      </c>
      <c r="B64" t="s">
        <v>106</v>
      </c>
      <c r="C64" t="s">
        <v>831</v>
      </c>
      <c r="D64" t="s">
        <v>33116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 t="s">
        <v>33123</v>
      </c>
      <c r="L64" t="s">
        <v>33125</v>
      </c>
      <c r="M64" t="s">
        <v>33128</v>
      </c>
      <c r="N64" t="s">
        <v>33127</v>
      </c>
      <c r="O64">
        <v>0.99650000000000005</v>
      </c>
    </row>
    <row r="65" spans="1:15" x14ac:dyDescent="0.75">
      <c r="A65" t="s">
        <v>838</v>
      </c>
      <c r="B65" t="s">
        <v>106</v>
      </c>
      <c r="C65" t="s">
        <v>831</v>
      </c>
      <c r="D65" t="s">
        <v>33116</v>
      </c>
      <c r="E65">
        <v>3.1999999999999999E-5</v>
      </c>
      <c r="F65">
        <v>0.166542</v>
      </c>
      <c r="G65">
        <v>0.83338900000000005</v>
      </c>
      <c r="H65">
        <v>2.3E-5</v>
      </c>
      <c r="I65">
        <v>1.8E-5</v>
      </c>
      <c r="J65">
        <v>2.0000000000000002E-5</v>
      </c>
      <c r="K65" t="s">
        <v>33123</v>
      </c>
      <c r="L65" t="s">
        <v>33125</v>
      </c>
      <c r="M65" t="s">
        <v>33126</v>
      </c>
      <c r="N65" t="s">
        <v>33127</v>
      </c>
      <c r="O65">
        <v>0.83020000000000005</v>
      </c>
    </row>
    <row r="66" spans="1:15" x14ac:dyDescent="0.75">
      <c r="A66" t="s">
        <v>843</v>
      </c>
      <c r="B66" t="s">
        <v>106</v>
      </c>
      <c r="C66" t="s">
        <v>831</v>
      </c>
      <c r="D66" t="s">
        <v>33116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 t="s">
        <v>33123</v>
      </c>
      <c r="L66" t="s">
        <v>33125</v>
      </c>
      <c r="M66" t="s">
        <v>33129</v>
      </c>
      <c r="N66" t="s">
        <v>33127</v>
      </c>
      <c r="O66">
        <v>0.99380000000000002</v>
      </c>
    </row>
    <row r="67" spans="1:15" x14ac:dyDescent="0.75">
      <c r="A67" t="s">
        <v>848</v>
      </c>
      <c r="B67" t="s">
        <v>747</v>
      </c>
      <c r="C67" t="s">
        <v>846</v>
      </c>
      <c r="D67" t="s">
        <v>33117</v>
      </c>
      <c r="E67">
        <v>2.5999999999999998E-4</v>
      </c>
      <c r="F67">
        <v>0.99885500000000005</v>
      </c>
      <c r="G67">
        <v>2.1599999999999999E-4</v>
      </c>
      <c r="H67">
        <v>2.7099999999999997E-4</v>
      </c>
      <c r="I67">
        <v>2.0699999999999999E-4</v>
      </c>
      <c r="J67">
        <v>1.94E-4</v>
      </c>
      <c r="K67" t="s">
        <v>33123</v>
      </c>
      <c r="L67" t="s">
        <v>33125</v>
      </c>
      <c r="M67" t="s">
        <v>33143</v>
      </c>
      <c r="N67" t="s">
        <v>33127</v>
      </c>
      <c r="O67">
        <v>0.96579999999999999</v>
      </c>
    </row>
    <row r="68" spans="1:15" x14ac:dyDescent="0.75">
      <c r="A68" t="s">
        <v>856</v>
      </c>
      <c r="B68" t="s">
        <v>854</v>
      </c>
      <c r="C68" t="s">
        <v>852</v>
      </c>
      <c r="D68" t="s">
        <v>33116</v>
      </c>
      <c r="E68">
        <v>1.9000000000000001E-4</v>
      </c>
      <c r="F68">
        <v>0.49918000000000001</v>
      </c>
      <c r="G68">
        <v>0.50026800000000005</v>
      </c>
      <c r="H68">
        <v>1.17E-4</v>
      </c>
      <c r="I68">
        <v>1.3799999999999999E-4</v>
      </c>
      <c r="J68">
        <v>1.15E-4</v>
      </c>
      <c r="K68" t="s">
        <v>33123</v>
      </c>
      <c r="L68" t="s">
        <v>33125</v>
      </c>
      <c r="M68" t="s">
        <v>33130</v>
      </c>
      <c r="N68" t="s">
        <v>33127</v>
      </c>
      <c r="O68">
        <v>0.40570000000000001</v>
      </c>
    </row>
    <row r="69" spans="1:15" x14ac:dyDescent="0.75">
      <c r="A69" t="s">
        <v>876</v>
      </c>
      <c r="B69" t="s">
        <v>874</v>
      </c>
      <c r="C69" t="s">
        <v>872</v>
      </c>
      <c r="D69" t="s">
        <v>33117</v>
      </c>
      <c r="E69">
        <v>3.48E-4</v>
      </c>
      <c r="F69">
        <v>0.99871200000000004</v>
      </c>
      <c r="G69">
        <v>2.8800000000000001E-4</v>
      </c>
      <c r="H69">
        <v>2.6699999999999998E-4</v>
      </c>
      <c r="I69">
        <v>2.0699999999999999E-4</v>
      </c>
      <c r="J69">
        <v>1.9599999999999999E-4</v>
      </c>
      <c r="K69" t="s">
        <v>33123</v>
      </c>
      <c r="L69" t="s">
        <v>33125</v>
      </c>
      <c r="M69" t="s">
        <v>33130</v>
      </c>
      <c r="N69" t="s">
        <v>33127</v>
      </c>
      <c r="O69">
        <v>0.85580000000000001</v>
      </c>
    </row>
    <row r="70" spans="1:15" x14ac:dyDescent="0.75">
      <c r="A70" t="s">
        <v>883</v>
      </c>
      <c r="B70" t="s">
        <v>276</v>
      </c>
      <c r="C70" t="s">
        <v>881</v>
      </c>
      <c r="D70" t="s">
        <v>33117</v>
      </c>
      <c r="E70">
        <v>7.2599999999999997E-4</v>
      </c>
      <c r="F70">
        <v>0.99797400000000003</v>
      </c>
      <c r="G70">
        <v>4.2299999999999998E-4</v>
      </c>
      <c r="H70">
        <v>3.2600000000000001E-4</v>
      </c>
      <c r="I70">
        <v>3.01E-4</v>
      </c>
      <c r="J70">
        <v>2.5900000000000001E-4</v>
      </c>
      <c r="K70" t="s">
        <v>33123</v>
      </c>
      <c r="L70" t="s">
        <v>33125</v>
      </c>
      <c r="M70" t="s">
        <v>33131</v>
      </c>
      <c r="N70" t="s">
        <v>33127</v>
      </c>
      <c r="O70">
        <v>0.86650000000000005</v>
      </c>
    </row>
    <row r="71" spans="1:15" x14ac:dyDescent="0.75">
      <c r="A71" t="s">
        <v>889</v>
      </c>
      <c r="B71" t="s">
        <v>307</v>
      </c>
      <c r="C71" t="s">
        <v>887</v>
      </c>
      <c r="D71" t="s">
        <v>33116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 t="s">
        <v>33123</v>
      </c>
      <c r="L71" t="s">
        <v>33125</v>
      </c>
      <c r="M71" t="s">
        <v>33134</v>
      </c>
      <c r="N71" t="s">
        <v>33127</v>
      </c>
      <c r="O71">
        <v>0.99750000000000005</v>
      </c>
    </row>
    <row r="72" spans="1:15" x14ac:dyDescent="0.75">
      <c r="A72" t="s">
        <v>916</v>
      </c>
      <c r="B72" t="s">
        <v>106</v>
      </c>
      <c r="C72" t="s">
        <v>914</v>
      </c>
      <c r="D72" t="s">
        <v>33116</v>
      </c>
      <c r="E72">
        <v>4.6999999999999997E-5</v>
      </c>
      <c r="F72">
        <v>0.16652</v>
      </c>
      <c r="G72">
        <v>0.83339799999999997</v>
      </c>
      <c r="H72">
        <v>2.4000000000000001E-5</v>
      </c>
      <c r="I72">
        <v>2.0999999999999999E-5</v>
      </c>
      <c r="J72">
        <v>2.4000000000000001E-5</v>
      </c>
      <c r="K72" t="s">
        <v>33123</v>
      </c>
      <c r="L72" t="s">
        <v>33125</v>
      </c>
      <c r="M72" t="s">
        <v>33128</v>
      </c>
      <c r="N72" t="s">
        <v>33127</v>
      </c>
      <c r="O72">
        <v>0.82989999999999997</v>
      </c>
    </row>
    <row r="73" spans="1:15" x14ac:dyDescent="0.75">
      <c r="A73" t="s">
        <v>920</v>
      </c>
      <c r="B73" t="s">
        <v>106</v>
      </c>
      <c r="C73" t="s">
        <v>914</v>
      </c>
      <c r="D73" t="s">
        <v>33116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 t="s">
        <v>33123</v>
      </c>
      <c r="L73" t="s">
        <v>33125</v>
      </c>
      <c r="M73" t="s">
        <v>33129</v>
      </c>
      <c r="N73" t="s">
        <v>33127</v>
      </c>
      <c r="O73">
        <v>0.99399999999999999</v>
      </c>
    </row>
    <row r="74" spans="1:15" x14ac:dyDescent="0.75">
      <c r="A74" t="s">
        <v>925</v>
      </c>
      <c r="B74" t="s">
        <v>106</v>
      </c>
      <c r="C74" t="s">
        <v>914</v>
      </c>
      <c r="D74" t="s">
        <v>33116</v>
      </c>
      <c r="E74">
        <v>3.4999999999999997E-5</v>
      </c>
      <c r="F74">
        <v>0.166522</v>
      </c>
      <c r="G74">
        <v>0.83340599999999998</v>
      </c>
      <c r="H74">
        <v>2.5999999999999998E-5</v>
      </c>
      <c r="I74">
        <v>2.0999999999999999E-5</v>
      </c>
      <c r="J74">
        <v>2.5000000000000001E-5</v>
      </c>
      <c r="K74" t="s">
        <v>33123</v>
      </c>
      <c r="L74" t="s">
        <v>33125</v>
      </c>
      <c r="M74" t="s">
        <v>33129</v>
      </c>
      <c r="N74" t="s">
        <v>33127</v>
      </c>
      <c r="O74">
        <v>0.82989999999999997</v>
      </c>
    </row>
    <row r="75" spans="1:15" x14ac:dyDescent="0.75">
      <c r="A75" t="s">
        <v>944</v>
      </c>
      <c r="B75" t="s">
        <v>463</v>
      </c>
      <c r="C75" t="s">
        <v>942</v>
      </c>
      <c r="D75" t="s">
        <v>33117</v>
      </c>
      <c r="E75">
        <v>0.17947199999999999</v>
      </c>
      <c r="F75">
        <v>0.81972</v>
      </c>
      <c r="G75">
        <v>2.4000000000000001E-4</v>
      </c>
      <c r="H75">
        <v>2.33E-4</v>
      </c>
      <c r="I75">
        <v>1.83E-4</v>
      </c>
      <c r="J75">
        <v>1.94E-4</v>
      </c>
      <c r="K75" t="s">
        <v>33123</v>
      </c>
      <c r="L75" t="s">
        <v>33125</v>
      </c>
      <c r="M75" t="s">
        <v>33139</v>
      </c>
      <c r="N75" t="s">
        <v>33127</v>
      </c>
      <c r="O75">
        <v>0.77080000000000004</v>
      </c>
    </row>
    <row r="76" spans="1:15" x14ac:dyDescent="0.75">
      <c r="A76" t="s">
        <v>951</v>
      </c>
      <c r="B76" t="s">
        <v>949</v>
      </c>
      <c r="C76" t="s">
        <v>947</v>
      </c>
      <c r="D76" t="s">
        <v>33116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 t="s">
        <v>33123</v>
      </c>
      <c r="L76" t="s">
        <v>33125</v>
      </c>
      <c r="M76" t="s">
        <v>33134</v>
      </c>
      <c r="N76" t="s">
        <v>33127</v>
      </c>
      <c r="O76">
        <v>0.99780000000000002</v>
      </c>
    </row>
    <row r="77" spans="1:15" x14ac:dyDescent="0.75">
      <c r="A77" t="s">
        <v>959</v>
      </c>
      <c r="B77" t="s">
        <v>949</v>
      </c>
      <c r="C77" t="s">
        <v>947</v>
      </c>
      <c r="D77" t="s">
        <v>33116</v>
      </c>
      <c r="E77">
        <v>0</v>
      </c>
      <c r="F77">
        <v>3.0000000000000001E-6</v>
      </c>
      <c r="G77">
        <v>0.99998100000000001</v>
      </c>
      <c r="H77">
        <v>0</v>
      </c>
      <c r="I77">
        <v>0</v>
      </c>
      <c r="J77">
        <v>0</v>
      </c>
      <c r="K77" t="s">
        <v>33123</v>
      </c>
      <c r="L77" t="s">
        <v>33125</v>
      </c>
      <c r="M77" t="s">
        <v>33131</v>
      </c>
      <c r="N77" t="s">
        <v>33127</v>
      </c>
      <c r="O77">
        <v>0.99709999999999999</v>
      </c>
    </row>
    <row r="78" spans="1:15" x14ac:dyDescent="0.75">
      <c r="A78" t="s">
        <v>1012</v>
      </c>
      <c r="B78" t="s">
        <v>285</v>
      </c>
      <c r="C78" t="s">
        <v>1010</v>
      </c>
      <c r="D78" t="s">
        <v>33117</v>
      </c>
      <c r="E78">
        <v>2.9100000000000003E-4</v>
      </c>
      <c r="F78">
        <v>0.99873000000000001</v>
      </c>
      <c r="G78">
        <v>2.72E-4</v>
      </c>
      <c r="H78">
        <v>2.6200000000000003E-4</v>
      </c>
      <c r="I78">
        <v>2.13E-4</v>
      </c>
      <c r="J78">
        <v>2.1499999999999999E-4</v>
      </c>
      <c r="K78" t="s">
        <v>33123</v>
      </c>
      <c r="L78" t="s">
        <v>33125</v>
      </c>
      <c r="M78" t="s">
        <v>33134</v>
      </c>
      <c r="N78" t="s">
        <v>33127</v>
      </c>
      <c r="O78">
        <v>0.9788</v>
      </c>
    </row>
    <row r="79" spans="1:15" x14ac:dyDescent="0.75">
      <c r="A79" t="s">
        <v>1024</v>
      </c>
      <c r="B79" t="s">
        <v>1022</v>
      </c>
      <c r="C79" t="s">
        <v>1020</v>
      </c>
      <c r="D79" t="s">
        <v>33117</v>
      </c>
      <c r="E79">
        <v>2.4800000000000001E-4</v>
      </c>
      <c r="F79">
        <v>0.99889499999999998</v>
      </c>
      <c r="G79">
        <v>2.5700000000000001E-4</v>
      </c>
      <c r="H79">
        <v>2.3000000000000001E-4</v>
      </c>
      <c r="I79">
        <v>1.7100000000000001E-4</v>
      </c>
      <c r="J79">
        <v>1.75E-4</v>
      </c>
      <c r="K79" t="s">
        <v>33123</v>
      </c>
      <c r="L79" t="s">
        <v>33125</v>
      </c>
      <c r="M79" t="s">
        <v>33144</v>
      </c>
      <c r="N79" t="s">
        <v>33127</v>
      </c>
      <c r="O79">
        <v>0.97570000000000001</v>
      </c>
    </row>
    <row r="80" spans="1:15" x14ac:dyDescent="0.75">
      <c r="A80" t="s">
        <v>1030</v>
      </c>
      <c r="B80" t="s">
        <v>757</v>
      </c>
      <c r="C80" t="s">
        <v>1028</v>
      </c>
      <c r="D80" t="s">
        <v>33116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 t="s">
        <v>33123</v>
      </c>
      <c r="L80" t="s">
        <v>33125</v>
      </c>
      <c r="M80" t="s">
        <v>33126</v>
      </c>
      <c r="N80" t="s">
        <v>33127</v>
      </c>
      <c r="O80">
        <v>0.99770000000000003</v>
      </c>
    </row>
    <row r="81" spans="1:15" x14ac:dyDescent="0.75">
      <c r="A81" t="s">
        <v>1038</v>
      </c>
      <c r="B81" t="s">
        <v>1036</v>
      </c>
      <c r="C81" t="s">
        <v>1034</v>
      </c>
      <c r="D81" t="s">
        <v>33116</v>
      </c>
      <c r="E81">
        <v>0.33298</v>
      </c>
      <c r="F81">
        <v>0.16689000000000001</v>
      </c>
      <c r="G81">
        <v>0.50004800000000005</v>
      </c>
      <c r="H81">
        <v>3.1000000000000001E-5</v>
      </c>
      <c r="I81">
        <v>2.8E-5</v>
      </c>
      <c r="J81">
        <v>2.6999999999999999E-5</v>
      </c>
      <c r="K81" t="s">
        <v>33123</v>
      </c>
      <c r="L81" t="s">
        <v>33125</v>
      </c>
      <c r="M81" t="s">
        <v>33130</v>
      </c>
      <c r="N81" t="s">
        <v>33127</v>
      </c>
      <c r="O81">
        <v>0.42370000000000002</v>
      </c>
    </row>
    <row r="82" spans="1:15" x14ac:dyDescent="0.75">
      <c r="A82" t="s">
        <v>1046</v>
      </c>
      <c r="B82" t="s">
        <v>611</v>
      </c>
      <c r="C82" t="s">
        <v>1044</v>
      </c>
      <c r="D82" t="s">
        <v>33118</v>
      </c>
      <c r="E82">
        <v>1.64E-4</v>
      </c>
      <c r="F82">
        <v>0.49928600000000001</v>
      </c>
      <c r="G82">
        <v>1.2899999999999999E-4</v>
      </c>
      <c r="H82">
        <v>0.50018600000000002</v>
      </c>
      <c r="I82">
        <v>1.21E-4</v>
      </c>
      <c r="J82">
        <v>1.17E-4</v>
      </c>
      <c r="K82" t="s">
        <v>33123</v>
      </c>
      <c r="L82" t="s">
        <v>33125</v>
      </c>
      <c r="M82" t="s">
        <v>33143</v>
      </c>
      <c r="N82" t="s">
        <v>33127</v>
      </c>
      <c r="O82">
        <v>0.45119999999999999</v>
      </c>
    </row>
    <row r="83" spans="1:15" x14ac:dyDescent="0.75">
      <c r="A83" t="s">
        <v>1057</v>
      </c>
      <c r="B83" t="s">
        <v>1055</v>
      </c>
      <c r="C83" t="s">
        <v>1053</v>
      </c>
      <c r="D83" t="s">
        <v>33117</v>
      </c>
      <c r="E83">
        <v>2.2000000000000001E-4</v>
      </c>
      <c r="F83">
        <v>0.99912100000000004</v>
      </c>
      <c r="G83">
        <v>1.8200000000000001E-4</v>
      </c>
      <c r="H83">
        <v>1.83E-4</v>
      </c>
      <c r="I83">
        <v>1.5200000000000001E-4</v>
      </c>
      <c r="J83">
        <v>1.5300000000000001E-4</v>
      </c>
      <c r="K83" t="s">
        <v>33123</v>
      </c>
      <c r="L83" t="s">
        <v>33125</v>
      </c>
      <c r="M83" t="s">
        <v>33131</v>
      </c>
      <c r="N83" t="s">
        <v>33127</v>
      </c>
      <c r="O83">
        <v>0.97860000000000003</v>
      </c>
    </row>
    <row r="84" spans="1:15" x14ac:dyDescent="0.75">
      <c r="A84" t="s">
        <v>1063</v>
      </c>
      <c r="B84" t="s">
        <v>949</v>
      </c>
      <c r="C84" t="s">
        <v>1059</v>
      </c>
      <c r="D84" t="s">
        <v>33116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 t="s">
        <v>33123</v>
      </c>
      <c r="L84" t="s">
        <v>33125</v>
      </c>
      <c r="M84" t="s">
        <v>33134</v>
      </c>
      <c r="N84" t="s">
        <v>33127</v>
      </c>
      <c r="O84">
        <v>0.99750000000000005</v>
      </c>
    </row>
    <row r="85" spans="1:15" x14ac:dyDescent="0.75">
      <c r="A85" t="s">
        <v>1061</v>
      </c>
      <c r="B85" t="s">
        <v>949</v>
      </c>
      <c r="C85" t="s">
        <v>1059</v>
      </c>
      <c r="D85" t="s">
        <v>33116</v>
      </c>
      <c r="E85">
        <v>0</v>
      </c>
      <c r="F85">
        <v>3.0000000000000001E-6</v>
      </c>
      <c r="G85">
        <v>0.99999800000000005</v>
      </c>
      <c r="H85">
        <v>0</v>
      </c>
      <c r="I85">
        <v>0</v>
      </c>
      <c r="J85">
        <v>0</v>
      </c>
      <c r="K85" t="s">
        <v>33123</v>
      </c>
      <c r="L85" t="s">
        <v>33125</v>
      </c>
      <c r="M85" t="s">
        <v>33131</v>
      </c>
      <c r="N85" t="s">
        <v>33127</v>
      </c>
      <c r="O85">
        <v>0.997</v>
      </c>
    </row>
    <row r="86" spans="1:15" x14ac:dyDescent="0.75">
      <c r="A86" t="s">
        <v>1071</v>
      </c>
      <c r="B86" t="s">
        <v>1069</v>
      </c>
      <c r="C86" t="s">
        <v>1067</v>
      </c>
      <c r="D86" t="s">
        <v>33117</v>
      </c>
      <c r="E86">
        <v>3.4099999999999999E-4</v>
      </c>
      <c r="F86">
        <v>0.99840499999999999</v>
      </c>
      <c r="G86">
        <v>3.3300000000000002E-4</v>
      </c>
      <c r="H86">
        <v>3.6400000000000001E-4</v>
      </c>
      <c r="I86">
        <v>2.9E-4</v>
      </c>
      <c r="J86">
        <v>2.7999999999999998E-4</v>
      </c>
      <c r="K86" t="s">
        <v>33123</v>
      </c>
      <c r="L86" t="s">
        <v>33125</v>
      </c>
      <c r="M86" t="s">
        <v>33134</v>
      </c>
      <c r="N86" t="s">
        <v>33127</v>
      </c>
      <c r="O86">
        <v>0.97650000000000003</v>
      </c>
    </row>
    <row r="87" spans="1:15" x14ac:dyDescent="0.75">
      <c r="A87" t="s">
        <v>1080</v>
      </c>
      <c r="B87" t="s">
        <v>874</v>
      </c>
      <c r="C87" t="s">
        <v>1078</v>
      </c>
      <c r="D87" t="s">
        <v>33117</v>
      </c>
      <c r="E87">
        <v>3.48E-4</v>
      </c>
      <c r="F87">
        <v>0.99871200000000004</v>
      </c>
      <c r="G87">
        <v>2.8800000000000001E-4</v>
      </c>
      <c r="H87">
        <v>2.6699999999999998E-4</v>
      </c>
      <c r="I87">
        <v>2.0699999999999999E-4</v>
      </c>
      <c r="J87">
        <v>1.9599999999999999E-4</v>
      </c>
      <c r="K87" t="s">
        <v>33123</v>
      </c>
      <c r="L87" t="s">
        <v>33125</v>
      </c>
      <c r="M87" t="s">
        <v>33130</v>
      </c>
      <c r="N87" t="s">
        <v>33127</v>
      </c>
      <c r="O87">
        <v>0.85580000000000001</v>
      </c>
    </row>
    <row r="88" spans="1:15" x14ac:dyDescent="0.75">
      <c r="A88" t="s">
        <v>1088</v>
      </c>
      <c r="B88" t="s">
        <v>1086</v>
      </c>
      <c r="C88" t="s">
        <v>1084</v>
      </c>
      <c r="D88" t="s">
        <v>33117</v>
      </c>
      <c r="E88">
        <v>3.0899999999999998E-4</v>
      </c>
      <c r="F88">
        <v>0.99876900000000002</v>
      </c>
      <c r="G88">
        <v>2.7399999999999999E-4</v>
      </c>
      <c r="H88">
        <v>2.6400000000000002E-4</v>
      </c>
      <c r="I88">
        <v>2.0000000000000001E-4</v>
      </c>
      <c r="J88">
        <v>2.03E-4</v>
      </c>
      <c r="K88" t="s">
        <v>33123</v>
      </c>
      <c r="L88" t="s">
        <v>33125</v>
      </c>
      <c r="M88" t="s">
        <v>33130</v>
      </c>
      <c r="N88" t="s">
        <v>33127</v>
      </c>
      <c r="O88">
        <v>0.95860000000000001</v>
      </c>
    </row>
    <row r="89" spans="1:15" x14ac:dyDescent="0.75">
      <c r="A89" t="s">
        <v>1095</v>
      </c>
      <c r="B89" t="s">
        <v>1086</v>
      </c>
      <c r="C89" t="s">
        <v>1084</v>
      </c>
      <c r="D89" t="s">
        <v>33116</v>
      </c>
      <c r="E89">
        <v>5.5000000000000002E-5</v>
      </c>
      <c r="F89">
        <v>0.33315099999999997</v>
      </c>
      <c r="G89">
        <v>0.66673099999999996</v>
      </c>
      <c r="H89">
        <v>3.4E-5</v>
      </c>
      <c r="I89">
        <v>2.8E-5</v>
      </c>
      <c r="J89">
        <v>2.8E-5</v>
      </c>
      <c r="K89" t="s">
        <v>33123</v>
      </c>
      <c r="L89" t="s">
        <v>33125</v>
      </c>
      <c r="M89" t="s">
        <v>33134</v>
      </c>
      <c r="N89" t="s">
        <v>33127</v>
      </c>
      <c r="O89">
        <v>0.6462</v>
      </c>
    </row>
    <row r="90" spans="1:15" x14ac:dyDescent="0.75">
      <c r="A90" t="s">
        <v>1105</v>
      </c>
      <c r="B90" t="s">
        <v>1069</v>
      </c>
      <c r="C90" t="s">
        <v>1102</v>
      </c>
      <c r="D90" t="s">
        <v>33117</v>
      </c>
      <c r="E90">
        <v>3.7800000000000003E-4</v>
      </c>
      <c r="F90">
        <v>0.99852300000000005</v>
      </c>
      <c r="G90">
        <v>3.5300000000000002E-4</v>
      </c>
      <c r="H90">
        <v>2.9399999999999999E-4</v>
      </c>
      <c r="I90">
        <v>2.4800000000000001E-4</v>
      </c>
      <c r="J90">
        <v>2.3699999999999999E-4</v>
      </c>
      <c r="K90" t="s">
        <v>33123</v>
      </c>
      <c r="L90" t="s">
        <v>33125</v>
      </c>
      <c r="M90" t="s">
        <v>33145</v>
      </c>
      <c r="N90" t="s">
        <v>33127</v>
      </c>
      <c r="O90">
        <v>0.55840000000000001</v>
      </c>
    </row>
    <row r="91" spans="1:15" x14ac:dyDescent="0.75">
      <c r="A91" t="s">
        <v>1189</v>
      </c>
      <c r="B91" t="s">
        <v>361</v>
      </c>
      <c r="C91" t="s">
        <v>1187</v>
      </c>
      <c r="D91" t="s">
        <v>33117</v>
      </c>
      <c r="E91">
        <v>4.2200000000000001E-4</v>
      </c>
      <c r="F91">
        <v>0.99835399999999996</v>
      </c>
      <c r="G91">
        <v>4.0400000000000001E-4</v>
      </c>
      <c r="H91">
        <v>3.3E-4</v>
      </c>
      <c r="I91">
        <v>2.34E-4</v>
      </c>
      <c r="J91">
        <v>2.5399999999999999E-4</v>
      </c>
      <c r="K91" t="s">
        <v>33123</v>
      </c>
      <c r="L91" t="s">
        <v>33125</v>
      </c>
      <c r="M91" t="s">
        <v>33134</v>
      </c>
      <c r="N91" t="s">
        <v>33127</v>
      </c>
      <c r="O91">
        <v>0.94779999999999998</v>
      </c>
    </row>
    <row r="92" spans="1:15" x14ac:dyDescent="0.75">
      <c r="A92" t="s">
        <v>1197</v>
      </c>
      <c r="B92" t="s">
        <v>154</v>
      </c>
      <c r="C92" t="s">
        <v>1195</v>
      </c>
      <c r="D92" t="s">
        <v>33117</v>
      </c>
      <c r="E92">
        <v>1.6799999999999999E-4</v>
      </c>
      <c r="F92">
        <v>0.99924500000000005</v>
      </c>
      <c r="G92">
        <v>1.46E-4</v>
      </c>
      <c r="H92">
        <v>1.5699999999999999E-4</v>
      </c>
      <c r="I92">
        <v>1.3100000000000001E-4</v>
      </c>
      <c r="J92">
        <v>1.2899999999999999E-4</v>
      </c>
      <c r="K92" t="s">
        <v>33123</v>
      </c>
      <c r="L92" t="s">
        <v>33125</v>
      </c>
      <c r="M92" t="s">
        <v>33140</v>
      </c>
      <c r="N92" t="s">
        <v>33127</v>
      </c>
      <c r="O92">
        <v>0.82079999999999997</v>
      </c>
    </row>
    <row r="93" spans="1:15" x14ac:dyDescent="0.75">
      <c r="A93" t="s">
        <v>1228</v>
      </c>
      <c r="B93" t="s">
        <v>276</v>
      </c>
      <c r="C93" t="s">
        <v>1226</v>
      </c>
      <c r="D93" t="s">
        <v>33117</v>
      </c>
      <c r="E93">
        <v>7.2599999999999997E-4</v>
      </c>
      <c r="F93">
        <v>0.99797400000000003</v>
      </c>
      <c r="G93">
        <v>4.2299999999999998E-4</v>
      </c>
      <c r="H93">
        <v>3.2600000000000001E-4</v>
      </c>
      <c r="I93">
        <v>3.01E-4</v>
      </c>
      <c r="J93">
        <v>2.5900000000000001E-4</v>
      </c>
      <c r="K93" t="s">
        <v>33123</v>
      </c>
      <c r="L93" t="s">
        <v>33125</v>
      </c>
      <c r="M93" t="s">
        <v>33131</v>
      </c>
      <c r="N93" t="s">
        <v>33127</v>
      </c>
      <c r="O93">
        <v>0.86650000000000005</v>
      </c>
    </row>
    <row r="94" spans="1:15" x14ac:dyDescent="0.75">
      <c r="A94" t="s">
        <v>1233</v>
      </c>
      <c r="B94" t="s">
        <v>307</v>
      </c>
      <c r="C94" t="s">
        <v>1231</v>
      </c>
      <c r="D94" t="s">
        <v>33116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 t="s">
        <v>33123</v>
      </c>
      <c r="L94" t="s">
        <v>33125</v>
      </c>
      <c r="M94" t="s">
        <v>33134</v>
      </c>
      <c r="N94" t="s">
        <v>33127</v>
      </c>
      <c r="O94">
        <v>0.99750000000000005</v>
      </c>
    </row>
    <row r="95" spans="1:15" x14ac:dyDescent="0.75">
      <c r="A95" t="s">
        <v>1248</v>
      </c>
      <c r="B95" t="s">
        <v>949</v>
      </c>
      <c r="C95" t="s">
        <v>1240</v>
      </c>
      <c r="D95" t="s">
        <v>33110</v>
      </c>
      <c r="E95">
        <v>0.99999700000000002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5" x14ac:dyDescent="0.75">
      <c r="A96" t="s">
        <v>1242</v>
      </c>
      <c r="B96" t="s">
        <v>949</v>
      </c>
      <c r="C96" t="s">
        <v>1240</v>
      </c>
      <c r="D96" t="s">
        <v>33116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 t="s">
        <v>33123</v>
      </c>
      <c r="L96" t="s">
        <v>33125</v>
      </c>
      <c r="M96" t="s">
        <v>33134</v>
      </c>
      <c r="N96" t="s">
        <v>33127</v>
      </c>
      <c r="O96">
        <v>0.99780000000000002</v>
      </c>
    </row>
    <row r="97" spans="1:15" x14ac:dyDescent="0.75">
      <c r="A97" t="s">
        <v>1254</v>
      </c>
      <c r="B97" t="s">
        <v>463</v>
      </c>
      <c r="C97" t="s">
        <v>1252</v>
      </c>
      <c r="D97" t="s">
        <v>33117</v>
      </c>
      <c r="E97">
        <v>0.17947199999999999</v>
      </c>
      <c r="F97">
        <v>0.81972</v>
      </c>
      <c r="G97">
        <v>2.4000000000000001E-4</v>
      </c>
      <c r="H97">
        <v>2.33E-4</v>
      </c>
      <c r="I97">
        <v>1.83E-4</v>
      </c>
      <c r="J97">
        <v>1.94E-4</v>
      </c>
      <c r="K97" t="s">
        <v>33123</v>
      </c>
      <c r="L97" t="s">
        <v>33125</v>
      </c>
      <c r="M97" t="s">
        <v>33139</v>
      </c>
      <c r="N97" t="s">
        <v>33127</v>
      </c>
      <c r="O97">
        <v>0.77080000000000004</v>
      </c>
    </row>
    <row r="98" spans="1:15" x14ac:dyDescent="0.75">
      <c r="A98" t="s">
        <v>1260</v>
      </c>
      <c r="B98" t="s">
        <v>560</v>
      </c>
      <c r="C98" t="s">
        <v>1258</v>
      </c>
      <c r="D98" t="s">
        <v>33117</v>
      </c>
      <c r="E98">
        <v>1.5899999999999999E-4</v>
      </c>
      <c r="F98">
        <v>0.99929400000000002</v>
      </c>
      <c r="G98">
        <v>1.4200000000000001E-4</v>
      </c>
      <c r="H98">
        <v>1.5300000000000001E-4</v>
      </c>
      <c r="I98">
        <v>1.2899999999999999E-4</v>
      </c>
      <c r="J98">
        <v>1.22E-4</v>
      </c>
      <c r="K98" t="s">
        <v>33123</v>
      </c>
      <c r="L98" t="s">
        <v>33125</v>
      </c>
      <c r="M98" t="s">
        <v>33140</v>
      </c>
      <c r="N98" t="s">
        <v>33127</v>
      </c>
      <c r="O98">
        <v>0.83760000000000001</v>
      </c>
    </row>
    <row r="99" spans="1:15" x14ac:dyDescent="0.75">
      <c r="A99" t="s">
        <v>1276</v>
      </c>
      <c r="B99" t="s">
        <v>1274</v>
      </c>
      <c r="C99" t="s">
        <v>1272</v>
      </c>
      <c r="D99" t="s">
        <v>33117</v>
      </c>
      <c r="E99">
        <v>2.04E-4</v>
      </c>
      <c r="F99">
        <v>0.99917100000000003</v>
      </c>
      <c r="G99">
        <v>1.7100000000000001E-4</v>
      </c>
      <c r="H99">
        <v>1.7100000000000001E-4</v>
      </c>
      <c r="I99">
        <v>1.3799999999999999E-4</v>
      </c>
      <c r="J99">
        <v>1.45E-4</v>
      </c>
      <c r="K99" t="s">
        <v>33123</v>
      </c>
      <c r="L99" t="s">
        <v>33125</v>
      </c>
      <c r="M99" t="s">
        <v>33131</v>
      </c>
      <c r="N99" t="s">
        <v>33127</v>
      </c>
      <c r="O99">
        <v>0.97629999999999995</v>
      </c>
    </row>
    <row r="100" spans="1:15" x14ac:dyDescent="0.75">
      <c r="A100" t="s">
        <v>1295</v>
      </c>
      <c r="B100" t="s">
        <v>307</v>
      </c>
      <c r="C100" t="s">
        <v>1293</v>
      </c>
      <c r="D100" t="s">
        <v>33116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 t="s">
        <v>33123</v>
      </c>
      <c r="L100" t="s">
        <v>33125</v>
      </c>
      <c r="M100" t="s">
        <v>33134</v>
      </c>
      <c r="N100" t="s">
        <v>33127</v>
      </c>
      <c r="O100">
        <v>0.99750000000000005</v>
      </c>
    </row>
    <row r="101" spans="1:15" x14ac:dyDescent="0.75">
      <c r="A101" t="s">
        <v>1324</v>
      </c>
      <c r="B101" t="s">
        <v>560</v>
      </c>
      <c r="C101" t="s">
        <v>1322</v>
      </c>
      <c r="D101" t="s">
        <v>33117</v>
      </c>
      <c r="E101">
        <v>1.4999999999999999E-4</v>
      </c>
      <c r="F101">
        <v>0.99934800000000001</v>
      </c>
      <c r="G101">
        <v>1.3300000000000001E-4</v>
      </c>
      <c r="H101">
        <v>1.4899999999999999E-4</v>
      </c>
      <c r="I101">
        <v>1.21E-4</v>
      </c>
      <c r="J101">
        <v>1.18E-4</v>
      </c>
      <c r="K101" t="s">
        <v>33123</v>
      </c>
      <c r="L101" t="s">
        <v>33125</v>
      </c>
      <c r="M101" t="s">
        <v>33140</v>
      </c>
      <c r="N101" t="s">
        <v>33127</v>
      </c>
      <c r="O101">
        <v>0.74380000000000002</v>
      </c>
    </row>
    <row r="102" spans="1:15" x14ac:dyDescent="0.75">
      <c r="A102" t="s">
        <v>1331</v>
      </c>
      <c r="B102" t="s">
        <v>463</v>
      </c>
      <c r="C102" t="s">
        <v>1329</v>
      </c>
      <c r="D102" t="s">
        <v>33117</v>
      </c>
      <c r="E102">
        <v>0.33454299999999998</v>
      </c>
      <c r="F102">
        <v>0.66481999999999997</v>
      </c>
      <c r="G102">
        <v>2.2699999999999999E-4</v>
      </c>
      <c r="H102">
        <v>1.4899999999999999E-4</v>
      </c>
      <c r="I102">
        <v>1.54E-4</v>
      </c>
      <c r="J102">
        <v>1.35E-4</v>
      </c>
      <c r="K102" t="s">
        <v>33123</v>
      </c>
      <c r="L102" t="s">
        <v>33125</v>
      </c>
      <c r="M102" t="s">
        <v>33139</v>
      </c>
      <c r="N102" t="s">
        <v>33127</v>
      </c>
      <c r="O102">
        <v>0.62980000000000003</v>
      </c>
    </row>
    <row r="103" spans="1:15" x14ac:dyDescent="0.75">
      <c r="A103" t="s">
        <v>1346</v>
      </c>
      <c r="B103" t="s">
        <v>1344</v>
      </c>
      <c r="C103" t="s">
        <v>1342</v>
      </c>
      <c r="D103" t="s">
        <v>33117</v>
      </c>
      <c r="E103">
        <v>2.4899999999999998E-4</v>
      </c>
      <c r="F103">
        <v>0.99899700000000002</v>
      </c>
      <c r="G103">
        <v>2.0699999999999999E-4</v>
      </c>
      <c r="H103">
        <v>2.23E-4</v>
      </c>
      <c r="I103">
        <v>1.73E-4</v>
      </c>
      <c r="J103">
        <v>1.65E-4</v>
      </c>
      <c r="K103" t="s">
        <v>33123</v>
      </c>
      <c r="L103" t="s">
        <v>33125</v>
      </c>
      <c r="M103" t="s">
        <v>33135</v>
      </c>
      <c r="N103" t="s">
        <v>33127</v>
      </c>
      <c r="O103">
        <v>0.96699999999999997</v>
      </c>
    </row>
    <row r="104" spans="1:15" x14ac:dyDescent="0.75">
      <c r="A104" t="s">
        <v>1361</v>
      </c>
      <c r="B104" t="s">
        <v>579</v>
      </c>
      <c r="C104" t="s">
        <v>1359</v>
      </c>
      <c r="D104" t="s">
        <v>33116</v>
      </c>
      <c r="E104">
        <v>3.4E-5</v>
      </c>
      <c r="F104">
        <v>0.16655800000000001</v>
      </c>
      <c r="G104">
        <v>0.83337300000000003</v>
      </c>
      <c r="H104">
        <v>2.0000000000000002E-5</v>
      </c>
      <c r="I104">
        <v>1.8E-5</v>
      </c>
      <c r="J104">
        <v>2.0000000000000002E-5</v>
      </c>
      <c r="K104" t="s">
        <v>33123</v>
      </c>
      <c r="L104" t="s">
        <v>33125</v>
      </c>
      <c r="M104" t="s">
        <v>33130</v>
      </c>
      <c r="N104" t="s">
        <v>33127</v>
      </c>
      <c r="O104">
        <v>0.60960000000000003</v>
      </c>
    </row>
    <row r="105" spans="1:15" x14ac:dyDescent="0.75">
      <c r="A105" t="s">
        <v>1365</v>
      </c>
      <c r="B105" t="s">
        <v>579</v>
      </c>
      <c r="C105" t="s">
        <v>1359</v>
      </c>
      <c r="D105" t="s">
        <v>33116</v>
      </c>
      <c r="E105">
        <v>0.13226399999999999</v>
      </c>
      <c r="F105">
        <v>6.6536999999999999E-2</v>
      </c>
      <c r="G105">
        <v>0.800929</v>
      </c>
      <c r="H105">
        <v>1.2999999999999999E-4</v>
      </c>
      <c r="I105">
        <v>1.44E-4</v>
      </c>
      <c r="J105">
        <v>9.9999999999999995E-7</v>
      </c>
      <c r="K105" t="s">
        <v>33123</v>
      </c>
      <c r="L105" t="s">
        <v>33125</v>
      </c>
      <c r="M105" t="s">
        <v>33142</v>
      </c>
      <c r="N105" t="s">
        <v>33127</v>
      </c>
      <c r="O105">
        <v>0.92459999999999998</v>
      </c>
    </row>
    <row r="106" spans="1:15" x14ac:dyDescent="0.75">
      <c r="A106" t="s">
        <v>1378</v>
      </c>
      <c r="B106" t="s">
        <v>106</v>
      </c>
      <c r="C106" t="s">
        <v>1376</v>
      </c>
      <c r="D106" t="s">
        <v>33116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 t="s">
        <v>33123</v>
      </c>
      <c r="L106" t="s">
        <v>33125</v>
      </c>
      <c r="M106" t="s">
        <v>33128</v>
      </c>
      <c r="N106" t="s">
        <v>33127</v>
      </c>
      <c r="O106">
        <v>0.99670000000000003</v>
      </c>
    </row>
    <row r="107" spans="1:15" x14ac:dyDescent="0.75">
      <c r="A107" t="s">
        <v>1384</v>
      </c>
      <c r="B107" t="s">
        <v>106</v>
      </c>
      <c r="C107" t="s">
        <v>1376</v>
      </c>
      <c r="D107" t="s">
        <v>33116</v>
      </c>
      <c r="E107">
        <v>2.5999999999999998E-5</v>
      </c>
      <c r="F107">
        <v>0.166572</v>
      </c>
      <c r="G107">
        <v>0.83336900000000003</v>
      </c>
      <c r="H107">
        <v>1.8E-5</v>
      </c>
      <c r="I107">
        <v>1.5E-5</v>
      </c>
      <c r="J107">
        <v>1.5999999999999999E-5</v>
      </c>
      <c r="K107" t="s">
        <v>33123</v>
      </c>
      <c r="L107" t="s">
        <v>33125</v>
      </c>
      <c r="M107" t="s">
        <v>33126</v>
      </c>
      <c r="N107" t="s">
        <v>33127</v>
      </c>
      <c r="O107">
        <v>0.82799999999999996</v>
      </c>
    </row>
    <row r="108" spans="1:15" x14ac:dyDescent="0.75">
      <c r="A108" t="s">
        <v>1388</v>
      </c>
      <c r="B108" t="s">
        <v>106</v>
      </c>
      <c r="C108" t="s">
        <v>1376</v>
      </c>
      <c r="D108" t="s">
        <v>33116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 t="s">
        <v>33123</v>
      </c>
      <c r="L108" t="s">
        <v>33125</v>
      </c>
      <c r="M108" t="s">
        <v>33129</v>
      </c>
      <c r="N108" t="s">
        <v>33127</v>
      </c>
      <c r="O108">
        <v>0.99409999999999998</v>
      </c>
    </row>
    <row r="109" spans="1:15" x14ac:dyDescent="0.75">
      <c r="A109" t="s">
        <v>1394</v>
      </c>
      <c r="B109" t="s">
        <v>224</v>
      </c>
      <c r="C109" t="s">
        <v>1392</v>
      </c>
      <c r="D109" t="s">
        <v>33110</v>
      </c>
      <c r="E109">
        <v>0.99999700000000002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5" x14ac:dyDescent="0.75">
      <c r="A110" t="s">
        <v>1404</v>
      </c>
      <c r="B110" t="s">
        <v>224</v>
      </c>
      <c r="C110" t="s">
        <v>1399</v>
      </c>
      <c r="D110" t="s">
        <v>33110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5" x14ac:dyDescent="0.75">
      <c r="A111" t="s">
        <v>1412</v>
      </c>
      <c r="B111" t="s">
        <v>224</v>
      </c>
      <c r="C111" t="s">
        <v>1407</v>
      </c>
      <c r="D111" t="s">
        <v>33110</v>
      </c>
      <c r="E111">
        <v>0.99997100000000005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5" x14ac:dyDescent="0.75">
      <c r="A112" t="s">
        <v>1417</v>
      </c>
      <c r="B112" t="s">
        <v>747</v>
      </c>
      <c r="C112" t="s">
        <v>1415</v>
      </c>
      <c r="D112" t="s">
        <v>33117</v>
      </c>
      <c r="E112">
        <v>2.5999999999999998E-4</v>
      </c>
      <c r="F112">
        <v>0.99885500000000005</v>
      </c>
      <c r="G112">
        <v>2.1599999999999999E-4</v>
      </c>
      <c r="H112">
        <v>2.7099999999999997E-4</v>
      </c>
      <c r="I112">
        <v>2.0699999999999999E-4</v>
      </c>
      <c r="J112">
        <v>1.94E-4</v>
      </c>
      <c r="K112" t="s">
        <v>33123</v>
      </c>
      <c r="L112" t="s">
        <v>33125</v>
      </c>
      <c r="M112" t="s">
        <v>33143</v>
      </c>
      <c r="N112" t="s">
        <v>33127</v>
      </c>
      <c r="O112">
        <v>0.96579999999999999</v>
      </c>
    </row>
    <row r="113" spans="1:15" x14ac:dyDescent="0.75">
      <c r="A113" t="s">
        <v>1422</v>
      </c>
      <c r="B113" t="s">
        <v>1274</v>
      </c>
      <c r="C113" t="s">
        <v>1420</v>
      </c>
      <c r="D113" t="s">
        <v>33117</v>
      </c>
      <c r="E113">
        <v>2.04E-4</v>
      </c>
      <c r="F113">
        <v>0.99917100000000003</v>
      </c>
      <c r="G113">
        <v>1.7100000000000001E-4</v>
      </c>
      <c r="H113">
        <v>1.7100000000000001E-4</v>
      </c>
      <c r="I113">
        <v>1.3799999999999999E-4</v>
      </c>
      <c r="J113">
        <v>1.45E-4</v>
      </c>
      <c r="K113" t="s">
        <v>33123</v>
      </c>
      <c r="L113" t="s">
        <v>33125</v>
      </c>
      <c r="M113" t="s">
        <v>33131</v>
      </c>
      <c r="N113" t="s">
        <v>33127</v>
      </c>
      <c r="O113">
        <v>0.97629999999999995</v>
      </c>
    </row>
    <row r="114" spans="1:15" x14ac:dyDescent="0.75">
      <c r="A114" t="s">
        <v>1436</v>
      </c>
      <c r="B114" t="s">
        <v>1086</v>
      </c>
      <c r="C114" t="s">
        <v>1427</v>
      </c>
      <c r="D114" t="s">
        <v>33117</v>
      </c>
      <c r="E114">
        <v>2.1900000000000001E-4</v>
      </c>
      <c r="F114">
        <v>0.99909300000000001</v>
      </c>
      <c r="G114">
        <v>1.8900000000000001E-4</v>
      </c>
      <c r="H114">
        <v>1.93E-4</v>
      </c>
      <c r="I114">
        <v>1.47E-4</v>
      </c>
      <c r="J114">
        <v>1.56E-4</v>
      </c>
      <c r="K114" t="s">
        <v>33123</v>
      </c>
      <c r="L114" t="s">
        <v>33125</v>
      </c>
      <c r="M114" t="s">
        <v>33146</v>
      </c>
      <c r="N114" t="s">
        <v>33127</v>
      </c>
      <c r="O114">
        <v>0.96450000000000002</v>
      </c>
    </row>
    <row r="115" spans="1:15" x14ac:dyDescent="0.75">
      <c r="A115" t="s">
        <v>1430</v>
      </c>
      <c r="B115" t="s">
        <v>1086</v>
      </c>
      <c r="C115" t="s">
        <v>1427</v>
      </c>
      <c r="D115" t="s">
        <v>33117</v>
      </c>
      <c r="E115">
        <v>4.5899999999999999E-4</v>
      </c>
      <c r="F115">
        <v>0.99817800000000001</v>
      </c>
      <c r="G115">
        <v>4.64E-4</v>
      </c>
      <c r="H115">
        <v>3.8000000000000002E-4</v>
      </c>
      <c r="I115">
        <v>2.5700000000000001E-4</v>
      </c>
      <c r="J115">
        <v>2.7300000000000002E-4</v>
      </c>
      <c r="K115" t="s">
        <v>33123</v>
      </c>
      <c r="L115" t="s">
        <v>33125</v>
      </c>
      <c r="M115" t="s">
        <v>33130</v>
      </c>
      <c r="N115" t="s">
        <v>33127</v>
      </c>
      <c r="O115">
        <v>0.94350000000000001</v>
      </c>
    </row>
    <row r="116" spans="1:15" x14ac:dyDescent="0.75">
      <c r="A116" t="s">
        <v>1441</v>
      </c>
      <c r="B116" t="s">
        <v>106</v>
      </c>
      <c r="C116" t="s">
        <v>1439</v>
      </c>
      <c r="D116" t="s">
        <v>33116</v>
      </c>
      <c r="E116">
        <v>3.8999999999999999E-5</v>
      </c>
      <c r="F116">
        <v>0.166493</v>
      </c>
      <c r="G116">
        <v>0.833403</v>
      </c>
      <c r="H116">
        <v>3.0000000000000001E-5</v>
      </c>
      <c r="I116">
        <v>2.5000000000000001E-5</v>
      </c>
      <c r="J116">
        <v>2.9E-5</v>
      </c>
      <c r="K116" t="s">
        <v>33123</v>
      </c>
      <c r="L116" t="s">
        <v>33125</v>
      </c>
      <c r="M116" t="s">
        <v>33129</v>
      </c>
      <c r="N116" t="s">
        <v>33127</v>
      </c>
      <c r="O116">
        <v>0.82920000000000005</v>
      </c>
    </row>
    <row r="117" spans="1:15" x14ac:dyDescent="0.75">
      <c r="A117" t="s">
        <v>1445</v>
      </c>
      <c r="B117" t="s">
        <v>106</v>
      </c>
      <c r="C117" t="s">
        <v>1439</v>
      </c>
      <c r="D117" t="s">
        <v>33116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 t="s">
        <v>33123</v>
      </c>
      <c r="L117" t="s">
        <v>33125</v>
      </c>
      <c r="M117" t="s">
        <v>33128</v>
      </c>
      <c r="N117" t="s">
        <v>33127</v>
      </c>
      <c r="O117">
        <v>0.99670000000000003</v>
      </c>
    </row>
    <row r="118" spans="1:15" x14ac:dyDescent="0.75">
      <c r="A118" t="s">
        <v>1448</v>
      </c>
      <c r="B118" t="s">
        <v>106</v>
      </c>
      <c r="C118" t="s">
        <v>1439</v>
      </c>
      <c r="D118" t="s">
        <v>33116</v>
      </c>
      <c r="E118">
        <v>0</v>
      </c>
      <c r="F118">
        <v>0</v>
      </c>
      <c r="G118">
        <v>1</v>
      </c>
      <c r="H118">
        <v>0</v>
      </c>
      <c r="I118">
        <v>0</v>
      </c>
      <c r="J118">
        <v>0</v>
      </c>
      <c r="K118" t="s">
        <v>33123</v>
      </c>
      <c r="L118" t="s">
        <v>33125</v>
      </c>
      <c r="M118" t="s">
        <v>33129</v>
      </c>
      <c r="N118" t="s">
        <v>33127</v>
      </c>
      <c r="O118">
        <v>0.99409999999999998</v>
      </c>
    </row>
    <row r="119" spans="1:15" x14ac:dyDescent="0.75">
      <c r="A119" t="s">
        <v>1509</v>
      </c>
      <c r="B119" t="s">
        <v>579</v>
      </c>
      <c r="C119" t="s">
        <v>1507</v>
      </c>
      <c r="D119" t="s">
        <v>33116</v>
      </c>
      <c r="E119">
        <v>0.22040299999999999</v>
      </c>
      <c r="F119">
        <v>7.4187000000000003E-2</v>
      </c>
      <c r="G119">
        <v>0.70509200000000005</v>
      </c>
      <c r="H119">
        <v>1.37E-4</v>
      </c>
      <c r="I119">
        <v>1.2300000000000001E-4</v>
      </c>
      <c r="J119">
        <v>7.3999999999999996E-5</v>
      </c>
      <c r="K119" t="s">
        <v>33123</v>
      </c>
      <c r="L119" t="s">
        <v>33125</v>
      </c>
      <c r="M119" t="s">
        <v>33142</v>
      </c>
      <c r="N119" t="s">
        <v>33127</v>
      </c>
      <c r="O119">
        <v>0.74829999999999997</v>
      </c>
    </row>
    <row r="120" spans="1:15" x14ac:dyDescent="0.75">
      <c r="A120" t="s">
        <v>1515</v>
      </c>
      <c r="B120" t="s">
        <v>579</v>
      </c>
      <c r="C120" t="s">
        <v>1507</v>
      </c>
      <c r="D120" t="s">
        <v>33116</v>
      </c>
      <c r="E120">
        <v>5.8999999999999998E-5</v>
      </c>
      <c r="F120">
        <v>0.33308599999999999</v>
      </c>
      <c r="G120">
        <v>0.66671499999999995</v>
      </c>
      <c r="H120">
        <v>3.6999999999999998E-5</v>
      </c>
      <c r="I120">
        <v>4.6999999999999997E-5</v>
      </c>
      <c r="J120">
        <v>3.4999999999999997E-5</v>
      </c>
      <c r="K120" t="s">
        <v>33123</v>
      </c>
      <c r="L120" t="s">
        <v>33125</v>
      </c>
      <c r="M120" t="s">
        <v>33130</v>
      </c>
      <c r="N120" t="s">
        <v>33127</v>
      </c>
      <c r="O120">
        <v>0.52490000000000003</v>
      </c>
    </row>
    <row r="121" spans="1:15" x14ac:dyDescent="0.75">
      <c r="A121" t="s">
        <v>1519</v>
      </c>
      <c r="B121" t="s">
        <v>579</v>
      </c>
      <c r="C121" t="s">
        <v>1517</v>
      </c>
      <c r="D121" t="s">
        <v>33116</v>
      </c>
      <c r="E121">
        <v>0.135462</v>
      </c>
      <c r="F121">
        <v>6.4047000000000007E-2</v>
      </c>
      <c r="G121">
        <v>0.80030199999999996</v>
      </c>
      <c r="H121">
        <v>9.2999999999999997E-5</v>
      </c>
      <c r="I121">
        <v>9.6000000000000002E-5</v>
      </c>
      <c r="J121">
        <v>9.9999999999999995E-7</v>
      </c>
      <c r="K121" t="s">
        <v>33123</v>
      </c>
      <c r="L121" t="s">
        <v>33125</v>
      </c>
      <c r="M121" t="s">
        <v>33142</v>
      </c>
      <c r="N121" t="s">
        <v>33127</v>
      </c>
      <c r="O121">
        <v>0.94359999999999999</v>
      </c>
    </row>
    <row r="122" spans="1:15" x14ac:dyDescent="0.75">
      <c r="A122" t="s">
        <v>1523</v>
      </c>
      <c r="B122" t="s">
        <v>579</v>
      </c>
      <c r="C122" t="s">
        <v>1517</v>
      </c>
      <c r="D122" t="s">
        <v>33116</v>
      </c>
      <c r="E122">
        <v>5.8999999999999998E-5</v>
      </c>
      <c r="F122">
        <v>0.33308599999999999</v>
      </c>
      <c r="G122">
        <v>0.66671499999999995</v>
      </c>
      <c r="H122">
        <v>3.6999999999999998E-5</v>
      </c>
      <c r="I122">
        <v>4.6999999999999997E-5</v>
      </c>
      <c r="J122">
        <v>3.4999999999999997E-5</v>
      </c>
      <c r="K122" t="s">
        <v>33123</v>
      </c>
      <c r="L122" t="s">
        <v>33125</v>
      </c>
      <c r="M122" t="s">
        <v>33130</v>
      </c>
      <c r="N122" t="s">
        <v>33127</v>
      </c>
      <c r="O122">
        <v>0.52490000000000003</v>
      </c>
    </row>
    <row r="123" spans="1:15" x14ac:dyDescent="0.75">
      <c r="A123" t="s">
        <v>1527</v>
      </c>
      <c r="B123" t="s">
        <v>874</v>
      </c>
      <c r="C123" t="s">
        <v>1525</v>
      </c>
      <c r="D123" t="s">
        <v>33116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 t="s">
        <v>33123</v>
      </c>
      <c r="L123" t="s">
        <v>33125</v>
      </c>
      <c r="M123" t="s">
        <v>33126</v>
      </c>
      <c r="N123" t="s">
        <v>33127</v>
      </c>
      <c r="O123">
        <v>0.9929</v>
      </c>
    </row>
    <row r="124" spans="1:15" x14ac:dyDescent="0.75">
      <c r="A124" t="s">
        <v>1532</v>
      </c>
      <c r="B124" t="s">
        <v>874</v>
      </c>
      <c r="C124" t="s">
        <v>1525</v>
      </c>
      <c r="D124" t="s">
        <v>33117</v>
      </c>
      <c r="E124">
        <v>3.6699999999999998E-4</v>
      </c>
      <c r="F124">
        <v>0.99856599999999995</v>
      </c>
      <c r="G124">
        <v>3.1599999999999998E-4</v>
      </c>
      <c r="H124">
        <v>3.0699999999999998E-4</v>
      </c>
      <c r="I124">
        <v>2.32E-4</v>
      </c>
      <c r="J124">
        <v>2.22E-4</v>
      </c>
      <c r="K124" t="s">
        <v>33123</v>
      </c>
      <c r="L124" t="s">
        <v>33125</v>
      </c>
      <c r="M124" t="s">
        <v>33130</v>
      </c>
      <c r="N124" t="s">
        <v>33127</v>
      </c>
      <c r="O124">
        <v>0.84640000000000004</v>
      </c>
    </row>
    <row r="125" spans="1:15" x14ac:dyDescent="0.75">
      <c r="A125" t="s">
        <v>1544</v>
      </c>
      <c r="B125" t="s">
        <v>1535</v>
      </c>
      <c r="C125" t="s">
        <v>1533</v>
      </c>
      <c r="D125" t="s">
        <v>33116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 t="s">
        <v>33123</v>
      </c>
      <c r="L125" t="s">
        <v>33125</v>
      </c>
      <c r="M125" t="s">
        <v>33130</v>
      </c>
      <c r="N125" t="s">
        <v>33127</v>
      </c>
      <c r="O125">
        <v>0.99550000000000005</v>
      </c>
    </row>
    <row r="126" spans="1:15" x14ac:dyDescent="0.75">
      <c r="A126" t="s">
        <v>1537</v>
      </c>
      <c r="B126" t="s">
        <v>1535</v>
      </c>
      <c r="C126" t="s">
        <v>1533</v>
      </c>
      <c r="D126" t="s">
        <v>33116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 t="s">
        <v>33123</v>
      </c>
      <c r="L126" t="s">
        <v>33125</v>
      </c>
      <c r="M126" t="s">
        <v>33140</v>
      </c>
      <c r="N126" t="s">
        <v>33127</v>
      </c>
      <c r="O126">
        <v>0.99519999999999997</v>
      </c>
    </row>
    <row r="127" spans="1:15" x14ac:dyDescent="0.75">
      <c r="A127" t="s">
        <v>1556</v>
      </c>
      <c r="B127" t="s">
        <v>1069</v>
      </c>
      <c r="C127" t="s">
        <v>1553</v>
      </c>
      <c r="D127" t="s">
        <v>33116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 t="s">
        <v>33123</v>
      </c>
      <c r="L127" t="s">
        <v>33125</v>
      </c>
      <c r="M127" t="s">
        <v>33126</v>
      </c>
      <c r="N127" t="s">
        <v>33127</v>
      </c>
      <c r="O127">
        <v>0.98429999999999995</v>
      </c>
    </row>
    <row r="128" spans="1:15" x14ac:dyDescent="0.75">
      <c r="A128" t="s">
        <v>1624</v>
      </c>
      <c r="B128" t="s">
        <v>1622</v>
      </c>
      <c r="C128" t="s">
        <v>1620</v>
      </c>
      <c r="D128" t="s">
        <v>33116</v>
      </c>
      <c r="E128">
        <v>0</v>
      </c>
      <c r="F128">
        <v>0</v>
      </c>
      <c r="G128">
        <v>1</v>
      </c>
      <c r="H128">
        <v>0</v>
      </c>
      <c r="I128">
        <v>0</v>
      </c>
      <c r="J128">
        <v>0</v>
      </c>
      <c r="K128" t="s">
        <v>33123</v>
      </c>
      <c r="L128" t="s">
        <v>33125</v>
      </c>
      <c r="M128" t="s">
        <v>33140</v>
      </c>
      <c r="N128" t="s">
        <v>33127</v>
      </c>
      <c r="O128">
        <v>0.99709999999999999</v>
      </c>
    </row>
    <row r="129" spans="1:15" x14ac:dyDescent="0.75">
      <c r="A129" t="s">
        <v>1632</v>
      </c>
      <c r="B129" t="s">
        <v>266</v>
      </c>
      <c r="C129" t="s">
        <v>1630</v>
      </c>
      <c r="D129" t="s">
        <v>33117</v>
      </c>
      <c r="E129">
        <v>2.5099999999999998E-4</v>
      </c>
      <c r="F129">
        <v>0.99884399999999995</v>
      </c>
      <c r="G129">
        <v>2.1000000000000001E-4</v>
      </c>
      <c r="H129">
        <v>2.7099999999999997E-4</v>
      </c>
      <c r="I129">
        <v>2.0900000000000001E-4</v>
      </c>
      <c r="J129">
        <v>1.9599999999999999E-4</v>
      </c>
      <c r="K129" t="s">
        <v>33123</v>
      </c>
      <c r="L129" t="s">
        <v>33125</v>
      </c>
      <c r="M129" t="s">
        <v>33133</v>
      </c>
      <c r="N129" t="s">
        <v>33127</v>
      </c>
      <c r="O129">
        <v>0.97019999999999995</v>
      </c>
    </row>
    <row r="130" spans="1:15" x14ac:dyDescent="0.75">
      <c r="A130" t="s">
        <v>1650</v>
      </c>
      <c r="B130" t="s">
        <v>33121</v>
      </c>
      <c r="C130" t="s">
        <v>1646</v>
      </c>
      <c r="D130" t="s">
        <v>33110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5" x14ac:dyDescent="0.75">
      <c r="A131" t="s">
        <v>1661</v>
      </c>
      <c r="B131" t="s">
        <v>33121</v>
      </c>
      <c r="C131" t="s">
        <v>1646</v>
      </c>
      <c r="D131" t="s">
        <v>33117</v>
      </c>
      <c r="E131">
        <v>2.52E-4</v>
      </c>
      <c r="F131">
        <v>0.999027</v>
      </c>
      <c r="G131">
        <v>2.02E-4</v>
      </c>
      <c r="H131">
        <v>2.1900000000000001E-4</v>
      </c>
      <c r="I131">
        <v>1.6899999999999999E-4</v>
      </c>
      <c r="J131">
        <v>1.65E-4</v>
      </c>
      <c r="K131" t="s">
        <v>33123</v>
      </c>
      <c r="L131" t="s">
        <v>33125</v>
      </c>
      <c r="M131" t="s">
        <v>33136</v>
      </c>
      <c r="N131" t="s">
        <v>33127</v>
      </c>
      <c r="O131">
        <v>0.92010000000000003</v>
      </c>
    </row>
    <row r="132" spans="1:15" x14ac:dyDescent="0.75">
      <c r="A132" t="s">
        <v>1676</v>
      </c>
      <c r="B132" t="s">
        <v>393</v>
      </c>
      <c r="C132" t="s">
        <v>1673</v>
      </c>
      <c r="D132" t="s">
        <v>33118</v>
      </c>
      <c r="E132">
        <v>0</v>
      </c>
      <c r="F132">
        <v>0</v>
      </c>
      <c r="G132">
        <v>0</v>
      </c>
      <c r="H132">
        <v>0.99999800000000005</v>
      </c>
      <c r="I132">
        <v>0</v>
      </c>
      <c r="J132">
        <v>0</v>
      </c>
      <c r="K132" t="s">
        <v>33123</v>
      </c>
      <c r="L132" t="s">
        <v>33125</v>
      </c>
      <c r="M132" t="s">
        <v>33137</v>
      </c>
      <c r="N132" t="s">
        <v>33127</v>
      </c>
      <c r="O132">
        <v>0.92769999999999997</v>
      </c>
    </row>
    <row r="133" spans="1:15" x14ac:dyDescent="0.75">
      <c r="A133" t="s">
        <v>1682</v>
      </c>
      <c r="B133" t="s">
        <v>393</v>
      </c>
      <c r="C133" t="s">
        <v>1680</v>
      </c>
      <c r="D133" t="s">
        <v>33118</v>
      </c>
      <c r="E133">
        <v>0</v>
      </c>
      <c r="F133">
        <v>0</v>
      </c>
      <c r="G133">
        <v>0</v>
      </c>
      <c r="H133">
        <v>0.99999800000000005</v>
      </c>
      <c r="I133">
        <v>0</v>
      </c>
      <c r="J133">
        <v>0</v>
      </c>
      <c r="K133" t="s">
        <v>33123</v>
      </c>
      <c r="L133" t="s">
        <v>33125</v>
      </c>
      <c r="M133" t="s">
        <v>33137</v>
      </c>
      <c r="N133" t="s">
        <v>33127</v>
      </c>
      <c r="O133">
        <v>0.92769999999999997</v>
      </c>
    </row>
    <row r="134" spans="1:15" x14ac:dyDescent="0.75">
      <c r="A134" t="s">
        <v>1689</v>
      </c>
      <c r="B134" t="s">
        <v>393</v>
      </c>
      <c r="C134" t="s">
        <v>1686</v>
      </c>
      <c r="D134" t="s">
        <v>33118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0</v>
      </c>
      <c r="K134" t="s">
        <v>33123</v>
      </c>
      <c r="L134" t="s">
        <v>33125</v>
      </c>
      <c r="M134" t="s">
        <v>33137</v>
      </c>
      <c r="N134" t="s">
        <v>33127</v>
      </c>
      <c r="O134">
        <v>0.92069999999999996</v>
      </c>
    </row>
    <row r="135" spans="1:15" x14ac:dyDescent="0.75">
      <c r="A135" t="s">
        <v>1695</v>
      </c>
      <c r="B135" t="s">
        <v>579</v>
      </c>
      <c r="C135" t="s">
        <v>1693</v>
      </c>
      <c r="D135" t="s">
        <v>33116</v>
      </c>
      <c r="E135">
        <v>3.4E-5</v>
      </c>
      <c r="F135">
        <v>0.16655800000000001</v>
      </c>
      <c r="G135">
        <v>0.83337300000000003</v>
      </c>
      <c r="H135">
        <v>2.0000000000000002E-5</v>
      </c>
      <c r="I135">
        <v>1.8E-5</v>
      </c>
      <c r="J135">
        <v>2.0000000000000002E-5</v>
      </c>
      <c r="K135" t="s">
        <v>33123</v>
      </c>
      <c r="L135" t="s">
        <v>33125</v>
      </c>
      <c r="M135" t="s">
        <v>33130</v>
      </c>
      <c r="N135" t="s">
        <v>33127</v>
      </c>
      <c r="O135">
        <v>0.60960000000000003</v>
      </c>
    </row>
    <row r="136" spans="1:15" x14ac:dyDescent="0.75">
      <c r="A136" t="s">
        <v>1699</v>
      </c>
      <c r="B136" t="s">
        <v>579</v>
      </c>
      <c r="C136" t="s">
        <v>1693</v>
      </c>
      <c r="D136" t="s">
        <v>33116</v>
      </c>
      <c r="E136">
        <v>0.12851099999999999</v>
      </c>
      <c r="F136">
        <v>7.1514999999999995E-2</v>
      </c>
      <c r="G136">
        <v>0.79955699999999996</v>
      </c>
      <c r="H136">
        <v>1.8900000000000001E-4</v>
      </c>
      <c r="I136">
        <v>2.13E-4</v>
      </c>
      <c r="J136">
        <v>9.9999999999999995E-7</v>
      </c>
      <c r="K136" t="s">
        <v>33123</v>
      </c>
      <c r="L136" t="s">
        <v>33125</v>
      </c>
      <c r="M136" t="s">
        <v>33142</v>
      </c>
      <c r="N136" t="s">
        <v>33127</v>
      </c>
      <c r="O136">
        <v>0.9587</v>
      </c>
    </row>
    <row r="137" spans="1:15" x14ac:dyDescent="0.75">
      <c r="A137" t="s">
        <v>1728</v>
      </c>
      <c r="B137" t="s">
        <v>154</v>
      </c>
      <c r="C137" t="s">
        <v>1726</v>
      </c>
      <c r="D137" t="s">
        <v>33117</v>
      </c>
      <c r="E137">
        <v>2.6899999999999998E-4</v>
      </c>
      <c r="F137">
        <v>0.99897400000000003</v>
      </c>
      <c r="G137">
        <v>2.33E-4</v>
      </c>
      <c r="H137">
        <v>2.05E-4</v>
      </c>
      <c r="I137">
        <v>1.7899999999999999E-4</v>
      </c>
      <c r="J137">
        <v>1.64E-4</v>
      </c>
      <c r="K137" t="s">
        <v>33123</v>
      </c>
      <c r="L137" t="s">
        <v>33125</v>
      </c>
      <c r="M137" t="s">
        <v>33131</v>
      </c>
      <c r="N137" t="s">
        <v>33127</v>
      </c>
      <c r="O137">
        <v>0.97019999999999995</v>
      </c>
    </row>
    <row r="138" spans="1:15" x14ac:dyDescent="0.75">
      <c r="A138" t="s">
        <v>1740</v>
      </c>
      <c r="B138" t="s">
        <v>815</v>
      </c>
      <c r="C138" t="s">
        <v>1733</v>
      </c>
      <c r="D138" t="s">
        <v>33116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 t="s">
        <v>33123</v>
      </c>
      <c r="L138" t="s">
        <v>33125</v>
      </c>
      <c r="M138" t="s">
        <v>33129</v>
      </c>
      <c r="N138" t="s">
        <v>33127</v>
      </c>
      <c r="O138">
        <v>0.99399999999999999</v>
      </c>
    </row>
    <row r="139" spans="1:15" x14ac:dyDescent="0.75">
      <c r="A139" t="s">
        <v>1735</v>
      </c>
      <c r="B139" t="s">
        <v>815</v>
      </c>
      <c r="C139" t="s">
        <v>1733</v>
      </c>
      <c r="D139" t="s">
        <v>33117</v>
      </c>
      <c r="E139">
        <v>1.6799999999999999E-4</v>
      </c>
      <c r="F139">
        <v>0.99929100000000004</v>
      </c>
      <c r="G139">
        <v>1.5300000000000001E-4</v>
      </c>
      <c r="H139">
        <v>1.5100000000000001E-4</v>
      </c>
      <c r="I139">
        <v>1.2999999999999999E-4</v>
      </c>
      <c r="J139">
        <v>1.26E-4</v>
      </c>
      <c r="K139" t="s">
        <v>33123</v>
      </c>
      <c r="L139" t="s">
        <v>33125</v>
      </c>
      <c r="M139" t="s">
        <v>33140</v>
      </c>
      <c r="N139" t="s">
        <v>33127</v>
      </c>
      <c r="O139">
        <v>0.9839</v>
      </c>
    </row>
    <row r="140" spans="1:15" x14ac:dyDescent="0.75">
      <c r="A140" t="s">
        <v>1737</v>
      </c>
      <c r="B140" t="s">
        <v>815</v>
      </c>
      <c r="C140" t="s">
        <v>1733</v>
      </c>
      <c r="D140" t="s">
        <v>33116</v>
      </c>
      <c r="E140">
        <v>8.6000000000000003E-5</v>
      </c>
      <c r="F140">
        <v>0.166439</v>
      </c>
      <c r="G140">
        <v>0.83341299999999996</v>
      </c>
      <c r="H140">
        <v>3.3000000000000003E-5</v>
      </c>
      <c r="I140">
        <v>2.9E-5</v>
      </c>
      <c r="J140">
        <v>3.0000000000000001E-5</v>
      </c>
      <c r="K140" t="s">
        <v>33123</v>
      </c>
      <c r="L140" t="s">
        <v>33125</v>
      </c>
      <c r="M140" t="s">
        <v>33128</v>
      </c>
      <c r="N140" t="s">
        <v>33127</v>
      </c>
      <c r="O140">
        <v>0.83069999999999999</v>
      </c>
    </row>
    <row r="141" spans="1:15" x14ac:dyDescent="0.75">
      <c r="A141" t="s">
        <v>1796</v>
      </c>
      <c r="B141" t="s">
        <v>1069</v>
      </c>
      <c r="C141" t="s">
        <v>1793</v>
      </c>
      <c r="D141" t="s">
        <v>33116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 t="s">
        <v>33123</v>
      </c>
      <c r="L141" t="s">
        <v>33125</v>
      </c>
      <c r="M141" t="s">
        <v>33126</v>
      </c>
      <c r="N141" t="s">
        <v>33127</v>
      </c>
      <c r="O141">
        <v>0.99580000000000002</v>
      </c>
    </row>
    <row r="142" spans="1:15" x14ac:dyDescent="0.75">
      <c r="A142" t="s">
        <v>1814</v>
      </c>
      <c r="B142" t="s">
        <v>330</v>
      </c>
      <c r="C142" t="s">
        <v>1812</v>
      </c>
      <c r="D142" t="s">
        <v>33116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 t="s">
        <v>33123</v>
      </c>
      <c r="L142" t="s">
        <v>33125</v>
      </c>
      <c r="M142" t="s">
        <v>33129</v>
      </c>
      <c r="N142" t="s">
        <v>33127</v>
      </c>
      <c r="O142">
        <v>0.99429999999999996</v>
      </c>
    </row>
    <row r="143" spans="1:15" x14ac:dyDescent="0.75">
      <c r="A143" t="s">
        <v>1818</v>
      </c>
      <c r="B143" t="s">
        <v>330</v>
      </c>
      <c r="C143" t="s">
        <v>1812</v>
      </c>
      <c r="D143" t="s">
        <v>33116</v>
      </c>
      <c r="E143">
        <v>2.6999999999999999E-5</v>
      </c>
      <c r="F143">
        <v>0.16659499999999999</v>
      </c>
      <c r="G143">
        <v>0.83335700000000001</v>
      </c>
      <c r="H143">
        <v>1.4E-5</v>
      </c>
      <c r="I143">
        <v>1.2E-5</v>
      </c>
      <c r="J143">
        <v>1.2E-5</v>
      </c>
      <c r="K143" t="s">
        <v>33123</v>
      </c>
      <c r="L143" t="s">
        <v>33125</v>
      </c>
      <c r="M143" t="s">
        <v>33128</v>
      </c>
      <c r="N143" t="s">
        <v>33127</v>
      </c>
      <c r="O143">
        <v>0.82950000000000002</v>
      </c>
    </row>
    <row r="144" spans="1:15" x14ac:dyDescent="0.75">
      <c r="A144" t="s">
        <v>1823</v>
      </c>
      <c r="B144" t="s">
        <v>350</v>
      </c>
      <c r="C144" t="s">
        <v>1821</v>
      </c>
      <c r="D144" t="s">
        <v>33116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 t="s">
        <v>33123</v>
      </c>
      <c r="L144" t="s">
        <v>33125</v>
      </c>
      <c r="M144" t="s">
        <v>33128</v>
      </c>
      <c r="N144" t="s">
        <v>33127</v>
      </c>
      <c r="O144">
        <v>0.99690000000000001</v>
      </c>
    </row>
    <row r="145" spans="1:15" x14ac:dyDescent="0.75">
      <c r="A145" t="s">
        <v>1827</v>
      </c>
      <c r="B145" t="s">
        <v>330</v>
      </c>
      <c r="C145" t="s">
        <v>1825</v>
      </c>
      <c r="D145" t="s">
        <v>33116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 t="s">
        <v>33123</v>
      </c>
      <c r="L145" t="s">
        <v>33125</v>
      </c>
      <c r="M145" t="s">
        <v>33129</v>
      </c>
      <c r="N145" t="s">
        <v>33127</v>
      </c>
      <c r="O145">
        <v>0.99409999999999998</v>
      </c>
    </row>
    <row r="146" spans="1:15" x14ac:dyDescent="0.75">
      <c r="A146" t="s">
        <v>1832</v>
      </c>
      <c r="B146" t="s">
        <v>330</v>
      </c>
      <c r="C146" t="s">
        <v>1825</v>
      </c>
      <c r="D146" t="s">
        <v>33116</v>
      </c>
      <c r="E146">
        <v>3.3000000000000003E-5</v>
      </c>
      <c r="F146">
        <v>0.16655600000000001</v>
      </c>
      <c r="G146">
        <v>0.83337799999999995</v>
      </c>
      <c r="H146">
        <v>2.1999999999999999E-5</v>
      </c>
      <c r="I146">
        <v>1.8E-5</v>
      </c>
      <c r="J146">
        <v>2.1999999999999999E-5</v>
      </c>
      <c r="K146" t="s">
        <v>33123</v>
      </c>
      <c r="L146" t="s">
        <v>33125</v>
      </c>
      <c r="M146" t="s">
        <v>33128</v>
      </c>
      <c r="N146" t="s">
        <v>33127</v>
      </c>
      <c r="O146">
        <v>0.83069999999999999</v>
      </c>
    </row>
    <row r="147" spans="1:15" x14ac:dyDescent="0.75">
      <c r="A147" t="s">
        <v>1838</v>
      </c>
      <c r="B147" t="s">
        <v>330</v>
      </c>
      <c r="C147" t="s">
        <v>1836</v>
      </c>
      <c r="D147" t="s">
        <v>33117</v>
      </c>
      <c r="E147">
        <v>1.7200000000000001E-4</v>
      </c>
      <c r="F147">
        <v>0.99927299999999997</v>
      </c>
      <c r="G147">
        <v>1.5799999999999999E-4</v>
      </c>
      <c r="H147">
        <v>1.54E-4</v>
      </c>
      <c r="I147">
        <v>1.3100000000000001E-4</v>
      </c>
      <c r="J147">
        <v>1.27E-4</v>
      </c>
      <c r="K147" t="s">
        <v>33123</v>
      </c>
      <c r="L147" t="s">
        <v>33125</v>
      </c>
      <c r="M147" t="s">
        <v>33140</v>
      </c>
      <c r="N147" t="s">
        <v>33127</v>
      </c>
      <c r="O147">
        <v>0.97929999999999995</v>
      </c>
    </row>
    <row r="148" spans="1:15" x14ac:dyDescent="0.75">
      <c r="A148" t="s">
        <v>1840</v>
      </c>
      <c r="B148" t="s">
        <v>330</v>
      </c>
      <c r="C148" t="s">
        <v>1836</v>
      </c>
      <c r="D148" t="s">
        <v>33116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 t="s">
        <v>33123</v>
      </c>
      <c r="L148" t="s">
        <v>33125</v>
      </c>
      <c r="M148" t="s">
        <v>33129</v>
      </c>
      <c r="N148" t="s">
        <v>33127</v>
      </c>
      <c r="O148">
        <v>0.99460000000000004</v>
      </c>
    </row>
    <row r="149" spans="1:15" x14ac:dyDescent="0.75">
      <c r="A149" t="s">
        <v>1844</v>
      </c>
      <c r="B149" t="s">
        <v>330</v>
      </c>
      <c r="C149" t="s">
        <v>1836</v>
      </c>
      <c r="D149" t="s">
        <v>33116</v>
      </c>
      <c r="E149">
        <v>2.6999999999999999E-5</v>
      </c>
      <c r="F149">
        <v>0.16659499999999999</v>
      </c>
      <c r="G149">
        <v>0.83335700000000001</v>
      </c>
      <c r="H149">
        <v>1.4E-5</v>
      </c>
      <c r="I149">
        <v>1.2E-5</v>
      </c>
      <c r="J149">
        <v>1.2E-5</v>
      </c>
      <c r="K149" t="s">
        <v>33123</v>
      </c>
      <c r="L149" t="s">
        <v>33125</v>
      </c>
      <c r="M149" t="s">
        <v>33128</v>
      </c>
      <c r="N149" t="s">
        <v>33127</v>
      </c>
      <c r="O149">
        <v>0.82950000000000002</v>
      </c>
    </row>
    <row r="150" spans="1:15" x14ac:dyDescent="0.75">
      <c r="A150" t="s">
        <v>1849</v>
      </c>
      <c r="B150" t="s">
        <v>515</v>
      </c>
      <c r="C150" t="s">
        <v>1847</v>
      </c>
      <c r="D150" t="s">
        <v>33116</v>
      </c>
      <c r="E150">
        <v>2.8E-5</v>
      </c>
      <c r="F150">
        <v>0.16656499999999999</v>
      </c>
      <c r="G150">
        <v>0.83337799999999995</v>
      </c>
      <c r="H150">
        <v>2.0000000000000002E-5</v>
      </c>
      <c r="I150">
        <v>1.5999999999999999E-5</v>
      </c>
      <c r="J150">
        <v>1.9000000000000001E-5</v>
      </c>
      <c r="K150" t="s">
        <v>33123</v>
      </c>
      <c r="L150" t="s">
        <v>33125</v>
      </c>
      <c r="M150" t="s">
        <v>33128</v>
      </c>
      <c r="N150" t="s">
        <v>33127</v>
      </c>
      <c r="O150">
        <v>0.80640000000000001</v>
      </c>
    </row>
    <row r="151" spans="1:15" x14ac:dyDescent="0.75">
      <c r="A151" t="s">
        <v>1856</v>
      </c>
      <c r="B151" t="s">
        <v>330</v>
      </c>
      <c r="C151" t="s">
        <v>1854</v>
      </c>
      <c r="D151" t="s">
        <v>33116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 t="s">
        <v>33123</v>
      </c>
      <c r="L151" t="s">
        <v>33125</v>
      </c>
      <c r="M151" t="s">
        <v>33128</v>
      </c>
      <c r="N151" t="s">
        <v>33127</v>
      </c>
      <c r="O151">
        <v>0.99560000000000004</v>
      </c>
    </row>
    <row r="152" spans="1:15" x14ac:dyDescent="0.75">
      <c r="A152" t="s">
        <v>1860</v>
      </c>
      <c r="B152" t="s">
        <v>330</v>
      </c>
      <c r="C152" t="s">
        <v>1854</v>
      </c>
      <c r="D152" t="s">
        <v>33116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 t="s">
        <v>33123</v>
      </c>
      <c r="L152" t="s">
        <v>33125</v>
      </c>
      <c r="M152" t="s">
        <v>33129</v>
      </c>
      <c r="N152" t="s">
        <v>33127</v>
      </c>
      <c r="O152">
        <v>0.99409999999999998</v>
      </c>
    </row>
    <row r="153" spans="1:15" x14ac:dyDescent="0.75">
      <c r="A153" t="s">
        <v>1865</v>
      </c>
      <c r="B153" t="s">
        <v>330</v>
      </c>
      <c r="C153" t="s">
        <v>1854</v>
      </c>
      <c r="D153" t="s">
        <v>33117</v>
      </c>
      <c r="E153">
        <v>2.0699999999999999E-4</v>
      </c>
      <c r="F153">
        <v>0.99920900000000001</v>
      </c>
      <c r="G153">
        <v>1.7799999999999999E-4</v>
      </c>
      <c r="H153">
        <v>1.63E-4</v>
      </c>
      <c r="I153">
        <v>1.35E-4</v>
      </c>
      <c r="J153">
        <v>1.34E-4</v>
      </c>
      <c r="K153" t="s">
        <v>33123</v>
      </c>
      <c r="L153" t="s">
        <v>33125</v>
      </c>
      <c r="M153" t="s">
        <v>33126</v>
      </c>
      <c r="N153" t="s">
        <v>33127</v>
      </c>
      <c r="O153">
        <v>0.97540000000000004</v>
      </c>
    </row>
    <row r="154" spans="1:15" x14ac:dyDescent="0.75">
      <c r="A154" t="s">
        <v>1874</v>
      </c>
      <c r="B154" t="s">
        <v>579</v>
      </c>
      <c r="C154" t="s">
        <v>1868</v>
      </c>
      <c r="D154" t="s">
        <v>33116</v>
      </c>
      <c r="E154">
        <v>0.12349</v>
      </c>
      <c r="F154">
        <v>7.4913999999999994E-2</v>
      </c>
      <c r="G154">
        <v>0.80115400000000003</v>
      </c>
      <c r="H154">
        <v>2.1900000000000001E-4</v>
      </c>
      <c r="I154">
        <v>2.2100000000000001E-4</v>
      </c>
      <c r="J154">
        <v>9.9999999999999995E-7</v>
      </c>
      <c r="K154" t="s">
        <v>33123</v>
      </c>
      <c r="L154" t="s">
        <v>33125</v>
      </c>
      <c r="M154" t="s">
        <v>33142</v>
      </c>
      <c r="N154" t="s">
        <v>33127</v>
      </c>
      <c r="O154">
        <v>0.95069999999999999</v>
      </c>
    </row>
    <row r="155" spans="1:15" x14ac:dyDescent="0.75">
      <c r="A155" t="s">
        <v>1870</v>
      </c>
      <c r="B155" t="s">
        <v>579</v>
      </c>
      <c r="C155" t="s">
        <v>1868</v>
      </c>
      <c r="D155" t="s">
        <v>33116</v>
      </c>
      <c r="E155">
        <v>5.8999999999999998E-5</v>
      </c>
      <c r="F155">
        <v>0.33308599999999999</v>
      </c>
      <c r="G155">
        <v>0.66671499999999995</v>
      </c>
      <c r="H155">
        <v>3.6999999999999998E-5</v>
      </c>
      <c r="I155">
        <v>4.6999999999999997E-5</v>
      </c>
      <c r="J155">
        <v>3.4999999999999997E-5</v>
      </c>
      <c r="K155" t="s">
        <v>33123</v>
      </c>
      <c r="L155" t="s">
        <v>33125</v>
      </c>
      <c r="M155" t="s">
        <v>33130</v>
      </c>
      <c r="N155" t="s">
        <v>33127</v>
      </c>
      <c r="O155">
        <v>0.52490000000000003</v>
      </c>
    </row>
    <row r="156" spans="1:15" x14ac:dyDescent="0.75">
      <c r="A156" t="s">
        <v>1884</v>
      </c>
      <c r="B156" t="s">
        <v>579</v>
      </c>
      <c r="C156" t="s">
        <v>1877</v>
      </c>
      <c r="D156" t="s">
        <v>33116</v>
      </c>
      <c r="E156">
        <v>8.4746000000000002E-2</v>
      </c>
      <c r="F156">
        <v>0.11396000000000001</v>
      </c>
      <c r="G156">
        <v>0.80083400000000005</v>
      </c>
      <c r="H156">
        <v>3.4200000000000002E-4</v>
      </c>
      <c r="I156">
        <v>1.25E-4</v>
      </c>
      <c r="J156">
        <v>9.9999999999999995E-7</v>
      </c>
      <c r="K156" t="s">
        <v>33123</v>
      </c>
      <c r="L156" t="s">
        <v>33125</v>
      </c>
      <c r="M156" t="s">
        <v>33142</v>
      </c>
      <c r="N156" t="s">
        <v>33127</v>
      </c>
      <c r="O156">
        <v>0.95699999999999996</v>
      </c>
    </row>
    <row r="157" spans="1:15" x14ac:dyDescent="0.75">
      <c r="A157" t="s">
        <v>1879</v>
      </c>
      <c r="B157" t="s">
        <v>579</v>
      </c>
      <c r="C157" t="s">
        <v>1877</v>
      </c>
      <c r="D157" t="s">
        <v>33116</v>
      </c>
      <c r="E157">
        <v>5.8999999999999998E-5</v>
      </c>
      <c r="F157">
        <v>0.33308599999999999</v>
      </c>
      <c r="G157">
        <v>0.66671499999999995</v>
      </c>
      <c r="H157">
        <v>3.6999999999999998E-5</v>
      </c>
      <c r="I157">
        <v>4.6999999999999997E-5</v>
      </c>
      <c r="J157">
        <v>3.4999999999999997E-5</v>
      </c>
      <c r="K157" t="s">
        <v>33123</v>
      </c>
      <c r="L157" t="s">
        <v>33125</v>
      </c>
      <c r="M157" t="s">
        <v>33130</v>
      </c>
      <c r="N157" t="s">
        <v>33127</v>
      </c>
      <c r="O157">
        <v>0.52490000000000003</v>
      </c>
    </row>
    <row r="158" spans="1:15" x14ac:dyDescent="0.75">
      <c r="A158" t="s">
        <v>1890</v>
      </c>
      <c r="B158" t="s">
        <v>393</v>
      </c>
      <c r="C158" t="s">
        <v>1887</v>
      </c>
      <c r="D158" t="s">
        <v>33118</v>
      </c>
      <c r="E158">
        <v>0</v>
      </c>
      <c r="F158">
        <v>0</v>
      </c>
      <c r="G158">
        <v>0</v>
      </c>
      <c r="H158">
        <v>0.99999800000000005</v>
      </c>
      <c r="I158">
        <v>0</v>
      </c>
      <c r="J158">
        <v>0</v>
      </c>
      <c r="K158" t="s">
        <v>33123</v>
      </c>
      <c r="L158" t="s">
        <v>33125</v>
      </c>
      <c r="M158" t="s">
        <v>33137</v>
      </c>
      <c r="N158" t="s">
        <v>33127</v>
      </c>
      <c r="O158">
        <v>0.92769999999999997</v>
      </c>
    </row>
    <row r="159" spans="1:15" x14ac:dyDescent="0.75">
      <c r="A159" t="s">
        <v>1896</v>
      </c>
      <c r="B159" t="s">
        <v>551</v>
      </c>
      <c r="C159" t="s">
        <v>1894</v>
      </c>
      <c r="D159" t="s">
        <v>33117</v>
      </c>
      <c r="E159">
        <v>2.13E-4</v>
      </c>
      <c r="F159">
        <v>0.99916000000000005</v>
      </c>
      <c r="G159">
        <v>1.8000000000000001E-4</v>
      </c>
      <c r="H159">
        <v>1.7000000000000001E-4</v>
      </c>
      <c r="I159">
        <v>1.3899999999999999E-4</v>
      </c>
      <c r="J159">
        <v>1.4200000000000001E-4</v>
      </c>
      <c r="K159" t="s">
        <v>33123</v>
      </c>
      <c r="L159" t="s">
        <v>33125</v>
      </c>
      <c r="M159" t="s">
        <v>33131</v>
      </c>
      <c r="N159" t="s">
        <v>33127</v>
      </c>
      <c r="O159">
        <v>0.97529999999999994</v>
      </c>
    </row>
    <row r="160" spans="1:15" x14ac:dyDescent="0.75">
      <c r="A160" t="s">
        <v>1901</v>
      </c>
      <c r="B160" t="s">
        <v>611</v>
      </c>
      <c r="C160" t="s">
        <v>1899</v>
      </c>
      <c r="D160" t="s">
        <v>33118</v>
      </c>
      <c r="E160">
        <v>1.26E-4</v>
      </c>
      <c r="F160">
        <v>0.49942700000000001</v>
      </c>
      <c r="G160">
        <v>1.08E-4</v>
      </c>
      <c r="H160">
        <v>0.50012500000000004</v>
      </c>
      <c r="I160">
        <v>1.06E-4</v>
      </c>
      <c r="J160">
        <v>1.03E-4</v>
      </c>
      <c r="K160" t="s">
        <v>33123</v>
      </c>
      <c r="L160" t="s">
        <v>33125</v>
      </c>
      <c r="M160" t="s">
        <v>33143</v>
      </c>
      <c r="N160" t="s">
        <v>33127</v>
      </c>
      <c r="O160">
        <v>0.43390000000000001</v>
      </c>
    </row>
    <row r="161" spans="1:15" x14ac:dyDescent="0.75">
      <c r="A161" t="s">
        <v>2003</v>
      </c>
      <c r="B161" t="s">
        <v>1999</v>
      </c>
      <c r="C161" t="s">
        <v>1997</v>
      </c>
      <c r="D161" t="s">
        <v>33116</v>
      </c>
      <c r="E161">
        <v>0</v>
      </c>
      <c r="F161">
        <v>0</v>
      </c>
      <c r="G161">
        <v>0.99999700000000002</v>
      </c>
      <c r="H161">
        <v>0</v>
      </c>
      <c r="I161">
        <v>0</v>
      </c>
      <c r="J161">
        <v>0</v>
      </c>
      <c r="K161" t="s">
        <v>33123</v>
      </c>
      <c r="L161" t="s">
        <v>33125</v>
      </c>
      <c r="M161" t="s">
        <v>33147</v>
      </c>
      <c r="N161" t="s">
        <v>33127</v>
      </c>
      <c r="O161">
        <v>0.98860000000000003</v>
      </c>
    </row>
    <row r="162" spans="1:15" x14ac:dyDescent="0.75">
      <c r="A162" t="s">
        <v>2014</v>
      </c>
      <c r="B162" t="s">
        <v>106</v>
      </c>
      <c r="C162" t="s">
        <v>2012</v>
      </c>
      <c r="D162" t="s">
        <v>33116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 t="s">
        <v>33123</v>
      </c>
      <c r="L162" t="s">
        <v>33125</v>
      </c>
      <c r="M162" t="s">
        <v>33129</v>
      </c>
      <c r="N162" t="s">
        <v>33127</v>
      </c>
      <c r="O162">
        <v>0.99429999999999996</v>
      </c>
    </row>
    <row r="163" spans="1:15" x14ac:dyDescent="0.75">
      <c r="A163" t="s">
        <v>2019</v>
      </c>
      <c r="B163" t="s">
        <v>106</v>
      </c>
      <c r="C163" t="s">
        <v>2012</v>
      </c>
      <c r="D163" t="s">
        <v>33116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 t="s">
        <v>33123</v>
      </c>
      <c r="L163" t="s">
        <v>33125</v>
      </c>
      <c r="M163" t="s">
        <v>33128</v>
      </c>
      <c r="N163" t="s">
        <v>33127</v>
      </c>
      <c r="O163">
        <v>0.99650000000000005</v>
      </c>
    </row>
    <row r="164" spans="1:15" x14ac:dyDescent="0.75">
      <c r="A164" t="s">
        <v>2021</v>
      </c>
      <c r="B164" t="s">
        <v>106</v>
      </c>
      <c r="C164" t="s">
        <v>2012</v>
      </c>
      <c r="D164" t="s">
        <v>33116</v>
      </c>
      <c r="E164">
        <v>3.4E-5</v>
      </c>
      <c r="F164">
        <v>0.166518</v>
      </c>
      <c r="G164">
        <v>0.83339799999999997</v>
      </c>
      <c r="H164">
        <v>2.5999999999999998E-5</v>
      </c>
      <c r="I164">
        <v>2.0999999999999999E-5</v>
      </c>
      <c r="J164">
        <v>2.5000000000000001E-5</v>
      </c>
      <c r="K164" t="s">
        <v>33123</v>
      </c>
      <c r="L164" t="s">
        <v>33125</v>
      </c>
      <c r="M164" t="s">
        <v>33129</v>
      </c>
      <c r="N164" t="s">
        <v>33127</v>
      </c>
      <c r="O164">
        <v>0.8286</v>
      </c>
    </row>
    <row r="165" spans="1:15" x14ac:dyDescent="0.75">
      <c r="A165" t="s">
        <v>2027</v>
      </c>
      <c r="B165" t="s">
        <v>474</v>
      </c>
      <c r="C165" t="s">
        <v>2024</v>
      </c>
      <c r="D165" t="s">
        <v>33117</v>
      </c>
      <c r="E165">
        <v>1.01E-4</v>
      </c>
      <c r="F165">
        <v>0.52696100000000001</v>
      </c>
      <c r="G165">
        <v>0.47273999999999999</v>
      </c>
      <c r="H165">
        <v>7.3999999999999996E-5</v>
      </c>
      <c r="I165">
        <v>6.0000000000000002E-5</v>
      </c>
      <c r="J165">
        <v>6.3E-5</v>
      </c>
      <c r="K165" t="s">
        <v>33123</v>
      </c>
      <c r="L165" t="s">
        <v>33125</v>
      </c>
      <c r="M165" t="s">
        <v>33130</v>
      </c>
      <c r="N165" t="s">
        <v>33127</v>
      </c>
      <c r="O165">
        <v>0.26579999999999998</v>
      </c>
    </row>
    <row r="166" spans="1:15" x14ac:dyDescent="0.75">
      <c r="A166" t="s">
        <v>2051</v>
      </c>
      <c r="B166" t="s">
        <v>2049</v>
      </c>
      <c r="C166" t="s">
        <v>2047</v>
      </c>
      <c r="D166" t="s">
        <v>33116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 t="s">
        <v>33123</v>
      </c>
      <c r="L166" t="s">
        <v>33125</v>
      </c>
      <c r="M166" t="s">
        <v>33134</v>
      </c>
      <c r="N166" t="s">
        <v>33127</v>
      </c>
      <c r="O166">
        <v>0.99739999999999995</v>
      </c>
    </row>
    <row r="167" spans="1:15" x14ac:dyDescent="0.75">
      <c r="A167" t="s">
        <v>2058</v>
      </c>
      <c r="B167" t="s">
        <v>551</v>
      </c>
      <c r="C167" t="s">
        <v>2056</v>
      </c>
      <c r="D167" t="s">
        <v>33117</v>
      </c>
      <c r="E167">
        <v>2.2599999999999999E-4</v>
      </c>
      <c r="F167">
        <v>0.999116</v>
      </c>
      <c r="G167">
        <v>1.84E-4</v>
      </c>
      <c r="H167">
        <v>1.7699999999999999E-4</v>
      </c>
      <c r="I167">
        <v>1.44E-4</v>
      </c>
      <c r="J167">
        <v>1.45E-4</v>
      </c>
      <c r="K167" t="s">
        <v>33123</v>
      </c>
      <c r="L167" t="s">
        <v>33125</v>
      </c>
      <c r="M167" t="s">
        <v>33131</v>
      </c>
      <c r="N167" t="s">
        <v>33127</v>
      </c>
      <c r="O167">
        <v>0.97460000000000002</v>
      </c>
    </row>
    <row r="168" spans="1:15" x14ac:dyDescent="0.75">
      <c r="A168" t="s">
        <v>2064</v>
      </c>
      <c r="B168" t="s">
        <v>515</v>
      </c>
      <c r="C168" t="s">
        <v>2062</v>
      </c>
      <c r="D168" t="s">
        <v>33116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 t="s">
        <v>33123</v>
      </c>
      <c r="L168" t="s">
        <v>33125</v>
      </c>
      <c r="M168" t="s">
        <v>33128</v>
      </c>
      <c r="N168" t="s">
        <v>33127</v>
      </c>
      <c r="O168">
        <v>0.99419999999999997</v>
      </c>
    </row>
    <row r="169" spans="1:15" x14ac:dyDescent="0.75">
      <c r="A169" t="s">
        <v>2141</v>
      </c>
      <c r="B169" t="s">
        <v>372</v>
      </c>
      <c r="C169" t="s">
        <v>2139</v>
      </c>
      <c r="D169" t="s">
        <v>33117</v>
      </c>
      <c r="E169">
        <v>2.7799999999999998E-4</v>
      </c>
      <c r="F169">
        <v>0.99887999999999999</v>
      </c>
      <c r="G169">
        <v>2.23E-4</v>
      </c>
      <c r="H169">
        <v>2.5700000000000001E-4</v>
      </c>
      <c r="I169">
        <v>1.8799999999999999E-4</v>
      </c>
      <c r="J169">
        <v>1.8100000000000001E-4</v>
      </c>
      <c r="K169" t="s">
        <v>33123</v>
      </c>
      <c r="L169" t="s">
        <v>33125</v>
      </c>
      <c r="M169" t="s">
        <v>33136</v>
      </c>
      <c r="N169" t="s">
        <v>33127</v>
      </c>
      <c r="O169">
        <v>0.96460000000000001</v>
      </c>
    </row>
    <row r="170" spans="1:15" x14ac:dyDescent="0.75">
      <c r="A170" t="s">
        <v>2144</v>
      </c>
      <c r="B170" t="s">
        <v>372</v>
      </c>
      <c r="C170" t="s">
        <v>2139</v>
      </c>
      <c r="D170" t="s">
        <v>33117</v>
      </c>
      <c r="E170">
        <v>2.61E-4</v>
      </c>
      <c r="F170">
        <v>0.99896499999999999</v>
      </c>
      <c r="G170">
        <v>2.0599999999999999E-4</v>
      </c>
      <c r="H170">
        <v>2.3699999999999999E-4</v>
      </c>
      <c r="I170">
        <v>1.7699999999999999E-4</v>
      </c>
      <c r="J170">
        <v>1.75E-4</v>
      </c>
      <c r="K170" t="s">
        <v>33123</v>
      </c>
      <c r="L170" t="s">
        <v>33125</v>
      </c>
      <c r="M170" t="s">
        <v>33136</v>
      </c>
      <c r="N170" t="s">
        <v>33127</v>
      </c>
      <c r="O170">
        <v>0.97050000000000003</v>
      </c>
    </row>
    <row r="171" spans="1:15" x14ac:dyDescent="0.75">
      <c r="A171" t="s">
        <v>2185</v>
      </c>
      <c r="B171" t="s">
        <v>463</v>
      </c>
      <c r="C171" t="s">
        <v>2183</v>
      </c>
      <c r="D171" t="s">
        <v>33117</v>
      </c>
      <c r="E171">
        <v>0.45750800000000003</v>
      </c>
      <c r="F171">
        <v>0.541736</v>
      </c>
      <c r="G171">
        <v>2.6800000000000001E-4</v>
      </c>
      <c r="H171">
        <v>1.6000000000000001E-4</v>
      </c>
      <c r="I171">
        <v>1.8599999999999999E-4</v>
      </c>
      <c r="J171">
        <v>1.5100000000000001E-4</v>
      </c>
      <c r="K171" t="s">
        <v>33123</v>
      </c>
      <c r="L171" t="s">
        <v>33125</v>
      </c>
      <c r="M171" t="s">
        <v>33139</v>
      </c>
      <c r="N171" t="s">
        <v>33127</v>
      </c>
      <c r="O171">
        <v>0.4703</v>
      </c>
    </row>
    <row r="172" spans="1:15" x14ac:dyDescent="0.75">
      <c r="A172" t="s">
        <v>2190</v>
      </c>
      <c r="B172" t="s">
        <v>154</v>
      </c>
      <c r="C172" t="s">
        <v>2188</v>
      </c>
      <c r="D172" t="s">
        <v>33117</v>
      </c>
      <c r="E172">
        <v>2.0900000000000001E-4</v>
      </c>
      <c r="F172">
        <v>0.99918799999999997</v>
      </c>
      <c r="G172">
        <v>1.74E-4</v>
      </c>
      <c r="H172">
        <v>1.7200000000000001E-4</v>
      </c>
      <c r="I172">
        <v>1.4200000000000001E-4</v>
      </c>
      <c r="J172">
        <v>1.4100000000000001E-4</v>
      </c>
      <c r="K172" t="s">
        <v>33123</v>
      </c>
      <c r="L172" t="s">
        <v>33125</v>
      </c>
      <c r="M172" t="s">
        <v>33131</v>
      </c>
      <c r="N172" t="s">
        <v>33127</v>
      </c>
      <c r="O172">
        <v>0.97729999999999995</v>
      </c>
    </row>
    <row r="173" spans="1:15" x14ac:dyDescent="0.75">
      <c r="A173" t="s">
        <v>2194</v>
      </c>
      <c r="B173" t="s">
        <v>1069</v>
      </c>
      <c r="C173" t="s">
        <v>2192</v>
      </c>
      <c r="D173" t="s">
        <v>33116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 t="s">
        <v>33123</v>
      </c>
      <c r="L173" t="s">
        <v>33125</v>
      </c>
      <c r="M173" t="s">
        <v>33126</v>
      </c>
      <c r="N173" t="s">
        <v>33127</v>
      </c>
      <c r="O173">
        <v>0.99509999999999998</v>
      </c>
    </row>
    <row r="174" spans="1:15" x14ac:dyDescent="0.75">
      <c r="A174" t="s">
        <v>2203</v>
      </c>
      <c r="B174" t="s">
        <v>2201</v>
      </c>
      <c r="C174" t="s">
        <v>2199</v>
      </c>
      <c r="D174" t="s">
        <v>33117</v>
      </c>
      <c r="E174">
        <v>2.41E-4</v>
      </c>
      <c r="F174">
        <v>0.99889799999999995</v>
      </c>
      <c r="G174">
        <v>2.02E-4</v>
      </c>
      <c r="H174">
        <v>2.5799999999999998E-4</v>
      </c>
      <c r="I174">
        <v>1.9799999999999999E-4</v>
      </c>
      <c r="J174">
        <v>1.9900000000000001E-4</v>
      </c>
      <c r="K174" t="s">
        <v>33123</v>
      </c>
      <c r="L174" t="s">
        <v>33125</v>
      </c>
      <c r="M174" t="s">
        <v>33144</v>
      </c>
      <c r="N174" t="s">
        <v>33127</v>
      </c>
      <c r="O174">
        <v>0.98360000000000003</v>
      </c>
    </row>
    <row r="175" spans="1:15" x14ac:dyDescent="0.75">
      <c r="A175" t="s">
        <v>2210</v>
      </c>
      <c r="B175" t="s">
        <v>1999</v>
      </c>
      <c r="C175" t="s">
        <v>2205</v>
      </c>
      <c r="D175" t="s">
        <v>33116</v>
      </c>
      <c r="E175">
        <v>0.14910300000000001</v>
      </c>
      <c r="F175">
        <v>0.184005</v>
      </c>
      <c r="G175">
        <v>0.66678499999999996</v>
      </c>
      <c r="H175">
        <v>4.6E-5</v>
      </c>
      <c r="I175">
        <v>4.3000000000000002E-5</v>
      </c>
      <c r="J175">
        <v>4.1E-5</v>
      </c>
      <c r="K175" t="s">
        <v>33123</v>
      </c>
      <c r="L175" t="s">
        <v>33125</v>
      </c>
      <c r="M175" t="s">
        <v>33147</v>
      </c>
      <c r="N175" t="s">
        <v>33127</v>
      </c>
      <c r="O175">
        <v>0.65339999999999998</v>
      </c>
    </row>
    <row r="176" spans="1:15" x14ac:dyDescent="0.75">
      <c r="A176" t="s">
        <v>2265</v>
      </c>
      <c r="B176" t="s">
        <v>1999</v>
      </c>
      <c r="C176" t="s">
        <v>2260</v>
      </c>
      <c r="D176" t="s">
        <v>33110</v>
      </c>
      <c r="E176">
        <v>0.99997800000000003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5" x14ac:dyDescent="0.75">
      <c r="A177" t="s">
        <v>2302</v>
      </c>
      <c r="B177" t="s">
        <v>393</v>
      </c>
      <c r="C177" t="s">
        <v>2300</v>
      </c>
      <c r="D177" t="s">
        <v>33118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 t="s">
        <v>33123</v>
      </c>
      <c r="L177" t="s">
        <v>33125</v>
      </c>
      <c r="M177" t="s">
        <v>33137</v>
      </c>
      <c r="N177" t="s">
        <v>33127</v>
      </c>
      <c r="O177">
        <v>0.92069999999999996</v>
      </c>
    </row>
    <row r="178" spans="1:15" x14ac:dyDescent="0.75">
      <c r="A178" t="s">
        <v>2308</v>
      </c>
      <c r="B178" t="s">
        <v>1344</v>
      </c>
      <c r="C178" t="s">
        <v>2306</v>
      </c>
      <c r="D178" t="s">
        <v>33117</v>
      </c>
      <c r="E178">
        <v>2.4899999999999998E-4</v>
      </c>
      <c r="F178">
        <v>0.99899700000000002</v>
      </c>
      <c r="G178">
        <v>2.0699999999999999E-4</v>
      </c>
      <c r="H178">
        <v>2.23E-4</v>
      </c>
      <c r="I178">
        <v>1.73E-4</v>
      </c>
      <c r="J178">
        <v>1.65E-4</v>
      </c>
      <c r="K178" t="s">
        <v>33123</v>
      </c>
      <c r="L178" t="s">
        <v>33125</v>
      </c>
      <c r="M178" t="s">
        <v>33135</v>
      </c>
      <c r="N178" t="s">
        <v>33127</v>
      </c>
      <c r="O178">
        <v>0.96699999999999997</v>
      </c>
    </row>
    <row r="179" spans="1:15" x14ac:dyDescent="0.75">
      <c r="A179" t="s">
        <v>2315</v>
      </c>
      <c r="B179" t="s">
        <v>2313</v>
      </c>
      <c r="C179" t="s">
        <v>2311</v>
      </c>
      <c r="D179" t="s">
        <v>33117</v>
      </c>
      <c r="E179">
        <v>1.56E-4</v>
      </c>
      <c r="F179">
        <v>0.99932600000000005</v>
      </c>
      <c r="G179">
        <v>1.3100000000000001E-4</v>
      </c>
      <c r="H179">
        <v>1.44E-4</v>
      </c>
      <c r="I179">
        <v>1.21E-4</v>
      </c>
      <c r="J179">
        <v>1.16E-4</v>
      </c>
      <c r="K179" t="s">
        <v>33123</v>
      </c>
      <c r="L179" t="s">
        <v>33125</v>
      </c>
      <c r="M179" t="s">
        <v>33144</v>
      </c>
      <c r="N179" t="s">
        <v>33127</v>
      </c>
      <c r="O179">
        <v>0.98040000000000005</v>
      </c>
    </row>
    <row r="180" spans="1:15" x14ac:dyDescent="0.75">
      <c r="A180" t="s">
        <v>2324</v>
      </c>
      <c r="B180" t="s">
        <v>266</v>
      </c>
      <c r="C180" t="s">
        <v>2322</v>
      </c>
      <c r="D180" t="s">
        <v>33117</v>
      </c>
      <c r="E180">
        <v>2.4699999999999999E-4</v>
      </c>
      <c r="F180">
        <v>0.99890400000000001</v>
      </c>
      <c r="G180">
        <v>2.0900000000000001E-4</v>
      </c>
      <c r="H180">
        <v>2.5300000000000002E-4</v>
      </c>
      <c r="I180">
        <v>2.05E-4</v>
      </c>
      <c r="J180">
        <v>1.92E-4</v>
      </c>
      <c r="K180" t="s">
        <v>33123</v>
      </c>
      <c r="L180" t="s">
        <v>33125</v>
      </c>
      <c r="M180" t="s">
        <v>33133</v>
      </c>
      <c r="N180" t="s">
        <v>33127</v>
      </c>
      <c r="O180">
        <v>0.97089999999999999</v>
      </c>
    </row>
    <row r="181" spans="1:15" x14ac:dyDescent="0.75">
      <c r="A181" t="s">
        <v>2339</v>
      </c>
      <c r="B181" t="s">
        <v>579</v>
      </c>
      <c r="C181" t="s">
        <v>2334</v>
      </c>
      <c r="D181" t="s">
        <v>33116</v>
      </c>
      <c r="E181">
        <v>0.13226399999999999</v>
      </c>
      <c r="F181">
        <v>6.6536999999999999E-2</v>
      </c>
      <c r="G181">
        <v>0.800929</v>
      </c>
      <c r="H181">
        <v>1.2999999999999999E-4</v>
      </c>
      <c r="I181">
        <v>1.44E-4</v>
      </c>
      <c r="J181">
        <v>9.9999999999999995E-7</v>
      </c>
      <c r="K181" t="s">
        <v>33123</v>
      </c>
      <c r="L181" t="s">
        <v>33125</v>
      </c>
      <c r="M181" t="s">
        <v>33142</v>
      </c>
      <c r="N181" t="s">
        <v>33127</v>
      </c>
      <c r="O181">
        <v>0.92459999999999998</v>
      </c>
    </row>
    <row r="182" spans="1:15" x14ac:dyDescent="0.75">
      <c r="A182" t="s">
        <v>2336</v>
      </c>
      <c r="B182" t="s">
        <v>579</v>
      </c>
      <c r="C182" t="s">
        <v>2334</v>
      </c>
      <c r="D182" t="s">
        <v>33116</v>
      </c>
      <c r="E182">
        <v>3.4E-5</v>
      </c>
      <c r="F182">
        <v>0.16655800000000001</v>
      </c>
      <c r="G182">
        <v>0.83337300000000003</v>
      </c>
      <c r="H182">
        <v>2.0000000000000002E-5</v>
      </c>
      <c r="I182">
        <v>1.8E-5</v>
      </c>
      <c r="J182">
        <v>2.0000000000000002E-5</v>
      </c>
      <c r="K182" t="s">
        <v>33123</v>
      </c>
      <c r="L182" t="s">
        <v>33125</v>
      </c>
      <c r="M182" t="s">
        <v>33130</v>
      </c>
      <c r="N182" t="s">
        <v>33127</v>
      </c>
      <c r="O182">
        <v>0.60960000000000003</v>
      </c>
    </row>
    <row r="183" spans="1:15" x14ac:dyDescent="0.75">
      <c r="A183" t="s">
        <v>2379</v>
      </c>
      <c r="B183" t="s">
        <v>2377</v>
      </c>
      <c r="C183" t="s">
        <v>2375</v>
      </c>
      <c r="D183" t="s">
        <v>33117</v>
      </c>
      <c r="E183">
        <v>2.14E-4</v>
      </c>
      <c r="F183">
        <v>0.99911499999999998</v>
      </c>
      <c r="G183">
        <v>1.7799999999999999E-4</v>
      </c>
      <c r="H183">
        <v>2.0900000000000001E-4</v>
      </c>
      <c r="I183">
        <v>1.55E-4</v>
      </c>
      <c r="J183">
        <v>1.56E-4</v>
      </c>
      <c r="K183" t="s">
        <v>33123</v>
      </c>
      <c r="L183" t="s">
        <v>33125</v>
      </c>
      <c r="M183" t="s">
        <v>33136</v>
      </c>
      <c r="N183" t="s">
        <v>33127</v>
      </c>
      <c r="O183">
        <v>0.96689999999999998</v>
      </c>
    </row>
    <row r="184" spans="1:15" x14ac:dyDescent="0.75">
      <c r="A184" t="s">
        <v>2386</v>
      </c>
      <c r="B184" t="s">
        <v>2377</v>
      </c>
      <c r="C184" t="s">
        <v>2375</v>
      </c>
      <c r="D184" t="s">
        <v>33117</v>
      </c>
      <c r="E184">
        <v>2.5099999999999998E-4</v>
      </c>
      <c r="F184">
        <v>0.99895299999999998</v>
      </c>
      <c r="G184">
        <v>2.1000000000000001E-4</v>
      </c>
      <c r="H184">
        <v>2.33E-4</v>
      </c>
      <c r="I184">
        <v>1.7699999999999999E-4</v>
      </c>
      <c r="J184">
        <v>1.6799999999999999E-4</v>
      </c>
      <c r="K184" t="s">
        <v>33123</v>
      </c>
      <c r="L184" t="s">
        <v>33125</v>
      </c>
      <c r="M184" t="s">
        <v>33136</v>
      </c>
      <c r="N184" t="s">
        <v>33127</v>
      </c>
      <c r="O184">
        <v>0.90820000000000001</v>
      </c>
    </row>
    <row r="185" spans="1:15" x14ac:dyDescent="0.75">
      <c r="A185" t="s">
        <v>2391</v>
      </c>
      <c r="B185" t="s">
        <v>874</v>
      </c>
      <c r="C185" t="s">
        <v>2389</v>
      </c>
      <c r="D185" t="s">
        <v>33116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 t="s">
        <v>33123</v>
      </c>
      <c r="L185" t="s">
        <v>33125</v>
      </c>
      <c r="M185" t="s">
        <v>33126</v>
      </c>
      <c r="N185" t="s">
        <v>33127</v>
      </c>
      <c r="O185">
        <v>0.9929</v>
      </c>
    </row>
    <row r="186" spans="1:15" x14ac:dyDescent="0.75">
      <c r="A186" t="s">
        <v>2395</v>
      </c>
      <c r="B186" t="s">
        <v>874</v>
      </c>
      <c r="C186" t="s">
        <v>2389</v>
      </c>
      <c r="D186" t="s">
        <v>33117</v>
      </c>
      <c r="E186">
        <v>3.6699999999999998E-4</v>
      </c>
      <c r="F186">
        <v>0.99856599999999995</v>
      </c>
      <c r="G186">
        <v>3.1599999999999998E-4</v>
      </c>
      <c r="H186">
        <v>3.0699999999999998E-4</v>
      </c>
      <c r="I186">
        <v>2.32E-4</v>
      </c>
      <c r="J186">
        <v>2.22E-4</v>
      </c>
      <c r="K186" t="s">
        <v>33123</v>
      </c>
      <c r="L186" t="s">
        <v>33125</v>
      </c>
      <c r="M186" t="s">
        <v>33130</v>
      </c>
      <c r="N186" t="s">
        <v>33127</v>
      </c>
      <c r="O186">
        <v>0.84640000000000004</v>
      </c>
    </row>
    <row r="187" spans="1:15" x14ac:dyDescent="0.75">
      <c r="A187" t="s">
        <v>2400</v>
      </c>
      <c r="B187" t="s">
        <v>874</v>
      </c>
      <c r="C187" t="s">
        <v>2398</v>
      </c>
      <c r="D187" t="s">
        <v>33117</v>
      </c>
      <c r="E187">
        <v>3.6699999999999998E-4</v>
      </c>
      <c r="F187">
        <v>0.99856599999999995</v>
      </c>
      <c r="G187">
        <v>3.1599999999999998E-4</v>
      </c>
      <c r="H187">
        <v>3.0699999999999998E-4</v>
      </c>
      <c r="I187">
        <v>2.32E-4</v>
      </c>
      <c r="J187">
        <v>2.22E-4</v>
      </c>
      <c r="K187" t="s">
        <v>33123</v>
      </c>
      <c r="L187" t="s">
        <v>33125</v>
      </c>
      <c r="M187" t="s">
        <v>33130</v>
      </c>
      <c r="N187" t="s">
        <v>33127</v>
      </c>
      <c r="O187">
        <v>0.84640000000000004</v>
      </c>
    </row>
    <row r="188" spans="1:15" x14ac:dyDescent="0.75">
      <c r="A188" t="s">
        <v>2407</v>
      </c>
      <c r="B188" t="s">
        <v>1069</v>
      </c>
      <c r="C188" t="s">
        <v>2404</v>
      </c>
      <c r="D188" t="s">
        <v>33117</v>
      </c>
      <c r="E188">
        <v>2.3000000000000001E-4</v>
      </c>
      <c r="F188">
        <v>0.99901799999999996</v>
      </c>
      <c r="G188">
        <v>2.03E-4</v>
      </c>
      <c r="H188">
        <v>2.1100000000000001E-4</v>
      </c>
      <c r="I188">
        <v>1.74E-4</v>
      </c>
      <c r="J188">
        <v>1.6799999999999999E-4</v>
      </c>
      <c r="K188" t="s">
        <v>33123</v>
      </c>
      <c r="L188" t="s">
        <v>33125</v>
      </c>
      <c r="M188" t="s">
        <v>33130</v>
      </c>
      <c r="N188" t="s">
        <v>33127</v>
      </c>
      <c r="O188">
        <v>0.97640000000000005</v>
      </c>
    </row>
    <row r="189" spans="1:15" x14ac:dyDescent="0.75">
      <c r="A189" t="s">
        <v>2411</v>
      </c>
      <c r="B189" t="s">
        <v>361</v>
      </c>
      <c r="C189" t="s">
        <v>2409</v>
      </c>
      <c r="D189" t="s">
        <v>33117</v>
      </c>
      <c r="E189">
        <v>4.2200000000000001E-4</v>
      </c>
      <c r="F189">
        <v>0.99835399999999996</v>
      </c>
      <c r="G189">
        <v>4.0400000000000001E-4</v>
      </c>
      <c r="H189">
        <v>3.3E-4</v>
      </c>
      <c r="I189">
        <v>2.34E-4</v>
      </c>
      <c r="J189">
        <v>2.5399999999999999E-4</v>
      </c>
      <c r="K189" t="s">
        <v>33123</v>
      </c>
      <c r="L189" t="s">
        <v>33125</v>
      </c>
      <c r="M189" t="s">
        <v>33134</v>
      </c>
      <c r="N189" t="s">
        <v>33127</v>
      </c>
      <c r="O189">
        <v>0.94779999999999998</v>
      </c>
    </row>
    <row r="190" spans="1:15" x14ac:dyDescent="0.75">
      <c r="A190" t="s">
        <v>2416</v>
      </c>
      <c r="B190" t="s">
        <v>285</v>
      </c>
      <c r="C190" t="s">
        <v>2414</v>
      </c>
      <c r="D190" t="s">
        <v>33117</v>
      </c>
      <c r="E190">
        <v>2.9100000000000003E-4</v>
      </c>
      <c r="F190">
        <v>0.99873000000000001</v>
      </c>
      <c r="G190">
        <v>2.72E-4</v>
      </c>
      <c r="H190">
        <v>2.6200000000000003E-4</v>
      </c>
      <c r="I190">
        <v>2.13E-4</v>
      </c>
      <c r="J190">
        <v>2.1499999999999999E-4</v>
      </c>
      <c r="K190" t="s">
        <v>33123</v>
      </c>
      <c r="L190" t="s">
        <v>33125</v>
      </c>
      <c r="M190" t="s">
        <v>33134</v>
      </c>
      <c r="N190" t="s">
        <v>33127</v>
      </c>
      <c r="O190">
        <v>0.9788</v>
      </c>
    </row>
    <row r="191" spans="1:15" x14ac:dyDescent="0.75">
      <c r="A191" t="s">
        <v>2423</v>
      </c>
      <c r="B191" t="s">
        <v>874</v>
      </c>
      <c r="C191" t="s">
        <v>2421</v>
      </c>
      <c r="D191" t="s">
        <v>33117</v>
      </c>
      <c r="E191">
        <v>3.48E-4</v>
      </c>
      <c r="F191">
        <v>0.99871200000000004</v>
      </c>
      <c r="G191">
        <v>2.8800000000000001E-4</v>
      </c>
      <c r="H191">
        <v>2.6699999999999998E-4</v>
      </c>
      <c r="I191">
        <v>2.0699999999999999E-4</v>
      </c>
      <c r="J191">
        <v>1.9599999999999999E-4</v>
      </c>
      <c r="K191" t="s">
        <v>33123</v>
      </c>
      <c r="L191" t="s">
        <v>33125</v>
      </c>
      <c r="M191" t="s">
        <v>33130</v>
      </c>
      <c r="N191" t="s">
        <v>33127</v>
      </c>
      <c r="O191">
        <v>0.85580000000000001</v>
      </c>
    </row>
    <row r="192" spans="1:15" x14ac:dyDescent="0.75">
      <c r="A192" t="s">
        <v>2430</v>
      </c>
      <c r="B192" t="s">
        <v>2428</v>
      </c>
      <c r="C192" t="s">
        <v>2426</v>
      </c>
      <c r="D192" t="s">
        <v>33117</v>
      </c>
      <c r="E192">
        <v>3.2200000000000002E-4</v>
      </c>
      <c r="F192">
        <v>0.99872899999999998</v>
      </c>
      <c r="G192">
        <v>2.7900000000000001E-4</v>
      </c>
      <c r="H192">
        <v>2.7500000000000002E-4</v>
      </c>
      <c r="I192">
        <v>2.0599999999999999E-4</v>
      </c>
      <c r="J192">
        <v>2.12E-4</v>
      </c>
      <c r="K192" t="s">
        <v>33123</v>
      </c>
      <c r="L192" t="s">
        <v>33125</v>
      </c>
      <c r="M192" t="s">
        <v>33130</v>
      </c>
      <c r="N192" t="s">
        <v>33127</v>
      </c>
      <c r="O192">
        <v>0.97250000000000003</v>
      </c>
    </row>
    <row r="193" spans="1:15" x14ac:dyDescent="0.75">
      <c r="A193" t="s">
        <v>2501</v>
      </c>
      <c r="B193" t="s">
        <v>854</v>
      </c>
      <c r="C193" t="s">
        <v>2499</v>
      </c>
      <c r="D193" t="s">
        <v>33116</v>
      </c>
      <c r="E193">
        <v>1.9000000000000001E-4</v>
      </c>
      <c r="F193">
        <v>0.49918000000000001</v>
      </c>
      <c r="G193">
        <v>0.50026800000000005</v>
      </c>
      <c r="H193">
        <v>1.17E-4</v>
      </c>
      <c r="I193">
        <v>1.3799999999999999E-4</v>
      </c>
      <c r="J193">
        <v>1.15E-4</v>
      </c>
      <c r="K193" t="s">
        <v>33123</v>
      </c>
      <c r="L193" t="s">
        <v>33125</v>
      </c>
      <c r="M193" t="s">
        <v>33130</v>
      </c>
      <c r="N193" t="s">
        <v>33127</v>
      </c>
      <c r="O193">
        <v>0.40570000000000001</v>
      </c>
    </row>
    <row r="194" spans="1:15" x14ac:dyDescent="0.75">
      <c r="A194" t="s">
        <v>2546</v>
      </c>
      <c r="B194" t="s">
        <v>372</v>
      </c>
      <c r="C194" t="s">
        <v>2538</v>
      </c>
      <c r="D194" t="s">
        <v>33117</v>
      </c>
      <c r="E194">
        <v>2.61E-4</v>
      </c>
      <c r="F194">
        <v>0.99896499999999999</v>
      </c>
      <c r="G194">
        <v>2.0599999999999999E-4</v>
      </c>
      <c r="H194">
        <v>2.3699999999999999E-4</v>
      </c>
      <c r="I194">
        <v>1.7699999999999999E-4</v>
      </c>
      <c r="J194">
        <v>1.75E-4</v>
      </c>
      <c r="K194" t="s">
        <v>33123</v>
      </c>
      <c r="L194" t="s">
        <v>33125</v>
      </c>
      <c r="M194" t="s">
        <v>33136</v>
      </c>
      <c r="N194" t="s">
        <v>33127</v>
      </c>
      <c r="O194">
        <v>0.97050000000000003</v>
      </c>
    </row>
    <row r="195" spans="1:15" x14ac:dyDescent="0.75">
      <c r="A195" t="s">
        <v>2540</v>
      </c>
      <c r="B195" t="s">
        <v>372</v>
      </c>
      <c r="C195" t="s">
        <v>2538</v>
      </c>
      <c r="D195" t="s">
        <v>33117</v>
      </c>
      <c r="E195">
        <v>2.7799999999999998E-4</v>
      </c>
      <c r="F195">
        <v>0.99887999999999999</v>
      </c>
      <c r="G195">
        <v>2.23E-4</v>
      </c>
      <c r="H195">
        <v>2.5700000000000001E-4</v>
      </c>
      <c r="I195">
        <v>1.8799999999999999E-4</v>
      </c>
      <c r="J195">
        <v>1.8100000000000001E-4</v>
      </c>
      <c r="K195" t="s">
        <v>33123</v>
      </c>
      <c r="L195" t="s">
        <v>33125</v>
      </c>
      <c r="M195" t="s">
        <v>33136</v>
      </c>
      <c r="N195" t="s">
        <v>33127</v>
      </c>
      <c r="O195">
        <v>0.96460000000000001</v>
      </c>
    </row>
    <row r="196" spans="1:15" x14ac:dyDescent="0.75">
      <c r="A196" t="s">
        <v>2550</v>
      </c>
      <c r="B196" t="s">
        <v>372</v>
      </c>
      <c r="C196" t="s">
        <v>2548</v>
      </c>
      <c r="D196" t="s">
        <v>33117</v>
      </c>
      <c r="E196">
        <v>2.61E-4</v>
      </c>
      <c r="F196">
        <v>0.99896499999999999</v>
      </c>
      <c r="G196">
        <v>2.0599999999999999E-4</v>
      </c>
      <c r="H196">
        <v>2.3699999999999999E-4</v>
      </c>
      <c r="I196">
        <v>1.7699999999999999E-4</v>
      </c>
      <c r="J196">
        <v>1.75E-4</v>
      </c>
      <c r="K196" t="s">
        <v>33123</v>
      </c>
      <c r="L196" t="s">
        <v>33125</v>
      </c>
      <c r="M196" t="s">
        <v>33136</v>
      </c>
      <c r="N196" t="s">
        <v>33127</v>
      </c>
      <c r="O196">
        <v>0.97050000000000003</v>
      </c>
    </row>
    <row r="197" spans="1:15" x14ac:dyDescent="0.75">
      <c r="A197" t="s">
        <v>2552</v>
      </c>
      <c r="B197" t="s">
        <v>372</v>
      </c>
      <c r="C197" t="s">
        <v>2548</v>
      </c>
      <c r="D197" t="s">
        <v>33117</v>
      </c>
      <c r="E197">
        <v>2.7799999999999998E-4</v>
      </c>
      <c r="F197">
        <v>0.99887999999999999</v>
      </c>
      <c r="G197">
        <v>2.23E-4</v>
      </c>
      <c r="H197">
        <v>2.5700000000000001E-4</v>
      </c>
      <c r="I197">
        <v>1.8799999999999999E-4</v>
      </c>
      <c r="J197">
        <v>1.8100000000000001E-4</v>
      </c>
      <c r="K197" t="s">
        <v>33123</v>
      </c>
      <c r="L197" t="s">
        <v>33125</v>
      </c>
      <c r="M197" t="s">
        <v>33136</v>
      </c>
      <c r="N197" t="s">
        <v>33127</v>
      </c>
      <c r="O197">
        <v>0.96460000000000001</v>
      </c>
    </row>
    <row r="198" spans="1:15" x14ac:dyDescent="0.75">
      <c r="A198" t="s">
        <v>2555</v>
      </c>
      <c r="B198" t="s">
        <v>372</v>
      </c>
      <c r="C198" t="s">
        <v>2553</v>
      </c>
      <c r="D198" t="s">
        <v>33117</v>
      </c>
      <c r="E198">
        <v>2.5500000000000002E-4</v>
      </c>
      <c r="F198">
        <v>0.99898699999999996</v>
      </c>
      <c r="G198">
        <v>1.9900000000000001E-4</v>
      </c>
      <c r="H198">
        <v>2.32E-4</v>
      </c>
      <c r="I198">
        <v>1.7100000000000001E-4</v>
      </c>
      <c r="J198">
        <v>1.7100000000000001E-4</v>
      </c>
      <c r="K198" t="s">
        <v>33123</v>
      </c>
      <c r="L198" t="s">
        <v>33125</v>
      </c>
      <c r="M198" t="s">
        <v>33136</v>
      </c>
      <c r="N198" t="s">
        <v>33127</v>
      </c>
      <c r="O198">
        <v>0.97030000000000005</v>
      </c>
    </row>
    <row r="199" spans="1:15" x14ac:dyDescent="0.75">
      <c r="A199" t="s">
        <v>2560</v>
      </c>
      <c r="B199" t="s">
        <v>372</v>
      </c>
      <c r="C199" t="s">
        <v>2553</v>
      </c>
      <c r="D199" t="s">
        <v>33117</v>
      </c>
      <c r="E199">
        <v>2.7799999999999998E-4</v>
      </c>
      <c r="F199">
        <v>0.99887999999999999</v>
      </c>
      <c r="G199">
        <v>2.23E-4</v>
      </c>
      <c r="H199">
        <v>2.5700000000000001E-4</v>
      </c>
      <c r="I199">
        <v>1.8799999999999999E-4</v>
      </c>
      <c r="J199">
        <v>1.8100000000000001E-4</v>
      </c>
      <c r="K199" t="s">
        <v>33123</v>
      </c>
      <c r="L199" t="s">
        <v>33125</v>
      </c>
      <c r="M199" t="s">
        <v>33136</v>
      </c>
      <c r="N199" t="s">
        <v>33127</v>
      </c>
      <c r="O199">
        <v>0.96460000000000001</v>
      </c>
    </row>
    <row r="200" spans="1:15" x14ac:dyDescent="0.75">
      <c r="A200" t="s">
        <v>2568</v>
      </c>
      <c r="B200" t="s">
        <v>372</v>
      </c>
      <c r="C200" t="s">
        <v>2561</v>
      </c>
      <c r="D200" t="s">
        <v>33117</v>
      </c>
      <c r="E200">
        <v>2.7799999999999998E-4</v>
      </c>
      <c r="F200">
        <v>0.99887999999999999</v>
      </c>
      <c r="G200">
        <v>2.23E-4</v>
      </c>
      <c r="H200">
        <v>2.5700000000000001E-4</v>
      </c>
      <c r="I200">
        <v>1.8799999999999999E-4</v>
      </c>
      <c r="J200">
        <v>1.8100000000000001E-4</v>
      </c>
      <c r="K200" t="s">
        <v>33123</v>
      </c>
      <c r="L200" t="s">
        <v>33125</v>
      </c>
      <c r="M200" t="s">
        <v>33136</v>
      </c>
      <c r="N200" t="s">
        <v>33127</v>
      </c>
      <c r="O200">
        <v>0.96460000000000001</v>
      </c>
    </row>
    <row r="201" spans="1:15" x14ac:dyDescent="0.75">
      <c r="A201" t="s">
        <v>2563</v>
      </c>
      <c r="B201" t="s">
        <v>372</v>
      </c>
      <c r="C201" t="s">
        <v>2561</v>
      </c>
      <c r="D201" t="s">
        <v>33117</v>
      </c>
      <c r="E201">
        <v>2.5500000000000002E-4</v>
      </c>
      <c r="F201">
        <v>0.99898699999999996</v>
      </c>
      <c r="G201">
        <v>1.9900000000000001E-4</v>
      </c>
      <c r="H201">
        <v>2.32E-4</v>
      </c>
      <c r="I201">
        <v>1.7100000000000001E-4</v>
      </c>
      <c r="J201">
        <v>1.7100000000000001E-4</v>
      </c>
      <c r="K201" t="s">
        <v>33123</v>
      </c>
      <c r="L201" t="s">
        <v>33125</v>
      </c>
      <c r="M201" t="s">
        <v>33136</v>
      </c>
      <c r="N201" t="s">
        <v>33127</v>
      </c>
      <c r="O201">
        <v>0.97030000000000005</v>
      </c>
    </row>
    <row r="202" spans="1:15" x14ac:dyDescent="0.75">
      <c r="A202" t="s">
        <v>2571</v>
      </c>
      <c r="B202" t="s">
        <v>515</v>
      </c>
      <c r="C202" t="s">
        <v>2569</v>
      </c>
      <c r="D202" t="s">
        <v>33116</v>
      </c>
      <c r="E202">
        <v>2.9E-5</v>
      </c>
      <c r="F202">
        <v>0.16656599999999999</v>
      </c>
      <c r="G202">
        <v>0.83336500000000002</v>
      </c>
      <c r="H202">
        <v>1.9000000000000001E-5</v>
      </c>
      <c r="I202">
        <v>1.5999999999999999E-5</v>
      </c>
      <c r="J202">
        <v>1.9000000000000001E-5</v>
      </c>
      <c r="K202" t="s">
        <v>33123</v>
      </c>
      <c r="L202" t="s">
        <v>33125</v>
      </c>
      <c r="M202" t="s">
        <v>33128</v>
      </c>
      <c r="N202" t="s">
        <v>33127</v>
      </c>
      <c r="O202">
        <v>0.8085</v>
      </c>
    </row>
    <row r="203" spans="1:15" x14ac:dyDescent="0.75">
      <c r="A203" t="s">
        <v>2716</v>
      </c>
      <c r="B203" t="s">
        <v>154</v>
      </c>
      <c r="C203" t="s">
        <v>2714</v>
      </c>
      <c r="D203" t="s">
        <v>33117</v>
      </c>
      <c r="E203">
        <v>2.6200000000000003E-4</v>
      </c>
      <c r="F203">
        <v>0.99900199999999995</v>
      </c>
      <c r="G203">
        <v>2.2100000000000001E-4</v>
      </c>
      <c r="H203">
        <v>2.0100000000000001E-4</v>
      </c>
      <c r="I203">
        <v>1.74E-4</v>
      </c>
      <c r="J203">
        <v>1.6100000000000001E-4</v>
      </c>
      <c r="K203" t="s">
        <v>33123</v>
      </c>
      <c r="L203" t="s">
        <v>33125</v>
      </c>
      <c r="M203" t="s">
        <v>33131</v>
      </c>
      <c r="N203" t="s">
        <v>33127</v>
      </c>
      <c r="O203">
        <v>0.97519999999999996</v>
      </c>
    </row>
    <row r="204" spans="1:15" x14ac:dyDescent="0.75">
      <c r="A204" t="s">
        <v>2734</v>
      </c>
      <c r="B204" t="s">
        <v>33122</v>
      </c>
      <c r="C204" t="s">
        <v>2730</v>
      </c>
      <c r="D204" t="s">
        <v>33116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 t="s">
        <v>33123</v>
      </c>
      <c r="L204" t="s">
        <v>33125</v>
      </c>
      <c r="M204" t="s">
        <v>33126</v>
      </c>
      <c r="N204" t="s">
        <v>33127</v>
      </c>
      <c r="O204">
        <v>0.99509999999999998</v>
      </c>
    </row>
    <row r="205" spans="1:15" x14ac:dyDescent="0.75">
      <c r="A205" t="s">
        <v>2744</v>
      </c>
      <c r="B205" t="s">
        <v>2742</v>
      </c>
      <c r="C205" t="s">
        <v>2740</v>
      </c>
      <c r="D205" t="s">
        <v>33110</v>
      </c>
      <c r="E205">
        <v>0.82831999999999995</v>
      </c>
      <c r="F205">
        <v>0.171488</v>
      </c>
      <c r="G205">
        <v>5.3000000000000001E-5</v>
      </c>
      <c r="H205">
        <v>4.1999999999999998E-5</v>
      </c>
      <c r="I205">
        <v>3.8999999999999999E-5</v>
      </c>
      <c r="J205">
        <v>3.8999999999999999E-5</v>
      </c>
    </row>
    <row r="206" spans="1:15" x14ac:dyDescent="0.75">
      <c r="A206" t="s">
        <v>2751</v>
      </c>
      <c r="B206" t="s">
        <v>2742</v>
      </c>
      <c r="C206" t="s">
        <v>2740</v>
      </c>
      <c r="D206" t="s">
        <v>33117</v>
      </c>
      <c r="E206">
        <v>1.5899999999999999E-4</v>
      </c>
      <c r="F206">
        <v>0.99931800000000004</v>
      </c>
      <c r="G206">
        <v>1.36E-4</v>
      </c>
      <c r="H206">
        <v>1.4799999999999999E-4</v>
      </c>
      <c r="I206">
        <v>1.1900000000000001E-4</v>
      </c>
      <c r="J206">
        <v>1.18E-4</v>
      </c>
      <c r="K206" t="s">
        <v>33123</v>
      </c>
      <c r="L206" t="s">
        <v>33125</v>
      </c>
      <c r="M206" t="s">
        <v>33148</v>
      </c>
      <c r="N206" t="s">
        <v>33127</v>
      </c>
      <c r="O206">
        <v>0.97850000000000004</v>
      </c>
    </row>
    <row r="207" spans="1:15" x14ac:dyDescent="0.75">
      <c r="A207" t="s">
        <v>2755</v>
      </c>
      <c r="B207" t="s">
        <v>2742</v>
      </c>
      <c r="C207" t="s">
        <v>2740</v>
      </c>
      <c r="D207" t="s">
        <v>33117</v>
      </c>
      <c r="E207">
        <v>2.05E-4</v>
      </c>
      <c r="F207">
        <v>0.999135</v>
      </c>
      <c r="G207">
        <v>1.6899999999999999E-4</v>
      </c>
      <c r="H207">
        <v>1.95E-4</v>
      </c>
      <c r="I207">
        <v>1.47E-4</v>
      </c>
      <c r="J207">
        <v>1.5699999999999999E-4</v>
      </c>
      <c r="K207" t="s">
        <v>33123</v>
      </c>
      <c r="L207" t="s">
        <v>33125</v>
      </c>
      <c r="M207" t="s">
        <v>33137</v>
      </c>
      <c r="N207" t="s">
        <v>33127</v>
      </c>
      <c r="O207">
        <v>0.97230000000000005</v>
      </c>
    </row>
    <row r="208" spans="1:15" x14ac:dyDescent="0.75">
      <c r="A208" t="s">
        <v>2760</v>
      </c>
      <c r="B208" t="s">
        <v>515</v>
      </c>
      <c r="C208" t="s">
        <v>2758</v>
      </c>
      <c r="D208" t="s">
        <v>33116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 t="s">
        <v>33123</v>
      </c>
      <c r="L208" t="s">
        <v>33125</v>
      </c>
      <c r="M208" t="s">
        <v>33129</v>
      </c>
      <c r="N208" t="s">
        <v>33127</v>
      </c>
      <c r="O208">
        <v>0.99490000000000001</v>
      </c>
    </row>
    <row r="209" spans="1:15" x14ac:dyDescent="0.75">
      <c r="A209" t="s">
        <v>2770</v>
      </c>
      <c r="B209" t="s">
        <v>2768</v>
      </c>
      <c r="C209" t="s">
        <v>2766</v>
      </c>
      <c r="D209" t="s">
        <v>33117</v>
      </c>
      <c r="E209">
        <v>2.7E-4</v>
      </c>
      <c r="F209">
        <v>0.83221199999999995</v>
      </c>
      <c r="G209">
        <v>2.1900000000000001E-4</v>
      </c>
      <c r="H209">
        <v>0.16693</v>
      </c>
      <c r="I209">
        <v>2.0599999999999999E-4</v>
      </c>
      <c r="J209">
        <v>1.8100000000000001E-4</v>
      </c>
      <c r="K209" t="s">
        <v>33123</v>
      </c>
      <c r="L209" t="s">
        <v>33125</v>
      </c>
      <c r="M209" t="s">
        <v>33149</v>
      </c>
      <c r="N209" t="s">
        <v>33127</v>
      </c>
      <c r="O209">
        <v>0.80349999999999999</v>
      </c>
    </row>
    <row r="210" spans="1:15" x14ac:dyDescent="0.75">
      <c r="A210" t="s">
        <v>2776</v>
      </c>
      <c r="B210" t="s">
        <v>2742</v>
      </c>
      <c r="C210" t="s">
        <v>2774</v>
      </c>
      <c r="D210" t="s">
        <v>33117</v>
      </c>
      <c r="E210">
        <v>1.9799999999999999E-4</v>
      </c>
      <c r="F210">
        <v>0.99917900000000004</v>
      </c>
      <c r="G210">
        <v>1.6200000000000001E-4</v>
      </c>
      <c r="H210">
        <v>1.84E-4</v>
      </c>
      <c r="I210">
        <v>1.4100000000000001E-4</v>
      </c>
      <c r="J210">
        <v>1.4999999999999999E-4</v>
      </c>
      <c r="K210" t="s">
        <v>33123</v>
      </c>
      <c r="L210" t="s">
        <v>33125</v>
      </c>
      <c r="M210" t="s">
        <v>33136</v>
      </c>
      <c r="N210" t="s">
        <v>33127</v>
      </c>
      <c r="O210">
        <v>0.68799999999999994</v>
      </c>
    </row>
    <row r="211" spans="1:15" x14ac:dyDescent="0.75">
      <c r="A211" t="s">
        <v>2779</v>
      </c>
      <c r="B211" t="s">
        <v>2742</v>
      </c>
      <c r="C211" t="s">
        <v>2774</v>
      </c>
      <c r="D211" t="s">
        <v>33110</v>
      </c>
      <c r="E211">
        <v>0.82831999999999995</v>
      </c>
      <c r="F211">
        <v>0.171488</v>
      </c>
      <c r="G211">
        <v>5.3000000000000001E-5</v>
      </c>
      <c r="H211">
        <v>4.1999999999999998E-5</v>
      </c>
      <c r="I211">
        <v>3.8999999999999999E-5</v>
      </c>
      <c r="J211">
        <v>3.8999999999999999E-5</v>
      </c>
    </row>
    <row r="212" spans="1:15" x14ac:dyDescent="0.75">
      <c r="A212" t="s">
        <v>2781</v>
      </c>
      <c r="B212" t="s">
        <v>2742</v>
      </c>
      <c r="C212" t="s">
        <v>2774</v>
      </c>
      <c r="D212" t="s">
        <v>33110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5" x14ac:dyDescent="0.75">
      <c r="A213" t="s">
        <v>2786</v>
      </c>
      <c r="B213" t="s">
        <v>33122</v>
      </c>
      <c r="C213" t="s">
        <v>2784</v>
      </c>
      <c r="D213" t="s">
        <v>33116</v>
      </c>
      <c r="E213">
        <v>0</v>
      </c>
      <c r="F213">
        <v>0</v>
      </c>
      <c r="G213">
        <v>0.99999499999999997</v>
      </c>
      <c r="H213">
        <v>0</v>
      </c>
      <c r="I213">
        <v>0</v>
      </c>
      <c r="J213">
        <v>0</v>
      </c>
      <c r="K213" t="s">
        <v>33123</v>
      </c>
      <c r="L213" t="s">
        <v>33125</v>
      </c>
      <c r="M213" t="s">
        <v>33126</v>
      </c>
      <c r="N213" t="s">
        <v>33127</v>
      </c>
      <c r="O213">
        <v>0.99570000000000003</v>
      </c>
    </row>
    <row r="214" spans="1:15" x14ac:dyDescent="0.75">
      <c r="A214" t="s">
        <v>2792</v>
      </c>
      <c r="B214" t="s">
        <v>393</v>
      </c>
      <c r="C214" t="s">
        <v>2790</v>
      </c>
      <c r="D214" t="s">
        <v>33118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 t="s">
        <v>33123</v>
      </c>
      <c r="L214" t="s">
        <v>33125</v>
      </c>
      <c r="M214" t="s">
        <v>33137</v>
      </c>
      <c r="N214" t="s">
        <v>33127</v>
      </c>
      <c r="O214">
        <v>0.93089999999999995</v>
      </c>
    </row>
    <row r="215" spans="1:15" x14ac:dyDescent="0.75">
      <c r="A215" t="s">
        <v>2804</v>
      </c>
      <c r="B215" t="s">
        <v>106</v>
      </c>
      <c r="C215" t="s">
        <v>2796</v>
      </c>
      <c r="D215" t="s">
        <v>33116</v>
      </c>
      <c r="E215">
        <v>3.1999999999999999E-5</v>
      </c>
      <c r="F215">
        <v>0.166542</v>
      </c>
      <c r="G215">
        <v>0.83338900000000005</v>
      </c>
      <c r="H215">
        <v>2.3E-5</v>
      </c>
      <c r="I215">
        <v>1.8E-5</v>
      </c>
      <c r="J215">
        <v>2.0000000000000002E-5</v>
      </c>
      <c r="K215" t="s">
        <v>33123</v>
      </c>
      <c r="L215" t="s">
        <v>33125</v>
      </c>
      <c r="M215" t="s">
        <v>33126</v>
      </c>
      <c r="N215" t="s">
        <v>33127</v>
      </c>
      <c r="O215">
        <v>0.83020000000000005</v>
      </c>
    </row>
    <row r="216" spans="1:15" x14ac:dyDescent="0.75">
      <c r="A216" t="s">
        <v>2807</v>
      </c>
      <c r="B216" t="s">
        <v>106</v>
      </c>
      <c r="C216" t="s">
        <v>2796</v>
      </c>
      <c r="D216" t="s">
        <v>33116</v>
      </c>
      <c r="E216">
        <v>0</v>
      </c>
      <c r="F216">
        <v>0</v>
      </c>
      <c r="G216">
        <v>1</v>
      </c>
      <c r="H216">
        <v>0</v>
      </c>
      <c r="I216">
        <v>0</v>
      </c>
      <c r="J216">
        <v>0</v>
      </c>
      <c r="K216" t="s">
        <v>33123</v>
      </c>
      <c r="L216" t="s">
        <v>33125</v>
      </c>
      <c r="M216" t="s">
        <v>33128</v>
      </c>
      <c r="N216" t="s">
        <v>33127</v>
      </c>
      <c r="O216">
        <v>0.99570000000000003</v>
      </c>
    </row>
    <row r="217" spans="1:15" x14ac:dyDescent="0.75">
      <c r="A217" t="s">
        <v>2798</v>
      </c>
      <c r="B217" t="s">
        <v>106</v>
      </c>
      <c r="C217" t="s">
        <v>2796</v>
      </c>
      <c r="D217" t="s">
        <v>33116</v>
      </c>
      <c r="E217">
        <v>0</v>
      </c>
      <c r="F217">
        <v>0</v>
      </c>
      <c r="G217">
        <v>0.999996</v>
      </c>
      <c r="H217">
        <v>0</v>
      </c>
      <c r="I217">
        <v>0</v>
      </c>
      <c r="J217">
        <v>0</v>
      </c>
      <c r="K217" t="s">
        <v>33123</v>
      </c>
      <c r="L217" t="s">
        <v>33125</v>
      </c>
      <c r="M217" t="s">
        <v>33129</v>
      </c>
      <c r="N217" t="s">
        <v>33127</v>
      </c>
      <c r="O217">
        <v>0.99390000000000001</v>
      </c>
    </row>
    <row r="218" spans="1:15" x14ac:dyDescent="0.75">
      <c r="A218" t="s">
        <v>2816</v>
      </c>
      <c r="B218" t="s">
        <v>106</v>
      </c>
      <c r="C218" t="s">
        <v>2809</v>
      </c>
      <c r="D218" t="s">
        <v>33116</v>
      </c>
      <c r="E218">
        <v>6.9999999999999999E-6</v>
      </c>
      <c r="F218">
        <v>2.1682E-2</v>
      </c>
      <c r="G218">
        <v>0.97830300000000003</v>
      </c>
      <c r="H218">
        <v>5.0000000000000004E-6</v>
      </c>
      <c r="I218">
        <v>3.9999999999999998E-6</v>
      </c>
      <c r="J218">
        <v>5.0000000000000004E-6</v>
      </c>
      <c r="K218" t="s">
        <v>33123</v>
      </c>
      <c r="L218" t="s">
        <v>33125</v>
      </c>
      <c r="M218" t="s">
        <v>33129</v>
      </c>
      <c r="N218" t="s">
        <v>33127</v>
      </c>
      <c r="O218">
        <v>0.97089999999999999</v>
      </c>
    </row>
    <row r="219" spans="1:15" x14ac:dyDescent="0.75">
      <c r="A219" t="s">
        <v>2819</v>
      </c>
      <c r="B219" t="s">
        <v>106</v>
      </c>
      <c r="C219" t="s">
        <v>2809</v>
      </c>
      <c r="D219" t="s">
        <v>33110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5" x14ac:dyDescent="0.75">
      <c r="A220" t="s">
        <v>2811</v>
      </c>
      <c r="B220" t="s">
        <v>106</v>
      </c>
      <c r="C220" t="s">
        <v>2809</v>
      </c>
      <c r="D220" t="s">
        <v>33116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 t="s">
        <v>33123</v>
      </c>
      <c r="L220" t="s">
        <v>33125</v>
      </c>
      <c r="M220" t="s">
        <v>33129</v>
      </c>
      <c r="N220" t="s">
        <v>33127</v>
      </c>
      <c r="O220">
        <v>0.99419999999999997</v>
      </c>
    </row>
    <row r="221" spans="1:15" x14ac:dyDescent="0.75">
      <c r="A221" t="s">
        <v>2826</v>
      </c>
      <c r="B221" t="s">
        <v>1069</v>
      </c>
      <c r="C221" t="s">
        <v>2823</v>
      </c>
      <c r="D221" t="s">
        <v>33117</v>
      </c>
      <c r="E221">
        <v>2.92E-4</v>
      </c>
      <c r="F221">
        <v>0.99882700000000002</v>
      </c>
      <c r="G221">
        <v>2.5099999999999998E-4</v>
      </c>
      <c r="H221">
        <v>2.5599999999999999E-4</v>
      </c>
      <c r="I221">
        <v>1.92E-4</v>
      </c>
      <c r="J221">
        <v>2.0100000000000001E-4</v>
      </c>
      <c r="K221" t="s">
        <v>33123</v>
      </c>
      <c r="L221" t="s">
        <v>33125</v>
      </c>
      <c r="M221" t="s">
        <v>33130</v>
      </c>
      <c r="N221" t="s">
        <v>33127</v>
      </c>
      <c r="O221">
        <v>0.96870000000000001</v>
      </c>
    </row>
    <row r="222" spans="1:15" x14ac:dyDescent="0.75">
      <c r="A222" t="s">
        <v>2836</v>
      </c>
      <c r="B222" t="s">
        <v>1069</v>
      </c>
      <c r="C222" t="s">
        <v>2834</v>
      </c>
      <c r="D222" t="s">
        <v>33117</v>
      </c>
      <c r="E222">
        <v>2.3499999999999999E-4</v>
      </c>
      <c r="F222">
        <v>0.99900100000000003</v>
      </c>
      <c r="G222">
        <v>2.0599999999999999E-4</v>
      </c>
      <c r="H222">
        <v>2.1699999999999999E-4</v>
      </c>
      <c r="I222">
        <v>1.7799999999999999E-4</v>
      </c>
      <c r="J222">
        <v>1.74E-4</v>
      </c>
      <c r="K222" t="s">
        <v>33123</v>
      </c>
      <c r="L222" t="s">
        <v>33125</v>
      </c>
      <c r="M222" t="s">
        <v>33130</v>
      </c>
      <c r="N222" t="s">
        <v>33127</v>
      </c>
      <c r="O222">
        <v>0.97740000000000005</v>
      </c>
    </row>
    <row r="223" spans="1:15" x14ac:dyDescent="0.75">
      <c r="A223" t="s">
        <v>2855</v>
      </c>
      <c r="B223" t="s">
        <v>568</v>
      </c>
      <c r="C223" t="s">
        <v>2853</v>
      </c>
      <c r="D223" t="s">
        <v>33117</v>
      </c>
      <c r="E223">
        <v>1.73E-4</v>
      </c>
      <c r="F223">
        <v>0.99926099999999995</v>
      </c>
      <c r="G223">
        <v>1.54E-4</v>
      </c>
      <c r="H223">
        <v>1.6200000000000001E-4</v>
      </c>
      <c r="I223">
        <v>1.3100000000000001E-4</v>
      </c>
      <c r="J223">
        <v>1.2999999999999999E-4</v>
      </c>
      <c r="K223" t="s">
        <v>33123</v>
      </c>
      <c r="L223" t="s">
        <v>33125</v>
      </c>
      <c r="M223" t="s">
        <v>33141</v>
      </c>
      <c r="N223" t="s">
        <v>33127</v>
      </c>
      <c r="O223">
        <v>0.97929999999999995</v>
      </c>
    </row>
    <row r="224" spans="1:15" x14ac:dyDescent="0.75">
      <c r="A224" t="s">
        <v>2907</v>
      </c>
      <c r="B224" t="s">
        <v>2377</v>
      </c>
      <c r="C224" t="s">
        <v>2905</v>
      </c>
      <c r="D224" t="s">
        <v>33117</v>
      </c>
      <c r="E224">
        <v>2.2000000000000001E-4</v>
      </c>
      <c r="F224">
        <v>0.99906399999999995</v>
      </c>
      <c r="G224">
        <v>1.84E-4</v>
      </c>
      <c r="H224">
        <v>2.1499999999999999E-4</v>
      </c>
      <c r="I224">
        <v>1.63E-4</v>
      </c>
      <c r="J224">
        <v>1.6000000000000001E-4</v>
      </c>
      <c r="K224" t="s">
        <v>33123</v>
      </c>
      <c r="L224" t="s">
        <v>33125</v>
      </c>
      <c r="M224" t="s">
        <v>33136</v>
      </c>
      <c r="N224" t="s">
        <v>33127</v>
      </c>
      <c r="O224">
        <v>0.96509999999999996</v>
      </c>
    </row>
    <row r="225" spans="1:15" x14ac:dyDescent="0.75">
      <c r="A225" t="s">
        <v>2912</v>
      </c>
      <c r="B225" t="s">
        <v>2377</v>
      </c>
      <c r="C225" t="s">
        <v>2905</v>
      </c>
      <c r="D225" t="s">
        <v>33117</v>
      </c>
      <c r="E225">
        <v>2.5700000000000001E-4</v>
      </c>
      <c r="F225">
        <v>0.99892899999999996</v>
      </c>
      <c r="G225">
        <v>2.2100000000000001E-4</v>
      </c>
      <c r="H225">
        <v>2.4600000000000002E-4</v>
      </c>
      <c r="I225">
        <v>1.8699999999999999E-4</v>
      </c>
      <c r="J225">
        <v>1.7899999999999999E-4</v>
      </c>
      <c r="K225" t="s">
        <v>33123</v>
      </c>
      <c r="L225" t="s">
        <v>33125</v>
      </c>
      <c r="M225" t="s">
        <v>33135</v>
      </c>
      <c r="N225" t="s">
        <v>33127</v>
      </c>
      <c r="O225">
        <v>0.877</v>
      </c>
    </row>
    <row r="226" spans="1:15" x14ac:dyDescent="0.75">
      <c r="A226" t="s">
        <v>2929</v>
      </c>
      <c r="B226" t="s">
        <v>2742</v>
      </c>
      <c r="C226" t="s">
        <v>2915</v>
      </c>
      <c r="D226" t="s">
        <v>33116</v>
      </c>
      <c r="E226">
        <v>2.9E-5</v>
      </c>
      <c r="F226">
        <v>0.16656699999999999</v>
      </c>
      <c r="G226">
        <v>0.83335199999999998</v>
      </c>
      <c r="H226">
        <v>1.9000000000000001E-5</v>
      </c>
      <c r="I226">
        <v>1.8E-5</v>
      </c>
      <c r="J226">
        <v>1.8E-5</v>
      </c>
      <c r="K226" t="s">
        <v>33123</v>
      </c>
      <c r="L226" t="s">
        <v>33125</v>
      </c>
      <c r="M226" t="s">
        <v>33130</v>
      </c>
      <c r="N226" t="s">
        <v>33127</v>
      </c>
      <c r="O226">
        <v>0.80789999999999995</v>
      </c>
    </row>
    <row r="227" spans="1:15" x14ac:dyDescent="0.75">
      <c r="A227" t="s">
        <v>2917</v>
      </c>
      <c r="B227" t="s">
        <v>2742</v>
      </c>
      <c r="C227" t="s">
        <v>2915</v>
      </c>
      <c r="D227" t="s">
        <v>33117</v>
      </c>
      <c r="E227">
        <v>1.1604E-2</v>
      </c>
      <c r="F227">
        <v>0.82079800000000003</v>
      </c>
      <c r="G227">
        <v>0.16694200000000001</v>
      </c>
      <c r="H227">
        <v>2.33E-4</v>
      </c>
      <c r="I227">
        <v>2.0000000000000001E-4</v>
      </c>
      <c r="J227">
        <v>1.84E-4</v>
      </c>
      <c r="K227" t="s">
        <v>33123</v>
      </c>
      <c r="L227" t="s">
        <v>33125</v>
      </c>
      <c r="M227" t="s">
        <v>33133</v>
      </c>
      <c r="N227" t="s">
        <v>33127</v>
      </c>
      <c r="O227">
        <v>0.72230000000000005</v>
      </c>
    </row>
    <row r="228" spans="1:15" x14ac:dyDescent="0.75">
      <c r="A228" t="s">
        <v>2924</v>
      </c>
      <c r="B228" t="s">
        <v>2742</v>
      </c>
      <c r="C228" t="s">
        <v>2915</v>
      </c>
      <c r="D228" t="s">
        <v>33117</v>
      </c>
      <c r="E228">
        <v>1.8900000000000001E-4</v>
      </c>
      <c r="F228">
        <v>0.99917299999999998</v>
      </c>
      <c r="G228">
        <v>1.5899999999999999E-4</v>
      </c>
      <c r="H228">
        <v>1.7799999999999999E-4</v>
      </c>
      <c r="I228">
        <v>1.3899999999999999E-4</v>
      </c>
      <c r="J228">
        <v>1.46E-4</v>
      </c>
      <c r="K228" t="s">
        <v>33123</v>
      </c>
      <c r="L228" t="s">
        <v>33125</v>
      </c>
      <c r="M228" t="s">
        <v>33137</v>
      </c>
      <c r="N228" t="s">
        <v>33127</v>
      </c>
      <c r="O228">
        <v>0.97230000000000005</v>
      </c>
    </row>
    <row r="229" spans="1:15" x14ac:dyDescent="0.75">
      <c r="A229" t="s">
        <v>2926</v>
      </c>
      <c r="B229" t="s">
        <v>2742</v>
      </c>
      <c r="C229" t="s">
        <v>2915</v>
      </c>
      <c r="D229" t="s">
        <v>33117</v>
      </c>
      <c r="E229">
        <v>1.5699999999999999E-4</v>
      </c>
      <c r="F229">
        <v>0.99932699999999997</v>
      </c>
      <c r="G229">
        <v>1.3799999999999999E-4</v>
      </c>
      <c r="H229">
        <v>1.4799999999999999E-4</v>
      </c>
      <c r="I229">
        <v>1.1900000000000001E-4</v>
      </c>
      <c r="J229">
        <v>1.1900000000000001E-4</v>
      </c>
      <c r="K229" t="s">
        <v>33123</v>
      </c>
      <c r="L229" t="s">
        <v>33125</v>
      </c>
      <c r="M229" t="s">
        <v>33148</v>
      </c>
      <c r="N229" t="s">
        <v>33127</v>
      </c>
      <c r="O229">
        <v>0.9788</v>
      </c>
    </row>
    <row r="230" spans="1:15" x14ac:dyDescent="0.75">
      <c r="A230" t="s">
        <v>2950</v>
      </c>
      <c r="B230" t="s">
        <v>747</v>
      </c>
      <c r="C230" t="s">
        <v>2948</v>
      </c>
      <c r="D230" t="s">
        <v>33117</v>
      </c>
      <c r="E230">
        <v>2.5999999999999998E-4</v>
      </c>
      <c r="F230">
        <v>0.99885500000000005</v>
      </c>
      <c r="G230">
        <v>2.1599999999999999E-4</v>
      </c>
      <c r="H230">
        <v>2.7099999999999997E-4</v>
      </c>
      <c r="I230">
        <v>2.0699999999999999E-4</v>
      </c>
      <c r="J230">
        <v>1.94E-4</v>
      </c>
      <c r="K230" t="s">
        <v>33123</v>
      </c>
      <c r="L230" t="s">
        <v>33125</v>
      </c>
      <c r="M230" t="s">
        <v>33143</v>
      </c>
      <c r="N230" t="s">
        <v>33127</v>
      </c>
      <c r="O230">
        <v>0.96579999999999999</v>
      </c>
    </row>
    <row r="231" spans="1:15" x14ac:dyDescent="0.75">
      <c r="A231" t="s">
        <v>2955</v>
      </c>
      <c r="B231" t="s">
        <v>747</v>
      </c>
      <c r="C231" t="s">
        <v>2953</v>
      </c>
      <c r="D231" t="s">
        <v>33117</v>
      </c>
      <c r="E231">
        <v>2.5999999999999998E-4</v>
      </c>
      <c r="F231">
        <v>0.99885500000000005</v>
      </c>
      <c r="G231">
        <v>2.1599999999999999E-4</v>
      </c>
      <c r="H231">
        <v>2.7099999999999997E-4</v>
      </c>
      <c r="I231">
        <v>2.0699999999999999E-4</v>
      </c>
      <c r="J231">
        <v>1.94E-4</v>
      </c>
      <c r="K231" t="s">
        <v>33123</v>
      </c>
      <c r="L231" t="s">
        <v>33125</v>
      </c>
      <c r="M231" t="s">
        <v>33143</v>
      </c>
      <c r="N231" t="s">
        <v>33127</v>
      </c>
      <c r="O231">
        <v>0.96579999999999999</v>
      </c>
    </row>
    <row r="232" spans="1:15" x14ac:dyDescent="0.75">
      <c r="A232" t="s">
        <v>2960</v>
      </c>
      <c r="B232" t="s">
        <v>611</v>
      </c>
      <c r="C232" t="s">
        <v>2958</v>
      </c>
      <c r="D232" t="s">
        <v>33118</v>
      </c>
      <c r="E232">
        <v>1.64E-4</v>
      </c>
      <c r="F232">
        <v>0.49928600000000001</v>
      </c>
      <c r="G232">
        <v>1.2899999999999999E-4</v>
      </c>
      <c r="H232">
        <v>0.50018600000000002</v>
      </c>
      <c r="I232">
        <v>1.21E-4</v>
      </c>
      <c r="J232">
        <v>1.17E-4</v>
      </c>
      <c r="K232" t="s">
        <v>33123</v>
      </c>
      <c r="L232" t="s">
        <v>33125</v>
      </c>
      <c r="M232" t="s">
        <v>33143</v>
      </c>
      <c r="N232" t="s">
        <v>33127</v>
      </c>
      <c r="O232">
        <v>0.45119999999999999</v>
      </c>
    </row>
    <row r="233" spans="1:15" x14ac:dyDescent="0.75">
      <c r="A233" t="s">
        <v>2968</v>
      </c>
      <c r="B233" t="s">
        <v>2966</v>
      </c>
      <c r="C233" t="s">
        <v>2964</v>
      </c>
      <c r="D233" t="s">
        <v>33117</v>
      </c>
      <c r="E233">
        <v>4.7600000000000002E-4</v>
      </c>
      <c r="F233">
        <v>0.99131400000000003</v>
      </c>
      <c r="G233">
        <v>3.8000000000000002E-4</v>
      </c>
      <c r="H233">
        <v>7.0939999999999996E-3</v>
      </c>
      <c r="I233">
        <v>4.2400000000000001E-4</v>
      </c>
      <c r="J233">
        <v>3.4200000000000002E-4</v>
      </c>
      <c r="K233" t="s">
        <v>33123</v>
      </c>
      <c r="L233" t="s">
        <v>33125</v>
      </c>
      <c r="M233" t="s">
        <v>33136</v>
      </c>
      <c r="N233" t="s">
        <v>33127</v>
      </c>
      <c r="O233">
        <v>0.94569999999999999</v>
      </c>
    </row>
    <row r="234" spans="1:15" x14ac:dyDescent="0.75">
      <c r="A234" t="s">
        <v>2974</v>
      </c>
      <c r="B234" t="s">
        <v>154</v>
      </c>
      <c r="C234" t="s">
        <v>2972</v>
      </c>
      <c r="D234" t="s">
        <v>33117</v>
      </c>
      <c r="E234">
        <v>2.5300000000000002E-4</v>
      </c>
      <c r="F234">
        <v>0.99902299999999999</v>
      </c>
      <c r="G234">
        <v>2.12E-4</v>
      </c>
      <c r="H234">
        <v>1.9599999999999999E-4</v>
      </c>
      <c r="I234">
        <v>1.6799999999999999E-4</v>
      </c>
      <c r="J234">
        <v>1.5699999999999999E-4</v>
      </c>
      <c r="K234" t="s">
        <v>33123</v>
      </c>
      <c r="L234" t="s">
        <v>33125</v>
      </c>
      <c r="M234" t="s">
        <v>33131</v>
      </c>
      <c r="N234" t="s">
        <v>33127</v>
      </c>
      <c r="O234">
        <v>0.97740000000000005</v>
      </c>
    </row>
    <row r="235" spans="1:15" x14ac:dyDescent="0.75">
      <c r="A235" t="s">
        <v>2980</v>
      </c>
      <c r="B235" t="s">
        <v>154</v>
      </c>
      <c r="C235" t="s">
        <v>2978</v>
      </c>
      <c r="D235" t="s">
        <v>33117</v>
      </c>
      <c r="E235">
        <v>2.41E-4</v>
      </c>
      <c r="F235">
        <v>0.99904999999999999</v>
      </c>
      <c r="G235">
        <v>2.05E-4</v>
      </c>
      <c r="H235">
        <v>1.9100000000000001E-4</v>
      </c>
      <c r="I235">
        <v>1.6200000000000001E-4</v>
      </c>
      <c r="J235">
        <v>1.5699999999999999E-4</v>
      </c>
      <c r="K235" t="s">
        <v>33123</v>
      </c>
      <c r="L235" t="s">
        <v>33125</v>
      </c>
      <c r="M235" t="s">
        <v>33131</v>
      </c>
      <c r="N235" t="s">
        <v>33127</v>
      </c>
      <c r="O235">
        <v>0.97430000000000005</v>
      </c>
    </row>
    <row r="236" spans="1:15" x14ac:dyDescent="0.75">
      <c r="A236" t="s">
        <v>2986</v>
      </c>
      <c r="B236" t="s">
        <v>154</v>
      </c>
      <c r="C236" t="s">
        <v>2984</v>
      </c>
      <c r="D236" t="s">
        <v>33117</v>
      </c>
      <c r="E236">
        <v>3.01E-4</v>
      </c>
      <c r="F236">
        <v>0.99887700000000001</v>
      </c>
      <c r="G236">
        <v>2.5900000000000001E-4</v>
      </c>
      <c r="H236">
        <v>2.1599999999999999E-4</v>
      </c>
      <c r="I236">
        <v>1.9100000000000001E-4</v>
      </c>
      <c r="J236">
        <v>1.73E-4</v>
      </c>
      <c r="K236" t="s">
        <v>33123</v>
      </c>
      <c r="L236" t="s">
        <v>33125</v>
      </c>
      <c r="M236" t="s">
        <v>33131</v>
      </c>
      <c r="N236" t="s">
        <v>33127</v>
      </c>
      <c r="O236">
        <v>0.95660000000000001</v>
      </c>
    </row>
    <row r="237" spans="1:15" x14ac:dyDescent="0.75">
      <c r="A237" t="s">
        <v>2992</v>
      </c>
      <c r="B237" t="s">
        <v>154</v>
      </c>
      <c r="C237" t="s">
        <v>2990</v>
      </c>
      <c r="D237" t="s">
        <v>33117</v>
      </c>
      <c r="E237">
        <v>2.41E-4</v>
      </c>
      <c r="F237">
        <v>0.99904999999999999</v>
      </c>
      <c r="G237">
        <v>2.05E-4</v>
      </c>
      <c r="H237">
        <v>1.9100000000000001E-4</v>
      </c>
      <c r="I237">
        <v>1.6200000000000001E-4</v>
      </c>
      <c r="J237">
        <v>1.5699999999999999E-4</v>
      </c>
      <c r="K237" t="s">
        <v>33123</v>
      </c>
      <c r="L237" t="s">
        <v>33125</v>
      </c>
      <c r="M237" t="s">
        <v>33131</v>
      </c>
      <c r="N237" t="s">
        <v>33127</v>
      </c>
      <c r="O237">
        <v>0.97430000000000005</v>
      </c>
    </row>
    <row r="238" spans="1:15" x14ac:dyDescent="0.75">
      <c r="A238" t="s">
        <v>2998</v>
      </c>
      <c r="B238" t="s">
        <v>154</v>
      </c>
      <c r="C238" t="s">
        <v>2996</v>
      </c>
      <c r="D238" t="s">
        <v>33117</v>
      </c>
      <c r="E238">
        <v>1.7100000000000001E-4</v>
      </c>
      <c r="F238">
        <v>0.99926400000000004</v>
      </c>
      <c r="G238">
        <v>1.4899999999999999E-4</v>
      </c>
      <c r="H238">
        <v>1.5699999999999999E-4</v>
      </c>
      <c r="I238">
        <v>1.3200000000000001E-4</v>
      </c>
      <c r="J238">
        <v>1.2899999999999999E-4</v>
      </c>
      <c r="K238" t="s">
        <v>33123</v>
      </c>
      <c r="L238" t="s">
        <v>33125</v>
      </c>
      <c r="M238" t="s">
        <v>33140</v>
      </c>
      <c r="N238" t="s">
        <v>33127</v>
      </c>
      <c r="O238">
        <v>0.86980000000000002</v>
      </c>
    </row>
    <row r="239" spans="1:15" x14ac:dyDescent="0.75">
      <c r="A239" t="s">
        <v>3002</v>
      </c>
      <c r="B239" t="s">
        <v>154</v>
      </c>
      <c r="C239" t="s">
        <v>3000</v>
      </c>
      <c r="D239" t="s">
        <v>33117</v>
      </c>
      <c r="E239">
        <v>1.7100000000000001E-4</v>
      </c>
      <c r="F239">
        <v>0.99926400000000004</v>
      </c>
      <c r="G239">
        <v>1.4899999999999999E-4</v>
      </c>
      <c r="H239">
        <v>1.5699999999999999E-4</v>
      </c>
      <c r="I239">
        <v>1.3200000000000001E-4</v>
      </c>
      <c r="J239">
        <v>1.2899999999999999E-4</v>
      </c>
      <c r="K239" t="s">
        <v>33123</v>
      </c>
      <c r="L239" t="s">
        <v>33125</v>
      </c>
      <c r="M239" t="s">
        <v>33140</v>
      </c>
      <c r="N239" t="s">
        <v>33127</v>
      </c>
      <c r="O239">
        <v>0.86980000000000002</v>
      </c>
    </row>
    <row r="240" spans="1:15" x14ac:dyDescent="0.75">
      <c r="A240" t="s">
        <v>3008</v>
      </c>
      <c r="B240" t="s">
        <v>154</v>
      </c>
      <c r="C240" t="s">
        <v>3006</v>
      </c>
      <c r="D240" t="s">
        <v>33117</v>
      </c>
      <c r="E240">
        <v>2.8200000000000002E-4</v>
      </c>
      <c r="F240">
        <v>0.99896799999999997</v>
      </c>
      <c r="G240">
        <v>2.31E-4</v>
      </c>
      <c r="H240">
        <v>2.0799999999999999E-4</v>
      </c>
      <c r="I240">
        <v>1.76E-4</v>
      </c>
      <c r="J240">
        <v>1.66E-4</v>
      </c>
      <c r="K240" t="s">
        <v>33123</v>
      </c>
      <c r="L240" t="s">
        <v>33125</v>
      </c>
      <c r="M240" t="s">
        <v>33149</v>
      </c>
      <c r="N240" t="s">
        <v>33127</v>
      </c>
      <c r="O240">
        <v>0.41149999999999998</v>
      </c>
    </row>
    <row r="241" spans="1:15" x14ac:dyDescent="0.75">
      <c r="A241" t="s">
        <v>3015</v>
      </c>
      <c r="B241" t="s">
        <v>154</v>
      </c>
      <c r="C241" t="s">
        <v>3013</v>
      </c>
      <c r="D241" t="s">
        <v>33117</v>
      </c>
      <c r="E241">
        <v>2.8899999999999998E-4</v>
      </c>
      <c r="F241">
        <v>0.99891300000000005</v>
      </c>
      <c r="G241">
        <v>2.4699999999999999E-4</v>
      </c>
      <c r="H241">
        <v>2.14E-4</v>
      </c>
      <c r="I241">
        <v>1.8599999999999999E-4</v>
      </c>
      <c r="J241">
        <v>1.7000000000000001E-4</v>
      </c>
      <c r="K241" t="s">
        <v>33123</v>
      </c>
      <c r="L241" t="s">
        <v>33125</v>
      </c>
      <c r="M241" t="s">
        <v>33131</v>
      </c>
      <c r="N241" t="s">
        <v>33127</v>
      </c>
      <c r="O241">
        <v>0.94779999999999998</v>
      </c>
    </row>
    <row r="242" spans="1:15" x14ac:dyDescent="0.75">
      <c r="A242" t="s">
        <v>3022</v>
      </c>
      <c r="B242" t="s">
        <v>154</v>
      </c>
      <c r="C242" t="s">
        <v>3020</v>
      </c>
      <c r="D242" t="s">
        <v>33117</v>
      </c>
      <c r="E242">
        <v>2.8899999999999998E-4</v>
      </c>
      <c r="F242">
        <v>0.99891300000000005</v>
      </c>
      <c r="G242">
        <v>2.4699999999999999E-4</v>
      </c>
      <c r="H242">
        <v>2.14E-4</v>
      </c>
      <c r="I242">
        <v>1.8599999999999999E-4</v>
      </c>
      <c r="J242">
        <v>1.7000000000000001E-4</v>
      </c>
      <c r="K242" t="s">
        <v>33123</v>
      </c>
      <c r="L242" t="s">
        <v>33125</v>
      </c>
      <c r="M242" t="s">
        <v>33131</v>
      </c>
      <c r="N242" t="s">
        <v>33127</v>
      </c>
      <c r="O242">
        <v>0.94779999999999998</v>
      </c>
    </row>
    <row r="243" spans="1:15" x14ac:dyDescent="0.75">
      <c r="A243" t="s">
        <v>3028</v>
      </c>
      <c r="B243" t="s">
        <v>560</v>
      </c>
      <c r="C243" t="s">
        <v>3026</v>
      </c>
      <c r="D243" t="s">
        <v>33117</v>
      </c>
      <c r="E243">
        <v>1.5899999999999999E-4</v>
      </c>
      <c r="F243">
        <v>0.99929400000000002</v>
      </c>
      <c r="G243">
        <v>1.4200000000000001E-4</v>
      </c>
      <c r="H243">
        <v>1.5300000000000001E-4</v>
      </c>
      <c r="I243">
        <v>1.2899999999999999E-4</v>
      </c>
      <c r="J243">
        <v>1.22E-4</v>
      </c>
      <c r="K243" t="s">
        <v>33123</v>
      </c>
      <c r="L243" t="s">
        <v>33125</v>
      </c>
      <c r="M243" t="s">
        <v>33140</v>
      </c>
      <c r="N243" t="s">
        <v>33127</v>
      </c>
      <c r="O243">
        <v>0.83760000000000001</v>
      </c>
    </row>
    <row r="244" spans="1:15" x14ac:dyDescent="0.75">
      <c r="A244" t="s">
        <v>3034</v>
      </c>
      <c r="B244" t="s">
        <v>154</v>
      </c>
      <c r="C244" t="s">
        <v>3032</v>
      </c>
      <c r="D244" t="s">
        <v>33117</v>
      </c>
      <c r="E244">
        <v>1.7100000000000001E-4</v>
      </c>
      <c r="F244">
        <v>0.99926400000000004</v>
      </c>
      <c r="G244">
        <v>1.4899999999999999E-4</v>
      </c>
      <c r="H244">
        <v>1.5699999999999999E-4</v>
      </c>
      <c r="I244">
        <v>1.3200000000000001E-4</v>
      </c>
      <c r="J244">
        <v>1.2899999999999999E-4</v>
      </c>
      <c r="K244" t="s">
        <v>33123</v>
      </c>
      <c r="L244" t="s">
        <v>33125</v>
      </c>
      <c r="M244" t="s">
        <v>33140</v>
      </c>
      <c r="N244" t="s">
        <v>33127</v>
      </c>
      <c r="O244">
        <v>0.86980000000000002</v>
      </c>
    </row>
    <row r="245" spans="1:15" x14ac:dyDescent="0.75">
      <c r="A245" t="s">
        <v>3038</v>
      </c>
      <c r="B245" t="s">
        <v>560</v>
      </c>
      <c r="C245" t="s">
        <v>3036</v>
      </c>
      <c r="D245" t="s">
        <v>33117</v>
      </c>
      <c r="E245">
        <v>1.4200000000000001E-4</v>
      </c>
      <c r="F245">
        <v>0.99936899999999995</v>
      </c>
      <c r="G245">
        <v>1.2E-4</v>
      </c>
      <c r="H245">
        <v>1.44E-4</v>
      </c>
      <c r="I245">
        <v>1.11E-4</v>
      </c>
      <c r="J245">
        <v>1.13E-4</v>
      </c>
      <c r="K245" t="s">
        <v>33123</v>
      </c>
      <c r="L245" t="s">
        <v>33125</v>
      </c>
      <c r="M245" t="s">
        <v>33140</v>
      </c>
      <c r="N245" t="s">
        <v>33127</v>
      </c>
      <c r="O245">
        <v>0.7228</v>
      </c>
    </row>
    <row r="246" spans="1:15" x14ac:dyDescent="0.75">
      <c r="A246" t="s">
        <v>3043</v>
      </c>
      <c r="B246" t="s">
        <v>560</v>
      </c>
      <c r="C246" t="s">
        <v>3041</v>
      </c>
      <c r="D246" t="s">
        <v>33117</v>
      </c>
      <c r="E246">
        <v>1.94E-4</v>
      </c>
      <c r="F246">
        <v>0.99912500000000004</v>
      </c>
      <c r="G246">
        <v>1.7699999999999999E-4</v>
      </c>
      <c r="H246">
        <v>1.83E-4</v>
      </c>
      <c r="I246">
        <v>1.5100000000000001E-4</v>
      </c>
      <c r="J246">
        <v>1.4899999999999999E-4</v>
      </c>
      <c r="K246" t="s">
        <v>33123</v>
      </c>
      <c r="L246" t="s">
        <v>33125</v>
      </c>
      <c r="M246" t="s">
        <v>33132</v>
      </c>
      <c r="N246" t="s">
        <v>33127</v>
      </c>
      <c r="O246">
        <v>0.94350000000000001</v>
      </c>
    </row>
    <row r="247" spans="1:15" x14ac:dyDescent="0.75">
      <c r="A247" t="s">
        <v>3049</v>
      </c>
      <c r="B247" t="s">
        <v>560</v>
      </c>
      <c r="C247" t="s">
        <v>3047</v>
      </c>
      <c r="D247" t="s">
        <v>33117</v>
      </c>
      <c r="E247">
        <v>1.94E-4</v>
      </c>
      <c r="F247">
        <v>0.99912500000000004</v>
      </c>
      <c r="G247">
        <v>1.7699999999999999E-4</v>
      </c>
      <c r="H247">
        <v>1.83E-4</v>
      </c>
      <c r="I247">
        <v>1.5100000000000001E-4</v>
      </c>
      <c r="J247">
        <v>1.4899999999999999E-4</v>
      </c>
      <c r="K247" t="s">
        <v>33123</v>
      </c>
      <c r="L247" t="s">
        <v>33125</v>
      </c>
      <c r="M247" t="s">
        <v>33132</v>
      </c>
      <c r="N247" t="s">
        <v>33127</v>
      </c>
      <c r="O247">
        <v>0.94350000000000001</v>
      </c>
    </row>
    <row r="248" spans="1:15" x14ac:dyDescent="0.75">
      <c r="A248" t="s">
        <v>3053</v>
      </c>
      <c r="B248" t="s">
        <v>560</v>
      </c>
      <c r="C248" t="s">
        <v>3051</v>
      </c>
      <c r="D248" t="s">
        <v>33117</v>
      </c>
      <c r="E248">
        <v>1.4799999999999999E-4</v>
      </c>
      <c r="F248">
        <v>0.99934400000000001</v>
      </c>
      <c r="G248">
        <v>1.26E-4</v>
      </c>
      <c r="H248">
        <v>1.47E-4</v>
      </c>
      <c r="I248">
        <v>1.15E-4</v>
      </c>
      <c r="J248">
        <v>1.15E-4</v>
      </c>
      <c r="K248" t="s">
        <v>33123</v>
      </c>
      <c r="L248" t="s">
        <v>33125</v>
      </c>
      <c r="M248" t="s">
        <v>33140</v>
      </c>
      <c r="N248" t="s">
        <v>33127</v>
      </c>
      <c r="O248">
        <v>0.80530000000000002</v>
      </c>
    </row>
    <row r="249" spans="1:15" x14ac:dyDescent="0.75">
      <c r="A249" t="s">
        <v>3056</v>
      </c>
      <c r="B249" t="s">
        <v>560</v>
      </c>
      <c r="C249" t="s">
        <v>3051</v>
      </c>
      <c r="D249" t="s">
        <v>33117</v>
      </c>
      <c r="E249">
        <v>3.1E-4</v>
      </c>
      <c r="F249">
        <v>0.99880899999999995</v>
      </c>
      <c r="G249">
        <v>2.6600000000000001E-4</v>
      </c>
      <c r="H249">
        <v>2.32E-4</v>
      </c>
      <c r="I249">
        <v>1.9699999999999999E-4</v>
      </c>
      <c r="J249">
        <v>1.8599999999999999E-4</v>
      </c>
      <c r="K249" t="s">
        <v>33123</v>
      </c>
      <c r="L249" t="s">
        <v>33125</v>
      </c>
      <c r="M249" t="s">
        <v>33131</v>
      </c>
      <c r="N249" t="s">
        <v>33127</v>
      </c>
      <c r="O249">
        <v>0.96109999999999995</v>
      </c>
    </row>
    <row r="250" spans="1:15" x14ac:dyDescent="0.75">
      <c r="A250" t="s">
        <v>3059</v>
      </c>
      <c r="B250" t="s">
        <v>560</v>
      </c>
      <c r="C250" t="s">
        <v>3057</v>
      </c>
      <c r="D250" t="s">
        <v>33117</v>
      </c>
      <c r="E250">
        <v>1.5200000000000001E-4</v>
      </c>
      <c r="F250">
        <v>0.99930699999999995</v>
      </c>
      <c r="G250">
        <v>1.37E-4</v>
      </c>
      <c r="H250">
        <v>1.5100000000000001E-4</v>
      </c>
      <c r="I250">
        <v>1.2300000000000001E-4</v>
      </c>
      <c r="J250">
        <v>1.1900000000000001E-4</v>
      </c>
      <c r="K250" t="s">
        <v>33123</v>
      </c>
      <c r="L250" t="s">
        <v>33125</v>
      </c>
      <c r="M250" t="s">
        <v>33140</v>
      </c>
      <c r="N250" t="s">
        <v>33127</v>
      </c>
      <c r="O250">
        <v>0.67820000000000003</v>
      </c>
    </row>
    <row r="251" spans="1:15" x14ac:dyDescent="0.75">
      <c r="A251" t="s">
        <v>3063</v>
      </c>
      <c r="B251" t="s">
        <v>560</v>
      </c>
      <c r="C251" t="s">
        <v>3061</v>
      </c>
      <c r="D251" t="s">
        <v>33117</v>
      </c>
      <c r="E251">
        <v>1.76E-4</v>
      </c>
      <c r="F251">
        <v>0.99919899999999995</v>
      </c>
      <c r="G251">
        <v>1.6000000000000001E-4</v>
      </c>
      <c r="H251">
        <v>1.7000000000000001E-4</v>
      </c>
      <c r="I251">
        <v>1.4100000000000001E-4</v>
      </c>
      <c r="J251">
        <v>1.3999999999999999E-4</v>
      </c>
      <c r="K251" t="s">
        <v>33123</v>
      </c>
      <c r="L251" t="s">
        <v>33125</v>
      </c>
      <c r="M251" t="s">
        <v>33132</v>
      </c>
      <c r="N251" t="s">
        <v>33127</v>
      </c>
      <c r="O251">
        <v>0.94259999999999999</v>
      </c>
    </row>
    <row r="252" spans="1:15" x14ac:dyDescent="0.75">
      <c r="A252" t="s">
        <v>3067</v>
      </c>
      <c r="B252" t="s">
        <v>463</v>
      </c>
      <c r="C252" t="s">
        <v>3065</v>
      </c>
      <c r="D252" t="s">
        <v>33117</v>
      </c>
      <c r="E252">
        <v>0.321349</v>
      </c>
      <c r="F252">
        <v>0.67819600000000002</v>
      </c>
      <c r="G252">
        <v>1.6100000000000001E-4</v>
      </c>
      <c r="H252">
        <v>1.21E-4</v>
      </c>
      <c r="I252">
        <v>1.11E-4</v>
      </c>
      <c r="J252">
        <v>1.0399999999999999E-4</v>
      </c>
      <c r="K252" t="s">
        <v>33123</v>
      </c>
      <c r="L252" t="s">
        <v>33125</v>
      </c>
      <c r="M252" t="s">
        <v>33139</v>
      </c>
      <c r="N252" t="s">
        <v>33127</v>
      </c>
      <c r="O252">
        <v>0.64910000000000001</v>
      </c>
    </row>
    <row r="253" spans="1:15" x14ac:dyDescent="0.75">
      <c r="A253" t="s">
        <v>3128</v>
      </c>
      <c r="B253" t="s">
        <v>815</v>
      </c>
      <c r="C253" t="s">
        <v>3126</v>
      </c>
      <c r="D253" t="s">
        <v>33117</v>
      </c>
      <c r="E253">
        <v>1.8900000000000001E-4</v>
      </c>
      <c r="F253">
        <v>0.99922</v>
      </c>
      <c r="G253">
        <v>1.7699999999999999E-4</v>
      </c>
      <c r="H253">
        <v>1.6000000000000001E-4</v>
      </c>
      <c r="I253">
        <v>1.3899999999999999E-4</v>
      </c>
      <c r="J253">
        <v>1.3200000000000001E-4</v>
      </c>
      <c r="K253" t="s">
        <v>33123</v>
      </c>
      <c r="L253" t="s">
        <v>33125</v>
      </c>
      <c r="M253" t="s">
        <v>33140</v>
      </c>
      <c r="N253" t="s">
        <v>33127</v>
      </c>
      <c r="O253">
        <v>0.97650000000000003</v>
      </c>
    </row>
    <row r="254" spans="1:15" x14ac:dyDescent="0.75">
      <c r="A254" t="s">
        <v>3132</v>
      </c>
      <c r="B254" t="s">
        <v>815</v>
      </c>
      <c r="C254" t="s">
        <v>3126</v>
      </c>
      <c r="D254" t="s">
        <v>33116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 t="s">
        <v>33123</v>
      </c>
      <c r="L254" t="s">
        <v>33125</v>
      </c>
      <c r="M254" t="s">
        <v>33129</v>
      </c>
      <c r="N254" t="s">
        <v>33127</v>
      </c>
      <c r="O254">
        <v>0.99399999999999999</v>
      </c>
    </row>
    <row r="255" spans="1:15" x14ac:dyDescent="0.75">
      <c r="A255" t="s">
        <v>3137</v>
      </c>
      <c r="B255" t="s">
        <v>815</v>
      </c>
      <c r="C255" t="s">
        <v>3126</v>
      </c>
      <c r="D255" t="s">
        <v>33116</v>
      </c>
      <c r="E255">
        <v>8.6000000000000003E-5</v>
      </c>
      <c r="F255">
        <v>0.166439</v>
      </c>
      <c r="G255">
        <v>0.83341299999999996</v>
      </c>
      <c r="H255">
        <v>3.3000000000000003E-5</v>
      </c>
      <c r="I255">
        <v>2.9E-5</v>
      </c>
      <c r="J255">
        <v>3.0000000000000001E-5</v>
      </c>
      <c r="K255" t="s">
        <v>33123</v>
      </c>
      <c r="L255" t="s">
        <v>33125</v>
      </c>
      <c r="M255" t="s">
        <v>33128</v>
      </c>
      <c r="N255" t="s">
        <v>33127</v>
      </c>
      <c r="O255">
        <v>0.83069999999999999</v>
      </c>
    </row>
    <row r="256" spans="1:15" x14ac:dyDescent="0.75">
      <c r="A256" t="s">
        <v>3146</v>
      </c>
      <c r="B256" t="s">
        <v>815</v>
      </c>
      <c r="C256" t="s">
        <v>3140</v>
      </c>
      <c r="D256" t="s">
        <v>33116</v>
      </c>
      <c r="E256">
        <v>0</v>
      </c>
      <c r="F256">
        <v>0</v>
      </c>
      <c r="G256">
        <v>1</v>
      </c>
      <c r="H256">
        <v>0</v>
      </c>
      <c r="I256">
        <v>0</v>
      </c>
      <c r="J256">
        <v>0</v>
      </c>
      <c r="K256" t="s">
        <v>33123</v>
      </c>
      <c r="L256" t="s">
        <v>33125</v>
      </c>
      <c r="M256" t="s">
        <v>33128</v>
      </c>
      <c r="N256" t="s">
        <v>33127</v>
      </c>
      <c r="O256">
        <v>0.99670000000000003</v>
      </c>
    </row>
    <row r="257" spans="1:15" x14ac:dyDescent="0.75">
      <c r="A257" t="s">
        <v>3142</v>
      </c>
      <c r="B257" t="s">
        <v>815</v>
      </c>
      <c r="C257" t="s">
        <v>3140</v>
      </c>
      <c r="D257" t="s">
        <v>33116</v>
      </c>
      <c r="E257">
        <v>0</v>
      </c>
      <c r="F257">
        <v>0</v>
      </c>
      <c r="G257">
        <v>1</v>
      </c>
      <c r="H257">
        <v>0</v>
      </c>
      <c r="I257">
        <v>0</v>
      </c>
      <c r="J257">
        <v>0</v>
      </c>
      <c r="K257" t="s">
        <v>33123</v>
      </c>
      <c r="L257" t="s">
        <v>33125</v>
      </c>
      <c r="M257" t="s">
        <v>33129</v>
      </c>
      <c r="N257" t="s">
        <v>33127</v>
      </c>
      <c r="O257">
        <v>0.99429999999999996</v>
      </c>
    </row>
    <row r="258" spans="1:15" x14ac:dyDescent="0.75">
      <c r="A258" t="s">
        <v>3151</v>
      </c>
      <c r="B258" t="s">
        <v>815</v>
      </c>
      <c r="C258" t="s">
        <v>3140</v>
      </c>
      <c r="D258" t="s">
        <v>33117</v>
      </c>
      <c r="E258">
        <v>2.1599999999999999E-4</v>
      </c>
      <c r="F258">
        <v>0.99914599999999998</v>
      </c>
      <c r="G258">
        <v>1.94E-4</v>
      </c>
      <c r="H258">
        <v>1.75E-4</v>
      </c>
      <c r="I258">
        <v>1.47E-4</v>
      </c>
      <c r="J258">
        <v>1.44E-4</v>
      </c>
      <c r="K258" t="s">
        <v>33123</v>
      </c>
      <c r="L258" t="s">
        <v>33125</v>
      </c>
      <c r="M258" t="s">
        <v>33140</v>
      </c>
      <c r="N258" t="s">
        <v>33127</v>
      </c>
      <c r="O258">
        <v>0.97250000000000003</v>
      </c>
    </row>
    <row r="259" spans="1:15" x14ac:dyDescent="0.75">
      <c r="A259" t="s">
        <v>3160</v>
      </c>
      <c r="B259" t="s">
        <v>393</v>
      </c>
      <c r="C259" t="s">
        <v>3158</v>
      </c>
      <c r="D259" t="s">
        <v>33118</v>
      </c>
      <c r="E259">
        <v>0</v>
      </c>
      <c r="F259">
        <v>0</v>
      </c>
      <c r="G259">
        <v>0</v>
      </c>
      <c r="H259">
        <v>0.99999800000000005</v>
      </c>
      <c r="I259">
        <v>0</v>
      </c>
      <c r="J259">
        <v>0</v>
      </c>
      <c r="K259" t="s">
        <v>33123</v>
      </c>
      <c r="L259" t="s">
        <v>33125</v>
      </c>
      <c r="M259" t="s">
        <v>33137</v>
      </c>
      <c r="N259" t="s">
        <v>33127</v>
      </c>
      <c r="O259">
        <v>0.92769999999999997</v>
      </c>
    </row>
    <row r="260" spans="1:15" x14ac:dyDescent="0.75">
      <c r="A260" t="s">
        <v>3207</v>
      </c>
      <c r="B260" t="s">
        <v>815</v>
      </c>
      <c r="C260" t="s">
        <v>3202</v>
      </c>
      <c r="D260" t="s">
        <v>33116</v>
      </c>
      <c r="E260">
        <v>2.5000000000000001E-5</v>
      </c>
      <c r="F260">
        <v>0.16658300000000001</v>
      </c>
      <c r="G260">
        <v>0.83338299999999998</v>
      </c>
      <c r="H260">
        <v>1.7E-5</v>
      </c>
      <c r="I260">
        <v>1.5E-5</v>
      </c>
      <c r="J260">
        <v>1.7E-5</v>
      </c>
      <c r="K260" t="s">
        <v>33123</v>
      </c>
      <c r="L260" t="s">
        <v>33125</v>
      </c>
      <c r="M260" t="s">
        <v>33128</v>
      </c>
      <c r="N260" t="s">
        <v>33127</v>
      </c>
      <c r="O260">
        <v>0.83009999999999995</v>
      </c>
    </row>
    <row r="261" spans="1:15" x14ac:dyDescent="0.75">
      <c r="A261" t="s">
        <v>3211</v>
      </c>
      <c r="B261" t="s">
        <v>815</v>
      </c>
      <c r="C261" t="s">
        <v>3202</v>
      </c>
      <c r="D261" t="s">
        <v>33116</v>
      </c>
      <c r="E261">
        <v>0</v>
      </c>
      <c r="F261">
        <v>0</v>
      </c>
      <c r="G261">
        <v>1</v>
      </c>
      <c r="H261">
        <v>0</v>
      </c>
      <c r="I261">
        <v>0</v>
      </c>
      <c r="J261">
        <v>0</v>
      </c>
      <c r="K261" t="s">
        <v>33123</v>
      </c>
      <c r="L261" t="s">
        <v>33125</v>
      </c>
      <c r="M261" t="s">
        <v>33129</v>
      </c>
      <c r="N261" t="s">
        <v>33127</v>
      </c>
      <c r="O261">
        <v>0.99409999999999998</v>
      </c>
    </row>
    <row r="262" spans="1:15" x14ac:dyDescent="0.75">
      <c r="A262" t="s">
        <v>3204</v>
      </c>
      <c r="B262" t="s">
        <v>815</v>
      </c>
      <c r="C262" t="s">
        <v>3202</v>
      </c>
      <c r="D262" t="s">
        <v>33117</v>
      </c>
      <c r="E262">
        <v>2.03E-4</v>
      </c>
      <c r="F262">
        <v>0.99917500000000004</v>
      </c>
      <c r="G262">
        <v>1.8699999999999999E-4</v>
      </c>
      <c r="H262">
        <v>1.7100000000000001E-4</v>
      </c>
      <c r="I262">
        <v>1.44E-4</v>
      </c>
      <c r="J262">
        <v>1.4200000000000001E-4</v>
      </c>
      <c r="K262" t="s">
        <v>33123</v>
      </c>
      <c r="L262" t="s">
        <v>33125</v>
      </c>
      <c r="M262" t="s">
        <v>33140</v>
      </c>
      <c r="N262" t="s">
        <v>33127</v>
      </c>
      <c r="O262">
        <v>0.97419999999999995</v>
      </c>
    </row>
    <row r="263" spans="1:15" x14ac:dyDescent="0.75">
      <c r="A263" t="s">
        <v>3217</v>
      </c>
      <c r="B263" t="s">
        <v>815</v>
      </c>
      <c r="C263" t="s">
        <v>3215</v>
      </c>
      <c r="D263" t="s">
        <v>33117</v>
      </c>
      <c r="E263">
        <v>1.9000000000000001E-4</v>
      </c>
      <c r="F263">
        <v>0.99920799999999999</v>
      </c>
      <c r="G263">
        <v>1.74E-4</v>
      </c>
      <c r="H263">
        <v>1.5899999999999999E-4</v>
      </c>
      <c r="I263">
        <v>1.3799999999999999E-4</v>
      </c>
      <c r="J263">
        <v>1.3100000000000001E-4</v>
      </c>
      <c r="K263" t="s">
        <v>33123</v>
      </c>
      <c r="L263" t="s">
        <v>33125</v>
      </c>
      <c r="M263" t="s">
        <v>33140</v>
      </c>
      <c r="N263" t="s">
        <v>33127</v>
      </c>
      <c r="O263">
        <v>0.97670000000000001</v>
      </c>
    </row>
    <row r="264" spans="1:15" x14ac:dyDescent="0.75">
      <c r="A264" t="s">
        <v>3219</v>
      </c>
      <c r="B264" t="s">
        <v>815</v>
      </c>
      <c r="C264" t="s">
        <v>3215</v>
      </c>
      <c r="D264" t="s">
        <v>33116</v>
      </c>
      <c r="E264">
        <v>0</v>
      </c>
      <c r="F264">
        <v>0</v>
      </c>
      <c r="G264">
        <v>1</v>
      </c>
      <c r="H264">
        <v>0</v>
      </c>
      <c r="I264">
        <v>0</v>
      </c>
      <c r="J264">
        <v>0</v>
      </c>
      <c r="K264" t="s">
        <v>33123</v>
      </c>
      <c r="L264" t="s">
        <v>33125</v>
      </c>
      <c r="M264" t="s">
        <v>33129</v>
      </c>
      <c r="N264" t="s">
        <v>33127</v>
      </c>
      <c r="O264">
        <v>0.99409999999999998</v>
      </c>
    </row>
    <row r="265" spans="1:15" x14ac:dyDescent="0.75">
      <c r="A265" t="s">
        <v>3223</v>
      </c>
      <c r="B265" t="s">
        <v>815</v>
      </c>
      <c r="C265" t="s">
        <v>3215</v>
      </c>
      <c r="D265" t="s">
        <v>33116</v>
      </c>
      <c r="E265">
        <v>2.6999999999999999E-5</v>
      </c>
      <c r="F265">
        <v>0.166575</v>
      </c>
      <c r="G265">
        <v>0.83337700000000003</v>
      </c>
      <c r="H265">
        <v>1.8E-5</v>
      </c>
      <c r="I265">
        <v>1.5E-5</v>
      </c>
      <c r="J265">
        <v>1.7E-5</v>
      </c>
      <c r="K265" t="s">
        <v>33123</v>
      </c>
      <c r="L265" t="s">
        <v>33125</v>
      </c>
      <c r="M265" t="s">
        <v>33128</v>
      </c>
      <c r="N265" t="s">
        <v>33127</v>
      </c>
      <c r="O265">
        <v>0.83079999999999998</v>
      </c>
    </row>
    <row r="266" spans="1:15" x14ac:dyDescent="0.75">
      <c r="A266" t="s">
        <v>3228</v>
      </c>
      <c r="B266" t="s">
        <v>815</v>
      </c>
      <c r="C266" t="s">
        <v>3226</v>
      </c>
      <c r="D266" t="s">
        <v>33116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0</v>
      </c>
      <c r="K266" t="s">
        <v>33123</v>
      </c>
      <c r="L266" t="s">
        <v>33125</v>
      </c>
      <c r="M266" t="s">
        <v>33129</v>
      </c>
      <c r="N266" t="s">
        <v>33127</v>
      </c>
      <c r="O266">
        <v>0.99399999999999999</v>
      </c>
    </row>
    <row r="267" spans="1:15" x14ac:dyDescent="0.75">
      <c r="A267" t="s">
        <v>3234</v>
      </c>
      <c r="B267" t="s">
        <v>815</v>
      </c>
      <c r="C267" t="s">
        <v>3226</v>
      </c>
      <c r="D267" t="s">
        <v>33117</v>
      </c>
      <c r="E267">
        <v>2.0699999999999999E-4</v>
      </c>
      <c r="F267">
        <v>0.999197</v>
      </c>
      <c r="G267">
        <v>1.8100000000000001E-4</v>
      </c>
      <c r="H267">
        <v>1.66E-4</v>
      </c>
      <c r="I267">
        <v>1.36E-4</v>
      </c>
      <c r="J267">
        <v>1.36E-4</v>
      </c>
      <c r="K267" t="s">
        <v>33123</v>
      </c>
      <c r="L267" t="s">
        <v>33125</v>
      </c>
      <c r="M267" t="s">
        <v>33126</v>
      </c>
      <c r="N267" t="s">
        <v>33127</v>
      </c>
      <c r="O267">
        <v>0.97460000000000002</v>
      </c>
    </row>
    <row r="268" spans="1:15" x14ac:dyDescent="0.75">
      <c r="A268" t="s">
        <v>3237</v>
      </c>
      <c r="B268" t="s">
        <v>815</v>
      </c>
      <c r="C268" t="s">
        <v>3235</v>
      </c>
      <c r="D268" t="s">
        <v>33116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 t="s">
        <v>33123</v>
      </c>
      <c r="L268" t="s">
        <v>33125</v>
      </c>
      <c r="M268" t="s">
        <v>33129</v>
      </c>
      <c r="N268" t="s">
        <v>33127</v>
      </c>
      <c r="O268">
        <v>0.99399999999999999</v>
      </c>
    </row>
    <row r="269" spans="1:15" x14ac:dyDescent="0.75">
      <c r="A269" t="s">
        <v>3242</v>
      </c>
      <c r="B269" t="s">
        <v>815</v>
      </c>
      <c r="C269" t="s">
        <v>3235</v>
      </c>
      <c r="D269" t="s">
        <v>33117</v>
      </c>
      <c r="E269">
        <v>1.8799999999999999E-4</v>
      </c>
      <c r="F269">
        <v>0.99924400000000002</v>
      </c>
      <c r="G269">
        <v>1.6799999999999999E-4</v>
      </c>
      <c r="H269">
        <v>1.5699999999999999E-4</v>
      </c>
      <c r="I269">
        <v>1.3100000000000001E-4</v>
      </c>
      <c r="J269">
        <v>1.2799999999999999E-4</v>
      </c>
      <c r="K269" t="s">
        <v>33123</v>
      </c>
      <c r="L269" t="s">
        <v>33125</v>
      </c>
      <c r="M269" t="s">
        <v>33126</v>
      </c>
      <c r="N269" t="s">
        <v>33127</v>
      </c>
      <c r="O269">
        <v>0.97719999999999996</v>
      </c>
    </row>
    <row r="270" spans="1:15" x14ac:dyDescent="0.75">
      <c r="A270" t="s">
        <v>3244</v>
      </c>
      <c r="B270" t="s">
        <v>815</v>
      </c>
      <c r="C270" t="s">
        <v>3235</v>
      </c>
      <c r="D270" t="s">
        <v>33116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0</v>
      </c>
      <c r="K270" t="s">
        <v>33123</v>
      </c>
      <c r="L270" t="s">
        <v>33125</v>
      </c>
      <c r="M270" t="s">
        <v>33128</v>
      </c>
      <c r="N270" t="s">
        <v>33127</v>
      </c>
      <c r="O270">
        <v>0.99670000000000003</v>
      </c>
    </row>
    <row r="271" spans="1:15" x14ac:dyDescent="0.75">
      <c r="A271" t="s">
        <v>3249</v>
      </c>
      <c r="B271" t="s">
        <v>815</v>
      </c>
      <c r="C271" t="s">
        <v>3247</v>
      </c>
      <c r="D271" t="s">
        <v>33116</v>
      </c>
      <c r="E271">
        <v>2.6999999999999999E-5</v>
      </c>
      <c r="F271">
        <v>0.166575</v>
      </c>
      <c r="G271">
        <v>0.83337700000000003</v>
      </c>
      <c r="H271">
        <v>1.8E-5</v>
      </c>
      <c r="I271">
        <v>1.5E-5</v>
      </c>
      <c r="J271">
        <v>1.7E-5</v>
      </c>
      <c r="K271" t="s">
        <v>33123</v>
      </c>
      <c r="L271" t="s">
        <v>33125</v>
      </c>
      <c r="M271" t="s">
        <v>33128</v>
      </c>
      <c r="N271" t="s">
        <v>33127</v>
      </c>
      <c r="O271">
        <v>0.83079999999999998</v>
      </c>
    </row>
    <row r="272" spans="1:15" x14ac:dyDescent="0.75">
      <c r="A272" t="s">
        <v>3253</v>
      </c>
      <c r="B272" t="s">
        <v>815</v>
      </c>
      <c r="C272" t="s">
        <v>3247</v>
      </c>
      <c r="D272" t="s">
        <v>33117</v>
      </c>
      <c r="E272">
        <v>1.9000000000000001E-4</v>
      </c>
      <c r="F272">
        <v>0.99920799999999999</v>
      </c>
      <c r="G272">
        <v>1.74E-4</v>
      </c>
      <c r="H272">
        <v>1.5899999999999999E-4</v>
      </c>
      <c r="I272">
        <v>1.3799999999999999E-4</v>
      </c>
      <c r="J272">
        <v>1.3100000000000001E-4</v>
      </c>
      <c r="K272" t="s">
        <v>33123</v>
      </c>
      <c r="L272" t="s">
        <v>33125</v>
      </c>
      <c r="M272" t="s">
        <v>33140</v>
      </c>
      <c r="N272" t="s">
        <v>33127</v>
      </c>
      <c r="O272">
        <v>0.97670000000000001</v>
      </c>
    </row>
    <row r="273" spans="1:15" x14ac:dyDescent="0.75">
      <c r="A273" t="s">
        <v>3255</v>
      </c>
      <c r="B273" t="s">
        <v>815</v>
      </c>
      <c r="C273" t="s">
        <v>3247</v>
      </c>
      <c r="D273" t="s">
        <v>33116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 t="s">
        <v>33123</v>
      </c>
      <c r="L273" t="s">
        <v>33125</v>
      </c>
      <c r="M273" t="s">
        <v>33129</v>
      </c>
      <c r="N273" t="s">
        <v>33127</v>
      </c>
      <c r="O273">
        <v>0.99409999999999998</v>
      </c>
    </row>
    <row r="274" spans="1:15" x14ac:dyDescent="0.75">
      <c r="A274" t="s">
        <v>3312</v>
      </c>
      <c r="B274" t="s">
        <v>2049</v>
      </c>
      <c r="C274" t="s">
        <v>3310</v>
      </c>
      <c r="D274" t="s">
        <v>33116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0</v>
      </c>
      <c r="K274" t="s">
        <v>33123</v>
      </c>
      <c r="L274" t="s">
        <v>33125</v>
      </c>
      <c r="M274" t="s">
        <v>33134</v>
      </c>
      <c r="N274" t="s">
        <v>33127</v>
      </c>
      <c r="O274">
        <v>0.99739999999999995</v>
      </c>
    </row>
    <row r="275" spans="1:15" x14ac:dyDescent="0.75">
      <c r="A275" t="s">
        <v>3338</v>
      </c>
      <c r="B275" t="s">
        <v>276</v>
      </c>
      <c r="C275" t="s">
        <v>3336</v>
      </c>
      <c r="D275" t="s">
        <v>33117</v>
      </c>
      <c r="E275">
        <v>5.3200000000000003E-4</v>
      </c>
      <c r="F275">
        <v>0.99822</v>
      </c>
      <c r="G275">
        <v>4.2000000000000002E-4</v>
      </c>
      <c r="H275">
        <v>3.0699999999999998E-4</v>
      </c>
      <c r="I275">
        <v>2.8600000000000001E-4</v>
      </c>
      <c r="J275">
        <v>2.4499999999999999E-4</v>
      </c>
      <c r="K275" t="s">
        <v>33123</v>
      </c>
      <c r="L275" t="s">
        <v>33125</v>
      </c>
      <c r="M275" t="s">
        <v>33131</v>
      </c>
      <c r="N275" t="s">
        <v>33127</v>
      </c>
      <c r="O275">
        <v>0.88890000000000002</v>
      </c>
    </row>
    <row r="276" spans="1:15" x14ac:dyDescent="0.75">
      <c r="A276" t="s">
        <v>3343</v>
      </c>
      <c r="B276" t="s">
        <v>154</v>
      </c>
      <c r="C276" t="s">
        <v>3341</v>
      </c>
      <c r="D276" t="s">
        <v>33117</v>
      </c>
      <c r="E276">
        <v>1.7100000000000001E-4</v>
      </c>
      <c r="F276">
        <v>0.99926400000000004</v>
      </c>
      <c r="G276">
        <v>1.4899999999999999E-4</v>
      </c>
      <c r="H276">
        <v>1.5699999999999999E-4</v>
      </c>
      <c r="I276">
        <v>1.3200000000000001E-4</v>
      </c>
      <c r="J276">
        <v>1.2899999999999999E-4</v>
      </c>
      <c r="K276" t="s">
        <v>33123</v>
      </c>
      <c r="L276" t="s">
        <v>33125</v>
      </c>
      <c r="M276" t="s">
        <v>33140</v>
      </c>
      <c r="N276" t="s">
        <v>33127</v>
      </c>
      <c r="O276">
        <v>0.86980000000000002</v>
      </c>
    </row>
    <row r="277" spans="1:15" x14ac:dyDescent="0.75">
      <c r="A277" t="s">
        <v>3348</v>
      </c>
      <c r="B277" t="s">
        <v>154</v>
      </c>
      <c r="C277" t="s">
        <v>3346</v>
      </c>
      <c r="D277" t="s">
        <v>33117</v>
      </c>
      <c r="E277">
        <v>1.7100000000000001E-4</v>
      </c>
      <c r="F277">
        <v>0.99926400000000004</v>
      </c>
      <c r="G277">
        <v>1.4899999999999999E-4</v>
      </c>
      <c r="H277">
        <v>1.5699999999999999E-4</v>
      </c>
      <c r="I277">
        <v>1.3200000000000001E-4</v>
      </c>
      <c r="J277">
        <v>1.2899999999999999E-4</v>
      </c>
      <c r="K277" t="s">
        <v>33123</v>
      </c>
      <c r="L277" t="s">
        <v>33125</v>
      </c>
      <c r="M277" t="s">
        <v>33140</v>
      </c>
      <c r="N277" t="s">
        <v>33127</v>
      </c>
      <c r="O277">
        <v>0.86980000000000002</v>
      </c>
    </row>
    <row r="278" spans="1:15" x14ac:dyDescent="0.75">
      <c r="A278" t="s">
        <v>3353</v>
      </c>
      <c r="B278" t="s">
        <v>154</v>
      </c>
      <c r="C278" t="s">
        <v>3351</v>
      </c>
      <c r="D278" t="s">
        <v>33117</v>
      </c>
      <c r="E278">
        <v>2.5999999999999998E-4</v>
      </c>
      <c r="F278">
        <v>0.99900699999999998</v>
      </c>
      <c r="G278">
        <v>2.1699999999999999E-4</v>
      </c>
      <c r="H278">
        <v>1.9799999999999999E-4</v>
      </c>
      <c r="I278">
        <v>1.6899999999999999E-4</v>
      </c>
      <c r="J278">
        <v>1.6000000000000001E-4</v>
      </c>
      <c r="K278" t="s">
        <v>33123</v>
      </c>
      <c r="L278" t="s">
        <v>33125</v>
      </c>
      <c r="M278" t="s">
        <v>33131</v>
      </c>
      <c r="N278" t="s">
        <v>33127</v>
      </c>
      <c r="O278">
        <v>0.97509999999999997</v>
      </c>
    </row>
    <row r="279" spans="1:15" x14ac:dyDescent="0.75">
      <c r="A279" t="s">
        <v>3363</v>
      </c>
      <c r="B279" t="s">
        <v>154</v>
      </c>
      <c r="C279" t="s">
        <v>3358</v>
      </c>
      <c r="D279" t="s">
        <v>33117</v>
      </c>
      <c r="E279">
        <v>1.8000000000000001E-4</v>
      </c>
      <c r="F279">
        <v>0.66598199999999996</v>
      </c>
      <c r="G279">
        <v>0.33347500000000002</v>
      </c>
      <c r="H279">
        <v>1.4200000000000001E-4</v>
      </c>
      <c r="I279">
        <v>1.11E-4</v>
      </c>
      <c r="J279">
        <v>1.08E-4</v>
      </c>
      <c r="K279" t="s">
        <v>33123</v>
      </c>
      <c r="L279" t="s">
        <v>33125</v>
      </c>
      <c r="M279" t="s">
        <v>33145</v>
      </c>
      <c r="N279" t="s">
        <v>33127</v>
      </c>
      <c r="O279">
        <v>0.64349999999999996</v>
      </c>
    </row>
    <row r="280" spans="1:15" x14ac:dyDescent="0.75">
      <c r="A280" t="s">
        <v>3360</v>
      </c>
      <c r="B280" t="s">
        <v>154</v>
      </c>
      <c r="C280" t="s">
        <v>3358</v>
      </c>
      <c r="D280" t="s">
        <v>33117</v>
      </c>
      <c r="E280">
        <v>2.4699999999999999E-4</v>
      </c>
      <c r="F280">
        <v>0.99905200000000005</v>
      </c>
      <c r="G280">
        <v>2.02E-4</v>
      </c>
      <c r="H280">
        <v>1.92E-4</v>
      </c>
      <c r="I280">
        <v>1.5899999999999999E-4</v>
      </c>
      <c r="J280">
        <v>1.5899999999999999E-4</v>
      </c>
      <c r="K280" t="s">
        <v>33123</v>
      </c>
      <c r="L280" t="s">
        <v>33125</v>
      </c>
      <c r="M280" t="s">
        <v>33149</v>
      </c>
      <c r="N280" t="s">
        <v>33127</v>
      </c>
      <c r="O280">
        <v>0.41160000000000002</v>
      </c>
    </row>
    <row r="281" spans="1:15" x14ac:dyDescent="0.75">
      <c r="A281" t="s">
        <v>3377</v>
      </c>
      <c r="B281" t="s">
        <v>154</v>
      </c>
      <c r="C281" t="s">
        <v>3370</v>
      </c>
      <c r="D281" t="s">
        <v>33117</v>
      </c>
      <c r="E281">
        <v>2.6200000000000003E-4</v>
      </c>
      <c r="F281">
        <v>0.99900199999999995</v>
      </c>
      <c r="G281">
        <v>2.2100000000000001E-4</v>
      </c>
      <c r="H281">
        <v>2.0100000000000001E-4</v>
      </c>
      <c r="I281">
        <v>1.74E-4</v>
      </c>
      <c r="J281">
        <v>1.6100000000000001E-4</v>
      </c>
      <c r="K281" t="s">
        <v>33123</v>
      </c>
      <c r="L281" t="s">
        <v>33125</v>
      </c>
      <c r="M281" t="s">
        <v>33131</v>
      </c>
      <c r="N281" t="s">
        <v>33127</v>
      </c>
      <c r="O281">
        <v>0.97519999999999996</v>
      </c>
    </row>
    <row r="282" spans="1:15" x14ac:dyDescent="0.75">
      <c r="A282" t="s">
        <v>3372</v>
      </c>
      <c r="B282" t="s">
        <v>154</v>
      </c>
      <c r="C282" t="s">
        <v>3370</v>
      </c>
      <c r="D282" t="s">
        <v>33117</v>
      </c>
      <c r="E282">
        <v>1.8000000000000001E-4</v>
      </c>
      <c r="F282">
        <v>0.66598199999999996</v>
      </c>
      <c r="G282">
        <v>0.33347500000000002</v>
      </c>
      <c r="H282">
        <v>1.4200000000000001E-4</v>
      </c>
      <c r="I282">
        <v>1.11E-4</v>
      </c>
      <c r="J282">
        <v>1.08E-4</v>
      </c>
      <c r="K282" t="s">
        <v>33123</v>
      </c>
      <c r="L282" t="s">
        <v>33125</v>
      </c>
      <c r="M282" t="s">
        <v>33145</v>
      </c>
      <c r="N282" t="s">
        <v>33127</v>
      </c>
      <c r="O282">
        <v>0.64349999999999996</v>
      </c>
    </row>
    <row r="283" spans="1:15" x14ac:dyDescent="0.75">
      <c r="A283" t="s">
        <v>3382</v>
      </c>
      <c r="B283" t="s">
        <v>451</v>
      </c>
      <c r="C283" t="s">
        <v>3380</v>
      </c>
      <c r="D283" t="s">
        <v>33117</v>
      </c>
      <c r="E283">
        <v>0.170292</v>
      </c>
      <c r="F283">
        <v>0.81996199999999997</v>
      </c>
      <c r="G283">
        <v>9.2739999999999993E-3</v>
      </c>
      <c r="H283">
        <v>1.74E-4</v>
      </c>
      <c r="I283">
        <v>1.3799999999999999E-4</v>
      </c>
      <c r="J283">
        <v>1.5799999999999999E-4</v>
      </c>
      <c r="K283" t="s">
        <v>33123</v>
      </c>
      <c r="L283" t="s">
        <v>33125</v>
      </c>
      <c r="M283" t="s">
        <v>33138</v>
      </c>
      <c r="N283" t="s">
        <v>33127</v>
      </c>
      <c r="O283">
        <v>0.79159999999999997</v>
      </c>
    </row>
    <row r="284" spans="1:15" x14ac:dyDescent="0.75">
      <c r="A284" t="s">
        <v>3395</v>
      </c>
      <c r="B284" t="s">
        <v>154</v>
      </c>
      <c r="C284" t="s">
        <v>3388</v>
      </c>
      <c r="D284" t="s">
        <v>33117</v>
      </c>
      <c r="E284">
        <v>2.8299999999999999E-4</v>
      </c>
      <c r="F284">
        <v>0.998942</v>
      </c>
      <c r="G284">
        <v>2.4000000000000001E-4</v>
      </c>
      <c r="H284">
        <v>2.0799999999999999E-4</v>
      </c>
      <c r="I284">
        <v>1.8000000000000001E-4</v>
      </c>
      <c r="J284">
        <v>1.6699999999999999E-4</v>
      </c>
      <c r="K284" t="s">
        <v>33123</v>
      </c>
      <c r="L284" t="s">
        <v>33125</v>
      </c>
      <c r="M284" t="s">
        <v>33131</v>
      </c>
      <c r="N284" t="s">
        <v>33127</v>
      </c>
      <c r="O284">
        <v>0.9667</v>
      </c>
    </row>
    <row r="285" spans="1:15" x14ac:dyDescent="0.75">
      <c r="A285" t="s">
        <v>3390</v>
      </c>
      <c r="B285" t="s">
        <v>154</v>
      </c>
      <c r="C285" t="s">
        <v>3388</v>
      </c>
      <c r="D285" t="s">
        <v>33117</v>
      </c>
      <c r="E285">
        <v>1.8000000000000001E-4</v>
      </c>
      <c r="F285">
        <v>0.66598199999999996</v>
      </c>
      <c r="G285">
        <v>0.33347500000000002</v>
      </c>
      <c r="H285">
        <v>1.4200000000000001E-4</v>
      </c>
      <c r="I285">
        <v>1.11E-4</v>
      </c>
      <c r="J285">
        <v>1.08E-4</v>
      </c>
      <c r="K285" t="s">
        <v>33123</v>
      </c>
      <c r="L285" t="s">
        <v>33125</v>
      </c>
      <c r="M285" t="s">
        <v>33145</v>
      </c>
      <c r="N285" t="s">
        <v>33127</v>
      </c>
      <c r="O285">
        <v>0.64349999999999996</v>
      </c>
    </row>
    <row r="286" spans="1:15" x14ac:dyDescent="0.75">
      <c r="A286" t="s">
        <v>3400</v>
      </c>
      <c r="B286" t="s">
        <v>1055</v>
      </c>
      <c r="C286" t="s">
        <v>3398</v>
      </c>
      <c r="D286" t="s">
        <v>33117</v>
      </c>
      <c r="E286">
        <v>2.2000000000000001E-4</v>
      </c>
      <c r="F286">
        <v>0.99912100000000004</v>
      </c>
      <c r="G286">
        <v>1.8200000000000001E-4</v>
      </c>
      <c r="H286">
        <v>1.83E-4</v>
      </c>
      <c r="I286">
        <v>1.5200000000000001E-4</v>
      </c>
      <c r="J286">
        <v>1.5300000000000001E-4</v>
      </c>
      <c r="K286" t="s">
        <v>33123</v>
      </c>
      <c r="L286" t="s">
        <v>33125</v>
      </c>
      <c r="M286" t="s">
        <v>33131</v>
      </c>
      <c r="N286" t="s">
        <v>33127</v>
      </c>
      <c r="O286">
        <v>0.97860000000000003</v>
      </c>
    </row>
    <row r="287" spans="1:15" x14ac:dyDescent="0.75">
      <c r="A287" t="s">
        <v>3402</v>
      </c>
      <c r="B287" t="s">
        <v>1055</v>
      </c>
      <c r="C287" t="s">
        <v>3398</v>
      </c>
      <c r="D287" t="s">
        <v>33117</v>
      </c>
      <c r="E287">
        <v>2.4899999999999998E-4</v>
      </c>
      <c r="F287">
        <v>0.83213400000000004</v>
      </c>
      <c r="G287">
        <v>0.167069</v>
      </c>
      <c r="H287">
        <v>2.0900000000000001E-4</v>
      </c>
      <c r="I287">
        <v>1.5699999999999999E-4</v>
      </c>
      <c r="J287">
        <v>1.74E-4</v>
      </c>
      <c r="K287" t="s">
        <v>33123</v>
      </c>
      <c r="L287" t="s">
        <v>33125</v>
      </c>
      <c r="M287" t="s">
        <v>33145</v>
      </c>
      <c r="N287" t="s">
        <v>33127</v>
      </c>
      <c r="O287">
        <v>0.8004</v>
      </c>
    </row>
    <row r="288" spans="1:15" x14ac:dyDescent="0.75">
      <c r="A288" t="s">
        <v>3408</v>
      </c>
      <c r="B288" t="s">
        <v>1055</v>
      </c>
      <c r="C288" t="s">
        <v>3406</v>
      </c>
      <c r="D288" t="s">
        <v>33117</v>
      </c>
      <c r="E288">
        <v>2.2000000000000001E-4</v>
      </c>
      <c r="F288">
        <v>0.99912100000000004</v>
      </c>
      <c r="G288">
        <v>1.8200000000000001E-4</v>
      </c>
      <c r="H288">
        <v>1.83E-4</v>
      </c>
      <c r="I288">
        <v>1.5200000000000001E-4</v>
      </c>
      <c r="J288">
        <v>1.5300000000000001E-4</v>
      </c>
      <c r="K288" t="s">
        <v>33123</v>
      </c>
      <c r="L288" t="s">
        <v>33125</v>
      </c>
      <c r="M288" t="s">
        <v>33131</v>
      </c>
      <c r="N288" t="s">
        <v>33127</v>
      </c>
      <c r="O288">
        <v>0.97860000000000003</v>
      </c>
    </row>
    <row r="289" spans="1:15" x14ac:dyDescent="0.75">
      <c r="A289" t="s">
        <v>3412</v>
      </c>
      <c r="B289" t="s">
        <v>551</v>
      </c>
      <c r="C289" t="s">
        <v>3410</v>
      </c>
      <c r="D289" t="s">
        <v>33117</v>
      </c>
      <c r="E289">
        <v>2.2800000000000001E-4</v>
      </c>
      <c r="F289">
        <v>0.99909400000000004</v>
      </c>
      <c r="G289">
        <v>1.8699999999999999E-4</v>
      </c>
      <c r="H289">
        <v>1.7699999999999999E-4</v>
      </c>
      <c r="I289">
        <v>1.45E-4</v>
      </c>
      <c r="J289">
        <v>1.46E-4</v>
      </c>
      <c r="K289" t="s">
        <v>33123</v>
      </c>
      <c r="L289" t="s">
        <v>33125</v>
      </c>
      <c r="M289" t="s">
        <v>33131</v>
      </c>
      <c r="N289" t="s">
        <v>33127</v>
      </c>
      <c r="O289">
        <v>0.97499999999999998</v>
      </c>
    </row>
    <row r="290" spans="1:15" x14ac:dyDescent="0.75">
      <c r="A290" t="s">
        <v>3417</v>
      </c>
      <c r="B290" t="s">
        <v>551</v>
      </c>
      <c r="C290" t="s">
        <v>3415</v>
      </c>
      <c r="D290" t="s">
        <v>33117</v>
      </c>
      <c r="E290">
        <v>2.34E-4</v>
      </c>
      <c r="F290">
        <v>0.99909300000000001</v>
      </c>
      <c r="G290">
        <v>1.9100000000000001E-4</v>
      </c>
      <c r="H290">
        <v>1.8200000000000001E-4</v>
      </c>
      <c r="I290">
        <v>1.4999999999999999E-4</v>
      </c>
      <c r="J290">
        <v>1.4899999999999999E-4</v>
      </c>
      <c r="K290" t="s">
        <v>33123</v>
      </c>
      <c r="L290" t="s">
        <v>33125</v>
      </c>
      <c r="M290" t="s">
        <v>33131</v>
      </c>
      <c r="N290" t="s">
        <v>33127</v>
      </c>
      <c r="O290">
        <v>0.97450000000000003</v>
      </c>
    </row>
    <row r="291" spans="1:15" x14ac:dyDescent="0.75">
      <c r="A291" t="s">
        <v>3422</v>
      </c>
      <c r="B291" t="s">
        <v>560</v>
      </c>
      <c r="C291" t="s">
        <v>3420</v>
      </c>
      <c r="D291" t="s">
        <v>33117</v>
      </c>
      <c r="E291">
        <v>1.44E-4</v>
      </c>
      <c r="F291">
        <v>0.99937699999999996</v>
      </c>
      <c r="G291">
        <v>1.2400000000000001E-4</v>
      </c>
      <c r="H291">
        <v>1.46E-4</v>
      </c>
      <c r="I291">
        <v>1.1400000000000001E-4</v>
      </c>
      <c r="J291">
        <v>1.1400000000000001E-4</v>
      </c>
      <c r="K291" t="s">
        <v>33123</v>
      </c>
      <c r="L291" t="s">
        <v>33125</v>
      </c>
      <c r="M291" t="s">
        <v>33140</v>
      </c>
      <c r="N291" t="s">
        <v>33127</v>
      </c>
      <c r="O291">
        <v>0.67230000000000001</v>
      </c>
    </row>
    <row r="292" spans="1:15" x14ac:dyDescent="0.75">
      <c r="A292" t="s">
        <v>3426</v>
      </c>
      <c r="B292" t="s">
        <v>1274</v>
      </c>
      <c r="C292" t="s">
        <v>3424</v>
      </c>
      <c r="D292" t="s">
        <v>33117</v>
      </c>
      <c r="E292">
        <v>2.04E-4</v>
      </c>
      <c r="F292">
        <v>0.99917100000000003</v>
      </c>
      <c r="G292">
        <v>1.7100000000000001E-4</v>
      </c>
      <c r="H292">
        <v>1.7100000000000001E-4</v>
      </c>
      <c r="I292">
        <v>1.3799999999999999E-4</v>
      </c>
      <c r="J292">
        <v>1.45E-4</v>
      </c>
      <c r="K292" t="s">
        <v>33123</v>
      </c>
      <c r="L292" t="s">
        <v>33125</v>
      </c>
      <c r="M292" t="s">
        <v>33131</v>
      </c>
      <c r="N292" t="s">
        <v>33127</v>
      </c>
      <c r="O292">
        <v>0.97629999999999995</v>
      </c>
    </row>
    <row r="293" spans="1:15" x14ac:dyDescent="0.75">
      <c r="A293" t="s">
        <v>3432</v>
      </c>
      <c r="B293" t="s">
        <v>463</v>
      </c>
      <c r="C293" t="s">
        <v>3430</v>
      </c>
      <c r="D293" t="s">
        <v>33117</v>
      </c>
      <c r="E293">
        <v>0.33671699999999999</v>
      </c>
      <c r="F293">
        <v>0.66274699999999998</v>
      </c>
      <c r="G293">
        <v>1.83E-4</v>
      </c>
      <c r="H293">
        <v>1.2799999999999999E-4</v>
      </c>
      <c r="I293">
        <v>1.2300000000000001E-4</v>
      </c>
      <c r="J293">
        <v>1.11E-4</v>
      </c>
      <c r="K293" t="s">
        <v>33123</v>
      </c>
      <c r="L293" t="s">
        <v>33125</v>
      </c>
      <c r="M293" t="s">
        <v>33139</v>
      </c>
      <c r="N293" t="s">
        <v>33127</v>
      </c>
      <c r="O293">
        <v>0.63129999999999997</v>
      </c>
    </row>
    <row r="294" spans="1:15" x14ac:dyDescent="0.75">
      <c r="A294" t="s">
        <v>3437</v>
      </c>
      <c r="B294" t="s">
        <v>463</v>
      </c>
      <c r="C294" t="s">
        <v>3435</v>
      </c>
      <c r="D294" t="s">
        <v>33110</v>
      </c>
      <c r="E294">
        <v>0.667292</v>
      </c>
      <c r="F294">
        <v>0.33169500000000002</v>
      </c>
      <c r="G294">
        <v>3.6999999999999999E-4</v>
      </c>
      <c r="H294">
        <v>1.9699999999999999E-4</v>
      </c>
      <c r="I294">
        <v>2.5500000000000002E-4</v>
      </c>
      <c r="J294">
        <v>1.95E-4</v>
      </c>
    </row>
    <row r="295" spans="1:15" x14ac:dyDescent="0.75">
      <c r="A295" t="s">
        <v>3443</v>
      </c>
      <c r="B295" t="s">
        <v>463</v>
      </c>
      <c r="C295" t="s">
        <v>3441</v>
      </c>
      <c r="D295" t="s">
        <v>33117</v>
      </c>
      <c r="E295">
        <v>0.32791500000000001</v>
      </c>
      <c r="F295">
        <v>0.67145699999999997</v>
      </c>
      <c r="G295">
        <v>2.1499999999999999E-4</v>
      </c>
      <c r="H295">
        <v>1.4300000000000001E-4</v>
      </c>
      <c r="I295">
        <v>1.4899999999999999E-4</v>
      </c>
      <c r="J295">
        <v>1.2799999999999999E-4</v>
      </c>
      <c r="K295" t="s">
        <v>33123</v>
      </c>
      <c r="L295" t="s">
        <v>33125</v>
      </c>
      <c r="M295" t="s">
        <v>33139</v>
      </c>
      <c r="N295" t="s">
        <v>33127</v>
      </c>
      <c r="O295">
        <v>0.40870000000000001</v>
      </c>
    </row>
    <row r="296" spans="1:15" x14ac:dyDescent="0.75">
      <c r="A296" t="s">
        <v>3449</v>
      </c>
      <c r="B296" t="s">
        <v>1069</v>
      </c>
      <c r="C296" t="s">
        <v>3446</v>
      </c>
      <c r="D296" t="s">
        <v>33116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 t="s">
        <v>33123</v>
      </c>
      <c r="L296" t="s">
        <v>33125</v>
      </c>
      <c r="M296" t="s">
        <v>33126</v>
      </c>
      <c r="N296" t="s">
        <v>33127</v>
      </c>
      <c r="O296">
        <v>0.99439999999999995</v>
      </c>
    </row>
    <row r="297" spans="1:15" x14ac:dyDescent="0.75">
      <c r="A297" t="s">
        <v>3458</v>
      </c>
      <c r="B297" t="s">
        <v>1069</v>
      </c>
      <c r="C297" t="s">
        <v>3455</v>
      </c>
      <c r="D297" t="s">
        <v>33117</v>
      </c>
      <c r="E297">
        <v>3.8499999999999998E-4</v>
      </c>
      <c r="F297">
        <v>0.99849399999999999</v>
      </c>
      <c r="G297">
        <v>3.7199999999999999E-4</v>
      </c>
      <c r="H297">
        <v>2.9500000000000001E-4</v>
      </c>
      <c r="I297">
        <v>2.2900000000000001E-4</v>
      </c>
      <c r="J297">
        <v>2.3900000000000001E-4</v>
      </c>
      <c r="K297" t="s">
        <v>33123</v>
      </c>
      <c r="L297" t="s">
        <v>33125</v>
      </c>
      <c r="M297" t="s">
        <v>33130</v>
      </c>
      <c r="N297" t="s">
        <v>33127</v>
      </c>
      <c r="O297">
        <v>0.93610000000000004</v>
      </c>
    </row>
    <row r="298" spans="1:15" x14ac:dyDescent="0.75">
      <c r="A298" t="s">
        <v>3475</v>
      </c>
      <c r="B298" t="s">
        <v>2768</v>
      </c>
      <c r="C298" t="s">
        <v>3473</v>
      </c>
      <c r="D298" t="s">
        <v>33117</v>
      </c>
      <c r="E298">
        <v>2.2599999999999999E-4</v>
      </c>
      <c r="F298">
        <v>0.99907299999999999</v>
      </c>
      <c r="G298">
        <v>1.8000000000000001E-4</v>
      </c>
      <c r="H298">
        <v>2.0799999999999999E-4</v>
      </c>
      <c r="I298">
        <v>1.6899999999999999E-4</v>
      </c>
      <c r="J298">
        <v>1.55E-4</v>
      </c>
      <c r="K298" t="s">
        <v>33123</v>
      </c>
      <c r="L298" t="s">
        <v>33125</v>
      </c>
      <c r="M298" t="s">
        <v>33149</v>
      </c>
      <c r="N298" t="s">
        <v>33127</v>
      </c>
      <c r="O298">
        <v>0.97370000000000001</v>
      </c>
    </row>
    <row r="299" spans="1:15" x14ac:dyDescent="0.75">
      <c r="A299" t="s">
        <v>3479</v>
      </c>
      <c r="B299" t="s">
        <v>463</v>
      </c>
      <c r="C299" t="s">
        <v>3477</v>
      </c>
      <c r="D299" t="s">
        <v>33110</v>
      </c>
      <c r="E299">
        <v>0.666736</v>
      </c>
      <c r="F299">
        <v>0.33311499999999999</v>
      </c>
      <c r="G299">
        <v>5.1999999999999997E-5</v>
      </c>
      <c r="H299">
        <v>3.8999999999999999E-5</v>
      </c>
      <c r="I299">
        <v>3.3000000000000003E-5</v>
      </c>
      <c r="J299">
        <v>3.1999999999999999E-5</v>
      </c>
    </row>
    <row r="300" spans="1:15" x14ac:dyDescent="0.75">
      <c r="A300" t="s">
        <v>3614</v>
      </c>
      <c r="B300" t="s">
        <v>747</v>
      </c>
      <c r="C300" t="s">
        <v>3612</v>
      </c>
      <c r="D300" t="s">
        <v>33117</v>
      </c>
      <c r="E300">
        <v>2.5999999999999998E-4</v>
      </c>
      <c r="F300">
        <v>0.99885500000000005</v>
      </c>
      <c r="G300">
        <v>2.1599999999999999E-4</v>
      </c>
      <c r="H300">
        <v>2.7099999999999997E-4</v>
      </c>
      <c r="I300">
        <v>2.0699999999999999E-4</v>
      </c>
      <c r="J300">
        <v>1.94E-4</v>
      </c>
      <c r="K300" t="s">
        <v>33123</v>
      </c>
      <c r="L300" t="s">
        <v>33125</v>
      </c>
      <c r="M300" t="s">
        <v>33143</v>
      </c>
      <c r="N300" t="s">
        <v>33127</v>
      </c>
      <c r="O300">
        <v>0.96579999999999999</v>
      </c>
    </row>
    <row r="301" spans="1:15" x14ac:dyDescent="0.75">
      <c r="A301" t="s">
        <v>3619</v>
      </c>
      <c r="B301" t="s">
        <v>611</v>
      </c>
      <c r="C301" t="s">
        <v>3617</v>
      </c>
      <c r="D301" t="s">
        <v>33118</v>
      </c>
      <c r="E301">
        <v>1.64E-4</v>
      </c>
      <c r="F301">
        <v>0.49928600000000001</v>
      </c>
      <c r="G301">
        <v>1.2899999999999999E-4</v>
      </c>
      <c r="H301">
        <v>0.50018600000000002</v>
      </c>
      <c r="I301">
        <v>1.21E-4</v>
      </c>
      <c r="J301">
        <v>1.17E-4</v>
      </c>
      <c r="K301" t="s">
        <v>33123</v>
      </c>
      <c r="L301" t="s">
        <v>33125</v>
      </c>
      <c r="M301" t="s">
        <v>33143</v>
      </c>
      <c r="N301" t="s">
        <v>33127</v>
      </c>
      <c r="O301">
        <v>0.45119999999999999</v>
      </c>
    </row>
    <row r="302" spans="1:15" x14ac:dyDescent="0.75">
      <c r="A302" t="s">
        <v>3631</v>
      </c>
      <c r="B302" t="s">
        <v>242</v>
      </c>
      <c r="C302" t="s">
        <v>3623</v>
      </c>
      <c r="D302" t="s">
        <v>33116</v>
      </c>
      <c r="E302">
        <v>0</v>
      </c>
      <c r="F302">
        <v>0</v>
      </c>
      <c r="G302">
        <v>1</v>
      </c>
      <c r="H302">
        <v>0</v>
      </c>
      <c r="I302">
        <v>0</v>
      </c>
      <c r="J302">
        <v>0</v>
      </c>
      <c r="K302" t="s">
        <v>33123</v>
      </c>
      <c r="L302" t="s">
        <v>33125</v>
      </c>
      <c r="M302" t="s">
        <v>33132</v>
      </c>
      <c r="N302" t="s">
        <v>33127</v>
      </c>
      <c r="O302">
        <v>0.99490000000000001</v>
      </c>
    </row>
    <row r="303" spans="1:15" x14ac:dyDescent="0.75">
      <c r="A303" t="s">
        <v>3625</v>
      </c>
      <c r="B303" t="s">
        <v>242</v>
      </c>
      <c r="C303" t="s">
        <v>3623</v>
      </c>
      <c r="D303" t="s">
        <v>33110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</row>
    <row r="304" spans="1:15" x14ac:dyDescent="0.75">
      <c r="A304" t="s">
        <v>3636</v>
      </c>
      <c r="B304" t="s">
        <v>560</v>
      </c>
      <c r="C304" t="s">
        <v>3634</v>
      </c>
      <c r="D304" t="s">
        <v>33117</v>
      </c>
      <c r="E304">
        <v>1.46E-4</v>
      </c>
      <c r="F304">
        <v>0.99935499999999999</v>
      </c>
      <c r="G304">
        <v>1.2999999999999999E-4</v>
      </c>
      <c r="H304">
        <v>1.47E-4</v>
      </c>
      <c r="I304">
        <v>1.1900000000000001E-4</v>
      </c>
      <c r="J304">
        <v>1.15E-4</v>
      </c>
      <c r="K304" t="s">
        <v>33123</v>
      </c>
      <c r="L304" t="s">
        <v>33125</v>
      </c>
      <c r="M304" t="s">
        <v>33140</v>
      </c>
      <c r="N304" t="s">
        <v>33127</v>
      </c>
      <c r="O304">
        <v>0.66169999999999995</v>
      </c>
    </row>
    <row r="305" spans="1:15" x14ac:dyDescent="0.75">
      <c r="A305" t="s">
        <v>3647</v>
      </c>
      <c r="B305" t="s">
        <v>1069</v>
      </c>
      <c r="C305" t="s">
        <v>3640</v>
      </c>
      <c r="D305" t="s">
        <v>33110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</row>
    <row r="306" spans="1:15" x14ac:dyDescent="0.75">
      <c r="A306" t="s">
        <v>3642</v>
      </c>
      <c r="B306" t="s">
        <v>1069</v>
      </c>
      <c r="C306" t="s">
        <v>3640</v>
      </c>
      <c r="D306" t="s">
        <v>33116</v>
      </c>
      <c r="E306">
        <v>8.1000000000000004E-5</v>
      </c>
      <c r="F306">
        <v>0.33316200000000001</v>
      </c>
      <c r="G306">
        <v>0.66653600000000002</v>
      </c>
      <c r="H306">
        <v>7.4999999999999993E-5</v>
      </c>
      <c r="I306">
        <v>5.5000000000000002E-5</v>
      </c>
      <c r="J306">
        <v>7.1000000000000005E-5</v>
      </c>
      <c r="K306" t="s">
        <v>33123</v>
      </c>
      <c r="L306" t="s">
        <v>33125</v>
      </c>
      <c r="M306" t="s">
        <v>33126</v>
      </c>
      <c r="N306" t="s">
        <v>33127</v>
      </c>
      <c r="O306">
        <v>0.65510000000000002</v>
      </c>
    </row>
    <row r="307" spans="1:15" x14ac:dyDescent="0.75">
      <c r="A307" t="s">
        <v>3652</v>
      </c>
      <c r="B307" t="s">
        <v>611</v>
      </c>
      <c r="C307" t="s">
        <v>3650</v>
      </c>
      <c r="D307" t="s">
        <v>33118</v>
      </c>
      <c r="E307">
        <v>1.64E-4</v>
      </c>
      <c r="F307">
        <v>0.49928600000000001</v>
      </c>
      <c r="G307">
        <v>1.2899999999999999E-4</v>
      </c>
      <c r="H307">
        <v>0.50018600000000002</v>
      </c>
      <c r="I307">
        <v>1.21E-4</v>
      </c>
      <c r="J307">
        <v>1.17E-4</v>
      </c>
      <c r="K307" t="s">
        <v>33123</v>
      </c>
      <c r="L307" t="s">
        <v>33125</v>
      </c>
      <c r="M307" t="s">
        <v>33143</v>
      </c>
      <c r="N307" t="s">
        <v>33127</v>
      </c>
      <c r="O307">
        <v>0.45119999999999999</v>
      </c>
    </row>
    <row r="308" spans="1:15" x14ac:dyDescent="0.75">
      <c r="A308" t="s">
        <v>3657</v>
      </c>
      <c r="B308" t="s">
        <v>560</v>
      </c>
      <c r="C308" t="s">
        <v>3655</v>
      </c>
      <c r="D308" t="s">
        <v>33117</v>
      </c>
      <c r="E308">
        <v>1.4999999999999999E-4</v>
      </c>
      <c r="F308">
        <v>0.99934800000000001</v>
      </c>
      <c r="G308">
        <v>1.3300000000000001E-4</v>
      </c>
      <c r="H308">
        <v>1.4899999999999999E-4</v>
      </c>
      <c r="I308">
        <v>1.21E-4</v>
      </c>
      <c r="J308">
        <v>1.18E-4</v>
      </c>
      <c r="K308" t="s">
        <v>33123</v>
      </c>
      <c r="L308" t="s">
        <v>33125</v>
      </c>
      <c r="M308" t="s">
        <v>33140</v>
      </c>
      <c r="N308" t="s">
        <v>33127</v>
      </c>
      <c r="O308">
        <v>0.74380000000000002</v>
      </c>
    </row>
    <row r="309" spans="1:15" x14ac:dyDescent="0.75">
      <c r="A309" t="s">
        <v>3687</v>
      </c>
      <c r="B309" t="s">
        <v>154</v>
      </c>
      <c r="C309" t="s">
        <v>3685</v>
      </c>
      <c r="D309" t="s">
        <v>33117</v>
      </c>
      <c r="E309">
        <v>2.9399999999999999E-4</v>
      </c>
      <c r="F309">
        <v>0.99888100000000002</v>
      </c>
      <c r="G309">
        <v>2.4800000000000001E-4</v>
      </c>
      <c r="H309">
        <v>2.1599999999999999E-4</v>
      </c>
      <c r="I309">
        <v>1.8699999999999999E-4</v>
      </c>
      <c r="J309">
        <v>1.7200000000000001E-4</v>
      </c>
      <c r="K309" t="s">
        <v>33123</v>
      </c>
      <c r="L309" t="s">
        <v>33125</v>
      </c>
      <c r="M309" t="s">
        <v>33149</v>
      </c>
      <c r="N309" t="s">
        <v>33127</v>
      </c>
      <c r="O309">
        <v>0.3725</v>
      </c>
    </row>
    <row r="310" spans="1:15" x14ac:dyDescent="0.75">
      <c r="A310" t="s">
        <v>3692</v>
      </c>
      <c r="B310" t="s">
        <v>154</v>
      </c>
      <c r="C310" t="s">
        <v>3690</v>
      </c>
      <c r="D310" t="s">
        <v>33117</v>
      </c>
      <c r="E310">
        <v>2.8299999999999999E-4</v>
      </c>
      <c r="F310">
        <v>0.99895500000000004</v>
      </c>
      <c r="G310">
        <v>2.3900000000000001E-4</v>
      </c>
      <c r="H310">
        <v>2.1100000000000001E-4</v>
      </c>
      <c r="I310">
        <v>1.8200000000000001E-4</v>
      </c>
      <c r="J310">
        <v>1.6799999999999999E-4</v>
      </c>
      <c r="K310" t="s">
        <v>33123</v>
      </c>
      <c r="L310" t="s">
        <v>33125</v>
      </c>
      <c r="M310" t="s">
        <v>33131</v>
      </c>
      <c r="N310" t="s">
        <v>33127</v>
      </c>
      <c r="O310">
        <v>0.95569999999999999</v>
      </c>
    </row>
    <row r="311" spans="1:15" x14ac:dyDescent="0.75">
      <c r="A311" t="s">
        <v>3697</v>
      </c>
      <c r="B311" t="s">
        <v>560</v>
      </c>
      <c r="C311" t="s">
        <v>3695</v>
      </c>
      <c r="D311" t="s">
        <v>33110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5" x14ac:dyDescent="0.75">
      <c r="A312" t="s">
        <v>3703</v>
      </c>
      <c r="B312" t="s">
        <v>154</v>
      </c>
      <c r="C312" t="s">
        <v>3701</v>
      </c>
      <c r="D312" t="s">
        <v>33117</v>
      </c>
      <c r="E312">
        <v>2.9399999999999999E-4</v>
      </c>
      <c r="F312">
        <v>0.99888100000000002</v>
      </c>
      <c r="G312">
        <v>2.4800000000000001E-4</v>
      </c>
      <c r="H312">
        <v>2.1599999999999999E-4</v>
      </c>
      <c r="I312">
        <v>1.8699999999999999E-4</v>
      </c>
      <c r="J312">
        <v>1.7200000000000001E-4</v>
      </c>
      <c r="K312" t="s">
        <v>33123</v>
      </c>
      <c r="L312" t="s">
        <v>33125</v>
      </c>
      <c r="M312" t="s">
        <v>33149</v>
      </c>
      <c r="N312" t="s">
        <v>33127</v>
      </c>
      <c r="O312">
        <v>0.3725</v>
      </c>
    </row>
    <row r="313" spans="1:15" x14ac:dyDescent="0.75">
      <c r="A313" t="s">
        <v>3708</v>
      </c>
      <c r="B313" t="s">
        <v>560</v>
      </c>
      <c r="C313" t="s">
        <v>3706</v>
      </c>
      <c r="D313" t="s">
        <v>33117</v>
      </c>
      <c r="E313">
        <v>1.4300000000000001E-4</v>
      </c>
      <c r="F313">
        <v>0.99935799999999997</v>
      </c>
      <c r="G313">
        <v>1.26E-4</v>
      </c>
      <c r="H313">
        <v>1.45E-4</v>
      </c>
      <c r="I313">
        <v>1.15E-4</v>
      </c>
      <c r="J313">
        <v>1.1400000000000001E-4</v>
      </c>
      <c r="K313" t="s">
        <v>33123</v>
      </c>
      <c r="L313" t="s">
        <v>33125</v>
      </c>
      <c r="M313" t="s">
        <v>33140</v>
      </c>
      <c r="N313" t="s">
        <v>33127</v>
      </c>
      <c r="O313">
        <v>0.74970000000000003</v>
      </c>
    </row>
    <row r="314" spans="1:15" x14ac:dyDescent="0.75">
      <c r="A314" t="s">
        <v>3712</v>
      </c>
      <c r="B314" t="s">
        <v>463</v>
      </c>
      <c r="C314" t="s">
        <v>3710</v>
      </c>
      <c r="D314" t="s">
        <v>33117</v>
      </c>
      <c r="E314">
        <v>0.321349</v>
      </c>
      <c r="F314">
        <v>0.67819600000000002</v>
      </c>
      <c r="G314">
        <v>1.6100000000000001E-4</v>
      </c>
      <c r="H314">
        <v>1.21E-4</v>
      </c>
      <c r="I314">
        <v>1.11E-4</v>
      </c>
      <c r="J314">
        <v>1.0399999999999999E-4</v>
      </c>
      <c r="K314" t="s">
        <v>33123</v>
      </c>
      <c r="L314" t="s">
        <v>33125</v>
      </c>
      <c r="M314" t="s">
        <v>33139</v>
      </c>
      <c r="N314" t="s">
        <v>33127</v>
      </c>
      <c r="O314">
        <v>0.64910000000000001</v>
      </c>
    </row>
    <row r="315" spans="1:15" x14ac:dyDescent="0.75">
      <c r="A315" t="s">
        <v>3717</v>
      </c>
      <c r="B315" t="s">
        <v>560</v>
      </c>
      <c r="C315" t="s">
        <v>3715</v>
      </c>
      <c r="D315" t="s">
        <v>33117</v>
      </c>
      <c r="E315">
        <v>1.4300000000000001E-4</v>
      </c>
      <c r="F315">
        <v>0.99935799999999997</v>
      </c>
      <c r="G315">
        <v>1.26E-4</v>
      </c>
      <c r="H315">
        <v>1.45E-4</v>
      </c>
      <c r="I315">
        <v>1.15E-4</v>
      </c>
      <c r="J315">
        <v>1.1400000000000001E-4</v>
      </c>
      <c r="K315" t="s">
        <v>33123</v>
      </c>
      <c r="L315" t="s">
        <v>33125</v>
      </c>
      <c r="M315" t="s">
        <v>33140</v>
      </c>
      <c r="N315" t="s">
        <v>33127</v>
      </c>
      <c r="O315">
        <v>0.74970000000000003</v>
      </c>
    </row>
    <row r="316" spans="1:15" x14ac:dyDescent="0.75">
      <c r="A316" t="s">
        <v>3721</v>
      </c>
      <c r="B316" t="s">
        <v>154</v>
      </c>
      <c r="C316" t="s">
        <v>3719</v>
      </c>
      <c r="D316" t="s">
        <v>33117</v>
      </c>
      <c r="E316">
        <v>2.5000000000000001E-4</v>
      </c>
      <c r="F316">
        <v>0.99902199999999997</v>
      </c>
      <c r="G316">
        <v>2.1100000000000001E-4</v>
      </c>
      <c r="H316">
        <v>1.9599999999999999E-4</v>
      </c>
      <c r="I316">
        <v>1.6799999999999999E-4</v>
      </c>
      <c r="J316">
        <v>1.5699999999999999E-4</v>
      </c>
      <c r="K316" t="s">
        <v>33123</v>
      </c>
      <c r="L316" t="s">
        <v>33125</v>
      </c>
      <c r="M316" t="s">
        <v>33131</v>
      </c>
      <c r="N316" t="s">
        <v>33127</v>
      </c>
      <c r="O316">
        <v>0.96719999999999995</v>
      </c>
    </row>
    <row r="317" spans="1:15" x14ac:dyDescent="0.75">
      <c r="A317" t="s">
        <v>3726</v>
      </c>
      <c r="B317" t="s">
        <v>463</v>
      </c>
      <c r="C317" t="s">
        <v>3724</v>
      </c>
      <c r="D317" t="s">
        <v>33117</v>
      </c>
      <c r="E317">
        <v>0.321349</v>
      </c>
      <c r="F317">
        <v>0.67819600000000002</v>
      </c>
      <c r="G317">
        <v>1.6100000000000001E-4</v>
      </c>
      <c r="H317">
        <v>1.21E-4</v>
      </c>
      <c r="I317">
        <v>1.11E-4</v>
      </c>
      <c r="J317">
        <v>1.0399999999999999E-4</v>
      </c>
      <c r="K317" t="s">
        <v>33123</v>
      </c>
      <c r="L317" t="s">
        <v>33125</v>
      </c>
      <c r="M317" t="s">
        <v>33139</v>
      </c>
      <c r="N317" t="s">
        <v>33127</v>
      </c>
      <c r="O317">
        <v>0.64910000000000001</v>
      </c>
    </row>
    <row r="318" spans="1:15" x14ac:dyDescent="0.75">
      <c r="A318" t="s">
        <v>3731</v>
      </c>
      <c r="B318" t="s">
        <v>154</v>
      </c>
      <c r="C318" t="s">
        <v>3729</v>
      </c>
      <c r="D318" t="s">
        <v>33117</v>
      </c>
      <c r="E318">
        <v>2.5000000000000001E-4</v>
      </c>
      <c r="F318">
        <v>0.99902199999999997</v>
      </c>
      <c r="G318">
        <v>2.1100000000000001E-4</v>
      </c>
      <c r="H318">
        <v>1.9599999999999999E-4</v>
      </c>
      <c r="I318">
        <v>1.6799999999999999E-4</v>
      </c>
      <c r="J318">
        <v>1.5699999999999999E-4</v>
      </c>
      <c r="K318" t="s">
        <v>33123</v>
      </c>
      <c r="L318" t="s">
        <v>33125</v>
      </c>
      <c r="M318" t="s">
        <v>33131</v>
      </c>
      <c r="N318" t="s">
        <v>33127</v>
      </c>
      <c r="O318">
        <v>0.96719999999999995</v>
      </c>
    </row>
    <row r="319" spans="1:15" x14ac:dyDescent="0.75">
      <c r="A319" t="s">
        <v>3736</v>
      </c>
      <c r="B319" t="s">
        <v>154</v>
      </c>
      <c r="C319" t="s">
        <v>3734</v>
      </c>
      <c r="D319" t="s">
        <v>33117</v>
      </c>
      <c r="E319">
        <v>2.5000000000000001E-4</v>
      </c>
      <c r="F319">
        <v>0.99902199999999997</v>
      </c>
      <c r="G319">
        <v>2.1100000000000001E-4</v>
      </c>
      <c r="H319">
        <v>1.9599999999999999E-4</v>
      </c>
      <c r="I319">
        <v>1.6799999999999999E-4</v>
      </c>
      <c r="J319">
        <v>1.5699999999999999E-4</v>
      </c>
      <c r="K319" t="s">
        <v>33123</v>
      </c>
      <c r="L319" t="s">
        <v>33125</v>
      </c>
      <c r="M319" t="s">
        <v>33131</v>
      </c>
      <c r="N319" t="s">
        <v>33127</v>
      </c>
      <c r="O319">
        <v>0.96719999999999995</v>
      </c>
    </row>
    <row r="320" spans="1:15" x14ac:dyDescent="0.75">
      <c r="A320" t="s">
        <v>3741</v>
      </c>
      <c r="B320" t="s">
        <v>154</v>
      </c>
      <c r="C320" t="s">
        <v>3739</v>
      </c>
      <c r="D320" t="s">
        <v>33117</v>
      </c>
      <c r="E320">
        <v>2.8899999999999998E-4</v>
      </c>
      <c r="F320">
        <v>0.99891300000000005</v>
      </c>
      <c r="G320">
        <v>2.4699999999999999E-4</v>
      </c>
      <c r="H320">
        <v>2.14E-4</v>
      </c>
      <c r="I320">
        <v>1.8599999999999999E-4</v>
      </c>
      <c r="J320">
        <v>1.7000000000000001E-4</v>
      </c>
      <c r="K320" t="s">
        <v>33123</v>
      </c>
      <c r="L320" t="s">
        <v>33125</v>
      </c>
      <c r="M320" t="s">
        <v>33131</v>
      </c>
      <c r="N320" t="s">
        <v>33127</v>
      </c>
      <c r="O320">
        <v>0.94779999999999998</v>
      </c>
    </row>
    <row r="321" spans="1:15" x14ac:dyDescent="0.75">
      <c r="A321" t="s">
        <v>3748</v>
      </c>
      <c r="B321" t="s">
        <v>560</v>
      </c>
      <c r="C321" t="s">
        <v>3746</v>
      </c>
      <c r="D321" t="s">
        <v>33117</v>
      </c>
      <c r="E321">
        <v>1.4999999999999999E-4</v>
      </c>
      <c r="F321">
        <v>0.99934800000000001</v>
      </c>
      <c r="G321">
        <v>1.3300000000000001E-4</v>
      </c>
      <c r="H321">
        <v>1.4899999999999999E-4</v>
      </c>
      <c r="I321">
        <v>1.21E-4</v>
      </c>
      <c r="J321">
        <v>1.18E-4</v>
      </c>
      <c r="K321" t="s">
        <v>33123</v>
      </c>
      <c r="L321" t="s">
        <v>33125</v>
      </c>
      <c r="M321" t="s">
        <v>33140</v>
      </c>
      <c r="N321" t="s">
        <v>33127</v>
      </c>
      <c r="O321">
        <v>0.74380000000000002</v>
      </c>
    </row>
    <row r="322" spans="1:15" x14ac:dyDescent="0.75">
      <c r="A322" t="s">
        <v>3754</v>
      </c>
      <c r="B322" t="s">
        <v>551</v>
      </c>
      <c r="C322" t="s">
        <v>3752</v>
      </c>
      <c r="D322" t="s">
        <v>33117</v>
      </c>
      <c r="E322">
        <v>2.2800000000000001E-4</v>
      </c>
      <c r="F322">
        <v>0.99909400000000004</v>
      </c>
      <c r="G322">
        <v>1.8699999999999999E-4</v>
      </c>
      <c r="H322">
        <v>1.7699999999999999E-4</v>
      </c>
      <c r="I322">
        <v>1.45E-4</v>
      </c>
      <c r="J322">
        <v>1.46E-4</v>
      </c>
      <c r="K322" t="s">
        <v>33123</v>
      </c>
      <c r="L322" t="s">
        <v>33125</v>
      </c>
      <c r="M322" t="s">
        <v>33131</v>
      </c>
      <c r="N322" t="s">
        <v>33127</v>
      </c>
      <c r="O322">
        <v>0.97499999999999998</v>
      </c>
    </row>
    <row r="323" spans="1:15" x14ac:dyDescent="0.75">
      <c r="A323" t="s">
        <v>3759</v>
      </c>
      <c r="B323" t="s">
        <v>463</v>
      </c>
      <c r="C323" t="s">
        <v>3757</v>
      </c>
      <c r="D323" t="s">
        <v>33110</v>
      </c>
      <c r="E323">
        <v>0.50051299999999999</v>
      </c>
      <c r="F323">
        <v>0.498587</v>
      </c>
      <c r="G323">
        <v>3.1599999999999998E-4</v>
      </c>
      <c r="H323">
        <v>1.9000000000000001E-4</v>
      </c>
      <c r="I323">
        <v>2.3800000000000001E-4</v>
      </c>
      <c r="J323">
        <v>1.7799999999999999E-4</v>
      </c>
    </row>
    <row r="324" spans="1:15" x14ac:dyDescent="0.75">
      <c r="A324" t="s">
        <v>3763</v>
      </c>
      <c r="B324" t="s">
        <v>560</v>
      </c>
      <c r="C324" t="s">
        <v>3761</v>
      </c>
      <c r="D324" t="s">
        <v>33117</v>
      </c>
      <c r="E324">
        <v>1.94E-4</v>
      </c>
      <c r="F324">
        <v>0.99912500000000004</v>
      </c>
      <c r="G324">
        <v>1.8000000000000001E-4</v>
      </c>
      <c r="H324">
        <v>1.8100000000000001E-4</v>
      </c>
      <c r="I324">
        <v>1.5200000000000001E-4</v>
      </c>
      <c r="J324">
        <v>1.4899999999999999E-4</v>
      </c>
      <c r="K324" t="s">
        <v>33123</v>
      </c>
      <c r="L324" t="s">
        <v>33125</v>
      </c>
      <c r="M324" t="s">
        <v>33132</v>
      </c>
      <c r="N324" t="s">
        <v>33127</v>
      </c>
      <c r="O324">
        <v>0.94179999999999997</v>
      </c>
    </row>
    <row r="325" spans="1:15" x14ac:dyDescent="0.75">
      <c r="A325" t="s">
        <v>3768</v>
      </c>
      <c r="B325" t="s">
        <v>154</v>
      </c>
      <c r="C325" t="s">
        <v>3766</v>
      </c>
      <c r="D325" t="s">
        <v>33117</v>
      </c>
      <c r="E325">
        <v>2.9300000000000002E-4</v>
      </c>
      <c r="F325">
        <v>0.998915</v>
      </c>
      <c r="G325">
        <v>2.4899999999999998E-4</v>
      </c>
      <c r="H325">
        <v>2.1800000000000001E-4</v>
      </c>
      <c r="I325">
        <v>1.8900000000000001E-4</v>
      </c>
      <c r="J325">
        <v>1.7200000000000001E-4</v>
      </c>
      <c r="K325" t="s">
        <v>33123</v>
      </c>
      <c r="L325" t="s">
        <v>33125</v>
      </c>
      <c r="M325" t="s">
        <v>33149</v>
      </c>
      <c r="N325" t="s">
        <v>33127</v>
      </c>
      <c r="O325">
        <v>0.36480000000000001</v>
      </c>
    </row>
    <row r="326" spans="1:15" x14ac:dyDescent="0.75">
      <c r="A326" t="s">
        <v>3773</v>
      </c>
      <c r="B326" t="s">
        <v>560</v>
      </c>
      <c r="C326" t="s">
        <v>3771</v>
      </c>
      <c r="D326" t="s">
        <v>33117</v>
      </c>
      <c r="E326">
        <v>1.4999999999999999E-4</v>
      </c>
      <c r="F326">
        <v>0.99934800000000001</v>
      </c>
      <c r="G326">
        <v>1.3300000000000001E-4</v>
      </c>
      <c r="H326">
        <v>1.4899999999999999E-4</v>
      </c>
      <c r="I326">
        <v>1.21E-4</v>
      </c>
      <c r="J326">
        <v>1.18E-4</v>
      </c>
      <c r="K326" t="s">
        <v>33123</v>
      </c>
      <c r="L326" t="s">
        <v>33125</v>
      </c>
      <c r="M326" t="s">
        <v>33140</v>
      </c>
      <c r="N326" t="s">
        <v>33127</v>
      </c>
      <c r="O326">
        <v>0.74380000000000002</v>
      </c>
    </row>
    <row r="327" spans="1:15" x14ac:dyDescent="0.75">
      <c r="A327" t="s">
        <v>3779</v>
      </c>
      <c r="B327" t="s">
        <v>154</v>
      </c>
      <c r="C327" t="s">
        <v>3777</v>
      </c>
      <c r="D327" t="s">
        <v>33117</v>
      </c>
      <c r="E327">
        <v>1.7100000000000001E-4</v>
      </c>
      <c r="F327">
        <v>0.99926400000000004</v>
      </c>
      <c r="G327">
        <v>1.4899999999999999E-4</v>
      </c>
      <c r="H327">
        <v>1.5699999999999999E-4</v>
      </c>
      <c r="I327">
        <v>1.3200000000000001E-4</v>
      </c>
      <c r="J327">
        <v>1.2899999999999999E-4</v>
      </c>
      <c r="K327" t="s">
        <v>33123</v>
      </c>
      <c r="L327" t="s">
        <v>33125</v>
      </c>
      <c r="M327" t="s">
        <v>33140</v>
      </c>
      <c r="N327" t="s">
        <v>33127</v>
      </c>
      <c r="O327">
        <v>0.86980000000000002</v>
      </c>
    </row>
    <row r="328" spans="1:15" x14ac:dyDescent="0.75">
      <c r="A328" t="s">
        <v>3785</v>
      </c>
      <c r="B328" t="s">
        <v>242</v>
      </c>
      <c r="C328" t="s">
        <v>3783</v>
      </c>
      <c r="D328" t="s">
        <v>33116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 t="s">
        <v>33123</v>
      </c>
      <c r="L328" t="s">
        <v>33125</v>
      </c>
      <c r="M328" t="s">
        <v>33132</v>
      </c>
      <c r="N328" t="s">
        <v>33127</v>
      </c>
      <c r="O328">
        <v>0.99539999999999995</v>
      </c>
    </row>
    <row r="329" spans="1:15" x14ac:dyDescent="0.75">
      <c r="A329" t="s">
        <v>3791</v>
      </c>
      <c r="B329" t="s">
        <v>242</v>
      </c>
      <c r="C329" t="s">
        <v>3783</v>
      </c>
      <c r="D329" t="s">
        <v>33110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</row>
    <row r="330" spans="1:15" x14ac:dyDescent="0.75">
      <c r="A330" t="s">
        <v>3797</v>
      </c>
      <c r="B330" t="s">
        <v>154</v>
      </c>
      <c r="C330" t="s">
        <v>3795</v>
      </c>
      <c r="D330" t="s">
        <v>33117</v>
      </c>
      <c r="E330">
        <v>2.92E-4</v>
      </c>
      <c r="F330">
        <v>0.99888399999999999</v>
      </c>
      <c r="G330">
        <v>2.5000000000000001E-4</v>
      </c>
      <c r="H330">
        <v>2.2100000000000001E-4</v>
      </c>
      <c r="I330">
        <v>1.8599999999999999E-4</v>
      </c>
      <c r="J330">
        <v>1.7699999999999999E-4</v>
      </c>
      <c r="K330" t="s">
        <v>33123</v>
      </c>
      <c r="L330" t="s">
        <v>33125</v>
      </c>
      <c r="M330" t="s">
        <v>33131</v>
      </c>
      <c r="N330" t="s">
        <v>33127</v>
      </c>
      <c r="O330">
        <v>0.95209999999999995</v>
      </c>
    </row>
    <row r="331" spans="1:15" x14ac:dyDescent="0.75">
      <c r="A331" t="s">
        <v>3803</v>
      </c>
      <c r="B331" t="s">
        <v>154</v>
      </c>
      <c r="C331" t="s">
        <v>3801</v>
      </c>
      <c r="D331" t="s">
        <v>33117</v>
      </c>
      <c r="E331">
        <v>2.9399999999999999E-4</v>
      </c>
      <c r="F331">
        <v>0.99888100000000002</v>
      </c>
      <c r="G331">
        <v>2.4800000000000001E-4</v>
      </c>
      <c r="H331">
        <v>2.1599999999999999E-4</v>
      </c>
      <c r="I331">
        <v>1.8699999999999999E-4</v>
      </c>
      <c r="J331">
        <v>1.7200000000000001E-4</v>
      </c>
      <c r="K331" t="s">
        <v>33123</v>
      </c>
      <c r="L331" t="s">
        <v>33125</v>
      </c>
      <c r="M331" t="s">
        <v>33149</v>
      </c>
      <c r="N331" t="s">
        <v>33127</v>
      </c>
      <c r="O331">
        <v>0.3725</v>
      </c>
    </row>
    <row r="332" spans="1:15" x14ac:dyDescent="0.75">
      <c r="A332" t="s">
        <v>3808</v>
      </c>
      <c r="B332" t="s">
        <v>463</v>
      </c>
      <c r="C332" t="s">
        <v>3806</v>
      </c>
      <c r="D332" t="s">
        <v>33117</v>
      </c>
      <c r="E332">
        <v>0.45750800000000003</v>
      </c>
      <c r="F332">
        <v>0.541736</v>
      </c>
      <c r="G332">
        <v>2.6800000000000001E-4</v>
      </c>
      <c r="H332">
        <v>1.6000000000000001E-4</v>
      </c>
      <c r="I332">
        <v>1.8599999999999999E-4</v>
      </c>
      <c r="J332">
        <v>1.5100000000000001E-4</v>
      </c>
      <c r="K332" t="s">
        <v>33123</v>
      </c>
      <c r="L332" t="s">
        <v>33125</v>
      </c>
      <c r="M332" t="s">
        <v>33139</v>
      </c>
      <c r="N332" t="s">
        <v>33127</v>
      </c>
      <c r="O332">
        <v>0.4703</v>
      </c>
    </row>
    <row r="333" spans="1:15" x14ac:dyDescent="0.75">
      <c r="A333" t="s">
        <v>3813</v>
      </c>
      <c r="B333" t="s">
        <v>560</v>
      </c>
      <c r="C333" t="s">
        <v>3811</v>
      </c>
      <c r="D333" t="s">
        <v>33110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5" x14ac:dyDescent="0.75">
      <c r="A334" t="s">
        <v>3817</v>
      </c>
      <c r="B334" t="s">
        <v>560</v>
      </c>
      <c r="C334" t="s">
        <v>3815</v>
      </c>
      <c r="D334" t="s">
        <v>33110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5" x14ac:dyDescent="0.75">
      <c r="A335" t="s">
        <v>3896</v>
      </c>
      <c r="B335" t="s">
        <v>106</v>
      </c>
      <c r="C335" t="s">
        <v>3894</v>
      </c>
      <c r="D335" t="s">
        <v>33116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0</v>
      </c>
      <c r="K335" t="s">
        <v>33123</v>
      </c>
      <c r="L335" t="s">
        <v>33125</v>
      </c>
      <c r="M335" t="s">
        <v>33129</v>
      </c>
      <c r="N335" t="s">
        <v>33127</v>
      </c>
      <c r="O335">
        <v>0.99429999999999996</v>
      </c>
    </row>
    <row r="336" spans="1:15" x14ac:dyDescent="0.75">
      <c r="A336" t="s">
        <v>3900</v>
      </c>
      <c r="B336" t="s">
        <v>106</v>
      </c>
      <c r="C336" t="s">
        <v>3894</v>
      </c>
      <c r="D336" t="s">
        <v>33116</v>
      </c>
      <c r="E336">
        <v>2.5999999999999998E-5</v>
      </c>
      <c r="F336">
        <v>0.16658200000000001</v>
      </c>
      <c r="G336">
        <v>0.83338100000000004</v>
      </c>
      <c r="H336">
        <v>1.8E-5</v>
      </c>
      <c r="I336">
        <v>1.5E-5</v>
      </c>
      <c r="J336">
        <v>1.5999999999999999E-5</v>
      </c>
      <c r="K336" t="s">
        <v>33123</v>
      </c>
      <c r="L336" t="s">
        <v>33125</v>
      </c>
      <c r="M336" t="s">
        <v>33126</v>
      </c>
      <c r="N336" t="s">
        <v>33127</v>
      </c>
      <c r="O336">
        <v>0.82920000000000005</v>
      </c>
    </row>
    <row r="337" spans="1:15" x14ac:dyDescent="0.75">
      <c r="A337" t="s">
        <v>3902</v>
      </c>
      <c r="B337" t="s">
        <v>106</v>
      </c>
      <c r="C337" t="s">
        <v>3894</v>
      </c>
      <c r="D337" t="s">
        <v>33116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 t="s">
        <v>33123</v>
      </c>
      <c r="L337" t="s">
        <v>33125</v>
      </c>
      <c r="M337" t="s">
        <v>33128</v>
      </c>
      <c r="N337" t="s">
        <v>33127</v>
      </c>
      <c r="O337">
        <v>0.99639999999999995</v>
      </c>
    </row>
    <row r="338" spans="1:15" x14ac:dyDescent="0.75">
      <c r="A338" t="s">
        <v>3906</v>
      </c>
      <c r="B338" t="s">
        <v>2768</v>
      </c>
      <c r="C338" t="s">
        <v>3904</v>
      </c>
      <c r="D338" t="s">
        <v>33117</v>
      </c>
      <c r="E338">
        <v>2.2599999999999999E-4</v>
      </c>
      <c r="F338">
        <v>0.99907299999999999</v>
      </c>
      <c r="G338">
        <v>1.8000000000000001E-4</v>
      </c>
      <c r="H338">
        <v>2.0799999999999999E-4</v>
      </c>
      <c r="I338">
        <v>1.6899999999999999E-4</v>
      </c>
      <c r="J338">
        <v>1.55E-4</v>
      </c>
      <c r="K338" t="s">
        <v>33123</v>
      </c>
      <c r="L338" t="s">
        <v>33125</v>
      </c>
      <c r="M338" t="s">
        <v>33149</v>
      </c>
      <c r="N338" t="s">
        <v>33127</v>
      </c>
      <c r="O338">
        <v>0.97370000000000001</v>
      </c>
    </row>
    <row r="339" spans="1:15" x14ac:dyDescent="0.75">
      <c r="A339" t="s">
        <v>4016</v>
      </c>
      <c r="B339" t="s">
        <v>154</v>
      </c>
      <c r="C339" t="s">
        <v>4014</v>
      </c>
      <c r="D339" t="s">
        <v>33117</v>
      </c>
      <c r="E339">
        <v>2.6899999999999998E-4</v>
      </c>
      <c r="F339">
        <v>0.99897400000000003</v>
      </c>
      <c r="G339">
        <v>2.33E-4</v>
      </c>
      <c r="H339">
        <v>2.05E-4</v>
      </c>
      <c r="I339">
        <v>1.7899999999999999E-4</v>
      </c>
      <c r="J339">
        <v>1.64E-4</v>
      </c>
      <c r="K339" t="s">
        <v>33123</v>
      </c>
      <c r="L339" t="s">
        <v>33125</v>
      </c>
      <c r="M339" t="s">
        <v>33131</v>
      </c>
      <c r="N339" t="s">
        <v>33127</v>
      </c>
      <c r="O339">
        <v>0.97019999999999995</v>
      </c>
    </row>
    <row r="340" spans="1:15" x14ac:dyDescent="0.75">
      <c r="A340" t="s">
        <v>4028</v>
      </c>
      <c r="B340" t="s">
        <v>106</v>
      </c>
      <c r="C340" t="s">
        <v>4026</v>
      </c>
      <c r="D340" t="s">
        <v>33116</v>
      </c>
      <c r="E340">
        <v>3.4999999999999997E-5</v>
      </c>
      <c r="F340">
        <v>0.166519</v>
      </c>
      <c r="G340">
        <v>0.83341200000000004</v>
      </c>
      <c r="H340">
        <v>2.6999999999999999E-5</v>
      </c>
      <c r="I340">
        <v>2.0999999999999999E-5</v>
      </c>
      <c r="J340">
        <v>2.5999999999999998E-5</v>
      </c>
      <c r="K340" t="s">
        <v>33123</v>
      </c>
      <c r="L340" t="s">
        <v>33125</v>
      </c>
      <c r="M340" t="s">
        <v>33129</v>
      </c>
      <c r="N340" t="s">
        <v>33127</v>
      </c>
      <c r="O340">
        <v>0.82950000000000002</v>
      </c>
    </row>
    <row r="341" spans="1:15" x14ac:dyDescent="0.75">
      <c r="A341" t="s">
        <v>4031</v>
      </c>
      <c r="B341" t="s">
        <v>106</v>
      </c>
      <c r="C341" t="s">
        <v>4026</v>
      </c>
      <c r="D341" t="s">
        <v>33116</v>
      </c>
      <c r="E341">
        <v>3.0000000000000001E-5</v>
      </c>
      <c r="F341">
        <v>0.166597</v>
      </c>
      <c r="G341">
        <v>0.83335999999999999</v>
      </c>
      <c r="H341">
        <v>1.4E-5</v>
      </c>
      <c r="I341">
        <v>1.2E-5</v>
      </c>
      <c r="J341">
        <v>1.4E-5</v>
      </c>
      <c r="K341" t="s">
        <v>33123</v>
      </c>
      <c r="L341" t="s">
        <v>33125</v>
      </c>
      <c r="M341" t="s">
        <v>33128</v>
      </c>
      <c r="N341" t="s">
        <v>33127</v>
      </c>
      <c r="O341">
        <v>0.83030000000000004</v>
      </c>
    </row>
    <row r="342" spans="1:15" x14ac:dyDescent="0.75">
      <c r="A342" t="s">
        <v>4033</v>
      </c>
      <c r="B342" t="s">
        <v>106</v>
      </c>
      <c r="C342" t="s">
        <v>4026</v>
      </c>
      <c r="D342" t="s">
        <v>33116</v>
      </c>
      <c r="E342">
        <v>0</v>
      </c>
      <c r="F342">
        <v>0</v>
      </c>
      <c r="G342">
        <v>1</v>
      </c>
      <c r="H342">
        <v>0</v>
      </c>
      <c r="I342">
        <v>0</v>
      </c>
      <c r="J342">
        <v>0</v>
      </c>
      <c r="K342" t="s">
        <v>33123</v>
      </c>
      <c r="L342" t="s">
        <v>33125</v>
      </c>
      <c r="M342" t="s">
        <v>33129</v>
      </c>
      <c r="N342" t="s">
        <v>33127</v>
      </c>
      <c r="O342">
        <v>0.99570000000000003</v>
      </c>
    </row>
    <row r="343" spans="1:15" x14ac:dyDescent="0.75">
      <c r="A343" t="s">
        <v>4038</v>
      </c>
      <c r="B343" t="s">
        <v>2377</v>
      </c>
      <c r="C343" t="s">
        <v>4036</v>
      </c>
      <c r="D343" t="s">
        <v>33117</v>
      </c>
      <c r="E343">
        <v>2.1599999999999999E-4</v>
      </c>
      <c r="F343">
        <v>0.99912500000000004</v>
      </c>
      <c r="G343">
        <v>1.7699999999999999E-4</v>
      </c>
      <c r="H343">
        <v>2.0599999999999999E-4</v>
      </c>
      <c r="I343">
        <v>1.5799999999999999E-4</v>
      </c>
      <c r="J343">
        <v>1.4999999999999999E-4</v>
      </c>
      <c r="K343" t="s">
        <v>33123</v>
      </c>
      <c r="L343" t="s">
        <v>33125</v>
      </c>
      <c r="M343" t="s">
        <v>33136</v>
      </c>
      <c r="N343" t="s">
        <v>33127</v>
      </c>
      <c r="O343">
        <v>0.97040000000000004</v>
      </c>
    </row>
    <row r="344" spans="1:15" x14ac:dyDescent="0.75">
      <c r="A344" t="s">
        <v>4040</v>
      </c>
      <c r="B344" t="s">
        <v>2377</v>
      </c>
      <c r="C344" t="s">
        <v>4036</v>
      </c>
      <c r="D344" t="s">
        <v>33117</v>
      </c>
      <c r="E344">
        <v>7.5358999999999995E-2</v>
      </c>
      <c r="F344">
        <v>0.92375200000000002</v>
      </c>
      <c r="G344">
        <v>2.4399999999999999E-4</v>
      </c>
      <c r="H344">
        <v>2.5999999999999998E-4</v>
      </c>
      <c r="I344">
        <v>1.9799999999999999E-4</v>
      </c>
      <c r="J344">
        <v>1.93E-4</v>
      </c>
      <c r="K344" t="s">
        <v>33123</v>
      </c>
      <c r="L344" t="s">
        <v>33125</v>
      </c>
      <c r="M344" t="s">
        <v>33136</v>
      </c>
      <c r="N344" t="s">
        <v>33127</v>
      </c>
      <c r="O344">
        <v>0.78790000000000004</v>
      </c>
    </row>
    <row r="345" spans="1:15" x14ac:dyDescent="0.75">
      <c r="A345" t="s">
        <v>4043</v>
      </c>
      <c r="B345" t="s">
        <v>2377</v>
      </c>
      <c r="C345" t="s">
        <v>4041</v>
      </c>
      <c r="D345" t="s">
        <v>33117</v>
      </c>
      <c r="E345">
        <v>1.8900000000000001E-4</v>
      </c>
      <c r="F345">
        <v>0.99919199999999997</v>
      </c>
      <c r="G345">
        <v>1.6699999999999999E-4</v>
      </c>
      <c r="H345">
        <v>1.8000000000000001E-4</v>
      </c>
      <c r="I345">
        <v>1.36E-4</v>
      </c>
      <c r="J345">
        <v>1.4100000000000001E-4</v>
      </c>
      <c r="K345" t="s">
        <v>33123</v>
      </c>
      <c r="L345" t="s">
        <v>33125</v>
      </c>
      <c r="M345" t="s">
        <v>33126</v>
      </c>
      <c r="N345" t="s">
        <v>33127</v>
      </c>
      <c r="O345">
        <v>0.9708</v>
      </c>
    </row>
    <row r="346" spans="1:15" x14ac:dyDescent="0.75">
      <c r="A346" t="s">
        <v>4050</v>
      </c>
      <c r="B346" t="s">
        <v>2377</v>
      </c>
      <c r="C346" t="s">
        <v>4041</v>
      </c>
      <c r="D346" t="s">
        <v>33117</v>
      </c>
      <c r="E346">
        <v>2.4899999999999998E-4</v>
      </c>
      <c r="F346">
        <v>0.99899700000000002</v>
      </c>
      <c r="G346">
        <v>1.9699999999999999E-4</v>
      </c>
      <c r="H346">
        <v>2.3000000000000001E-4</v>
      </c>
      <c r="I346">
        <v>1.75E-4</v>
      </c>
      <c r="J346">
        <v>1.6899999999999999E-4</v>
      </c>
      <c r="K346" t="s">
        <v>33123</v>
      </c>
      <c r="L346" t="s">
        <v>33125</v>
      </c>
      <c r="M346" t="s">
        <v>33135</v>
      </c>
      <c r="N346" t="s">
        <v>33127</v>
      </c>
      <c r="O346">
        <v>0.95389999999999997</v>
      </c>
    </row>
    <row r="347" spans="1:15" x14ac:dyDescent="0.75">
      <c r="A347" t="s">
        <v>4076</v>
      </c>
      <c r="B347" t="s">
        <v>2377</v>
      </c>
      <c r="C347" t="s">
        <v>4074</v>
      </c>
      <c r="D347" t="s">
        <v>33117</v>
      </c>
      <c r="E347">
        <v>2.1599999999999999E-4</v>
      </c>
      <c r="F347">
        <v>0.99911499999999998</v>
      </c>
      <c r="G347">
        <v>1.8000000000000001E-4</v>
      </c>
      <c r="H347">
        <v>2.0900000000000001E-4</v>
      </c>
      <c r="I347">
        <v>1.5699999999999999E-4</v>
      </c>
      <c r="J347">
        <v>1.56E-4</v>
      </c>
      <c r="K347" t="s">
        <v>33123</v>
      </c>
      <c r="L347" t="s">
        <v>33125</v>
      </c>
      <c r="M347" t="s">
        <v>33136</v>
      </c>
      <c r="N347" t="s">
        <v>33127</v>
      </c>
      <c r="O347">
        <v>0.96850000000000003</v>
      </c>
    </row>
    <row r="348" spans="1:15" x14ac:dyDescent="0.75">
      <c r="A348" t="s">
        <v>4081</v>
      </c>
      <c r="B348" t="s">
        <v>2377</v>
      </c>
      <c r="C348" t="s">
        <v>4074</v>
      </c>
      <c r="D348" t="s">
        <v>33117</v>
      </c>
      <c r="E348">
        <v>2.5700000000000001E-4</v>
      </c>
      <c r="F348">
        <v>0.99892899999999996</v>
      </c>
      <c r="G348">
        <v>2.2100000000000001E-4</v>
      </c>
      <c r="H348">
        <v>2.4600000000000002E-4</v>
      </c>
      <c r="I348">
        <v>1.8699999999999999E-4</v>
      </c>
      <c r="J348">
        <v>1.7899999999999999E-4</v>
      </c>
      <c r="K348" t="s">
        <v>33123</v>
      </c>
      <c r="L348" t="s">
        <v>33125</v>
      </c>
      <c r="M348" t="s">
        <v>33135</v>
      </c>
      <c r="N348" t="s">
        <v>33127</v>
      </c>
      <c r="O348">
        <v>0.877</v>
      </c>
    </row>
    <row r="349" spans="1:15" x14ac:dyDescent="0.75">
      <c r="A349" t="s">
        <v>4084</v>
      </c>
      <c r="B349" t="s">
        <v>2377</v>
      </c>
      <c r="C349" t="s">
        <v>4082</v>
      </c>
      <c r="D349" t="s">
        <v>33117</v>
      </c>
      <c r="E349">
        <v>2.42E-4</v>
      </c>
      <c r="F349">
        <v>0.99902999999999997</v>
      </c>
      <c r="G349">
        <v>1.92E-4</v>
      </c>
      <c r="H349">
        <v>2.24E-4</v>
      </c>
      <c r="I349">
        <v>1.6799999999999999E-4</v>
      </c>
      <c r="J349">
        <v>1.6100000000000001E-4</v>
      </c>
      <c r="K349" t="s">
        <v>33123</v>
      </c>
      <c r="L349" t="s">
        <v>33125</v>
      </c>
      <c r="M349" t="s">
        <v>33135</v>
      </c>
      <c r="N349" t="s">
        <v>33127</v>
      </c>
      <c r="O349">
        <v>0.71940000000000004</v>
      </c>
    </row>
    <row r="350" spans="1:15" x14ac:dyDescent="0.75">
      <c r="A350" t="s">
        <v>4089</v>
      </c>
      <c r="B350" t="s">
        <v>2377</v>
      </c>
      <c r="C350" t="s">
        <v>4082</v>
      </c>
      <c r="D350" t="s">
        <v>33117</v>
      </c>
      <c r="E350">
        <v>1.7899999999999999E-4</v>
      </c>
      <c r="F350">
        <v>0.99921199999999999</v>
      </c>
      <c r="G350">
        <v>1.56E-4</v>
      </c>
      <c r="H350">
        <v>1.74E-4</v>
      </c>
      <c r="I350">
        <v>1.3100000000000001E-4</v>
      </c>
      <c r="J350">
        <v>1.34E-4</v>
      </c>
      <c r="K350" t="s">
        <v>33123</v>
      </c>
      <c r="L350" t="s">
        <v>33125</v>
      </c>
      <c r="M350" t="s">
        <v>33126</v>
      </c>
      <c r="N350" t="s">
        <v>33127</v>
      </c>
      <c r="O350">
        <v>0.97370000000000001</v>
      </c>
    </row>
    <row r="351" spans="1:15" x14ac:dyDescent="0.75">
      <c r="A351" t="s">
        <v>4092</v>
      </c>
      <c r="B351" t="s">
        <v>2377</v>
      </c>
      <c r="C351" t="s">
        <v>4090</v>
      </c>
      <c r="D351" t="s">
        <v>33117</v>
      </c>
      <c r="E351">
        <v>1.7899999999999999E-4</v>
      </c>
      <c r="F351">
        <v>0.99921199999999999</v>
      </c>
      <c r="G351">
        <v>1.56E-4</v>
      </c>
      <c r="H351">
        <v>1.74E-4</v>
      </c>
      <c r="I351">
        <v>1.3100000000000001E-4</v>
      </c>
      <c r="J351">
        <v>1.34E-4</v>
      </c>
      <c r="K351" t="s">
        <v>33123</v>
      </c>
      <c r="L351" t="s">
        <v>33125</v>
      </c>
      <c r="M351" t="s">
        <v>33126</v>
      </c>
      <c r="N351" t="s">
        <v>33127</v>
      </c>
      <c r="O351">
        <v>0.97370000000000001</v>
      </c>
    </row>
    <row r="352" spans="1:15" x14ac:dyDescent="0.75">
      <c r="A352" t="s">
        <v>4097</v>
      </c>
      <c r="B352" t="s">
        <v>2377</v>
      </c>
      <c r="C352" t="s">
        <v>4090</v>
      </c>
      <c r="D352" t="s">
        <v>33117</v>
      </c>
      <c r="E352">
        <v>2.63E-4</v>
      </c>
      <c r="F352">
        <v>0.99891700000000005</v>
      </c>
      <c r="G352">
        <v>2.14E-4</v>
      </c>
      <c r="H352">
        <v>2.5399999999999999E-4</v>
      </c>
      <c r="I352">
        <v>1.9100000000000001E-4</v>
      </c>
      <c r="J352">
        <v>1.7899999999999999E-4</v>
      </c>
      <c r="K352" t="s">
        <v>33123</v>
      </c>
      <c r="L352" t="s">
        <v>33125</v>
      </c>
      <c r="M352" t="s">
        <v>33135</v>
      </c>
      <c r="N352" t="s">
        <v>33127</v>
      </c>
      <c r="O352">
        <v>0.96530000000000005</v>
      </c>
    </row>
    <row r="353" spans="1:15" x14ac:dyDescent="0.75">
      <c r="A353" t="s">
        <v>4100</v>
      </c>
      <c r="B353" t="s">
        <v>2377</v>
      </c>
      <c r="C353" t="s">
        <v>4098</v>
      </c>
      <c r="D353" t="s">
        <v>33117</v>
      </c>
      <c r="E353">
        <v>7.3569999999999997E-2</v>
      </c>
      <c r="F353">
        <v>0.92552999999999996</v>
      </c>
      <c r="G353">
        <v>2.5300000000000002E-4</v>
      </c>
      <c r="H353">
        <v>2.5799999999999998E-4</v>
      </c>
      <c r="I353">
        <v>1.9799999999999999E-4</v>
      </c>
      <c r="J353">
        <v>1.8699999999999999E-4</v>
      </c>
      <c r="K353" t="s">
        <v>33123</v>
      </c>
      <c r="L353" t="s">
        <v>33125</v>
      </c>
      <c r="M353" t="s">
        <v>33136</v>
      </c>
      <c r="N353" t="s">
        <v>33127</v>
      </c>
      <c r="O353">
        <v>0.87529999999999997</v>
      </c>
    </row>
    <row r="354" spans="1:15" x14ac:dyDescent="0.75">
      <c r="A354" t="s">
        <v>4107</v>
      </c>
      <c r="B354" t="s">
        <v>2377</v>
      </c>
      <c r="C354" t="s">
        <v>4098</v>
      </c>
      <c r="D354" t="s">
        <v>33117</v>
      </c>
      <c r="E354">
        <v>2.13E-4</v>
      </c>
      <c r="F354">
        <v>0.99910699999999997</v>
      </c>
      <c r="G354">
        <v>1.7699999999999999E-4</v>
      </c>
      <c r="H354">
        <v>2.0799999999999999E-4</v>
      </c>
      <c r="I354">
        <v>1.56E-4</v>
      </c>
      <c r="J354">
        <v>1.56E-4</v>
      </c>
      <c r="K354" t="s">
        <v>33123</v>
      </c>
      <c r="L354" t="s">
        <v>33125</v>
      </c>
      <c r="M354" t="s">
        <v>33136</v>
      </c>
      <c r="N354" t="s">
        <v>33127</v>
      </c>
      <c r="O354">
        <v>0.96650000000000003</v>
      </c>
    </row>
    <row r="355" spans="1:15" x14ac:dyDescent="0.75">
      <c r="A355" t="s">
        <v>4110</v>
      </c>
      <c r="B355" t="s">
        <v>2377</v>
      </c>
      <c r="C355" t="s">
        <v>4108</v>
      </c>
      <c r="D355" t="s">
        <v>33117</v>
      </c>
      <c r="E355">
        <v>7.3671E-2</v>
      </c>
      <c r="F355">
        <v>0.92534899999999998</v>
      </c>
      <c r="G355">
        <v>2.72E-4</v>
      </c>
      <c r="H355">
        <v>2.7799999999999998E-4</v>
      </c>
      <c r="I355">
        <v>2.1900000000000001E-4</v>
      </c>
      <c r="J355">
        <v>2.05E-4</v>
      </c>
      <c r="K355" t="s">
        <v>33123</v>
      </c>
      <c r="L355" t="s">
        <v>33125</v>
      </c>
      <c r="M355" t="s">
        <v>33135</v>
      </c>
      <c r="N355" t="s">
        <v>33127</v>
      </c>
      <c r="O355">
        <v>0.65469999999999995</v>
      </c>
    </row>
    <row r="356" spans="1:15" x14ac:dyDescent="0.75">
      <c r="A356" t="s">
        <v>4115</v>
      </c>
      <c r="B356" t="s">
        <v>2377</v>
      </c>
      <c r="C356" t="s">
        <v>4108</v>
      </c>
      <c r="D356" t="s">
        <v>33117</v>
      </c>
      <c r="E356">
        <v>2.1499999999999999E-4</v>
      </c>
      <c r="F356">
        <v>0.99911000000000005</v>
      </c>
      <c r="G356">
        <v>1.7799999999999999E-4</v>
      </c>
      <c r="H356">
        <v>2.1000000000000001E-4</v>
      </c>
      <c r="I356">
        <v>1.56E-4</v>
      </c>
      <c r="J356">
        <v>1.56E-4</v>
      </c>
      <c r="K356" t="s">
        <v>33123</v>
      </c>
      <c r="L356" t="s">
        <v>33125</v>
      </c>
      <c r="M356" t="s">
        <v>33136</v>
      </c>
      <c r="N356" t="s">
        <v>33127</v>
      </c>
      <c r="O356">
        <v>0.96819999999999995</v>
      </c>
    </row>
    <row r="357" spans="1:15" x14ac:dyDescent="0.75">
      <c r="A357" t="s">
        <v>4118</v>
      </c>
      <c r="B357" t="s">
        <v>2377</v>
      </c>
      <c r="C357" t="s">
        <v>4116</v>
      </c>
      <c r="D357" t="s">
        <v>33117</v>
      </c>
      <c r="E357">
        <v>2.1599999999999999E-4</v>
      </c>
      <c r="F357">
        <v>0.99911499999999998</v>
      </c>
      <c r="G357">
        <v>1.8000000000000001E-4</v>
      </c>
      <c r="H357">
        <v>2.0900000000000001E-4</v>
      </c>
      <c r="I357">
        <v>1.5699999999999999E-4</v>
      </c>
      <c r="J357">
        <v>1.56E-4</v>
      </c>
      <c r="K357" t="s">
        <v>33123</v>
      </c>
      <c r="L357" t="s">
        <v>33125</v>
      </c>
      <c r="M357" t="s">
        <v>33136</v>
      </c>
      <c r="N357" t="s">
        <v>33127</v>
      </c>
      <c r="O357">
        <v>0.96850000000000003</v>
      </c>
    </row>
    <row r="358" spans="1:15" x14ac:dyDescent="0.75">
      <c r="A358" t="s">
        <v>4122</v>
      </c>
      <c r="B358" t="s">
        <v>2377</v>
      </c>
      <c r="C358" t="s">
        <v>4116</v>
      </c>
      <c r="D358" t="s">
        <v>33117</v>
      </c>
      <c r="E358">
        <v>2.5700000000000001E-4</v>
      </c>
      <c r="F358">
        <v>0.99892899999999996</v>
      </c>
      <c r="G358">
        <v>2.2100000000000001E-4</v>
      </c>
      <c r="H358">
        <v>2.4600000000000002E-4</v>
      </c>
      <c r="I358">
        <v>1.8699999999999999E-4</v>
      </c>
      <c r="J358">
        <v>1.7899999999999999E-4</v>
      </c>
      <c r="K358" t="s">
        <v>33123</v>
      </c>
      <c r="L358" t="s">
        <v>33125</v>
      </c>
      <c r="M358" t="s">
        <v>33135</v>
      </c>
      <c r="N358" t="s">
        <v>33127</v>
      </c>
      <c r="O358">
        <v>0.877</v>
      </c>
    </row>
    <row r="359" spans="1:15" x14ac:dyDescent="0.75">
      <c r="A359" t="s">
        <v>4125</v>
      </c>
      <c r="B359" t="s">
        <v>2377</v>
      </c>
      <c r="C359" t="s">
        <v>4123</v>
      </c>
      <c r="D359" t="s">
        <v>33117</v>
      </c>
      <c r="E359">
        <v>2.4600000000000002E-4</v>
      </c>
      <c r="F359">
        <v>0.99895999999999996</v>
      </c>
      <c r="G359">
        <v>2.0900000000000001E-4</v>
      </c>
      <c r="H359">
        <v>2.33E-4</v>
      </c>
      <c r="I359">
        <v>1.76E-4</v>
      </c>
      <c r="J359">
        <v>1.7100000000000001E-4</v>
      </c>
      <c r="K359" t="s">
        <v>33123</v>
      </c>
      <c r="L359" t="s">
        <v>33125</v>
      </c>
      <c r="M359" t="s">
        <v>33136</v>
      </c>
      <c r="N359" t="s">
        <v>33127</v>
      </c>
      <c r="O359">
        <v>0.9294</v>
      </c>
    </row>
    <row r="360" spans="1:15" x14ac:dyDescent="0.75">
      <c r="A360" t="s">
        <v>4130</v>
      </c>
      <c r="B360" t="s">
        <v>2377</v>
      </c>
      <c r="C360" t="s">
        <v>4123</v>
      </c>
      <c r="D360" t="s">
        <v>33117</v>
      </c>
      <c r="E360">
        <v>2.23E-4</v>
      </c>
      <c r="F360">
        <v>0.99907000000000001</v>
      </c>
      <c r="G360">
        <v>1.8699999999999999E-4</v>
      </c>
      <c r="H360">
        <v>2.1699999999999999E-4</v>
      </c>
      <c r="I360">
        <v>1.63E-4</v>
      </c>
      <c r="J360">
        <v>1.6100000000000001E-4</v>
      </c>
      <c r="K360" t="s">
        <v>33123</v>
      </c>
      <c r="L360" t="s">
        <v>33125</v>
      </c>
      <c r="M360" t="s">
        <v>33136</v>
      </c>
      <c r="N360" t="s">
        <v>33127</v>
      </c>
      <c r="O360">
        <v>0.96679999999999999</v>
      </c>
    </row>
    <row r="361" spans="1:15" x14ac:dyDescent="0.75">
      <c r="A361" t="s">
        <v>4133</v>
      </c>
      <c r="B361" t="s">
        <v>2377</v>
      </c>
      <c r="C361" t="s">
        <v>4131</v>
      </c>
      <c r="D361" t="s">
        <v>33117</v>
      </c>
      <c r="E361">
        <v>2.13E-4</v>
      </c>
      <c r="F361">
        <v>0.99910699999999997</v>
      </c>
      <c r="G361">
        <v>1.7699999999999999E-4</v>
      </c>
      <c r="H361">
        <v>2.0799999999999999E-4</v>
      </c>
      <c r="I361">
        <v>1.56E-4</v>
      </c>
      <c r="J361">
        <v>1.56E-4</v>
      </c>
      <c r="K361" t="s">
        <v>33123</v>
      </c>
      <c r="L361" t="s">
        <v>33125</v>
      </c>
      <c r="M361" t="s">
        <v>33136</v>
      </c>
      <c r="N361" t="s">
        <v>33127</v>
      </c>
      <c r="O361">
        <v>0.96650000000000003</v>
      </c>
    </row>
    <row r="362" spans="1:15" x14ac:dyDescent="0.75">
      <c r="A362" t="s">
        <v>4138</v>
      </c>
      <c r="B362" t="s">
        <v>2377</v>
      </c>
      <c r="C362" t="s">
        <v>4131</v>
      </c>
      <c r="D362" t="s">
        <v>33117</v>
      </c>
      <c r="E362">
        <v>2.6600000000000001E-4</v>
      </c>
      <c r="F362">
        <v>0.99890100000000004</v>
      </c>
      <c r="G362">
        <v>2.1499999999999999E-4</v>
      </c>
      <c r="H362">
        <v>2.5700000000000001E-4</v>
      </c>
      <c r="I362">
        <v>1.92E-4</v>
      </c>
      <c r="J362">
        <v>1.7899999999999999E-4</v>
      </c>
      <c r="K362" t="s">
        <v>33123</v>
      </c>
      <c r="L362" t="s">
        <v>33125</v>
      </c>
      <c r="M362" t="s">
        <v>33135</v>
      </c>
      <c r="N362" t="s">
        <v>33127</v>
      </c>
      <c r="O362">
        <v>0.96819999999999995</v>
      </c>
    </row>
    <row r="363" spans="1:15" x14ac:dyDescent="0.75">
      <c r="A363" t="s">
        <v>4141</v>
      </c>
      <c r="B363" t="s">
        <v>2377</v>
      </c>
      <c r="C363" t="s">
        <v>4139</v>
      </c>
      <c r="D363" t="s">
        <v>33117</v>
      </c>
      <c r="E363">
        <v>2.1499999999999999E-4</v>
      </c>
      <c r="F363">
        <v>0.99911000000000005</v>
      </c>
      <c r="G363">
        <v>1.7799999999999999E-4</v>
      </c>
      <c r="H363">
        <v>2.1000000000000001E-4</v>
      </c>
      <c r="I363">
        <v>1.56E-4</v>
      </c>
      <c r="J363">
        <v>1.56E-4</v>
      </c>
      <c r="K363" t="s">
        <v>33123</v>
      </c>
      <c r="L363" t="s">
        <v>33125</v>
      </c>
      <c r="M363" t="s">
        <v>33136</v>
      </c>
      <c r="N363" t="s">
        <v>33127</v>
      </c>
      <c r="O363">
        <v>0.96819999999999995</v>
      </c>
    </row>
    <row r="364" spans="1:15" x14ac:dyDescent="0.75">
      <c r="A364" t="s">
        <v>4146</v>
      </c>
      <c r="B364" t="s">
        <v>2377</v>
      </c>
      <c r="C364" t="s">
        <v>4139</v>
      </c>
      <c r="D364" t="s">
        <v>33117</v>
      </c>
      <c r="E364">
        <v>7.5001999999999999E-2</v>
      </c>
      <c r="F364">
        <v>0.92414200000000002</v>
      </c>
      <c r="G364">
        <v>2.3699999999999999E-4</v>
      </c>
      <c r="H364">
        <v>2.5099999999999998E-4</v>
      </c>
      <c r="I364">
        <v>1.95E-4</v>
      </c>
      <c r="J364">
        <v>1.8100000000000001E-4</v>
      </c>
      <c r="K364" t="s">
        <v>33123</v>
      </c>
      <c r="L364" t="s">
        <v>33125</v>
      </c>
      <c r="M364" t="s">
        <v>33136</v>
      </c>
      <c r="N364" t="s">
        <v>33127</v>
      </c>
      <c r="O364">
        <v>0.85909999999999997</v>
      </c>
    </row>
    <row r="365" spans="1:15" x14ac:dyDescent="0.75">
      <c r="A365" t="s">
        <v>4150</v>
      </c>
      <c r="B365" t="s">
        <v>2377</v>
      </c>
      <c r="C365" t="s">
        <v>4148</v>
      </c>
      <c r="D365" t="s">
        <v>33117</v>
      </c>
      <c r="E365">
        <v>2.7700000000000001E-4</v>
      </c>
      <c r="F365">
        <v>0.99886600000000003</v>
      </c>
      <c r="G365">
        <v>2.1599999999999999E-4</v>
      </c>
      <c r="H365">
        <v>2.5700000000000001E-4</v>
      </c>
      <c r="I365">
        <v>1.94E-4</v>
      </c>
      <c r="J365">
        <v>1.8200000000000001E-4</v>
      </c>
      <c r="K365" t="s">
        <v>33123</v>
      </c>
      <c r="L365" t="s">
        <v>33125</v>
      </c>
      <c r="M365" t="s">
        <v>33135</v>
      </c>
      <c r="N365" t="s">
        <v>33127</v>
      </c>
      <c r="O365">
        <v>0.95150000000000001</v>
      </c>
    </row>
    <row r="366" spans="1:15" x14ac:dyDescent="0.75">
      <c r="A366" t="s">
        <v>4155</v>
      </c>
      <c r="B366" t="s">
        <v>2377</v>
      </c>
      <c r="C366" t="s">
        <v>4148</v>
      </c>
      <c r="D366" t="s">
        <v>33117</v>
      </c>
      <c r="E366">
        <v>1.7899999999999999E-4</v>
      </c>
      <c r="F366">
        <v>0.99921199999999999</v>
      </c>
      <c r="G366">
        <v>1.56E-4</v>
      </c>
      <c r="H366">
        <v>1.74E-4</v>
      </c>
      <c r="I366">
        <v>1.3100000000000001E-4</v>
      </c>
      <c r="J366">
        <v>1.34E-4</v>
      </c>
      <c r="K366" t="s">
        <v>33123</v>
      </c>
      <c r="L366" t="s">
        <v>33125</v>
      </c>
      <c r="M366" t="s">
        <v>33126</v>
      </c>
      <c r="N366" t="s">
        <v>33127</v>
      </c>
      <c r="O366">
        <v>0.97370000000000001</v>
      </c>
    </row>
    <row r="367" spans="1:15" x14ac:dyDescent="0.75">
      <c r="A367" t="s">
        <v>4175</v>
      </c>
      <c r="B367" t="s">
        <v>393</v>
      </c>
      <c r="C367" t="s">
        <v>4173</v>
      </c>
      <c r="D367" t="s">
        <v>33118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 t="s">
        <v>33123</v>
      </c>
      <c r="L367" t="s">
        <v>33125</v>
      </c>
      <c r="M367" t="s">
        <v>33137</v>
      </c>
      <c r="N367" t="s">
        <v>33127</v>
      </c>
      <c r="O367">
        <v>0.9365</v>
      </c>
    </row>
    <row r="368" spans="1:15" x14ac:dyDescent="0.75">
      <c r="A368" t="s">
        <v>4183</v>
      </c>
      <c r="B368" t="s">
        <v>1999</v>
      </c>
      <c r="C368" t="s">
        <v>4178</v>
      </c>
      <c r="D368" t="s">
        <v>33110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</row>
    <row r="369" spans="1:15" x14ac:dyDescent="0.75">
      <c r="A369" t="s">
        <v>4191</v>
      </c>
      <c r="B369" t="s">
        <v>1999</v>
      </c>
      <c r="C369" t="s">
        <v>4189</v>
      </c>
      <c r="D369" t="s">
        <v>33116</v>
      </c>
      <c r="E369">
        <v>0</v>
      </c>
      <c r="F369">
        <v>0</v>
      </c>
      <c r="G369">
        <v>1</v>
      </c>
      <c r="H369">
        <v>0</v>
      </c>
      <c r="I369">
        <v>0</v>
      </c>
      <c r="J369">
        <v>0</v>
      </c>
      <c r="K369" t="s">
        <v>33123</v>
      </c>
      <c r="L369" t="s">
        <v>33125</v>
      </c>
      <c r="M369" t="s">
        <v>33140</v>
      </c>
      <c r="N369" t="s">
        <v>33127</v>
      </c>
      <c r="O369">
        <v>0.99780000000000002</v>
      </c>
    </row>
    <row r="370" spans="1:15" x14ac:dyDescent="0.75">
      <c r="A370" t="s">
        <v>4773</v>
      </c>
      <c r="B370" t="s">
        <v>106</v>
      </c>
      <c r="C370" t="s">
        <v>4771</v>
      </c>
      <c r="D370" t="s">
        <v>33116</v>
      </c>
      <c r="E370">
        <v>2.9E-5</v>
      </c>
      <c r="F370">
        <v>0.16656000000000001</v>
      </c>
      <c r="G370">
        <v>0.83338500000000004</v>
      </c>
      <c r="H370">
        <v>2.0000000000000002E-5</v>
      </c>
      <c r="I370">
        <v>1.5999999999999999E-5</v>
      </c>
      <c r="J370">
        <v>1.8E-5</v>
      </c>
      <c r="K370" t="s">
        <v>33123</v>
      </c>
      <c r="L370" t="s">
        <v>33125</v>
      </c>
      <c r="M370" t="s">
        <v>33126</v>
      </c>
      <c r="N370" t="s">
        <v>33127</v>
      </c>
      <c r="O370">
        <v>0.83</v>
      </c>
    </row>
    <row r="371" spans="1:15" x14ac:dyDescent="0.75">
      <c r="A371" t="s">
        <v>4781</v>
      </c>
      <c r="B371" t="s">
        <v>106</v>
      </c>
      <c r="C371" t="s">
        <v>4771</v>
      </c>
      <c r="D371" t="s">
        <v>33116</v>
      </c>
      <c r="E371">
        <v>0</v>
      </c>
      <c r="F371">
        <v>0</v>
      </c>
      <c r="G371">
        <v>1</v>
      </c>
      <c r="H371">
        <v>0</v>
      </c>
      <c r="I371">
        <v>0</v>
      </c>
      <c r="J371">
        <v>0</v>
      </c>
      <c r="K371" t="s">
        <v>33123</v>
      </c>
      <c r="L371" t="s">
        <v>33125</v>
      </c>
      <c r="M371" t="s">
        <v>33128</v>
      </c>
      <c r="N371" t="s">
        <v>33127</v>
      </c>
      <c r="O371">
        <v>0.99670000000000003</v>
      </c>
    </row>
    <row r="372" spans="1:15" x14ac:dyDescent="0.75">
      <c r="A372" t="s">
        <v>4777</v>
      </c>
      <c r="B372" t="s">
        <v>106</v>
      </c>
      <c r="C372" t="s">
        <v>4771</v>
      </c>
      <c r="D372" t="s">
        <v>33116</v>
      </c>
      <c r="E372">
        <v>0</v>
      </c>
      <c r="F372">
        <v>0</v>
      </c>
      <c r="G372">
        <v>1</v>
      </c>
      <c r="H372">
        <v>0</v>
      </c>
      <c r="I372">
        <v>0</v>
      </c>
      <c r="J372">
        <v>0</v>
      </c>
      <c r="K372" t="s">
        <v>33123</v>
      </c>
      <c r="L372" t="s">
        <v>33125</v>
      </c>
      <c r="M372" t="s">
        <v>33129</v>
      </c>
      <c r="N372" t="s">
        <v>33127</v>
      </c>
      <c r="O372">
        <v>0.99399999999999999</v>
      </c>
    </row>
    <row r="373" spans="1:15" x14ac:dyDescent="0.75">
      <c r="A373" t="s">
        <v>4785</v>
      </c>
      <c r="B373" t="s">
        <v>106</v>
      </c>
      <c r="C373" t="s">
        <v>4783</v>
      </c>
      <c r="D373" t="s">
        <v>33116</v>
      </c>
      <c r="E373">
        <v>0</v>
      </c>
      <c r="F373">
        <v>0</v>
      </c>
      <c r="G373">
        <v>1</v>
      </c>
      <c r="H373">
        <v>0</v>
      </c>
      <c r="I373">
        <v>0</v>
      </c>
      <c r="J373">
        <v>0</v>
      </c>
      <c r="K373" t="s">
        <v>33123</v>
      </c>
      <c r="L373" t="s">
        <v>33125</v>
      </c>
      <c r="M373" t="s">
        <v>33129</v>
      </c>
      <c r="N373" t="s">
        <v>33127</v>
      </c>
      <c r="O373">
        <v>0.99429999999999996</v>
      </c>
    </row>
    <row r="374" spans="1:15" x14ac:dyDescent="0.75">
      <c r="A374" t="s">
        <v>4790</v>
      </c>
      <c r="B374" t="s">
        <v>106</v>
      </c>
      <c r="C374" t="s">
        <v>4783</v>
      </c>
      <c r="D374" t="s">
        <v>33116</v>
      </c>
      <c r="E374">
        <v>0</v>
      </c>
      <c r="F374">
        <v>0</v>
      </c>
      <c r="G374">
        <v>1</v>
      </c>
      <c r="H374">
        <v>0</v>
      </c>
      <c r="I374">
        <v>0</v>
      </c>
      <c r="J374">
        <v>0</v>
      </c>
      <c r="K374" t="s">
        <v>33123</v>
      </c>
      <c r="L374" t="s">
        <v>33125</v>
      </c>
      <c r="M374" t="s">
        <v>33128</v>
      </c>
      <c r="N374" t="s">
        <v>33127</v>
      </c>
      <c r="O374">
        <v>0.99590000000000001</v>
      </c>
    </row>
    <row r="375" spans="1:15" x14ac:dyDescent="0.75">
      <c r="A375" t="s">
        <v>4792</v>
      </c>
      <c r="B375" t="s">
        <v>106</v>
      </c>
      <c r="C375" t="s">
        <v>4783</v>
      </c>
      <c r="D375" t="s">
        <v>33116</v>
      </c>
      <c r="E375">
        <v>3.1000000000000001E-5</v>
      </c>
      <c r="F375">
        <v>0.166548</v>
      </c>
      <c r="G375">
        <v>0.83338100000000004</v>
      </c>
      <c r="H375">
        <v>2.3E-5</v>
      </c>
      <c r="I375">
        <v>1.8E-5</v>
      </c>
      <c r="J375">
        <v>2.0000000000000002E-5</v>
      </c>
      <c r="K375" t="s">
        <v>33123</v>
      </c>
      <c r="L375" t="s">
        <v>33125</v>
      </c>
      <c r="M375" t="s">
        <v>33126</v>
      </c>
      <c r="N375" t="s">
        <v>33127</v>
      </c>
      <c r="O375">
        <v>0.83009999999999995</v>
      </c>
    </row>
    <row r="376" spans="1:15" x14ac:dyDescent="0.75">
      <c r="A376" t="s">
        <v>4796</v>
      </c>
      <c r="B376" t="s">
        <v>106</v>
      </c>
      <c r="C376" t="s">
        <v>4794</v>
      </c>
      <c r="D376" t="s">
        <v>33116</v>
      </c>
      <c r="E376">
        <v>0</v>
      </c>
      <c r="F376">
        <v>0</v>
      </c>
      <c r="G376">
        <v>0.999996</v>
      </c>
      <c r="H376">
        <v>0</v>
      </c>
      <c r="I376">
        <v>0</v>
      </c>
      <c r="J376">
        <v>0</v>
      </c>
      <c r="K376" t="s">
        <v>33123</v>
      </c>
      <c r="L376" t="s">
        <v>33125</v>
      </c>
      <c r="M376" t="s">
        <v>33129</v>
      </c>
      <c r="N376" t="s">
        <v>33127</v>
      </c>
      <c r="O376">
        <v>0.99390000000000001</v>
      </c>
    </row>
    <row r="377" spans="1:15" x14ac:dyDescent="0.75">
      <c r="A377" t="s">
        <v>4802</v>
      </c>
      <c r="B377" t="s">
        <v>106</v>
      </c>
      <c r="C377" t="s">
        <v>4794</v>
      </c>
      <c r="D377" t="s">
        <v>33110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</row>
    <row r="378" spans="1:15" x14ac:dyDescent="0.75">
      <c r="A378" t="s">
        <v>4804</v>
      </c>
      <c r="B378" t="s">
        <v>106</v>
      </c>
      <c r="C378" t="s">
        <v>4794</v>
      </c>
      <c r="D378" t="s">
        <v>33116</v>
      </c>
      <c r="E378">
        <v>3.1999999999999999E-5</v>
      </c>
      <c r="F378">
        <v>0.166542</v>
      </c>
      <c r="G378">
        <v>0.83338900000000005</v>
      </c>
      <c r="H378">
        <v>2.3E-5</v>
      </c>
      <c r="I378">
        <v>1.8E-5</v>
      </c>
      <c r="J378">
        <v>2.0000000000000002E-5</v>
      </c>
      <c r="K378" t="s">
        <v>33123</v>
      </c>
      <c r="L378" t="s">
        <v>33125</v>
      </c>
      <c r="M378" t="s">
        <v>33126</v>
      </c>
      <c r="N378" t="s">
        <v>33127</v>
      </c>
      <c r="O378">
        <v>0.83020000000000005</v>
      </c>
    </row>
    <row r="379" spans="1:15" x14ac:dyDescent="0.75">
      <c r="A379" t="s">
        <v>4824</v>
      </c>
      <c r="B379" t="s">
        <v>372</v>
      </c>
      <c r="C379" t="s">
        <v>4819</v>
      </c>
      <c r="D379" t="s">
        <v>33117</v>
      </c>
      <c r="E379">
        <v>2.61E-4</v>
      </c>
      <c r="F379">
        <v>0.99896499999999999</v>
      </c>
      <c r="G379">
        <v>2.0599999999999999E-4</v>
      </c>
      <c r="H379">
        <v>2.3699999999999999E-4</v>
      </c>
      <c r="I379">
        <v>1.7699999999999999E-4</v>
      </c>
      <c r="J379">
        <v>1.75E-4</v>
      </c>
      <c r="K379" t="s">
        <v>33123</v>
      </c>
      <c r="L379" t="s">
        <v>33125</v>
      </c>
      <c r="M379" t="s">
        <v>33136</v>
      </c>
      <c r="N379" t="s">
        <v>33127</v>
      </c>
      <c r="O379">
        <v>0.97050000000000003</v>
      </c>
    </row>
    <row r="380" spans="1:15" x14ac:dyDescent="0.75">
      <c r="A380" t="s">
        <v>4821</v>
      </c>
      <c r="B380" t="s">
        <v>372</v>
      </c>
      <c r="C380" t="s">
        <v>4819</v>
      </c>
      <c r="D380" t="s">
        <v>33117</v>
      </c>
      <c r="E380">
        <v>2.7799999999999998E-4</v>
      </c>
      <c r="F380">
        <v>0.99887999999999999</v>
      </c>
      <c r="G380">
        <v>2.23E-4</v>
      </c>
      <c r="H380">
        <v>2.5700000000000001E-4</v>
      </c>
      <c r="I380">
        <v>1.8799999999999999E-4</v>
      </c>
      <c r="J380">
        <v>1.8100000000000001E-4</v>
      </c>
      <c r="K380" t="s">
        <v>33123</v>
      </c>
      <c r="L380" t="s">
        <v>33125</v>
      </c>
      <c r="M380" t="s">
        <v>33136</v>
      </c>
      <c r="N380" t="s">
        <v>33127</v>
      </c>
      <c r="O380">
        <v>0.96460000000000001</v>
      </c>
    </row>
    <row r="381" spans="1:15" x14ac:dyDescent="0.75">
      <c r="A381" t="s">
        <v>4835</v>
      </c>
      <c r="B381" t="s">
        <v>463</v>
      </c>
      <c r="C381" t="s">
        <v>4833</v>
      </c>
      <c r="D381" t="s">
        <v>33117</v>
      </c>
      <c r="E381">
        <v>0.17947199999999999</v>
      </c>
      <c r="F381">
        <v>0.81972</v>
      </c>
      <c r="G381">
        <v>2.4000000000000001E-4</v>
      </c>
      <c r="H381">
        <v>2.33E-4</v>
      </c>
      <c r="I381">
        <v>1.83E-4</v>
      </c>
      <c r="J381">
        <v>1.94E-4</v>
      </c>
      <c r="K381" t="s">
        <v>33123</v>
      </c>
      <c r="L381" t="s">
        <v>33125</v>
      </c>
      <c r="M381" t="s">
        <v>33139</v>
      </c>
      <c r="N381" t="s">
        <v>33127</v>
      </c>
      <c r="O381">
        <v>0.77080000000000004</v>
      </c>
    </row>
    <row r="382" spans="1:15" x14ac:dyDescent="0.75">
      <c r="A382" t="s">
        <v>4888</v>
      </c>
      <c r="B382" t="s">
        <v>242</v>
      </c>
      <c r="C382" t="s">
        <v>4886</v>
      </c>
      <c r="D382" t="s">
        <v>33116</v>
      </c>
      <c r="E382">
        <v>0</v>
      </c>
      <c r="F382">
        <v>0</v>
      </c>
      <c r="G382">
        <v>1</v>
      </c>
      <c r="H382">
        <v>0</v>
      </c>
      <c r="I382">
        <v>0</v>
      </c>
      <c r="J382">
        <v>0</v>
      </c>
      <c r="K382" t="s">
        <v>33123</v>
      </c>
      <c r="L382" t="s">
        <v>33125</v>
      </c>
      <c r="M382" t="s">
        <v>33132</v>
      </c>
      <c r="N382" t="s">
        <v>33127</v>
      </c>
      <c r="O382">
        <v>0.99490000000000001</v>
      </c>
    </row>
    <row r="383" spans="1:15" x14ac:dyDescent="0.75">
      <c r="A383" t="s">
        <v>4893</v>
      </c>
      <c r="B383" t="s">
        <v>242</v>
      </c>
      <c r="C383" t="s">
        <v>4886</v>
      </c>
      <c r="D383" t="s">
        <v>33110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5" x14ac:dyDescent="0.75">
      <c r="A384" t="s">
        <v>4899</v>
      </c>
      <c r="B384" t="s">
        <v>242</v>
      </c>
      <c r="C384" t="s">
        <v>4897</v>
      </c>
      <c r="D384" t="s">
        <v>33116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 t="s">
        <v>33123</v>
      </c>
      <c r="L384" t="s">
        <v>33125</v>
      </c>
      <c r="M384" t="s">
        <v>33132</v>
      </c>
      <c r="N384" t="s">
        <v>33127</v>
      </c>
      <c r="O384">
        <v>0.99509999999999998</v>
      </c>
    </row>
    <row r="385" spans="1:15" x14ac:dyDescent="0.75">
      <c r="A385" t="s">
        <v>4904</v>
      </c>
      <c r="B385" t="s">
        <v>242</v>
      </c>
      <c r="C385" t="s">
        <v>4897</v>
      </c>
      <c r="D385" t="s">
        <v>33110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5" x14ac:dyDescent="0.75">
      <c r="A386" t="s">
        <v>4970</v>
      </c>
      <c r="B386" t="s">
        <v>393</v>
      </c>
      <c r="C386" t="s">
        <v>4968</v>
      </c>
      <c r="D386" t="s">
        <v>33118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 t="s">
        <v>33123</v>
      </c>
      <c r="L386" t="s">
        <v>33125</v>
      </c>
      <c r="M386" t="s">
        <v>33137</v>
      </c>
      <c r="N386" t="s">
        <v>33127</v>
      </c>
      <c r="O386">
        <v>0.93089999999999995</v>
      </c>
    </row>
    <row r="387" spans="1:15" x14ac:dyDescent="0.75">
      <c r="A387" t="s">
        <v>4985</v>
      </c>
      <c r="B387" t="s">
        <v>2428</v>
      </c>
      <c r="C387" t="s">
        <v>4974</v>
      </c>
      <c r="D387" t="s">
        <v>33117</v>
      </c>
      <c r="E387">
        <v>3.0699999999999998E-4</v>
      </c>
      <c r="F387">
        <v>0.99877700000000003</v>
      </c>
      <c r="G387">
        <v>2.6699999999999998E-4</v>
      </c>
      <c r="H387">
        <v>2.6200000000000003E-4</v>
      </c>
      <c r="I387">
        <v>1.9900000000000001E-4</v>
      </c>
      <c r="J387">
        <v>2.0100000000000001E-4</v>
      </c>
      <c r="K387" t="s">
        <v>33123</v>
      </c>
      <c r="L387" t="s">
        <v>33125</v>
      </c>
      <c r="M387" t="s">
        <v>33130</v>
      </c>
      <c r="N387" t="s">
        <v>33127</v>
      </c>
      <c r="O387">
        <v>0.97199999999999998</v>
      </c>
    </row>
    <row r="388" spans="1:15" x14ac:dyDescent="0.75">
      <c r="A388" t="s">
        <v>4976</v>
      </c>
      <c r="B388" t="s">
        <v>2428</v>
      </c>
      <c r="C388" t="s">
        <v>4974</v>
      </c>
      <c r="D388" t="s">
        <v>33110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</row>
    <row r="389" spans="1:15" x14ac:dyDescent="0.75">
      <c r="A389" t="s">
        <v>4990</v>
      </c>
      <c r="B389" t="s">
        <v>2768</v>
      </c>
      <c r="C389" t="s">
        <v>4988</v>
      </c>
      <c r="D389" t="s">
        <v>33117</v>
      </c>
      <c r="E389">
        <v>2.7E-4</v>
      </c>
      <c r="F389">
        <v>0.83221199999999995</v>
      </c>
      <c r="G389">
        <v>2.1900000000000001E-4</v>
      </c>
      <c r="H389">
        <v>0.16693</v>
      </c>
      <c r="I389">
        <v>2.0599999999999999E-4</v>
      </c>
      <c r="J389">
        <v>1.8100000000000001E-4</v>
      </c>
      <c r="K389" t="s">
        <v>33123</v>
      </c>
      <c r="L389" t="s">
        <v>33125</v>
      </c>
      <c r="M389" t="s">
        <v>33149</v>
      </c>
      <c r="N389" t="s">
        <v>33127</v>
      </c>
      <c r="O389">
        <v>0.80349999999999999</v>
      </c>
    </row>
    <row r="390" spans="1:15" x14ac:dyDescent="0.75">
      <c r="A390" t="s">
        <v>4994</v>
      </c>
      <c r="B390" t="s">
        <v>393</v>
      </c>
      <c r="C390" t="s">
        <v>4992</v>
      </c>
      <c r="D390" t="s">
        <v>33118</v>
      </c>
      <c r="E390">
        <v>0</v>
      </c>
      <c r="F390">
        <v>0</v>
      </c>
      <c r="G390">
        <v>0</v>
      </c>
      <c r="H390">
        <v>0.99999899999999997</v>
      </c>
      <c r="I390">
        <v>0</v>
      </c>
      <c r="J390">
        <v>0</v>
      </c>
      <c r="K390" t="s">
        <v>33123</v>
      </c>
      <c r="L390" t="s">
        <v>33125</v>
      </c>
      <c r="M390" t="s">
        <v>33137</v>
      </c>
      <c r="N390" t="s">
        <v>33127</v>
      </c>
      <c r="O390">
        <v>0.92700000000000005</v>
      </c>
    </row>
    <row r="391" spans="1:15" x14ac:dyDescent="0.75">
      <c r="A391" t="s">
        <v>5001</v>
      </c>
      <c r="B391" t="s">
        <v>1069</v>
      </c>
      <c r="C391" t="s">
        <v>4999</v>
      </c>
      <c r="D391" t="s">
        <v>33117</v>
      </c>
      <c r="E391">
        <v>3.7800000000000003E-4</v>
      </c>
      <c r="F391">
        <v>0.99852300000000005</v>
      </c>
      <c r="G391">
        <v>3.5300000000000002E-4</v>
      </c>
      <c r="H391">
        <v>2.9399999999999999E-4</v>
      </c>
      <c r="I391">
        <v>2.4800000000000001E-4</v>
      </c>
      <c r="J391">
        <v>2.3699999999999999E-4</v>
      </c>
      <c r="K391" t="s">
        <v>33123</v>
      </c>
      <c r="L391" t="s">
        <v>33125</v>
      </c>
      <c r="M391" t="s">
        <v>33145</v>
      </c>
      <c r="N391" t="s">
        <v>33127</v>
      </c>
      <c r="O391">
        <v>0.55840000000000001</v>
      </c>
    </row>
    <row r="392" spans="1:15" x14ac:dyDescent="0.75">
      <c r="A392" t="s">
        <v>5008</v>
      </c>
      <c r="B392" t="s">
        <v>2201</v>
      </c>
      <c r="C392" t="s">
        <v>5006</v>
      </c>
      <c r="D392" t="s">
        <v>33117</v>
      </c>
      <c r="E392">
        <v>2.41E-4</v>
      </c>
      <c r="F392">
        <v>0.99889799999999995</v>
      </c>
      <c r="G392">
        <v>2.02E-4</v>
      </c>
      <c r="H392">
        <v>2.5799999999999998E-4</v>
      </c>
      <c r="I392">
        <v>1.9799999999999999E-4</v>
      </c>
      <c r="J392">
        <v>1.9900000000000001E-4</v>
      </c>
      <c r="K392" t="s">
        <v>33123</v>
      </c>
      <c r="L392" t="s">
        <v>33125</v>
      </c>
      <c r="M392" t="s">
        <v>33144</v>
      </c>
      <c r="N392" t="s">
        <v>33127</v>
      </c>
      <c r="O392">
        <v>0.98360000000000003</v>
      </c>
    </row>
    <row r="393" spans="1:15" x14ac:dyDescent="0.75">
      <c r="A393" t="s">
        <v>5012</v>
      </c>
      <c r="B393" t="s">
        <v>242</v>
      </c>
      <c r="C393" t="s">
        <v>5010</v>
      </c>
      <c r="D393" t="s">
        <v>33116</v>
      </c>
      <c r="E393">
        <v>0</v>
      </c>
      <c r="F393">
        <v>0</v>
      </c>
      <c r="G393">
        <v>1</v>
      </c>
      <c r="H393">
        <v>0</v>
      </c>
      <c r="I393">
        <v>0</v>
      </c>
      <c r="J393">
        <v>0</v>
      </c>
      <c r="K393" t="s">
        <v>33123</v>
      </c>
      <c r="L393" t="s">
        <v>33125</v>
      </c>
      <c r="M393" t="s">
        <v>33132</v>
      </c>
      <c r="N393" t="s">
        <v>33127</v>
      </c>
      <c r="O393">
        <v>0.99490000000000001</v>
      </c>
    </row>
    <row r="394" spans="1:15" x14ac:dyDescent="0.75">
      <c r="A394" t="s">
        <v>5035</v>
      </c>
      <c r="B394" t="s">
        <v>393</v>
      </c>
      <c r="C394" t="s">
        <v>5033</v>
      </c>
      <c r="D394" t="s">
        <v>33118</v>
      </c>
      <c r="E394">
        <v>0</v>
      </c>
      <c r="F394">
        <v>0</v>
      </c>
      <c r="G394">
        <v>0</v>
      </c>
      <c r="H394">
        <v>0.99999800000000005</v>
      </c>
      <c r="I394">
        <v>0</v>
      </c>
      <c r="J394">
        <v>0</v>
      </c>
      <c r="K394" t="s">
        <v>33123</v>
      </c>
      <c r="L394" t="s">
        <v>33125</v>
      </c>
      <c r="M394" t="s">
        <v>33137</v>
      </c>
      <c r="N394" t="s">
        <v>33127</v>
      </c>
      <c r="O394">
        <v>0.92769999999999997</v>
      </c>
    </row>
    <row r="395" spans="1:15" x14ac:dyDescent="0.75">
      <c r="A395" t="s">
        <v>5043</v>
      </c>
      <c r="B395" t="s">
        <v>224</v>
      </c>
      <c r="C395" t="s">
        <v>5038</v>
      </c>
      <c r="D395" t="s">
        <v>33110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</row>
    <row r="396" spans="1:15" x14ac:dyDescent="0.75">
      <c r="A396" t="s">
        <v>5064</v>
      </c>
      <c r="B396" t="s">
        <v>784</v>
      </c>
      <c r="C396" t="s">
        <v>5061</v>
      </c>
      <c r="D396" t="s">
        <v>33117</v>
      </c>
      <c r="E396">
        <v>0.14421800000000001</v>
      </c>
      <c r="F396">
        <v>0.85509599999999997</v>
      </c>
      <c r="G396">
        <v>2.2000000000000001E-4</v>
      </c>
      <c r="H396">
        <v>1.7000000000000001E-4</v>
      </c>
      <c r="I396">
        <v>1.37E-4</v>
      </c>
      <c r="J396">
        <v>1.35E-4</v>
      </c>
      <c r="K396" t="s">
        <v>33123</v>
      </c>
      <c r="L396" t="s">
        <v>33125</v>
      </c>
      <c r="M396" t="s">
        <v>33150</v>
      </c>
      <c r="N396" t="s">
        <v>33127</v>
      </c>
      <c r="O396">
        <v>0.80679999999999996</v>
      </c>
    </row>
    <row r="397" spans="1:15" x14ac:dyDescent="0.75">
      <c r="A397" t="s">
        <v>5073</v>
      </c>
      <c r="B397" t="s">
        <v>579</v>
      </c>
      <c r="C397" t="s">
        <v>5071</v>
      </c>
      <c r="D397" t="s">
        <v>33116</v>
      </c>
      <c r="E397">
        <v>0.12349</v>
      </c>
      <c r="F397">
        <v>7.4913999999999994E-2</v>
      </c>
      <c r="G397">
        <v>0.80115400000000003</v>
      </c>
      <c r="H397">
        <v>2.1900000000000001E-4</v>
      </c>
      <c r="I397">
        <v>2.2100000000000001E-4</v>
      </c>
      <c r="J397">
        <v>9.9999999999999995E-7</v>
      </c>
      <c r="K397" t="s">
        <v>33123</v>
      </c>
      <c r="L397" t="s">
        <v>33125</v>
      </c>
      <c r="M397" t="s">
        <v>33142</v>
      </c>
      <c r="N397" t="s">
        <v>33127</v>
      </c>
      <c r="O397">
        <v>0.95069999999999999</v>
      </c>
    </row>
    <row r="398" spans="1:15" x14ac:dyDescent="0.75">
      <c r="A398" t="s">
        <v>5078</v>
      </c>
      <c r="B398" t="s">
        <v>579</v>
      </c>
      <c r="C398" t="s">
        <v>5071</v>
      </c>
      <c r="D398" t="s">
        <v>33116</v>
      </c>
      <c r="E398">
        <v>3.1999999999999999E-5</v>
      </c>
      <c r="F398">
        <v>0.16656599999999999</v>
      </c>
      <c r="G398">
        <v>0.83336500000000002</v>
      </c>
      <c r="H398">
        <v>2.0000000000000002E-5</v>
      </c>
      <c r="I398">
        <v>1.7E-5</v>
      </c>
      <c r="J398">
        <v>1.9000000000000001E-5</v>
      </c>
      <c r="K398" t="s">
        <v>33123</v>
      </c>
      <c r="L398" t="s">
        <v>33125</v>
      </c>
      <c r="M398" t="s">
        <v>33130</v>
      </c>
      <c r="N398" t="s">
        <v>33127</v>
      </c>
      <c r="O398">
        <v>0.59750000000000003</v>
      </c>
    </row>
    <row r="399" spans="1:15" x14ac:dyDescent="0.75">
      <c r="A399" t="s">
        <v>5087</v>
      </c>
      <c r="B399" t="s">
        <v>579</v>
      </c>
      <c r="C399" t="s">
        <v>5080</v>
      </c>
      <c r="D399" t="s">
        <v>33116</v>
      </c>
      <c r="E399">
        <v>3.4E-5</v>
      </c>
      <c r="F399">
        <v>0.16655800000000001</v>
      </c>
      <c r="G399">
        <v>0.83337300000000003</v>
      </c>
      <c r="H399">
        <v>2.0000000000000002E-5</v>
      </c>
      <c r="I399">
        <v>1.8E-5</v>
      </c>
      <c r="J399">
        <v>2.0000000000000002E-5</v>
      </c>
      <c r="K399" t="s">
        <v>33123</v>
      </c>
      <c r="L399" t="s">
        <v>33125</v>
      </c>
      <c r="M399" t="s">
        <v>33130</v>
      </c>
      <c r="N399" t="s">
        <v>33127</v>
      </c>
      <c r="O399">
        <v>0.60960000000000003</v>
      </c>
    </row>
    <row r="400" spans="1:15" x14ac:dyDescent="0.75">
      <c r="A400" t="s">
        <v>5082</v>
      </c>
      <c r="B400" t="s">
        <v>579</v>
      </c>
      <c r="C400" t="s">
        <v>5080</v>
      </c>
      <c r="D400" t="s">
        <v>33116</v>
      </c>
      <c r="E400">
        <v>0.12349</v>
      </c>
      <c r="F400">
        <v>7.4913999999999994E-2</v>
      </c>
      <c r="G400">
        <v>0.80115400000000003</v>
      </c>
      <c r="H400">
        <v>2.1900000000000001E-4</v>
      </c>
      <c r="I400">
        <v>2.2100000000000001E-4</v>
      </c>
      <c r="J400">
        <v>9.9999999999999995E-7</v>
      </c>
      <c r="K400" t="s">
        <v>33123</v>
      </c>
      <c r="L400" t="s">
        <v>33125</v>
      </c>
      <c r="M400" t="s">
        <v>33142</v>
      </c>
      <c r="N400" t="s">
        <v>33127</v>
      </c>
      <c r="O400">
        <v>0.95069999999999999</v>
      </c>
    </row>
    <row r="401" spans="1:15" x14ac:dyDescent="0.75">
      <c r="A401" t="s">
        <v>5097</v>
      </c>
      <c r="B401" t="s">
        <v>579</v>
      </c>
      <c r="C401" t="s">
        <v>5089</v>
      </c>
      <c r="D401" t="s">
        <v>33116</v>
      </c>
      <c r="E401">
        <v>5.8999999999999998E-5</v>
      </c>
      <c r="F401">
        <v>0.33308599999999999</v>
      </c>
      <c r="G401">
        <v>0.66671499999999995</v>
      </c>
      <c r="H401">
        <v>3.6999999999999998E-5</v>
      </c>
      <c r="I401">
        <v>4.6999999999999997E-5</v>
      </c>
      <c r="J401">
        <v>3.4999999999999997E-5</v>
      </c>
      <c r="K401" t="s">
        <v>33123</v>
      </c>
      <c r="L401" t="s">
        <v>33125</v>
      </c>
      <c r="M401" t="s">
        <v>33130</v>
      </c>
      <c r="N401" t="s">
        <v>33127</v>
      </c>
      <c r="O401">
        <v>0.52490000000000003</v>
      </c>
    </row>
    <row r="402" spans="1:15" x14ac:dyDescent="0.75">
      <c r="A402" t="s">
        <v>5091</v>
      </c>
      <c r="B402" t="s">
        <v>579</v>
      </c>
      <c r="C402" t="s">
        <v>5089</v>
      </c>
      <c r="D402" t="s">
        <v>33116</v>
      </c>
      <c r="E402">
        <v>0.12349</v>
      </c>
      <c r="F402">
        <v>7.4913999999999994E-2</v>
      </c>
      <c r="G402">
        <v>0.80115400000000003</v>
      </c>
      <c r="H402">
        <v>2.1900000000000001E-4</v>
      </c>
      <c r="I402">
        <v>2.2100000000000001E-4</v>
      </c>
      <c r="J402">
        <v>9.9999999999999995E-7</v>
      </c>
      <c r="K402" t="s">
        <v>33123</v>
      </c>
      <c r="L402" t="s">
        <v>33125</v>
      </c>
      <c r="M402" t="s">
        <v>33142</v>
      </c>
      <c r="N402" t="s">
        <v>33127</v>
      </c>
      <c r="O402">
        <v>0.95069999999999999</v>
      </c>
    </row>
    <row r="403" spans="1:15" x14ac:dyDescent="0.75">
      <c r="A403" t="s">
        <v>5129</v>
      </c>
      <c r="B403" t="s">
        <v>1069</v>
      </c>
      <c r="C403" t="s">
        <v>5127</v>
      </c>
      <c r="D403" t="s">
        <v>33117</v>
      </c>
      <c r="E403">
        <v>4.26E-4</v>
      </c>
      <c r="F403">
        <v>0.99851999999999996</v>
      </c>
      <c r="G403">
        <v>3.86E-4</v>
      </c>
      <c r="H403">
        <v>2.6499999999999999E-4</v>
      </c>
      <c r="I403">
        <v>2.1100000000000001E-4</v>
      </c>
      <c r="J403">
        <v>2.04E-4</v>
      </c>
      <c r="K403" t="s">
        <v>33123</v>
      </c>
      <c r="L403" t="s">
        <v>33125</v>
      </c>
      <c r="M403" t="s">
        <v>33130</v>
      </c>
      <c r="N403" t="s">
        <v>33127</v>
      </c>
      <c r="O403">
        <v>0.97230000000000005</v>
      </c>
    </row>
    <row r="404" spans="1:15" x14ac:dyDescent="0.75">
      <c r="A404" t="s">
        <v>5137</v>
      </c>
      <c r="B404" t="s">
        <v>1535</v>
      </c>
      <c r="C404" t="s">
        <v>5135</v>
      </c>
      <c r="D404" t="s">
        <v>33116</v>
      </c>
      <c r="E404">
        <v>0</v>
      </c>
      <c r="F404">
        <v>0</v>
      </c>
      <c r="G404">
        <v>1</v>
      </c>
      <c r="H404">
        <v>0</v>
      </c>
      <c r="I404">
        <v>0</v>
      </c>
      <c r="J404">
        <v>0</v>
      </c>
      <c r="K404" t="s">
        <v>33123</v>
      </c>
      <c r="L404" t="s">
        <v>33125</v>
      </c>
      <c r="M404" t="s">
        <v>33130</v>
      </c>
      <c r="N404" t="s">
        <v>33127</v>
      </c>
      <c r="O404">
        <v>0.99550000000000005</v>
      </c>
    </row>
    <row r="405" spans="1:15" x14ac:dyDescent="0.75">
      <c r="A405" t="s">
        <v>5142</v>
      </c>
      <c r="B405" t="s">
        <v>1535</v>
      </c>
      <c r="C405" t="s">
        <v>5135</v>
      </c>
      <c r="D405" t="s">
        <v>33116</v>
      </c>
      <c r="E405">
        <v>0</v>
      </c>
      <c r="F405">
        <v>0</v>
      </c>
      <c r="G405">
        <v>1</v>
      </c>
      <c r="H405">
        <v>0</v>
      </c>
      <c r="I405">
        <v>0</v>
      </c>
      <c r="J405">
        <v>0</v>
      </c>
      <c r="K405" t="s">
        <v>33123</v>
      </c>
      <c r="L405" t="s">
        <v>33125</v>
      </c>
      <c r="M405" t="s">
        <v>33140</v>
      </c>
      <c r="N405" t="s">
        <v>33127</v>
      </c>
      <c r="O405">
        <v>0.99519999999999997</v>
      </c>
    </row>
    <row r="406" spans="1:15" x14ac:dyDescent="0.75">
      <c r="A406" t="s">
        <v>5159</v>
      </c>
      <c r="B406" t="s">
        <v>1535</v>
      </c>
      <c r="C406" t="s">
        <v>5154</v>
      </c>
      <c r="D406" t="s">
        <v>33116</v>
      </c>
      <c r="E406">
        <v>0</v>
      </c>
      <c r="F406">
        <v>0</v>
      </c>
      <c r="G406">
        <v>1</v>
      </c>
      <c r="H406">
        <v>0</v>
      </c>
      <c r="I406">
        <v>0</v>
      </c>
      <c r="J406">
        <v>0</v>
      </c>
      <c r="K406" t="s">
        <v>33123</v>
      </c>
      <c r="L406" t="s">
        <v>33125</v>
      </c>
      <c r="M406" t="s">
        <v>33130</v>
      </c>
      <c r="N406" t="s">
        <v>33127</v>
      </c>
      <c r="O406">
        <v>0.99550000000000005</v>
      </c>
    </row>
    <row r="407" spans="1:15" x14ac:dyDescent="0.75">
      <c r="A407" t="s">
        <v>5156</v>
      </c>
      <c r="B407" t="s">
        <v>1535</v>
      </c>
      <c r="C407" t="s">
        <v>5154</v>
      </c>
      <c r="D407" t="s">
        <v>33116</v>
      </c>
      <c r="E407">
        <v>0</v>
      </c>
      <c r="F407">
        <v>0</v>
      </c>
      <c r="G407">
        <v>1</v>
      </c>
      <c r="H407">
        <v>0</v>
      </c>
      <c r="I407">
        <v>0</v>
      </c>
      <c r="J407">
        <v>0</v>
      </c>
      <c r="K407" t="s">
        <v>33123</v>
      </c>
      <c r="L407" t="s">
        <v>33125</v>
      </c>
      <c r="M407" t="s">
        <v>33140</v>
      </c>
      <c r="N407" t="s">
        <v>33127</v>
      </c>
      <c r="O407">
        <v>0.99519999999999997</v>
      </c>
    </row>
    <row r="408" spans="1:15" x14ac:dyDescent="0.75">
      <c r="A408" t="s">
        <v>5166</v>
      </c>
      <c r="B408" t="s">
        <v>551</v>
      </c>
      <c r="C408" t="s">
        <v>5164</v>
      </c>
      <c r="D408" t="s">
        <v>33117</v>
      </c>
      <c r="E408">
        <v>2.13E-4</v>
      </c>
      <c r="F408">
        <v>0.99916000000000005</v>
      </c>
      <c r="G408">
        <v>1.8000000000000001E-4</v>
      </c>
      <c r="H408">
        <v>1.7000000000000001E-4</v>
      </c>
      <c r="I408">
        <v>1.3899999999999999E-4</v>
      </c>
      <c r="J408">
        <v>1.4200000000000001E-4</v>
      </c>
      <c r="K408" t="s">
        <v>33123</v>
      </c>
      <c r="L408" t="s">
        <v>33125</v>
      </c>
      <c r="M408" t="s">
        <v>33131</v>
      </c>
      <c r="N408" t="s">
        <v>33127</v>
      </c>
      <c r="O408">
        <v>0.97529999999999994</v>
      </c>
    </row>
    <row r="409" spans="1:15" x14ac:dyDescent="0.75">
      <c r="A409" t="s">
        <v>5191</v>
      </c>
      <c r="B409" t="s">
        <v>330</v>
      </c>
      <c r="C409" t="s">
        <v>5189</v>
      </c>
      <c r="D409" t="s">
        <v>33116</v>
      </c>
      <c r="E409">
        <v>2.6999999999999999E-5</v>
      </c>
      <c r="F409">
        <v>0.16659499999999999</v>
      </c>
      <c r="G409">
        <v>0.83335700000000001</v>
      </c>
      <c r="H409">
        <v>1.4E-5</v>
      </c>
      <c r="I409">
        <v>1.2E-5</v>
      </c>
      <c r="J409">
        <v>1.2E-5</v>
      </c>
      <c r="K409" t="s">
        <v>33123</v>
      </c>
      <c r="L409" t="s">
        <v>33125</v>
      </c>
      <c r="M409" t="s">
        <v>33128</v>
      </c>
      <c r="N409" t="s">
        <v>33127</v>
      </c>
      <c r="O409">
        <v>0.82950000000000002</v>
      </c>
    </row>
    <row r="410" spans="1:15" x14ac:dyDescent="0.75">
      <c r="A410" t="s">
        <v>5194</v>
      </c>
      <c r="B410" t="s">
        <v>330</v>
      </c>
      <c r="C410" t="s">
        <v>5189</v>
      </c>
      <c r="D410" t="s">
        <v>33116</v>
      </c>
      <c r="E410">
        <v>0</v>
      </c>
      <c r="F410">
        <v>0</v>
      </c>
      <c r="G410">
        <v>1</v>
      </c>
      <c r="H410">
        <v>0</v>
      </c>
      <c r="I410">
        <v>0</v>
      </c>
      <c r="J410">
        <v>0</v>
      </c>
      <c r="K410" t="s">
        <v>33123</v>
      </c>
      <c r="L410" t="s">
        <v>33125</v>
      </c>
      <c r="M410" t="s">
        <v>33129</v>
      </c>
      <c r="N410" t="s">
        <v>33127</v>
      </c>
      <c r="O410">
        <v>0.99429999999999996</v>
      </c>
    </row>
    <row r="411" spans="1:15" x14ac:dyDescent="0.75">
      <c r="A411" t="s">
        <v>5206</v>
      </c>
      <c r="B411" t="s">
        <v>106</v>
      </c>
      <c r="C411" t="s">
        <v>5198</v>
      </c>
      <c r="D411" t="s">
        <v>33116</v>
      </c>
      <c r="E411">
        <v>3.1000000000000001E-5</v>
      </c>
      <c r="F411">
        <v>0.166548</v>
      </c>
      <c r="G411">
        <v>0.83338100000000004</v>
      </c>
      <c r="H411">
        <v>2.3E-5</v>
      </c>
      <c r="I411">
        <v>1.8E-5</v>
      </c>
      <c r="J411">
        <v>2.0000000000000002E-5</v>
      </c>
      <c r="K411" t="s">
        <v>33123</v>
      </c>
      <c r="L411" t="s">
        <v>33125</v>
      </c>
      <c r="M411" t="s">
        <v>33126</v>
      </c>
      <c r="N411" t="s">
        <v>33127</v>
      </c>
      <c r="O411">
        <v>0.83009999999999995</v>
      </c>
    </row>
    <row r="412" spans="1:15" x14ac:dyDescent="0.75">
      <c r="A412" t="s">
        <v>5208</v>
      </c>
      <c r="B412" t="s">
        <v>106</v>
      </c>
      <c r="C412" t="s">
        <v>5198</v>
      </c>
      <c r="D412" t="s">
        <v>33116</v>
      </c>
      <c r="E412">
        <v>2.8E-5</v>
      </c>
      <c r="F412">
        <v>0.166597</v>
      </c>
      <c r="G412">
        <v>0.83335199999999998</v>
      </c>
      <c r="H412">
        <v>1.2999999999999999E-5</v>
      </c>
      <c r="I412">
        <v>1.1E-5</v>
      </c>
      <c r="J412">
        <v>1.2E-5</v>
      </c>
      <c r="K412" t="s">
        <v>33123</v>
      </c>
      <c r="L412" t="s">
        <v>33125</v>
      </c>
      <c r="M412" t="s">
        <v>33128</v>
      </c>
      <c r="N412" t="s">
        <v>33127</v>
      </c>
      <c r="O412">
        <v>0.8286</v>
      </c>
    </row>
    <row r="413" spans="1:15" x14ac:dyDescent="0.75">
      <c r="A413" t="s">
        <v>5200</v>
      </c>
      <c r="B413" t="s">
        <v>106</v>
      </c>
      <c r="C413" t="s">
        <v>5198</v>
      </c>
      <c r="D413" t="s">
        <v>33116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 t="s">
        <v>33123</v>
      </c>
      <c r="L413" t="s">
        <v>33125</v>
      </c>
      <c r="M413" t="s">
        <v>33129</v>
      </c>
      <c r="N413" t="s">
        <v>33127</v>
      </c>
      <c r="O413">
        <v>0.99399999999999999</v>
      </c>
    </row>
    <row r="414" spans="1:15" x14ac:dyDescent="0.75">
      <c r="A414" t="s">
        <v>5218</v>
      </c>
      <c r="B414" t="s">
        <v>463</v>
      </c>
      <c r="C414" t="s">
        <v>5216</v>
      </c>
      <c r="D414" t="s">
        <v>33117</v>
      </c>
      <c r="E414">
        <v>0.17947199999999999</v>
      </c>
      <c r="F414">
        <v>0.81972</v>
      </c>
      <c r="G414">
        <v>2.4000000000000001E-4</v>
      </c>
      <c r="H414">
        <v>2.33E-4</v>
      </c>
      <c r="I414">
        <v>1.83E-4</v>
      </c>
      <c r="J414">
        <v>1.94E-4</v>
      </c>
      <c r="K414" t="s">
        <v>33123</v>
      </c>
      <c r="L414" t="s">
        <v>33125</v>
      </c>
      <c r="M414" t="s">
        <v>33139</v>
      </c>
      <c r="N414" t="s">
        <v>33127</v>
      </c>
      <c r="O414">
        <v>0.77080000000000004</v>
      </c>
    </row>
    <row r="415" spans="1:15" x14ac:dyDescent="0.75">
      <c r="A415" t="s">
        <v>5223</v>
      </c>
      <c r="B415" t="s">
        <v>242</v>
      </c>
      <c r="C415" t="s">
        <v>5221</v>
      </c>
      <c r="D415" t="s">
        <v>33116</v>
      </c>
      <c r="E415">
        <v>0</v>
      </c>
      <c r="F415">
        <v>0</v>
      </c>
      <c r="G415">
        <v>1</v>
      </c>
      <c r="H415">
        <v>0</v>
      </c>
      <c r="I415">
        <v>0</v>
      </c>
      <c r="J415">
        <v>0</v>
      </c>
      <c r="K415" t="s">
        <v>33123</v>
      </c>
      <c r="L415" t="s">
        <v>33125</v>
      </c>
      <c r="M415" t="s">
        <v>33132</v>
      </c>
      <c r="N415" t="s">
        <v>33127</v>
      </c>
      <c r="O415">
        <v>0.99490000000000001</v>
      </c>
    </row>
    <row r="416" spans="1:15" x14ac:dyDescent="0.75">
      <c r="A416" t="s">
        <v>5229</v>
      </c>
      <c r="B416" t="s">
        <v>106</v>
      </c>
      <c r="C416" t="s">
        <v>5227</v>
      </c>
      <c r="D416" t="s">
        <v>33116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 t="s">
        <v>33123</v>
      </c>
      <c r="L416" t="s">
        <v>33125</v>
      </c>
      <c r="M416" t="s">
        <v>33129</v>
      </c>
      <c r="N416" t="s">
        <v>33127</v>
      </c>
      <c r="O416">
        <v>0.99399999999999999</v>
      </c>
    </row>
    <row r="417" spans="1:15" x14ac:dyDescent="0.75">
      <c r="A417" t="s">
        <v>5237</v>
      </c>
      <c r="B417" t="s">
        <v>106</v>
      </c>
      <c r="C417" t="s">
        <v>5227</v>
      </c>
      <c r="D417" t="s">
        <v>33116</v>
      </c>
      <c r="E417">
        <v>3.6999999999999998E-5</v>
      </c>
      <c r="F417">
        <v>0.16656899999999999</v>
      </c>
      <c r="G417">
        <v>0.83338400000000001</v>
      </c>
      <c r="H417">
        <v>1.8E-5</v>
      </c>
      <c r="I417">
        <v>1.5E-5</v>
      </c>
      <c r="J417">
        <v>1.8E-5</v>
      </c>
      <c r="K417" t="s">
        <v>33123</v>
      </c>
      <c r="L417" t="s">
        <v>33125</v>
      </c>
      <c r="M417" t="s">
        <v>33128</v>
      </c>
      <c r="N417" t="s">
        <v>33127</v>
      </c>
      <c r="O417">
        <v>0.83040000000000003</v>
      </c>
    </row>
    <row r="418" spans="1:15" x14ac:dyDescent="0.75">
      <c r="A418" t="s">
        <v>5240</v>
      </c>
      <c r="B418" t="s">
        <v>106</v>
      </c>
      <c r="C418" t="s">
        <v>5227</v>
      </c>
      <c r="D418" t="s">
        <v>33116</v>
      </c>
      <c r="E418">
        <v>2.5999999999999998E-5</v>
      </c>
      <c r="F418">
        <v>0.16656399999999999</v>
      </c>
      <c r="G418">
        <v>0.83338000000000001</v>
      </c>
      <c r="H418">
        <v>1.9000000000000001E-5</v>
      </c>
      <c r="I418">
        <v>1.5E-5</v>
      </c>
      <c r="J418">
        <v>1.7E-5</v>
      </c>
      <c r="K418" t="s">
        <v>33123</v>
      </c>
      <c r="L418" t="s">
        <v>33125</v>
      </c>
      <c r="M418" t="s">
        <v>33126</v>
      </c>
      <c r="N418" t="s">
        <v>33127</v>
      </c>
      <c r="O418">
        <v>0.82709999999999995</v>
      </c>
    </row>
    <row r="419" spans="1:15" x14ac:dyDescent="0.75">
      <c r="A419" t="s">
        <v>5260</v>
      </c>
      <c r="B419" t="s">
        <v>106</v>
      </c>
      <c r="C419" t="s">
        <v>5251</v>
      </c>
      <c r="D419" t="s">
        <v>33116</v>
      </c>
      <c r="E41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 t="s">
        <v>33123</v>
      </c>
      <c r="L419" t="s">
        <v>33125</v>
      </c>
      <c r="M419" t="s">
        <v>33128</v>
      </c>
      <c r="N419" t="s">
        <v>33127</v>
      </c>
      <c r="O419">
        <v>0.99670000000000003</v>
      </c>
    </row>
    <row r="420" spans="1:15" x14ac:dyDescent="0.75">
      <c r="A420" t="s">
        <v>5253</v>
      </c>
      <c r="B420" t="s">
        <v>106</v>
      </c>
      <c r="C420" t="s">
        <v>5251</v>
      </c>
      <c r="D420" t="s">
        <v>33116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 t="s">
        <v>33123</v>
      </c>
      <c r="L420" t="s">
        <v>33125</v>
      </c>
      <c r="M420" t="s">
        <v>33129</v>
      </c>
      <c r="N420" t="s">
        <v>33127</v>
      </c>
      <c r="O420">
        <v>0.99399999999999999</v>
      </c>
    </row>
    <row r="421" spans="1:15" x14ac:dyDescent="0.75">
      <c r="A421" t="s">
        <v>5258</v>
      </c>
      <c r="B421" t="s">
        <v>106</v>
      </c>
      <c r="C421" t="s">
        <v>5251</v>
      </c>
      <c r="D421" t="s">
        <v>33116</v>
      </c>
      <c r="E421">
        <v>3.0000000000000001E-5</v>
      </c>
      <c r="F421">
        <v>0.16656599999999999</v>
      </c>
      <c r="G421">
        <v>0.83339300000000005</v>
      </c>
      <c r="H421">
        <v>2.0000000000000002E-5</v>
      </c>
      <c r="I421">
        <v>1.5999999999999999E-5</v>
      </c>
      <c r="J421">
        <v>1.8E-5</v>
      </c>
      <c r="K421" t="s">
        <v>33123</v>
      </c>
      <c r="L421" t="s">
        <v>33125</v>
      </c>
      <c r="M421" t="s">
        <v>33126</v>
      </c>
      <c r="N421" t="s">
        <v>33127</v>
      </c>
      <c r="O421">
        <v>0.83009999999999995</v>
      </c>
    </row>
    <row r="422" spans="1:15" x14ac:dyDescent="0.75">
      <c r="A422" t="s">
        <v>5264</v>
      </c>
      <c r="B422" t="s">
        <v>224</v>
      </c>
      <c r="C422" t="s">
        <v>5262</v>
      </c>
      <c r="D422" t="s">
        <v>33110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</row>
    <row r="423" spans="1:15" x14ac:dyDescent="0.75">
      <c r="A423" t="s">
        <v>5272</v>
      </c>
      <c r="B423" t="s">
        <v>330</v>
      </c>
      <c r="C423" t="s">
        <v>5270</v>
      </c>
      <c r="D423" t="s">
        <v>33117</v>
      </c>
      <c r="E423">
        <v>1.9000000000000001E-4</v>
      </c>
      <c r="F423">
        <v>0.99921899999999997</v>
      </c>
      <c r="G423">
        <v>1.7000000000000001E-4</v>
      </c>
      <c r="H423">
        <v>1.5699999999999999E-4</v>
      </c>
      <c r="I423">
        <v>1.2999999999999999E-4</v>
      </c>
      <c r="J423">
        <v>1.2899999999999999E-4</v>
      </c>
      <c r="K423" t="s">
        <v>33123</v>
      </c>
      <c r="L423" t="s">
        <v>33125</v>
      </c>
      <c r="M423" t="s">
        <v>33126</v>
      </c>
      <c r="N423" t="s">
        <v>33127</v>
      </c>
      <c r="O423">
        <v>0.97629999999999995</v>
      </c>
    </row>
    <row r="424" spans="1:15" x14ac:dyDescent="0.75">
      <c r="A424" t="s">
        <v>5274</v>
      </c>
      <c r="B424" t="s">
        <v>330</v>
      </c>
      <c r="C424" t="s">
        <v>5270</v>
      </c>
      <c r="D424" t="s">
        <v>33116</v>
      </c>
      <c r="E424">
        <v>0</v>
      </c>
      <c r="F424">
        <v>0</v>
      </c>
      <c r="G424">
        <v>1</v>
      </c>
      <c r="H424">
        <v>0</v>
      </c>
      <c r="I424">
        <v>0</v>
      </c>
      <c r="J424">
        <v>0</v>
      </c>
      <c r="K424" t="s">
        <v>33123</v>
      </c>
      <c r="L424" t="s">
        <v>33125</v>
      </c>
      <c r="M424" t="s">
        <v>33129</v>
      </c>
      <c r="N424" t="s">
        <v>33127</v>
      </c>
      <c r="O424">
        <v>0.99399999999999999</v>
      </c>
    </row>
    <row r="425" spans="1:15" x14ac:dyDescent="0.75">
      <c r="A425" t="s">
        <v>5279</v>
      </c>
      <c r="B425" t="s">
        <v>330</v>
      </c>
      <c r="C425" t="s">
        <v>5270</v>
      </c>
      <c r="D425" t="s">
        <v>33116</v>
      </c>
      <c r="E425">
        <v>0</v>
      </c>
      <c r="F425">
        <v>0</v>
      </c>
      <c r="G425">
        <v>1</v>
      </c>
      <c r="H425">
        <v>0</v>
      </c>
      <c r="I425">
        <v>0</v>
      </c>
      <c r="J425">
        <v>0</v>
      </c>
      <c r="K425" t="s">
        <v>33123</v>
      </c>
      <c r="L425" t="s">
        <v>33125</v>
      </c>
      <c r="M425" t="s">
        <v>33128</v>
      </c>
      <c r="N425" t="s">
        <v>33127</v>
      </c>
      <c r="O425">
        <v>0.99560000000000004</v>
      </c>
    </row>
    <row r="426" spans="1:15" x14ac:dyDescent="0.75">
      <c r="A426" t="s">
        <v>5284</v>
      </c>
      <c r="B426" t="s">
        <v>1999</v>
      </c>
      <c r="C426" t="s">
        <v>5282</v>
      </c>
      <c r="D426" t="s">
        <v>33110</v>
      </c>
      <c r="E426">
        <v>0.99997800000000003</v>
      </c>
      <c r="F426">
        <v>0</v>
      </c>
      <c r="G426">
        <v>0</v>
      </c>
      <c r="H426">
        <v>0</v>
      </c>
      <c r="I426">
        <v>0</v>
      </c>
      <c r="J426">
        <v>0</v>
      </c>
    </row>
    <row r="427" spans="1:15" x14ac:dyDescent="0.75">
      <c r="A427" t="s">
        <v>5301</v>
      </c>
      <c r="B427" t="s">
        <v>1069</v>
      </c>
      <c r="C427" t="s">
        <v>5299</v>
      </c>
      <c r="D427" t="s">
        <v>33117</v>
      </c>
      <c r="E427">
        <v>2.3499999999999999E-4</v>
      </c>
      <c r="F427">
        <v>0.99900100000000003</v>
      </c>
      <c r="G427">
        <v>2.0599999999999999E-4</v>
      </c>
      <c r="H427">
        <v>2.1699999999999999E-4</v>
      </c>
      <c r="I427">
        <v>1.7799999999999999E-4</v>
      </c>
      <c r="J427">
        <v>1.74E-4</v>
      </c>
      <c r="K427" t="s">
        <v>33123</v>
      </c>
      <c r="L427" t="s">
        <v>33125</v>
      </c>
      <c r="M427" t="s">
        <v>33130</v>
      </c>
      <c r="N427" t="s">
        <v>33127</v>
      </c>
      <c r="O427">
        <v>0.97740000000000005</v>
      </c>
    </row>
    <row r="428" spans="1:15" x14ac:dyDescent="0.75">
      <c r="A428" t="s">
        <v>5308</v>
      </c>
      <c r="B428" t="s">
        <v>393</v>
      </c>
      <c r="C428" t="s">
        <v>5306</v>
      </c>
      <c r="D428" t="s">
        <v>33118</v>
      </c>
      <c r="E428">
        <v>0</v>
      </c>
      <c r="F428">
        <v>0</v>
      </c>
      <c r="G428">
        <v>0</v>
      </c>
      <c r="H428">
        <v>0.99999800000000005</v>
      </c>
      <c r="I428">
        <v>0</v>
      </c>
      <c r="J428">
        <v>0</v>
      </c>
      <c r="K428" t="s">
        <v>33123</v>
      </c>
      <c r="L428" t="s">
        <v>33125</v>
      </c>
      <c r="M428" t="s">
        <v>33137</v>
      </c>
      <c r="N428" t="s">
        <v>33127</v>
      </c>
      <c r="O428">
        <v>0.92769999999999997</v>
      </c>
    </row>
    <row r="429" spans="1:15" x14ac:dyDescent="0.75">
      <c r="A429" t="s">
        <v>5314</v>
      </c>
      <c r="B429" t="s">
        <v>154</v>
      </c>
      <c r="C429" t="s">
        <v>5312</v>
      </c>
      <c r="D429" t="s">
        <v>33117</v>
      </c>
      <c r="E429">
        <v>1.64E-4</v>
      </c>
      <c r="F429">
        <v>0.99926899999999996</v>
      </c>
      <c r="G429">
        <v>1.4799999999999999E-4</v>
      </c>
      <c r="H429">
        <v>1.56E-4</v>
      </c>
      <c r="I429">
        <v>1.2899999999999999E-4</v>
      </c>
      <c r="J429">
        <v>1.25E-4</v>
      </c>
      <c r="K429" t="s">
        <v>33123</v>
      </c>
      <c r="L429" t="s">
        <v>33125</v>
      </c>
      <c r="M429" t="s">
        <v>33140</v>
      </c>
      <c r="N429" t="s">
        <v>33127</v>
      </c>
      <c r="O429">
        <v>0.85170000000000001</v>
      </c>
    </row>
    <row r="430" spans="1:15" x14ac:dyDescent="0.75">
      <c r="A430" t="s">
        <v>5329</v>
      </c>
      <c r="B430" t="s">
        <v>747</v>
      </c>
      <c r="C430" t="s">
        <v>5327</v>
      </c>
      <c r="D430" t="s">
        <v>33117</v>
      </c>
      <c r="E430">
        <v>2.5999999999999998E-4</v>
      </c>
      <c r="F430">
        <v>0.99885500000000005</v>
      </c>
      <c r="G430">
        <v>2.1599999999999999E-4</v>
      </c>
      <c r="H430">
        <v>2.7099999999999997E-4</v>
      </c>
      <c r="I430">
        <v>2.0699999999999999E-4</v>
      </c>
      <c r="J430">
        <v>1.94E-4</v>
      </c>
      <c r="K430" t="s">
        <v>33123</v>
      </c>
      <c r="L430" t="s">
        <v>33125</v>
      </c>
      <c r="M430" t="s">
        <v>33143</v>
      </c>
      <c r="N430" t="s">
        <v>33127</v>
      </c>
      <c r="O430">
        <v>0.96579999999999999</v>
      </c>
    </row>
    <row r="431" spans="1:15" x14ac:dyDescent="0.75">
      <c r="A431" t="s">
        <v>5334</v>
      </c>
      <c r="B431" t="s">
        <v>784</v>
      </c>
      <c r="C431" t="s">
        <v>5332</v>
      </c>
      <c r="D431" t="s">
        <v>33117</v>
      </c>
      <c r="E431">
        <v>0.14421800000000001</v>
      </c>
      <c r="F431">
        <v>0.85509599999999997</v>
      </c>
      <c r="G431">
        <v>2.2000000000000001E-4</v>
      </c>
      <c r="H431">
        <v>1.7000000000000001E-4</v>
      </c>
      <c r="I431">
        <v>1.37E-4</v>
      </c>
      <c r="J431">
        <v>1.35E-4</v>
      </c>
      <c r="K431" t="s">
        <v>33123</v>
      </c>
      <c r="L431" t="s">
        <v>33125</v>
      </c>
      <c r="M431" t="s">
        <v>33150</v>
      </c>
      <c r="N431" t="s">
        <v>33127</v>
      </c>
      <c r="O431">
        <v>0.80679999999999996</v>
      </c>
    </row>
    <row r="432" spans="1:15" x14ac:dyDescent="0.75">
      <c r="A432" t="s">
        <v>5347</v>
      </c>
      <c r="B432" t="s">
        <v>242</v>
      </c>
      <c r="C432" t="s">
        <v>5345</v>
      </c>
      <c r="D432" t="s">
        <v>33110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5" x14ac:dyDescent="0.75">
      <c r="A433" t="s">
        <v>5353</v>
      </c>
      <c r="B433" t="s">
        <v>242</v>
      </c>
      <c r="C433" t="s">
        <v>5345</v>
      </c>
      <c r="D433" t="s">
        <v>33116</v>
      </c>
      <c r="E433">
        <v>0</v>
      </c>
      <c r="F433">
        <v>0</v>
      </c>
      <c r="G433">
        <v>1</v>
      </c>
      <c r="H433">
        <v>0</v>
      </c>
      <c r="I433">
        <v>0</v>
      </c>
      <c r="J433">
        <v>0</v>
      </c>
      <c r="K433" t="s">
        <v>33123</v>
      </c>
      <c r="L433" t="s">
        <v>33125</v>
      </c>
      <c r="M433" t="s">
        <v>33132</v>
      </c>
      <c r="N433" t="s">
        <v>33127</v>
      </c>
      <c r="O433">
        <v>0.99490000000000001</v>
      </c>
    </row>
    <row r="434" spans="1:15" x14ac:dyDescent="0.75">
      <c r="A434" t="s">
        <v>5373</v>
      </c>
      <c r="B434" t="s">
        <v>611</v>
      </c>
      <c r="C434" t="s">
        <v>5371</v>
      </c>
      <c r="D434" t="s">
        <v>33118</v>
      </c>
      <c r="E434">
        <v>1.64E-4</v>
      </c>
      <c r="F434">
        <v>0.49928600000000001</v>
      </c>
      <c r="G434">
        <v>1.2899999999999999E-4</v>
      </c>
      <c r="H434">
        <v>0.50018600000000002</v>
      </c>
      <c r="I434">
        <v>1.21E-4</v>
      </c>
      <c r="J434">
        <v>1.17E-4</v>
      </c>
      <c r="K434" t="s">
        <v>33123</v>
      </c>
      <c r="L434" t="s">
        <v>33125</v>
      </c>
      <c r="M434" t="s">
        <v>33143</v>
      </c>
      <c r="N434" t="s">
        <v>33127</v>
      </c>
      <c r="O434">
        <v>0.45119999999999999</v>
      </c>
    </row>
    <row r="435" spans="1:15" x14ac:dyDescent="0.75">
      <c r="A435" t="s">
        <v>5379</v>
      </c>
      <c r="B435" t="s">
        <v>611</v>
      </c>
      <c r="C435" t="s">
        <v>5377</v>
      </c>
      <c r="D435" t="s">
        <v>33118</v>
      </c>
      <c r="E435">
        <v>1.26E-4</v>
      </c>
      <c r="F435">
        <v>0.49942700000000001</v>
      </c>
      <c r="G435">
        <v>1.08E-4</v>
      </c>
      <c r="H435">
        <v>0.50012500000000004</v>
      </c>
      <c r="I435">
        <v>1.06E-4</v>
      </c>
      <c r="J435">
        <v>1.03E-4</v>
      </c>
      <c r="K435" t="s">
        <v>33123</v>
      </c>
      <c r="L435" t="s">
        <v>33125</v>
      </c>
      <c r="M435" t="s">
        <v>33143</v>
      </c>
      <c r="N435" t="s">
        <v>33127</v>
      </c>
      <c r="O435">
        <v>0.43390000000000001</v>
      </c>
    </row>
    <row r="436" spans="1:15" x14ac:dyDescent="0.75">
      <c r="A436" t="s">
        <v>5385</v>
      </c>
      <c r="B436" t="s">
        <v>106</v>
      </c>
      <c r="C436" t="s">
        <v>5383</v>
      </c>
      <c r="D436" t="s">
        <v>33116</v>
      </c>
      <c r="E436">
        <v>0</v>
      </c>
      <c r="F436">
        <v>0</v>
      </c>
      <c r="G436">
        <v>1</v>
      </c>
      <c r="H436">
        <v>0</v>
      </c>
      <c r="I436">
        <v>0</v>
      </c>
      <c r="J436">
        <v>0</v>
      </c>
      <c r="K436" t="s">
        <v>33123</v>
      </c>
      <c r="L436" t="s">
        <v>33125</v>
      </c>
      <c r="M436" t="s">
        <v>33129</v>
      </c>
      <c r="N436" t="s">
        <v>33127</v>
      </c>
      <c r="O436">
        <v>0.99409999999999998</v>
      </c>
    </row>
    <row r="437" spans="1:15" x14ac:dyDescent="0.75">
      <c r="A437" t="s">
        <v>5391</v>
      </c>
      <c r="B437" t="s">
        <v>106</v>
      </c>
      <c r="C437" t="s">
        <v>5383</v>
      </c>
      <c r="D437" t="s">
        <v>33116</v>
      </c>
      <c r="E437">
        <v>3.1000000000000001E-5</v>
      </c>
      <c r="F437">
        <v>0.166548</v>
      </c>
      <c r="G437">
        <v>0.83338100000000004</v>
      </c>
      <c r="H437">
        <v>2.3E-5</v>
      </c>
      <c r="I437">
        <v>1.8E-5</v>
      </c>
      <c r="J437">
        <v>2.0000000000000002E-5</v>
      </c>
      <c r="K437" t="s">
        <v>33123</v>
      </c>
      <c r="L437" t="s">
        <v>33125</v>
      </c>
      <c r="M437" t="s">
        <v>33126</v>
      </c>
      <c r="N437" t="s">
        <v>33127</v>
      </c>
      <c r="O437">
        <v>0.83009999999999995</v>
      </c>
    </row>
    <row r="438" spans="1:15" x14ac:dyDescent="0.75">
      <c r="A438" t="s">
        <v>5394</v>
      </c>
      <c r="B438" t="s">
        <v>106</v>
      </c>
      <c r="C438" t="s">
        <v>5383</v>
      </c>
      <c r="D438" t="s">
        <v>33116</v>
      </c>
      <c r="E438">
        <v>0</v>
      </c>
      <c r="F438">
        <v>0</v>
      </c>
      <c r="G438">
        <v>1</v>
      </c>
      <c r="H438">
        <v>0</v>
      </c>
      <c r="I438">
        <v>0</v>
      </c>
      <c r="J438">
        <v>0</v>
      </c>
      <c r="K438" t="s">
        <v>33123</v>
      </c>
      <c r="L438" t="s">
        <v>33125</v>
      </c>
      <c r="M438" t="s">
        <v>33128</v>
      </c>
      <c r="N438" t="s">
        <v>33127</v>
      </c>
      <c r="O438">
        <v>0.99670000000000003</v>
      </c>
    </row>
    <row r="439" spans="1:15" x14ac:dyDescent="0.75">
      <c r="A439" t="s">
        <v>5398</v>
      </c>
      <c r="B439" t="s">
        <v>463</v>
      </c>
      <c r="C439" t="s">
        <v>5396</v>
      </c>
      <c r="D439" t="s">
        <v>33110</v>
      </c>
      <c r="E439">
        <v>0.50051299999999999</v>
      </c>
      <c r="F439">
        <v>0.498587</v>
      </c>
      <c r="G439">
        <v>3.1599999999999998E-4</v>
      </c>
      <c r="H439">
        <v>1.9000000000000001E-4</v>
      </c>
      <c r="I439">
        <v>2.3800000000000001E-4</v>
      </c>
      <c r="J439">
        <v>1.7799999999999999E-4</v>
      </c>
    </row>
    <row r="440" spans="1:15" x14ac:dyDescent="0.75">
      <c r="A440" t="s">
        <v>5402</v>
      </c>
      <c r="B440" t="s">
        <v>154</v>
      </c>
      <c r="C440" t="s">
        <v>5400</v>
      </c>
      <c r="D440" t="s">
        <v>33117</v>
      </c>
      <c r="E440">
        <v>2.9700000000000001E-4</v>
      </c>
      <c r="F440">
        <v>0.99888999999999994</v>
      </c>
      <c r="G440">
        <v>2.5399999999999999E-4</v>
      </c>
      <c r="H440">
        <v>2.1699999999999999E-4</v>
      </c>
      <c r="I440">
        <v>1.9100000000000001E-4</v>
      </c>
      <c r="J440">
        <v>1.74E-4</v>
      </c>
      <c r="K440" t="s">
        <v>33123</v>
      </c>
      <c r="L440" t="s">
        <v>33125</v>
      </c>
      <c r="M440" t="s">
        <v>33149</v>
      </c>
      <c r="N440" t="s">
        <v>33127</v>
      </c>
      <c r="O440">
        <v>0.35859999999999997</v>
      </c>
    </row>
    <row r="441" spans="1:15" x14ac:dyDescent="0.75">
      <c r="A441" t="s">
        <v>5407</v>
      </c>
      <c r="B441" t="s">
        <v>784</v>
      </c>
      <c r="C441" t="s">
        <v>5405</v>
      </c>
      <c r="D441" t="s">
        <v>33117</v>
      </c>
      <c r="E441">
        <v>2.3000000000000001E-4</v>
      </c>
      <c r="F441">
        <v>0.99907599999999996</v>
      </c>
      <c r="G441">
        <v>1.94E-4</v>
      </c>
      <c r="H441">
        <v>1.95E-4</v>
      </c>
      <c r="I441">
        <v>1.55E-4</v>
      </c>
      <c r="J441">
        <v>1.5300000000000001E-4</v>
      </c>
      <c r="K441" t="s">
        <v>33123</v>
      </c>
      <c r="L441" t="s">
        <v>33125</v>
      </c>
      <c r="M441" t="s">
        <v>33130</v>
      </c>
      <c r="N441" t="s">
        <v>33127</v>
      </c>
      <c r="O441">
        <v>0.97689999999999999</v>
      </c>
    </row>
    <row r="442" spans="1:15" x14ac:dyDescent="0.75">
      <c r="A442" t="s">
        <v>5411</v>
      </c>
      <c r="B442" t="s">
        <v>154</v>
      </c>
      <c r="C442" t="s">
        <v>5409</v>
      </c>
      <c r="D442" t="s">
        <v>33117</v>
      </c>
      <c r="E442">
        <v>2.8899999999999998E-4</v>
      </c>
      <c r="F442">
        <v>0.99891300000000005</v>
      </c>
      <c r="G442">
        <v>2.4699999999999999E-4</v>
      </c>
      <c r="H442">
        <v>2.14E-4</v>
      </c>
      <c r="I442">
        <v>1.8599999999999999E-4</v>
      </c>
      <c r="J442">
        <v>1.7000000000000001E-4</v>
      </c>
      <c r="K442" t="s">
        <v>33123</v>
      </c>
      <c r="L442" t="s">
        <v>33125</v>
      </c>
      <c r="M442" t="s">
        <v>33131</v>
      </c>
      <c r="N442" t="s">
        <v>33127</v>
      </c>
      <c r="O442">
        <v>0.94779999999999998</v>
      </c>
    </row>
    <row r="443" spans="1:15" x14ac:dyDescent="0.75">
      <c r="A443" t="s">
        <v>5417</v>
      </c>
      <c r="B443" t="s">
        <v>611</v>
      </c>
      <c r="C443" t="s">
        <v>5415</v>
      </c>
      <c r="D443" t="s">
        <v>33118</v>
      </c>
      <c r="E443">
        <v>1.83E-4</v>
      </c>
      <c r="F443">
        <v>0.49921900000000002</v>
      </c>
      <c r="G443">
        <v>1.3799999999999999E-4</v>
      </c>
      <c r="H443">
        <v>0.50020699999999996</v>
      </c>
      <c r="I443">
        <v>1.2899999999999999E-4</v>
      </c>
      <c r="J443">
        <v>1.22E-4</v>
      </c>
      <c r="K443" t="s">
        <v>33123</v>
      </c>
      <c r="L443" t="s">
        <v>33125</v>
      </c>
      <c r="M443" t="s">
        <v>33143</v>
      </c>
      <c r="N443" t="s">
        <v>33127</v>
      </c>
      <c r="O443">
        <v>0.45340000000000003</v>
      </c>
    </row>
    <row r="444" spans="1:15" x14ac:dyDescent="0.75">
      <c r="A444" t="s">
        <v>5422</v>
      </c>
      <c r="B444" t="s">
        <v>154</v>
      </c>
      <c r="C444" t="s">
        <v>5420</v>
      </c>
      <c r="D444" t="s">
        <v>33117</v>
      </c>
      <c r="E444">
        <v>2.8899999999999998E-4</v>
      </c>
      <c r="F444">
        <v>0.99891300000000005</v>
      </c>
      <c r="G444">
        <v>2.4699999999999999E-4</v>
      </c>
      <c r="H444">
        <v>2.14E-4</v>
      </c>
      <c r="I444">
        <v>1.8599999999999999E-4</v>
      </c>
      <c r="J444">
        <v>1.7000000000000001E-4</v>
      </c>
      <c r="K444" t="s">
        <v>33123</v>
      </c>
      <c r="L444" t="s">
        <v>33125</v>
      </c>
      <c r="M444" t="s">
        <v>33131</v>
      </c>
      <c r="N444" t="s">
        <v>33127</v>
      </c>
      <c r="O444">
        <v>0.94779999999999998</v>
      </c>
    </row>
    <row r="445" spans="1:15" x14ac:dyDescent="0.75">
      <c r="A445" t="s">
        <v>5427</v>
      </c>
      <c r="B445" t="s">
        <v>474</v>
      </c>
      <c r="C445" t="s">
        <v>5425</v>
      </c>
      <c r="D445" t="s">
        <v>33116</v>
      </c>
      <c r="E445">
        <v>0</v>
      </c>
      <c r="F445">
        <v>0</v>
      </c>
      <c r="G445">
        <v>1</v>
      </c>
      <c r="H445">
        <v>0</v>
      </c>
      <c r="I445">
        <v>0</v>
      </c>
      <c r="J445">
        <v>0</v>
      </c>
      <c r="K445" t="s">
        <v>33123</v>
      </c>
      <c r="L445" t="s">
        <v>33125</v>
      </c>
      <c r="M445" t="s">
        <v>33128</v>
      </c>
      <c r="N445" t="s">
        <v>33127</v>
      </c>
      <c r="O445">
        <v>0.99729999999999996</v>
      </c>
    </row>
    <row r="446" spans="1:15" x14ac:dyDescent="0.75">
      <c r="A446" t="s">
        <v>5433</v>
      </c>
      <c r="B446" t="s">
        <v>106</v>
      </c>
      <c r="C446" t="s">
        <v>5431</v>
      </c>
      <c r="D446" t="s">
        <v>33116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 t="s">
        <v>33123</v>
      </c>
      <c r="L446" t="s">
        <v>33125</v>
      </c>
      <c r="M446" t="s">
        <v>33129</v>
      </c>
      <c r="N446" t="s">
        <v>33127</v>
      </c>
      <c r="O446">
        <v>0.99439999999999995</v>
      </c>
    </row>
    <row r="447" spans="1:15" x14ac:dyDescent="0.75">
      <c r="A447" t="s">
        <v>5439</v>
      </c>
      <c r="B447" t="s">
        <v>106</v>
      </c>
      <c r="C447" t="s">
        <v>5431</v>
      </c>
      <c r="D447" t="s">
        <v>33116</v>
      </c>
      <c r="E447">
        <v>0</v>
      </c>
      <c r="F447">
        <v>0</v>
      </c>
      <c r="G447">
        <v>1</v>
      </c>
      <c r="H447">
        <v>0</v>
      </c>
      <c r="I447">
        <v>0</v>
      </c>
      <c r="J447">
        <v>0</v>
      </c>
      <c r="K447" t="s">
        <v>33123</v>
      </c>
      <c r="L447" t="s">
        <v>33125</v>
      </c>
      <c r="M447" t="s">
        <v>33128</v>
      </c>
      <c r="N447" t="s">
        <v>33127</v>
      </c>
      <c r="O447">
        <v>0.99670000000000003</v>
      </c>
    </row>
    <row r="448" spans="1:15" x14ac:dyDescent="0.75">
      <c r="A448" t="s">
        <v>5442</v>
      </c>
      <c r="B448" t="s">
        <v>106</v>
      </c>
      <c r="C448" t="s">
        <v>5431</v>
      </c>
      <c r="D448" t="s">
        <v>33116</v>
      </c>
      <c r="E448">
        <v>3.4E-5</v>
      </c>
      <c r="F448">
        <v>0.16652800000000001</v>
      </c>
      <c r="G448">
        <v>0.83341100000000001</v>
      </c>
      <c r="H448">
        <v>2.5000000000000001E-5</v>
      </c>
      <c r="I448">
        <v>2.0000000000000002E-5</v>
      </c>
      <c r="J448">
        <v>2.3E-5</v>
      </c>
      <c r="K448" t="s">
        <v>33123</v>
      </c>
      <c r="L448" t="s">
        <v>33125</v>
      </c>
      <c r="M448" t="s">
        <v>33126</v>
      </c>
      <c r="N448" t="s">
        <v>33127</v>
      </c>
      <c r="O448">
        <v>0.82950000000000002</v>
      </c>
    </row>
    <row r="449" spans="1:15" x14ac:dyDescent="0.75">
      <c r="A449" t="s">
        <v>5446</v>
      </c>
      <c r="B449" t="s">
        <v>33121</v>
      </c>
      <c r="C449" t="s">
        <v>5444</v>
      </c>
      <c r="D449" t="s">
        <v>33117</v>
      </c>
      <c r="E449">
        <v>2.5999999999999998E-4</v>
      </c>
      <c r="F449">
        <v>0.99899099999999996</v>
      </c>
      <c r="G449">
        <v>2.0699999999999999E-4</v>
      </c>
      <c r="H449">
        <v>2.22E-4</v>
      </c>
      <c r="I449">
        <v>1.73E-4</v>
      </c>
      <c r="J449">
        <v>1.6899999999999999E-4</v>
      </c>
      <c r="K449" t="s">
        <v>33123</v>
      </c>
      <c r="L449" t="s">
        <v>33125</v>
      </c>
      <c r="M449" t="s">
        <v>33136</v>
      </c>
      <c r="N449" t="s">
        <v>33127</v>
      </c>
      <c r="O449">
        <v>0.89859999999999995</v>
      </c>
    </row>
    <row r="450" spans="1:15" x14ac:dyDescent="0.75">
      <c r="A450" t="s">
        <v>5450</v>
      </c>
      <c r="B450" t="s">
        <v>33121</v>
      </c>
      <c r="C450" t="s">
        <v>5444</v>
      </c>
      <c r="D450" t="s">
        <v>33110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5" x14ac:dyDescent="0.75">
      <c r="A451" t="s">
        <v>5453</v>
      </c>
      <c r="B451" t="s">
        <v>463</v>
      </c>
      <c r="C451" t="s">
        <v>5451</v>
      </c>
      <c r="D451" t="s">
        <v>33117</v>
      </c>
      <c r="E451">
        <v>0.335592</v>
      </c>
      <c r="F451">
        <v>0.66383999999999999</v>
      </c>
      <c r="G451">
        <v>2.02E-4</v>
      </c>
      <c r="H451">
        <v>1.37E-4</v>
      </c>
      <c r="I451">
        <v>1.35E-4</v>
      </c>
      <c r="J451">
        <v>1.1900000000000001E-4</v>
      </c>
      <c r="K451" t="s">
        <v>33123</v>
      </c>
      <c r="L451" t="s">
        <v>33125</v>
      </c>
      <c r="M451" t="s">
        <v>33139</v>
      </c>
      <c r="N451" t="s">
        <v>33127</v>
      </c>
      <c r="O451">
        <v>0.63239999999999996</v>
      </c>
    </row>
    <row r="452" spans="1:15" x14ac:dyDescent="0.75">
      <c r="A452" t="s">
        <v>5457</v>
      </c>
      <c r="B452" t="s">
        <v>624</v>
      </c>
      <c r="C452" t="s">
        <v>5455</v>
      </c>
      <c r="D452" t="s">
        <v>33116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 t="s">
        <v>33123</v>
      </c>
      <c r="L452" t="s">
        <v>33125</v>
      </c>
      <c r="M452" t="s">
        <v>33126</v>
      </c>
      <c r="N452" t="s">
        <v>33127</v>
      </c>
      <c r="O452">
        <v>0.996</v>
      </c>
    </row>
    <row r="453" spans="1:15" x14ac:dyDescent="0.75">
      <c r="A453" t="s">
        <v>5465</v>
      </c>
      <c r="B453" t="s">
        <v>2768</v>
      </c>
      <c r="C453" t="s">
        <v>5463</v>
      </c>
      <c r="D453" t="s">
        <v>33117</v>
      </c>
      <c r="E453">
        <v>2.7E-4</v>
      </c>
      <c r="F453">
        <v>0.83221199999999995</v>
      </c>
      <c r="G453">
        <v>2.1900000000000001E-4</v>
      </c>
      <c r="H453">
        <v>0.16693</v>
      </c>
      <c r="I453">
        <v>2.0599999999999999E-4</v>
      </c>
      <c r="J453">
        <v>1.8100000000000001E-4</v>
      </c>
      <c r="K453" t="s">
        <v>33123</v>
      </c>
      <c r="L453" t="s">
        <v>33125</v>
      </c>
      <c r="M453" t="s">
        <v>33149</v>
      </c>
      <c r="N453" t="s">
        <v>33127</v>
      </c>
      <c r="O453">
        <v>0.80349999999999999</v>
      </c>
    </row>
    <row r="454" spans="1:15" x14ac:dyDescent="0.75">
      <c r="A454" t="s">
        <v>5471</v>
      </c>
      <c r="B454" t="s">
        <v>33120</v>
      </c>
      <c r="C454" t="s">
        <v>5469</v>
      </c>
      <c r="D454" t="s">
        <v>33116</v>
      </c>
      <c r="E454">
        <v>2.1999999999999999E-5</v>
      </c>
      <c r="F454">
        <v>0.16661599999999999</v>
      </c>
      <c r="G454">
        <v>0.83338100000000004</v>
      </c>
      <c r="H454">
        <v>1.2999999999999999E-5</v>
      </c>
      <c r="I454">
        <v>1.1E-5</v>
      </c>
      <c r="J454">
        <v>1.1E-5</v>
      </c>
      <c r="K454" t="s">
        <v>33123</v>
      </c>
      <c r="L454" t="s">
        <v>33125</v>
      </c>
      <c r="M454" t="s">
        <v>33129</v>
      </c>
      <c r="N454" t="s">
        <v>33127</v>
      </c>
      <c r="O454">
        <v>0.82869999999999999</v>
      </c>
    </row>
    <row r="455" spans="1:15" x14ac:dyDescent="0.75">
      <c r="A455" t="s">
        <v>5476</v>
      </c>
      <c r="B455" t="s">
        <v>515</v>
      </c>
      <c r="C455" t="s">
        <v>5474</v>
      </c>
      <c r="D455" t="s">
        <v>33116</v>
      </c>
      <c r="E455">
        <v>0</v>
      </c>
      <c r="F455">
        <v>0</v>
      </c>
      <c r="G455">
        <v>1</v>
      </c>
      <c r="H455">
        <v>0</v>
      </c>
      <c r="I455">
        <v>0</v>
      </c>
      <c r="J455">
        <v>0</v>
      </c>
      <c r="K455" t="s">
        <v>33123</v>
      </c>
      <c r="L455" t="s">
        <v>33125</v>
      </c>
      <c r="M455" t="s">
        <v>33128</v>
      </c>
      <c r="N455" t="s">
        <v>33127</v>
      </c>
      <c r="O455">
        <v>0.97240000000000004</v>
      </c>
    </row>
    <row r="456" spans="1:15" x14ac:dyDescent="0.75">
      <c r="A456" t="s">
        <v>5480</v>
      </c>
      <c r="B456" t="s">
        <v>350</v>
      </c>
      <c r="C456" t="s">
        <v>5478</v>
      </c>
      <c r="D456" t="s">
        <v>33116</v>
      </c>
      <c r="E456">
        <v>0</v>
      </c>
      <c r="F456">
        <v>0</v>
      </c>
      <c r="G456">
        <v>1</v>
      </c>
      <c r="H456">
        <v>0</v>
      </c>
      <c r="I456">
        <v>0</v>
      </c>
      <c r="J456">
        <v>0</v>
      </c>
      <c r="K456" t="s">
        <v>33123</v>
      </c>
      <c r="L456" t="s">
        <v>33125</v>
      </c>
      <c r="M456" t="s">
        <v>33128</v>
      </c>
      <c r="N456" t="s">
        <v>33127</v>
      </c>
      <c r="O456">
        <v>0.99690000000000001</v>
      </c>
    </row>
    <row r="457" spans="1:15" x14ac:dyDescent="0.75">
      <c r="A457" t="s">
        <v>5484</v>
      </c>
      <c r="B457" t="s">
        <v>1036</v>
      </c>
      <c r="C457" t="s">
        <v>5482</v>
      </c>
      <c r="D457" t="s">
        <v>33116</v>
      </c>
      <c r="E457">
        <v>0.33298</v>
      </c>
      <c r="F457">
        <v>0.16689000000000001</v>
      </c>
      <c r="G457">
        <v>0.50004800000000005</v>
      </c>
      <c r="H457">
        <v>3.1000000000000001E-5</v>
      </c>
      <c r="I457">
        <v>2.8E-5</v>
      </c>
      <c r="J457">
        <v>2.6999999999999999E-5</v>
      </c>
      <c r="K457" t="s">
        <v>33123</v>
      </c>
      <c r="L457" t="s">
        <v>33125</v>
      </c>
      <c r="M457" t="s">
        <v>33130</v>
      </c>
      <c r="N457" t="s">
        <v>33127</v>
      </c>
      <c r="O457">
        <v>0.42370000000000002</v>
      </c>
    </row>
    <row r="458" spans="1:15" x14ac:dyDescent="0.75">
      <c r="A458" t="s">
        <v>5490</v>
      </c>
      <c r="B458" t="s">
        <v>2201</v>
      </c>
      <c r="C458" t="s">
        <v>5488</v>
      </c>
      <c r="D458" t="s">
        <v>33117</v>
      </c>
      <c r="E458">
        <v>2.41E-4</v>
      </c>
      <c r="F458">
        <v>0.99889799999999995</v>
      </c>
      <c r="G458">
        <v>2.02E-4</v>
      </c>
      <c r="H458">
        <v>2.5799999999999998E-4</v>
      </c>
      <c r="I458">
        <v>1.9799999999999999E-4</v>
      </c>
      <c r="J458">
        <v>1.9900000000000001E-4</v>
      </c>
      <c r="K458" t="s">
        <v>33123</v>
      </c>
      <c r="L458" t="s">
        <v>33125</v>
      </c>
      <c r="M458" t="s">
        <v>33144</v>
      </c>
      <c r="N458" t="s">
        <v>33127</v>
      </c>
      <c r="O458">
        <v>0.98360000000000003</v>
      </c>
    </row>
    <row r="459" spans="1:15" x14ac:dyDescent="0.75">
      <c r="A459" t="s">
        <v>5494</v>
      </c>
      <c r="B459" t="s">
        <v>330</v>
      </c>
      <c r="C459" t="s">
        <v>5492</v>
      </c>
      <c r="D459" t="s">
        <v>33116</v>
      </c>
      <c r="E459">
        <v>0</v>
      </c>
      <c r="F459">
        <v>0</v>
      </c>
      <c r="G459">
        <v>1</v>
      </c>
      <c r="H459">
        <v>0</v>
      </c>
      <c r="I459">
        <v>0</v>
      </c>
      <c r="J459">
        <v>0</v>
      </c>
      <c r="K459" t="s">
        <v>33123</v>
      </c>
      <c r="L459" t="s">
        <v>33125</v>
      </c>
      <c r="M459" t="s">
        <v>33128</v>
      </c>
      <c r="N459" t="s">
        <v>33127</v>
      </c>
      <c r="O459">
        <v>0.99560000000000004</v>
      </c>
    </row>
    <row r="460" spans="1:15" x14ac:dyDescent="0.75">
      <c r="A460" t="s">
        <v>5499</v>
      </c>
      <c r="B460" t="s">
        <v>330</v>
      </c>
      <c r="C460" t="s">
        <v>5492</v>
      </c>
      <c r="D460" t="s">
        <v>33117</v>
      </c>
      <c r="E460">
        <v>1.8200000000000001E-4</v>
      </c>
      <c r="F460">
        <v>0.99921199999999999</v>
      </c>
      <c r="G460">
        <v>1.6699999999999999E-4</v>
      </c>
      <c r="H460">
        <v>1.5899999999999999E-4</v>
      </c>
      <c r="I460">
        <v>1.37E-4</v>
      </c>
      <c r="J460">
        <v>1.2999999999999999E-4</v>
      </c>
      <c r="K460" t="s">
        <v>33123</v>
      </c>
      <c r="L460" t="s">
        <v>33125</v>
      </c>
      <c r="M460" t="s">
        <v>33140</v>
      </c>
      <c r="N460" t="s">
        <v>33127</v>
      </c>
      <c r="O460">
        <v>0.97840000000000005</v>
      </c>
    </row>
    <row r="461" spans="1:15" x14ac:dyDescent="0.75">
      <c r="A461" t="s">
        <v>5503</v>
      </c>
      <c r="B461" t="s">
        <v>330</v>
      </c>
      <c r="C461" t="s">
        <v>5492</v>
      </c>
      <c r="D461" t="s">
        <v>33116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 t="s">
        <v>33123</v>
      </c>
      <c r="L461" t="s">
        <v>33125</v>
      </c>
      <c r="M461" t="s">
        <v>33129</v>
      </c>
      <c r="N461" t="s">
        <v>33127</v>
      </c>
      <c r="O461">
        <v>0.99439999999999995</v>
      </c>
    </row>
    <row r="462" spans="1:15" x14ac:dyDescent="0.75">
      <c r="A462" t="s">
        <v>5509</v>
      </c>
      <c r="B462" t="s">
        <v>393</v>
      </c>
      <c r="C462" t="s">
        <v>5507</v>
      </c>
      <c r="D462" t="s">
        <v>33118</v>
      </c>
      <c r="E462">
        <v>0</v>
      </c>
      <c r="F462">
        <v>0</v>
      </c>
      <c r="G462">
        <v>0</v>
      </c>
      <c r="H462">
        <v>0.99999800000000005</v>
      </c>
      <c r="I462">
        <v>0</v>
      </c>
      <c r="J462">
        <v>0</v>
      </c>
      <c r="K462" t="s">
        <v>33123</v>
      </c>
      <c r="L462" t="s">
        <v>33125</v>
      </c>
      <c r="M462" t="s">
        <v>33137</v>
      </c>
      <c r="N462" t="s">
        <v>33127</v>
      </c>
      <c r="O462">
        <v>0.92769999999999997</v>
      </c>
    </row>
    <row r="463" spans="1:15" x14ac:dyDescent="0.75">
      <c r="A463" t="s">
        <v>5515</v>
      </c>
      <c r="B463" t="s">
        <v>463</v>
      </c>
      <c r="C463" t="s">
        <v>5513</v>
      </c>
      <c r="D463" t="s">
        <v>33117</v>
      </c>
      <c r="E463">
        <v>0.321349</v>
      </c>
      <c r="F463">
        <v>0.67819600000000002</v>
      </c>
      <c r="G463">
        <v>1.6100000000000001E-4</v>
      </c>
      <c r="H463">
        <v>1.21E-4</v>
      </c>
      <c r="I463">
        <v>1.11E-4</v>
      </c>
      <c r="J463">
        <v>1.0399999999999999E-4</v>
      </c>
      <c r="K463" t="s">
        <v>33123</v>
      </c>
      <c r="L463" t="s">
        <v>33125</v>
      </c>
      <c r="M463" t="s">
        <v>33139</v>
      </c>
      <c r="N463" t="s">
        <v>33127</v>
      </c>
      <c r="O463">
        <v>0.64910000000000001</v>
      </c>
    </row>
    <row r="464" spans="1:15" x14ac:dyDescent="0.75">
      <c r="A464" t="s">
        <v>5520</v>
      </c>
      <c r="B464" t="s">
        <v>1055</v>
      </c>
      <c r="C464" t="s">
        <v>5518</v>
      </c>
      <c r="D464" t="s">
        <v>33117</v>
      </c>
      <c r="E464">
        <v>2.2000000000000001E-4</v>
      </c>
      <c r="F464">
        <v>0.99912100000000004</v>
      </c>
      <c r="G464">
        <v>1.8200000000000001E-4</v>
      </c>
      <c r="H464">
        <v>1.83E-4</v>
      </c>
      <c r="I464">
        <v>1.5200000000000001E-4</v>
      </c>
      <c r="J464">
        <v>1.5300000000000001E-4</v>
      </c>
      <c r="K464" t="s">
        <v>33123</v>
      </c>
      <c r="L464" t="s">
        <v>33125</v>
      </c>
      <c r="M464" t="s">
        <v>33131</v>
      </c>
      <c r="N464" t="s">
        <v>33127</v>
      </c>
      <c r="O464">
        <v>0.97860000000000003</v>
      </c>
    </row>
    <row r="465" spans="1:15" x14ac:dyDescent="0.75">
      <c r="A465" t="s">
        <v>5523</v>
      </c>
      <c r="B465" t="s">
        <v>1055</v>
      </c>
      <c r="C465" t="s">
        <v>5518</v>
      </c>
      <c r="D465" t="s">
        <v>33117</v>
      </c>
      <c r="E465">
        <v>2.4899999999999998E-4</v>
      </c>
      <c r="F465">
        <v>0.83213400000000004</v>
      </c>
      <c r="G465">
        <v>0.167069</v>
      </c>
      <c r="H465">
        <v>2.0900000000000001E-4</v>
      </c>
      <c r="I465">
        <v>1.5699999999999999E-4</v>
      </c>
      <c r="J465">
        <v>1.74E-4</v>
      </c>
      <c r="K465" t="s">
        <v>33123</v>
      </c>
      <c r="L465" t="s">
        <v>33125</v>
      </c>
      <c r="M465" t="s">
        <v>33145</v>
      </c>
      <c r="N465" t="s">
        <v>33127</v>
      </c>
      <c r="O465">
        <v>0.8004</v>
      </c>
    </row>
    <row r="466" spans="1:15" x14ac:dyDescent="0.75">
      <c r="A466" t="s">
        <v>5529</v>
      </c>
      <c r="B466" t="s">
        <v>1086</v>
      </c>
      <c r="C466" t="s">
        <v>5527</v>
      </c>
      <c r="D466" t="s">
        <v>33117</v>
      </c>
      <c r="E466">
        <v>4.1199999999999999E-4</v>
      </c>
      <c r="F466">
        <v>0.99836199999999997</v>
      </c>
      <c r="G466">
        <v>3.8900000000000002E-4</v>
      </c>
      <c r="H466">
        <v>3.5E-4</v>
      </c>
      <c r="I466">
        <v>2.3900000000000001E-4</v>
      </c>
      <c r="J466">
        <v>2.5599999999999999E-4</v>
      </c>
      <c r="K466" t="s">
        <v>33123</v>
      </c>
      <c r="L466" t="s">
        <v>33125</v>
      </c>
      <c r="M466" t="s">
        <v>33130</v>
      </c>
      <c r="N466" t="s">
        <v>33127</v>
      </c>
      <c r="O466">
        <v>0.94769999999999999</v>
      </c>
    </row>
    <row r="467" spans="1:15" x14ac:dyDescent="0.75">
      <c r="A467" t="s">
        <v>5533</v>
      </c>
      <c r="B467" t="s">
        <v>1086</v>
      </c>
      <c r="C467" t="s">
        <v>5527</v>
      </c>
      <c r="D467" t="s">
        <v>33117</v>
      </c>
      <c r="E467">
        <v>1.95E-4</v>
      </c>
      <c r="F467">
        <v>0.99922500000000003</v>
      </c>
      <c r="G467">
        <v>1.6000000000000001E-4</v>
      </c>
      <c r="H467">
        <v>1.6200000000000001E-4</v>
      </c>
      <c r="I467">
        <v>1.27E-4</v>
      </c>
      <c r="J467">
        <v>1.2799999999999999E-4</v>
      </c>
      <c r="K467" t="s">
        <v>33123</v>
      </c>
      <c r="L467" t="s">
        <v>33125</v>
      </c>
      <c r="M467" t="s">
        <v>33146</v>
      </c>
      <c r="N467" t="s">
        <v>33127</v>
      </c>
      <c r="O467">
        <v>0.9536</v>
      </c>
    </row>
    <row r="468" spans="1:15" x14ac:dyDescent="0.75">
      <c r="A468" t="s">
        <v>5538</v>
      </c>
      <c r="B468" t="s">
        <v>579</v>
      </c>
      <c r="C468" t="s">
        <v>5536</v>
      </c>
      <c r="D468" t="s">
        <v>33116</v>
      </c>
      <c r="E468">
        <v>0.12349</v>
      </c>
      <c r="F468">
        <v>7.4913999999999994E-2</v>
      </c>
      <c r="G468">
        <v>0.80115400000000003</v>
      </c>
      <c r="H468">
        <v>2.1900000000000001E-4</v>
      </c>
      <c r="I468">
        <v>2.2100000000000001E-4</v>
      </c>
      <c r="J468">
        <v>9.9999999999999995E-7</v>
      </c>
      <c r="K468" t="s">
        <v>33123</v>
      </c>
      <c r="L468" t="s">
        <v>33125</v>
      </c>
      <c r="M468" t="s">
        <v>33142</v>
      </c>
      <c r="N468" t="s">
        <v>33127</v>
      </c>
      <c r="O468">
        <v>0.95069999999999999</v>
      </c>
    </row>
    <row r="469" spans="1:15" x14ac:dyDescent="0.75">
      <c r="A469" t="s">
        <v>5543</v>
      </c>
      <c r="B469" t="s">
        <v>579</v>
      </c>
      <c r="C469" t="s">
        <v>5536</v>
      </c>
      <c r="D469" t="s">
        <v>33116</v>
      </c>
      <c r="E469">
        <v>5.8999999999999998E-5</v>
      </c>
      <c r="F469">
        <v>0.33308599999999999</v>
      </c>
      <c r="G469">
        <v>0.66671499999999995</v>
      </c>
      <c r="H469">
        <v>3.6999999999999998E-5</v>
      </c>
      <c r="I469">
        <v>4.6999999999999997E-5</v>
      </c>
      <c r="J469">
        <v>3.4999999999999997E-5</v>
      </c>
      <c r="K469" t="s">
        <v>33123</v>
      </c>
      <c r="L469" t="s">
        <v>33125</v>
      </c>
      <c r="M469" t="s">
        <v>33130</v>
      </c>
      <c r="N469" t="s">
        <v>33127</v>
      </c>
      <c r="O469">
        <v>0.52490000000000003</v>
      </c>
    </row>
    <row r="470" spans="1:15" x14ac:dyDescent="0.75">
      <c r="A470" t="s">
        <v>5547</v>
      </c>
      <c r="B470" t="s">
        <v>307</v>
      </c>
      <c r="C470" t="s">
        <v>5545</v>
      </c>
      <c r="D470" t="s">
        <v>33116</v>
      </c>
      <c r="E470">
        <v>0</v>
      </c>
      <c r="F470">
        <v>0</v>
      </c>
      <c r="G470">
        <v>1</v>
      </c>
      <c r="H470">
        <v>0</v>
      </c>
      <c r="I470">
        <v>0</v>
      </c>
      <c r="J470">
        <v>0</v>
      </c>
      <c r="K470" t="s">
        <v>33123</v>
      </c>
      <c r="L470" t="s">
        <v>33125</v>
      </c>
      <c r="M470" t="s">
        <v>33134</v>
      </c>
      <c r="N470" t="s">
        <v>33127</v>
      </c>
      <c r="O470">
        <v>0.99739999999999995</v>
      </c>
    </row>
    <row r="471" spans="1:15" x14ac:dyDescent="0.75">
      <c r="A471" t="s">
        <v>5554</v>
      </c>
      <c r="B471" t="s">
        <v>757</v>
      </c>
      <c r="C471" t="s">
        <v>5552</v>
      </c>
      <c r="D471" t="s">
        <v>33116</v>
      </c>
      <c r="E471">
        <v>0</v>
      </c>
      <c r="F471">
        <v>0</v>
      </c>
      <c r="G471">
        <v>1</v>
      </c>
      <c r="H471">
        <v>0</v>
      </c>
      <c r="I471">
        <v>0</v>
      </c>
      <c r="J471">
        <v>0</v>
      </c>
      <c r="K471" t="s">
        <v>33123</v>
      </c>
      <c r="L471" t="s">
        <v>33125</v>
      </c>
      <c r="M471" t="s">
        <v>33126</v>
      </c>
      <c r="N471" t="s">
        <v>33127</v>
      </c>
      <c r="O471">
        <v>0.99780000000000002</v>
      </c>
    </row>
    <row r="472" spans="1:15" x14ac:dyDescent="0.75">
      <c r="A472" t="s">
        <v>5561</v>
      </c>
      <c r="B472" t="s">
        <v>515</v>
      </c>
      <c r="C472" t="s">
        <v>5559</v>
      </c>
      <c r="D472" t="s">
        <v>33116</v>
      </c>
      <c r="E472">
        <v>3.6999999999999998E-5</v>
      </c>
      <c r="F472">
        <v>0.16651099999999999</v>
      </c>
      <c r="G472">
        <v>0.83339300000000005</v>
      </c>
      <c r="H472">
        <v>2.8E-5</v>
      </c>
      <c r="I472">
        <v>2.1999999999999999E-5</v>
      </c>
      <c r="J472">
        <v>2.5999999999999998E-5</v>
      </c>
      <c r="K472" t="s">
        <v>33123</v>
      </c>
      <c r="L472" t="s">
        <v>33125</v>
      </c>
      <c r="M472" t="s">
        <v>33128</v>
      </c>
      <c r="N472" t="s">
        <v>33127</v>
      </c>
      <c r="O472">
        <v>0.81189999999999996</v>
      </c>
    </row>
    <row r="473" spans="1:15" x14ac:dyDescent="0.75">
      <c r="A473" t="s">
        <v>5565</v>
      </c>
      <c r="B473" t="s">
        <v>154</v>
      </c>
      <c r="C473" t="s">
        <v>5563</v>
      </c>
      <c r="D473" t="s">
        <v>33117</v>
      </c>
      <c r="E473">
        <v>2.9700000000000001E-4</v>
      </c>
      <c r="F473">
        <v>0.99888999999999994</v>
      </c>
      <c r="G473">
        <v>2.5399999999999999E-4</v>
      </c>
      <c r="H473">
        <v>2.1699999999999999E-4</v>
      </c>
      <c r="I473">
        <v>1.9100000000000001E-4</v>
      </c>
      <c r="J473">
        <v>1.74E-4</v>
      </c>
      <c r="K473" t="s">
        <v>33123</v>
      </c>
      <c r="L473" t="s">
        <v>33125</v>
      </c>
      <c r="M473" t="s">
        <v>33149</v>
      </c>
      <c r="N473" t="s">
        <v>33127</v>
      </c>
      <c r="O473">
        <v>0.35859999999999997</v>
      </c>
    </row>
    <row r="474" spans="1:15" x14ac:dyDescent="0.75">
      <c r="A474" t="s">
        <v>5570</v>
      </c>
      <c r="B474" t="s">
        <v>747</v>
      </c>
      <c r="C474" t="s">
        <v>5568</v>
      </c>
      <c r="D474" t="s">
        <v>33117</v>
      </c>
      <c r="E474">
        <v>2.5999999999999998E-4</v>
      </c>
      <c r="F474">
        <v>0.99885500000000005</v>
      </c>
      <c r="G474">
        <v>2.1599999999999999E-4</v>
      </c>
      <c r="H474">
        <v>2.7099999999999997E-4</v>
      </c>
      <c r="I474">
        <v>2.0699999999999999E-4</v>
      </c>
      <c r="J474">
        <v>1.94E-4</v>
      </c>
      <c r="K474" t="s">
        <v>33123</v>
      </c>
      <c r="L474" t="s">
        <v>33125</v>
      </c>
      <c r="M474" t="s">
        <v>33143</v>
      </c>
      <c r="N474" t="s">
        <v>33127</v>
      </c>
      <c r="O474">
        <v>0.96579999999999999</v>
      </c>
    </row>
    <row r="475" spans="1:15" x14ac:dyDescent="0.75">
      <c r="A475" t="s">
        <v>5575</v>
      </c>
      <c r="B475" t="s">
        <v>611</v>
      </c>
      <c r="C475" t="s">
        <v>5573</v>
      </c>
      <c r="D475" t="s">
        <v>33118</v>
      </c>
      <c r="E475">
        <v>1.26E-4</v>
      </c>
      <c r="F475">
        <v>0.49942700000000001</v>
      </c>
      <c r="G475">
        <v>1.08E-4</v>
      </c>
      <c r="H475">
        <v>0.50012500000000004</v>
      </c>
      <c r="I475">
        <v>1.06E-4</v>
      </c>
      <c r="J475">
        <v>1.03E-4</v>
      </c>
      <c r="K475" t="s">
        <v>33123</v>
      </c>
      <c r="L475" t="s">
        <v>33125</v>
      </c>
      <c r="M475" t="s">
        <v>33143</v>
      </c>
      <c r="N475" t="s">
        <v>33127</v>
      </c>
      <c r="O475">
        <v>0.43390000000000001</v>
      </c>
    </row>
    <row r="476" spans="1:15" x14ac:dyDescent="0.75">
      <c r="A476" t="s">
        <v>5580</v>
      </c>
      <c r="B476" t="s">
        <v>154</v>
      </c>
      <c r="C476" t="s">
        <v>5578</v>
      </c>
      <c r="D476" t="s">
        <v>33117</v>
      </c>
      <c r="E476">
        <v>2.41E-4</v>
      </c>
      <c r="F476">
        <v>0.99904999999999999</v>
      </c>
      <c r="G476">
        <v>2.05E-4</v>
      </c>
      <c r="H476">
        <v>1.9100000000000001E-4</v>
      </c>
      <c r="I476">
        <v>1.6200000000000001E-4</v>
      </c>
      <c r="J476">
        <v>1.5699999999999999E-4</v>
      </c>
      <c r="K476" t="s">
        <v>33123</v>
      </c>
      <c r="L476" t="s">
        <v>33125</v>
      </c>
      <c r="M476" t="s">
        <v>33131</v>
      </c>
      <c r="N476" t="s">
        <v>33127</v>
      </c>
      <c r="O476">
        <v>0.97430000000000005</v>
      </c>
    </row>
    <row r="477" spans="1:15" x14ac:dyDescent="0.75">
      <c r="A477" t="s">
        <v>5587</v>
      </c>
      <c r="B477" t="s">
        <v>154</v>
      </c>
      <c r="C477" t="s">
        <v>5585</v>
      </c>
      <c r="D477" t="s">
        <v>33117</v>
      </c>
      <c r="E477">
        <v>1.7100000000000001E-4</v>
      </c>
      <c r="F477">
        <v>0.99926400000000004</v>
      </c>
      <c r="G477">
        <v>1.4899999999999999E-4</v>
      </c>
      <c r="H477">
        <v>1.5699999999999999E-4</v>
      </c>
      <c r="I477">
        <v>1.3200000000000001E-4</v>
      </c>
      <c r="J477">
        <v>1.2899999999999999E-4</v>
      </c>
      <c r="K477" t="s">
        <v>33123</v>
      </c>
      <c r="L477" t="s">
        <v>33125</v>
      </c>
      <c r="M477" t="s">
        <v>33140</v>
      </c>
      <c r="N477" t="s">
        <v>33127</v>
      </c>
      <c r="O477">
        <v>0.86980000000000002</v>
      </c>
    </row>
    <row r="478" spans="1:15" x14ac:dyDescent="0.75">
      <c r="A478" t="s">
        <v>5594</v>
      </c>
      <c r="B478" t="s">
        <v>1069</v>
      </c>
      <c r="C478" t="s">
        <v>5592</v>
      </c>
      <c r="D478" t="s">
        <v>33110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5" x14ac:dyDescent="0.75">
      <c r="A479" t="s">
        <v>5603</v>
      </c>
      <c r="B479" t="s">
        <v>551</v>
      </c>
      <c r="C479" t="s">
        <v>5601</v>
      </c>
      <c r="D479" t="s">
        <v>33117</v>
      </c>
      <c r="E479">
        <v>1.4999999999999999E-4</v>
      </c>
      <c r="F479">
        <v>0.99935399999999996</v>
      </c>
      <c r="G479">
        <v>1.2899999999999999E-4</v>
      </c>
      <c r="H479">
        <v>1.46E-4</v>
      </c>
      <c r="I479">
        <v>1.2E-4</v>
      </c>
      <c r="J479">
        <v>1.16E-4</v>
      </c>
      <c r="K479" t="s">
        <v>33123</v>
      </c>
      <c r="L479" t="s">
        <v>33125</v>
      </c>
      <c r="M479" t="s">
        <v>33128</v>
      </c>
      <c r="N479" t="s">
        <v>33127</v>
      </c>
      <c r="O479">
        <v>0.98019999999999996</v>
      </c>
    </row>
    <row r="480" spans="1:15" x14ac:dyDescent="0.75">
      <c r="A480" t="s">
        <v>5608</v>
      </c>
      <c r="B480" t="s">
        <v>1086</v>
      </c>
      <c r="C480" t="s">
        <v>5606</v>
      </c>
      <c r="D480" t="s">
        <v>33117</v>
      </c>
      <c r="E480">
        <v>3.0499999999999999E-4</v>
      </c>
      <c r="F480">
        <v>0.998776</v>
      </c>
      <c r="G480">
        <v>2.6800000000000001E-4</v>
      </c>
      <c r="H480">
        <v>2.5399999999999999E-4</v>
      </c>
      <c r="I480">
        <v>1.9799999999999999E-4</v>
      </c>
      <c r="J480">
        <v>1.95E-4</v>
      </c>
      <c r="K480" t="s">
        <v>33123</v>
      </c>
      <c r="L480" t="s">
        <v>33125</v>
      </c>
      <c r="M480" t="s">
        <v>33130</v>
      </c>
      <c r="N480" t="s">
        <v>33127</v>
      </c>
      <c r="O480">
        <v>0.96360000000000001</v>
      </c>
    </row>
    <row r="481" spans="1:15" x14ac:dyDescent="0.75">
      <c r="A481" t="s">
        <v>5616</v>
      </c>
      <c r="B481" t="s">
        <v>393</v>
      </c>
      <c r="C481" t="s">
        <v>5614</v>
      </c>
      <c r="D481" t="s">
        <v>33118</v>
      </c>
      <c r="E481">
        <v>0</v>
      </c>
      <c r="F481">
        <v>0</v>
      </c>
      <c r="G481">
        <v>0</v>
      </c>
      <c r="H481">
        <v>1</v>
      </c>
      <c r="I481">
        <v>0</v>
      </c>
      <c r="J481">
        <v>0</v>
      </c>
      <c r="K481" t="s">
        <v>33123</v>
      </c>
      <c r="L481" t="s">
        <v>33125</v>
      </c>
      <c r="M481" t="s">
        <v>33137</v>
      </c>
      <c r="N481" t="s">
        <v>33127</v>
      </c>
      <c r="O481">
        <v>0.90610000000000002</v>
      </c>
    </row>
    <row r="482" spans="1:15" x14ac:dyDescent="0.75">
      <c r="A482" t="s">
        <v>5624</v>
      </c>
      <c r="B482" t="s">
        <v>2966</v>
      </c>
      <c r="C482" t="s">
        <v>5622</v>
      </c>
      <c r="D482" t="s">
        <v>33117</v>
      </c>
      <c r="E482">
        <v>3.28E-4</v>
      </c>
      <c r="F482">
        <v>0.99866600000000005</v>
      </c>
      <c r="G482">
        <v>2.63E-4</v>
      </c>
      <c r="H482">
        <v>3.2000000000000003E-4</v>
      </c>
      <c r="I482">
        <v>2.2499999999999999E-4</v>
      </c>
      <c r="J482">
        <v>2.1699999999999999E-4</v>
      </c>
      <c r="K482" t="s">
        <v>33123</v>
      </c>
      <c r="L482" t="s">
        <v>33125</v>
      </c>
      <c r="M482" t="s">
        <v>33151</v>
      </c>
      <c r="N482" t="s">
        <v>33127</v>
      </c>
      <c r="O482">
        <v>0.96230000000000004</v>
      </c>
    </row>
    <row r="483" spans="1:15" x14ac:dyDescent="0.75">
      <c r="A483" t="s">
        <v>5630</v>
      </c>
      <c r="B483" t="s">
        <v>611</v>
      </c>
      <c r="C483" t="s">
        <v>5628</v>
      </c>
      <c r="D483" t="s">
        <v>33118</v>
      </c>
      <c r="E483">
        <v>1.64E-4</v>
      </c>
      <c r="F483">
        <v>0.49928600000000001</v>
      </c>
      <c r="G483">
        <v>1.2899999999999999E-4</v>
      </c>
      <c r="H483">
        <v>0.50018600000000002</v>
      </c>
      <c r="I483">
        <v>1.21E-4</v>
      </c>
      <c r="J483">
        <v>1.17E-4</v>
      </c>
      <c r="K483" t="s">
        <v>33123</v>
      </c>
      <c r="L483" t="s">
        <v>33125</v>
      </c>
      <c r="M483" t="s">
        <v>33143</v>
      </c>
      <c r="N483" t="s">
        <v>33127</v>
      </c>
      <c r="O483">
        <v>0.45119999999999999</v>
      </c>
    </row>
    <row r="484" spans="1:15" x14ac:dyDescent="0.75">
      <c r="A484" t="s">
        <v>5635</v>
      </c>
      <c r="B484" t="s">
        <v>1069</v>
      </c>
      <c r="C484" t="s">
        <v>5633</v>
      </c>
      <c r="D484" t="s">
        <v>33117</v>
      </c>
      <c r="E484">
        <v>2.2100000000000001E-4</v>
      </c>
      <c r="F484">
        <v>0.99904700000000002</v>
      </c>
      <c r="G484">
        <v>1.9699999999999999E-4</v>
      </c>
      <c r="H484">
        <v>2.0100000000000001E-4</v>
      </c>
      <c r="I484">
        <v>1.6699999999999999E-4</v>
      </c>
      <c r="J484">
        <v>1.6200000000000001E-4</v>
      </c>
      <c r="K484" t="s">
        <v>33123</v>
      </c>
      <c r="L484" t="s">
        <v>33125</v>
      </c>
      <c r="M484" t="s">
        <v>33130</v>
      </c>
      <c r="N484" t="s">
        <v>33127</v>
      </c>
      <c r="O484">
        <v>0.97909999999999997</v>
      </c>
    </row>
    <row r="485" spans="1:15" x14ac:dyDescent="0.75">
      <c r="A485" t="s">
        <v>5641</v>
      </c>
      <c r="B485" t="s">
        <v>560</v>
      </c>
      <c r="C485" t="s">
        <v>5639</v>
      </c>
      <c r="D485" t="s">
        <v>33117</v>
      </c>
      <c r="E485">
        <v>1.5899999999999999E-4</v>
      </c>
      <c r="F485">
        <v>0.99927299999999997</v>
      </c>
      <c r="G485">
        <v>1.4100000000000001E-4</v>
      </c>
      <c r="H485">
        <v>1.5300000000000001E-4</v>
      </c>
      <c r="I485">
        <v>1.25E-4</v>
      </c>
      <c r="J485">
        <v>1.2E-4</v>
      </c>
      <c r="K485" t="s">
        <v>33123</v>
      </c>
      <c r="L485" t="s">
        <v>33125</v>
      </c>
      <c r="M485" t="s">
        <v>33140</v>
      </c>
      <c r="N485" t="s">
        <v>33127</v>
      </c>
      <c r="O485">
        <v>0.82869999999999999</v>
      </c>
    </row>
    <row r="486" spans="1:15" x14ac:dyDescent="0.75">
      <c r="A486" t="s">
        <v>5645</v>
      </c>
      <c r="B486" t="s">
        <v>784</v>
      </c>
      <c r="C486" t="s">
        <v>5643</v>
      </c>
      <c r="D486" t="s">
        <v>33117</v>
      </c>
      <c r="E486">
        <v>0.14991299999999999</v>
      </c>
      <c r="F486">
        <v>0.84946500000000003</v>
      </c>
      <c r="G486">
        <v>1.9000000000000001E-4</v>
      </c>
      <c r="H486">
        <v>1.54E-4</v>
      </c>
      <c r="I486">
        <v>1.27E-4</v>
      </c>
      <c r="J486">
        <v>1.2400000000000001E-4</v>
      </c>
      <c r="K486" t="s">
        <v>33123</v>
      </c>
      <c r="L486" t="s">
        <v>33125</v>
      </c>
      <c r="M486" t="s">
        <v>33150</v>
      </c>
      <c r="N486" t="s">
        <v>33127</v>
      </c>
      <c r="O486">
        <v>0.81030000000000002</v>
      </c>
    </row>
    <row r="487" spans="1:15" x14ac:dyDescent="0.75">
      <c r="A487" t="s">
        <v>5689</v>
      </c>
      <c r="B487" t="s">
        <v>560</v>
      </c>
      <c r="C487" t="s">
        <v>5687</v>
      </c>
      <c r="D487" t="s">
        <v>33117</v>
      </c>
      <c r="E487">
        <v>1.4999999999999999E-4</v>
      </c>
      <c r="F487">
        <v>0.99934800000000001</v>
      </c>
      <c r="G487">
        <v>1.3300000000000001E-4</v>
      </c>
      <c r="H487">
        <v>1.4899999999999999E-4</v>
      </c>
      <c r="I487">
        <v>1.21E-4</v>
      </c>
      <c r="J487">
        <v>1.18E-4</v>
      </c>
      <c r="K487" t="s">
        <v>33123</v>
      </c>
      <c r="L487" t="s">
        <v>33125</v>
      </c>
      <c r="M487" t="s">
        <v>33140</v>
      </c>
      <c r="N487" t="s">
        <v>33127</v>
      </c>
      <c r="O487">
        <v>0.74380000000000002</v>
      </c>
    </row>
    <row r="488" spans="1:15" x14ac:dyDescent="0.75">
      <c r="A488" t="s">
        <v>5693</v>
      </c>
      <c r="B488" t="s">
        <v>2768</v>
      </c>
      <c r="C488" t="s">
        <v>5691</v>
      </c>
      <c r="D488" t="s">
        <v>33117</v>
      </c>
      <c r="E488">
        <v>2.7E-4</v>
      </c>
      <c r="F488">
        <v>0.83221199999999995</v>
      </c>
      <c r="G488">
        <v>2.1900000000000001E-4</v>
      </c>
      <c r="H488">
        <v>0.16693</v>
      </c>
      <c r="I488">
        <v>2.0599999999999999E-4</v>
      </c>
      <c r="J488">
        <v>1.8100000000000001E-4</v>
      </c>
      <c r="K488" t="s">
        <v>33123</v>
      </c>
      <c r="L488" t="s">
        <v>33125</v>
      </c>
      <c r="M488" t="s">
        <v>33149</v>
      </c>
      <c r="N488" t="s">
        <v>33127</v>
      </c>
      <c r="O488">
        <v>0.80349999999999999</v>
      </c>
    </row>
    <row r="489" spans="1:15" x14ac:dyDescent="0.75">
      <c r="A489" t="s">
        <v>5697</v>
      </c>
      <c r="B489" t="s">
        <v>611</v>
      </c>
      <c r="C489" t="s">
        <v>5695</v>
      </c>
      <c r="D489" t="s">
        <v>33118</v>
      </c>
      <c r="E489">
        <v>1.26E-4</v>
      </c>
      <c r="F489">
        <v>0.49942700000000001</v>
      </c>
      <c r="G489">
        <v>1.08E-4</v>
      </c>
      <c r="H489">
        <v>0.50012500000000004</v>
      </c>
      <c r="I489">
        <v>1.06E-4</v>
      </c>
      <c r="J489">
        <v>1.03E-4</v>
      </c>
      <c r="K489" t="s">
        <v>33123</v>
      </c>
      <c r="L489" t="s">
        <v>33125</v>
      </c>
      <c r="M489" t="s">
        <v>33143</v>
      </c>
      <c r="N489" t="s">
        <v>33127</v>
      </c>
      <c r="O489">
        <v>0.43390000000000001</v>
      </c>
    </row>
    <row r="490" spans="1:15" x14ac:dyDescent="0.75">
      <c r="A490" t="s">
        <v>5703</v>
      </c>
      <c r="B490" t="s">
        <v>1036</v>
      </c>
      <c r="C490" t="s">
        <v>5701</v>
      </c>
      <c r="D490" t="s">
        <v>33117</v>
      </c>
      <c r="E490">
        <v>1.84E-4</v>
      </c>
      <c r="F490">
        <v>0.49932300000000002</v>
      </c>
      <c r="G490">
        <v>0.16681699999999999</v>
      </c>
      <c r="H490">
        <v>0.16775200000000001</v>
      </c>
      <c r="I490">
        <v>0.165826</v>
      </c>
      <c r="J490">
        <v>9.8999999999999994E-5</v>
      </c>
      <c r="K490" t="s">
        <v>33123</v>
      </c>
      <c r="L490" t="s">
        <v>33125</v>
      </c>
      <c r="M490" t="s">
        <v>33152</v>
      </c>
      <c r="N490" t="s">
        <v>33127</v>
      </c>
      <c r="O490">
        <v>0.42659999999999998</v>
      </c>
    </row>
    <row r="491" spans="1:15" x14ac:dyDescent="0.75">
      <c r="A491" t="s">
        <v>5713</v>
      </c>
      <c r="B491" t="s">
        <v>330</v>
      </c>
      <c r="C491" t="s">
        <v>5709</v>
      </c>
      <c r="D491" t="s">
        <v>33116</v>
      </c>
      <c r="E491">
        <v>0</v>
      </c>
      <c r="F491">
        <v>0</v>
      </c>
      <c r="G491">
        <v>1</v>
      </c>
      <c r="H491">
        <v>0</v>
      </c>
      <c r="I491">
        <v>0</v>
      </c>
      <c r="J491">
        <v>0</v>
      </c>
      <c r="K491" t="s">
        <v>33123</v>
      </c>
      <c r="L491" t="s">
        <v>33125</v>
      </c>
      <c r="M491" t="s">
        <v>33129</v>
      </c>
      <c r="N491" t="s">
        <v>33127</v>
      </c>
      <c r="O491">
        <v>0.99409999999999998</v>
      </c>
    </row>
    <row r="492" spans="1:15" x14ac:dyDescent="0.75">
      <c r="A492" t="s">
        <v>5711</v>
      </c>
      <c r="B492" t="s">
        <v>330</v>
      </c>
      <c r="C492" t="s">
        <v>5709</v>
      </c>
      <c r="D492" t="s">
        <v>33117</v>
      </c>
      <c r="E492">
        <v>1.85E-4</v>
      </c>
      <c r="F492">
        <v>0.999224</v>
      </c>
      <c r="G492">
        <v>1.6699999999999999E-4</v>
      </c>
      <c r="H492">
        <v>1.5899999999999999E-4</v>
      </c>
      <c r="I492">
        <v>1.3799999999999999E-4</v>
      </c>
      <c r="J492">
        <v>1.2999999999999999E-4</v>
      </c>
      <c r="K492" t="s">
        <v>33123</v>
      </c>
      <c r="L492" t="s">
        <v>33125</v>
      </c>
      <c r="M492" t="s">
        <v>33140</v>
      </c>
      <c r="N492" t="s">
        <v>33127</v>
      </c>
      <c r="O492">
        <v>0.97870000000000001</v>
      </c>
    </row>
    <row r="493" spans="1:15" x14ac:dyDescent="0.75">
      <c r="A493" t="s">
        <v>5718</v>
      </c>
      <c r="B493" t="s">
        <v>330</v>
      </c>
      <c r="C493" t="s">
        <v>5709</v>
      </c>
      <c r="D493" t="s">
        <v>33116</v>
      </c>
      <c r="E493">
        <v>0</v>
      </c>
      <c r="F493">
        <v>0</v>
      </c>
      <c r="G493">
        <v>1</v>
      </c>
      <c r="H493">
        <v>0</v>
      </c>
      <c r="I493">
        <v>0</v>
      </c>
      <c r="J493">
        <v>0</v>
      </c>
      <c r="K493" t="s">
        <v>33123</v>
      </c>
      <c r="L493" t="s">
        <v>33125</v>
      </c>
      <c r="M493" t="s">
        <v>33128</v>
      </c>
      <c r="N493" t="s">
        <v>33127</v>
      </c>
      <c r="O493">
        <v>0.99619999999999997</v>
      </c>
    </row>
    <row r="494" spans="1:15" x14ac:dyDescent="0.75">
      <c r="A494" t="s">
        <v>5724</v>
      </c>
      <c r="B494" t="s">
        <v>784</v>
      </c>
      <c r="C494" t="s">
        <v>5722</v>
      </c>
      <c r="D494" t="s">
        <v>33117</v>
      </c>
      <c r="E494">
        <v>0.14991299999999999</v>
      </c>
      <c r="F494">
        <v>0.84946500000000003</v>
      </c>
      <c r="G494">
        <v>1.9000000000000001E-4</v>
      </c>
      <c r="H494">
        <v>1.54E-4</v>
      </c>
      <c r="I494">
        <v>1.27E-4</v>
      </c>
      <c r="J494">
        <v>1.2400000000000001E-4</v>
      </c>
      <c r="K494" t="s">
        <v>33123</v>
      </c>
      <c r="L494" t="s">
        <v>33125</v>
      </c>
      <c r="M494" t="s">
        <v>33150</v>
      </c>
      <c r="N494" t="s">
        <v>33127</v>
      </c>
      <c r="O494">
        <v>0.81030000000000002</v>
      </c>
    </row>
    <row r="495" spans="1:15" x14ac:dyDescent="0.75">
      <c r="A495" t="s">
        <v>5730</v>
      </c>
      <c r="B495" t="s">
        <v>350</v>
      </c>
      <c r="C495" t="s">
        <v>5728</v>
      </c>
      <c r="D495" t="s">
        <v>33116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 t="s">
        <v>33123</v>
      </c>
      <c r="L495" t="s">
        <v>33125</v>
      </c>
      <c r="M495" t="s">
        <v>33128</v>
      </c>
      <c r="N495" t="s">
        <v>33127</v>
      </c>
      <c r="O495">
        <v>0.99670000000000003</v>
      </c>
    </row>
    <row r="496" spans="1:15" x14ac:dyDescent="0.75">
      <c r="A496" t="s">
        <v>5737</v>
      </c>
      <c r="B496" t="s">
        <v>350</v>
      </c>
      <c r="C496" t="s">
        <v>5728</v>
      </c>
      <c r="D496" t="s">
        <v>33116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 t="s">
        <v>33123</v>
      </c>
      <c r="L496" t="s">
        <v>33125</v>
      </c>
      <c r="M496" t="s">
        <v>33128</v>
      </c>
      <c r="N496" t="s">
        <v>33127</v>
      </c>
      <c r="O496">
        <v>0.99690000000000001</v>
      </c>
    </row>
    <row r="497" spans="1:15" x14ac:dyDescent="0.75">
      <c r="A497" t="s">
        <v>5742</v>
      </c>
      <c r="B497" t="s">
        <v>747</v>
      </c>
      <c r="C497" t="s">
        <v>5740</v>
      </c>
      <c r="D497" t="s">
        <v>33117</v>
      </c>
      <c r="E497">
        <v>2.5999999999999998E-4</v>
      </c>
      <c r="F497">
        <v>0.99885500000000005</v>
      </c>
      <c r="G497">
        <v>2.1599999999999999E-4</v>
      </c>
      <c r="H497">
        <v>2.7099999999999997E-4</v>
      </c>
      <c r="I497">
        <v>2.0699999999999999E-4</v>
      </c>
      <c r="J497">
        <v>1.94E-4</v>
      </c>
      <c r="K497" t="s">
        <v>33123</v>
      </c>
      <c r="L497" t="s">
        <v>33125</v>
      </c>
      <c r="M497" t="s">
        <v>33143</v>
      </c>
      <c r="N497" t="s">
        <v>33127</v>
      </c>
      <c r="O497">
        <v>0.96579999999999999</v>
      </c>
    </row>
    <row r="498" spans="1:15" x14ac:dyDescent="0.75">
      <c r="A498" t="s">
        <v>5747</v>
      </c>
      <c r="B498" t="s">
        <v>307</v>
      </c>
      <c r="C498" t="s">
        <v>5745</v>
      </c>
      <c r="D498" t="s">
        <v>33116</v>
      </c>
      <c r="E498">
        <v>0</v>
      </c>
      <c r="F498">
        <v>0</v>
      </c>
      <c r="G498">
        <v>0.99999400000000005</v>
      </c>
      <c r="H498">
        <v>0</v>
      </c>
      <c r="I498">
        <v>0</v>
      </c>
      <c r="J498">
        <v>0</v>
      </c>
      <c r="K498" t="s">
        <v>33123</v>
      </c>
      <c r="L498" t="s">
        <v>33125</v>
      </c>
      <c r="M498" t="s">
        <v>33134</v>
      </c>
      <c r="N498" t="s">
        <v>33127</v>
      </c>
      <c r="O498">
        <v>0.99719999999999998</v>
      </c>
    </row>
    <row r="499" spans="1:15" x14ac:dyDescent="0.75">
      <c r="A499" t="s">
        <v>5757</v>
      </c>
      <c r="B499" t="s">
        <v>2201</v>
      </c>
      <c r="C499" t="s">
        <v>5755</v>
      </c>
      <c r="D499" t="s">
        <v>33117</v>
      </c>
      <c r="E499">
        <v>2.41E-4</v>
      </c>
      <c r="F499">
        <v>0.99889799999999995</v>
      </c>
      <c r="G499">
        <v>2.02E-4</v>
      </c>
      <c r="H499">
        <v>2.5799999999999998E-4</v>
      </c>
      <c r="I499">
        <v>1.9799999999999999E-4</v>
      </c>
      <c r="J499">
        <v>1.9900000000000001E-4</v>
      </c>
      <c r="K499" t="s">
        <v>33123</v>
      </c>
      <c r="L499" t="s">
        <v>33125</v>
      </c>
      <c r="M499" t="s">
        <v>33144</v>
      </c>
      <c r="N499" t="s">
        <v>33127</v>
      </c>
      <c r="O499">
        <v>0.98360000000000003</v>
      </c>
    </row>
    <row r="500" spans="1:15" x14ac:dyDescent="0.75">
      <c r="A500" t="s">
        <v>5761</v>
      </c>
      <c r="B500" t="s">
        <v>1069</v>
      </c>
      <c r="C500" t="s">
        <v>5759</v>
      </c>
      <c r="D500" t="s">
        <v>33116</v>
      </c>
      <c r="E500">
        <v>0</v>
      </c>
      <c r="F500">
        <v>0</v>
      </c>
      <c r="G500">
        <v>1</v>
      </c>
      <c r="H500">
        <v>0</v>
      </c>
      <c r="I500">
        <v>0</v>
      </c>
      <c r="J500">
        <v>0</v>
      </c>
      <c r="K500" t="s">
        <v>33123</v>
      </c>
      <c r="L500" t="s">
        <v>33125</v>
      </c>
      <c r="M500" t="s">
        <v>33126</v>
      </c>
      <c r="N500" t="s">
        <v>33127</v>
      </c>
      <c r="O500">
        <v>0.9929</v>
      </c>
    </row>
    <row r="501" spans="1:15" x14ac:dyDescent="0.75">
      <c r="A501" t="s">
        <v>5766</v>
      </c>
      <c r="B501" t="s">
        <v>1069</v>
      </c>
      <c r="C501" t="s">
        <v>5759</v>
      </c>
      <c r="D501" t="s">
        <v>33117</v>
      </c>
      <c r="E501">
        <v>2.4399999999999999E-4</v>
      </c>
      <c r="F501">
        <v>0.83304</v>
      </c>
      <c r="G501">
        <v>0.166271</v>
      </c>
      <c r="H501">
        <v>1.55E-4</v>
      </c>
      <c r="I501">
        <v>1.4300000000000001E-4</v>
      </c>
      <c r="J501">
        <v>1.37E-4</v>
      </c>
      <c r="K501" t="s">
        <v>33123</v>
      </c>
      <c r="L501" t="s">
        <v>33125</v>
      </c>
      <c r="M501" t="s">
        <v>33130</v>
      </c>
      <c r="N501" t="s">
        <v>33127</v>
      </c>
      <c r="O501">
        <v>0.78539999999999999</v>
      </c>
    </row>
    <row r="502" spans="1:15" x14ac:dyDescent="0.75">
      <c r="A502" t="s">
        <v>5772</v>
      </c>
      <c r="B502" t="s">
        <v>106</v>
      </c>
      <c r="C502" t="s">
        <v>5770</v>
      </c>
      <c r="D502" t="s">
        <v>33116</v>
      </c>
      <c r="E502">
        <v>2.1999999999999999E-5</v>
      </c>
      <c r="F502">
        <v>0.166601</v>
      </c>
      <c r="G502">
        <v>0.83335999999999999</v>
      </c>
      <c r="H502">
        <v>1.5E-5</v>
      </c>
      <c r="I502">
        <v>1.2E-5</v>
      </c>
      <c r="J502">
        <v>1.2999999999999999E-5</v>
      </c>
      <c r="K502" t="s">
        <v>33123</v>
      </c>
      <c r="L502" t="s">
        <v>33125</v>
      </c>
      <c r="M502" t="s">
        <v>33126</v>
      </c>
      <c r="N502" t="s">
        <v>33127</v>
      </c>
      <c r="O502">
        <v>0.82250000000000001</v>
      </c>
    </row>
    <row r="503" spans="1:15" x14ac:dyDescent="0.75">
      <c r="A503" t="s">
        <v>5776</v>
      </c>
      <c r="B503" t="s">
        <v>106</v>
      </c>
      <c r="C503" t="s">
        <v>5770</v>
      </c>
      <c r="D503" t="s">
        <v>33116</v>
      </c>
      <c r="E503">
        <v>0</v>
      </c>
      <c r="F503">
        <v>0</v>
      </c>
      <c r="G503">
        <v>1</v>
      </c>
      <c r="H503">
        <v>0</v>
      </c>
      <c r="I503">
        <v>0</v>
      </c>
      <c r="J503">
        <v>0</v>
      </c>
      <c r="K503" t="s">
        <v>33123</v>
      </c>
      <c r="L503" t="s">
        <v>33125</v>
      </c>
      <c r="M503" t="s">
        <v>33129</v>
      </c>
      <c r="N503" t="s">
        <v>33127</v>
      </c>
      <c r="O503">
        <v>0.99419999999999997</v>
      </c>
    </row>
    <row r="504" spans="1:15" x14ac:dyDescent="0.75">
      <c r="A504" t="s">
        <v>5781</v>
      </c>
      <c r="B504" t="s">
        <v>106</v>
      </c>
      <c r="C504" t="s">
        <v>5770</v>
      </c>
      <c r="D504" t="s">
        <v>33116</v>
      </c>
      <c r="E504">
        <v>0</v>
      </c>
      <c r="F504">
        <v>0</v>
      </c>
      <c r="G504">
        <v>1</v>
      </c>
      <c r="H504">
        <v>0</v>
      </c>
      <c r="I504">
        <v>0</v>
      </c>
      <c r="J504">
        <v>0</v>
      </c>
      <c r="K504" t="s">
        <v>33123</v>
      </c>
      <c r="L504" t="s">
        <v>33125</v>
      </c>
      <c r="M504" t="s">
        <v>33128</v>
      </c>
      <c r="N504" t="s">
        <v>33127</v>
      </c>
      <c r="O504">
        <v>0.99519999999999997</v>
      </c>
    </row>
    <row r="505" spans="1:15" x14ac:dyDescent="0.75">
      <c r="A505" t="s">
        <v>5785</v>
      </c>
      <c r="B505" t="s">
        <v>1036</v>
      </c>
      <c r="C505" t="s">
        <v>5783</v>
      </c>
      <c r="D505" t="s">
        <v>33117</v>
      </c>
      <c r="E505">
        <v>1.84E-4</v>
      </c>
      <c r="F505">
        <v>0.49932300000000002</v>
      </c>
      <c r="G505">
        <v>0.16681699999999999</v>
      </c>
      <c r="H505">
        <v>0.16775200000000001</v>
      </c>
      <c r="I505">
        <v>0.165826</v>
      </c>
      <c r="J505">
        <v>9.8999999999999994E-5</v>
      </c>
      <c r="K505" t="s">
        <v>33123</v>
      </c>
      <c r="L505" t="s">
        <v>33125</v>
      </c>
      <c r="M505" t="s">
        <v>33152</v>
      </c>
      <c r="N505" t="s">
        <v>33127</v>
      </c>
      <c r="O505">
        <v>0.42659999999999998</v>
      </c>
    </row>
    <row r="506" spans="1:15" x14ac:dyDescent="0.75">
      <c r="A506" t="s">
        <v>5791</v>
      </c>
      <c r="B506" t="s">
        <v>624</v>
      </c>
      <c r="C506" t="s">
        <v>5789</v>
      </c>
      <c r="D506" t="s">
        <v>33116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  <c r="K506" t="s">
        <v>33123</v>
      </c>
      <c r="L506" t="s">
        <v>33125</v>
      </c>
      <c r="M506" t="s">
        <v>33126</v>
      </c>
      <c r="N506" t="s">
        <v>33127</v>
      </c>
      <c r="O506">
        <v>0.996</v>
      </c>
    </row>
    <row r="507" spans="1:15" x14ac:dyDescent="0.75">
      <c r="A507" t="s">
        <v>5798</v>
      </c>
      <c r="B507" t="s">
        <v>2768</v>
      </c>
      <c r="C507" t="s">
        <v>5796</v>
      </c>
      <c r="D507" t="s">
        <v>33117</v>
      </c>
      <c r="E507">
        <v>2.2599999999999999E-4</v>
      </c>
      <c r="F507">
        <v>0.99907299999999999</v>
      </c>
      <c r="G507">
        <v>1.8000000000000001E-4</v>
      </c>
      <c r="H507">
        <v>2.0799999999999999E-4</v>
      </c>
      <c r="I507">
        <v>1.6899999999999999E-4</v>
      </c>
      <c r="J507">
        <v>1.55E-4</v>
      </c>
      <c r="K507" t="s">
        <v>33123</v>
      </c>
      <c r="L507" t="s">
        <v>33125</v>
      </c>
      <c r="M507" t="s">
        <v>33149</v>
      </c>
      <c r="N507" t="s">
        <v>33127</v>
      </c>
      <c r="O507">
        <v>0.97370000000000001</v>
      </c>
    </row>
    <row r="508" spans="1:15" x14ac:dyDescent="0.75">
      <c r="A508" t="s">
        <v>5802</v>
      </c>
      <c r="B508" t="s">
        <v>393</v>
      </c>
      <c r="C508" t="s">
        <v>5800</v>
      </c>
      <c r="D508" t="s">
        <v>33118</v>
      </c>
      <c r="E508">
        <v>0</v>
      </c>
      <c r="F508">
        <v>0</v>
      </c>
      <c r="G508">
        <v>0</v>
      </c>
      <c r="H508">
        <v>0.99999800000000005</v>
      </c>
      <c r="I508">
        <v>0</v>
      </c>
      <c r="J508">
        <v>0</v>
      </c>
      <c r="K508" t="s">
        <v>33123</v>
      </c>
      <c r="L508" t="s">
        <v>33125</v>
      </c>
      <c r="M508" t="s">
        <v>33137</v>
      </c>
      <c r="N508" t="s">
        <v>33127</v>
      </c>
      <c r="O508">
        <v>0.92769999999999997</v>
      </c>
    </row>
    <row r="509" spans="1:15" x14ac:dyDescent="0.75">
      <c r="A509" t="s">
        <v>5808</v>
      </c>
      <c r="B509" t="s">
        <v>463</v>
      </c>
      <c r="C509" t="s">
        <v>5806</v>
      </c>
      <c r="D509" t="s">
        <v>33117</v>
      </c>
      <c r="E509">
        <v>0.45750800000000003</v>
      </c>
      <c r="F509">
        <v>0.541736</v>
      </c>
      <c r="G509">
        <v>2.6800000000000001E-4</v>
      </c>
      <c r="H509">
        <v>1.6000000000000001E-4</v>
      </c>
      <c r="I509">
        <v>1.8599999999999999E-4</v>
      </c>
      <c r="J509">
        <v>1.5100000000000001E-4</v>
      </c>
      <c r="K509" t="s">
        <v>33123</v>
      </c>
      <c r="L509" t="s">
        <v>33125</v>
      </c>
      <c r="M509" t="s">
        <v>33139</v>
      </c>
      <c r="N509" t="s">
        <v>33127</v>
      </c>
      <c r="O509">
        <v>0.4703</v>
      </c>
    </row>
    <row r="510" spans="1:15" x14ac:dyDescent="0.75">
      <c r="A510" t="s">
        <v>5812</v>
      </c>
      <c r="B510" t="s">
        <v>1086</v>
      </c>
      <c r="C510" t="s">
        <v>5810</v>
      </c>
      <c r="D510" t="s">
        <v>33117</v>
      </c>
      <c r="E510">
        <v>4.1199999999999999E-4</v>
      </c>
      <c r="F510">
        <v>0.99836199999999997</v>
      </c>
      <c r="G510">
        <v>3.8900000000000002E-4</v>
      </c>
      <c r="H510">
        <v>3.5E-4</v>
      </c>
      <c r="I510">
        <v>2.3900000000000001E-4</v>
      </c>
      <c r="J510">
        <v>2.5599999999999999E-4</v>
      </c>
      <c r="K510" t="s">
        <v>33123</v>
      </c>
      <c r="L510" t="s">
        <v>33125</v>
      </c>
      <c r="M510" t="s">
        <v>33130</v>
      </c>
      <c r="N510" t="s">
        <v>33127</v>
      </c>
      <c r="O510">
        <v>0.94769999999999999</v>
      </c>
    </row>
    <row r="511" spans="1:15" x14ac:dyDescent="0.75">
      <c r="A511" t="s">
        <v>5817</v>
      </c>
      <c r="B511" t="s">
        <v>1086</v>
      </c>
      <c r="C511" t="s">
        <v>5810</v>
      </c>
      <c r="D511" t="s">
        <v>33117</v>
      </c>
      <c r="E511">
        <v>4.86E-4</v>
      </c>
      <c r="F511">
        <v>0.831071</v>
      </c>
      <c r="G511">
        <v>0.167488</v>
      </c>
      <c r="H511">
        <v>3.0600000000000001E-4</v>
      </c>
      <c r="I511">
        <v>3.4000000000000002E-4</v>
      </c>
      <c r="J511">
        <v>2.8899999999999998E-4</v>
      </c>
      <c r="K511" t="s">
        <v>33123</v>
      </c>
      <c r="L511" t="s">
        <v>33125</v>
      </c>
      <c r="M511" t="s">
        <v>33130</v>
      </c>
      <c r="N511" t="s">
        <v>33127</v>
      </c>
      <c r="O511">
        <v>0.74009999999999998</v>
      </c>
    </row>
    <row r="512" spans="1:15" x14ac:dyDescent="0.75">
      <c r="A512" t="s">
        <v>5821</v>
      </c>
      <c r="B512" t="s">
        <v>1086</v>
      </c>
      <c r="C512" t="s">
        <v>5810</v>
      </c>
      <c r="D512" t="s">
        <v>33117</v>
      </c>
      <c r="E512">
        <v>1.94E-4</v>
      </c>
      <c r="F512">
        <v>0.99920699999999996</v>
      </c>
      <c r="G512">
        <v>1.65E-4</v>
      </c>
      <c r="H512">
        <v>1.6200000000000001E-4</v>
      </c>
      <c r="I512">
        <v>1.2899999999999999E-4</v>
      </c>
      <c r="J512">
        <v>1.3200000000000001E-4</v>
      </c>
      <c r="K512" t="s">
        <v>33123</v>
      </c>
      <c r="L512" t="s">
        <v>33125</v>
      </c>
      <c r="M512" t="s">
        <v>33146</v>
      </c>
      <c r="N512" t="s">
        <v>33127</v>
      </c>
      <c r="O512">
        <v>0.97399999999999998</v>
      </c>
    </row>
    <row r="513" spans="1:15" x14ac:dyDescent="0.75">
      <c r="A513" t="s">
        <v>5826</v>
      </c>
      <c r="B513" t="s">
        <v>560</v>
      </c>
      <c r="C513" t="s">
        <v>5824</v>
      </c>
      <c r="D513" t="s">
        <v>33117</v>
      </c>
      <c r="E513">
        <v>1.7799999999999999E-4</v>
      </c>
      <c r="F513">
        <v>0.99921499999999996</v>
      </c>
      <c r="G513">
        <v>1.6100000000000001E-4</v>
      </c>
      <c r="H513">
        <v>1.6699999999999999E-4</v>
      </c>
      <c r="I513">
        <v>1.3999999999999999E-4</v>
      </c>
      <c r="J513">
        <v>1.3799999999999999E-4</v>
      </c>
      <c r="K513" t="s">
        <v>33123</v>
      </c>
      <c r="L513" t="s">
        <v>33125</v>
      </c>
      <c r="M513" t="s">
        <v>33132</v>
      </c>
      <c r="N513" t="s">
        <v>33127</v>
      </c>
      <c r="O513">
        <v>0.95489999999999997</v>
      </c>
    </row>
    <row r="514" spans="1:15" x14ac:dyDescent="0.75">
      <c r="A514" t="s">
        <v>5830</v>
      </c>
      <c r="B514" t="s">
        <v>611</v>
      </c>
      <c r="C514" t="s">
        <v>5828</v>
      </c>
      <c r="D514" t="s">
        <v>33118</v>
      </c>
      <c r="E514">
        <v>1.64E-4</v>
      </c>
      <c r="F514">
        <v>0.49928600000000001</v>
      </c>
      <c r="G514">
        <v>1.2899999999999999E-4</v>
      </c>
      <c r="H514">
        <v>0.50018600000000002</v>
      </c>
      <c r="I514">
        <v>1.21E-4</v>
      </c>
      <c r="J514">
        <v>1.17E-4</v>
      </c>
      <c r="K514" t="s">
        <v>33123</v>
      </c>
      <c r="L514" t="s">
        <v>33125</v>
      </c>
      <c r="M514" t="s">
        <v>33143</v>
      </c>
      <c r="N514" t="s">
        <v>33127</v>
      </c>
      <c r="O514">
        <v>0.45119999999999999</v>
      </c>
    </row>
    <row r="515" spans="1:15" x14ac:dyDescent="0.75">
      <c r="A515" t="s">
        <v>5836</v>
      </c>
      <c r="B515" t="s">
        <v>551</v>
      </c>
      <c r="C515" t="s">
        <v>5834</v>
      </c>
      <c r="D515" t="s">
        <v>33117</v>
      </c>
      <c r="E515">
        <v>2.23E-4</v>
      </c>
      <c r="F515">
        <v>0.99913200000000002</v>
      </c>
      <c r="G515">
        <v>1.85E-4</v>
      </c>
      <c r="H515">
        <v>1.75E-4</v>
      </c>
      <c r="I515">
        <v>1.44E-4</v>
      </c>
      <c r="J515">
        <v>1.44E-4</v>
      </c>
      <c r="K515" t="s">
        <v>33123</v>
      </c>
      <c r="L515" t="s">
        <v>33125</v>
      </c>
      <c r="M515" t="s">
        <v>33131</v>
      </c>
      <c r="N515" t="s">
        <v>33127</v>
      </c>
      <c r="O515">
        <v>0.97389999999999999</v>
      </c>
    </row>
    <row r="516" spans="1:15" x14ac:dyDescent="0.75">
      <c r="A516" t="s">
        <v>5841</v>
      </c>
      <c r="B516" t="s">
        <v>242</v>
      </c>
      <c r="C516" t="s">
        <v>5839</v>
      </c>
      <c r="D516" t="s">
        <v>33110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5" x14ac:dyDescent="0.75">
      <c r="A517" t="s">
        <v>5846</v>
      </c>
      <c r="B517" t="s">
        <v>242</v>
      </c>
      <c r="C517" t="s">
        <v>5839</v>
      </c>
      <c r="D517" t="s">
        <v>33116</v>
      </c>
      <c r="E517">
        <v>0</v>
      </c>
      <c r="F517">
        <v>0</v>
      </c>
      <c r="G517">
        <v>1</v>
      </c>
      <c r="H517">
        <v>0</v>
      </c>
      <c r="I517">
        <v>0</v>
      </c>
      <c r="J517">
        <v>0</v>
      </c>
      <c r="K517" t="s">
        <v>33123</v>
      </c>
      <c r="L517" t="s">
        <v>33125</v>
      </c>
      <c r="M517" t="s">
        <v>33132</v>
      </c>
      <c r="N517" t="s">
        <v>33127</v>
      </c>
      <c r="O517">
        <v>0.99509999999999998</v>
      </c>
    </row>
    <row r="518" spans="1:15" x14ac:dyDescent="0.75">
      <c r="A518" t="s">
        <v>5851</v>
      </c>
      <c r="B518" t="s">
        <v>515</v>
      </c>
      <c r="C518" t="s">
        <v>5849</v>
      </c>
      <c r="D518" t="s">
        <v>33116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K518" t="s">
        <v>33123</v>
      </c>
      <c r="L518" t="s">
        <v>33125</v>
      </c>
      <c r="M518" t="s">
        <v>33128</v>
      </c>
      <c r="N518" t="s">
        <v>33127</v>
      </c>
      <c r="O518">
        <v>0.97099999999999997</v>
      </c>
    </row>
    <row r="519" spans="1:15" x14ac:dyDescent="0.75">
      <c r="A519" t="s">
        <v>5858</v>
      </c>
      <c r="B519" t="s">
        <v>451</v>
      </c>
      <c r="C519" t="s">
        <v>5856</v>
      </c>
      <c r="D519" t="s">
        <v>33117</v>
      </c>
      <c r="E519">
        <v>0.166825</v>
      </c>
      <c r="F519">
        <v>0.832708</v>
      </c>
      <c r="G519">
        <v>1.63E-4</v>
      </c>
      <c r="H519">
        <v>1.16E-4</v>
      </c>
      <c r="I519">
        <v>9.6000000000000002E-5</v>
      </c>
      <c r="J519">
        <v>1.02E-4</v>
      </c>
      <c r="K519" t="s">
        <v>33123</v>
      </c>
      <c r="L519" t="s">
        <v>33125</v>
      </c>
      <c r="M519" t="s">
        <v>33138</v>
      </c>
      <c r="N519" t="s">
        <v>33127</v>
      </c>
      <c r="O519">
        <v>0.80969999999999998</v>
      </c>
    </row>
    <row r="520" spans="1:15" x14ac:dyDescent="0.75">
      <c r="A520" t="s">
        <v>5865</v>
      </c>
      <c r="B520" t="s">
        <v>784</v>
      </c>
      <c r="C520" t="s">
        <v>5863</v>
      </c>
      <c r="D520" t="s">
        <v>33117</v>
      </c>
      <c r="E520">
        <v>2.2499999999999999E-4</v>
      </c>
      <c r="F520">
        <v>0.99909700000000001</v>
      </c>
      <c r="G520">
        <v>1.9000000000000001E-4</v>
      </c>
      <c r="H520">
        <v>1.92E-4</v>
      </c>
      <c r="I520">
        <v>1.5200000000000001E-4</v>
      </c>
      <c r="J520">
        <v>1.5100000000000001E-4</v>
      </c>
      <c r="K520" t="s">
        <v>33123</v>
      </c>
      <c r="L520" t="s">
        <v>33125</v>
      </c>
      <c r="M520" t="s">
        <v>33130</v>
      </c>
      <c r="N520" t="s">
        <v>33127</v>
      </c>
      <c r="O520">
        <v>0.9768</v>
      </c>
    </row>
    <row r="521" spans="1:15" x14ac:dyDescent="0.75">
      <c r="A521" t="s">
        <v>5871</v>
      </c>
      <c r="B521" t="s">
        <v>154</v>
      </c>
      <c r="C521" t="s">
        <v>5869</v>
      </c>
      <c r="D521" t="s">
        <v>33117</v>
      </c>
      <c r="E521">
        <v>2.41E-4</v>
      </c>
      <c r="F521">
        <v>0.99904999999999999</v>
      </c>
      <c r="G521">
        <v>2.05E-4</v>
      </c>
      <c r="H521">
        <v>1.9100000000000001E-4</v>
      </c>
      <c r="I521">
        <v>1.6200000000000001E-4</v>
      </c>
      <c r="J521">
        <v>1.5699999999999999E-4</v>
      </c>
      <c r="K521" t="s">
        <v>33123</v>
      </c>
      <c r="L521" t="s">
        <v>33125</v>
      </c>
      <c r="M521" t="s">
        <v>33131</v>
      </c>
      <c r="N521" t="s">
        <v>33127</v>
      </c>
      <c r="O521">
        <v>0.97430000000000005</v>
      </c>
    </row>
    <row r="522" spans="1:15" x14ac:dyDescent="0.75">
      <c r="A522" t="s">
        <v>5878</v>
      </c>
      <c r="B522" t="s">
        <v>579</v>
      </c>
      <c r="C522" t="s">
        <v>5876</v>
      </c>
      <c r="D522" t="s">
        <v>33116</v>
      </c>
      <c r="E522">
        <v>0.12349</v>
      </c>
      <c r="F522">
        <v>7.4913999999999994E-2</v>
      </c>
      <c r="G522">
        <v>0.80115400000000003</v>
      </c>
      <c r="H522">
        <v>2.1900000000000001E-4</v>
      </c>
      <c r="I522">
        <v>2.2100000000000001E-4</v>
      </c>
      <c r="J522">
        <v>9.9999999999999995E-7</v>
      </c>
      <c r="K522" t="s">
        <v>33123</v>
      </c>
      <c r="L522" t="s">
        <v>33125</v>
      </c>
      <c r="M522" t="s">
        <v>33142</v>
      </c>
      <c r="N522" t="s">
        <v>33127</v>
      </c>
      <c r="O522">
        <v>0.95069999999999999</v>
      </c>
    </row>
    <row r="523" spans="1:15" x14ac:dyDescent="0.75">
      <c r="A523" t="s">
        <v>5883</v>
      </c>
      <c r="B523" t="s">
        <v>579</v>
      </c>
      <c r="C523" t="s">
        <v>5876</v>
      </c>
      <c r="D523" t="s">
        <v>33116</v>
      </c>
      <c r="E523">
        <v>3.4E-5</v>
      </c>
      <c r="F523">
        <v>0.16655800000000001</v>
      </c>
      <c r="G523">
        <v>0.83337300000000003</v>
      </c>
      <c r="H523">
        <v>2.0000000000000002E-5</v>
      </c>
      <c r="I523">
        <v>1.8E-5</v>
      </c>
      <c r="J523">
        <v>2.0000000000000002E-5</v>
      </c>
      <c r="K523" t="s">
        <v>33123</v>
      </c>
      <c r="L523" t="s">
        <v>33125</v>
      </c>
      <c r="M523" t="s">
        <v>33130</v>
      </c>
      <c r="N523" t="s">
        <v>33127</v>
      </c>
      <c r="O523">
        <v>0.60960000000000003</v>
      </c>
    </row>
    <row r="524" spans="1:15" x14ac:dyDescent="0.75">
      <c r="A524" t="s">
        <v>5887</v>
      </c>
      <c r="B524" t="s">
        <v>276</v>
      </c>
      <c r="C524" t="s">
        <v>5885</v>
      </c>
      <c r="D524" t="s">
        <v>33117</v>
      </c>
      <c r="E524">
        <v>2.0699999999999999E-4</v>
      </c>
      <c r="F524">
        <v>0.83256600000000003</v>
      </c>
      <c r="G524">
        <v>0.166851</v>
      </c>
      <c r="H524">
        <v>1.35E-4</v>
      </c>
      <c r="I524">
        <v>1.26E-4</v>
      </c>
      <c r="J524">
        <v>1.16E-4</v>
      </c>
      <c r="K524" t="s">
        <v>33123</v>
      </c>
      <c r="L524" t="s">
        <v>33125</v>
      </c>
      <c r="M524" t="s">
        <v>33131</v>
      </c>
      <c r="N524" t="s">
        <v>33127</v>
      </c>
      <c r="O524">
        <v>0.80810000000000004</v>
      </c>
    </row>
    <row r="525" spans="1:15" x14ac:dyDescent="0.75">
      <c r="A525" t="s">
        <v>5897</v>
      </c>
      <c r="B525" t="s">
        <v>1069</v>
      </c>
      <c r="C525" t="s">
        <v>5895</v>
      </c>
      <c r="D525" t="s">
        <v>33117</v>
      </c>
      <c r="E525">
        <v>2.2100000000000001E-4</v>
      </c>
      <c r="F525">
        <v>0.99904700000000002</v>
      </c>
      <c r="G525">
        <v>1.9699999999999999E-4</v>
      </c>
      <c r="H525">
        <v>2.0100000000000001E-4</v>
      </c>
      <c r="I525">
        <v>1.6699999999999999E-4</v>
      </c>
      <c r="J525">
        <v>1.6200000000000001E-4</v>
      </c>
      <c r="K525" t="s">
        <v>33123</v>
      </c>
      <c r="L525" t="s">
        <v>33125</v>
      </c>
      <c r="M525" t="s">
        <v>33130</v>
      </c>
      <c r="N525" t="s">
        <v>33127</v>
      </c>
      <c r="O525">
        <v>0.97909999999999997</v>
      </c>
    </row>
    <row r="526" spans="1:15" x14ac:dyDescent="0.75">
      <c r="A526" t="s">
        <v>5901</v>
      </c>
      <c r="B526" t="s">
        <v>154</v>
      </c>
      <c r="C526" t="s">
        <v>5899</v>
      </c>
      <c r="D526" t="s">
        <v>33117</v>
      </c>
      <c r="E526">
        <v>2.1000000000000001E-4</v>
      </c>
      <c r="F526">
        <v>0.99918099999999999</v>
      </c>
      <c r="G526">
        <v>1.73E-4</v>
      </c>
      <c r="H526">
        <v>1.74E-4</v>
      </c>
      <c r="I526">
        <v>1.4300000000000001E-4</v>
      </c>
      <c r="J526">
        <v>1.4200000000000001E-4</v>
      </c>
      <c r="K526" t="s">
        <v>33123</v>
      </c>
      <c r="L526" t="s">
        <v>33125</v>
      </c>
      <c r="M526" t="s">
        <v>33131</v>
      </c>
      <c r="N526" t="s">
        <v>33127</v>
      </c>
      <c r="O526">
        <v>0.97789999999999999</v>
      </c>
    </row>
    <row r="527" spans="1:15" x14ac:dyDescent="0.75">
      <c r="A527" t="s">
        <v>5905</v>
      </c>
      <c r="B527" t="s">
        <v>611</v>
      </c>
      <c r="C527" t="s">
        <v>5903</v>
      </c>
      <c r="D527" t="s">
        <v>33118</v>
      </c>
      <c r="E527">
        <v>1.4100000000000001E-4</v>
      </c>
      <c r="F527">
        <v>0.49940099999999998</v>
      </c>
      <c r="G527">
        <v>1.12E-4</v>
      </c>
      <c r="H527">
        <v>0.50014599999999998</v>
      </c>
      <c r="I527">
        <v>1.06E-4</v>
      </c>
      <c r="J527">
        <v>1.0399999999999999E-4</v>
      </c>
      <c r="K527" t="s">
        <v>33123</v>
      </c>
      <c r="L527" t="s">
        <v>33125</v>
      </c>
      <c r="M527" t="s">
        <v>33143</v>
      </c>
      <c r="N527" t="s">
        <v>33127</v>
      </c>
      <c r="O527">
        <v>0.44009999999999999</v>
      </c>
    </row>
    <row r="528" spans="1:15" x14ac:dyDescent="0.75">
      <c r="A528" t="s">
        <v>5910</v>
      </c>
      <c r="B528" t="s">
        <v>266</v>
      </c>
      <c r="C528" t="s">
        <v>5908</v>
      </c>
      <c r="D528" t="s">
        <v>33117</v>
      </c>
      <c r="E528">
        <v>2.3800000000000001E-4</v>
      </c>
      <c r="F528">
        <v>0.99901899999999999</v>
      </c>
      <c r="G528">
        <v>2.0799999999999999E-4</v>
      </c>
      <c r="H528">
        <v>2.1900000000000001E-4</v>
      </c>
      <c r="I528">
        <v>1.76E-4</v>
      </c>
      <c r="J528">
        <v>1.84E-4</v>
      </c>
      <c r="K528" t="s">
        <v>33123</v>
      </c>
      <c r="L528" t="s">
        <v>33125</v>
      </c>
      <c r="M528" t="s">
        <v>33128</v>
      </c>
      <c r="N528" t="s">
        <v>33127</v>
      </c>
      <c r="O528">
        <v>0.95960000000000001</v>
      </c>
    </row>
    <row r="529" spans="1:15" x14ac:dyDescent="0.75">
      <c r="A529" t="s">
        <v>5916</v>
      </c>
      <c r="B529" t="s">
        <v>815</v>
      </c>
      <c r="C529" t="s">
        <v>5914</v>
      </c>
      <c r="D529" t="s">
        <v>33116</v>
      </c>
      <c r="E529">
        <v>0</v>
      </c>
      <c r="F529">
        <v>0</v>
      </c>
      <c r="G529">
        <v>1</v>
      </c>
      <c r="H529">
        <v>0</v>
      </c>
      <c r="I529">
        <v>0</v>
      </c>
      <c r="J529">
        <v>0</v>
      </c>
      <c r="K529" t="s">
        <v>33123</v>
      </c>
      <c r="L529" t="s">
        <v>33125</v>
      </c>
      <c r="M529" t="s">
        <v>33129</v>
      </c>
      <c r="N529" t="s">
        <v>33127</v>
      </c>
      <c r="O529">
        <v>0.99670000000000003</v>
      </c>
    </row>
    <row r="530" spans="1:15" x14ac:dyDescent="0.75">
      <c r="A530" t="s">
        <v>5920</v>
      </c>
      <c r="B530" t="s">
        <v>815</v>
      </c>
      <c r="C530" t="s">
        <v>5914</v>
      </c>
      <c r="D530" t="s">
        <v>33116</v>
      </c>
      <c r="E530">
        <v>0</v>
      </c>
      <c r="F530">
        <v>0</v>
      </c>
      <c r="G530">
        <v>1</v>
      </c>
      <c r="H530">
        <v>0</v>
      </c>
      <c r="I530">
        <v>0</v>
      </c>
      <c r="J530">
        <v>0</v>
      </c>
      <c r="K530" t="s">
        <v>33123</v>
      </c>
      <c r="L530" t="s">
        <v>33125</v>
      </c>
      <c r="M530" t="s">
        <v>33129</v>
      </c>
      <c r="N530" t="s">
        <v>33127</v>
      </c>
      <c r="O530">
        <v>0.99399999999999999</v>
      </c>
    </row>
    <row r="531" spans="1:15" x14ac:dyDescent="0.75">
      <c r="A531" t="s">
        <v>5925</v>
      </c>
      <c r="B531" t="s">
        <v>815</v>
      </c>
      <c r="C531" t="s">
        <v>5914</v>
      </c>
      <c r="D531" t="s">
        <v>33117</v>
      </c>
      <c r="E531">
        <v>1.8900000000000001E-4</v>
      </c>
      <c r="F531">
        <v>0.99922</v>
      </c>
      <c r="G531">
        <v>1.7699999999999999E-4</v>
      </c>
      <c r="H531">
        <v>1.6000000000000001E-4</v>
      </c>
      <c r="I531">
        <v>1.3899999999999999E-4</v>
      </c>
      <c r="J531">
        <v>1.3200000000000001E-4</v>
      </c>
      <c r="K531" t="s">
        <v>33123</v>
      </c>
      <c r="L531" t="s">
        <v>33125</v>
      </c>
      <c r="M531" t="s">
        <v>33140</v>
      </c>
      <c r="N531" t="s">
        <v>33127</v>
      </c>
      <c r="O531">
        <v>0.97650000000000003</v>
      </c>
    </row>
    <row r="532" spans="1:15" x14ac:dyDescent="0.75">
      <c r="A532" t="s">
        <v>5941</v>
      </c>
      <c r="B532" t="s">
        <v>1999</v>
      </c>
      <c r="C532" t="s">
        <v>5936</v>
      </c>
      <c r="D532" t="s">
        <v>33110</v>
      </c>
      <c r="E532">
        <v>0.99999499999999997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5" x14ac:dyDescent="0.75">
      <c r="A533" t="s">
        <v>5946</v>
      </c>
      <c r="B533" t="s">
        <v>1999</v>
      </c>
      <c r="C533" t="s">
        <v>5936</v>
      </c>
      <c r="D533" t="s">
        <v>33116</v>
      </c>
      <c r="E533">
        <v>7.7999999999999999E-5</v>
      </c>
      <c r="F533">
        <v>0.16634599999999999</v>
      </c>
      <c r="G533">
        <v>0.83348999999999995</v>
      </c>
      <c r="H533">
        <v>3.8999999999999999E-5</v>
      </c>
      <c r="I533">
        <v>3.3000000000000003E-5</v>
      </c>
      <c r="J533">
        <v>3.6999999999999998E-5</v>
      </c>
      <c r="K533" t="s">
        <v>33123</v>
      </c>
      <c r="L533" t="s">
        <v>33125</v>
      </c>
      <c r="M533" t="s">
        <v>33140</v>
      </c>
      <c r="N533" t="s">
        <v>33127</v>
      </c>
      <c r="O533">
        <v>0.82630000000000003</v>
      </c>
    </row>
    <row r="534" spans="1:15" x14ac:dyDescent="0.75">
      <c r="A534" t="s">
        <v>5956</v>
      </c>
      <c r="B534" t="s">
        <v>1999</v>
      </c>
      <c r="C534" t="s">
        <v>5951</v>
      </c>
      <c r="D534" t="s">
        <v>33110</v>
      </c>
      <c r="E534">
        <v>0.99999499999999997</v>
      </c>
      <c r="F534">
        <v>0</v>
      </c>
      <c r="G534">
        <v>0</v>
      </c>
      <c r="H534">
        <v>0</v>
      </c>
      <c r="I534">
        <v>0</v>
      </c>
      <c r="J534">
        <v>0</v>
      </c>
    </row>
    <row r="535" spans="1:15" x14ac:dyDescent="0.75">
      <c r="A535" t="s">
        <v>5964</v>
      </c>
      <c r="B535" t="s">
        <v>1999</v>
      </c>
      <c r="C535" t="s">
        <v>5959</v>
      </c>
      <c r="D535" t="s">
        <v>33116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 t="s">
        <v>33123</v>
      </c>
      <c r="L535" t="s">
        <v>33125</v>
      </c>
      <c r="M535" t="s">
        <v>33147</v>
      </c>
      <c r="N535" t="s">
        <v>33127</v>
      </c>
      <c r="O535">
        <v>0.98699999999999999</v>
      </c>
    </row>
    <row r="536" spans="1:15" x14ac:dyDescent="0.75">
      <c r="A536" t="s">
        <v>5970</v>
      </c>
      <c r="B536" t="s">
        <v>154</v>
      </c>
      <c r="C536" t="s">
        <v>5968</v>
      </c>
      <c r="D536" t="s">
        <v>33117</v>
      </c>
      <c r="E536">
        <v>2.7700000000000001E-4</v>
      </c>
      <c r="F536">
        <v>0.99895699999999998</v>
      </c>
      <c r="G536">
        <v>2.2699999999999999E-4</v>
      </c>
      <c r="H536">
        <v>2.04E-4</v>
      </c>
      <c r="I536">
        <v>1.7699999999999999E-4</v>
      </c>
      <c r="J536">
        <v>1.63E-4</v>
      </c>
      <c r="K536" t="s">
        <v>33123</v>
      </c>
      <c r="L536" t="s">
        <v>33125</v>
      </c>
      <c r="M536" t="s">
        <v>33149</v>
      </c>
      <c r="N536" t="s">
        <v>33127</v>
      </c>
      <c r="O536">
        <v>0.32569999999999999</v>
      </c>
    </row>
    <row r="537" spans="1:15" x14ac:dyDescent="0.75">
      <c r="A537" t="s">
        <v>5985</v>
      </c>
      <c r="B537" t="s">
        <v>451</v>
      </c>
      <c r="C537" t="s">
        <v>5983</v>
      </c>
      <c r="D537" t="s">
        <v>33117</v>
      </c>
      <c r="E537">
        <v>0.166854</v>
      </c>
      <c r="F537">
        <v>0.83264000000000005</v>
      </c>
      <c r="G537">
        <v>1.8100000000000001E-4</v>
      </c>
      <c r="H537">
        <v>1.2300000000000001E-4</v>
      </c>
      <c r="I537">
        <v>1.02E-4</v>
      </c>
      <c r="J537">
        <v>1.07E-4</v>
      </c>
      <c r="K537" t="s">
        <v>33123</v>
      </c>
      <c r="L537" t="s">
        <v>33125</v>
      </c>
      <c r="M537" t="s">
        <v>33138</v>
      </c>
      <c r="N537" t="s">
        <v>33127</v>
      </c>
      <c r="O537">
        <v>0.80520000000000003</v>
      </c>
    </row>
    <row r="538" spans="1:15" x14ac:dyDescent="0.75">
      <c r="A538" t="s">
        <v>5991</v>
      </c>
      <c r="B538" t="s">
        <v>350</v>
      </c>
      <c r="C538" t="s">
        <v>5989</v>
      </c>
      <c r="D538" t="s">
        <v>33116</v>
      </c>
      <c r="E538">
        <v>0</v>
      </c>
      <c r="F538">
        <v>0</v>
      </c>
      <c r="G538">
        <v>1</v>
      </c>
      <c r="H538">
        <v>0</v>
      </c>
      <c r="I538">
        <v>0</v>
      </c>
      <c r="J538">
        <v>0</v>
      </c>
      <c r="K538" t="s">
        <v>33123</v>
      </c>
      <c r="L538" t="s">
        <v>33125</v>
      </c>
      <c r="M538" t="s">
        <v>33128</v>
      </c>
      <c r="N538" t="s">
        <v>33127</v>
      </c>
      <c r="O538">
        <v>0.997</v>
      </c>
    </row>
    <row r="539" spans="1:15" x14ac:dyDescent="0.75">
      <c r="A539" t="s">
        <v>5995</v>
      </c>
      <c r="B539" t="s">
        <v>784</v>
      </c>
      <c r="C539" t="s">
        <v>5993</v>
      </c>
      <c r="D539" t="s">
        <v>33117</v>
      </c>
      <c r="E539">
        <v>2.2499999999999999E-4</v>
      </c>
      <c r="F539">
        <v>0.99909700000000001</v>
      </c>
      <c r="G539">
        <v>1.9000000000000001E-4</v>
      </c>
      <c r="H539">
        <v>1.92E-4</v>
      </c>
      <c r="I539">
        <v>1.5200000000000001E-4</v>
      </c>
      <c r="J539">
        <v>1.5100000000000001E-4</v>
      </c>
      <c r="K539" t="s">
        <v>33123</v>
      </c>
      <c r="L539" t="s">
        <v>33125</v>
      </c>
      <c r="M539" t="s">
        <v>33130</v>
      </c>
      <c r="N539" t="s">
        <v>33127</v>
      </c>
      <c r="O539">
        <v>0.9768</v>
      </c>
    </row>
    <row r="540" spans="1:15" x14ac:dyDescent="0.75">
      <c r="A540" t="s">
        <v>6016</v>
      </c>
      <c r="B540" t="s">
        <v>560</v>
      </c>
      <c r="C540" t="s">
        <v>6014</v>
      </c>
      <c r="D540" t="s">
        <v>33117</v>
      </c>
      <c r="E540">
        <v>1.47E-4</v>
      </c>
      <c r="F540">
        <v>0.99932399999999999</v>
      </c>
      <c r="G540">
        <v>1.3200000000000001E-4</v>
      </c>
      <c r="H540">
        <v>1.46E-4</v>
      </c>
      <c r="I540">
        <v>1.18E-4</v>
      </c>
      <c r="J540">
        <v>1.1400000000000001E-4</v>
      </c>
      <c r="K540" t="s">
        <v>33123</v>
      </c>
      <c r="L540" t="s">
        <v>33125</v>
      </c>
      <c r="M540" t="s">
        <v>33140</v>
      </c>
      <c r="N540" t="s">
        <v>33127</v>
      </c>
      <c r="O540">
        <v>0.67679999999999996</v>
      </c>
    </row>
    <row r="541" spans="1:15" x14ac:dyDescent="0.75">
      <c r="A541" t="s">
        <v>6020</v>
      </c>
      <c r="B541" t="s">
        <v>154</v>
      </c>
      <c r="C541" t="s">
        <v>6018</v>
      </c>
      <c r="D541" t="s">
        <v>33117</v>
      </c>
      <c r="E541">
        <v>1.8599999999999999E-4</v>
      </c>
      <c r="F541">
        <v>0.99920699999999996</v>
      </c>
      <c r="G541">
        <v>1.5799999999999999E-4</v>
      </c>
      <c r="H541">
        <v>1.63E-4</v>
      </c>
      <c r="I541">
        <v>1.3999999999999999E-4</v>
      </c>
      <c r="J541">
        <v>1.3200000000000001E-4</v>
      </c>
      <c r="K541" t="s">
        <v>33123</v>
      </c>
      <c r="L541" t="s">
        <v>33125</v>
      </c>
      <c r="M541" t="s">
        <v>33140</v>
      </c>
      <c r="N541" t="s">
        <v>33127</v>
      </c>
      <c r="O541">
        <v>0.82979999999999998</v>
      </c>
    </row>
    <row r="542" spans="1:15" x14ac:dyDescent="0.75">
      <c r="A542" t="s">
        <v>6025</v>
      </c>
      <c r="B542" t="s">
        <v>242</v>
      </c>
      <c r="C542" t="s">
        <v>6023</v>
      </c>
      <c r="D542" t="s">
        <v>33116</v>
      </c>
      <c r="E542">
        <v>0</v>
      </c>
      <c r="F542">
        <v>0</v>
      </c>
      <c r="G542">
        <v>1</v>
      </c>
      <c r="H542">
        <v>0</v>
      </c>
      <c r="I542">
        <v>0</v>
      </c>
      <c r="J542">
        <v>0</v>
      </c>
      <c r="K542" t="s">
        <v>33123</v>
      </c>
      <c r="L542" t="s">
        <v>33125</v>
      </c>
      <c r="M542" t="s">
        <v>33132</v>
      </c>
      <c r="N542" t="s">
        <v>33127</v>
      </c>
      <c r="O542">
        <v>0.995</v>
      </c>
    </row>
    <row r="543" spans="1:15" x14ac:dyDescent="0.75">
      <c r="A543" t="s">
        <v>6031</v>
      </c>
      <c r="B543" t="s">
        <v>242</v>
      </c>
      <c r="C543" t="s">
        <v>6029</v>
      </c>
      <c r="D543" t="s">
        <v>33116</v>
      </c>
      <c r="E543">
        <v>0</v>
      </c>
      <c r="F543">
        <v>0</v>
      </c>
      <c r="G543">
        <v>1</v>
      </c>
      <c r="H543">
        <v>0</v>
      </c>
      <c r="I543">
        <v>0</v>
      </c>
      <c r="J543">
        <v>0</v>
      </c>
      <c r="K543" t="s">
        <v>33123</v>
      </c>
      <c r="L543" t="s">
        <v>33125</v>
      </c>
      <c r="M543" t="s">
        <v>33132</v>
      </c>
      <c r="N543" t="s">
        <v>33127</v>
      </c>
      <c r="O543">
        <v>0.99480000000000002</v>
      </c>
    </row>
    <row r="544" spans="1:15" x14ac:dyDescent="0.75">
      <c r="A544" t="s">
        <v>6037</v>
      </c>
      <c r="B544" t="s">
        <v>242</v>
      </c>
      <c r="C544" t="s">
        <v>6035</v>
      </c>
      <c r="D544" t="s">
        <v>33116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0</v>
      </c>
      <c r="K544" t="s">
        <v>33123</v>
      </c>
      <c r="L544" t="s">
        <v>33125</v>
      </c>
      <c r="M544" t="s">
        <v>33132</v>
      </c>
      <c r="N544" t="s">
        <v>33127</v>
      </c>
      <c r="O544">
        <v>0.99490000000000001</v>
      </c>
    </row>
    <row r="545" spans="1:10" x14ac:dyDescent="0.75">
      <c r="A545" t="s">
        <v>6042</v>
      </c>
      <c r="B545" t="s">
        <v>242</v>
      </c>
      <c r="C545" t="s">
        <v>6035</v>
      </c>
      <c r="D545" t="s">
        <v>33110</v>
      </c>
      <c r="E545">
        <v>1</v>
      </c>
      <c r="F545">
        <v>0</v>
      </c>
      <c r="G545">
        <v>0</v>
      </c>
      <c r="H545">
        <v>0</v>
      </c>
      <c r="I545">
        <v>0</v>
      </c>
      <c r="J545">
        <v>0</v>
      </c>
    </row>
  </sheetData>
  <conditionalFormatting sqref="K1:K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EDA8-8ECD-4827-808C-8A263A4E62B2}">
  <sheetPr>
    <tabColor theme="5" tint="0.79998168889431442"/>
  </sheetPr>
  <dimension ref="A1:M8179"/>
  <sheetViews>
    <sheetView workbookViewId="0"/>
  </sheetViews>
  <sheetFormatPr defaultRowHeight="14.75" x14ac:dyDescent="0.75"/>
  <cols>
    <col min="1" max="1" width="15.6796875" bestFit="1" customWidth="1"/>
    <col min="3" max="3" width="25.6796875" bestFit="1" customWidth="1"/>
    <col min="9" max="9" width="18.1328125" bestFit="1" customWidth="1"/>
    <col min="10" max="11" width="18.1796875" style="54" customWidth="1"/>
    <col min="12" max="12" width="18.1796875" style="22" customWidth="1"/>
    <col min="13" max="13" width="43.26953125" style="22" bestFit="1" customWidth="1"/>
  </cols>
  <sheetData>
    <row r="1" spans="1:13" x14ac:dyDescent="0.75">
      <c r="J1" s="25" t="s">
        <v>37701</v>
      </c>
      <c r="K1" s="25" t="s">
        <v>37701</v>
      </c>
      <c r="L1" s="51" t="s">
        <v>37701</v>
      </c>
      <c r="M1" s="51" t="s">
        <v>37701</v>
      </c>
    </row>
    <row r="2" spans="1:13" s="9" customFormat="1" x14ac:dyDescent="0.75">
      <c r="A2" s="9" t="s">
        <v>6070</v>
      </c>
      <c r="B2" s="9" t="s">
        <v>6071</v>
      </c>
      <c r="C2" s="9" t="s">
        <v>6072</v>
      </c>
      <c r="D2" s="9" t="s">
        <v>6073</v>
      </c>
      <c r="E2" s="9" t="s">
        <v>6074</v>
      </c>
      <c r="F2" s="9" t="s">
        <v>6075</v>
      </c>
      <c r="G2" s="9" t="s">
        <v>6076</v>
      </c>
      <c r="H2" s="9" t="s">
        <v>6077</v>
      </c>
      <c r="I2" s="9" t="s">
        <v>6078</v>
      </c>
      <c r="J2" s="53" t="s">
        <v>37702</v>
      </c>
      <c r="K2" s="24" t="s">
        <v>30840</v>
      </c>
      <c r="L2" s="52" t="s">
        <v>36809</v>
      </c>
      <c r="M2" s="52" t="s">
        <v>3</v>
      </c>
    </row>
    <row r="3" spans="1:13" x14ac:dyDescent="0.75">
      <c r="A3" t="s">
        <v>6872</v>
      </c>
      <c r="B3" t="s">
        <v>6873</v>
      </c>
      <c r="C3" t="s">
        <v>6874</v>
      </c>
      <c r="D3" t="s">
        <v>6875</v>
      </c>
      <c r="E3" t="s">
        <v>6876</v>
      </c>
      <c r="F3">
        <v>20</v>
      </c>
      <c r="G3">
        <v>2043439</v>
      </c>
      <c r="H3" t="s">
        <v>6877</v>
      </c>
      <c r="J3" s="54" t="s">
        <v>6052</v>
      </c>
      <c r="K3" s="54">
        <v>0</v>
      </c>
      <c r="L3" s="22" t="s">
        <v>104</v>
      </c>
      <c r="M3" s="22" t="s">
        <v>36837</v>
      </c>
    </row>
    <row r="4" spans="1:13" x14ac:dyDescent="0.75">
      <c r="A4" t="s">
        <v>24485</v>
      </c>
      <c r="B4" t="s">
        <v>6873</v>
      </c>
      <c r="C4" t="s">
        <v>6874</v>
      </c>
      <c r="D4" t="s">
        <v>6875</v>
      </c>
      <c r="E4" t="s">
        <v>24486</v>
      </c>
      <c r="F4">
        <v>14</v>
      </c>
      <c r="G4">
        <v>2019498</v>
      </c>
      <c r="H4" t="s">
        <v>24487</v>
      </c>
      <c r="J4" s="54" t="s">
        <v>6052</v>
      </c>
      <c r="K4" s="54">
        <v>0</v>
      </c>
      <c r="L4" s="22" t="s">
        <v>104</v>
      </c>
      <c r="M4" s="22" t="s">
        <v>36837</v>
      </c>
    </row>
    <row r="5" spans="1:13" x14ac:dyDescent="0.75">
      <c r="A5" t="s">
        <v>29686</v>
      </c>
      <c r="B5" t="s">
        <v>6873</v>
      </c>
      <c r="C5" t="s">
        <v>6874</v>
      </c>
      <c r="D5" t="s">
        <v>6875</v>
      </c>
      <c r="E5" t="s">
        <v>29687</v>
      </c>
      <c r="F5">
        <v>122</v>
      </c>
      <c r="G5">
        <v>2043240</v>
      </c>
      <c r="H5" t="s">
        <v>29688</v>
      </c>
      <c r="J5" s="54" t="s">
        <v>6052</v>
      </c>
      <c r="K5" s="54">
        <v>0</v>
      </c>
      <c r="L5" s="22" t="s">
        <v>104</v>
      </c>
      <c r="M5" s="22" t="s">
        <v>36837</v>
      </c>
    </row>
    <row r="6" spans="1:13" x14ac:dyDescent="0.75">
      <c r="A6" t="s">
        <v>18455</v>
      </c>
      <c r="B6" t="s">
        <v>6873</v>
      </c>
      <c r="C6" t="s">
        <v>6874</v>
      </c>
      <c r="D6" t="s">
        <v>6875</v>
      </c>
      <c r="E6" t="s">
        <v>18456</v>
      </c>
      <c r="F6">
        <v>1</v>
      </c>
      <c r="G6">
        <v>2046826</v>
      </c>
      <c r="H6" t="s">
        <v>18457</v>
      </c>
      <c r="J6" s="54" t="s">
        <v>6052</v>
      </c>
      <c r="K6" s="54">
        <v>0</v>
      </c>
      <c r="L6" s="22" t="s">
        <v>104</v>
      </c>
      <c r="M6" s="22" t="s">
        <v>36837</v>
      </c>
    </row>
    <row r="7" spans="1:13" x14ac:dyDescent="0.75">
      <c r="A7" t="s">
        <v>30163</v>
      </c>
      <c r="B7" t="s">
        <v>6873</v>
      </c>
      <c r="C7" t="s">
        <v>6874</v>
      </c>
      <c r="D7" t="s">
        <v>6875</v>
      </c>
      <c r="E7" t="s">
        <v>30164</v>
      </c>
      <c r="F7">
        <v>121</v>
      </c>
      <c r="G7">
        <v>1974280</v>
      </c>
      <c r="H7" t="s">
        <v>30165</v>
      </c>
      <c r="J7" s="54" t="s">
        <v>6052</v>
      </c>
      <c r="K7" s="54">
        <v>0</v>
      </c>
      <c r="L7" s="22" t="s">
        <v>104</v>
      </c>
      <c r="M7" s="22" t="s">
        <v>36837</v>
      </c>
    </row>
    <row r="8" spans="1:13" x14ac:dyDescent="0.75">
      <c r="A8" t="s">
        <v>13011</v>
      </c>
      <c r="B8" t="s">
        <v>13012</v>
      </c>
      <c r="C8" t="s">
        <v>6874</v>
      </c>
      <c r="D8" t="s">
        <v>13013</v>
      </c>
      <c r="E8" t="s">
        <v>13014</v>
      </c>
      <c r="F8">
        <v>70</v>
      </c>
      <c r="G8">
        <v>2020784</v>
      </c>
      <c r="H8" t="s">
        <v>13015</v>
      </c>
      <c r="J8" s="54" t="s">
        <v>6052</v>
      </c>
      <c r="K8" s="54">
        <v>0</v>
      </c>
      <c r="L8" s="22" t="s">
        <v>104</v>
      </c>
      <c r="M8" s="22" t="s">
        <v>36838</v>
      </c>
    </row>
    <row r="9" spans="1:13" x14ac:dyDescent="0.75">
      <c r="A9" t="s">
        <v>19311</v>
      </c>
      <c r="B9" t="s">
        <v>13012</v>
      </c>
      <c r="C9" t="s">
        <v>6874</v>
      </c>
      <c r="D9" t="s">
        <v>13013</v>
      </c>
      <c r="E9" t="s">
        <v>19312</v>
      </c>
      <c r="F9">
        <v>93</v>
      </c>
      <c r="G9">
        <v>2016058</v>
      </c>
      <c r="H9" t="s">
        <v>19313</v>
      </c>
      <c r="J9" s="54" t="s">
        <v>6052</v>
      </c>
      <c r="K9" s="54">
        <v>0</v>
      </c>
      <c r="L9" s="22" t="s">
        <v>104</v>
      </c>
      <c r="M9" s="22" t="s">
        <v>36838</v>
      </c>
    </row>
    <row r="10" spans="1:13" x14ac:dyDescent="0.75">
      <c r="A10" t="s">
        <v>19314</v>
      </c>
      <c r="B10" t="s">
        <v>13012</v>
      </c>
      <c r="C10" t="s">
        <v>6874</v>
      </c>
      <c r="D10" t="s">
        <v>13013</v>
      </c>
      <c r="E10" t="s">
        <v>19315</v>
      </c>
      <c r="F10">
        <v>83</v>
      </c>
      <c r="G10">
        <v>1940269</v>
      </c>
      <c r="H10" t="s">
        <v>19316</v>
      </c>
      <c r="J10" s="54" t="s">
        <v>6052</v>
      </c>
      <c r="K10" s="54">
        <v>0</v>
      </c>
      <c r="L10" s="22" t="s">
        <v>104</v>
      </c>
      <c r="M10" s="22" t="s">
        <v>36838</v>
      </c>
    </row>
    <row r="11" spans="1:13" x14ac:dyDescent="0.75">
      <c r="A11" t="s">
        <v>26550</v>
      </c>
      <c r="B11" t="s">
        <v>13012</v>
      </c>
      <c r="C11" t="s">
        <v>6874</v>
      </c>
      <c r="D11" t="s">
        <v>13013</v>
      </c>
      <c r="E11" t="s">
        <v>26551</v>
      </c>
      <c r="F11">
        <v>50</v>
      </c>
      <c r="G11">
        <v>1825944</v>
      </c>
      <c r="H11" t="s">
        <v>26552</v>
      </c>
      <c r="J11" s="54" t="s">
        <v>6052</v>
      </c>
      <c r="K11" s="54">
        <v>0</v>
      </c>
      <c r="L11" s="22" t="s">
        <v>104</v>
      </c>
      <c r="M11" s="22" t="s">
        <v>36838</v>
      </c>
    </row>
    <row r="12" spans="1:13" x14ac:dyDescent="0.75">
      <c r="A12" t="s">
        <v>29032</v>
      </c>
      <c r="B12" t="s">
        <v>13012</v>
      </c>
      <c r="C12" t="s">
        <v>6874</v>
      </c>
      <c r="D12" t="s">
        <v>13013</v>
      </c>
      <c r="E12" t="s">
        <v>29033</v>
      </c>
      <c r="F12">
        <v>142</v>
      </c>
      <c r="G12">
        <v>1841231</v>
      </c>
      <c r="H12" t="s">
        <v>29034</v>
      </c>
      <c r="J12" s="54" t="s">
        <v>6052</v>
      </c>
      <c r="K12" s="54">
        <v>0</v>
      </c>
      <c r="L12" s="22" t="s">
        <v>104</v>
      </c>
      <c r="M12" s="22" t="s">
        <v>36838</v>
      </c>
    </row>
    <row r="13" spans="1:13" x14ac:dyDescent="0.75">
      <c r="A13" t="s">
        <v>30024</v>
      </c>
      <c r="B13" t="s">
        <v>15211</v>
      </c>
      <c r="C13" t="s">
        <v>15212</v>
      </c>
      <c r="D13" t="s">
        <v>15213</v>
      </c>
      <c r="E13" t="s">
        <v>30025</v>
      </c>
      <c r="F13">
        <v>32</v>
      </c>
      <c r="G13">
        <v>1161792</v>
      </c>
      <c r="H13" t="s">
        <v>30026</v>
      </c>
      <c r="J13" s="54" t="s">
        <v>6052</v>
      </c>
      <c r="K13" s="54">
        <v>0</v>
      </c>
      <c r="L13" s="22" t="s">
        <v>104</v>
      </c>
      <c r="M13" s="22" t="s">
        <v>36840</v>
      </c>
    </row>
    <row r="14" spans="1:13" x14ac:dyDescent="0.75">
      <c r="A14" t="s">
        <v>15210</v>
      </c>
      <c r="B14" t="s">
        <v>15211</v>
      </c>
      <c r="C14" t="s">
        <v>15212</v>
      </c>
      <c r="D14" t="s">
        <v>15213</v>
      </c>
      <c r="E14" t="s">
        <v>15214</v>
      </c>
      <c r="F14">
        <v>3</v>
      </c>
      <c r="G14">
        <v>1144105</v>
      </c>
      <c r="H14" t="s">
        <v>15215</v>
      </c>
      <c r="J14" s="54" t="s">
        <v>6052</v>
      </c>
      <c r="K14" s="54">
        <v>0</v>
      </c>
      <c r="L14" s="22" t="s">
        <v>104</v>
      </c>
      <c r="M14" s="22" t="s">
        <v>36840</v>
      </c>
    </row>
    <row r="15" spans="1:13" x14ac:dyDescent="0.75">
      <c r="A15" t="s">
        <v>2784</v>
      </c>
      <c r="B15" t="s">
        <v>2731</v>
      </c>
      <c r="C15" t="s">
        <v>15212</v>
      </c>
      <c r="D15" t="s">
        <v>18641</v>
      </c>
      <c r="E15" t="s">
        <v>18678</v>
      </c>
      <c r="F15">
        <v>17</v>
      </c>
      <c r="G15">
        <v>1012013</v>
      </c>
      <c r="H15" t="s">
        <v>18679</v>
      </c>
      <c r="J15" s="54" t="s">
        <v>30844</v>
      </c>
      <c r="K15" s="54">
        <v>1</v>
      </c>
      <c r="L15" s="22" t="s">
        <v>104</v>
      </c>
      <c r="M15" s="22" t="s">
        <v>36824</v>
      </c>
    </row>
    <row r="16" spans="1:13" x14ac:dyDescent="0.75">
      <c r="A16" t="s">
        <v>2730</v>
      </c>
      <c r="B16" t="s">
        <v>2731</v>
      </c>
      <c r="C16" t="s">
        <v>15212</v>
      </c>
      <c r="D16" t="s">
        <v>18641</v>
      </c>
      <c r="E16" t="s">
        <v>18642</v>
      </c>
      <c r="F16">
        <v>61</v>
      </c>
      <c r="G16">
        <v>999858</v>
      </c>
      <c r="H16" t="s">
        <v>18643</v>
      </c>
      <c r="J16" s="54" t="s">
        <v>30844</v>
      </c>
      <c r="K16" s="54">
        <v>1</v>
      </c>
      <c r="L16" s="22" t="s">
        <v>104</v>
      </c>
      <c r="M16" s="22" t="s">
        <v>36824</v>
      </c>
    </row>
    <row r="17" spans="1:13" x14ac:dyDescent="0.75">
      <c r="A17" t="s">
        <v>29207</v>
      </c>
      <c r="B17" t="s">
        <v>18606</v>
      </c>
      <c r="C17" t="s">
        <v>15212</v>
      </c>
      <c r="D17" t="s">
        <v>18607</v>
      </c>
      <c r="E17" t="s">
        <v>29208</v>
      </c>
      <c r="F17">
        <v>10</v>
      </c>
      <c r="G17">
        <v>976124</v>
      </c>
      <c r="H17" t="s">
        <v>29209</v>
      </c>
      <c r="J17" s="54" t="s">
        <v>6052</v>
      </c>
      <c r="K17" s="54">
        <v>0</v>
      </c>
      <c r="L17" s="22" t="s">
        <v>104</v>
      </c>
      <c r="M17" s="22" t="s">
        <v>36839</v>
      </c>
    </row>
    <row r="18" spans="1:13" x14ac:dyDescent="0.75">
      <c r="A18" t="s">
        <v>19302</v>
      </c>
      <c r="B18" t="s">
        <v>18606</v>
      </c>
      <c r="C18" t="s">
        <v>15212</v>
      </c>
      <c r="D18" t="s">
        <v>18607</v>
      </c>
      <c r="E18" t="s">
        <v>19303</v>
      </c>
      <c r="F18">
        <v>82</v>
      </c>
      <c r="G18">
        <v>897004</v>
      </c>
      <c r="H18" t="s">
        <v>19304</v>
      </c>
      <c r="J18" s="54" t="s">
        <v>6052</v>
      </c>
      <c r="K18" s="54">
        <v>0</v>
      </c>
      <c r="L18" s="22" t="s">
        <v>104</v>
      </c>
      <c r="M18" s="22" t="s">
        <v>36839</v>
      </c>
    </row>
    <row r="19" spans="1:13" x14ac:dyDescent="0.75">
      <c r="A19" t="s">
        <v>29353</v>
      </c>
      <c r="B19" t="s">
        <v>18606</v>
      </c>
      <c r="C19" t="s">
        <v>15212</v>
      </c>
      <c r="D19" t="s">
        <v>18607</v>
      </c>
      <c r="E19" t="s">
        <v>29354</v>
      </c>
      <c r="F19">
        <v>113</v>
      </c>
      <c r="G19">
        <v>800111</v>
      </c>
      <c r="H19" t="s">
        <v>29355</v>
      </c>
      <c r="J19" s="54" t="s">
        <v>6052</v>
      </c>
      <c r="K19" s="54">
        <v>0</v>
      </c>
      <c r="L19" s="22" t="s">
        <v>104</v>
      </c>
      <c r="M19" s="22" t="s">
        <v>36839</v>
      </c>
    </row>
    <row r="20" spans="1:13" x14ac:dyDescent="0.75">
      <c r="A20" t="s">
        <v>29756</v>
      </c>
      <c r="B20" t="s">
        <v>18606</v>
      </c>
      <c r="C20" t="s">
        <v>15212</v>
      </c>
      <c r="D20" t="s">
        <v>18607</v>
      </c>
      <c r="E20" t="s">
        <v>29757</v>
      </c>
      <c r="F20">
        <v>8</v>
      </c>
      <c r="G20">
        <v>985380</v>
      </c>
      <c r="H20" t="s">
        <v>29758</v>
      </c>
      <c r="J20" s="54" t="s">
        <v>6052</v>
      </c>
      <c r="K20" s="54">
        <v>0</v>
      </c>
      <c r="L20" s="22" t="s">
        <v>104</v>
      </c>
      <c r="M20" s="22" t="s">
        <v>36839</v>
      </c>
    </row>
    <row r="21" spans="1:13" x14ac:dyDescent="0.75">
      <c r="A21" t="s">
        <v>18605</v>
      </c>
      <c r="B21" t="s">
        <v>18606</v>
      </c>
      <c r="C21" t="s">
        <v>15212</v>
      </c>
      <c r="D21" t="s">
        <v>18607</v>
      </c>
      <c r="E21" t="s">
        <v>18608</v>
      </c>
      <c r="F21">
        <v>42</v>
      </c>
      <c r="G21">
        <v>912690</v>
      </c>
      <c r="H21" t="s">
        <v>18609</v>
      </c>
      <c r="J21" s="54" t="s">
        <v>6052</v>
      </c>
      <c r="K21" s="54">
        <v>0</v>
      </c>
      <c r="L21" s="22" t="s">
        <v>104</v>
      </c>
      <c r="M21" s="22" t="s">
        <v>36839</v>
      </c>
    </row>
    <row r="22" spans="1:13" x14ac:dyDescent="0.75">
      <c r="A22" t="s">
        <v>9584</v>
      </c>
      <c r="B22" t="s">
        <v>9585</v>
      </c>
      <c r="C22" t="s">
        <v>7190</v>
      </c>
      <c r="D22" t="s">
        <v>7846</v>
      </c>
      <c r="E22" t="s">
        <v>9586</v>
      </c>
      <c r="F22">
        <v>100</v>
      </c>
      <c r="G22">
        <v>3531393</v>
      </c>
      <c r="H22" t="s">
        <v>9587</v>
      </c>
      <c r="J22" s="54" t="s">
        <v>6052</v>
      </c>
      <c r="K22" s="54">
        <v>0</v>
      </c>
      <c r="L22" s="22" t="s">
        <v>104</v>
      </c>
      <c r="M22" s="22" t="s">
        <v>36858</v>
      </c>
    </row>
    <row r="23" spans="1:13" x14ac:dyDescent="0.75">
      <c r="A23" t="s">
        <v>28874</v>
      </c>
      <c r="B23" t="s">
        <v>9585</v>
      </c>
      <c r="C23" t="s">
        <v>7190</v>
      </c>
      <c r="D23" t="s">
        <v>7846</v>
      </c>
      <c r="E23" t="s">
        <v>28875</v>
      </c>
      <c r="F23">
        <v>298</v>
      </c>
      <c r="G23">
        <v>3326315</v>
      </c>
      <c r="H23" t="s">
        <v>28876</v>
      </c>
      <c r="J23" s="54" t="s">
        <v>6052</v>
      </c>
      <c r="K23" s="54">
        <v>0</v>
      </c>
      <c r="L23" s="22" t="s">
        <v>104</v>
      </c>
      <c r="M23" s="22" t="s">
        <v>36858</v>
      </c>
    </row>
    <row r="24" spans="1:13" x14ac:dyDescent="0.75">
      <c r="A24" t="s">
        <v>9591</v>
      </c>
      <c r="B24" t="s">
        <v>9592</v>
      </c>
      <c r="C24" t="s">
        <v>7190</v>
      </c>
      <c r="D24" t="s">
        <v>9593</v>
      </c>
      <c r="E24" t="s">
        <v>9594</v>
      </c>
      <c r="F24">
        <v>31</v>
      </c>
      <c r="G24">
        <v>3420019</v>
      </c>
      <c r="H24" t="s">
        <v>9595</v>
      </c>
      <c r="J24" s="54" t="s">
        <v>6052</v>
      </c>
      <c r="K24" s="54">
        <v>0</v>
      </c>
      <c r="L24" s="22" t="s">
        <v>104</v>
      </c>
      <c r="M24" s="22" t="s">
        <v>36859</v>
      </c>
    </row>
    <row r="25" spans="1:13" x14ac:dyDescent="0.75">
      <c r="A25" t="s">
        <v>29084</v>
      </c>
      <c r="B25" t="s">
        <v>9592</v>
      </c>
      <c r="C25" t="s">
        <v>7190</v>
      </c>
      <c r="D25" t="s">
        <v>9593</v>
      </c>
      <c r="E25" t="s">
        <v>29085</v>
      </c>
      <c r="F25">
        <v>286</v>
      </c>
      <c r="G25">
        <v>3131644</v>
      </c>
      <c r="H25" t="s">
        <v>29086</v>
      </c>
      <c r="J25" s="54" t="s">
        <v>6052</v>
      </c>
      <c r="K25" s="54">
        <v>0</v>
      </c>
      <c r="L25" s="22" t="s">
        <v>104</v>
      </c>
      <c r="M25" s="22" t="s">
        <v>36859</v>
      </c>
    </row>
    <row r="26" spans="1:13" x14ac:dyDescent="0.75">
      <c r="A26" t="s">
        <v>1899</v>
      </c>
      <c r="B26" t="s">
        <v>610</v>
      </c>
      <c r="C26" t="s">
        <v>7190</v>
      </c>
      <c r="D26" t="s">
        <v>8383</v>
      </c>
      <c r="E26" t="s">
        <v>14393</v>
      </c>
      <c r="F26">
        <v>29</v>
      </c>
      <c r="G26">
        <v>2107861</v>
      </c>
      <c r="H26" t="s">
        <v>14394</v>
      </c>
      <c r="J26" s="54" t="s">
        <v>14393</v>
      </c>
      <c r="K26" s="54">
        <v>1</v>
      </c>
      <c r="L26" s="22" t="s">
        <v>104</v>
      </c>
      <c r="M26" s="22" t="s">
        <v>611</v>
      </c>
    </row>
    <row r="27" spans="1:13" x14ac:dyDescent="0.75">
      <c r="A27" t="s">
        <v>5377</v>
      </c>
      <c r="B27" t="s">
        <v>610</v>
      </c>
      <c r="C27" t="s">
        <v>7190</v>
      </c>
      <c r="D27" t="s">
        <v>8383</v>
      </c>
      <c r="E27" t="s">
        <v>28531</v>
      </c>
      <c r="F27">
        <v>66</v>
      </c>
      <c r="G27">
        <v>1770918</v>
      </c>
      <c r="H27" t="s">
        <v>28532</v>
      </c>
      <c r="J27" s="54" t="s">
        <v>28531</v>
      </c>
      <c r="K27" s="54">
        <v>1</v>
      </c>
      <c r="L27" s="22" t="s">
        <v>104</v>
      </c>
      <c r="M27" s="22" t="s">
        <v>611</v>
      </c>
    </row>
    <row r="28" spans="1:13" x14ac:dyDescent="0.75">
      <c r="A28" t="s">
        <v>5371</v>
      </c>
      <c r="B28" t="s">
        <v>610</v>
      </c>
      <c r="C28" t="s">
        <v>7190</v>
      </c>
      <c r="D28" t="s">
        <v>8383</v>
      </c>
      <c r="E28" t="s">
        <v>28517</v>
      </c>
      <c r="F28">
        <v>86</v>
      </c>
      <c r="G28">
        <v>1921862</v>
      </c>
      <c r="H28" t="s">
        <v>28518</v>
      </c>
      <c r="J28" s="54" t="s">
        <v>28517</v>
      </c>
      <c r="K28" s="54">
        <v>1</v>
      </c>
      <c r="L28" s="22" t="s">
        <v>104</v>
      </c>
      <c r="M28" s="22" t="s">
        <v>611</v>
      </c>
    </row>
    <row r="29" spans="1:13" x14ac:dyDescent="0.75">
      <c r="A29" t="s">
        <v>5415</v>
      </c>
      <c r="B29" t="s">
        <v>610</v>
      </c>
      <c r="C29" t="s">
        <v>7190</v>
      </c>
      <c r="D29" t="s">
        <v>8383</v>
      </c>
      <c r="E29" t="s">
        <v>28834</v>
      </c>
      <c r="F29">
        <v>151</v>
      </c>
      <c r="G29">
        <v>1951561</v>
      </c>
      <c r="H29" t="s">
        <v>28835</v>
      </c>
      <c r="J29" s="54" t="s">
        <v>30844</v>
      </c>
      <c r="K29" s="54">
        <v>1</v>
      </c>
      <c r="L29" s="22" t="s">
        <v>104</v>
      </c>
      <c r="M29" s="22" t="s">
        <v>611</v>
      </c>
    </row>
    <row r="30" spans="1:13" x14ac:dyDescent="0.75">
      <c r="A30" t="s">
        <v>5573</v>
      </c>
      <c r="B30" t="s">
        <v>610</v>
      </c>
      <c r="C30" t="s">
        <v>7190</v>
      </c>
      <c r="D30" t="s">
        <v>8383</v>
      </c>
      <c r="E30" t="s">
        <v>29269</v>
      </c>
      <c r="F30">
        <v>83</v>
      </c>
      <c r="G30">
        <v>1976895</v>
      </c>
      <c r="H30" t="s">
        <v>29270</v>
      </c>
      <c r="J30" s="54" t="s">
        <v>30844</v>
      </c>
      <c r="K30" s="54">
        <v>1</v>
      </c>
      <c r="L30" s="22" t="s">
        <v>104</v>
      </c>
      <c r="M30" s="22" t="s">
        <v>611</v>
      </c>
    </row>
    <row r="31" spans="1:13" x14ac:dyDescent="0.75">
      <c r="A31" t="s">
        <v>5695</v>
      </c>
      <c r="B31" t="s">
        <v>610</v>
      </c>
      <c r="C31" t="s">
        <v>7190</v>
      </c>
      <c r="D31" t="s">
        <v>8383</v>
      </c>
      <c r="E31" t="s">
        <v>29444</v>
      </c>
      <c r="F31">
        <v>108</v>
      </c>
      <c r="G31">
        <v>2126736</v>
      </c>
      <c r="H31" t="s">
        <v>29445</v>
      </c>
      <c r="J31" s="54" t="s">
        <v>30844</v>
      </c>
      <c r="K31" s="54">
        <v>1</v>
      </c>
      <c r="L31" s="22" t="s">
        <v>104</v>
      </c>
      <c r="M31" s="22" t="s">
        <v>611</v>
      </c>
    </row>
    <row r="32" spans="1:13" x14ac:dyDescent="0.75">
      <c r="A32" t="s">
        <v>5903</v>
      </c>
      <c r="B32" t="s">
        <v>610</v>
      </c>
      <c r="C32" t="s">
        <v>7190</v>
      </c>
      <c r="D32" t="s">
        <v>8383</v>
      </c>
      <c r="E32" t="s">
        <v>29990</v>
      </c>
      <c r="F32">
        <v>32</v>
      </c>
      <c r="G32">
        <v>2140962</v>
      </c>
      <c r="H32" t="s">
        <v>29991</v>
      </c>
      <c r="J32" s="54" t="s">
        <v>30844</v>
      </c>
      <c r="K32" s="54">
        <v>1</v>
      </c>
      <c r="L32" s="22" t="s">
        <v>104</v>
      </c>
      <c r="M32" s="22" t="s">
        <v>611</v>
      </c>
    </row>
    <row r="33" spans="1:13" x14ac:dyDescent="0.75">
      <c r="A33" t="s">
        <v>5628</v>
      </c>
      <c r="B33" t="s">
        <v>610</v>
      </c>
      <c r="C33" t="s">
        <v>7190</v>
      </c>
      <c r="D33" t="s">
        <v>8383</v>
      </c>
      <c r="E33" t="s">
        <v>29351</v>
      </c>
      <c r="F33">
        <v>79</v>
      </c>
      <c r="G33">
        <v>1934683</v>
      </c>
      <c r="H33" t="s">
        <v>29352</v>
      </c>
      <c r="J33" s="54" t="s">
        <v>30844</v>
      </c>
      <c r="K33" s="54">
        <v>1</v>
      </c>
      <c r="L33" s="22" t="s">
        <v>104</v>
      </c>
      <c r="M33" s="22" t="s">
        <v>611</v>
      </c>
    </row>
    <row r="34" spans="1:13" x14ac:dyDescent="0.75">
      <c r="A34" t="s">
        <v>5828</v>
      </c>
      <c r="B34" t="s">
        <v>610</v>
      </c>
      <c r="C34" t="s">
        <v>7190</v>
      </c>
      <c r="D34" t="s">
        <v>8383</v>
      </c>
      <c r="E34" t="s">
        <v>29813</v>
      </c>
      <c r="F34">
        <v>24</v>
      </c>
      <c r="G34">
        <v>2106840</v>
      </c>
      <c r="H34" t="s">
        <v>29814</v>
      </c>
      <c r="J34" s="54" t="s">
        <v>30844</v>
      </c>
      <c r="K34" s="54">
        <v>1</v>
      </c>
      <c r="L34" s="22" t="s">
        <v>104</v>
      </c>
      <c r="M34" s="22" t="s">
        <v>611</v>
      </c>
    </row>
    <row r="35" spans="1:13" x14ac:dyDescent="0.75">
      <c r="A35" t="s">
        <v>3617</v>
      </c>
      <c r="B35" t="s">
        <v>610</v>
      </c>
      <c r="C35" t="s">
        <v>7190</v>
      </c>
      <c r="D35" t="s">
        <v>8383</v>
      </c>
      <c r="E35" t="s">
        <v>20807</v>
      </c>
      <c r="F35">
        <v>57</v>
      </c>
      <c r="G35">
        <v>1959695</v>
      </c>
      <c r="H35" t="s">
        <v>20808</v>
      </c>
      <c r="J35" s="54" t="s">
        <v>30844</v>
      </c>
      <c r="K35" s="54">
        <v>1</v>
      </c>
      <c r="L35" s="22" t="s">
        <v>104</v>
      </c>
      <c r="M35" s="22" t="s">
        <v>611</v>
      </c>
    </row>
    <row r="36" spans="1:13" x14ac:dyDescent="0.75">
      <c r="A36" t="s">
        <v>3650</v>
      </c>
      <c r="B36" t="s">
        <v>610</v>
      </c>
      <c r="C36" t="s">
        <v>7190</v>
      </c>
      <c r="D36" t="s">
        <v>8383</v>
      </c>
      <c r="E36" t="s">
        <v>20950</v>
      </c>
      <c r="F36">
        <v>186</v>
      </c>
      <c r="G36">
        <v>2019214</v>
      </c>
      <c r="H36" t="s">
        <v>20951</v>
      </c>
      <c r="J36" s="54" t="s">
        <v>30844</v>
      </c>
      <c r="K36" s="54">
        <v>1</v>
      </c>
      <c r="L36" s="22" t="s">
        <v>104</v>
      </c>
      <c r="M36" s="22" t="s">
        <v>611</v>
      </c>
    </row>
    <row r="37" spans="1:13" x14ac:dyDescent="0.75">
      <c r="A37" t="s">
        <v>2958</v>
      </c>
      <c r="B37" t="s">
        <v>610</v>
      </c>
      <c r="C37" t="s">
        <v>7190</v>
      </c>
      <c r="D37" t="s">
        <v>8383</v>
      </c>
      <c r="E37" t="s">
        <v>19309</v>
      </c>
      <c r="F37">
        <v>89</v>
      </c>
      <c r="G37">
        <v>1786652</v>
      </c>
      <c r="H37" t="s">
        <v>19310</v>
      </c>
      <c r="J37" s="54" t="s">
        <v>19309</v>
      </c>
      <c r="K37" s="54">
        <v>1</v>
      </c>
      <c r="L37" s="22" t="s">
        <v>104</v>
      </c>
      <c r="M37" s="22" t="s">
        <v>611</v>
      </c>
    </row>
    <row r="38" spans="1:13" x14ac:dyDescent="0.75">
      <c r="A38" t="s">
        <v>1044</v>
      </c>
      <c r="B38" t="s">
        <v>610</v>
      </c>
      <c r="C38" t="s">
        <v>7190</v>
      </c>
      <c r="D38" t="s">
        <v>8383</v>
      </c>
      <c r="E38" t="s">
        <v>9713</v>
      </c>
      <c r="F38">
        <v>91</v>
      </c>
      <c r="G38">
        <v>2090952</v>
      </c>
      <c r="H38" t="s">
        <v>9714</v>
      </c>
      <c r="J38" s="54" t="s">
        <v>9713</v>
      </c>
      <c r="K38" s="54">
        <v>1</v>
      </c>
      <c r="L38" s="22" t="s">
        <v>104</v>
      </c>
      <c r="M38" s="22" t="s">
        <v>611</v>
      </c>
    </row>
    <row r="39" spans="1:13" x14ac:dyDescent="0.75">
      <c r="A39" t="s">
        <v>609</v>
      </c>
      <c r="B39" t="s">
        <v>610</v>
      </c>
      <c r="C39" t="s">
        <v>7190</v>
      </c>
      <c r="D39" t="s">
        <v>8383</v>
      </c>
      <c r="E39" t="s">
        <v>8384</v>
      </c>
      <c r="F39">
        <v>25</v>
      </c>
      <c r="G39">
        <v>2205725</v>
      </c>
      <c r="H39" t="s">
        <v>8385</v>
      </c>
      <c r="J39" s="54" t="s">
        <v>8384</v>
      </c>
      <c r="K39" s="54">
        <v>1</v>
      </c>
      <c r="L39" s="22" t="s">
        <v>104</v>
      </c>
      <c r="M39" s="22" t="s">
        <v>611</v>
      </c>
    </row>
    <row r="40" spans="1:13" x14ac:dyDescent="0.75">
      <c r="A40" t="s">
        <v>24501</v>
      </c>
      <c r="B40" t="s">
        <v>10421</v>
      </c>
      <c r="C40" t="s">
        <v>7190</v>
      </c>
      <c r="D40" t="s">
        <v>10422</v>
      </c>
      <c r="E40" t="s">
        <v>24502</v>
      </c>
      <c r="F40">
        <v>75</v>
      </c>
      <c r="G40">
        <v>3873991</v>
      </c>
      <c r="H40" t="s">
        <v>24503</v>
      </c>
      <c r="J40" s="54" t="s">
        <v>6052</v>
      </c>
      <c r="K40" s="54">
        <v>0</v>
      </c>
      <c r="L40" s="22" t="s">
        <v>104</v>
      </c>
      <c r="M40" s="22" t="s">
        <v>36853</v>
      </c>
    </row>
    <row r="41" spans="1:13" x14ac:dyDescent="0.75">
      <c r="A41" t="s">
        <v>10420</v>
      </c>
      <c r="B41" t="s">
        <v>10421</v>
      </c>
      <c r="C41" t="s">
        <v>7190</v>
      </c>
      <c r="D41" t="s">
        <v>10422</v>
      </c>
      <c r="E41" t="s">
        <v>10423</v>
      </c>
      <c r="F41">
        <v>107</v>
      </c>
      <c r="G41">
        <v>4025772</v>
      </c>
      <c r="H41" t="s">
        <v>10424</v>
      </c>
      <c r="J41" s="54" t="s">
        <v>6052</v>
      </c>
      <c r="K41" s="54">
        <v>0</v>
      </c>
      <c r="L41" s="22" t="s">
        <v>104</v>
      </c>
      <c r="M41" s="22" t="s">
        <v>36853</v>
      </c>
    </row>
    <row r="42" spans="1:13" x14ac:dyDescent="0.75">
      <c r="A42" t="s">
        <v>26169</v>
      </c>
      <c r="B42" t="s">
        <v>10421</v>
      </c>
      <c r="C42" t="s">
        <v>7190</v>
      </c>
      <c r="D42" t="s">
        <v>10422</v>
      </c>
      <c r="E42" t="s">
        <v>26170</v>
      </c>
      <c r="F42">
        <v>1</v>
      </c>
      <c r="G42">
        <v>3980311</v>
      </c>
      <c r="H42" t="s">
        <v>26171</v>
      </c>
      <c r="J42" s="54" t="s">
        <v>6052</v>
      </c>
      <c r="K42" s="54">
        <v>0</v>
      </c>
      <c r="L42" s="22" t="s">
        <v>104</v>
      </c>
      <c r="M42" s="22" t="s">
        <v>36853</v>
      </c>
    </row>
    <row r="43" spans="1:13" x14ac:dyDescent="0.75">
      <c r="A43" t="s">
        <v>17013</v>
      </c>
      <c r="B43" t="s">
        <v>8387</v>
      </c>
      <c r="C43" t="s">
        <v>7190</v>
      </c>
      <c r="D43" t="s">
        <v>6131</v>
      </c>
      <c r="E43" t="s">
        <v>17014</v>
      </c>
      <c r="F43">
        <v>48</v>
      </c>
      <c r="G43">
        <v>3348294</v>
      </c>
      <c r="H43" t="s">
        <v>17015</v>
      </c>
      <c r="J43" s="54" t="s">
        <v>6052</v>
      </c>
      <c r="K43" s="54">
        <v>0</v>
      </c>
      <c r="L43" s="22" t="s">
        <v>104</v>
      </c>
      <c r="M43" s="22" t="s">
        <v>36856</v>
      </c>
    </row>
    <row r="44" spans="1:13" x14ac:dyDescent="0.75">
      <c r="A44" t="s">
        <v>26687</v>
      </c>
      <c r="B44" t="s">
        <v>8387</v>
      </c>
      <c r="C44" t="s">
        <v>7190</v>
      </c>
      <c r="D44" t="s">
        <v>6131</v>
      </c>
      <c r="E44" t="s">
        <v>17014</v>
      </c>
      <c r="F44">
        <v>50</v>
      </c>
      <c r="G44">
        <v>3344607</v>
      </c>
      <c r="H44" t="s">
        <v>26688</v>
      </c>
      <c r="J44" s="54" t="s">
        <v>6052</v>
      </c>
      <c r="K44" s="54">
        <v>0</v>
      </c>
      <c r="L44" s="22" t="s">
        <v>104</v>
      </c>
      <c r="M44" s="22" t="s">
        <v>36856</v>
      </c>
    </row>
    <row r="45" spans="1:13" x14ac:dyDescent="0.75">
      <c r="A45" t="s">
        <v>17407</v>
      </c>
      <c r="B45" t="s">
        <v>8387</v>
      </c>
      <c r="C45" t="s">
        <v>7190</v>
      </c>
      <c r="D45" t="s">
        <v>6131</v>
      </c>
      <c r="E45" t="s">
        <v>17408</v>
      </c>
      <c r="F45">
        <v>39</v>
      </c>
      <c r="G45">
        <v>3357062</v>
      </c>
      <c r="H45" t="s">
        <v>17409</v>
      </c>
      <c r="J45" s="54" t="s">
        <v>6052</v>
      </c>
      <c r="K45" s="54">
        <v>0</v>
      </c>
      <c r="L45" s="22" t="s">
        <v>104</v>
      </c>
      <c r="M45" s="22" t="s">
        <v>36856</v>
      </c>
    </row>
    <row r="46" spans="1:13" x14ac:dyDescent="0.75">
      <c r="A46" t="s">
        <v>8386</v>
      </c>
      <c r="B46" t="s">
        <v>8387</v>
      </c>
      <c r="C46" t="s">
        <v>7190</v>
      </c>
      <c r="D46" t="s">
        <v>6131</v>
      </c>
      <c r="E46" t="s">
        <v>8388</v>
      </c>
      <c r="F46">
        <v>255</v>
      </c>
      <c r="G46">
        <v>3459374</v>
      </c>
      <c r="H46" t="s">
        <v>8389</v>
      </c>
      <c r="J46" s="54" t="s">
        <v>6052</v>
      </c>
      <c r="K46" s="54">
        <v>0</v>
      </c>
      <c r="L46" s="22" t="s">
        <v>104</v>
      </c>
      <c r="M46" s="22" t="s">
        <v>36856</v>
      </c>
    </row>
    <row r="47" spans="1:13" x14ac:dyDescent="0.75">
      <c r="A47" t="s">
        <v>8642</v>
      </c>
      <c r="B47" t="s">
        <v>8643</v>
      </c>
      <c r="C47" t="s">
        <v>7190</v>
      </c>
      <c r="D47" t="s">
        <v>8644</v>
      </c>
      <c r="E47">
        <v>4401292</v>
      </c>
      <c r="F47">
        <v>35</v>
      </c>
      <c r="G47">
        <v>3371034</v>
      </c>
      <c r="H47" t="s">
        <v>8645</v>
      </c>
      <c r="J47" s="54" t="s">
        <v>6052</v>
      </c>
      <c r="K47" s="54">
        <v>0</v>
      </c>
      <c r="L47" s="22" t="s">
        <v>104</v>
      </c>
      <c r="M47" s="22" t="s">
        <v>36850</v>
      </c>
    </row>
    <row r="48" spans="1:13" x14ac:dyDescent="0.75">
      <c r="A48" t="s">
        <v>30030</v>
      </c>
      <c r="B48" t="s">
        <v>8643</v>
      </c>
      <c r="C48" t="s">
        <v>7190</v>
      </c>
      <c r="D48" t="s">
        <v>8644</v>
      </c>
      <c r="E48" t="s">
        <v>30031</v>
      </c>
      <c r="F48">
        <v>166</v>
      </c>
      <c r="G48">
        <v>3111153</v>
      </c>
      <c r="H48" t="s">
        <v>30032</v>
      </c>
      <c r="J48" s="54" t="s">
        <v>6052</v>
      </c>
      <c r="K48" s="54">
        <v>0</v>
      </c>
      <c r="L48" s="22" t="s">
        <v>104</v>
      </c>
      <c r="M48" s="22" t="s">
        <v>36850</v>
      </c>
    </row>
    <row r="49" spans="1:13" x14ac:dyDescent="0.75">
      <c r="A49" t="s">
        <v>8846</v>
      </c>
      <c r="B49" t="s">
        <v>8643</v>
      </c>
      <c r="C49" t="s">
        <v>7190</v>
      </c>
      <c r="D49" t="s">
        <v>8644</v>
      </c>
      <c r="E49" t="s">
        <v>8847</v>
      </c>
      <c r="F49">
        <v>233</v>
      </c>
      <c r="G49">
        <v>3416440</v>
      </c>
      <c r="H49" t="s">
        <v>8848</v>
      </c>
      <c r="J49" s="54" t="s">
        <v>6052</v>
      </c>
      <c r="K49" s="54">
        <v>0</v>
      </c>
      <c r="L49" s="22" t="s">
        <v>104</v>
      </c>
      <c r="M49" s="22" t="s">
        <v>36850</v>
      </c>
    </row>
    <row r="50" spans="1:13" x14ac:dyDescent="0.75">
      <c r="A50" t="s">
        <v>26467</v>
      </c>
      <c r="B50" t="s">
        <v>8643</v>
      </c>
      <c r="C50" t="s">
        <v>7190</v>
      </c>
      <c r="D50" t="s">
        <v>8644</v>
      </c>
      <c r="E50" t="s">
        <v>8847</v>
      </c>
      <c r="F50">
        <v>1</v>
      </c>
      <c r="G50">
        <v>3476513</v>
      </c>
      <c r="H50" t="s">
        <v>26468</v>
      </c>
      <c r="J50" s="54" t="s">
        <v>6052</v>
      </c>
      <c r="K50" s="54">
        <v>0</v>
      </c>
      <c r="L50" s="22" t="s">
        <v>104</v>
      </c>
      <c r="M50" s="22" t="s">
        <v>36850</v>
      </c>
    </row>
    <row r="51" spans="1:13" x14ac:dyDescent="0.75">
      <c r="A51" t="s">
        <v>29128</v>
      </c>
      <c r="B51" t="s">
        <v>8643</v>
      </c>
      <c r="C51" t="s">
        <v>7190</v>
      </c>
      <c r="D51" t="s">
        <v>8644</v>
      </c>
      <c r="E51" t="s">
        <v>29129</v>
      </c>
      <c r="F51">
        <v>263</v>
      </c>
      <c r="G51">
        <v>2775398</v>
      </c>
      <c r="H51" t="s">
        <v>29130</v>
      </c>
      <c r="J51" s="54" t="s">
        <v>6052</v>
      </c>
      <c r="K51" s="54">
        <v>0</v>
      </c>
      <c r="L51" s="22" t="s">
        <v>104</v>
      </c>
      <c r="M51" s="22" t="s">
        <v>36850</v>
      </c>
    </row>
    <row r="52" spans="1:13" x14ac:dyDescent="0.75">
      <c r="A52" t="s">
        <v>26684</v>
      </c>
      <c r="B52" t="s">
        <v>8744</v>
      </c>
      <c r="C52" t="s">
        <v>7190</v>
      </c>
      <c r="D52" t="s">
        <v>8745</v>
      </c>
      <c r="E52" t="s">
        <v>26685</v>
      </c>
      <c r="F52">
        <v>65</v>
      </c>
      <c r="G52">
        <v>3123836</v>
      </c>
      <c r="H52" t="s">
        <v>26686</v>
      </c>
      <c r="J52" s="54" t="s">
        <v>6052</v>
      </c>
      <c r="K52" s="54">
        <v>0</v>
      </c>
      <c r="L52" s="22" t="s">
        <v>104</v>
      </c>
      <c r="M52" s="22" t="s">
        <v>36854</v>
      </c>
    </row>
    <row r="53" spans="1:13" x14ac:dyDescent="0.75">
      <c r="A53" t="s">
        <v>23199</v>
      </c>
      <c r="B53" t="s">
        <v>8744</v>
      </c>
      <c r="C53" t="s">
        <v>7190</v>
      </c>
      <c r="D53" t="s">
        <v>8745</v>
      </c>
      <c r="E53" t="s">
        <v>23200</v>
      </c>
      <c r="F53">
        <v>1</v>
      </c>
      <c r="G53">
        <v>3204077</v>
      </c>
      <c r="H53" t="s">
        <v>23201</v>
      </c>
      <c r="J53" s="54" t="s">
        <v>6052</v>
      </c>
      <c r="K53" s="54">
        <v>0</v>
      </c>
      <c r="L53" s="22" t="s">
        <v>104</v>
      </c>
      <c r="M53" s="22" t="s">
        <v>36854</v>
      </c>
    </row>
    <row r="54" spans="1:13" x14ac:dyDescent="0.75">
      <c r="A54" t="s">
        <v>13288</v>
      </c>
      <c r="B54" t="s">
        <v>8744</v>
      </c>
      <c r="C54" t="s">
        <v>7190</v>
      </c>
      <c r="D54" t="s">
        <v>8745</v>
      </c>
      <c r="E54" t="s">
        <v>13289</v>
      </c>
      <c r="F54">
        <v>63</v>
      </c>
      <c r="G54">
        <v>3151111</v>
      </c>
      <c r="H54" t="s">
        <v>13290</v>
      </c>
      <c r="J54" s="54" t="s">
        <v>6052</v>
      </c>
      <c r="K54" s="54">
        <v>0</v>
      </c>
      <c r="L54" s="22" t="s">
        <v>104</v>
      </c>
      <c r="M54" s="22" t="s">
        <v>36854</v>
      </c>
    </row>
    <row r="55" spans="1:13" x14ac:dyDescent="0.75">
      <c r="A55" t="s">
        <v>13270</v>
      </c>
      <c r="B55" t="s">
        <v>8744</v>
      </c>
      <c r="C55" t="s">
        <v>7190</v>
      </c>
      <c r="D55" t="s">
        <v>8745</v>
      </c>
      <c r="E55" t="s">
        <v>13271</v>
      </c>
      <c r="F55">
        <v>73</v>
      </c>
      <c r="G55">
        <v>3159810</v>
      </c>
      <c r="H55" t="s">
        <v>13272</v>
      </c>
      <c r="J55" s="54" t="s">
        <v>6052</v>
      </c>
      <c r="K55" s="54">
        <v>0</v>
      </c>
      <c r="L55" s="22" t="s">
        <v>104</v>
      </c>
      <c r="M55" s="22" t="s">
        <v>36854</v>
      </c>
    </row>
    <row r="56" spans="1:13" x14ac:dyDescent="0.75">
      <c r="A56" t="s">
        <v>24496</v>
      </c>
      <c r="B56" t="s">
        <v>8744</v>
      </c>
      <c r="C56" t="s">
        <v>7190</v>
      </c>
      <c r="D56" t="s">
        <v>8745</v>
      </c>
      <c r="E56" t="s">
        <v>24497</v>
      </c>
      <c r="F56">
        <v>15</v>
      </c>
      <c r="G56">
        <v>3104561</v>
      </c>
      <c r="H56" t="s">
        <v>24498</v>
      </c>
      <c r="J56" s="54" t="s">
        <v>6052</v>
      </c>
      <c r="K56" s="54">
        <v>0</v>
      </c>
      <c r="L56" s="22" t="s">
        <v>104</v>
      </c>
      <c r="M56" s="22" t="s">
        <v>36854</v>
      </c>
    </row>
    <row r="57" spans="1:13" x14ac:dyDescent="0.75">
      <c r="A57" t="s">
        <v>13258</v>
      </c>
      <c r="B57" t="s">
        <v>8744</v>
      </c>
      <c r="C57" t="s">
        <v>7190</v>
      </c>
      <c r="D57" t="s">
        <v>8745</v>
      </c>
      <c r="E57" t="s">
        <v>13259</v>
      </c>
      <c r="F57">
        <v>89</v>
      </c>
      <c r="G57">
        <v>3191973</v>
      </c>
      <c r="H57" t="s">
        <v>13260</v>
      </c>
      <c r="J57" s="54" t="s">
        <v>6052</v>
      </c>
      <c r="K57" s="54">
        <v>0</v>
      </c>
      <c r="L57" s="22" t="s">
        <v>104</v>
      </c>
      <c r="M57" s="22" t="s">
        <v>36854</v>
      </c>
    </row>
    <row r="58" spans="1:13" x14ac:dyDescent="0.75">
      <c r="A58" t="s">
        <v>13267</v>
      </c>
      <c r="B58" t="s">
        <v>8744</v>
      </c>
      <c r="C58" t="s">
        <v>7190</v>
      </c>
      <c r="D58" t="s">
        <v>8745</v>
      </c>
      <c r="E58" t="s">
        <v>13268</v>
      </c>
      <c r="F58">
        <v>184</v>
      </c>
      <c r="G58">
        <v>3041208</v>
      </c>
      <c r="H58" t="s">
        <v>13269</v>
      </c>
      <c r="J58" s="54" t="s">
        <v>6052</v>
      </c>
      <c r="K58" s="54">
        <v>0</v>
      </c>
      <c r="L58" s="22" t="s">
        <v>104</v>
      </c>
      <c r="M58" s="22" t="s">
        <v>36854</v>
      </c>
    </row>
    <row r="59" spans="1:13" x14ac:dyDescent="0.75">
      <c r="A59" t="s">
        <v>20050</v>
      </c>
      <c r="B59" t="s">
        <v>8744</v>
      </c>
      <c r="C59" t="s">
        <v>7190</v>
      </c>
      <c r="D59" t="s">
        <v>8745</v>
      </c>
      <c r="E59" t="s">
        <v>20051</v>
      </c>
      <c r="F59">
        <v>1</v>
      </c>
      <c r="G59">
        <v>3152123</v>
      </c>
      <c r="H59" t="s">
        <v>20052</v>
      </c>
      <c r="J59" s="54" t="s">
        <v>6052</v>
      </c>
      <c r="K59" s="54">
        <v>0</v>
      </c>
      <c r="L59" s="22" t="s">
        <v>104</v>
      </c>
      <c r="M59" s="22" t="s">
        <v>36854</v>
      </c>
    </row>
    <row r="60" spans="1:13" x14ac:dyDescent="0.75">
      <c r="A60" t="s">
        <v>13297</v>
      </c>
      <c r="B60" t="s">
        <v>8744</v>
      </c>
      <c r="C60" t="s">
        <v>7190</v>
      </c>
      <c r="D60" t="s">
        <v>8745</v>
      </c>
      <c r="E60" t="s">
        <v>13298</v>
      </c>
      <c r="F60">
        <v>58</v>
      </c>
      <c r="G60">
        <v>3140302</v>
      </c>
      <c r="H60" t="s">
        <v>13299</v>
      </c>
      <c r="J60" s="54" t="s">
        <v>6052</v>
      </c>
      <c r="K60" s="54">
        <v>0</v>
      </c>
      <c r="L60" s="22" t="s">
        <v>104</v>
      </c>
      <c r="M60" s="22" t="s">
        <v>36854</v>
      </c>
    </row>
    <row r="61" spans="1:13" x14ac:dyDescent="0.75">
      <c r="A61" t="s">
        <v>8743</v>
      </c>
      <c r="B61" t="s">
        <v>8744</v>
      </c>
      <c r="C61" t="s">
        <v>7190</v>
      </c>
      <c r="D61" t="s">
        <v>8745</v>
      </c>
      <c r="E61" t="s">
        <v>8746</v>
      </c>
      <c r="F61">
        <v>243</v>
      </c>
      <c r="G61">
        <v>3114341</v>
      </c>
      <c r="H61" t="s">
        <v>8747</v>
      </c>
      <c r="J61" s="54" t="s">
        <v>6052</v>
      </c>
      <c r="K61" s="54">
        <v>0</v>
      </c>
      <c r="L61" s="22" t="s">
        <v>104</v>
      </c>
      <c r="M61" s="22" t="s">
        <v>36854</v>
      </c>
    </row>
    <row r="62" spans="1:13" x14ac:dyDescent="0.75">
      <c r="A62" t="s">
        <v>13285</v>
      </c>
      <c r="B62" t="s">
        <v>8744</v>
      </c>
      <c r="C62" t="s">
        <v>7190</v>
      </c>
      <c r="D62" t="s">
        <v>8745</v>
      </c>
      <c r="E62" t="s">
        <v>13286</v>
      </c>
      <c r="F62">
        <v>61</v>
      </c>
      <c r="G62">
        <v>3144414</v>
      </c>
      <c r="H62" t="s">
        <v>13287</v>
      </c>
      <c r="J62" s="54" t="s">
        <v>6052</v>
      </c>
      <c r="K62" s="54">
        <v>0</v>
      </c>
      <c r="L62" s="22" t="s">
        <v>104</v>
      </c>
      <c r="M62" s="22" t="s">
        <v>36854</v>
      </c>
    </row>
    <row r="63" spans="1:13" x14ac:dyDescent="0.75">
      <c r="A63" t="s">
        <v>13264</v>
      </c>
      <c r="B63" t="s">
        <v>8744</v>
      </c>
      <c r="C63" t="s">
        <v>7190</v>
      </c>
      <c r="D63" t="s">
        <v>8745</v>
      </c>
      <c r="E63" t="s">
        <v>13265</v>
      </c>
      <c r="F63">
        <v>75</v>
      </c>
      <c r="G63">
        <v>3165113</v>
      </c>
      <c r="H63" t="s">
        <v>13266</v>
      </c>
      <c r="J63" s="54" t="s">
        <v>6052</v>
      </c>
      <c r="K63" s="54">
        <v>0</v>
      </c>
      <c r="L63" s="22" t="s">
        <v>104</v>
      </c>
      <c r="M63" s="22" t="s">
        <v>36854</v>
      </c>
    </row>
    <row r="64" spans="1:13" x14ac:dyDescent="0.75">
      <c r="A64" t="s">
        <v>13294</v>
      </c>
      <c r="B64" t="s">
        <v>8744</v>
      </c>
      <c r="C64" t="s">
        <v>7190</v>
      </c>
      <c r="D64" t="s">
        <v>8745</v>
      </c>
      <c r="E64" t="s">
        <v>13295</v>
      </c>
      <c r="F64">
        <v>56</v>
      </c>
      <c r="G64">
        <v>3119690</v>
      </c>
      <c r="H64" t="s">
        <v>13296</v>
      </c>
      <c r="J64" s="54" t="s">
        <v>6052</v>
      </c>
      <c r="K64" s="54">
        <v>0</v>
      </c>
      <c r="L64" s="22" t="s">
        <v>104</v>
      </c>
      <c r="M64" s="22" t="s">
        <v>36854</v>
      </c>
    </row>
    <row r="65" spans="1:13" x14ac:dyDescent="0.75">
      <c r="A65" t="s">
        <v>26692</v>
      </c>
      <c r="B65" t="s">
        <v>8744</v>
      </c>
      <c r="C65" t="s">
        <v>7190</v>
      </c>
      <c r="D65" t="s">
        <v>8745</v>
      </c>
      <c r="E65" t="s">
        <v>13295</v>
      </c>
      <c r="F65">
        <v>42</v>
      </c>
      <c r="G65">
        <v>3127545</v>
      </c>
      <c r="H65" t="s">
        <v>26693</v>
      </c>
      <c r="J65" s="54" t="s">
        <v>6052</v>
      </c>
      <c r="K65" s="54">
        <v>0</v>
      </c>
      <c r="L65" s="22" t="s">
        <v>104</v>
      </c>
      <c r="M65" s="22" t="s">
        <v>36854</v>
      </c>
    </row>
    <row r="66" spans="1:13" x14ac:dyDescent="0.75">
      <c r="A66" t="s">
        <v>26700</v>
      </c>
      <c r="B66" t="s">
        <v>8744</v>
      </c>
      <c r="C66" t="s">
        <v>7190</v>
      </c>
      <c r="D66" t="s">
        <v>8745</v>
      </c>
      <c r="E66" t="s">
        <v>13295</v>
      </c>
      <c r="F66">
        <v>106</v>
      </c>
      <c r="G66">
        <v>3119783</v>
      </c>
      <c r="H66" t="s">
        <v>26701</v>
      </c>
      <c r="J66" s="54" t="s">
        <v>6052</v>
      </c>
      <c r="K66" s="54">
        <v>0</v>
      </c>
      <c r="L66" s="22" t="s">
        <v>104</v>
      </c>
      <c r="M66" s="22" t="s">
        <v>36854</v>
      </c>
    </row>
    <row r="67" spans="1:13" x14ac:dyDescent="0.75">
      <c r="A67" t="s">
        <v>13261</v>
      </c>
      <c r="B67" t="s">
        <v>8744</v>
      </c>
      <c r="C67" t="s">
        <v>7190</v>
      </c>
      <c r="D67" t="s">
        <v>8745</v>
      </c>
      <c r="E67" t="s">
        <v>13262</v>
      </c>
      <c r="F67">
        <v>64</v>
      </c>
      <c r="G67">
        <v>3155768</v>
      </c>
      <c r="H67" t="s">
        <v>13263</v>
      </c>
      <c r="J67" s="54" t="s">
        <v>6052</v>
      </c>
      <c r="K67" s="54">
        <v>0</v>
      </c>
      <c r="L67" s="22" t="s">
        <v>104</v>
      </c>
      <c r="M67" s="22" t="s">
        <v>36854</v>
      </c>
    </row>
    <row r="68" spans="1:13" x14ac:dyDescent="0.75">
      <c r="A68" t="s">
        <v>13220</v>
      </c>
      <c r="B68" t="s">
        <v>8744</v>
      </c>
      <c r="C68" t="s">
        <v>7190</v>
      </c>
      <c r="D68" t="s">
        <v>8745</v>
      </c>
      <c r="E68" t="s">
        <v>13221</v>
      </c>
      <c r="F68">
        <v>42</v>
      </c>
      <c r="G68">
        <v>3226920</v>
      </c>
      <c r="H68" t="s">
        <v>13222</v>
      </c>
      <c r="J68" s="54" t="s">
        <v>6052</v>
      </c>
      <c r="K68" s="54">
        <v>0</v>
      </c>
      <c r="L68" s="22" t="s">
        <v>104</v>
      </c>
      <c r="M68" s="22" t="s">
        <v>36854</v>
      </c>
    </row>
    <row r="69" spans="1:13" x14ac:dyDescent="0.75">
      <c r="A69" t="s">
        <v>13200</v>
      </c>
      <c r="B69" t="s">
        <v>8744</v>
      </c>
      <c r="C69" t="s">
        <v>7190</v>
      </c>
      <c r="D69" t="s">
        <v>8745</v>
      </c>
      <c r="E69" t="s">
        <v>13201</v>
      </c>
      <c r="F69">
        <v>62</v>
      </c>
      <c r="G69">
        <v>3197928</v>
      </c>
      <c r="H69" t="s">
        <v>13202</v>
      </c>
      <c r="J69" s="54" t="s">
        <v>6052</v>
      </c>
      <c r="K69" s="54">
        <v>0</v>
      </c>
      <c r="L69" s="22" t="s">
        <v>104</v>
      </c>
      <c r="M69" s="22" t="s">
        <v>36854</v>
      </c>
    </row>
    <row r="70" spans="1:13" x14ac:dyDescent="0.75">
      <c r="A70" t="s">
        <v>13279</v>
      </c>
      <c r="B70" t="s">
        <v>8744</v>
      </c>
      <c r="C70" t="s">
        <v>7190</v>
      </c>
      <c r="D70" t="s">
        <v>8745</v>
      </c>
      <c r="E70" t="s">
        <v>13280</v>
      </c>
      <c r="F70">
        <v>79</v>
      </c>
      <c r="G70">
        <v>3139836</v>
      </c>
      <c r="H70" t="s">
        <v>13281</v>
      </c>
      <c r="J70" s="54" t="s">
        <v>6052</v>
      </c>
      <c r="K70" s="54">
        <v>0</v>
      </c>
      <c r="L70" s="22" t="s">
        <v>104</v>
      </c>
      <c r="M70" s="22" t="s">
        <v>36854</v>
      </c>
    </row>
    <row r="71" spans="1:13" x14ac:dyDescent="0.75">
      <c r="A71" t="s">
        <v>13223</v>
      </c>
      <c r="B71" t="s">
        <v>8744</v>
      </c>
      <c r="C71" t="s">
        <v>7190</v>
      </c>
      <c r="D71" t="s">
        <v>8745</v>
      </c>
      <c r="E71" t="s">
        <v>13224</v>
      </c>
      <c r="F71">
        <v>53</v>
      </c>
      <c r="G71">
        <v>3183492</v>
      </c>
      <c r="H71" t="s">
        <v>13225</v>
      </c>
      <c r="J71" s="54" t="s">
        <v>6052</v>
      </c>
      <c r="K71" s="54">
        <v>0</v>
      </c>
      <c r="L71" s="22" t="s">
        <v>104</v>
      </c>
      <c r="M71" s="22" t="s">
        <v>36854</v>
      </c>
    </row>
    <row r="72" spans="1:13" x14ac:dyDescent="0.75">
      <c r="A72" t="s">
        <v>13282</v>
      </c>
      <c r="B72" t="s">
        <v>8744</v>
      </c>
      <c r="C72" t="s">
        <v>7190</v>
      </c>
      <c r="D72" t="s">
        <v>8745</v>
      </c>
      <c r="E72" t="s">
        <v>13283</v>
      </c>
      <c r="F72">
        <v>48</v>
      </c>
      <c r="G72">
        <v>3122782</v>
      </c>
      <c r="H72" t="s">
        <v>13284</v>
      </c>
      <c r="J72" s="54" t="s">
        <v>6052</v>
      </c>
      <c r="K72" s="54">
        <v>0</v>
      </c>
      <c r="L72" s="22" t="s">
        <v>104</v>
      </c>
      <c r="M72" s="22" t="s">
        <v>36854</v>
      </c>
    </row>
    <row r="73" spans="1:13" x14ac:dyDescent="0.75">
      <c r="A73" t="s">
        <v>13276</v>
      </c>
      <c r="B73" t="s">
        <v>8744</v>
      </c>
      <c r="C73" t="s">
        <v>7190</v>
      </c>
      <c r="D73" t="s">
        <v>8745</v>
      </c>
      <c r="E73" t="s">
        <v>13277</v>
      </c>
      <c r="F73">
        <v>64</v>
      </c>
      <c r="G73">
        <v>3128129</v>
      </c>
      <c r="H73" t="s">
        <v>13278</v>
      </c>
      <c r="J73" s="54" t="s">
        <v>6052</v>
      </c>
      <c r="K73" s="54">
        <v>0</v>
      </c>
      <c r="L73" s="22" t="s">
        <v>104</v>
      </c>
      <c r="M73" s="22" t="s">
        <v>36854</v>
      </c>
    </row>
    <row r="74" spans="1:13" x14ac:dyDescent="0.75">
      <c r="A74" t="s">
        <v>13291</v>
      </c>
      <c r="B74" t="s">
        <v>8744</v>
      </c>
      <c r="C74" t="s">
        <v>7190</v>
      </c>
      <c r="D74" t="s">
        <v>8745</v>
      </c>
      <c r="E74" t="s">
        <v>13292</v>
      </c>
      <c r="F74">
        <v>59</v>
      </c>
      <c r="G74">
        <v>3229861</v>
      </c>
      <c r="H74" t="s">
        <v>13293</v>
      </c>
      <c r="J74" s="54" t="s">
        <v>6052</v>
      </c>
      <c r="K74" s="54">
        <v>0</v>
      </c>
      <c r="L74" s="22" t="s">
        <v>104</v>
      </c>
      <c r="M74" s="22" t="s">
        <v>36854</v>
      </c>
    </row>
    <row r="75" spans="1:13" x14ac:dyDescent="0.75">
      <c r="A75" t="s">
        <v>29005</v>
      </c>
      <c r="B75" t="s">
        <v>8744</v>
      </c>
      <c r="C75" t="s">
        <v>7190</v>
      </c>
      <c r="D75" t="s">
        <v>8745</v>
      </c>
      <c r="E75" t="s">
        <v>29006</v>
      </c>
      <c r="F75">
        <v>118</v>
      </c>
      <c r="G75">
        <v>3041234</v>
      </c>
      <c r="H75" t="s">
        <v>29007</v>
      </c>
      <c r="J75" s="54" t="s">
        <v>6052</v>
      </c>
      <c r="K75" s="54">
        <v>0</v>
      </c>
      <c r="L75" s="22" t="s">
        <v>104</v>
      </c>
      <c r="M75" s="22" t="s">
        <v>36854</v>
      </c>
    </row>
    <row r="76" spans="1:13" x14ac:dyDescent="0.75">
      <c r="A76" t="s">
        <v>13273</v>
      </c>
      <c r="B76" t="s">
        <v>8744</v>
      </c>
      <c r="C76" t="s">
        <v>7190</v>
      </c>
      <c r="D76" t="s">
        <v>8745</v>
      </c>
      <c r="E76" t="s">
        <v>13274</v>
      </c>
      <c r="F76">
        <v>104</v>
      </c>
      <c r="G76">
        <v>3068220</v>
      </c>
      <c r="H76" t="s">
        <v>13275</v>
      </c>
      <c r="J76" s="54" t="s">
        <v>6052</v>
      </c>
      <c r="K76" s="54">
        <v>0</v>
      </c>
      <c r="L76" s="22" t="s">
        <v>104</v>
      </c>
      <c r="M76" s="22" t="s">
        <v>36854</v>
      </c>
    </row>
    <row r="77" spans="1:13" x14ac:dyDescent="0.75">
      <c r="A77" t="s">
        <v>14275</v>
      </c>
      <c r="B77" t="s">
        <v>8744</v>
      </c>
      <c r="C77" t="s">
        <v>7190</v>
      </c>
      <c r="D77" t="s">
        <v>8745</v>
      </c>
      <c r="E77" t="s">
        <v>14276</v>
      </c>
      <c r="F77">
        <v>48</v>
      </c>
      <c r="G77">
        <v>3127787</v>
      </c>
      <c r="H77" t="s">
        <v>14277</v>
      </c>
      <c r="J77" s="54" t="s">
        <v>6052</v>
      </c>
      <c r="K77" s="54">
        <v>0</v>
      </c>
      <c r="L77" s="22" t="s">
        <v>104</v>
      </c>
      <c r="M77" s="22" t="s">
        <v>36854</v>
      </c>
    </row>
    <row r="78" spans="1:13" x14ac:dyDescent="0.75">
      <c r="A78" t="s">
        <v>13217</v>
      </c>
      <c r="B78" t="s">
        <v>8744</v>
      </c>
      <c r="C78" t="s">
        <v>7190</v>
      </c>
      <c r="D78" t="s">
        <v>8745</v>
      </c>
      <c r="E78" t="s">
        <v>13218</v>
      </c>
      <c r="F78">
        <v>68</v>
      </c>
      <c r="G78">
        <v>3218937</v>
      </c>
      <c r="H78" t="s">
        <v>13219</v>
      </c>
      <c r="J78" s="54" t="s">
        <v>6052</v>
      </c>
      <c r="K78" s="54">
        <v>0</v>
      </c>
      <c r="L78" s="22" t="s">
        <v>104</v>
      </c>
      <c r="M78" s="22" t="s">
        <v>36854</v>
      </c>
    </row>
    <row r="79" spans="1:13" x14ac:dyDescent="0.75">
      <c r="A79" t="s">
        <v>13238</v>
      </c>
      <c r="B79" t="s">
        <v>8744</v>
      </c>
      <c r="C79" t="s">
        <v>7190</v>
      </c>
      <c r="D79" t="s">
        <v>8745</v>
      </c>
      <c r="E79" t="s">
        <v>13239</v>
      </c>
      <c r="F79">
        <v>71</v>
      </c>
      <c r="G79">
        <v>3228491</v>
      </c>
      <c r="H79" t="s">
        <v>13240</v>
      </c>
      <c r="J79" s="54" t="s">
        <v>6052</v>
      </c>
      <c r="K79" s="54">
        <v>0</v>
      </c>
      <c r="L79" s="22" t="s">
        <v>104</v>
      </c>
      <c r="M79" s="22" t="s">
        <v>36854</v>
      </c>
    </row>
    <row r="80" spans="1:13" x14ac:dyDescent="0.75">
      <c r="A80" t="s">
        <v>29960</v>
      </c>
      <c r="B80" t="s">
        <v>16505</v>
      </c>
      <c r="C80" t="s">
        <v>7190</v>
      </c>
      <c r="D80" t="s">
        <v>16506</v>
      </c>
      <c r="E80" t="s">
        <v>29961</v>
      </c>
      <c r="F80">
        <v>142</v>
      </c>
      <c r="G80">
        <v>2574485</v>
      </c>
      <c r="H80" t="s">
        <v>29962</v>
      </c>
      <c r="J80" s="54" t="s">
        <v>6052</v>
      </c>
      <c r="K80" s="54">
        <v>0</v>
      </c>
      <c r="L80" s="22" t="s">
        <v>104</v>
      </c>
      <c r="M80" s="22" t="s">
        <v>36862</v>
      </c>
    </row>
    <row r="81" spans="1:13" x14ac:dyDescent="0.75">
      <c r="A81" t="s">
        <v>16504</v>
      </c>
      <c r="B81" t="s">
        <v>16505</v>
      </c>
      <c r="C81" t="s">
        <v>7190</v>
      </c>
      <c r="D81" t="s">
        <v>16506</v>
      </c>
      <c r="E81" t="s">
        <v>16507</v>
      </c>
      <c r="F81">
        <v>78</v>
      </c>
      <c r="G81">
        <v>2930686</v>
      </c>
      <c r="H81" t="s">
        <v>16508</v>
      </c>
      <c r="J81" s="54" t="s">
        <v>6052</v>
      </c>
      <c r="K81" s="54">
        <v>0</v>
      </c>
      <c r="L81" s="22" t="s">
        <v>104</v>
      </c>
      <c r="M81" s="22" t="s">
        <v>36862</v>
      </c>
    </row>
    <row r="82" spans="1:13" x14ac:dyDescent="0.75">
      <c r="A82" t="s">
        <v>391</v>
      </c>
      <c r="B82" t="s">
        <v>392</v>
      </c>
      <c r="C82" t="s">
        <v>7190</v>
      </c>
      <c r="D82" t="s">
        <v>7331</v>
      </c>
      <c r="E82" t="s">
        <v>7332</v>
      </c>
      <c r="F82">
        <v>771</v>
      </c>
      <c r="G82">
        <v>2872429</v>
      </c>
      <c r="H82" t="s">
        <v>7333</v>
      </c>
      <c r="J82" s="54" t="s">
        <v>7332</v>
      </c>
      <c r="K82" s="54">
        <v>1</v>
      </c>
      <c r="L82" s="22" t="s">
        <v>104</v>
      </c>
      <c r="M82" s="22" t="s">
        <v>36831</v>
      </c>
    </row>
    <row r="83" spans="1:13" x14ac:dyDescent="0.75">
      <c r="A83" t="s">
        <v>4173</v>
      </c>
      <c r="B83" t="s">
        <v>392</v>
      </c>
      <c r="C83" t="s">
        <v>7190</v>
      </c>
      <c r="D83" t="s">
        <v>7331</v>
      </c>
      <c r="E83" t="s">
        <v>7332</v>
      </c>
      <c r="F83">
        <v>1</v>
      </c>
      <c r="G83">
        <v>3119201</v>
      </c>
      <c r="H83" t="s">
        <v>23198</v>
      </c>
      <c r="J83" s="54" t="s">
        <v>7332</v>
      </c>
      <c r="K83" s="54">
        <v>1</v>
      </c>
      <c r="L83" s="22" t="s">
        <v>104</v>
      </c>
      <c r="M83" s="22" t="s">
        <v>36831</v>
      </c>
    </row>
    <row r="84" spans="1:13" x14ac:dyDescent="0.75">
      <c r="A84" t="s">
        <v>11939</v>
      </c>
      <c r="B84" t="s">
        <v>392</v>
      </c>
      <c r="C84" t="s">
        <v>7190</v>
      </c>
      <c r="D84" t="s">
        <v>7331</v>
      </c>
      <c r="E84" t="s">
        <v>11940</v>
      </c>
      <c r="F84">
        <v>1</v>
      </c>
      <c r="G84">
        <v>3042917</v>
      </c>
      <c r="H84" t="s">
        <v>11941</v>
      </c>
      <c r="J84" s="54" t="s">
        <v>6052</v>
      </c>
      <c r="K84" s="54">
        <v>0</v>
      </c>
      <c r="L84" s="22" t="s">
        <v>104</v>
      </c>
      <c r="M84" s="22" t="s">
        <v>36831</v>
      </c>
    </row>
    <row r="85" spans="1:13" x14ac:dyDescent="0.75">
      <c r="A85" t="s">
        <v>13185</v>
      </c>
      <c r="B85" t="s">
        <v>13178</v>
      </c>
      <c r="C85" t="s">
        <v>7190</v>
      </c>
      <c r="D85" t="s">
        <v>13179</v>
      </c>
      <c r="E85" t="s">
        <v>13186</v>
      </c>
      <c r="F85">
        <v>103</v>
      </c>
      <c r="G85">
        <v>3046442</v>
      </c>
      <c r="H85" t="s">
        <v>13187</v>
      </c>
      <c r="J85" s="54" t="s">
        <v>6052</v>
      </c>
      <c r="K85" s="54">
        <v>0</v>
      </c>
      <c r="L85" s="22" t="s">
        <v>104</v>
      </c>
      <c r="M85" s="22" t="s">
        <v>36866</v>
      </c>
    </row>
    <row r="86" spans="1:13" x14ac:dyDescent="0.75">
      <c r="A86" t="s">
        <v>13226</v>
      </c>
      <c r="B86" t="s">
        <v>13178</v>
      </c>
      <c r="C86" t="s">
        <v>7190</v>
      </c>
      <c r="D86" t="s">
        <v>13179</v>
      </c>
      <c r="E86" t="s">
        <v>13227</v>
      </c>
      <c r="F86">
        <v>299</v>
      </c>
      <c r="G86">
        <v>3045360</v>
      </c>
      <c r="H86" t="s">
        <v>13228</v>
      </c>
      <c r="J86" s="54" t="s">
        <v>6052</v>
      </c>
      <c r="K86" s="54">
        <v>0</v>
      </c>
      <c r="L86" s="22" t="s">
        <v>104</v>
      </c>
      <c r="M86" s="22" t="s">
        <v>36866</v>
      </c>
    </row>
    <row r="87" spans="1:13" x14ac:dyDescent="0.75">
      <c r="A87" t="s">
        <v>13177</v>
      </c>
      <c r="B87" t="s">
        <v>13178</v>
      </c>
      <c r="C87" t="s">
        <v>7190</v>
      </c>
      <c r="D87" t="s">
        <v>13179</v>
      </c>
      <c r="E87" t="s">
        <v>13180</v>
      </c>
      <c r="F87">
        <v>119</v>
      </c>
      <c r="G87">
        <v>3113698</v>
      </c>
      <c r="H87" t="s">
        <v>13181</v>
      </c>
      <c r="J87" s="54" t="s">
        <v>6052</v>
      </c>
      <c r="K87" s="54">
        <v>0</v>
      </c>
      <c r="L87" s="22" t="s">
        <v>104</v>
      </c>
      <c r="M87" s="22" t="s">
        <v>36866</v>
      </c>
    </row>
    <row r="88" spans="1:13" x14ac:dyDescent="0.75">
      <c r="A88" t="s">
        <v>13235</v>
      </c>
      <c r="B88" t="s">
        <v>12860</v>
      </c>
      <c r="C88" t="s">
        <v>7190</v>
      </c>
      <c r="D88" t="s">
        <v>12861</v>
      </c>
      <c r="E88" t="s">
        <v>13236</v>
      </c>
      <c r="F88">
        <v>154</v>
      </c>
      <c r="G88">
        <v>3283870</v>
      </c>
      <c r="H88" t="s">
        <v>13237</v>
      </c>
      <c r="J88" s="54" t="s">
        <v>6052</v>
      </c>
      <c r="K88" s="54">
        <v>0</v>
      </c>
      <c r="L88" s="22" t="s">
        <v>104</v>
      </c>
      <c r="M88" s="22" t="s">
        <v>36852</v>
      </c>
    </row>
    <row r="89" spans="1:13" x14ac:dyDescent="0.75">
      <c r="A89" t="s">
        <v>13203</v>
      </c>
      <c r="B89" t="s">
        <v>12860</v>
      </c>
      <c r="C89" t="s">
        <v>7190</v>
      </c>
      <c r="D89" t="s">
        <v>12861</v>
      </c>
      <c r="E89" t="s">
        <v>13204</v>
      </c>
      <c r="F89">
        <v>104</v>
      </c>
      <c r="G89">
        <v>3266793</v>
      </c>
      <c r="H89" t="s">
        <v>13205</v>
      </c>
      <c r="J89" s="54" t="s">
        <v>6052</v>
      </c>
      <c r="K89" s="54">
        <v>0</v>
      </c>
      <c r="L89" s="22" t="s">
        <v>104</v>
      </c>
      <c r="M89" s="22" t="s">
        <v>36852</v>
      </c>
    </row>
    <row r="90" spans="1:13" x14ac:dyDescent="0.75">
      <c r="A90" t="s">
        <v>13194</v>
      </c>
      <c r="B90" t="s">
        <v>12860</v>
      </c>
      <c r="C90" t="s">
        <v>7190</v>
      </c>
      <c r="D90" t="s">
        <v>12861</v>
      </c>
      <c r="E90" t="s">
        <v>13195</v>
      </c>
      <c r="F90">
        <v>132</v>
      </c>
      <c r="G90">
        <v>3278855</v>
      </c>
      <c r="H90" t="s">
        <v>13196</v>
      </c>
      <c r="J90" s="54" t="s">
        <v>6052</v>
      </c>
      <c r="K90" s="54">
        <v>0</v>
      </c>
      <c r="L90" s="22" t="s">
        <v>104</v>
      </c>
      <c r="M90" s="22" t="s">
        <v>36852</v>
      </c>
    </row>
    <row r="91" spans="1:13" x14ac:dyDescent="0.75">
      <c r="A91" t="s">
        <v>12859</v>
      </c>
      <c r="B91" t="s">
        <v>12860</v>
      </c>
      <c r="C91" t="s">
        <v>7190</v>
      </c>
      <c r="D91" t="s">
        <v>12861</v>
      </c>
      <c r="E91" t="s">
        <v>12862</v>
      </c>
      <c r="F91">
        <v>252</v>
      </c>
      <c r="G91">
        <v>3272120</v>
      </c>
      <c r="H91" t="s">
        <v>12863</v>
      </c>
      <c r="J91" s="54" t="s">
        <v>6052</v>
      </c>
      <c r="K91" s="54">
        <v>0</v>
      </c>
      <c r="L91" s="22" t="s">
        <v>104</v>
      </c>
      <c r="M91" s="22" t="s">
        <v>36852</v>
      </c>
    </row>
    <row r="92" spans="1:13" x14ac:dyDescent="0.75">
      <c r="A92" t="s">
        <v>13191</v>
      </c>
      <c r="B92" t="s">
        <v>12860</v>
      </c>
      <c r="C92" t="s">
        <v>7190</v>
      </c>
      <c r="D92" t="s">
        <v>12861</v>
      </c>
      <c r="E92" t="s">
        <v>13192</v>
      </c>
      <c r="F92">
        <v>107</v>
      </c>
      <c r="G92">
        <v>3243259</v>
      </c>
      <c r="H92" t="s">
        <v>13193</v>
      </c>
      <c r="J92" s="54" t="s">
        <v>6052</v>
      </c>
      <c r="K92" s="54">
        <v>0</v>
      </c>
      <c r="L92" s="22" t="s">
        <v>104</v>
      </c>
      <c r="M92" s="22" t="s">
        <v>36852</v>
      </c>
    </row>
    <row r="93" spans="1:13" x14ac:dyDescent="0.75">
      <c r="A93" t="s">
        <v>13188</v>
      </c>
      <c r="B93" t="s">
        <v>12860</v>
      </c>
      <c r="C93" t="s">
        <v>7190</v>
      </c>
      <c r="D93" t="s">
        <v>12861</v>
      </c>
      <c r="E93" t="s">
        <v>13189</v>
      </c>
      <c r="F93">
        <v>103</v>
      </c>
      <c r="G93">
        <v>3250757</v>
      </c>
      <c r="H93" t="s">
        <v>13190</v>
      </c>
      <c r="J93" s="54" t="s">
        <v>6052</v>
      </c>
      <c r="K93" s="54">
        <v>0</v>
      </c>
      <c r="L93" s="22" t="s">
        <v>104</v>
      </c>
      <c r="M93" s="22" t="s">
        <v>36852</v>
      </c>
    </row>
    <row r="94" spans="1:13" x14ac:dyDescent="0.75">
      <c r="A94" t="s">
        <v>26705</v>
      </c>
      <c r="B94" t="s">
        <v>12860</v>
      </c>
      <c r="C94" t="s">
        <v>7190</v>
      </c>
      <c r="D94" t="s">
        <v>12861</v>
      </c>
      <c r="E94" t="s">
        <v>26706</v>
      </c>
      <c r="F94">
        <v>2</v>
      </c>
      <c r="G94">
        <v>3445169</v>
      </c>
      <c r="H94" t="s">
        <v>26707</v>
      </c>
      <c r="J94" s="54" t="s">
        <v>6052</v>
      </c>
      <c r="K94" s="54">
        <v>0</v>
      </c>
      <c r="L94" s="22" t="s">
        <v>104</v>
      </c>
      <c r="M94" s="22" t="s">
        <v>36852</v>
      </c>
    </row>
    <row r="95" spans="1:13" x14ac:dyDescent="0.75">
      <c r="A95" t="s">
        <v>13206</v>
      </c>
      <c r="B95" t="s">
        <v>12860</v>
      </c>
      <c r="C95" t="s">
        <v>7190</v>
      </c>
      <c r="D95" t="s">
        <v>12861</v>
      </c>
      <c r="E95" t="s">
        <v>13207</v>
      </c>
      <c r="F95">
        <v>82</v>
      </c>
      <c r="G95">
        <v>3282203</v>
      </c>
      <c r="H95" t="s">
        <v>13208</v>
      </c>
      <c r="J95" s="54" t="s">
        <v>6052</v>
      </c>
      <c r="K95" s="54">
        <v>0</v>
      </c>
      <c r="L95" s="22" t="s">
        <v>104</v>
      </c>
      <c r="M95" s="22" t="s">
        <v>36852</v>
      </c>
    </row>
    <row r="96" spans="1:13" x14ac:dyDescent="0.75">
      <c r="A96" t="s">
        <v>29035</v>
      </c>
      <c r="B96" t="s">
        <v>12860</v>
      </c>
      <c r="C96" t="s">
        <v>7190</v>
      </c>
      <c r="D96" t="s">
        <v>12861</v>
      </c>
      <c r="E96" t="s">
        <v>29036</v>
      </c>
      <c r="F96">
        <v>181</v>
      </c>
      <c r="G96">
        <v>3114517</v>
      </c>
      <c r="H96" t="s">
        <v>29037</v>
      </c>
      <c r="J96" s="54" t="s">
        <v>6052</v>
      </c>
      <c r="K96" s="54">
        <v>0</v>
      </c>
      <c r="L96" s="22" t="s">
        <v>104</v>
      </c>
      <c r="M96" s="22" t="s">
        <v>36852</v>
      </c>
    </row>
    <row r="97" spans="1:13" x14ac:dyDescent="0.75">
      <c r="A97" t="s">
        <v>26689</v>
      </c>
      <c r="B97" t="s">
        <v>12860</v>
      </c>
      <c r="C97" t="s">
        <v>7190</v>
      </c>
      <c r="D97" t="s">
        <v>12861</v>
      </c>
      <c r="E97" t="s">
        <v>26690</v>
      </c>
      <c r="F97">
        <v>106</v>
      </c>
      <c r="G97">
        <v>3272606</v>
      </c>
      <c r="H97" t="s">
        <v>26691</v>
      </c>
      <c r="J97" s="54" t="s">
        <v>6052</v>
      </c>
      <c r="K97" s="54">
        <v>0</v>
      </c>
      <c r="L97" s="22" t="s">
        <v>104</v>
      </c>
      <c r="M97" s="22" t="s">
        <v>36852</v>
      </c>
    </row>
    <row r="98" spans="1:13" x14ac:dyDescent="0.75">
      <c r="A98" t="s">
        <v>13197</v>
      </c>
      <c r="B98" t="s">
        <v>12860</v>
      </c>
      <c r="C98" t="s">
        <v>7190</v>
      </c>
      <c r="D98" t="s">
        <v>12861</v>
      </c>
      <c r="E98" t="s">
        <v>13198</v>
      </c>
      <c r="F98">
        <v>104</v>
      </c>
      <c r="G98">
        <v>3229440</v>
      </c>
      <c r="H98" t="s">
        <v>13199</v>
      </c>
      <c r="J98" s="54" t="s">
        <v>6052</v>
      </c>
      <c r="K98" s="54">
        <v>0</v>
      </c>
      <c r="L98" s="22" t="s">
        <v>104</v>
      </c>
      <c r="M98" s="22" t="s">
        <v>36852</v>
      </c>
    </row>
    <row r="99" spans="1:13" x14ac:dyDescent="0.75">
      <c r="A99" t="s">
        <v>1680</v>
      </c>
      <c r="B99" t="s">
        <v>1674</v>
      </c>
      <c r="C99" t="s">
        <v>7190</v>
      </c>
      <c r="D99" t="s">
        <v>13174</v>
      </c>
      <c r="E99" t="s">
        <v>13212</v>
      </c>
      <c r="F99">
        <v>58</v>
      </c>
      <c r="G99">
        <v>2976384</v>
      </c>
      <c r="H99" t="s">
        <v>13213</v>
      </c>
      <c r="J99" s="54" t="s">
        <v>13212</v>
      </c>
      <c r="K99" s="54">
        <v>1</v>
      </c>
      <c r="L99" s="22" t="s">
        <v>104</v>
      </c>
      <c r="M99" s="22" t="s">
        <v>36818</v>
      </c>
    </row>
    <row r="100" spans="1:13" x14ac:dyDescent="0.75">
      <c r="A100" t="s">
        <v>4992</v>
      </c>
      <c r="B100" t="s">
        <v>1674</v>
      </c>
      <c r="C100" t="s">
        <v>7190</v>
      </c>
      <c r="D100" t="s">
        <v>13174</v>
      </c>
      <c r="E100" t="s">
        <v>26411</v>
      </c>
      <c r="F100">
        <v>52</v>
      </c>
      <c r="G100">
        <v>2998464</v>
      </c>
      <c r="H100" t="s">
        <v>26412</v>
      </c>
      <c r="J100" s="54" t="s">
        <v>26411</v>
      </c>
      <c r="K100" s="54">
        <v>1</v>
      </c>
      <c r="L100" s="22" t="s">
        <v>104</v>
      </c>
      <c r="M100" s="22" t="s">
        <v>36818</v>
      </c>
    </row>
    <row r="101" spans="1:13" x14ac:dyDescent="0.75">
      <c r="A101" t="s">
        <v>5800</v>
      </c>
      <c r="B101" t="s">
        <v>1674</v>
      </c>
      <c r="C101" t="s">
        <v>7190</v>
      </c>
      <c r="D101" t="s">
        <v>13174</v>
      </c>
      <c r="E101" t="s">
        <v>29751</v>
      </c>
      <c r="F101">
        <v>75</v>
      </c>
      <c r="G101">
        <v>3040545</v>
      </c>
      <c r="H101" t="s">
        <v>29752</v>
      </c>
      <c r="J101" s="54" t="s">
        <v>30844</v>
      </c>
      <c r="K101" s="54">
        <v>1</v>
      </c>
      <c r="L101" s="22" t="s">
        <v>104</v>
      </c>
      <c r="M101" s="22" t="s">
        <v>36818</v>
      </c>
    </row>
    <row r="102" spans="1:13" x14ac:dyDescent="0.75">
      <c r="A102" t="s">
        <v>5507</v>
      </c>
      <c r="B102" t="s">
        <v>1674</v>
      </c>
      <c r="C102" t="s">
        <v>7190</v>
      </c>
      <c r="D102" t="s">
        <v>13174</v>
      </c>
      <c r="E102" t="s">
        <v>29072</v>
      </c>
      <c r="F102">
        <v>240</v>
      </c>
      <c r="G102">
        <v>2600283</v>
      </c>
      <c r="H102" t="s">
        <v>29073</v>
      </c>
      <c r="J102" s="54" t="s">
        <v>30844</v>
      </c>
      <c r="K102" s="54">
        <v>1</v>
      </c>
      <c r="L102" s="22" t="s">
        <v>104</v>
      </c>
      <c r="M102" s="22" t="s">
        <v>36818</v>
      </c>
    </row>
    <row r="103" spans="1:13" x14ac:dyDescent="0.75">
      <c r="A103" t="s">
        <v>1673</v>
      </c>
      <c r="B103" t="s">
        <v>1674</v>
      </c>
      <c r="C103" t="s">
        <v>7190</v>
      </c>
      <c r="D103" t="s">
        <v>13174</v>
      </c>
      <c r="E103" t="s">
        <v>13175</v>
      </c>
      <c r="F103">
        <v>75</v>
      </c>
      <c r="G103">
        <v>3025390</v>
      </c>
      <c r="H103" t="s">
        <v>13176</v>
      </c>
      <c r="J103" s="54" t="s">
        <v>13175</v>
      </c>
      <c r="K103" s="54">
        <v>1</v>
      </c>
      <c r="L103" s="22" t="s">
        <v>104</v>
      </c>
      <c r="M103" s="22" t="s">
        <v>36818</v>
      </c>
    </row>
    <row r="104" spans="1:13" x14ac:dyDescent="0.75">
      <c r="A104" t="s">
        <v>2790</v>
      </c>
      <c r="B104" t="s">
        <v>1674</v>
      </c>
      <c r="C104" t="s">
        <v>7190</v>
      </c>
      <c r="D104" t="s">
        <v>13174</v>
      </c>
      <c r="E104" t="s">
        <v>18739</v>
      </c>
      <c r="F104">
        <v>1</v>
      </c>
      <c r="G104">
        <v>3040651</v>
      </c>
      <c r="H104" t="s">
        <v>18740</v>
      </c>
      <c r="J104" s="54" t="s">
        <v>18739</v>
      </c>
      <c r="K104" s="54">
        <v>1</v>
      </c>
      <c r="L104" s="22" t="s">
        <v>104</v>
      </c>
      <c r="M104" s="22" t="s">
        <v>36818</v>
      </c>
    </row>
    <row r="105" spans="1:13" x14ac:dyDescent="0.75">
      <c r="A105" t="s">
        <v>4968</v>
      </c>
      <c r="B105" t="s">
        <v>1674</v>
      </c>
      <c r="C105" t="s">
        <v>7190</v>
      </c>
      <c r="D105" t="s">
        <v>13174</v>
      </c>
      <c r="E105" t="s">
        <v>26207</v>
      </c>
      <c r="F105">
        <v>37</v>
      </c>
      <c r="G105">
        <v>3006394</v>
      </c>
      <c r="H105" t="s">
        <v>26208</v>
      </c>
      <c r="J105" s="54" t="s">
        <v>26207</v>
      </c>
      <c r="K105" s="54">
        <v>1</v>
      </c>
      <c r="L105" s="22" t="s">
        <v>104</v>
      </c>
      <c r="M105" s="22" t="s">
        <v>36818</v>
      </c>
    </row>
    <row r="106" spans="1:13" x14ac:dyDescent="0.75">
      <c r="A106" t="s">
        <v>5033</v>
      </c>
      <c r="B106" t="s">
        <v>1674</v>
      </c>
      <c r="C106" t="s">
        <v>7190</v>
      </c>
      <c r="D106" t="s">
        <v>13174</v>
      </c>
      <c r="E106" t="s">
        <v>26616</v>
      </c>
      <c r="F106">
        <v>33</v>
      </c>
      <c r="G106">
        <v>3003454</v>
      </c>
      <c r="H106" t="s">
        <v>26617</v>
      </c>
      <c r="J106" s="54" t="s">
        <v>26616</v>
      </c>
      <c r="K106" s="54">
        <v>1</v>
      </c>
      <c r="L106" s="22" t="s">
        <v>104</v>
      </c>
      <c r="M106" s="22" t="s">
        <v>36818</v>
      </c>
    </row>
    <row r="107" spans="1:13" x14ac:dyDescent="0.75">
      <c r="A107" t="s">
        <v>5306</v>
      </c>
      <c r="B107" t="s">
        <v>1674</v>
      </c>
      <c r="C107" t="s">
        <v>7190</v>
      </c>
      <c r="D107" t="s">
        <v>13174</v>
      </c>
      <c r="E107" t="s">
        <v>28143</v>
      </c>
      <c r="F107">
        <v>20</v>
      </c>
      <c r="G107">
        <v>3147367</v>
      </c>
      <c r="H107" t="s">
        <v>28144</v>
      </c>
      <c r="J107" s="54" t="s">
        <v>30842</v>
      </c>
      <c r="K107" s="54">
        <v>1</v>
      </c>
      <c r="L107" s="22" t="s">
        <v>104</v>
      </c>
      <c r="M107" s="22" t="s">
        <v>36818</v>
      </c>
    </row>
    <row r="108" spans="1:13" x14ac:dyDescent="0.75">
      <c r="A108" t="s">
        <v>5614</v>
      </c>
      <c r="B108" t="s">
        <v>1687</v>
      </c>
      <c r="C108" t="s">
        <v>7190</v>
      </c>
      <c r="D108" t="s">
        <v>13229</v>
      </c>
      <c r="E108" t="s">
        <v>29305</v>
      </c>
      <c r="F108">
        <v>20</v>
      </c>
      <c r="G108">
        <v>2802136</v>
      </c>
      <c r="H108" t="s">
        <v>29306</v>
      </c>
      <c r="J108" s="54" t="s">
        <v>30844</v>
      </c>
      <c r="K108" s="54">
        <v>1</v>
      </c>
      <c r="L108" s="22" t="s">
        <v>104</v>
      </c>
      <c r="M108" s="22" t="s">
        <v>36825</v>
      </c>
    </row>
    <row r="109" spans="1:13" x14ac:dyDescent="0.75">
      <c r="A109" t="s">
        <v>2300</v>
      </c>
      <c r="B109" t="s">
        <v>1687</v>
      </c>
      <c r="C109" t="s">
        <v>7190</v>
      </c>
      <c r="D109" t="s">
        <v>13229</v>
      </c>
      <c r="E109" t="s">
        <v>16736</v>
      </c>
      <c r="F109">
        <v>1</v>
      </c>
      <c r="G109">
        <v>3097489</v>
      </c>
      <c r="H109" t="s">
        <v>16737</v>
      </c>
      <c r="J109" s="54" t="s">
        <v>16736</v>
      </c>
      <c r="K109" s="54">
        <v>1</v>
      </c>
      <c r="L109" s="22" t="s">
        <v>104</v>
      </c>
      <c r="M109" s="22" t="s">
        <v>36825</v>
      </c>
    </row>
    <row r="110" spans="1:13" x14ac:dyDescent="0.75">
      <c r="A110" t="s">
        <v>1686</v>
      </c>
      <c r="B110" t="s">
        <v>1687</v>
      </c>
      <c r="C110" t="s">
        <v>7190</v>
      </c>
      <c r="D110" t="s">
        <v>13229</v>
      </c>
      <c r="E110" t="s">
        <v>13230</v>
      </c>
      <c r="F110">
        <v>55</v>
      </c>
      <c r="G110">
        <v>2966880</v>
      </c>
      <c r="H110" t="s">
        <v>13231</v>
      </c>
      <c r="J110" s="54" t="s">
        <v>13230</v>
      </c>
      <c r="K110" s="54">
        <v>1</v>
      </c>
      <c r="L110" s="22" t="s">
        <v>104</v>
      </c>
      <c r="M110" s="22" t="s">
        <v>36825</v>
      </c>
    </row>
    <row r="111" spans="1:13" x14ac:dyDescent="0.75">
      <c r="A111" t="s">
        <v>1887</v>
      </c>
      <c r="B111" t="s">
        <v>1888</v>
      </c>
      <c r="C111" t="s">
        <v>7190</v>
      </c>
      <c r="D111" t="s">
        <v>7191</v>
      </c>
      <c r="E111" t="s">
        <v>14273</v>
      </c>
      <c r="F111">
        <v>32</v>
      </c>
      <c r="G111">
        <v>3015022</v>
      </c>
      <c r="H111" t="s">
        <v>14274</v>
      </c>
      <c r="J111" s="54" t="s">
        <v>14273</v>
      </c>
      <c r="K111" s="54">
        <v>1</v>
      </c>
      <c r="L111" s="22" t="s">
        <v>104</v>
      </c>
      <c r="M111" s="22" t="s">
        <v>36819</v>
      </c>
    </row>
    <row r="112" spans="1:13" x14ac:dyDescent="0.75">
      <c r="A112" t="s">
        <v>3158</v>
      </c>
      <c r="B112" t="s">
        <v>1888</v>
      </c>
      <c r="C112" t="s">
        <v>7190</v>
      </c>
      <c r="D112" t="s">
        <v>7191</v>
      </c>
      <c r="E112" t="s">
        <v>20175</v>
      </c>
      <c r="F112">
        <v>1</v>
      </c>
      <c r="G112">
        <v>3024208</v>
      </c>
      <c r="H112" t="s">
        <v>20176</v>
      </c>
      <c r="J112" s="54" t="s">
        <v>20175</v>
      </c>
      <c r="K112" s="54">
        <v>1</v>
      </c>
      <c r="L112" s="22" t="s">
        <v>104</v>
      </c>
      <c r="M112" s="22" t="s">
        <v>36819</v>
      </c>
    </row>
    <row r="113" spans="1:13" x14ac:dyDescent="0.75">
      <c r="A113" t="s">
        <v>13232</v>
      </c>
      <c r="B113" t="s">
        <v>1888</v>
      </c>
      <c r="C113" t="s">
        <v>7190</v>
      </c>
      <c r="D113" t="s">
        <v>7191</v>
      </c>
      <c r="E113" t="s">
        <v>13233</v>
      </c>
      <c r="F113">
        <v>44</v>
      </c>
      <c r="G113">
        <v>3104690</v>
      </c>
      <c r="H113" t="s">
        <v>13234</v>
      </c>
      <c r="J113" s="54" t="s">
        <v>6052</v>
      </c>
      <c r="K113" s="54">
        <v>0</v>
      </c>
      <c r="L113" s="22" t="s">
        <v>104</v>
      </c>
      <c r="M113" s="22" t="s">
        <v>36819</v>
      </c>
    </row>
    <row r="114" spans="1:13" x14ac:dyDescent="0.75">
      <c r="A114" t="s">
        <v>26681</v>
      </c>
      <c r="B114" t="s">
        <v>1888</v>
      </c>
      <c r="C114" t="s">
        <v>7190</v>
      </c>
      <c r="D114" t="s">
        <v>7191</v>
      </c>
      <c r="E114" t="s">
        <v>26682</v>
      </c>
      <c r="F114">
        <v>82</v>
      </c>
      <c r="G114">
        <v>3080381</v>
      </c>
      <c r="H114" t="s">
        <v>26683</v>
      </c>
      <c r="J114" s="54" t="s">
        <v>6052</v>
      </c>
      <c r="K114" s="54">
        <v>0</v>
      </c>
      <c r="L114" s="22" t="s">
        <v>104</v>
      </c>
      <c r="M114" s="22" t="s">
        <v>36819</v>
      </c>
    </row>
    <row r="115" spans="1:13" x14ac:dyDescent="0.75">
      <c r="A115" t="s">
        <v>7189</v>
      </c>
      <c r="B115" t="s">
        <v>1888</v>
      </c>
      <c r="C115" t="s">
        <v>7190</v>
      </c>
      <c r="D115" t="s">
        <v>7191</v>
      </c>
      <c r="E115" t="s">
        <v>7192</v>
      </c>
      <c r="F115">
        <v>86</v>
      </c>
      <c r="G115">
        <v>3134496</v>
      </c>
      <c r="H115" t="s">
        <v>7193</v>
      </c>
      <c r="J115" s="54" t="s">
        <v>6052</v>
      </c>
      <c r="K115" s="54">
        <v>0</v>
      </c>
      <c r="L115" s="22" t="s">
        <v>104</v>
      </c>
      <c r="M115" s="22" t="s">
        <v>36819</v>
      </c>
    </row>
    <row r="116" spans="1:13" x14ac:dyDescent="0.75">
      <c r="A116" t="s">
        <v>17010</v>
      </c>
      <c r="B116" t="s">
        <v>1888</v>
      </c>
      <c r="C116" t="s">
        <v>7190</v>
      </c>
      <c r="D116" t="s">
        <v>7191</v>
      </c>
      <c r="E116" t="s">
        <v>17011</v>
      </c>
      <c r="F116">
        <v>25</v>
      </c>
      <c r="G116">
        <v>3168954</v>
      </c>
      <c r="H116" t="s">
        <v>17012</v>
      </c>
      <c r="J116" s="54" t="s">
        <v>6052</v>
      </c>
      <c r="K116" s="54">
        <v>0</v>
      </c>
      <c r="L116" s="22" t="s">
        <v>104</v>
      </c>
      <c r="M116" s="22" t="s">
        <v>36819</v>
      </c>
    </row>
    <row r="117" spans="1:13" x14ac:dyDescent="0.75">
      <c r="A117" t="s">
        <v>26613</v>
      </c>
      <c r="B117" t="s">
        <v>1888</v>
      </c>
      <c r="C117" t="s">
        <v>7190</v>
      </c>
      <c r="D117" t="s">
        <v>7191</v>
      </c>
      <c r="E117" t="s">
        <v>26614</v>
      </c>
      <c r="F117">
        <v>39</v>
      </c>
      <c r="G117">
        <v>3159402</v>
      </c>
      <c r="H117" t="s">
        <v>26615</v>
      </c>
      <c r="J117" s="54" t="s">
        <v>6052</v>
      </c>
      <c r="K117" s="54">
        <v>0</v>
      </c>
      <c r="L117" s="22" t="s">
        <v>104</v>
      </c>
      <c r="M117" s="22" t="s">
        <v>36819</v>
      </c>
    </row>
    <row r="118" spans="1:13" x14ac:dyDescent="0.75">
      <c r="A118" t="s">
        <v>29248</v>
      </c>
      <c r="B118" t="s">
        <v>1888</v>
      </c>
      <c r="C118" t="s">
        <v>7190</v>
      </c>
      <c r="D118" t="s">
        <v>7191</v>
      </c>
      <c r="E118" t="s">
        <v>29249</v>
      </c>
      <c r="F118">
        <v>50</v>
      </c>
      <c r="G118">
        <v>3069335</v>
      </c>
      <c r="H118" t="s">
        <v>29250</v>
      </c>
      <c r="J118" s="54" t="s">
        <v>6052</v>
      </c>
      <c r="K118" s="54">
        <v>0</v>
      </c>
      <c r="L118" s="22" t="s">
        <v>104</v>
      </c>
      <c r="M118" s="22" t="s">
        <v>36819</v>
      </c>
    </row>
    <row r="119" spans="1:13" x14ac:dyDescent="0.75">
      <c r="A119" t="s">
        <v>7944</v>
      </c>
      <c r="B119" t="s">
        <v>1888</v>
      </c>
      <c r="C119" t="s">
        <v>7190</v>
      </c>
      <c r="D119" t="s">
        <v>7191</v>
      </c>
      <c r="E119" t="s">
        <v>7945</v>
      </c>
      <c r="F119">
        <v>7</v>
      </c>
      <c r="G119">
        <v>3133330</v>
      </c>
      <c r="H119" t="s">
        <v>7946</v>
      </c>
      <c r="J119" s="54" t="s">
        <v>6052</v>
      </c>
      <c r="K119" s="54">
        <v>0</v>
      </c>
      <c r="L119" s="22" t="s">
        <v>104</v>
      </c>
      <c r="M119" s="22" t="s">
        <v>36819</v>
      </c>
    </row>
    <row r="120" spans="1:13" x14ac:dyDescent="0.75">
      <c r="A120" t="s">
        <v>20065</v>
      </c>
      <c r="B120" t="s">
        <v>1888</v>
      </c>
      <c r="C120" t="s">
        <v>7190</v>
      </c>
      <c r="D120" t="s">
        <v>7191</v>
      </c>
      <c r="E120" t="s">
        <v>20066</v>
      </c>
      <c r="F120">
        <v>2</v>
      </c>
      <c r="G120">
        <v>3190396</v>
      </c>
      <c r="H120" t="s">
        <v>20067</v>
      </c>
      <c r="J120" s="54" t="s">
        <v>6052</v>
      </c>
      <c r="K120" s="54">
        <v>0</v>
      </c>
      <c r="L120" s="22" t="s">
        <v>104</v>
      </c>
      <c r="M120" s="22" t="s">
        <v>36819</v>
      </c>
    </row>
    <row r="121" spans="1:13" x14ac:dyDescent="0.75">
      <c r="A121" t="s">
        <v>13214</v>
      </c>
      <c r="B121" t="s">
        <v>1888</v>
      </c>
      <c r="C121" t="s">
        <v>7190</v>
      </c>
      <c r="D121" t="s">
        <v>7191</v>
      </c>
      <c r="E121" t="s">
        <v>13215</v>
      </c>
      <c r="F121">
        <v>57</v>
      </c>
      <c r="G121">
        <v>3039485</v>
      </c>
      <c r="H121" t="s">
        <v>13216</v>
      </c>
      <c r="J121" s="54" t="s">
        <v>6052</v>
      </c>
      <c r="K121" s="54">
        <v>0</v>
      </c>
      <c r="L121" s="22" t="s">
        <v>104</v>
      </c>
      <c r="M121" s="22" t="s">
        <v>36819</v>
      </c>
    </row>
    <row r="122" spans="1:13" x14ac:dyDescent="0.75">
      <c r="A122" t="s">
        <v>12613</v>
      </c>
      <c r="B122" t="s">
        <v>1888</v>
      </c>
      <c r="C122" t="s">
        <v>7190</v>
      </c>
      <c r="D122" t="s">
        <v>7191</v>
      </c>
      <c r="E122" t="s">
        <v>12614</v>
      </c>
      <c r="F122">
        <v>148</v>
      </c>
      <c r="G122">
        <v>3046742</v>
      </c>
      <c r="H122" t="s">
        <v>12615</v>
      </c>
      <c r="J122" s="54" t="s">
        <v>6052</v>
      </c>
      <c r="K122" s="54">
        <v>0</v>
      </c>
      <c r="L122" s="22" t="s">
        <v>104</v>
      </c>
      <c r="M122" s="22" t="s">
        <v>36819</v>
      </c>
    </row>
    <row r="123" spans="1:13" x14ac:dyDescent="0.75">
      <c r="A123" t="s">
        <v>30142</v>
      </c>
      <c r="B123" t="s">
        <v>1888</v>
      </c>
      <c r="C123" t="s">
        <v>7190</v>
      </c>
      <c r="D123" t="s">
        <v>7191</v>
      </c>
      <c r="E123" t="s">
        <v>30143</v>
      </c>
      <c r="F123">
        <v>252</v>
      </c>
      <c r="G123">
        <v>3042170</v>
      </c>
      <c r="H123" t="s">
        <v>30144</v>
      </c>
      <c r="J123" s="54" t="s">
        <v>6052</v>
      </c>
      <c r="K123" s="54">
        <v>0</v>
      </c>
      <c r="L123" s="22" t="s">
        <v>104</v>
      </c>
      <c r="M123" s="22" t="s">
        <v>36819</v>
      </c>
    </row>
    <row r="124" spans="1:13" x14ac:dyDescent="0.75">
      <c r="A124" t="s">
        <v>13209</v>
      </c>
      <c r="B124" t="s">
        <v>1888</v>
      </c>
      <c r="C124" t="s">
        <v>7190</v>
      </c>
      <c r="D124" t="s">
        <v>7191</v>
      </c>
      <c r="E124" t="s">
        <v>13210</v>
      </c>
      <c r="F124">
        <v>108</v>
      </c>
      <c r="G124">
        <v>3115162</v>
      </c>
      <c r="H124" t="s">
        <v>13211</v>
      </c>
      <c r="J124" s="54" t="s">
        <v>6052</v>
      </c>
      <c r="K124" s="54">
        <v>0</v>
      </c>
      <c r="L124" s="22" t="s">
        <v>104</v>
      </c>
      <c r="M124" s="22" t="s">
        <v>36819</v>
      </c>
    </row>
    <row r="125" spans="1:13" x14ac:dyDescent="0.75">
      <c r="A125" t="s">
        <v>26669</v>
      </c>
      <c r="B125" t="s">
        <v>1888</v>
      </c>
      <c r="C125" t="s">
        <v>7190</v>
      </c>
      <c r="D125" t="s">
        <v>7191</v>
      </c>
      <c r="E125" t="s">
        <v>11940</v>
      </c>
      <c r="F125">
        <v>40</v>
      </c>
      <c r="G125">
        <v>3163776</v>
      </c>
      <c r="H125" t="s">
        <v>26670</v>
      </c>
      <c r="J125" s="54" t="s">
        <v>6052</v>
      </c>
      <c r="K125" s="54">
        <v>0</v>
      </c>
      <c r="L125" s="22" t="s">
        <v>104</v>
      </c>
      <c r="M125" s="22" t="s">
        <v>36819</v>
      </c>
    </row>
    <row r="126" spans="1:13" x14ac:dyDescent="0.75">
      <c r="A126" t="s">
        <v>26702</v>
      </c>
      <c r="B126" t="s">
        <v>1888</v>
      </c>
      <c r="C126" t="s">
        <v>7190</v>
      </c>
      <c r="D126" t="s">
        <v>7191</v>
      </c>
      <c r="E126" t="s">
        <v>26703</v>
      </c>
      <c r="F126">
        <v>56</v>
      </c>
      <c r="G126">
        <v>3146087</v>
      </c>
      <c r="H126" t="s">
        <v>26704</v>
      </c>
      <c r="J126" s="54" t="s">
        <v>6052</v>
      </c>
      <c r="K126" s="54">
        <v>0</v>
      </c>
      <c r="L126" s="22" t="s">
        <v>104</v>
      </c>
      <c r="M126" s="22" t="s">
        <v>36819</v>
      </c>
    </row>
    <row r="127" spans="1:13" x14ac:dyDescent="0.75">
      <c r="A127" t="s">
        <v>26663</v>
      </c>
      <c r="B127" t="s">
        <v>1888</v>
      </c>
      <c r="C127" t="s">
        <v>7190</v>
      </c>
      <c r="D127" t="s">
        <v>7191</v>
      </c>
      <c r="E127" t="s">
        <v>26664</v>
      </c>
      <c r="F127">
        <v>167</v>
      </c>
      <c r="G127">
        <v>3094922</v>
      </c>
      <c r="H127" t="s">
        <v>26665</v>
      </c>
      <c r="J127" s="54" t="s">
        <v>6052</v>
      </c>
      <c r="K127" s="54">
        <v>0</v>
      </c>
      <c r="L127" s="22" t="s">
        <v>104</v>
      </c>
      <c r="M127" s="22" t="s">
        <v>36819</v>
      </c>
    </row>
    <row r="128" spans="1:13" x14ac:dyDescent="0.75">
      <c r="A128" t="s">
        <v>26674</v>
      </c>
      <c r="B128" t="s">
        <v>1888</v>
      </c>
      <c r="C128" t="s">
        <v>7190</v>
      </c>
      <c r="D128" t="s">
        <v>7191</v>
      </c>
      <c r="E128" t="s">
        <v>26675</v>
      </c>
      <c r="F128">
        <v>69</v>
      </c>
      <c r="G128">
        <v>3114730</v>
      </c>
      <c r="H128" t="s">
        <v>26676</v>
      </c>
      <c r="J128" s="54" t="s">
        <v>6052</v>
      </c>
      <c r="K128" s="54">
        <v>0</v>
      </c>
      <c r="L128" s="22" t="s">
        <v>104</v>
      </c>
      <c r="M128" s="22" t="s">
        <v>36819</v>
      </c>
    </row>
    <row r="129" spans="1:13" x14ac:dyDescent="0.75">
      <c r="A129" t="s">
        <v>24748</v>
      </c>
      <c r="B129" t="s">
        <v>1888</v>
      </c>
      <c r="C129" t="s">
        <v>7190</v>
      </c>
      <c r="D129" t="s">
        <v>7191</v>
      </c>
      <c r="E129" t="s">
        <v>24749</v>
      </c>
      <c r="F129">
        <v>2</v>
      </c>
      <c r="G129">
        <v>3103474</v>
      </c>
      <c r="H129" t="s">
        <v>24750</v>
      </c>
      <c r="J129" s="54" t="s">
        <v>6052</v>
      </c>
      <c r="K129" s="54">
        <v>0</v>
      </c>
      <c r="L129" s="22" t="s">
        <v>104</v>
      </c>
      <c r="M129" s="22" t="s">
        <v>36819</v>
      </c>
    </row>
    <row r="130" spans="1:13" x14ac:dyDescent="0.75">
      <c r="A130" t="s">
        <v>11910</v>
      </c>
      <c r="B130" t="s">
        <v>11911</v>
      </c>
      <c r="C130" t="s">
        <v>7190</v>
      </c>
      <c r="D130" t="s">
        <v>11912</v>
      </c>
      <c r="E130" t="s">
        <v>11913</v>
      </c>
      <c r="F130">
        <v>1</v>
      </c>
      <c r="G130">
        <v>3051613</v>
      </c>
      <c r="H130" t="s">
        <v>11914</v>
      </c>
      <c r="J130" s="54" t="s">
        <v>6052</v>
      </c>
      <c r="K130" s="54">
        <v>0</v>
      </c>
      <c r="L130" s="22" t="s">
        <v>104</v>
      </c>
      <c r="M130" s="22" t="s">
        <v>36857</v>
      </c>
    </row>
    <row r="131" spans="1:13" x14ac:dyDescent="0.75">
      <c r="A131" t="s">
        <v>30667</v>
      </c>
      <c r="B131" t="s">
        <v>11911</v>
      </c>
      <c r="C131" t="s">
        <v>7190</v>
      </c>
      <c r="D131" t="s">
        <v>11912</v>
      </c>
      <c r="E131" t="s">
        <v>30668</v>
      </c>
      <c r="F131">
        <v>249</v>
      </c>
      <c r="G131">
        <v>2799563</v>
      </c>
      <c r="H131" t="s">
        <v>30669</v>
      </c>
      <c r="J131" s="54" t="s">
        <v>6052</v>
      </c>
      <c r="K131" s="54">
        <v>0</v>
      </c>
      <c r="L131" s="22" t="s">
        <v>104</v>
      </c>
      <c r="M131" s="22" t="s">
        <v>36857</v>
      </c>
    </row>
    <row r="132" spans="1:13" x14ac:dyDescent="0.75">
      <c r="A132" t="s">
        <v>7610</v>
      </c>
      <c r="B132" t="s">
        <v>7611</v>
      </c>
      <c r="C132" t="s">
        <v>7190</v>
      </c>
      <c r="D132" t="s">
        <v>7612</v>
      </c>
      <c r="E132" t="s">
        <v>7613</v>
      </c>
      <c r="F132">
        <v>99</v>
      </c>
      <c r="G132">
        <v>3135144</v>
      </c>
      <c r="H132" t="s">
        <v>7614</v>
      </c>
      <c r="J132" s="54" t="s">
        <v>6052</v>
      </c>
      <c r="K132" s="54">
        <v>0</v>
      </c>
      <c r="L132" s="22" t="s">
        <v>104</v>
      </c>
      <c r="M132" s="22" t="s">
        <v>36863</v>
      </c>
    </row>
    <row r="133" spans="1:13" x14ac:dyDescent="0.75">
      <c r="A133" t="s">
        <v>29367</v>
      </c>
      <c r="B133" t="s">
        <v>7611</v>
      </c>
      <c r="C133" t="s">
        <v>7190</v>
      </c>
      <c r="D133" t="s">
        <v>7612</v>
      </c>
      <c r="E133" t="s">
        <v>29368</v>
      </c>
      <c r="F133">
        <v>187</v>
      </c>
      <c r="G133">
        <v>2627796</v>
      </c>
      <c r="H133" t="s">
        <v>29369</v>
      </c>
      <c r="J133" s="54" t="s">
        <v>6052</v>
      </c>
      <c r="K133" s="54">
        <v>0</v>
      </c>
      <c r="L133" s="22" t="s">
        <v>104</v>
      </c>
      <c r="M133" s="22" t="s">
        <v>36863</v>
      </c>
    </row>
    <row r="134" spans="1:13" x14ac:dyDescent="0.75">
      <c r="A134" t="s">
        <v>27340</v>
      </c>
      <c r="B134" t="s">
        <v>27341</v>
      </c>
      <c r="C134" t="s">
        <v>7190</v>
      </c>
      <c r="D134" t="s">
        <v>27342</v>
      </c>
      <c r="E134" t="s">
        <v>27343</v>
      </c>
      <c r="F134">
        <v>8</v>
      </c>
      <c r="G134">
        <v>3149233</v>
      </c>
      <c r="H134" t="s">
        <v>27344</v>
      </c>
      <c r="J134" s="54" t="s">
        <v>6052</v>
      </c>
      <c r="K134" s="54">
        <v>0</v>
      </c>
      <c r="L134" s="22" t="s">
        <v>104</v>
      </c>
      <c r="M134" s="22" t="s">
        <v>36865</v>
      </c>
    </row>
    <row r="135" spans="1:13" x14ac:dyDescent="0.75">
      <c r="A135" t="s">
        <v>28191</v>
      </c>
      <c r="B135" t="s">
        <v>27341</v>
      </c>
      <c r="C135" t="s">
        <v>7190</v>
      </c>
      <c r="D135" t="s">
        <v>27342</v>
      </c>
      <c r="E135" t="s">
        <v>28192</v>
      </c>
      <c r="F135">
        <v>10</v>
      </c>
      <c r="G135">
        <v>3112947</v>
      </c>
      <c r="H135" t="s">
        <v>28193</v>
      </c>
      <c r="J135" s="54" t="s">
        <v>6052</v>
      </c>
      <c r="K135" s="54">
        <v>0</v>
      </c>
      <c r="L135" s="22" t="s">
        <v>104</v>
      </c>
      <c r="M135" s="22" t="s">
        <v>36865</v>
      </c>
    </row>
    <row r="136" spans="1:13" x14ac:dyDescent="0.75">
      <c r="A136" t="s">
        <v>11482</v>
      </c>
      <c r="B136" t="s">
        <v>11483</v>
      </c>
      <c r="C136" t="s">
        <v>7190</v>
      </c>
      <c r="D136" t="s">
        <v>11484</v>
      </c>
      <c r="E136" t="s">
        <v>11485</v>
      </c>
      <c r="F136">
        <v>1</v>
      </c>
      <c r="G136">
        <v>3836419</v>
      </c>
      <c r="H136" t="s">
        <v>11486</v>
      </c>
      <c r="J136" s="54" t="s">
        <v>6052</v>
      </c>
      <c r="K136" s="54">
        <v>0</v>
      </c>
      <c r="L136" s="22" t="s">
        <v>104</v>
      </c>
      <c r="M136" s="22" t="s">
        <v>36864</v>
      </c>
    </row>
    <row r="137" spans="1:13" x14ac:dyDescent="0.75">
      <c r="A137" t="s">
        <v>28818</v>
      </c>
      <c r="B137" t="s">
        <v>7866</v>
      </c>
      <c r="C137" t="s">
        <v>7190</v>
      </c>
      <c r="D137" t="s">
        <v>7867</v>
      </c>
      <c r="E137" t="s">
        <v>28819</v>
      </c>
      <c r="F137">
        <v>155</v>
      </c>
      <c r="G137">
        <v>2692200</v>
      </c>
      <c r="H137" t="s">
        <v>28820</v>
      </c>
      <c r="J137" s="54" t="s">
        <v>6052</v>
      </c>
      <c r="K137" s="54">
        <v>0</v>
      </c>
      <c r="L137" s="22" t="s">
        <v>104</v>
      </c>
      <c r="M137" s="22" t="s">
        <v>36860</v>
      </c>
    </row>
    <row r="138" spans="1:13" x14ac:dyDescent="0.75">
      <c r="A138" t="s">
        <v>7865</v>
      </c>
      <c r="B138" t="s">
        <v>7866</v>
      </c>
      <c r="C138" t="s">
        <v>7190</v>
      </c>
      <c r="D138" t="s">
        <v>7867</v>
      </c>
      <c r="E138" t="s">
        <v>7868</v>
      </c>
      <c r="F138">
        <v>69</v>
      </c>
      <c r="G138">
        <v>2828172</v>
      </c>
      <c r="H138" t="s">
        <v>7869</v>
      </c>
      <c r="J138" s="54" t="s">
        <v>6052</v>
      </c>
      <c r="K138" s="54">
        <v>0</v>
      </c>
      <c r="L138" s="22" t="s">
        <v>104</v>
      </c>
      <c r="M138" s="22" t="s">
        <v>36860</v>
      </c>
    </row>
    <row r="139" spans="1:13" x14ac:dyDescent="0.75">
      <c r="A139" t="s">
        <v>29378</v>
      </c>
      <c r="B139" t="s">
        <v>7866</v>
      </c>
      <c r="C139" t="s">
        <v>7190</v>
      </c>
      <c r="D139" t="s">
        <v>7867</v>
      </c>
      <c r="E139" t="s">
        <v>29379</v>
      </c>
      <c r="F139">
        <v>211</v>
      </c>
      <c r="G139">
        <v>2456475</v>
      </c>
      <c r="H139" t="s">
        <v>29380</v>
      </c>
      <c r="J139" s="54" t="s">
        <v>6052</v>
      </c>
      <c r="K139" s="54">
        <v>0</v>
      </c>
      <c r="L139" s="22" t="s">
        <v>104</v>
      </c>
      <c r="M139" s="22" t="s">
        <v>36860</v>
      </c>
    </row>
    <row r="140" spans="1:13" x14ac:dyDescent="0.75">
      <c r="A140" t="s">
        <v>29055</v>
      </c>
      <c r="B140" t="s">
        <v>7866</v>
      </c>
      <c r="C140" t="s">
        <v>7190</v>
      </c>
      <c r="D140" t="s">
        <v>7867</v>
      </c>
      <c r="E140" t="s">
        <v>29056</v>
      </c>
      <c r="F140">
        <v>246</v>
      </c>
      <c r="G140">
        <v>2674657</v>
      </c>
      <c r="H140" t="s">
        <v>29057</v>
      </c>
      <c r="J140" s="54" t="s">
        <v>6052</v>
      </c>
      <c r="K140" s="54">
        <v>0</v>
      </c>
      <c r="L140" s="22" t="s">
        <v>104</v>
      </c>
      <c r="M140" s="22" t="s">
        <v>36860</v>
      </c>
    </row>
    <row r="141" spans="1:13" x14ac:dyDescent="0.75">
      <c r="A141" t="s">
        <v>30184</v>
      </c>
      <c r="B141" t="s">
        <v>7866</v>
      </c>
      <c r="C141" t="s">
        <v>7190</v>
      </c>
      <c r="D141" t="s">
        <v>7867</v>
      </c>
      <c r="E141" t="s">
        <v>30185</v>
      </c>
      <c r="F141">
        <v>274</v>
      </c>
      <c r="G141">
        <v>2520844</v>
      </c>
      <c r="H141" t="s">
        <v>30186</v>
      </c>
      <c r="J141" s="54" t="s">
        <v>6052</v>
      </c>
      <c r="K141" s="54">
        <v>0</v>
      </c>
      <c r="L141" s="22" t="s">
        <v>104</v>
      </c>
      <c r="M141" s="22" t="s">
        <v>36860</v>
      </c>
    </row>
    <row r="142" spans="1:13" x14ac:dyDescent="0.75">
      <c r="A142" t="s">
        <v>29897</v>
      </c>
      <c r="B142" t="s">
        <v>14747</v>
      </c>
      <c r="C142" t="s">
        <v>7190</v>
      </c>
      <c r="D142" t="s">
        <v>14748</v>
      </c>
      <c r="E142" t="s">
        <v>29898</v>
      </c>
      <c r="F142">
        <v>254</v>
      </c>
      <c r="G142">
        <v>3164958</v>
      </c>
      <c r="H142" t="s">
        <v>29899</v>
      </c>
      <c r="J142" s="54" t="s">
        <v>6052</v>
      </c>
      <c r="K142" s="54">
        <v>0</v>
      </c>
      <c r="L142" s="22" t="s">
        <v>104</v>
      </c>
      <c r="M142" s="22" t="s">
        <v>36861</v>
      </c>
    </row>
    <row r="143" spans="1:13" x14ac:dyDescent="0.75">
      <c r="A143" t="s">
        <v>14746</v>
      </c>
      <c r="B143" t="s">
        <v>14747</v>
      </c>
      <c r="C143" t="s">
        <v>7190</v>
      </c>
      <c r="D143" t="s">
        <v>14748</v>
      </c>
      <c r="E143" t="s">
        <v>14749</v>
      </c>
      <c r="F143">
        <v>2</v>
      </c>
      <c r="G143">
        <v>3249416</v>
      </c>
      <c r="H143" t="s">
        <v>14750</v>
      </c>
      <c r="J143" s="54" t="s">
        <v>6052</v>
      </c>
      <c r="K143" s="54">
        <v>0</v>
      </c>
      <c r="L143" s="22" t="s">
        <v>104</v>
      </c>
      <c r="M143" s="22" t="s">
        <v>36861</v>
      </c>
    </row>
    <row r="144" spans="1:13" x14ac:dyDescent="0.75">
      <c r="A144" t="s">
        <v>20130</v>
      </c>
      <c r="B144" t="s">
        <v>14747</v>
      </c>
      <c r="C144" t="s">
        <v>7190</v>
      </c>
      <c r="D144" t="s">
        <v>14748</v>
      </c>
      <c r="E144" t="s">
        <v>20131</v>
      </c>
      <c r="F144">
        <v>1</v>
      </c>
      <c r="G144">
        <v>3281265</v>
      </c>
      <c r="H144" t="s">
        <v>20132</v>
      </c>
      <c r="J144" s="54" t="s">
        <v>6052</v>
      </c>
      <c r="K144" s="54">
        <v>0</v>
      </c>
      <c r="L144" s="22" t="s">
        <v>104</v>
      </c>
      <c r="M144" s="22" t="s">
        <v>36861</v>
      </c>
    </row>
    <row r="145" spans="1:13" x14ac:dyDescent="0.75">
      <c r="A145" t="s">
        <v>8843</v>
      </c>
      <c r="B145" t="s">
        <v>8844</v>
      </c>
      <c r="C145" t="s">
        <v>7190</v>
      </c>
      <c r="D145" t="s">
        <v>7895</v>
      </c>
      <c r="E145">
        <v>7400942</v>
      </c>
      <c r="F145">
        <v>40</v>
      </c>
      <c r="G145">
        <v>2932944</v>
      </c>
      <c r="H145" t="s">
        <v>8845</v>
      </c>
      <c r="J145" s="54" t="s">
        <v>6052</v>
      </c>
      <c r="K145" s="54">
        <v>0</v>
      </c>
      <c r="L145" s="22" t="s">
        <v>104</v>
      </c>
      <c r="M145" s="22" t="s">
        <v>36851</v>
      </c>
    </row>
    <row r="146" spans="1:13" x14ac:dyDescent="0.75">
      <c r="A146" t="s">
        <v>16650</v>
      </c>
      <c r="B146" t="s">
        <v>16651</v>
      </c>
      <c r="C146" t="s">
        <v>7190</v>
      </c>
      <c r="D146" t="s">
        <v>16652</v>
      </c>
      <c r="E146" t="s">
        <v>16653</v>
      </c>
      <c r="F146">
        <v>107</v>
      </c>
      <c r="G146">
        <v>3336376</v>
      </c>
      <c r="H146" t="s">
        <v>16654</v>
      </c>
      <c r="J146" s="54" t="s">
        <v>6052</v>
      </c>
      <c r="K146" s="54">
        <v>0</v>
      </c>
      <c r="L146" s="22" t="s">
        <v>104</v>
      </c>
      <c r="M146" s="22" t="s">
        <v>36855</v>
      </c>
    </row>
    <row r="147" spans="1:13" x14ac:dyDescent="0.75">
      <c r="A147" t="s">
        <v>26671</v>
      </c>
      <c r="B147" t="s">
        <v>16651</v>
      </c>
      <c r="C147" t="s">
        <v>7190</v>
      </c>
      <c r="D147" t="s">
        <v>16652</v>
      </c>
      <c r="E147" t="s">
        <v>26672</v>
      </c>
      <c r="F147">
        <v>179</v>
      </c>
      <c r="G147">
        <v>3303380</v>
      </c>
      <c r="H147" t="s">
        <v>26673</v>
      </c>
      <c r="J147" s="54" t="s">
        <v>6052</v>
      </c>
      <c r="K147" s="54">
        <v>0</v>
      </c>
      <c r="L147" s="22" t="s">
        <v>104</v>
      </c>
      <c r="M147" s="22" t="s">
        <v>36855</v>
      </c>
    </row>
    <row r="148" spans="1:13" x14ac:dyDescent="0.75">
      <c r="A148" t="s">
        <v>28007</v>
      </c>
      <c r="B148" t="s">
        <v>16651</v>
      </c>
      <c r="C148" t="s">
        <v>7190</v>
      </c>
      <c r="D148" t="s">
        <v>16652</v>
      </c>
      <c r="E148" t="s">
        <v>28008</v>
      </c>
      <c r="F148">
        <v>1</v>
      </c>
      <c r="G148">
        <v>3491241</v>
      </c>
      <c r="H148" t="s">
        <v>28009</v>
      </c>
      <c r="J148" s="54" t="s">
        <v>6052</v>
      </c>
      <c r="K148" s="54">
        <v>0</v>
      </c>
      <c r="L148" s="22" t="s">
        <v>104</v>
      </c>
      <c r="M148" s="22" t="s">
        <v>36855</v>
      </c>
    </row>
    <row r="149" spans="1:13" x14ac:dyDescent="0.75">
      <c r="A149" t="s">
        <v>12105</v>
      </c>
      <c r="B149" t="s">
        <v>6617</v>
      </c>
      <c r="C149" t="s">
        <v>6400</v>
      </c>
      <c r="D149" t="s">
        <v>6618</v>
      </c>
      <c r="E149">
        <v>624</v>
      </c>
      <c r="F149">
        <v>1</v>
      </c>
      <c r="G149">
        <v>2367908</v>
      </c>
      <c r="H149" t="s">
        <v>12106</v>
      </c>
      <c r="J149" s="54" t="s">
        <v>6052</v>
      </c>
      <c r="K149" s="54">
        <v>0</v>
      </c>
      <c r="L149" s="22" t="s">
        <v>104</v>
      </c>
      <c r="M149" s="22" t="s">
        <v>36869</v>
      </c>
    </row>
    <row r="150" spans="1:13" x14ac:dyDescent="0.75">
      <c r="A150" t="s">
        <v>22057</v>
      </c>
      <c r="B150" t="s">
        <v>6617</v>
      </c>
      <c r="C150" t="s">
        <v>6400</v>
      </c>
      <c r="D150" t="s">
        <v>6618</v>
      </c>
      <c r="E150" t="s">
        <v>22058</v>
      </c>
      <c r="F150">
        <v>29</v>
      </c>
      <c r="G150">
        <v>2110628</v>
      </c>
      <c r="H150" t="s">
        <v>22059</v>
      </c>
      <c r="J150" s="54" t="s">
        <v>6052</v>
      </c>
      <c r="K150" s="54">
        <v>0</v>
      </c>
      <c r="L150" s="22" t="s">
        <v>104</v>
      </c>
      <c r="M150" s="22" t="s">
        <v>36869</v>
      </c>
    </row>
    <row r="151" spans="1:13" x14ac:dyDescent="0.75">
      <c r="A151" t="s">
        <v>23857</v>
      </c>
      <c r="B151" t="s">
        <v>6617</v>
      </c>
      <c r="C151" t="s">
        <v>6400</v>
      </c>
      <c r="D151" t="s">
        <v>6618</v>
      </c>
      <c r="E151" t="s">
        <v>23858</v>
      </c>
      <c r="F151">
        <v>1</v>
      </c>
      <c r="G151">
        <v>2361401</v>
      </c>
      <c r="H151" t="s">
        <v>23859</v>
      </c>
      <c r="J151" s="54" t="s">
        <v>6052</v>
      </c>
      <c r="K151" s="54">
        <v>0</v>
      </c>
      <c r="L151" s="22" t="s">
        <v>104</v>
      </c>
      <c r="M151" s="22" t="s">
        <v>36869</v>
      </c>
    </row>
    <row r="152" spans="1:13" x14ac:dyDescent="0.75">
      <c r="A152" t="s">
        <v>23854</v>
      </c>
      <c r="B152" t="s">
        <v>6617</v>
      </c>
      <c r="C152" t="s">
        <v>6400</v>
      </c>
      <c r="D152" t="s">
        <v>6618</v>
      </c>
      <c r="E152" t="s">
        <v>23855</v>
      </c>
      <c r="F152">
        <v>1</v>
      </c>
      <c r="G152">
        <v>2077859</v>
      </c>
      <c r="H152" t="s">
        <v>23856</v>
      </c>
      <c r="J152" s="54" t="s">
        <v>6052</v>
      </c>
      <c r="K152" s="54">
        <v>0</v>
      </c>
      <c r="L152" s="22" t="s">
        <v>104</v>
      </c>
      <c r="M152" s="22" t="s">
        <v>36869</v>
      </c>
    </row>
    <row r="153" spans="1:13" x14ac:dyDescent="0.75">
      <c r="A153" t="s">
        <v>22093</v>
      </c>
      <c r="B153" t="s">
        <v>6617</v>
      </c>
      <c r="C153" t="s">
        <v>6400</v>
      </c>
      <c r="D153" t="s">
        <v>6618</v>
      </c>
      <c r="E153" t="s">
        <v>22094</v>
      </c>
      <c r="F153">
        <v>28</v>
      </c>
      <c r="G153">
        <v>2121891</v>
      </c>
      <c r="H153" t="s">
        <v>22095</v>
      </c>
      <c r="J153" s="54" t="s">
        <v>6052</v>
      </c>
      <c r="K153" s="54">
        <v>0</v>
      </c>
      <c r="L153" s="22" t="s">
        <v>104</v>
      </c>
      <c r="M153" s="22" t="s">
        <v>36869</v>
      </c>
    </row>
    <row r="154" spans="1:13" x14ac:dyDescent="0.75">
      <c r="A154" t="s">
        <v>23824</v>
      </c>
      <c r="B154" t="s">
        <v>6617</v>
      </c>
      <c r="C154" t="s">
        <v>6400</v>
      </c>
      <c r="D154" t="s">
        <v>6618</v>
      </c>
      <c r="E154" t="s">
        <v>23825</v>
      </c>
      <c r="F154">
        <v>24</v>
      </c>
      <c r="G154">
        <v>2382298</v>
      </c>
      <c r="H154" t="s">
        <v>23826</v>
      </c>
      <c r="J154" s="54" t="s">
        <v>6052</v>
      </c>
      <c r="K154" s="54">
        <v>0</v>
      </c>
      <c r="L154" s="22" t="s">
        <v>104</v>
      </c>
      <c r="M154" s="22" t="s">
        <v>36869</v>
      </c>
    </row>
    <row r="155" spans="1:13" x14ac:dyDescent="0.75">
      <c r="A155" t="s">
        <v>21988</v>
      </c>
      <c r="B155" t="s">
        <v>6617</v>
      </c>
      <c r="C155" t="s">
        <v>6400</v>
      </c>
      <c r="D155" t="s">
        <v>6618</v>
      </c>
      <c r="E155" t="s">
        <v>21989</v>
      </c>
      <c r="F155">
        <v>28</v>
      </c>
      <c r="G155">
        <v>2105953</v>
      </c>
      <c r="H155" t="s">
        <v>21990</v>
      </c>
      <c r="J155" s="54" t="s">
        <v>6052</v>
      </c>
      <c r="K155" s="54">
        <v>0</v>
      </c>
      <c r="L155" s="22" t="s">
        <v>104</v>
      </c>
      <c r="M155" s="22" t="s">
        <v>36869</v>
      </c>
    </row>
    <row r="156" spans="1:13" x14ac:dyDescent="0.75">
      <c r="A156" t="s">
        <v>23351</v>
      </c>
      <c r="B156" t="s">
        <v>6617</v>
      </c>
      <c r="C156" t="s">
        <v>6400</v>
      </c>
      <c r="D156" t="s">
        <v>6618</v>
      </c>
      <c r="E156" t="s">
        <v>23352</v>
      </c>
      <c r="F156">
        <v>6</v>
      </c>
      <c r="G156">
        <v>2164891</v>
      </c>
      <c r="H156" t="s">
        <v>23353</v>
      </c>
      <c r="J156" s="54" t="s">
        <v>6052</v>
      </c>
      <c r="K156" s="54">
        <v>0</v>
      </c>
      <c r="L156" s="22" t="s">
        <v>104</v>
      </c>
      <c r="M156" s="22" t="s">
        <v>36869</v>
      </c>
    </row>
    <row r="157" spans="1:13" x14ac:dyDescent="0.75">
      <c r="A157" t="s">
        <v>23322</v>
      </c>
      <c r="B157" t="s">
        <v>6617</v>
      </c>
      <c r="C157" t="s">
        <v>6400</v>
      </c>
      <c r="D157" t="s">
        <v>6618</v>
      </c>
      <c r="E157" t="s">
        <v>23323</v>
      </c>
      <c r="F157">
        <v>1</v>
      </c>
      <c r="G157">
        <v>2173202</v>
      </c>
      <c r="H157" t="s">
        <v>23324</v>
      </c>
      <c r="J157" s="54" t="s">
        <v>6052</v>
      </c>
      <c r="K157" s="54">
        <v>0</v>
      </c>
      <c r="L157" s="22" t="s">
        <v>104</v>
      </c>
      <c r="M157" s="22" t="s">
        <v>36869</v>
      </c>
    </row>
    <row r="158" spans="1:13" x14ac:dyDescent="0.75">
      <c r="A158" t="s">
        <v>23821</v>
      </c>
      <c r="B158" t="s">
        <v>6617</v>
      </c>
      <c r="C158" t="s">
        <v>6400</v>
      </c>
      <c r="D158" t="s">
        <v>6618</v>
      </c>
      <c r="E158" t="s">
        <v>23822</v>
      </c>
      <c r="F158">
        <v>13</v>
      </c>
      <c r="G158">
        <v>2260584</v>
      </c>
      <c r="H158" t="s">
        <v>23823</v>
      </c>
      <c r="J158" s="54" t="s">
        <v>6052</v>
      </c>
      <c r="K158" s="54">
        <v>0</v>
      </c>
      <c r="L158" s="22" t="s">
        <v>104</v>
      </c>
      <c r="M158" s="22" t="s">
        <v>36869</v>
      </c>
    </row>
    <row r="159" spans="1:13" x14ac:dyDescent="0.75">
      <c r="A159" t="s">
        <v>23851</v>
      </c>
      <c r="B159" t="s">
        <v>6617</v>
      </c>
      <c r="C159" t="s">
        <v>6400</v>
      </c>
      <c r="D159" t="s">
        <v>6618</v>
      </c>
      <c r="E159" t="s">
        <v>23852</v>
      </c>
      <c r="F159">
        <v>1</v>
      </c>
      <c r="G159">
        <v>2075531</v>
      </c>
      <c r="H159" t="s">
        <v>23853</v>
      </c>
      <c r="J159" s="54" t="s">
        <v>6052</v>
      </c>
      <c r="K159" s="54">
        <v>0</v>
      </c>
      <c r="L159" s="22" t="s">
        <v>104</v>
      </c>
      <c r="M159" s="22" t="s">
        <v>36869</v>
      </c>
    </row>
    <row r="160" spans="1:13" x14ac:dyDescent="0.75">
      <c r="A160" t="s">
        <v>23836</v>
      </c>
      <c r="B160" t="s">
        <v>6617</v>
      </c>
      <c r="C160" t="s">
        <v>6400</v>
      </c>
      <c r="D160" t="s">
        <v>6618</v>
      </c>
      <c r="E160" t="s">
        <v>23837</v>
      </c>
      <c r="F160">
        <v>2</v>
      </c>
      <c r="G160">
        <v>2107957</v>
      </c>
      <c r="H160" t="s">
        <v>23838</v>
      </c>
      <c r="J160" s="54" t="s">
        <v>6052</v>
      </c>
      <c r="K160" s="54">
        <v>0</v>
      </c>
      <c r="L160" s="22" t="s">
        <v>104</v>
      </c>
      <c r="M160" s="22" t="s">
        <v>36869</v>
      </c>
    </row>
    <row r="161" spans="1:13" x14ac:dyDescent="0.75">
      <c r="A161" t="s">
        <v>22051</v>
      </c>
      <c r="B161" t="s">
        <v>6617</v>
      </c>
      <c r="C161" t="s">
        <v>6400</v>
      </c>
      <c r="D161" t="s">
        <v>6618</v>
      </c>
      <c r="E161" t="s">
        <v>22052</v>
      </c>
      <c r="F161">
        <v>21</v>
      </c>
      <c r="G161">
        <v>2077138</v>
      </c>
      <c r="H161" t="s">
        <v>22053</v>
      </c>
      <c r="J161" s="54" t="s">
        <v>6052</v>
      </c>
      <c r="K161" s="54">
        <v>0</v>
      </c>
      <c r="L161" s="22" t="s">
        <v>104</v>
      </c>
      <c r="M161" s="22" t="s">
        <v>36869</v>
      </c>
    </row>
    <row r="162" spans="1:13" x14ac:dyDescent="0.75">
      <c r="A162" t="s">
        <v>23319</v>
      </c>
      <c r="B162" t="s">
        <v>6617</v>
      </c>
      <c r="C162" t="s">
        <v>6400</v>
      </c>
      <c r="D162" t="s">
        <v>6618</v>
      </c>
      <c r="E162" t="s">
        <v>23320</v>
      </c>
      <c r="F162">
        <v>1</v>
      </c>
      <c r="G162">
        <v>2120195</v>
      </c>
      <c r="H162" t="s">
        <v>23321</v>
      </c>
      <c r="J162" s="54" t="s">
        <v>6052</v>
      </c>
      <c r="K162" s="54">
        <v>0</v>
      </c>
      <c r="L162" s="22" t="s">
        <v>104</v>
      </c>
      <c r="M162" s="22" t="s">
        <v>36869</v>
      </c>
    </row>
    <row r="163" spans="1:13" x14ac:dyDescent="0.75">
      <c r="A163" t="s">
        <v>23316</v>
      </c>
      <c r="B163" t="s">
        <v>6617</v>
      </c>
      <c r="C163" t="s">
        <v>6400</v>
      </c>
      <c r="D163" t="s">
        <v>6618</v>
      </c>
      <c r="E163" t="s">
        <v>23317</v>
      </c>
      <c r="F163">
        <v>1</v>
      </c>
      <c r="G163">
        <v>2120195</v>
      </c>
      <c r="H163" t="s">
        <v>23318</v>
      </c>
      <c r="J163" s="54" t="s">
        <v>6052</v>
      </c>
      <c r="K163" s="54">
        <v>0</v>
      </c>
      <c r="L163" s="22" t="s">
        <v>104</v>
      </c>
      <c r="M163" s="22" t="s">
        <v>36869</v>
      </c>
    </row>
    <row r="164" spans="1:13" x14ac:dyDescent="0.75">
      <c r="A164" t="s">
        <v>21991</v>
      </c>
      <c r="B164" t="s">
        <v>6617</v>
      </c>
      <c r="C164" t="s">
        <v>6400</v>
      </c>
      <c r="D164" t="s">
        <v>6618</v>
      </c>
      <c r="E164" t="s">
        <v>21992</v>
      </c>
      <c r="F164">
        <v>27</v>
      </c>
      <c r="G164">
        <v>2097408</v>
      </c>
      <c r="H164" t="s">
        <v>21993</v>
      </c>
      <c r="J164" s="54" t="s">
        <v>6052</v>
      </c>
      <c r="K164" s="54">
        <v>0</v>
      </c>
      <c r="L164" s="22" t="s">
        <v>104</v>
      </c>
      <c r="M164" s="22" t="s">
        <v>36869</v>
      </c>
    </row>
    <row r="165" spans="1:13" x14ac:dyDescent="0.75">
      <c r="A165" t="s">
        <v>23313</v>
      </c>
      <c r="B165" t="s">
        <v>6617</v>
      </c>
      <c r="C165" t="s">
        <v>6400</v>
      </c>
      <c r="D165" t="s">
        <v>6618</v>
      </c>
      <c r="E165" t="s">
        <v>23314</v>
      </c>
      <c r="F165">
        <v>1</v>
      </c>
      <c r="G165">
        <v>2110934</v>
      </c>
      <c r="H165" t="s">
        <v>23315</v>
      </c>
      <c r="J165" s="54" t="s">
        <v>6052</v>
      </c>
      <c r="K165" s="54">
        <v>0</v>
      </c>
      <c r="L165" s="22" t="s">
        <v>104</v>
      </c>
      <c r="M165" s="22" t="s">
        <v>36869</v>
      </c>
    </row>
    <row r="166" spans="1:13" x14ac:dyDescent="0.75">
      <c r="A166" t="s">
        <v>23310</v>
      </c>
      <c r="B166" t="s">
        <v>6617</v>
      </c>
      <c r="C166" t="s">
        <v>6400</v>
      </c>
      <c r="D166" t="s">
        <v>6618</v>
      </c>
      <c r="E166" t="s">
        <v>23311</v>
      </c>
      <c r="F166">
        <v>1</v>
      </c>
      <c r="G166">
        <v>2102524</v>
      </c>
      <c r="H166" t="s">
        <v>23312</v>
      </c>
      <c r="J166" s="54" t="s">
        <v>6052</v>
      </c>
      <c r="K166" s="54">
        <v>0</v>
      </c>
      <c r="L166" s="22" t="s">
        <v>104</v>
      </c>
      <c r="M166" s="22" t="s">
        <v>36869</v>
      </c>
    </row>
    <row r="167" spans="1:13" x14ac:dyDescent="0.75">
      <c r="A167" t="s">
        <v>22048</v>
      </c>
      <c r="B167" t="s">
        <v>6617</v>
      </c>
      <c r="C167" t="s">
        <v>6400</v>
      </c>
      <c r="D167" t="s">
        <v>6618</v>
      </c>
      <c r="E167" t="s">
        <v>22049</v>
      </c>
      <c r="F167">
        <v>21</v>
      </c>
      <c r="G167">
        <v>2081488</v>
      </c>
      <c r="H167" t="s">
        <v>22050</v>
      </c>
      <c r="J167" s="54" t="s">
        <v>6052</v>
      </c>
      <c r="K167" s="54">
        <v>0</v>
      </c>
      <c r="L167" s="22" t="s">
        <v>104</v>
      </c>
      <c r="M167" s="22" t="s">
        <v>36869</v>
      </c>
    </row>
    <row r="168" spans="1:13" x14ac:dyDescent="0.75">
      <c r="A168" t="s">
        <v>21982</v>
      </c>
      <c r="B168" t="s">
        <v>6617</v>
      </c>
      <c r="C168" t="s">
        <v>6400</v>
      </c>
      <c r="D168" t="s">
        <v>6618</v>
      </c>
      <c r="E168" t="s">
        <v>21983</v>
      </c>
      <c r="F168">
        <v>26</v>
      </c>
      <c r="G168">
        <v>2077690</v>
      </c>
      <c r="H168" t="s">
        <v>21984</v>
      </c>
      <c r="J168" s="54" t="s">
        <v>6052</v>
      </c>
      <c r="K168" s="54">
        <v>0</v>
      </c>
      <c r="L168" s="22" t="s">
        <v>104</v>
      </c>
      <c r="M168" s="22" t="s">
        <v>36869</v>
      </c>
    </row>
    <row r="169" spans="1:13" x14ac:dyDescent="0.75">
      <c r="A169" t="s">
        <v>23833</v>
      </c>
      <c r="B169" t="s">
        <v>6617</v>
      </c>
      <c r="C169" t="s">
        <v>6400</v>
      </c>
      <c r="D169" t="s">
        <v>6618</v>
      </c>
      <c r="E169" t="s">
        <v>23834</v>
      </c>
      <c r="F169">
        <v>6</v>
      </c>
      <c r="G169">
        <v>2344181</v>
      </c>
      <c r="H169" t="s">
        <v>23835</v>
      </c>
      <c r="J169" s="54" t="s">
        <v>6052</v>
      </c>
      <c r="K169" s="54">
        <v>0</v>
      </c>
      <c r="L169" s="22" t="s">
        <v>104</v>
      </c>
      <c r="M169" s="22" t="s">
        <v>36869</v>
      </c>
    </row>
    <row r="170" spans="1:13" x14ac:dyDescent="0.75">
      <c r="A170" t="s">
        <v>22090</v>
      </c>
      <c r="B170" t="s">
        <v>6617</v>
      </c>
      <c r="C170" t="s">
        <v>6400</v>
      </c>
      <c r="D170" t="s">
        <v>6618</v>
      </c>
      <c r="E170" t="s">
        <v>22091</v>
      </c>
      <c r="F170">
        <v>29</v>
      </c>
      <c r="G170">
        <v>2092586</v>
      </c>
      <c r="H170" t="s">
        <v>22092</v>
      </c>
      <c r="J170" s="54" t="s">
        <v>6052</v>
      </c>
      <c r="K170" s="54">
        <v>0</v>
      </c>
      <c r="L170" s="22" t="s">
        <v>104</v>
      </c>
      <c r="M170" s="22" t="s">
        <v>36869</v>
      </c>
    </row>
    <row r="171" spans="1:13" x14ac:dyDescent="0.75">
      <c r="A171" t="s">
        <v>22087</v>
      </c>
      <c r="B171" t="s">
        <v>6617</v>
      </c>
      <c r="C171" t="s">
        <v>6400</v>
      </c>
      <c r="D171" t="s">
        <v>6618</v>
      </c>
      <c r="E171" t="s">
        <v>22088</v>
      </c>
      <c r="F171">
        <v>21</v>
      </c>
      <c r="G171">
        <v>2076398</v>
      </c>
      <c r="H171" t="s">
        <v>22089</v>
      </c>
      <c r="J171" s="54" t="s">
        <v>6052</v>
      </c>
      <c r="K171" s="54">
        <v>0</v>
      </c>
      <c r="L171" s="22" t="s">
        <v>104</v>
      </c>
      <c r="M171" s="22" t="s">
        <v>36869</v>
      </c>
    </row>
    <row r="172" spans="1:13" x14ac:dyDescent="0.75">
      <c r="A172" t="s">
        <v>22084</v>
      </c>
      <c r="B172" t="s">
        <v>6617</v>
      </c>
      <c r="C172" t="s">
        <v>6400</v>
      </c>
      <c r="D172" t="s">
        <v>6618</v>
      </c>
      <c r="E172" t="s">
        <v>22085</v>
      </c>
      <c r="F172">
        <v>28</v>
      </c>
      <c r="G172">
        <v>2122954</v>
      </c>
      <c r="H172" t="s">
        <v>22086</v>
      </c>
      <c r="J172" s="54" t="s">
        <v>6052</v>
      </c>
      <c r="K172" s="54">
        <v>0</v>
      </c>
      <c r="L172" s="22" t="s">
        <v>104</v>
      </c>
      <c r="M172" s="22" t="s">
        <v>36869</v>
      </c>
    </row>
    <row r="173" spans="1:13" x14ac:dyDescent="0.75">
      <c r="A173" t="s">
        <v>22081</v>
      </c>
      <c r="B173" t="s">
        <v>6617</v>
      </c>
      <c r="C173" t="s">
        <v>6400</v>
      </c>
      <c r="D173" t="s">
        <v>6618</v>
      </c>
      <c r="E173" t="s">
        <v>22082</v>
      </c>
      <c r="F173">
        <v>24</v>
      </c>
      <c r="G173">
        <v>2103326</v>
      </c>
      <c r="H173" t="s">
        <v>22083</v>
      </c>
      <c r="J173" s="54" t="s">
        <v>6052</v>
      </c>
      <c r="K173" s="54">
        <v>0</v>
      </c>
      <c r="L173" s="22" t="s">
        <v>104</v>
      </c>
      <c r="M173" s="22" t="s">
        <v>36869</v>
      </c>
    </row>
    <row r="174" spans="1:13" x14ac:dyDescent="0.75">
      <c r="A174" t="s">
        <v>22078</v>
      </c>
      <c r="B174" t="s">
        <v>6617</v>
      </c>
      <c r="C174" t="s">
        <v>6400</v>
      </c>
      <c r="D174" t="s">
        <v>6618</v>
      </c>
      <c r="E174" t="s">
        <v>22079</v>
      </c>
      <c r="F174">
        <v>22</v>
      </c>
      <c r="G174">
        <v>2067699</v>
      </c>
      <c r="H174" t="s">
        <v>22080</v>
      </c>
      <c r="J174" s="54" t="s">
        <v>6052</v>
      </c>
      <c r="K174" s="54">
        <v>0</v>
      </c>
      <c r="L174" s="22" t="s">
        <v>104</v>
      </c>
      <c r="M174" s="22" t="s">
        <v>36869</v>
      </c>
    </row>
    <row r="175" spans="1:13" x14ac:dyDescent="0.75">
      <c r="A175" t="s">
        <v>23354</v>
      </c>
      <c r="B175" t="s">
        <v>6617</v>
      </c>
      <c r="C175" t="s">
        <v>6400</v>
      </c>
      <c r="D175" t="s">
        <v>6618</v>
      </c>
      <c r="E175" t="s">
        <v>23355</v>
      </c>
      <c r="F175">
        <v>13</v>
      </c>
      <c r="G175">
        <v>2102624</v>
      </c>
      <c r="H175" t="s">
        <v>23356</v>
      </c>
      <c r="J175" s="54" t="s">
        <v>6052</v>
      </c>
      <c r="K175" s="54">
        <v>0</v>
      </c>
      <c r="L175" s="22" t="s">
        <v>104</v>
      </c>
      <c r="M175" s="22" t="s">
        <v>36869</v>
      </c>
    </row>
    <row r="176" spans="1:13" x14ac:dyDescent="0.75">
      <c r="A176" t="s">
        <v>23331</v>
      </c>
      <c r="B176" t="s">
        <v>6617</v>
      </c>
      <c r="C176" t="s">
        <v>6400</v>
      </c>
      <c r="D176" t="s">
        <v>6618</v>
      </c>
      <c r="E176" t="s">
        <v>23332</v>
      </c>
      <c r="F176">
        <v>1</v>
      </c>
      <c r="G176">
        <v>2109143</v>
      </c>
      <c r="H176" t="s">
        <v>23333</v>
      </c>
      <c r="J176" s="54" t="s">
        <v>6052</v>
      </c>
      <c r="K176" s="54">
        <v>0</v>
      </c>
      <c r="L176" s="22" t="s">
        <v>104</v>
      </c>
      <c r="M176" s="22" t="s">
        <v>36869</v>
      </c>
    </row>
    <row r="177" spans="1:13" x14ac:dyDescent="0.75">
      <c r="A177" t="s">
        <v>22075</v>
      </c>
      <c r="B177" t="s">
        <v>6617</v>
      </c>
      <c r="C177" t="s">
        <v>6400</v>
      </c>
      <c r="D177" t="s">
        <v>6618</v>
      </c>
      <c r="E177" t="s">
        <v>22076</v>
      </c>
      <c r="F177">
        <v>22</v>
      </c>
      <c r="G177">
        <v>2067892</v>
      </c>
      <c r="H177" t="s">
        <v>22077</v>
      </c>
      <c r="J177" s="54" t="s">
        <v>6052</v>
      </c>
      <c r="K177" s="54">
        <v>0</v>
      </c>
      <c r="L177" s="22" t="s">
        <v>104</v>
      </c>
      <c r="M177" s="22" t="s">
        <v>36869</v>
      </c>
    </row>
    <row r="178" spans="1:13" x14ac:dyDescent="0.75">
      <c r="A178" t="s">
        <v>23328</v>
      </c>
      <c r="B178" t="s">
        <v>6617</v>
      </c>
      <c r="C178" t="s">
        <v>6400</v>
      </c>
      <c r="D178" t="s">
        <v>6618</v>
      </c>
      <c r="E178" t="s">
        <v>23329</v>
      </c>
      <c r="F178">
        <v>1</v>
      </c>
      <c r="G178">
        <v>2158228</v>
      </c>
      <c r="H178" t="s">
        <v>23330</v>
      </c>
      <c r="J178" s="54" t="s">
        <v>6052</v>
      </c>
      <c r="K178" s="54">
        <v>0</v>
      </c>
      <c r="L178" s="22" t="s">
        <v>104</v>
      </c>
      <c r="M178" s="22" t="s">
        <v>36869</v>
      </c>
    </row>
    <row r="179" spans="1:13" x14ac:dyDescent="0.75">
      <c r="A179" t="s">
        <v>23325</v>
      </c>
      <c r="B179" t="s">
        <v>6617</v>
      </c>
      <c r="C179" t="s">
        <v>6400</v>
      </c>
      <c r="D179" t="s">
        <v>6618</v>
      </c>
      <c r="E179" t="s">
        <v>23326</v>
      </c>
      <c r="F179">
        <v>1</v>
      </c>
      <c r="G179">
        <v>2158238</v>
      </c>
      <c r="H179" t="s">
        <v>23327</v>
      </c>
      <c r="J179" s="54" t="s">
        <v>6052</v>
      </c>
      <c r="K179" s="54">
        <v>0</v>
      </c>
      <c r="L179" s="22" t="s">
        <v>104</v>
      </c>
      <c r="M179" s="22" t="s">
        <v>36869</v>
      </c>
    </row>
    <row r="180" spans="1:13" x14ac:dyDescent="0.75">
      <c r="A180" t="s">
        <v>22069</v>
      </c>
      <c r="B180" t="s">
        <v>6617</v>
      </c>
      <c r="C180" t="s">
        <v>6400</v>
      </c>
      <c r="D180" t="s">
        <v>6618</v>
      </c>
      <c r="E180" t="s">
        <v>22070</v>
      </c>
      <c r="F180">
        <v>30</v>
      </c>
      <c r="G180">
        <v>2079435</v>
      </c>
      <c r="H180" t="s">
        <v>22071</v>
      </c>
      <c r="J180" s="54" t="s">
        <v>6052</v>
      </c>
      <c r="K180" s="54">
        <v>0</v>
      </c>
      <c r="L180" s="22" t="s">
        <v>104</v>
      </c>
      <c r="M180" s="22" t="s">
        <v>36869</v>
      </c>
    </row>
    <row r="181" spans="1:13" x14ac:dyDescent="0.75">
      <c r="A181" t="s">
        <v>22072</v>
      </c>
      <c r="B181" t="s">
        <v>6617</v>
      </c>
      <c r="C181" t="s">
        <v>6400</v>
      </c>
      <c r="D181" t="s">
        <v>6618</v>
      </c>
      <c r="E181" t="s">
        <v>22073</v>
      </c>
      <c r="F181">
        <v>26</v>
      </c>
      <c r="G181">
        <v>2078016</v>
      </c>
      <c r="H181" t="s">
        <v>22074</v>
      </c>
      <c r="J181" s="54" t="s">
        <v>6052</v>
      </c>
      <c r="K181" s="54">
        <v>0</v>
      </c>
      <c r="L181" s="22" t="s">
        <v>104</v>
      </c>
      <c r="M181" s="22" t="s">
        <v>36869</v>
      </c>
    </row>
    <row r="182" spans="1:13" x14ac:dyDescent="0.75">
      <c r="A182" t="s">
        <v>21979</v>
      </c>
      <c r="B182" t="s">
        <v>6617</v>
      </c>
      <c r="C182" t="s">
        <v>6400</v>
      </c>
      <c r="D182" t="s">
        <v>6618</v>
      </c>
      <c r="E182" t="s">
        <v>21980</v>
      </c>
      <c r="F182">
        <v>24</v>
      </c>
      <c r="G182">
        <v>2066676</v>
      </c>
      <c r="H182" t="s">
        <v>21981</v>
      </c>
      <c r="J182" s="54" t="s">
        <v>6052</v>
      </c>
      <c r="K182" s="54">
        <v>0</v>
      </c>
      <c r="L182" s="22" t="s">
        <v>104</v>
      </c>
      <c r="M182" s="22" t="s">
        <v>36869</v>
      </c>
    </row>
    <row r="183" spans="1:13" x14ac:dyDescent="0.75">
      <c r="A183" t="s">
        <v>22066</v>
      </c>
      <c r="B183" t="s">
        <v>6617</v>
      </c>
      <c r="C183" t="s">
        <v>6400</v>
      </c>
      <c r="D183" t="s">
        <v>6618</v>
      </c>
      <c r="E183" t="s">
        <v>22067</v>
      </c>
      <c r="F183">
        <v>25</v>
      </c>
      <c r="G183">
        <v>2108730</v>
      </c>
      <c r="H183" t="s">
        <v>22068</v>
      </c>
      <c r="J183" s="54" t="s">
        <v>6052</v>
      </c>
      <c r="K183" s="54">
        <v>0</v>
      </c>
      <c r="L183" s="22" t="s">
        <v>104</v>
      </c>
      <c r="M183" s="22" t="s">
        <v>36869</v>
      </c>
    </row>
    <row r="184" spans="1:13" x14ac:dyDescent="0.75">
      <c r="A184" t="s">
        <v>21973</v>
      </c>
      <c r="B184" t="s">
        <v>6617</v>
      </c>
      <c r="C184" t="s">
        <v>6400</v>
      </c>
      <c r="D184" t="s">
        <v>6618</v>
      </c>
      <c r="E184" t="s">
        <v>21974</v>
      </c>
      <c r="F184">
        <v>27</v>
      </c>
      <c r="G184">
        <v>2130593</v>
      </c>
      <c r="H184" t="s">
        <v>21975</v>
      </c>
      <c r="J184" s="54" t="s">
        <v>6052</v>
      </c>
      <c r="K184" s="54">
        <v>0</v>
      </c>
      <c r="L184" s="22" t="s">
        <v>104</v>
      </c>
      <c r="M184" s="22" t="s">
        <v>36869</v>
      </c>
    </row>
    <row r="185" spans="1:13" x14ac:dyDescent="0.75">
      <c r="A185" t="s">
        <v>22063</v>
      </c>
      <c r="B185" t="s">
        <v>6617</v>
      </c>
      <c r="C185" t="s">
        <v>6400</v>
      </c>
      <c r="D185" t="s">
        <v>6618</v>
      </c>
      <c r="E185" t="s">
        <v>22064</v>
      </c>
      <c r="F185">
        <v>26</v>
      </c>
      <c r="G185">
        <v>2133209</v>
      </c>
      <c r="H185" t="s">
        <v>22065</v>
      </c>
      <c r="J185" s="54" t="s">
        <v>6052</v>
      </c>
      <c r="K185" s="54">
        <v>0</v>
      </c>
      <c r="L185" s="22" t="s">
        <v>104</v>
      </c>
      <c r="M185" s="22" t="s">
        <v>36869</v>
      </c>
    </row>
    <row r="186" spans="1:13" x14ac:dyDescent="0.75">
      <c r="A186" t="s">
        <v>23827</v>
      </c>
      <c r="B186" t="s">
        <v>6617</v>
      </c>
      <c r="C186" t="s">
        <v>6400</v>
      </c>
      <c r="D186" t="s">
        <v>6618</v>
      </c>
      <c r="E186" t="s">
        <v>23828</v>
      </c>
      <c r="F186">
        <v>2</v>
      </c>
      <c r="G186">
        <v>2355150</v>
      </c>
      <c r="H186" t="s">
        <v>23829</v>
      </c>
      <c r="J186" s="54" t="s">
        <v>6052</v>
      </c>
      <c r="K186" s="54">
        <v>0</v>
      </c>
      <c r="L186" s="22" t="s">
        <v>104</v>
      </c>
      <c r="M186" s="22" t="s">
        <v>36869</v>
      </c>
    </row>
    <row r="187" spans="1:13" x14ac:dyDescent="0.75">
      <c r="A187" t="s">
        <v>23830</v>
      </c>
      <c r="B187" t="s">
        <v>6617</v>
      </c>
      <c r="C187" t="s">
        <v>6400</v>
      </c>
      <c r="D187" t="s">
        <v>6618</v>
      </c>
      <c r="E187" t="s">
        <v>23831</v>
      </c>
      <c r="F187">
        <v>2</v>
      </c>
      <c r="G187">
        <v>2157227</v>
      </c>
      <c r="H187" t="s">
        <v>23832</v>
      </c>
      <c r="J187" s="54" t="s">
        <v>6052</v>
      </c>
      <c r="K187" s="54">
        <v>0</v>
      </c>
      <c r="L187" s="22" t="s">
        <v>104</v>
      </c>
      <c r="M187" s="22" t="s">
        <v>36869</v>
      </c>
    </row>
    <row r="188" spans="1:13" x14ac:dyDescent="0.75">
      <c r="A188" t="s">
        <v>23860</v>
      </c>
      <c r="B188" t="s">
        <v>6617</v>
      </c>
      <c r="C188" t="s">
        <v>6400</v>
      </c>
      <c r="D188" t="s">
        <v>6618</v>
      </c>
      <c r="E188" t="s">
        <v>23861</v>
      </c>
      <c r="F188">
        <v>1</v>
      </c>
      <c r="G188">
        <v>2116158</v>
      </c>
      <c r="H188" t="s">
        <v>23862</v>
      </c>
      <c r="J188" s="54" t="s">
        <v>6052</v>
      </c>
      <c r="K188" s="54">
        <v>0</v>
      </c>
      <c r="L188" s="22" t="s">
        <v>104</v>
      </c>
      <c r="M188" s="22" t="s">
        <v>36869</v>
      </c>
    </row>
    <row r="189" spans="1:13" x14ac:dyDescent="0.75">
      <c r="A189" t="s">
        <v>8399</v>
      </c>
      <c r="B189" t="s">
        <v>6617</v>
      </c>
      <c r="C189" t="s">
        <v>6400</v>
      </c>
      <c r="D189" t="s">
        <v>6618</v>
      </c>
      <c r="E189" t="s">
        <v>8400</v>
      </c>
      <c r="F189">
        <v>1</v>
      </c>
      <c r="G189">
        <v>2136808</v>
      </c>
      <c r="H189" t="s">
        <v>8401</v>
      </c>
      <c r="J189" s="54" t="s">
        <v>6052</v>
      </c>
      <c r="K189" s="54">
        <v>0</v>
      </c>
      <c r="L189" s="22" t="s">
        <v>104</v>
      </c>
      <c r="M189" s="22" t="s">
        <v>36869</v>
      </c>
    </row>
    <row r="190" spans="1:13" x14ac:dyDescent="0.75">
      <c r="A190" t="s">
        <v>23348</v>
      </c>
      <c r="B190" t="s">
        <v>6617</v>
      </c>
      <c r="C190" t="s">
        <v>6400</v>
      </c>
      <c r="D190" t="s">
        <v>6618</v>
      </c>
      <c r="E190" t="s">
        <v>23349</v>
      </c>
      <c r="F190">
        <v>28</v>
      </c>
      <c r="G190">
        <v>2121926</v>
      </c>
      <c r="H190" t="s">
        <v>23350</v>
      </c>
      <c r="J190" s="54" t="s">
        <v>6052</v>
      </c>
      <c r="K190" s="54">
        <v>0</v>
      </c>
      <c r="L190" s="22" t="s">
        <v>104</v>
      </c>
      <c r="M190" s="22" t="s">
        <v>36869</v>
      </c>
    </row>
    <row r="191" spans="1:13" x14ac:dyDescent="0.75">
      <c r="A191" t="s">
        <v>21904</v>
      </c>
      <c r="B191" t="s">
        <v>6617</v>
      </c>
      <c r="C191" t="s">
        <v>6400</v>
      </c>
      <c r="D191" t="s">
        <v>6618</v>
      </c>
      <c r="E191" t="s">
        <v>21905</v>
      </c>
      <c r="F191">
        <v>1</v>
      </c>
      <c r="G191">
        <v>2331529</v>
      </c>
      <c r="H191" t="s">
        <v>21906</v>
      </c>
      <c r="J191" s="54" t="s">
        <v>6052</v>
      </c>
      <c r="K191" s="54">
        <v>0</v>
      </c>
      <c r="L191" s="22" t="s">
        <v>104</v>
      </c>
      <c r="M191" s="22" t="s">
        <v>36869</v>
      </c>
    </row>
    <row r="192" spans="1:13" x14ac:dyDescent="0.75">
      <c r="A192" t="s">
        <v>6616</v>
      </c>
      <c r="B192" t="s">
        <v>6617</v>
      </c>
      <c r="C192" t="s">
        <v>6400</v>
      </c>
      <c r="D192" t="s">
        <v>6618</v>
      </c>
      <c r="E192" t="s">
        <v>6619</v>
      </c>
      <c r="F192">
        <v>3</v>
      </c>
      <c r="G192">
        <v>2160722</v>
      </c>
      <c r="H192" t="s">
        <v>6620</v>
      </c>
      <c r="J192" s="54" t="s">
        <v>6052</v>
      </c>
      <c r="K192" s="54">
        <v>0</v>
      </c>
      <c r="L192" s="22" t="s">
        <v>104</v>
      </c>
      <c r="M192" s="22" t="s">
        <v>36869</v>
      </c>
    </row>
    <row r="193" spans="1:13" x14ac:dyDescent="0.75">
      <c r="A193" t="s">
        <v>7037</v>
      </c>
      <c r="B193" t="s">
        <v>6617</v>
      </c>
      <c r="C193" t="s">
        <v>6400</v>
      </c>
      <c r="D193" t="s">
        <v>6618</v>
      </c>
      <c r="E193" t="s">
        <v>7038</v>
      </c>
      <c r="F193">
        <v>1</v>
      </c>
      <c r="G193">
        <v>2308962</v>
      </c>
      <c r="H193" t="s">
        <v>7039</v>
      </c>
      <c r="J193" s="54" t="s">
        <v>6052</v>
      </c>
      <c r="K193" s="54">
        <v>0</v>
      </c>
      <c r="L193" s="22" t="s">
        <v>104</v>
      </c>
      <c r="M193" s="22" t="s">
        <v>36869</v>
      </c>
    </row>
    <row r="194" spans="1:13" x14ac:dyDescent="0.75">
      <c r="A194" t="s">
        <v>9320</v>
      </c>
      <c r="B194" t="s">
        <v>6617</v>
      </c>
      <c r="C194" t="s">
        <v>6400</v>
      </c>
      <c r="D194" t="s">
        <v>6618</v>
      </c>
      <c r="E194" t="s">
        <v>9321</v>
      </c>
      <c r="F194">
        <v>33</v>
      </c>
      <c r="G194">
        <v>2085887</v>
      </c>
      <c r="H194" t="s">
        <v>9322</v>
      </c>
      <c r="J194" s="54" t="s">
        <v>6052</v>
      </c>
      <c r="K194" s="54">
        <v>0</v>
      </c>
      <c r="L194" s="22" t="s">
        <v>104</v>
      </c>
      <c r="M194" s="22" t="s">
        <v>36869</v>
      </c>
    </row>
    <row r="195" spans="1:13" x14ac:dyDescent="0.75">
      <c r="A195" t="s">
        <v>21985</v>
      </c>
      <c r="B195" t="s">
        <v>6617</v>
      </c>
      <c r="C195" t="s">
        <v>6400</v>
      </c>
      <c r="D195" t="s">
        <v>6618</v>
      </c>
      <c r="E195" t="s">
        <v>21986</v>
      </c>
      <c r="F195">
        <v>24</v>
      </c>
      <c r="G195">
        <v>2066090</v>
      </c>
      <c r="H195" t="s">
        <v>21987</v>
      </c>
      <c r="J195" s="54" t="s">
        <v>6052</v>
      </c>
      <c r="K195" s="54">
        <v>0</v>
      </c>
      <c r="L195" s="22" t="s">
        <v>104</v>
      </c>
      <c r="M195" s="22" t="s">
        <v>36869</v>
      </c>
    </row>
    <row r="196" spans="1:13" x14ac:dyDescent="0.75">
      <c r="A196" t="s">
        <v>22060</v>
      </c>
      <c r="B196" t="s">
        <v>6617</v>
      </c>
      <c r="C196" t="s">
        <v>6400</v>
      </c>
      <c r="D196" t="s">
        <v>6618</v>
      </c>
      <c r="E196" t="s">
        <v>22061</v>
      </c>
      <c r="F196">
        <v>22</v>
      </c>
      <c r="G196">
        <v>2067856</v>
      </c>
      <c r="H196" t="s">
        <v>22062</v>
      </c>
      <c r="J196" s="54" t="s">
        <v>6052</v>
      </c>
      <c r="K196" s="54">
        <v>0</v>
      </c>
      <c r="L196" s="22" t="s">
        <v>104</v>
      </c>
      <c r="M196" s="22" t="s">
        <v>36869</v>
      </c>
    </row>
    <row r="197" spans="1:13" x14ac:dyDescent="0.75">
      <c r="A197" t="s">
        <v>19959</v>
      </c>
      <c r="B197" t="s">
        <v>6617</v>
      </c>
      <c r="C197" t="s">
        <v>6400</v>
      </c>
      <c r="D197" t="s">
        <v>6618</v>
      </c>
      <c r="E197" t="s">
        <v>19960</v>
      </c>
      <c r="F197">
        <v>1</v>
      </c>
      <c r="G197">
        <v>2105378</v>
      </c>
      <c r="H197" t="s">
        <v>19961</v>
      </c>
      <c r="J197" s="54" t="s">
        <v>6052</v>
      </c>
      <c r="K197" s="54">
        <v>0</v>
      </c>
      <c r="L197" s="22" t="s">
        <v>104</v>
      </c>
      <c r="M197" s="22" t="s">
        <v>36869</v>
      </c>
    </row>
    <row r="198" spans="1:13" x14ac:dyDescent="0.75">
      <c r="A198" t="s">
        <v>22042</v>
      </c>
      <c r="B198" t="s">
        <v>6617</v>
      </c>
      <c r="C198" t="s">
        <v>6400</v>
      </c>
      <c r="D198" t="s">
        <v>6618</v>
      </c>
      <c r="E198" t="s">
        <v>22043</v>
      </c>
      <c r="F198">
        <v>22</v>
      </c>
      <c r="G198">
        <v>2065955</v>
      </c>
      <c r="H198" t="s">
        <v>22044</v>
      </c>
      <c r="J198" s="54" t="s">
        <v>6052</v>
      </c>
      <c r="K198" s="54">
        <v>0</v>
      </c>
      <c r="L198" s="22" t="s">
        <v>104</v>
      </c>
      <c r="M198" s="22" t="s">
        <v>36869</v>
      </c>
    </row>
    <row r="199" spans="1:13" x14ac:dyDescent="0.75">
      <c r="A199" t="s">
        <v>22030</v>
      </c>
      <c r="B199" t="s">
        <v>6617</v>
      </c>
      <c r="C199" t="s">
        <v>6400</v>
      </c>
      <c r="D199" t="s">
        <v>6618</v>
      </c>
      <c r="E199" t="s">
        <v>22031</v>
      </c>
      <c r="F199">
        <v>21</v>
      </c>
      <c r="G199">
        <v>2040431</v>
      </c>
      <c r="H199" t="s">
        <v>22032</v>
      </c>
      <c r="J199" s="54" t="s">
        <v>6052</v>
      </c>
      <c r="K199" s="54">
        <v>0</v>
      </c>
      <c r="L199" s="22" t="s">
        <v>104</v>
      </c>
      <c r="M199" s="22" t="s">
        <v>36869</v>
      </c>
    </row>
    <row r="200" spans="1:13" x14ac:dyDescent="0.75">
      <c r="A200" t="s">
        <v>22033</v>
      </c>
      <c r="B200" t="s">
        <v>6617</v>
      </c>
      <c r="C200" t="s">
        <v>6400</v>
      </c>
      <c r="D200" t="s">
        <v>6618</v>
      </c>
      <c r="E200" t="s">
        <v>22034</v>
      </c>
      <c r="F200">
        <v>28</v>
      </c>
      <c r="G200">
        <v>2079354</v>
      </c>
      <c r="H200" t="s">
        <v>22035</v>
      </c>
      <c r="J200" s="54" t="s">
        <v>6052</v>
      </c>
      <c r="K200" s="54">
        <v>0</v>
      </c>
      <c r="L200" s="22" t="s">
        <v>104</v>
      </c>
      <c r="M200" s="22" t="s">
        <v>36869</v>
      </c>
    </row>
    <row r="201" spans="1:13" x14ac:dyDescent="0.75">
      <c r="A201" t="s">
        <v>22045</v>
      </c>
      <c r="B201" t="s">
        <v>6617</v>
      </c>
      <c r="C201" t="s">
        <v>6400</v>
      </c>
      <c r="D201" t="s">
        <v>6618</v>
      </c>
      <c r="E201" t="s">
        <v>22046</v>
      </c>
      <c r="F201">
        <v>25</v>
      </c>
      <c r="G201">
        <v>2122305</v>
      </c>
      <c r="H201" t="s">
        <v>22047</v>
      </c>
      <c r="J201" s="54" t="s">
        <v>6052</v>
      </c>
      <c r="K201" s="54">
        <v>0</v>
      </c>
      <c r="L201" s="22" t="s">
        <v>104</v>
      </c>
      <c r="M201" s="22" t="s">
        <v>36869</v>
      </c>
    </row>
    <row r="202" spans="1:13" x14ac:dyDescent="0.75">
      <c r="A202" t="s">
        <v>22036</v>
      </c>
      <c r="B202" t="s">
        <v>6617</v>
      </c>
      <c r="C202" t="s">
        <v>6400</v>
      </c>
      <c r="D202" t="s">
        <v>6618</v>
      </c>
      <c r="E202" t="s">
        <v>22037</v>
      </c>
      <c r="F202">
        <v>23</v>
      </c>
      <c r="G202">
        <v>2135833</v>
      </c>
      <c r="H202" t="s">
        <v>22038</v>
      </c>
      <c r="J202" s="54" t="s">
        <v>6052</v>
      </c>
      <c r="K202" s="54">
        <v>0</v>
      </c>
      <c r="L202" s="22" t="s">
        <v>104</v>
      </c>
      <c r="M202" s="22" t="s">
        <v>36869</v>
      </c>
    </row>
    <row r="203" spans="1:13" x14ac:dyDescent="0.75">
      <c r="A203" t="s">
        <v>21976</v>
      </c>
      <c r="B203" t="s">
        <v>6617</v>
      </c>
      <c r="C203" t="s">
        <v>6400</v>
      </c>
      <c r="D203" t="s">
        <v>6618</v>
      </c>
      <c r="E203" t="s">
        <v>21977</v>
      </c>
      <c r="F203">
        <v>23</v>
      </c>
      <c r="G203">
        <v>2065593</v>
      </c>
      <c r="H203" t="s">
        <v>21978</v>
      </c>
      <c r="J203" s="54" t="s">
        <v>6052</v>
      </c>
      <c r="K203" s="54">
        <v>0</v>
      </c>
      <c r="L203" s="22" t="s">
        <v>104</v>
      </c>
      <c r="M203" s="22" t="s">
        <v>36869</v>
      </c>
    </row>
    <row r="204" spans="1:13" x14ac:dyDescent="0.75">
      <c r="A204" t="s">
        <v>21970</v>
      </c>
      <c r="B204" t="s">
        <v>6617</v>
      </c>
      <c r="C204" t="s">
        <v>6400</v>
      </c>
      <c r="D204" t="s">
        <v>6618</v>
      </c>
      <c r="E204" t="s">
        <v>21971</v>
      </c>
      <c r="F204">
        <v>21</v>
      </c>
      <c r="G204">
        <v>2070210</v>
      </c>
      <c r="H204" t="s">
        <v>21972</v>
      </c>
      <c r="J204" s="54" t="s">
        <v>6052</v>
      </c>
      <c r="K204" s="54">
        <v>0</v>
      </c>
      <c r="L204" s="22" t="s">
        <v>104</v>
      </c>
      <c r="M204" s="22" t="s">
        <v>36869</v>
      </c>
    </row>
    <row r="205" spans="1:13" x14ac:dyDescent="0.75">
      <c r="A205" t="s">
        <v>21967</v>
      </c>
      <c r="B205" t="s">
        <v>6617</v>
      </c>
      <c r="C205" t="s">
        <v>6400</v>
      </c>
      <c r="D205" t="s">
        <v>6618</v>
      </c>
      <c r="E205" t="s">
        <v>21968</v>
      </c>
      <c r="F205">
        <v>22</v>
      </c>
      <c r="G205">
        <v>2077434</v>
      </c>
      <c r="H205" t="s">
        <v>21969</v>
      </c>
      <c r="J205" s="54" t="s">
        <v>6052</v>
      </c>
      <c r="K205" s="54">
        <v>0</v>
      </c>
      <c r="L205" s="22" t="s">
        <v>104</v>
      </c>
      <c r="M205" s="22" t="s">
        <v>36869</v>
      </c>
    </row>
    <row r="206" spans="1:13" x14ac:dyDescent="0.75">
      <c r="A206" t="s">
        <v>22054</v>
      </c>
      <c r="B206" t="s">
        <v>6617</v>
      </c>
      <c r="C206" t="s">
        <v>6400</v>
      </c>
      <c r="D206" t="s">
        <v>6618</v>
      </c>
      <c r="E206" t="s">
        <v>22055</v>
      </c>
      <c r="F206">
        <v>24</v>
      </c>
      <c r="G206">
        <v>2073469</v>
      </c>
      <c r="H206" t="s">
        <v>22056</v>
      </c>
      <c r="J206" s="54" t="s">
        <v>6052</v>
      </c>
      <c r="K206" s="54">
        <v>0</v>
      </c>
      <c r="L206" s="22" t="s">
        <v>104</v>
      </c>
      <c r="M206" s="22" t="s">
        <v>36869</v>
      </c>
    </row>
    <row r="207" spans="1:13" x14ac:dyDescent="0.75">
      <c r="A207" t="s">
        <v>22039</v>
      </c>
      <c r="B207" t="s">
        <v>6617</v>
      </c>
      <c r="C207" t="s">
        <v>6400</v>
      </c>
      <c r="D207" t="s">
        <v>6618</v>
      </c>
      <c r="E207" t="s">
        <v>22040</v>
      </c>
      <c r="F207">
        <v>26</v>
      </c>
      <c r="G207">
        <v>2071201</v>
      </c>
      <c r="H207" t="s">
        <v>22041</v>
      </c>
      <c r="J207" s="54" t="s">
        <v>6052</v>
      </c>
      <c r="K207" s="54">
        <v>0</v>
      </c>
      <c r="L207" s="22" t="s">
        <v>104</v>
      </c>
      <c r="M207" s="22" t="s">
        <v>36869</v>
      </c>
    </row>
    <row r="208" spans="1:13" x14ac:dyDescent="0.75">
      <c r="A208" t="s">
        <v>22024</v>
      </c>
      <c r="B208" t="s">
        <v>6617</v>
      </c>
      <c r="C208" t="s">
        <v>6400</v>
      </c>
      <c r="D208" t="s">
        <v>6618</v>
      </c>
      <c r="E208" t="s">
        <v>22025</v>
      </c>
      <c r="F208">
        <v>25</v>
      </c>
      <c r="G208">
        <v>2076828</v>
      </c>
      <c r="H208" t="s">
        <v>22026</v>
      </c>
      <c r="J208" s="54" t="s">
        <v>6052</v>
      </c>
      <c r="K208" s="54">
        <v>0</v>
      </c>
      <c r="L208" s="22" t="s">
        <v>104</v>
      </c>
      <c r="M208" s="22" t="s">
        <v>36869</v>
      </c>
    </row>
    <row r="209" spans="1:13" x14ac:dyDescent="0.75">
      <c r="A209" t="s">
        <v>17277</v>
      </c>
      <c r="B209" t="s">
        <v>6617</v>
      </c>
      <c r="C209" t="s">
        <v>6400</v>
      </c>
      <c r="D209" t="s">
        <v>6618</v>
      </c>
      <c r="E209" t="s">
        <v>17278</v>
      </c>
      <c r="F209">
        <v>1</v>
      </c>
      <c r="G209">
        <v>2316234</v>
      </c>
      <c r="H209" t="s">
        <v>17279</v>
      </c>
      <c r="J209" s="54" t="s">
        <v>6052</v>
      </c>
      <c r="K209" s="54">
        <v>0</v>
      </c>
      <c r="L209" s="22" t="s">
        <v>104</v>
      </c>
      <c r="M209" s="22" t="s">
        <v>36869</v>
      </c>
    </row>
    <row r="210" spans="1:13" x14ac:dyDescent="0.75">
      <c r="A210" t="s">
        <v>17280</v>
      </c>
      <c r="B210" t="s">
        <v>6617</v>
      </c>
      <c r="C210" t="s">
        <v>6400</v>
      </c>
      <c r="D210" t="s">
        <v>6618</v>
      </c>
      <c r="E210" t="s">
        <v>17281</v>
      </c>
      <c r="F210">
        <v>1</v>
      </c>
      <c r="G210">
        <v>2298901</v>
      </c>
      <c r="H210" t="s">
        <v>17282</v>
      </c>
      <c r="J210" s="54" t="s">
        <v>6052</v>
      </c>
      <c r="K210" s="54">
        <v>0</v>
      </c>
      <c r="L210" s="22" t="s">
        <v>104</v>
      </c>
      <c r="M210" s="22" t="s">
        <v>36869</v>
      </c>
    </row>
    <row r="211" spans="1:13" x14ac:dyDescent="0.75">
      <c r="A211" t="s">
        <v>10260</v>
      </c>
      <c r="B211" t="s">
        <v>6617</v>
      </c>
      <c r="C211" t="s">
        <v>6400</v>
      </c>
      <c r="D211" t="s">
        <v>6618</v>
      </c>
      <c r="E211" t="s">
        <v>10261</v>
      </c>
      <c r="F211">
        <v>1</v>
      </c>
      <c r="G211">
        <v>2105503</v>
      </c>
      <c r="H211" t="s">
        <v>10262</v>
      </c>
      <c r="J211" s="54" t="s">
        <v>6052</v>
      </c>
      <c r="K211" s="54">
        <v>0</v>
      </c>
      <c r="L211" s="22" t="s">
        <v>104</v>
      </c>
      <c r="M211" s="22" t="s">
        <v>36869</v>
      </c>
    </row>
    <row r="212" spans="1:13" x14ac:dyDescent="0.75">
      <c r="A212" t="s">
        <v>12383</v>
      </c>
      <c r="B212" t="s">
        <v>6617</v>
      </c>
      <c r="C212" t="s">
        <v>6400</v>
      </c>
      <c r="D212" t="s">
        <v>6618</v>
      </c>
      <c r="E212" t="s">
        <v>12384</v>
      </c>
      <c r="F212">
        <v>1</v>
      </c>
      <c r="G212">
        <v>2291252</v>
      </c>
      <c r="H212" t="s">
        <v>12385</v>
      </c>
      <c r="J212" s="54" t="s">
        <v>6052</v>
      </c>
      <c r="K212" s="54">
        <v>0</v>
      </c>
      <c r="L212" s="22" t="s">
        <v>104</v>
      </c>
      <c r="M212" s="22" t="s">
        <v>36869</v>
      </c>
    </row>
    <row r="213" spans="1:13" x14ac:dyDescent="0.75">
      <c r="A213" t="s">
        <v>24167</v>
      </c>
      <c r="B213" t="s">
        <v>6617</v>
      </c>
      <c r="C213" t="s">
        <v>6400</v>
      </c>
      <c r="D213" t="s">
        <v>6618</v>
      </c>
      <c r="E213" t="s">
        <v>24168</v>
      </c>
      <c r="F213">
        <v>1</v>
      </c>
      <c r="G213">
        <v>2133765</v>
      </c>
      <c r="H213" t="s">
        <v>24169</v>
      </c>
      <c r="J213" s="54" t="s">
        <v>6052</v>
      </c>
      <c r="K213" s="54">
        <v>0</v>
      </c>
      <c r="L213" s="22" t="s">
        <v>104</v>
      </c>
      <c r="M213" s="22" t="s">
        <v>36869</v>
      </c>
    </row>
    <row r="214" spans="1:13" x14ac:dyDescent="0.75">
      <c r="A214" t="s">
        <v>13857</v>
      </c>
      <c r="B214" t="s">
        <v>6617</v>
      </c>
      <c r="C214" t="s">
        <v>6400</v>
      </c>
      <c r="D214" t="s">
        <v>6618</v>
      </c>
      <c r="E214" t="s">
        <v>13858</v>
      </c>
      <c r="F214">
        <v>7</v>
      </c>
      <c r="G214">
        <v>2291820</v>
      </c>
      <c r="H214" t="s">
        <v>13859</v>
      </c>
      <c r="J214" s="54" t="s">
        <v>6052</v>
      </c>
      <c r="K214" s="54">
        <v>0</v>
      </c>
      <c r="L214" s="22" t="s">
        <v>104</v>
      </c>
      <c r="M214" s="22" t="s">
        <v>36869</v>
      </c>
    </row>
    <row r="215" spans="1:13" x14ac:dyDescent="0.75">
      <c r="A215" t="s">
        <v>17262</v>
      </c>
      <c r="B215" t="s">
        <v>6617</v>
      </c>
      <c r="C215" t="s">
        <v>6400</v>
      </c>
      <c r="D215" t="s">
        <v>6618</v>
      </c>
      <c r="E215" t="s">
        <v>17263</v>
      </c>
      <c r="F215">
        <v>41</v>
      </c>
      <c r="G215">
        <v>2069548</v>
      </c>
      <c r="H215" t="s">
        <v>17264</v>
      </c>
      <c r="J215" s="54" t="s">
        <v>6052</v>
      </c>
      <c r="K215" s="54">
        <v>0</v>
      </c>
      <c r="L215" s="22" t="s">
        <v>104</v>
      </c>
      <c r="M215" s="22" t="s">
        <v>36869</v>
      </c>
    </row>
    <row r="216" spans="1:13" x14ac:dyDescent="0.75">
      <c r="A216" t="s">
        <v>27377</v>
      </c>
      <c r="B216" t="s">
        <v>6617</v>
      </c>
      <c r="C216" t="s">
        <v>6400</v>
      </c>
      <c r="D216" t="s">
        <v>6618</v>
      </c>
      <c r="E216" t="s">
        <v>27378</v>
      </c>
      <c r="F216">
        <v>3</v>
      </c>
      <c r="G216">
        <v>2089682</v>
      </c>
      <c r="H216" t="s">
        <v>27379</v>
      </c>
      <c r="J216" s="54" t="s">
        <v>6052</v>
      </c>
      <c r="K216" s="54">
        <v>0</v>
      </c>
      <c r="L216" s="22" t="s">
        <v>104</v>
      </c>
      <c r="M216" s="22" t="s">
        <v>36869</v>
      </c>
    </row>
    <row r="217" spans="1:13" x14ac:dyDescent="0.75">
      <c r="A217" t="s">
        <v>11849</v>
      </c>
      <c r="B217" t="s">
        <v>6617</v>
      </c>
      <c r="C217" t="s">
        <v>6400</v>
      </c>
      <c r="D217" t="s">
        <v>6618</v>
      </c>
      <c r="E217" t="s">
        <v>11850</v>
      </c>
      <c r="F217">
        <v>1</v>
      </c>
      <c r="G217">
        <v>2382853</v>
      </c>
      <c r="H217" t="s">
        <v>11851</v>
      </c>
      <c r="J217" s="54" t="s">
        <v>6052</v>
      </c>
      <c r="K217" s="54">
        <v>0</v>
      </c>
      <c r="L217" s="22" t="s">
        <v>104</v>
      </c>
      <c r="M217" s="22" t="s">
        <v>36869</v>
      </c>
    </row>
    <row r="218" spans="1:13" x14ac:dyDescent="0.75">
      <c r="A218" t="s">
        <v>22021</v>
      </c>
      <c r="B218" t="s">
        <v>6617</v>
      </c>
      <c r="C218" t="s">
        <v>6400</v>
      </c>
      <c r="D218" t="s">
        <v>6618</v>
      </c>
      <c r="E218" t="s">
        <v>22022</v>
      </c>
      <c r="F218">
        <v>29</v>
      </c>
      <c r="G218">
        <v>2096147</v>
      </c>
      <c r="H218" t="s">
        <v>22023</v>
      </c>
      <c r="J218" s="54" t="s">
        <v>6052</v>
      </c>
      <c r="K218" s="54">
        <v>0</v>
      </c>
      <c r="L218" s="22" t="s">
        <v>104</v>
      </c>
      <c r="M218" s="22" t="s">
        <v>36869</v>
      </c>
    </row>
    <row r="219" spans="1:13" x14ac:dyDescent="0.75">
      <c r="A219" t="s">
        <v>22018</v>
      </c>
      <c r="B219" t="s">
        <v>6617</v>
      </c>
      <c r="C219" t="s">
        <v>6400</v>
      </c>
      <c r="D219" t="s">
        <v>6618</v>
      </c>
      <c r="E219" t="s">
        <v>22019</v>
      </c>
      <c r="F219">
        <v>26</v>
      </c>
      <c r="G219">
        <v>2066755</v>
      </c>
      <c r="H219" t="s">
        <v>22020</v>
      </c>
      <c r="J219" s="54" t="s">
        <v>6052</v>
      </c>
      <c r="K219" s="54">
        <v>0</v>
      </c>
      <c r="L219" s="22" t="s">
        <v>104</v>
      </c>
      <c r="M219" s="22" t="s">
        <v>36869</v>
      </c>
    </row>
    <row r="220" spans="1:13" x14ac:dyDescent="0.75">
      <c r="A220" t="s">
        <v>22012</v>
      </c>
      <c r="B220" t="s">
        <v>6617</v>
      </c>
      <c r="C220" t="s">
        <v>6400</v>
      </c>
      <c r="D220" t="s">
        <v>6618</v>
      </c>
      <c r="E220" t="s">
        <v>22013</v>
      </c>
      <c r="F220">
        <v>21</v>
      </c>
      <c r="G220">
        <v>2068141</v>
      </c>
      <c r="H220" t="s">
        <v>22014</v>
      </c>
      <c r="J220" s="54" t="s">
        <v>6052</v>
      </c>
      <c r="K220" s="54">
        <v>0</v>
      </c>
      <c r="L220" s="22" t="s">
        <v>104</v>
      </c>
      <c r="M220" s="22" t="s">
        <v>36869</v>
      </c>
    </row>
    <row r="221" spans="1:13" x14ac:dyDescent="0.75">
      <c r="A221" t="s">
        <v>22027</v>
      </c>
      <c r="B221" t="s">
        <v>6617</v>
      </c>
      <c r="C221" t="s">
        <v>6400</v>
      </c>
      <c r="D221" t="s">
        <v>6618</v>
      </c>
      <c r="E221" t="s">
        <v>22028</v>
      </c>
      <c r="F221">
        <v>24</v>
      </c>
      <c r="G221">
        <v>2028232</v>
      </c>
      <c r="H221" t="s">
        <v>22029</v>
      </c>
      <c r="J221" s="54" t="s">
        <v>6052</v>
      </c>
      <c r="K221" s="54">
        <v>0</v>
      </c>
      <c r="L221" s="22" t="s">
        <v>104</v>
      </c>
      <c r="M221" s="22" t="s">
        <v>36869</v>
      </c>
    </row>
    <row r="222" spans="1:13" x14ac:dyDescent="0.75">
      <c r="A222" t="s">
        <v>17247</v>
      </c>
      <c r="B222" t="s">
        <v>6617</v>
      </c>
      <c r="C222" t="s">
        <v>6400</v>
      </c>
      <c r="D222" t="s">
        <v>6618</v>
      </c>
      <c r="E222" t="s">
        <v>17248</v>
      </c>
      <c r="F222">
        <v>28</v>
      </c>
      <c r="G222">
        <v>2120456</v>
      </c>
      <c r="H222" t="s">
        <v>17249</v>
      </c>
      <c r="J222" s="54" t="s">
        <v>6052</v>
      </c>
      <c r="K222" s="54">
        <v>0</v>
      </c>
      <c r="L222" s="22" t="s">
        <v>104</v>
      </c>
      <c r="M222" s="22" t="s">
        <v>36869</v>
      </c>
    </row>
    <row r="223" spans="1:13" x14ac:dyDescent="0.75">
      <c r="A223" t="s">
        <v>17253</v>
      </c>
      <c r="B223" t="s">
        <v>6617</v>
      </c>
      <c r="C223" t="s">
        <v>6400</v>
      </c>
      <c r="D223" t="s">
        <v>6618</v>
      </c>
      <c r="E223" t="s">
        <v>17254</v>
      </c>
      <c r="F223">
        <v>26</v>
      </c>
      <c r="G223">
        <v>2079715</v>
      </c>
      <c r="H223" t="s">
        <v>17255</v>
      </c>
      <c r="J223" s="54" t="s">
        <v>6052</v>
      </c>
      <c r="K223" s="54">
        <v>0</v>
      </c>
      <c r="L223" s="22" t="s">
        <v>104</v>
      </c>
      <c r="M223" s="22" t="s">
        <v>36869</v>
      </c>
    </row>
    <row r="224" spans="1:13" x14ac:dyDescent="0.75">
      <c r="A224" t="s">
        <v>17250</v>
      </c>
      <c r="B224" t="s">
        <v>6617</v>
      </c>
      <c r="C224" t="s">
        <v>6400</v>
      </c>
      <c r="D224" t="s">
        <v>6618</v>
      </c>
      <c r="E224" t="s">
        <v>17251</v>
      </c>
      <c r="F224">
        <v>26</v>
      </c>
      <c r="G224">
        <v>2062693</v>
      </c>
      <c r="H224" t="s">
        <v>17252</v>
      </c>
      <c r="J224" s="54" t="s">
        <v>6052</v>
      </c>
      <c r="K224" s="54">
        <v>0</v>
      </c>
      <c r="L224" s="22" t="s">
        <v>104</v>
      </c>
      <c r="M224" s="22" t="s">
        <v>36869</v>
      </c>
    </row>
    <row r="225" spans="1:13" x14ac:dyDescent="0.75">
      <c r="A225" t="s">
        <v>17244</v>
      </c>
      <c r="B225" t="s">
        <v>6617</v>
      </c>
      <c r="C225" t="s">
        <v>6400</v>
      </c>
      <c r="D225" t="s">
        <v>6618</v>
      </c>
      <c r="E225" t="s">
        <v>17245</v>
      </c>
      <c r="F225">
        <v>2</v>
      </c>
      <c r="G225">
        <v>2237318</v>
      </c>
      <c r="H225" t="s">
        <v>17246</v>
      </c>
      <c r="J225" s="54" t="s">
        <v>6052</v>
      </c>
      <c r="K225" s="54">
        <v>0</v>
      </c>
      <c r="L225" s="22" t="s">
        <v>104</v>
      </c>
      <c r="M225" s="22" t="s">
        <v>36869</v>
      </c>
    </row>
    <row r="226" spans="1:13" x14ac:dyDescent="0.75">
      <c r="A226" t="s">
        <v>17274</v>
      </c>
      <c r="B226" t="s">
        <v>6617</v>
      </c>
      <c r="C226" t="s">
        <v>6400</v>
      </c>
      <c r="D226" t="s">
        <v>6618</v>
      </c>
      <c r="E226" t="s">
        <v>17275</v>
      </c>
      <c r="F226">
        <v>26</v>
      </c>
      <c r="G226">
        <v>2043562</v>
      </c>
      <c r="H226" t="s">
        <v>17276</v>
      </c>
      <c r="J226" s="54" t="s">
        <v>6052</v>
      </c>
      <c r="K226" s="54">
        <v>0</v>
      </c>
      <c r="L226" s="22" t="s">
        <v>104</v>
      </c>
      <c r="M226" s="22" t="s">
        <v>36869</v>
      </c>
    </row>
    <row r="227" spans="1:13" x14ac:dyDescent="0.75">
      <c r="A227" t="s">
        <v>17271</v>
      </c>
      <c r="B227" t="s">
        <v>6617</v>
      </c>
      <c r="C227" t="s">
        <v>6400</v>
      </c>
      <c r="D227" t="s">
        <v>6618</v>
      </c>
      <c r="E227" t="s">
        <v>17272</v>
      </c>
      <c r="F227">
        <v>27</v>
      </c>
      <c r="G227">
        <v>2041829</v>
      </c>
      <c r="H227" t="s">
        <v>17273</v>
      </c>
      <c r="J227" s="54" t="s">
        <v>6052</v>
      </c>
      <c r="K227" s="54">
        <v>0</v>
      </c>
      <c r="L227" s="22" t="s">
        <v>104</v>
      </c>
      <c r="M227" s="22" t="s">
        <v>36869</v>
      </c>
    </row>
    <row r="228" spans="1:13" x14ac:dyDescent="0.75">
      <c r="A228" t="s">
        <v>17268</v>
      </c>
      <c r="B228" t="s">
        <v>6617</v>
      </c>
      <c r="C228" t="s">
        <v>6400</v>
      </c>
      <c r="D228" t="s">
        <v>6618</v>
      </c>
      <c r="E228" t="s">
        <v>17269</v>
      </c>
      <c r="F228">
        <v>27</v>
      </c>
      <c r="G228">
        <v>2030108</v>
      </c>
      <c r="H228" t="s">
        <v>17270</v>
      </c>
      <c r="J228" s="54" t="s">
        <v>6052</v>
      </c>
      <c r="K228" s="54">
        <v>0</v>
      </c>
      <c r="L228" s="22" t="s">
        <v>104</v>
      </c>
      <c r="M228" s="22" t="s">
        <v>36869</v>
      </c>
    </row>
    <row r="229" spans="1:13" x14ac:dyDescent="0.75">
      <c r="A229" t="s">
        <v>17259</v>
      </c>
      <c r="B229" t="s">
        <v>6617</v>
      </c>
      <c r="C229" t="s">
        <v>6400</v>
      </c>
      <c r="D229" t="s">
        <v>6618</v>
      </c>
      <c r="E229" t="s">
        <v>17260</v>
      </c>
      <c r="F229">
        <v>27</v>
      </c>
      <c r="G229">
        <v>2036242</v>
      </c>
      <c r="H229" t="s">
        <v>17261</v>
      </c>
      <c r="J229" s="54" t="s">
        <v>6052</v>
      </c>
      <c r="K229" s="54">
        <v>0</v>
      </c>
      <c r="L229" s="22" t="s">
        <v>104</v>
      </c>
      <c r="M229" s="22" t="s">
        <v>36869</v>
      </c>
    </row>
    <row r="230" spans="1:13" x14ac:dyDescent="0.75">
      <c r="A230" t="s">
        <v>17235</v>
      </c>
      <c r="B230" t="s">
        <v>6617</v>
      </c>
      <c r="C230" t="s">
        <v>6400</v>
      </c>
      <c r="D230" t="s">
        <v>6618</v>
      </c>
      <c r="E230" t="s">
        <v>17236</v>
      </c>
      <c r="F230">
        <v>28</v>
      </c>
      <c r="G230">
        <v>2078207</v>
      </c>
      <c r="H230" t="s">
        <v>17237</v>
      </c>
      <c r="J230" s="54" t="s">
        <v>6052</v>
      </c>
      <c r="K230" s="54">
        <v>0</v>
      </c>
      <c r="L230" s="22" t="s">
        <v>104</v>
      </c>
      <c r="M230" s="22" t="s">
        <v>36869</v>
      </c>
    </row>
    <row r="231" spans="1:13" x14ac:dyDescent="0.75">
      <c r="A231" t="s">
        <v>17256</v>
      </c>
      <c r="B231" t="s">
        <v>6617</v>
      </c>
      <c r="C231" t="s">
        <v>6400</v>
      </c>
      <c r="D231" t="s">
        <v>6618</v>
      </c>
      <c r="E231" t="s">
        <v>17257</v>
      </c>
      <c r="F231">
        <v>25</v>
      </c>
      <c r="G231">
        <v>2039051</v>
      </c>
      <c r="H231" t="s">
        <v>17258</v>
      </c>
      <c r="J231" s="54" t="s">
        <v>6052</v>
      </c>
      <c r="K231" s="54">
        <v>0</v>
      </c>
      <c r="L231" s="22" t="s">
        <v>104</v>
      </c>
      <c r="M231" s="22" t="s">
        <v>36869</v>
      </c>
    </row>
    <row r="232" spans="1:13" x14ac:dyDescent="0.75">
      <c r="A232" t="s">
        <v>17283</v>
      </c>
      <c r="B232" t="s">
        <v>6617</v>
      </c>
      <c r="C232" t="s">
        <v>6400</v>
      </c>
      <c r="D232" t="s">
        <v>6618</v>
      </c>
      <c r="E232" t="s">
        <v>17284</v>
      </c>
      <c r="F232">
        <v>1</v>
      </c>
      <c r="G232">
        <v>2284248</v>
      </c>
      <c r="H232" t="s">
        <v>17285</v>
      </c>
      <c r="J232" s="54" t="s">
        <v>6052</v>
      </c>
      <c r="K232" s="54">
        <v>0</v>
      </c>
      <c r="L232" s="22" t="s">
        <v>104</v>
      </c>
      <c r="M232" s="22" t="s">
        <v>36869</v>
      </c>
    </row>
    <row r="233" spans="1:13" x14ac:dyDescent="0.75">
      <c r="A233" t="s">
        <v>17241</v>
      </c>
      <c r="B233" t="s">
        <v>6617</v>
      </c>
      <c r="C233" t="s">
        <v>6400</v>
      </c>
      <c r="D233" t="s">
        <v>6618</v>
      </c>
      <c r="E233" t="s">
        <v>17242</v>
      </c>
      <c r="F233">
        <v>25</v>
      </c>
      <c r="G233">
        <v>2109962</v>
      </c>
      <c r="H233" t="s">
        <v>17243</v>
      </c>
      <c r="J233" s="54" t="s">
        <v>6052</v>
      </c>
      <c r="K233" s="54">
        <v>0</v>
      </c>
      <c r="L233" s="22" t="s">
        <v>104</v>
      </c>
      <c r="M233" s="22" t="s">
        <v>36869</v>
      </c>
    </row>
    <row r="234" spans="1:13" x14ac:dyDescent="0.75">
      <c r="A234" t="s">
        <v>17265</v>
      </c>
      <c r="B234" t="s">
        <v>6617</v>
      </c>
      <c r="C234" t="s">
        <v>6400</v>
      </c>
      <c r="D234" t="s">
        <v>6618</v>
      </c>
      <c r="E234" t="s">
        <v>17266</v>
      </c>
      <c r="F234">
        <v>24</v>
      </c>
      <c r="G234">
        <v>2046220</v>
      </c>
      <c r="H234" t="s">
        <v>17267</v>
      </c>
      <c r="J234" s="54" t="s">
        <v>6052</v>
      </c>
      <c r="K234" s="54">
        <v>0</v>
      </c>
      <c r="L234" s="22" t="s">
        <v>104</v>
      </c>
      <c r="M234" s="22" t="s">
        <v>36869</v>
      </c>
    </row>
    <row r="235" spans="1:13" x14ac:dyDescent="0.75">
      <c r="A235" t="s">
        <v>17238</v>
      </c>
      <c r="B235" t="s">
        <v>6617</v>
      </c>
      <c r="C235" t="s">
        <v>6400</v>
      </c>
      <c r="D235" t="s">
        <v>6618</v>
      </c>
      <c r="E235" t="s">
        <v>17239</v>
      </c>
      <c r="F235">
        <v>27</v>
      </c>
      <c r="G235">
        <v>2134503</v>
      </c>
      <c r="H235" t="s">
        <v>17240</v>
      </c>
      <c r="J235" s="54" t="s">
        <v>6052</v>
      </c>
      <c r="K235" s="54">
        <v>0</v>
      </c>
      <c r="L235" s="22" t="s">
        <v>104</v>
      </c>
      <c r="M235" s="22" t="s">
        <v>36869</v>
      </c>
    </row>
    <row r="236" spans="1:13" x14ac:dyDescent="0.75">
      <c r="A236" t="s">
        <v>17232</v>
      </c>
      <c r="B236" t="s">
        <v>6617</v>
      </c>
      <c r="C236" t="s">
        <v>6400</v>
      </c>
      <c r="D236" t="s">
        <v>6618</v>
      </c>
      <c r="E236" t="s">
        <v>17233</v>
      </c>
      <c r="F236">
        <v>29</v>
      </c>
      <c r="G236">
        <v>2038882</v>
      </c>
      <c r="H236" t="s">
        <v>17234</v>
      </c>
      <c r="J236" s="54" t="s">
        <v>6052</v>
      </c>
      <c r="K236" s="54">
        <v>0</v>
      </c>
      <c r="L236" s="22" t="s">
        <v>104</v>
      </c>
      <c r="M236" s="22" t="s">
        <v>36869</v>
      </c>
    </row>
    <row r="237" spans="1:13" x14ac:dyDescent="0.75">
      <c r="A237" t="s">
        <v>15020</v>
      </c>
      <c r="B237" t="s">
        <v>6617</v>
      </c>
      <c r="C237" t="s">
        <v>6400</v>
      </c>
      <c r="D237" t="s">
        <v>6618</v>
      </c>
      <c r="E237" t="s">
        <v>15021</v>
      </c>
      <c r="F237">
        <v>23</v>
      </c>
      <c r="G237">
        <v>2032621</v>
      </c>
      <c r="H237" t="s">
        <v>15022</v>
      </c>
      <c r="J237" s="54" t="s">
        <v>6052</v>
      </c>
      <c r="K237" s="54">
        <v>0</v>
      </c>
      <c r="L237" s="22" t="s">
        <v>104</v>
      </c>
      <c r="M237" s="22" t="s">
        <v>36869</v>
      </c>
    </row>
    <row r="238" spans="1:13" x14ac:dyDescent="0.75">
      <c r="A238" t="s">
        <v>8582</v>
      </c>
      <c r="B238" t="s">
        <v>6617</v>
      </c>
      <c r="C238" t="s">
        <v>6400</v>
      </c>
      <c r="D238" t="s">
        <v>6618</v>
      </c>
      <c r="E238" t="s">
        <v>8583</v>
      </c>
      <c r="F238">
        <v>11</v>
      </c>
      <c r="G238">
        <v>2233070</v>
      </c>
      <c r="H238" t="s">
        <v>8584</v>
      </c>
      <c r="J238" s="54" t="s">
        <v>6052</v>
      </c>
      <c r="K238" s="54">
        <v>0</v>
      </c>
      <c r="L238" s="22" t="s">
        <v>104</v>
      </c>
      <c r="M238" s="22" t="s">
        <v>36869</v>
      </c>
    </row>
    <row r="239" spans="1:13" x14ac:dyDescent="0.75">
      <c r="A239" t="s">
        <v>11385</v>
      </c>
      <c r="B239" t="s">
        <v>6617</v>
      </c>
      <c r="C239" t="s">
        <v>6400</v>
      </c>
      <c r="D239" t="s">
        <v>6618</v>
      </c>
      <c r="E239" t="s">
        <v>11386</v>
      </c>
      <c r="F239">
        <v>11</v>
      </c>
      <c r="G239">
        <v>2233070</v>
      </c>
      <c r="H239" t="s">
        <v>11387</v>
      </c>
      <c r="J239" s="54" t="s">
        <v>6052</v>
      </c>
      <c r="K239" s="54">
        <v>0</v>
      </c>
      <c r="L239" s="22" t="s">
        <v>104</v>
      </c>
      <c r="M239" s="22" t="s">
        <v>36869</v>
      </c>
    </row>
    <row r="240" spans="1:13" x14ac:dyDescent="0.75">
      <c r="A240" t="s">
        <v>17019</v>
      </c>
      <c r="B240" t="s">
        <v>6617</v>
      </c>
      <c r="C240" t="s">
        <v>6400</v>
      </c>
      <c r="D240" t="s">
        <v>6618</v>
      </c>
      <c r="E240" t="s">
        <v>17020</v>
      </c>
      <c r="F240">
        <v>22</v>
      </c>
      <c r="G240">
        <v>2099973</v>
      </c>
      <c r="H240" t="s">
        <v>17021</v>
      </c>
      <c r="J240" s="54" t="s">
        <v>6052</v>
      </c>
      <c r="K240" s="54">
        <v>0</v>
      </c>
      <c r="L240" s="22" t="s">
        <v>104</v>
      </c>
      <c r="M240" s="22" t="s">
        <v>36869</v>
      </c>
    </row>
    <row r="241" spans="1:13" x14ac:dyDescent="0.75">
      <c r="A241" t="s">
        <v>22015</v>
      </c>
      <c r="B241" t="s">
        <v>6617</v>
      </c>
      <c r="C241" t="s">
        <v>6400</v>
      </c>
      <c r="D241" t="s">
        <v>6618</v>
      </c>
      <c r="E241" t="s">
        <v>22016</v>
      </c>
      <c r="F241">
        <v>21</v>
      </c>
      <c r="G241">
        <v>2067863</v>
      </c>
      <c r="H241" t="s">
        <v>22017</v>
      </c>
      <c r="J241" s="54" t="s">
        <v>6052</v>
      </c>
      <c r="K241" s="54">
        <v>0</v>
      </c>
      <c r="L241" s="22" t="s">
        <v>104</v>
      </c>
      <c r="M241" s="22" t="s">
        <v>36869</v>
      </c>
    </row>
    <row r="242" spans="1:13" x14ac:dyDescent="0.75">
      <c r="A242" t="s">
        <v>22009</v>
      </c>
      <c r="B242" t="s">
        <v>6617</v>
      </c>
      <c r="C242" t="s">
        <v>6400</v>
      </c>
      <c r="D242" t="s">
        <v>6618</v>
      </c>
      <c r="E242" t="s">
        <v>22010</v>
      </c>
      <c r="F242">
        <v>21</v>
      </c>
      <c r="G242">
        <v>2067812</v>
      </c>
      <c r="H242" t="s">
        <v>22011</v>
      </c>
      <c r="J242" s="54" t="s">
        <v>6052</v>
      </c>
      <c r="K242" s="54">
        <v>0</v>
      </c>
      <c r="L242" s="22" t="s">
        <v>104</v>
      </c>
      <c r="M242" s="22" t="s">
        <v>36869</v>
      </c>
    </row>
    <row r="243" spans="1:13" x14ac:dyDescent="0.75">
      <c r="A243" t="s">
        <v>21997</v>
      </c>
      <c r="B243" t="s">
        <v>6617</v>
      </c>
      <c r="C243" t="s">
        <v>6400</v>
      </c>
      <c r="D243" t="s">
        <v>6618</v>
      </c>
      <c r="E243" t="s">
        <v>21998</v>
      </c>
      <c r="F243">
        <v>22</v>
      </c>
      <c r="G243">
        <v>2067549</v>
      </c>
      <c r="H243" t="s">
        <v>21999</v>
      </c>
      <c r="J243" s="54" t="s">
        <v>6052</v>
      </c>
      <c r="K243" s="54">
        <v>0</v>
      </c>
      <c r="L243" s="22" t="s">
        <v>104</v>
      </c>
      <c r="M243" s="22" t="s">
        <v>36869</v>
      </c>
    </row>
    <row r="244" spans="1:13" x14ac:dyDescent="0.75">
      <c r="A244" t="s">
        <v>21994</v>
      </c>
      <c r="B244" t="s">
        <v>6617</v>
      </c>
      <c r="C244" t="s">
        <v>6400</v>
      </c>
      <c r="D244" t="s">
        <v>6618</v>
      </c>
      <c r="E244" t="s">
        <v>21995</v>
      </c>
      <c r="F244">
        <v>22</v>
      </c>
      <c r="G244">
        <v>2067147</v>
      </c>
      <c r="H244" t="s">
        <v>21996</v>
      </c>
      <c r="J244" s="54" t="s">
        <v>6052</v>
      </c>
      <c r="K244" s="54">
        <v>0</v>
      </c>
      <c r="L244" s="22" t="s">
        <v>104</v>
      </c>
      <c r="M244" s="22" t="s">
        <v>36869</v>
      </c>
    </row>
    <row r="245" spans="1:13" x14ac:dyDescent="0.75">
      <c r="A245" t="s">
        <v>22003</v>
      </c>
      <c r="B245" t="s">
        <v>6617</v>
      </c>
      <c r="C245" t="s">
        <v>6400</v>
      </c>
      <c r="D245" t="s">
        <v>6618</v>
      </c>
      <c r="E245" t="s">
        <v>22004</v>
      </c>
      <c r="F245">
        <v>22</v>
      </c>
      <c r="G245">
        <v>2067092</v>
      </c>
      <c r="H245" t="s">
        <v>22005</v>
      </c>
      <c r="J245" s="54" t="s">
        <v>6052</v>
      </c>
      <c r="K245" s="54">
        <v>0</v>
      </c>
      <c r="L245" s="22" t="s">
        <v>104</v>
      </c>
      <c r="M245" s="22" t="s">
        <v>36869</v>
      </c>
    </row>
    <row r="246" spans="1:13" x14ac:dyDescent="0.75">
      <c r="A246" t="s">
        <v>22006</v>
      </c>
      <c r="B246" t="s">
        <v>6617</v>
      </c>
      <c r="C246" t="s">
        <v>6400</v>
      </c>
      <c r="D246" t="s">
        <v>6618</v>
      </c>
      <c r="E246" t="s">
        <v>22007</v>
      </c>
      <c r="F246">
        <v>26</v>
      </c>
      <c r="G246">
        <v>2122336</v>
      </c>
      <c r="H246" t="s">
        <v>22008</v>
      </c>
      <c r="J246" s="54" t="s">
        <v>6052</v>
      </c>
      <c r="K246" s="54">
        <v>0</v>
      </c>
      <c r="L246" s="22" t="s">
        <v>104</v>
      </c>
      <c r="M246" s="22" t="s">
        <v>36869</v>
      </c>
    </row>
    <row r="247" spans="1:13" x14ac:dyDescent="0.75">
      <c r="A247" t="s">
        <v>22000</v>
      </c>
      <c r="B247" t="s">
        <v>6617</v>
      </c>
      <c r="C247" t="s">
        <v>6400</v>
      </c>
      <c r="D247" t="s">
        <v>6618</v>
      </c>
      <c r="E247" t="s">
        <v>22001</v>
      </c>
      <c r="F247">
        <v>25</v>
      </c>
      <c r="G247">
        <v>2066325</v>
      </c>
      <c r="H247" t="s">
        <v>22002</v>
      </c>
      <c r="J247" s="54" t="s">
        <v>6052</v>
      </c>
      <c r="K247" s="54">
        <v>0</v>
      </c>
      <c r="L247" s="22" t="s">
        <v>104</v>
      </c>
      <c r="M247" s="22" t="s">
        <v>36869</v>
      </c>
    </row>
    <row r="248" spans="1:13" x14ac:dyDescent="0.75">
      <c r="A248" t="s">
        <v>12102</v>
      </c>
      <c r="B248" t="s">
        <v>6617</v>
      </c>
      <c r="C248" t="s">
        <v>6400</v>
      </c>
      <c r="D248" t="s">
        <v>6618</v>
      </c>
      <c r="E248" t="s">
        <v>12103</v>
      </c>
      <c r="F248">
        <v>1</v>
      </c>
      <c r="G248">
        <v>2129092</v>
      </c>
      <c r="H248" t="s">
        <v>12104</v>
      </c>
      <c r="J248" s="54" t="s">
        <v>6052</v>
      </c>
      <c r="K248" s="54">
        <v>0</v>
      </c>
      <c r="L248" s="22" t="s">
        <v>104</v>
      </c>
      <c r="M248" s="22" t="s">
        <v>36869</v>
      </c>
    </row>
    <row r="249" spans="1:13" x14ac:dyDescent="0.75">
      <c r="A249" t="s">
        <v>12352</v>
      </c>
      <c r="B249" t="s">
        <v>6399</v>
      </c>
      <c r="C249" t="s">
        <v>6400</v>
      </c>
      <c r="D249" t="s">
        <v>6401</v>
      </c>
      <c r="E249" t="s">
        <v>12353</v>
      </c>
      <c r="F249">
        <v>33</v>
      </c>
      <c r="G249">
        <v>2268672</v>
      </c>
      <c r="H249" t="s">
        <v>12354</v>
      </c>
      <c r="J249" s="54" t="s">
        <v>6052</v>
      </c>
      <c r="K249" s="54">
        <v>0</v>
      </c>
      <c r="L249" s="22" t="s">
        <v>104</v>
      </c>
      <c r="M249" s="22" t="s">
        <v>36872</v>
      </c>
    </row>
    <row r="250" spans="1:13" x14ac:dyDescent="0.75">
      <c r="A250" t="s">
        <v>7981</v>
      </c>
      <c r="B250" t="s">
        <v>6399</v>
      </c>
      <c r="C250" t="s">
        <v>6400</v>
      </c>
      <c r="D250" t="s">
        <v>6401</v>
      </c>
      <c r="E250" t="s">
        <v>7982</v>
      </c>
      <c r="F250">
        <v>48</v>
      </c>
      <c r="G250">
        <v>2267213</v>
      </c>
      <c r="H250" t="s">
        <v>7983</v>
      </c>
      <c r="J250" s="54" t="s">
        <v>6052</v>
      </c>
      <c r="K250" s="54">
        <v>0</v>
      </c>
      <c r="L250" s="22" t="s">
        <v>104</v>
      </c>
      <c r="M250" s="22" t="s">
        <v>36872</v>
      </c>
    </row>
    <row r="251" spans="1:13" x14ac:dyDescent="0.75">
      <c r="A251" t="s">
        <v>12358</v>
      </c>
      <c r="B251" t="s">
        <v>6399</v>
      </c>
      <c r="C251" t="s">
        <v>6400</v>
      </c>
      <c r="D251" t="s">
        <v>6401</v>
      </c>
      <c r="E251" t="s">
        <v>12359</v>
      </c>
      <c r="F251">
        <v>21</v>
      </c>
      <c r="G251">
        <v>2364377</v>
      </c>
      <c r="H251" t="s">
        <v>12360</v>
      </c>
      <c r="J251" s="54" t="s">
        <v>6052</v>
      </c>
      <c r="K251" s="54">
        <v>0</v>
      </c>
      <c r="L251" s="22" t="s">
        <v>104</v>
      </c>
      <c r="M251" s="22" t="s">
        <v>36872</v>
      </c>
    </row>
    <row r="252" spans="1:13" x14ac:dyDescent="0.75">
      <c r="A252" t="s">
        <v>15155</v>
      </c>
      <c r="B252" t="s">
        <v>6399</v>
      </c>
      <c r="C252" t="s">
        <v>6400</v>
      </c>
      <c r="D252" t="s">
        <v>6401</v>
      </c>
      <c r="E252" t="s">
        <v>15156</v>
      </c>
      <c r="F252">
        <v>33</v>
      </c>
      <c r="G252">
        <v>2268540</v>
      </c>
      <c r="H252" t="s">
        <v>15157</v>
      </c>
      <c r="J252" s="54" t="s">
        <v>6052</v>
      </c>
      <c r="K252" s="54">
        <v>0</v>
      </c>
      <c r="L252" s="22" t="s">
        <v>104</v>
      </c>
      <c r="M252" s="22" t="s">
        <v>36872</v>
      </c>
    </row>
    <row r="253" spans="1:13" x14ac:dyDescent="0.75">
      <c r="A253" t="s">
        <v>15158</v>
      </c>
      <c r="B253" t="s">
        <v>6399</v>
      </c>
      <c r="C253" t="s">
        <v>6400</v>
      </c>
      <c r="D253" t="s">
        <v>6401</v>
      </c>
      <c r="E253" t="s">
        <v>15159</v>
      </c>
      <c r="F253">
        <v>33</v>
      </c>
      <c r="G253">
        <v>2288398</v>
      </c>
      <c r="H253" t="s">
        <v>15160</v>
      </c>
      <c r="J253" s="54" t="s">
        <v>6052</v>
      </c>
      <c r="K253" s="54">
        <v>0</v>
      </c>
      <c r="L253" s="22" t="s">
        <v>104</v>
      </c>
      <c r="M253" s="22" t="s">
        <v>36872</v>
      </c>
    </row>
    <row r="254" spans="1:13" x14ac:dyDescent="0.75">
      <c r="A254" t="s">
        <v>15044</v>
      </c>
      <c r="B254" t="s">
        <v>6399</v>
      </c>
      <c r="C254" t="s">
        <v>6400</v>
      </c>
      <c r="D254" t="s">
        <v>6401</v>
      </c>
      <c r="E254" t="s">
        <v>15045</v>
      </c>
      <c r="F254">
        <v>41</v>
      </c>
      <c r="G254">
        <v>2368867</v>
      </c>
      <c r="H254" t="s">
        <v>15046</v>
      </c>
      <c r="J254" s="54" t="s">
        <v>6052</v>
      </c>
      <c r="K254" s="54">
        <v>0</v>
      </c>
      <c r="L254" s="22" t="s">
        <v>104</v>
      </c>
      <c r="M254" s="22" t="s">
        <v>36872</v>
      </c>
    </row>
    <row r="255" spans="1:13" x14ac:dyDescent="0.75">
      <c r="A255" t="s">
        <v>29221</v>
      </c>
      <c r="B255" t="s">
        <v>6399</v>
      </c>
      <c r="C255" t="s">
        <v>6400</v>
      </c>
      <c r="D255" t="s">
        <v>6401</v>
      </c>
      <c r="E255" t="s">
        <v>29222</v>
      </c>
      <c r="F255">
        <v>198</v>
      </c>
      <c r="G255">
        <v>2131817</v>
      </c>
      <c r="H255" t="s">
        <v>29223</v>
      </c>
      <c r="J255" s="54" t="s">
        <v>6052</v>
      </c>
      <c r="K255" s="54">
        <v>0</v>
      </c>
      <c r="L255" s="22" t="s">
        <v>104</v>
      </c>
      <c r="M255" s="22" t="s">
        <v>36872</v>
      </c>
    </row>
    <row r="256" spans="1:13" x14ac:dyDescent="0.75">
      <c r="A256" t="s">
        <v>8255</v>
      </c>
      <c r="B256" t="s">
        <v>6399</v>
      </c>
      <c r="C256" t="s">
        <v>6400</v>
      </c>
      <c r="D256" t="s">
        <v>6401</v>
      </c>
      <c r="E256" t="s">
        <v>8256</v>
      </c>
      <c r="F256">
        <v>24</v>
      </c>
      <c r="G256">
        <v>2262693</v>
      </c>
      <c r="H256" t="s">
        <v>8257</v>
      </c>
      <c r="J256" s="54" t="s">
        <v>6052</v>
      </c>
      <c r="K256" s="54">
        <v>0</v>
      </c>
      <c r="L256" s="22" t="s">
        <v>104</v>
      </c>
      <c r="M256" s="22" t="s">
        <v>36872</v>
      </c>
    </row>
    <row r="257" spans="1:13" x14ac:dyDescent="0.75">
      <c r="A257" t="s">
        <v>13452</v>
      </c>
      <c r="B257" t="s">
        <v>6399</v>
      </c>
      <c r="C257" t="s">
        <v>6400</v>
      </c>
      <c r="D257" t="s">
        <v>6401</v>
      </c>
      <c r="E257" t="s">
        <v>13453</v>
      </c>
      <c r="F257">
        <v>5</v>
      </c>
      <c r="G257">
        <v>2406785</v>
      </c>
      <c r="H257" t="s">
        <v>13454</v>
      </c>
      <c r="J257" s="54" t="s">
        <v>6052</v>
      </c>
      <c r="K257" s="54">
        <v>0</v>
      </c>
      <c r="L257" s="22" t="s">
        <v>104</v>
      </c>
      <c r="M257" s="22" t="s">
        <v>36872</v>
      </c>
    </row>
    <row r="258" spans="1:13" x14ac:dyDescent="0.75">
      <c r="A258" t="s">
        <v>15041</v>
      </c>
      <c r="B258" t="s">
        <v>6399</v>
      </c>
      <c r="C258" t="s">
        <v>6400</v>
      </c>
      <c r="D258" t="s">
        <v>6401</v>
      </c>
      <c r="E258" t="s">
        <v>15042</v>
      </c>
      <c r="F258">
        <v>51</v>
      </c>
      <c r="G258">
        <v>2421966</v>
      </c>
      <c r="H258" t="s">
        <v>15043</v>
      </c>
      <c r="J258" s="54" t="s">
        <v>6052</v>
      </c>
      <c r="K258" s="54">
        <v>0</v>
      </c>
      <c r="L258" s="22" t="s">
        <v>104</v>
      </c>
      <c r="M258" s="22" t="s">
        <v>36872</v>
      </c>
    </row>
    <row r="259" spans="1:13" x14ac:dyDescent="0.75">
      <c r="A259" t="s">
        <v>16005</v>
      </c>
      <c r="B259" t="s">
        <v>6399</v>
      </c>
      <c r="C259" t="s">
        <v>6400</v>
      </c>
      <c r="D259" t="s">
        <v>6401</v>
      </c>
      <c r="E259" t="s">
        <v>16006</v>
      </c>
      <c r="F259">
        <v>121</v>
      </c>
      <c r="G259">
        <v>2375403</v>
      </c>
      <c r="H259" t="s">
        <v>16007</v>
      </c>
      <c r="J259" s="54" t="s">
        <v>6052</v>
      </c>
      <c r="K259" s="54">
        <v>0</v>
      </c>
      <c r="L259" s="22" t="s">
        <v>104</v>
      </c>
      <c r="M259" s="22" t="s">
        <v>36872</v>
      </c>
    </row>
    <row r="260" spans="1:13" x14ac:dyDescent="0.75">
      <c r="A260" t="s">
        <v>27774</v>
      </c>
      <c r="B260" t="s">
        <v>6399</v>
      </c>
      <c r="C260" t="s">
        <v>6400</v>
      </c>
      <c r="D260" t="s">
        <v>6401</v>
      </c>
      <c r="E260" t="s">
        <v>27775</v>
      </c>
      <c r="F260">
        <v>1</v>
      </c>
      <c r="G260">
        <v>2290909</v>
      </c>
      <c r="H260" t="s">
        <v>27776</v>
      </c>
      <c r="J260" s="54" t="s">
        <v>6052</v>
      </c>
      <c r="K260" s="54">
        <v>0</v>
      </c>
      <c r="L260" s="22" t="s">
        <v>104</v>
      </c>
      <c r="M260" s="22" t="s">
        <v>36872</v>
      </c>
    </row>
    <row r="261" spans="1:13" x14ac:dyDescent="0.75">
      <c r="A261" t="s">
        <v>27951</v>
      </c>
      <c r="B261" t="s">
        <v>6399</v>
      </c>
      <c r="C261" t="s">
        <v>6400</v>
      </c>
      <c r="D261" t="s">
        <v>6401</v>
      </c>
      <c r="E261" t="s">
        <v>27952</v>
      </c>
      <c r="F261">
        <v>1</v>
      </c>
      <c r="G261">
        <v>2337153</v>
      </c>
      <c r="H261" t="s">
        <v>27953</v>
      </c>
      <c r="J261" s="54" t="s">
        <v>6052</v>
      </c>
      <c r="K261" s="54">
        <v>0</v>
      </c>
      <c r="L261" s="22" t="s">
        <v>104</v>
      </c>
      <c r="M261" s="22" t="s">
        <v>36872</v>
      </c>
    </row>
    <row r="262" spans="1:13" x14ac:dyDescent="0.75">
      <c r="A262" t="s">
        <v>27380</v>
      </c>
      <c r="B262" t="s">
        <v>6399</v>
      </c>
      <c r="C262" t="s">
        <v>6400</v>
      </c>
      <c r="D262" t="s">
        <v>6401</v>
      </c>
      <c r="E262" t="s">
        <v>27381</v>
      </c>
      <c r="F262">
        <v>6</v>
      </c>
      <c r="G262">
        <v>2332869</v>
      </c>
      <c r="H262" t="s">
        <v>27382</v>
      </c>
      <c r="J262" s="54" t="s">
        <v>6052</v>
      </c>
      <c r="K262" s="54">
        <v>0</v>
      </c>
      <c r="L262" s="22" t="s">
        <v>104</v>
      </c>
      <c r="M262" s="22" t="s">
        <v>36872</v>
      </c>
    </row>
    <row r="263" spans="1:13" x14ac:dyDescent="0.75">
      <c r="A263" t="s">
        <v>6398</v>
      </c>
      <c r="B263" t="s">
        <v>6399</v>
      </c>
      <c r="C263" t="s">
        <v>6400</v>
      </c>
      <c r="D263" t="s">
        <v>6401</v>
      </c>
      <c r="E263" t="s">
        <v>6402</v>
      </c>
      <c r="F263">
        <v>1</v>
      </c>
      <c r="G263">
        <v>2313035</v>
      </c>
      <c r="H263" t="s">
        <v>6403</v>
      </c>
      <c r="J263" s="54" t="s">
        <v>6052</v>
      </c>
      <c r="K263" s="54">
        <v>0</v>
      </c>
      <c r="L263" s="22" t="s">
        <v>104</v>
      </c>
      <c r="M263" s="22" t="s">
        <v>36872</v>
      </c>
    </row>
    <row r="264" spans="1:13" x14ac:dyDescent="0.75">
      <c r="A264" t="s">
        <v>11367</v>
      </c>
      <c r="B264" t="s">
        <v>6399</v>
      </c>
      <c r="C264" t="s">
        <v>6400</v>
      </c>
      <c r="D264" t="s">
        <v>6401</v>
      </c>
      <c r="E264" t="s">
        <v>6402</v>
      </c>
      <c r="F264">
        <v>1</v>
      </c>
      <c r="G264">
        <v>2313256</v>
      </c>
      <c r="H264" t="s">
        <v>11368</v>
      </c>
      <c r="J264" s="54" t="s">
        <v>6052</v>
      </c>
      <c r="K264" s="54">
        <v>0</v>
      </c>
      <c r="L264" s="22" t="s">
        <v>104</v>
      </c>
      <c r="M264" s="22" t="s">
        <v>36872</v>
      </c>
    </row>
    <row r="265" spans="1:13" x14ac:dyDescent="0.75">
      <c r="A265" t="s">
        <v>15017</v>
      </c>
      <c r="B265" t="s">
        <v>6399</v>
      </c>
      <c r="C265" t="s">
        <v>6400</v>
      </c>
      <c r="D265" t="s">
        <v>6401</v>
      </c>
      <c r="E265" t="s">
        <v>15018</v>
      </c>
      <c r="F265">
        <v>35</v>
      </c>
      <c r="G265">
        <v>2264950</v>
      </c>
      <c r="H265" t="s">
        <v>15019</v>
      </c>
      <c r="J265" s="54" t="s">
        <v>6052</v>
      </c>
      <c r="K265" s="54">
        <v>0</v>
      </c>
      <c r="L265" s="22" t="s">
        <v>104</v>
      </c>
      <c r="M265" s="22" t="s">
        <v>36872</v>
      </c>
    </row>
    <row r="266" spans="1:13" x14ac:dyDescent="0.75">
      <c r="A266" t="s">
        <v>15014</v>
      </c>
      <c r="B266" t="s">
        <v>6399</v>
      </c>
      <c r="C266" t="s">
        <v>6400</v>
      </c>
      <c r="D266" t="s">
        <v>6401</v>
      </c>
      <c r="E266" t="s">
        <v>15015</v>
      </c>
      <c r="F266">
        <v>36</v>
      </c>
      <c r="G266">
        <v>2346714</v>
      </c>
      <c r="H266" t="s">
        <v>15016</v>
      </c>
      <c r="J266" s="54" t="s">
        <v>6052</v>
      </c>
      <c r="K266" s="54">
        <v>0</v>
      </c>
      <c r="L266" s="22" t="s">
        <v>104</v>
      </c>
      <c r="M266" s="22" t="s">
        <v>36872</v>
      </c>
    </row>
    <row r="267" spans="1:13" x14ac:dyDescent="0.75">
      <c r="A267" t="s">
        <v>15023</v>
      </c>
      <c r="B267" t="s">
        <v>6399</v>
      </c>
      <c r="C267" t="s">
        <v>6400</v>
      </c>
      <c r="D267" t="s">
        <v>6401</v>
      </c>
      <c r="E267" t="s">
        <v>15024</v>
      </c>
      <c r="F267">
        <v>33</v>
      </c>
      <c r="G267">
        <v>2308908</v>
      </c>
      <c r="H267" t="s">
        <v>15025</v>
      </c>
      <c r="J267" s="54" t="s">
        <v>6052</v>
      </c>
      <c r="K267" s="54">
        <v>0</v>
      </c>
      <c r="L267" s="22" t="s">
        <v>104</v>
      </c>
      <c r="M267" s="22" t="s">
        <v>36872</v>
      </c>
    </row>
    <row r="268" spans="1:13" x14ac:dyDescent="0.75">
      <c r="A268" t="s">
        <v>11432</v>
      </c>
      <c r="B268" t="s">
        <v>6399</v>
      </c>
      <c r="C268" t="s">
        <v>6400</v>
      </c>
      <c r="D268" t="s">
        <v>6401</v>
      </c>
      <c r="E268" t="s">
        <v>11433</v>
      </c>
      <c r="F268">
        <v>1</v>
      </c>
      <c r="G268">
        <v>2414427</v>
      </c>
      <c r="H268" t="s">
        <v>11434</v>
      </c>
      <c r="J268" s="54" t="s">
        <v>6052</v>
      </c>
      <c r="K268" s="54">
        <v>0</v>
      </c>
      <c r="L268" s="22" t="s">
        <v>104</v>
      </c>
      <c r="M268" s="22" t="s">
        <v>36872</v>
      </c>
    </row>
    <row r="269" spans="1:13" x14ac:dyDescent="0.75">
      <c r="A269" t="s">
        <v>15134</v>
      </c>
      <c r="B269" t="s">
        <v>14995</v>
      </c>
      <c r="C269" t="s">
        <v>6400</v>
      </c>
      <c r="D269" t="s">
        <v>14996</v>
      </c>
      <c r="E269" t="s">
        <v>15135</v>
      </c>
      <c r="F269">
        <v>16</v>
      </c>
      <c r="G269">
        <v>2329796</v>
      </c>
      <c r="H269" t="s">
        <v>15136</v>
      </c>
      <c r="J269" s="54" t="s">
        <v>6052</v>
      </c>
      <c r="K269" s="54">
        <v>0</v>
      </c>
      <c r="L269" s="22" t="s">
        <v>104</v>
      </c>
      <c r="M269" s="22" t="s">
        <v>36874</v>
      </c>
    </row>
    <row r="270" spans="1:13" x14ac:dyDescent="0.75">
      <c r="A270" t="s">
        <v>15161</v>
      </c>
      <c r="B270" t="s">
        <v>14995</v>
      </c>
      <c r="C270" t="s">
        <v>6400</v>
      </c>
      <c r="D270" t="s">
        <v>14996</v>
      </c>
      <c r="E270" t="s">
        <v>15162</v>
      </c>
      <c r="F270">
        <v>18</v>
      </c>
      <c r="G270">
        <v>2346261</v>
      </c>
      <c r="H270" t="s">
        <v>15163</v>
      </c>
      <c r="J270" s="54" t="s">
        <v>6052</v>
      </c>
      <c r="K270" s="54">
        <v>0</v>
      </c>
      <c r="L270" s="22" t="s">
        <v>104</v>
      </c>
      <c r="M270" s="22" t="s">
        <v>36874</v>
      </c>
    </row>
    <row r="271" spans="1:13" x14ac:dyDescent="0.75">
      <c r="A271" t="s">
        <v>15167</v>
      </c>
      <c r="B271" t="s">
        <v>14995</v>
      </c>
      <c r="C271" t="s">
        <v>6400</v>
      </c>
      <c r="D271" t="s">
        <v>14996</v>
      </c>
      <c r="E271" t="s">
        <v>15168</v>
      </c>
      <c r="F271">
        <v>35</v>
      </c>
      <c r="G271">
        <v>2452137</v>
      </c>
      <c r="H271" t="s">
        <v>15169</v>
      </c>
      <c r="J271" s="54" t="s">
        <v>6052</v>
      </c>
      <c r="K271" s="54">
        <v>0</v>
      </c>
      <c r="L271" s="22" t="s">
        <v>104</v>
      </c>
      <c r="M271" s="22" t="s">
        <v>36874</v>
      </c>
    </row>
    <row r="272" spans="1:13" x14ac:dyDescent="0.75">
      <c r="A272" t="s">
        <v>15137</v>
      </c>
      <c r="B272" t="s">
        <v>14995</v>
      </c>
      <c r="C272" t="s">
        <v>6400</v>
      </c>
      <c r="D272" t="s">
        <v>14996</v>
      </c>
      <c r="E272" t="s">
        <v>15138</v>
      </c>
      <c r="F272">
        <v>18</v>
      </c>
      <c r="G272">
        <v>2450473</v>
      </c>
      <c r="H272" t="s">
        <v>15139</v>
      </c>
      <c r="J272" s="54" t="s">
        <v>6052</v>
      </c>
      <c r="K272" s="54">
        <v>0</v>
      </c>
      <c r="L272" s="22" t="s">
        <v>104</v>
      </c>
      <c r="M272" s="22" t="s">
        <v>36874</v>
      </c>
    </row>
    <row r="273" spans="1:13" x14ac:dyDescent="0.75">
      <c r="A273" t="s">
        <v>15050</v>
      </c>
      <c r="B273" t="s">
        <v>14995</v>
      </c>
      <c r="C273" t="s">
        <v>6400</v>
      </c>
      <c r="D273" t="s">
        <v>14996</v>
      </c>
      <c r="E273" t="s">
        <v>15051</v>
      </c>
      <c r="F273">
        <v>24</v>
      </c>
      <c r="G273">
        <v>2427675</v>
      </c>
      <c r="H273" t="s">
        <v>15052</v>
      </c>
      <c r="J273" s="54" t="s">
        <v>6052</v>
      </c>
      <c r="K273" s="54">
        <v>0</v>
      </c>
      <c r="L273" s="22" t="s">
        <v>104</v>
      </c>
      <c r="M273" s="22" t="s">
        <v>36874</v>
      </c>
    </row>
    <row r="274" spans="1:13" x14ac:dyDescent="0.75">
      <c r="A274" t="s">
        <v>15053</v>
      </c>
      <c r="B274" t="s">
        <v>14995</v>
      </c>
      <c r="C274" t="s">
        <v>6400</v>
      </c>
      <c r="D274" t="s">
        <v>14996</v>
      </c>
      <c r="E274" t="s">
        <v>15054</v>
      </c>
      <c r="F274">
        <v>24</v>
      </c>
      <c r="G274">
        <v>2375305</v>
      </c>
      <c r="H274" t="s">
        <v>15055</v>
      </c>
      <c r="J274" s="54" t="s">
        <v>6052</v>
      </c>
      <c r="K274" s="54">
        <v>0</v>
      </c>
      <c r="L274" s="22" t="s">
        <v>104</v>
      </c>
      <c r="M274" s="22" t="s">
        <v>36874</v>
      </c>
    </row>
    <row r="275" spans="1:13" x14ac:dyDescent="0.75">
      <c r="A275" t="s">
        <v>15047</v>
      </c>
      <c r="B275" t="s">
        <v>14995</v>
      </c>
      <c r="C275" t="s">
        <v>6400</v>
      </c>
      <c r="D275" t="s">
        <v>14996</v>
      </c>
      <c r="E275" t="s">
        <v>15048</v>
      </c>
      <c r="F275">
        <v>25</v>
      </c>
      <c r="G275">
        <v>2345608</v>
      </c>
      <c r="H275" t="s">
        <v>15049</v>
      </c>
      <c r="J275" s="54" t="s">
        <v>6052</v>
      </c>
      <c r="K275" s="54">
        <v>0</v>
      </c>
      <c r="L275" s="22" t="s">
        <v>104</v>
      </c>
      <c r="M275" s="22" t="s">
        <v>36874</v>
      </c>
    </row>
    <row r="276" spans="1:13" x14ac:dyDescent="0.75">
      <c r="A276" t="s">
        <v>15005</v>
      </c>
      <c r="B276" t="s">
        <v>14995</v>
      </c>
      <c r="C276" t="s">
        <v>6400</v>
      </c>
      <c r="D276" t="s">
        <v>14996</v>
      </c>
      <c r="E276" t="s">
        <v>15006</v>
      </c>
      <c r="F276">
        <v>20</v>
      </c>
      <c r="G276">
        <v>2366859</v>
      </c>
      <c r="H276" t="s">
        <v>15007</v>
      </c>
      <c r="J276" s="54" t="s">
        <v>6052</v>
      </c>
      <c r="K276" s="54">
        <v>0</v>
      </c>
      <c r="L276" s="22" t="s">
        <v>104</v>
      </c>
      <c r="M276" s="22" t="s">
        <v>36874</v>
      </c>
    </row>
    <row r="277" spans="1:13" x14ac:dyDescent="0.75">
      <c r="A277" t="s">
        <v>15032</v>
      </c>
      <c r="B277" t="s">
        <v>14995</v>
      </c>
      <c r="C277" t="s">
        <v>6400</v>
      </c>
      <c r="D277" t="s">
        <v>14996</v>
      </c>
      <c r="E277" t="s">
        <v>15033</v>
      </c>
      <c r="F277">
        <v>23</v>
      </c>
      <c r="G277">
        <v>2367815</v>
      </c>
      <c r="H277" t="s">
        <v>15034</v>
      </c>
      <c r="J277" s="54" t="s">
        <v>6052</v>
      </c>
      <c r="K277" s="54">
        <v>0</v>
      </c>
      <c r="L277" s="22" t="s">
        <v>104</v>
      </c>
      <c r="M277" s="22" t="s">
        <v>36874</v>
      </c>
    </row>
    <row r="278" spans="1:13" x14ac:dyDescent="0.75">
      <c r="A278" t="s">
        <v>15029</v>
      </c>
      <c r="B278" t="s">
        <v>14995</v>
      </c>
      <c r="C278" t="s">
        <v>6400</v>
      </c>
      <c r="D278" t="s">
        <v>14996</v>
      </c>
      <c r="E278" t="s">
        <v>15030</v>
      </c>
      <c r="F278">
        <v>22</v>
      </c>
      <c r="G278">
        <v>2330461</v>
      </c>
      <c r="H278" t="s">
        <v>15031</v>
      </c>
      <c r="J278" s="54" t="s">
        <v>6052</v>
      </c>
      <c r="K278" s="54">
        <v>0</v>
      </c>
      <c r="L278" s="22" t="s">
        <v>104</v>
      </c>
      <c r="M278" s="22" t="s">
        <v>36874</v>
      </c>
    </row>
    <row r="279" spans="1:13" x14ac:dyDescent="0.75">
      <c r="A279" t="s">
        <v>15026</v>
      </c>
      <c r="B279" t="s">
        <v>14995</v>
      </c>
      <c r="C279" t="s">
        <v>6400</v>
      </c>
      <c r="D279" t="s">
        <v>14996</v>
      </c>
      <c r="E279" t="s">
        <v>15027</v>
      </c>
      <c r="F279">
        <v>3</v>
      </c>
      <c r="G279">
        <v>2457230</v>
      </c>
      <c r="H279" t="s">
        <v>15028</v>
      </c>
      <c r="J279" s="54" t="s">
        <v>6052</v>
      </c>
      <c r="K279" s="54">
        <v>0</v>
      </c>
      <c r="L279" s="22" t="s">
        <v>104</v>
      </c>
      <c r="M279" s="22" t="s">
        <v>36874</v>
      </c>
    </row>
    <row r="280" spans="1:13" x14ac:dyDescent="0.75">
      <c r="A280" t="s">
        <v>15002</v>
      </c>
      <c r="B280" t="s">
        <v>14995</v>
      </c>
      <c r="C280" t="s">
        <v>6400</v>
      </c>
      <c r="D280" t="s">
        <v>14996</v>
      </c>
      <c r="E280" t="s">
        <v>15003</v>
      </c>
      <c r="F280">
        <v>23</v>
      </c>
      <c r="G280">
        <v>2329865</v>
      </c>
      <c r="H280" t="s">
        <v>15004</v>
      </c>
      <c r="J280" s="54" t="s">
        <v>6052</v>
      </c>
      <c r="K280" s="54">
        <v>0</v>
      </c>
      <c r="L280" s="22" t="s">
        <v>104</v>
      </c>
      <c r="M280" s="22" t="s">
        <v>36874</v>
      </c>
    </row>
    <row r="281" spans="1:13" x14ac:dyDescent="0.75">
      <c r="A281" t="s">
        <v>14999</v>
      </c>
      <c r="B281" t="s">
        <v>14995</v>
      </c>
      <c r="C281" t="s">
        <v>6400</v>
      </c>
      <c r="D281" t="s">
        <v>14996</v>
      </c>
      <c r="E281" t="s">
        <v>15000</v>
      </c>
      <c r="F281">
        <v>27</v>
      </c>
      <c r="G281">
        <v>2379268</v>
      </c>
      <c r="H281" t="s">
        <v>15001</v>
      </c>
      <c r="J281" s="54" t="s">
        <v>6052</v>
      </c>
      <c r="K281" s="54">
        <v>0</v>
      </c>
      <c r="L281" s="22" t="s">
        <v>104</v>
      </c>
      <c r="M281" s="22" t="s">
        <v>36874</v>
      </c>
    </row>
    <row r="282" spans="1:13" x14ac:dyDescent="0.75">
      <c r="A282" t="s">
        <v>14994</v>
      </c>
      <c r="B282" t="s">
        <v>14995</v>
      </c>
      <c r="C282" t="s">
        <v>6400</v>
      </c>
      <c r="D282" t="s">
        <v>14996</v>
      </c>
      <c r="E282" t="s">
        <v>14997</v>
      </c>
      <c r="F282">
        <v>26</v>
      </c>
      <c r="G282">
        <v>2358555</v>
      </c>
      <c r="H282" t="s">
        <v>14998</v>
      </c>
      <c r="J282" s="54" t="s">
        <v>6052</v>
      </c>
      <c r="K282" s="54">
        <v>0</v>
      </c>
      <c r="L282" s="22" t="s">
        <v>104</v>
      </c>
      <c r="M282" s="22" t="s">
        <v>36874</v>
      </c>
    </row>
    <row r="283" spans="1:13" x14ac:dyDescent="0.75">
      <c r="A283" t="s">
        <v>29619</v>
      </c>
      <c r="B283" t="s">
        <v>14995</v>
      </c>
      <c r="C283" t="s">
        <v>6400</v>
      </c>
      <c r="D283" t="s">
        <v>14996</v>
      </c>
      <c r="E283" t="s">
        <v>29620</v>
      </c>
      <c r="F283">
        <v>62</v>
      </c>
      <c r="G283">
        <v>2304117</v>
      </c>
      <c r="H283" t="s">
        <v>29621</v>
      </c>
      <c r="J283" s="54" t="s">
        <v>6052</v>
      </c>
      <c r="K283" s="54">
        <v>0</v>
      </c>
      <c r="L283" s="22" t="s">
        <v>104</v>
      </c>
      <c r="M283" s="22" t="s">
        <v>36874</v>
      </c>
    </row>
    <row r="284" spans="1:13" x14ac:dyDescent="0.75">
      <c r="A284" t="s">
        <v>7391</v>
      </c>
      <c r="B284" t="s">
        <v>7392</v>
      </c>
      <c r="C284" t="s">
        <v>6400</v>
      </c>
      <c r="D284" t="s">
        <v>7393</v>
      </c>
      <c r="E284" t="s">
        <v>7394</v>
      </c>
      <c r="F284">
        <v>19</v>
      </c>
      <c r="G284">
        <v>2012010</v>
      </c>
      <c r="H284" t="s">
        <v>7395</v>
      </c>
      <c r="J284" s="54" t="s">
        <v>6052</v>
      </c>
      <c r="K284" s="54">
        <v>0</v>
      </c>
      <c r="L284" s="22" t="s">
        <v>104</v>
      </c>
      <c r="M284" s="22" t="s">
        <v>36873</v>
      </c>
    </row>
    <row r="285" spans="1:13" x14ac:dyDescent="0.75">
      <c r="A285" t="s">
        <v>15113</v>
      </c>
      <c r="B285" t="s">
        <v>7392</v>
      </c>
      <c r="C285" t="s">
        <v>6400</v>
      </c>
      <c r="D285" t="s">
        <v>7393</v>
      </c>
      <c r="E285" t="s">
        <v>15114</v>
      </c>
      <c r="F285">
        <v>22</v>
      </c>
      <c r="G285">
        <v>2004096</v>
      </c>
      <c r="H285" t="s">
        <v>15115</v>
      </c>
      <c r="J285" s="54" t="s">
        <v>6052</v>
      </c>
      <c r="K285" s="54">
        <v>0</v>
      </c>
      <c r="L285" s="22" t="s">
        <v>104</v>
      </c>
      <c r="M285" s="22" t="s">
        <v>36873</v>
      </c>
    </row>
    <row r="286" spans="1:13" x14ac:dyDescent="0.75">
      <c r="A286" t="s">
        <v>15119</v>
      </c>
      <c r="B286" t="s">
        <v>7392</v>
      </c>
      <c r="C286" t="s">
        <v>6400</v>
      </c>
      <c r="D286" t="s">
        <v>7393</v>
      </c>
      <c r="E286" t="s">
        <v>15120</v>
      </c>
      <c r="F286">
        <v>13</v>
      </c>
      <c r="G286">
        <v>1918287</v>
      </c>
      <c r="H286" t="s">
        <v>15121</v>
      </c>
      <c r="J286" s="54" t="s">
        <v>6052</v>
      </c>
      <c r="K286" s="54">
        <v>0</v>
      </c>
      <c r="L286" s="22" t="s">
        <v>104</v>
      </c>
      <c r="M286" s="22" t="s">
        <v>36873</v>
      </c>
    </row>
    <row r="287" spans="1:13" x14ac:dyDescent="0.75">
      <c r="A287" t="s">
        <v>15011</v>
      </c>
      <c r="B287" t="s">
        <v>7392</v>
      </c>
      <c r="C287" t="s">
        <v>6400</v>
      </c>
      <c r="D287" t="s">
        <v>7393</v>
      </c>
      <c r="E287" t="s">
        <v>15012</v>
      </c>
      <c r="F287">
        <v>16</v>
      </c>
      <c r="G287">
        <v>1978324</v>
      </c>
      <c r="H287" t="s">
        <v>15013</v>
      </c>
      <c r="J287" s="54" t="s">
        <v>6052</v>
      </c>
      <c r="K287" s="54">
        <v>0</v>
      </c>
      <c r="L287" s="22" t="s">
        <v>104</v>
      </c>
      <c r="M287" s="22" t="s">
        <v>36873</v>
      </c>
    </row>
    <row r="288" spans="1:13" x14ac:dyDescent="0.75">
      <c r="A288" t="s">
        <v>29846</v>
      </c>
      <c r="B288" t="s">
        <v>7392</v>
      </c>
      <c r="C288" t="s">
        <v>6400</v>
      </c>
      <c r="D288" t="s">
        <v>7393</v>
      </c>
      <c r="E288" t="s">
        <v>29847</v>
      </c>
      <c r="F288">
        <v>44</v>
      </c>
      <c r="G288">
        <v>2087800</v>
      </c>
      <c r="H288" t="s">
        <v>29848</v>
      </c>
      <c r="J288" s="54" t="s">
        <v>6052</v>
      </c>
      <c r="K288" s="54">
        <v>0</v>
      </c>
      <c r="L288" s="22" t="s">
        <v>104</v>
      </c>
      <c r="M288" s="22" t="s">
        <v>36873</v>
      </c>
    </row>
    <row r="289" spans="1:13" x14ac:dyDescent="0.75">
      <c r="A289" t="s">
        <v>20015</v>
      </c>
      <c r="B289" t="s">
        <v>7392</v>
      </c>
      <c r="C289" t="s">
        <v>6400</v>
      </c>
      <c r="D289" t="s">
        <v>7393</v>
      </c>
      <c r="E289" t="s">
        <v>20016</v>
      </c>
      <c r="F289">
        <v>1</v>
      </c>
      <c r="G289">
        <v>2062506</v>
      </c>
      <c r="H289" t="s">
        <v>20017</v>
      </c>
      <c r="J289" s="54" t="s">
        <v>6052</v>
      </c>
      <c r="K289" s="54">
        <v>0</v>
      </c>
      <c r="L289" s="22" t="s">
        <v>104</v>
      </c>
      <c r="M289" s="22" t="s">
        <v>36873</v>
      </c>
    </row>
    <row r="290" spans="1:13" x14ac:dyDescent="0.75">
      <c r="A290" t="s">
        <v>15008</v>
      </c>
      <c r="B290" t="s">
        <v>7392</v>
      </c>
      <c r="C290" t="s">
        <v>6400</v>
      </c>
      <c r="D290" t="s">
        <v>7393</v>
      </c>
      <c r="E290" t="s">
        <v>15009</v>
      </c>
      <c r="F290">
        <v>20</v>
      </c>
      <c r="G290">
        <v>1953597</v>
      </c>
      <c r="H290" t="s">
        <v>15010</v>
      </c>
      <c r="J290" s="54" t="s">
        <v>6052</v>
      </c>
      <c r="K290" s="54">
        <v>0</v>
      </c>
      <c r="L290" s="22" t="s">
        <v>104</v>
      </c>
      <c r="M290" s="22" t="s">
        <v>36873</v>
      </c>
    </row>
    <row r="291" spans="1:13" x14ac:dyDescent="0.75">
      <c r="A291" t="s">
        <v>29425</v>
      </c>
      <c r="B291" t="s">
        <v>7392</v>
      </c>
      <c r="C291" t="s">
        <v>6400</v>
      </c>
      <c r="D291" t="s">
        <v>7393</v>
      </c>
      <c r="E291" t="s">
        <v>29426</v>
      </c>
      <c r="F291">
        <v>1</v>
      </c>
      <c r="G291">
        <v>2071265</v>
      </c>
      <c r="H291" t="s">
        <v>29427</v>
      </c>
      <c r="J291" s="54" t="s">
        <v>6052</v>
      </c>
      <c r="K291" s="54">
        <v>0</v>
      </c>
      <c r="L291" s="22" t="s">
        <v>104</v>
      </c>
      <c r="M291" s="22" t="s">
        <v>36873</v>
      </c>
    </row>
    <row r="292" spans="1:13" x14ac:dyDescent="0.75">
      <c r="A292" t="s">
        <v>28623</v>
      </c>
      <c r="B292" t="s">
        <v>7392</v>
      </c>
      <c r="C292" t="s">
        <v>6400</v>
      </c>
      <c r="D292" t="s">
        <v>7393</v>
      </c>
      <c r="E292" t="s">
        <v>28624</v>
      </c>
      <c r="F292">
        <v>12</v>
      </c>
      <c r="G292">
        <v>1916258</v>
      </c>
      <c r="H292" t="s">
        <v>28625</v>
      </c>
      <c r="J292" s="54" t="s">
        <v>6052</v>
      </c>
      <c r="K292" s="54">
        <v>0</v>
      </c>
      <c r="L292" s="22" t="s">
        <v>104</v>
      </c>
      <c r="M292" s="22" t="s">
        <v>36873</v>
      </c>
    </row>
    <row r="293" spans="1:13" x14ac:dyDescent="0.75">
      <c r="A293" t="s">
        <v>27741</v>
      </c>
      <c r="B293" t="s">
        <v>7392</v>
      </c>
      <c r="C293" t="s">
        <v>6400</v>
      </c>
      <c r="D293" t="s">
        <v>7393</v>
      </c>
      <c r="E293" t="s">
        <v>27742</v>
      </c>
      <c r="F293">
        <v>1</v>
      </c>
      <c r="G293">
        <v>2022832</v>
      </c>
      <c r="H293" t="s">
        <v>27743</v>
      </c>
      <c r="J293" s="54" t="s">
        <v>6052</v>
      </c>
      <c r="K293" s="54">
        <v>0</v>
      </c>
      <c r="L293" s="22" t="s">
        <v>104</v>
      </c>
      <c r="M293" s="22" t="s">
        <v>36873</v>
      </c>
    </row>
    <row r="294" spans="1:13" x14ac:dyDescent="0.75">
      <c r="A294" t="s">
        <v>29505</v>
      </c>
      <c r="B294" t="s">
        <v>7392</v>
      </c>
      <c r="C294" t="s">
        <v>6400</v>
      </c>
      <c r="D294" t="s">
        <v>7393</v>
      </c>
      <c r="E294" t="s">
        <v>29506</v>
      </c>
      <c r="F294">
        <v>33</v>
      </c>
      <c r="G294">
        <v>1877499</v>
      </c>
      <c r="H294" t="s">
        <v>29507</v>
      </c>
      <c r="J294" s="54" t="s">
        <v>6052</v>
      </c>
      <c r="K294" s="54">
        <v>0</v>
      </c>
      <c r="L294" s="22" t="s">
        <v>104</v>
      </c>
      <c r="M294" s="22" t="s">
        <v>36873</v>
      </c>
    </row>
    <row r="295" spans="1:13" x14ac:dyDescent="0.75">
      <c r="A295" t="s">
        <v>28812</v>
      </c>
      <c r="B295" t="s">
        <v>7392</v>
      </c>
      <c r="C295" t="s">
        <v>6400</v>
      </c>
      <c r="D295" t="s">
        <v>7393</v>
      </c>
      <c r="E295" t="s">
        <v>28813</v>
      </c>
      <c r="F295">
        <v>78</v>
      </c>
      <c r="G295">
        <v>1749471</v>
      </c>
      <c r="H295" t="s">
        <v>28814</v>
      </c>
      <c r="J295" s="54" t="s">
        <v>6052</v>
      </c>
      <c r="K295" s="54">
        <v>0</v>
      </c>
      <c r="L295" s="22" t="s">
        <v>104</v>
      </c>
      <c r="M295" s="22" t="s">
        <v>36873</v>
      </c>
    </row>
    <row r="296" spans="1:13" x14ac:dyDescent="0.75">
      <c r="A296" t="s">
        <v>30363</v>
      </c>
      <c r="B296" t="s">
        <v>7392</v>
      </c>
      <c r="C296" t="s">
        <v>6400</v>
      </c>
      <c r="D296" t="s">
        <v>7393</v>
      </c>
      <c r="E296" t="s">
        <v>30364</v>
      </c>
      <c r="F296">
        <v>140</v>
      </c>
      <c r="G296">
        <v>1850914</v>
      </c>
      <c r="H296" t="s">
        <v>30365</v>
      </c>
      <c r="J296" s="54" t="s">
        <v>6052</v>
      </c>
      <c r="K296" s="54">
        <v>0</v>
      </c>
      <c r="L296" s="22" t="s">
        <v>104</v>
      </c>
      <c r="M296" s="22" t="s">
        <v>36873</v>
      </c>
    </row>
    <row r="297" spans="1:13" x14ac:dyDescent="0.75">
      <c r="A297" t="s">
        <v>20585</v>
      </c>
      <c r="B297" t="s">
        <v>9719</v>
      </c>
      <c r="C297" t="s">
        <v>6400</v>
      </c>
      <c r="D297" t="s">
        <v>9720</v>
      </c>
      <c r="E297">
        <v>2125159857</v>
      </c>
      <c r="F297">
        <v>1</v>
      </c>
      <c r="G297">
        <v>1999512</v>
      </c>
      <c r="H297" t="s">
        <v>20586</v>
      </c>
      <c r="J297" s="54" t="s">
        <v>6052</v>
      </c>
      <c r="K297" s="54">
        <v>0</v>
      </c>
      <c r="L297" s="22" t="s">
        <v>104</v>
      </c>
      <c r="M297" s="22" t="s">
        <v>36870</v>
      </c>
    </row>
    <row r="298" spans="1:13" x14ac:dyDescent="0.75">
      <c r="A298" t="s">
        <v>29460</v>
      </c>
      <c r="B298" t="s">
        <v>9719</v>
      </c>
      <c r="C298" t="s">
        <v>6400</v>
      </c>
      <c r="D298" t="s">
        <v>9720</v>
      </c>
      <c r="E298" t="s">
        <v>29461</v>
      </c>
      <c r="F298">
        <v>170</v>
      </c>
      <c r="G298">
        <v>1924108</v>
      </c>
      <c r="H298" t="s">
        <v>29462</v>
      </c>
      <c r="J298" s="54" t="s">
        <v>6052</v>
      </c>
      <c r="K298" s="54">
        <v>0</v>
      </c>
      <c r="L298" s="22" t="s">
        <v>104</v>
      </c>
      <c r="M298" s="22" t="s">
        <v>36870</v>
      </c>
    </row>
    <row r="299" spans="1:13" x14ac:dyDescent="0.75">
      <c r="A299" t="s">
        <v>29167</v>
      </c>
      <c r="B299" t="s">
        <v>9719</v>
      </c>
      <c r="C299" t="s">
        <v>6400</v>
      </c>
      <c r="D299" t="s">
        <v>9720</v>
      </c>
      <c r="E299" t="s">
        <v>29168</v>
      </c>
      <c r="F299">
        <v>112</v>
      </c>
      <c r="G299">
        <v>1845464</v>
      </c>
      <c r="H299" t="s">
        <v>29169</v>
      </c>
      <c r="J299" s="54" t="s">
        <v>6052</v>
      </c>
      <c r="K299" s="54">
        <v>0</v>
      </c>
      <c r="L299" s="22" t="s">
        <v>104</v>
      </c>
      <c r="M299" s="22" t="s">
        <v>36870</v>
      </c>
    </row>
    <row r="300" spans="1:13" x14ac:dyDescent="0.75">
      <c r="A300" t="s">
        <v>29014</v>
      </c>
      <c r="B300" t="s">
        <v>9719</v>
      </c>
      <c r="C300" t="s">
        <v>6400</v>
      </c>
      <c r="D300" t="s">
        <v>9720</v>
      </c>
      <c r="E300" t="s">
        <v>29015</v>
      </c>
      <c r="F300">
        <v>173</v>
      </c>
      <c r="G300">
        <v>1704279</v>
      </c>
      <c r="H300" t="s">
        <v>29016</v>
      </c>
      <c r="J300" s="54" t="s">
        <v>6052</v>
      </c>
      <c r="K300" s="54">
        <v>0</v>
      </c>
      <c r="L300" s="22" t="s">
        <v>104</v>
      </c>
      <c r="M300" s="22" t="s">
        <v>36870</v>
      </c>
    </row>
    <row r="301" spans="1:13" x14ac:dyDescent="0.75">
      <c r="A301" t="s">
        <v>9718</v>
      </c>
      <c r="B301" t="s">
        <v>9719</v>
      </c>
      <c r="C301" t="s">
        <v>6400</v>
      </c>
      <c r="D301" t="s">
        <v>9720</v>
      </c>
      <c r="E301" t="s">
        <v>9721</v>
      </c>
      <c r="F301">
        <v>110</v>
      </c>
      <c r="G301">
        <v>2016624</v>
      </c>
      <c r="H301" t="s">
        <v>9722</v>
      </c>
      <c r="J301" s="54" t="s">
        <v>6052</v>
      </c>
      <c r="K301" s="54">
        <v>0</v>
      </c>
      <c r="L301" s="22" t="s">
        <v>104</v>
      </c>
      <c r="M301" s="22" t="s">
        <v>36870</v>
      </c>
    </row>
    <row r="302" spans="1:13" x14ac:dyDescent="0.75">
      <c r="A302" t="s">
        <v>11059</v>
      </c>
      <c r="B302" t="s">
        <v>11060</v>
      </c>
      <c r="C302" t="s">
        <v>6400</v>
      </c>
      <c r="D302" t="s">
        <v>11061</v>
      </c>
      <c r="E302" t="s">
        <v>11062</v>
      </c>
      <c r="F302">
        <v>38</v>
      </c>
      <c r="G302">
        <v>1934895</v>
      </c>
      <c r="H302" t="s">
        <v>11063</v>
      </c>
      <c r="J302" s="54" t="s">
        <v>6052</v>
      </c>
      <c r="K302" s="54">
        <v>0</v>
      </c>
      <c r="L302" s="22" t="s">
        <v>104</v>
      </c>
      <c r="M302" s="22" t="s">
        <v>36871</v>
      </c>
    </row>
    <row r="303" spans="1:13" x14ac:dyDescent="0.75">
      <c r="A303" t="s">
        <v>15038</v>
      </c>
      <c r="B303" t="s">
        <v>11060</v>
      </c>
      <c r="C303" t="s">
        <v>6400</v>
      </c>
      <c r="D303" t="s">
        <v>11061</v>
      </c>
      <c r="E303" t="s">
        <v>15039</v>
      </c>
      <c r="F303">
        <v>19</v>
      </c>
      <c r="G303">
        <v>1936332</v>
      </c>
      <c r="H303" t="s">
        <v>15040</v>
      </c>
      <c r="J303" s="54" t="s">
        <v>6052</v>
      </c>
      <c r="K303" s="54">
        <v>0</v>
      </c>
      <c r="L303" s="22" t="s">
        <v>104</v>
      </c>
      <c r="M303" s="22" t="s">
        <v>36871</v>
      </c>
    </row>
    <row r="304" spans="1:13" x14ac:dyDescent="0.75">
      <c r="A304" t="s">
        <v>15035</v>
      </c>
      <c r="B304" t="s">
        <v>11060</v>
      </c>
      <c r="C304" t="s">
        <v>6400</v>
      </c>
      <c r="D304" t="s">
        <v>11061</v>
      </c>
      <c r="E304" t="s">
        <v>15036</v>
      </c>
      <c r="F304">
        <v>22</v>
      </c>
      <c r="G304">
        <v>1965663</v>
      </c>
      <c r="H304" t="s">
        <v>15037</v>
      </c>
      <c r="J304" s="54" t="s">
        <v>6052</v>
      </c>
      <c r="K304" s="54">
        <v>0</v>
      </c>
      <c r="L304" s="22" t="s">
        <v>104</v>
      </c>
      <c r="M304" s="22" t="s">
        <v>36871</v>
      </c>
    </row>
    <row r="305" spans="1:13" x14ac:dyDescent="0.75">
      <c r="A305" t="s">
        <v>29502</v>
      </c>
      <c r="B305" t="s">
        <v>11060</v>
      </c>
      <c r="C305" t="s">
        <v>6400</v>
      </c>
      <c r="D305" t="s">
        <v>11061</v>
      </c>
      <c r="E305" t="s">
        <v>29503</v>
      </c>
      <c r="F305">
        <v>14</v>
      </c>
      <c r="G305">
        <v>1754698</v>
      </c>
      <c r="H305" t="s">
        <v>29504</v>
      </c>
      <c r="J305" s="54" t="s">
        <v>6052</v>
      </c>
      <c r="K305" s="54">
        <v>0</v>
      </c>
      <c r="L305" s="22" t="s">
        <v>104</v>
      </c>
      <c r="M305" s="22" t="s">
        <v>36871</v>
      </c>
    </row>
    <row r="306" spans="1:13" x14ac:dyDescent="0.75">
      <c r="A306" t="s">
        <v>20679</v>
      </c>
      <c r="B306" t="s">
        <v>11060</v>
      </c>
      <c r="C306" t="s">
        <v>6400</v>
      </c>
      <c r="D306" t="s">
        <v>11061</v>
      </c>
      <c r="E306" t="s">
        <v>20680</v>
      </c>
      <c r="F306">
        <v>3</v>
      </c>
      <c r="G306">
        <v>1939696</v>
      </c>
      <c r="H306" t="s">
        <v>20681</v>
      </c>
      <c r="J306" s="54" t="s">
        <v>6052</v>
      </c>
      <c r="K306" s="54">
        <v>0</v>
      </c>
      <c r="L306" s="22" t="s">
        <v>104</v>
      </c>
      <c r="M306" s="22" t="s">
        <v>36871</v>
      </c>
    </row>
    <row r="307" spans="1:13" x14ac:dyDescent="0.75">
      <c r="A307" t="s">
        <v>566</v>
      </c>
      <c r="B307" t="s">
        <v>567</v>
      </c>
      <c r="C307" t="s">
        <v>6851</v>
      </c>
      <c r="D307" t="s">
        <v>8306</v>
      </c>
      <c r="E307" t="s">
        <v>8307</v>
      </c>
      <c r="F307">
        <v>57</v>
      </c>
      <c r="G307">
        <v>2593873</v>
      </c>
      <c r="H307" t="s">
        <v>8308</v>
      </c>
      <c r="J307" s="54" t="s">
        <v>8307</v>
      </c>
      <c r="K307" s="54">
        <v>1</v>
      </c>
      <c r="L307" s="22" t="s">
        <v>104</v>
      </c>
      <c r="M307" s="22" t="s">
        <v>568</v>
      </c>
    </row>
    <row r="308" spans="1:13" x14ac:dyDescent="0.75">
      <c r="A308" t="s">
        <v>2853</v>
      </c>
      <c r="B308" t="s">
        <v>567</v>
      </c>
      <c r="C308" t="s">
        <v>6851</v>
      </c>
      <c r="D308" t="s">
        <v>8306</v>
      </c>
      <c r="E308" t="s">
        <v>18856</v>
      </c>
      <c r="F308">
        <v>28</v>
      </c>
      <c r="G308">
        <v>2557292</v>
      </c>
      <c r="H308" t="s">
        <v>18857</v>
      </c>
      <c r="J308" s="54" t="s">
        <v>18856</v>
      </c>
      <c r="K308" s="54">
        <v>1</v>
      </c>
      <c r="L308" s="22" t="s">
        <v>104</v>
      </c>
      <c r="M308" s="22" t="s">
        <v>568</v>
      </c>
    </row>
    <row r="309" spans="1:13" x14ac:dyDescent="0.75">
      <c r="A309" t="s">
        <v>5332</v>
      </c>
      <c r="B309" t="s">
        <v>5062</v>
      </c>
      <c r="C309" t="s">
        <v>6851</v>
      </c>
      <c r="D309" t="s">
        <v>27127</v>
      </c>
      <c r="E309" t="s">
        <v>28302</v>
      </c>
      <c r="F309">
        <v>16</v>
      </c>
      <c r="G309">
        <v>2771606</v>
      </c>
      <c r="H309" t="s">
        <v>28303</v>
      </c>
      <c r="J309" s="54" t="s">
        <v>28302</v>
      </c>
      <c r="K309" s="54">
        <v>1</v>
      </c>
      <c r="L309" s="22" t="s">
        <v>104</v>
      </c>
      <c r="M309" s="22" t="s">
        <v>36822</v>
      </c>
    </row>
    <row r="310" spans="1:13" x14ac:dyDescent="0.75">
      <c r="A310" t="s">
        <v>5061</v>
      </c>
      <c r="B310" t="s">
        <v>5062</v>
      </c>
      <c r="C310" t="s">
        <v>6851</v>
      </c>
      <c r="D310" t="s">
        <v>27127</v>
      </c>
      <c r="E310" t="s">
        <v>27128</v>
      </c>
      <c r="F310">
        <v>16</v>
      </c>
      <c r="G310">
        <v>2771606</v>
      </c>
      <c r="H310" t="s">
        <v>27129</v>
      </c>
      <c r="J310" s="54" t="s">
        <v>27128</v>
      </c>
      <c r="K310" s="54">
        <v>1</v>
      </c>
      <c r="L310" s="22" t="s">
        <v>104</v>
      </c>
      <c r="M310" s="22" t="s">
        <v>36822</v>
      </c>
    </row>
    <row r="311" spans="1:13" x14ac:dyDescent="0.75">
      <c r="A311" t="s">
        <v>5643</v>
      </c>
      <c r="B311" t="s">
        <v>5062</v>
      </c>
      <c r="C311" t="s">
        <v>6851</v>
      </c>
      <c r="D311" t="s">
        <v>27127</v>
      </c>
      <c r="E311" t="s">
        <v>29387</v>
      </c>
      <c r="F311">
        <v>95</v>
      </c>
      <c r="G311">
        <v>2737121</v>
      </c>
      <c r="H311" t="s">
        <v>29388</v>
      </c>
      <c r="J311" s="54" t="s">
        <v>30844</v>
      </c>
      <c r="K311" s="54">
        <v>1</v>
      </c>
      <c r="L311" s="22" t="s">
        <v>104</v>
      </c>
      <c r="M311" s="22" t="s">
        <v>36822</v>
      </c>
    </row>
    <row r="312" spans="1:13" x14ac:dyDescent="0.75">
      <c r="A312" t="s">
        <v>5722</v>
      </c>
      <c r="B312" t="s">
        <v>5062</v>
      </c>
      <c r="C312" t="s">
        <v>6851</v>
      </c>
      <c r="D312" t="s">
        <v>27127</v>
      </c>
      <c r="E312" t="s">
        <v>29585</v>
      </c>
      <c r="F312">
        <v>41</v>
      </c>
      <c r="G312">
        <v>2561453</v>
      </c>
      <c r="H312" t="s">
        <v>29586</v>
      </c>
      <c r="J312" s="54" t="s">
        <v>30844</v>
      </c>
      <c r="K312" s="54">
        <v>1</v>
      </c>
      <c r="L312" s="22" t="s">
        <v>104</v>
      </c>
      <c r="M312" s="22" t="s">
        <v>36822</v>
      </c>
    </row>
    <row r="313" spans="1:13" x14ac:dyDescent="0.75">
      <c r="A313" t="s">
        <v>5405</v>
      </c>
      <c r="B313" t="s">
        <v>783</v>
      </c>
      <c r="C313" t="s">
        <v>6851</v>
      </c>
      <c r="D313" t="s">
        <v>8958</v>
      </c>
      <c r="E313" t="s">
        <v>28635</v>
      </c>
      <c r="F313">
        <v>81</v>
      </c>
      <c r="G313">
        <v>1864341</v>
      </c>
      <c r="H313" t="s">
        <v>28636</v>
      </c>
      <c r="J313" s="54" t="s">
        <v>28635</v>
      </c>
      <c r="K313" s="54">
        <v>1</v>
      </c>
      <c r="L313" s="22" t="s">
        <v>104</v>
      </c>
      <c r="M313" s="22" t="s">
        <v>36821</v>
      </c>
    </row>
    <row r="314" spans="1:13" x14ac:dyDescent="0.75">
      <c r="A314" t="s">
        <v>5863</v>
      </c>
      <c r="B314" t="s">
        <v>783</v>
      </c>
      <c r="C314" t="s">
        <v>6851</v>
      </c>
      <c r="D314" t="s">
        <v>8958</v>
      </c>
      <c r="E314" t="s">
        <v>29841</v>
      </c>
      <c r="F314">
        <v>56</v>
      </c>
      <c r="G314">
        <v>2642809</v>
      </c>
      <c r="H314" t="s">
        <v>29842</v>
      </c>
      <c r="J314" s="54" t="s">
        <v>30844</v>
      </c>
      <c r="K314" s="54">
        <v>1</v>
      </c>
      <c r="L314" s="22" t="s">
        <v>104</v>
      </c>
      <c r="M314" s="22" t="s">
        <v>36821</v>
      </c>
    </row>
    <row r="315" spans="1:13" x14ac:dyDescent="0.75">
      <c r="A315" t="s">
        <v>5993</v>
      </c>
      <c r="B315" t="s">
        <v>783</v>
      </c>
      <c r="C315" t="s">
        <v>6851</v>
      </c>
      <c r="D315" t="s">
        <v>8958</v>
      </c>
      <c r="E315" t="s">
        <v>30366</v>
      </c>
      <c r="F315">
        <v>185</v>
      </c>
      <c r="G315">
        <v>2343991</v>
      </c>
      <c r="H315" t="s">
        <v>30367</v>
      </c>
      <c r="J315" s="54" t="s">
        <v>30844</v>
      </c>
      <c r="K315" s="54">
        <v>1</v>
      </c>
      <c r="L315" s="22" t="s">
        <v>104</v>
      </c>
      <c r="M315" s="22" t="s">
        <v>36821</v>
      </c>
    </row>
    <row r="316" spans="1:13" x14ac:dyDescent="0.75">
      <c r="A316" t="s">
        <v>782</v>
      </c>
      <c r="B316" t="s">
        <v>783</v>
      </c>
      <c r="C316" t="s">
        <v>6851</v>
      </c>
      <c r="D316" t="s">
        <v>8958</v>
      </c>
      <c r="E316" t="s">
        <v>8959</v>
      </c>
      <c r="F316">
        <v>89</v>
      </c>
      <c r="G316">
        <v>2553017</v>
      </c>
      <c r="H316" t="s">
        <v>8960</v>
      </c>
      <c r="J316" s="54" t="s">
        <v>8959</v>
      </c>
      <c r="K316" s="54">
        <v>1</v>
      </c>
      <c r="L316" s="22" t="s">
        <v>104</v>
      </c>
      <c r="M316" s="22" t="s">
        <v>36821</v>
      </c>
    </row>
    <row r="317" spans="1:13" x14ac:dyDescent="0.75">
      <c r="A317" t="s">
        <v>22294</v>
      </c>
      <c r="B317" t="s">
        <v>6850</v>
      </c>
      <c r="C317" t="s">
        <v>6851</v>
      </c>
      <c r="D317" t="s">
        <v>6852</v>
      </c>
      <c r="E317" t="s">
        <v>22295</v>
      </c>
      <c r="F317">
        <v>78</v>
      </c>
      <c r="G317">
        <v>2497228</v>
      </c>
      <c r="H317" t="s">
        <v>22296</v>
      </c>
      <c r="J317" s="54" t="s">
        <v>6052</v>
      </c>
      <c r="K317" s="54">
        <v>0</v>
      </c>
      <c r="L317" s="22" t="s">
        <v>104</v>
      </c>
      <c r="M317" s="22" t="s">
        <v>36879</v>
      </c>
    </row>
    <row r="318" spans="1:13" x14ac:dyDescent="0.75">
      <c r="A318" t="s">
        <v>22291</v>
      </c>
      <c r="B318" t="s">
        <v>6850</v>
      </c>
      <c r="C318" t="s">
        <v>6851</v>
      </c>
      <c r="D318" t="s">
        <v>6852</v>
      </c>
      <c r="E318" t="s">
        <v>22292</v>
      </c>
      <c r="F318">
        <v>61</v>
      </c>
      <c r="G318">
        <v>2529871</v>
      </c>
      <c r="H318" t="s">
        <v>22293</v>
      </c>
      <c r="J318" s="54" t="s">
        <v>6052</v>
      </c>
      <c r="K318" s="54">
        <v>0</v>
      </c>
      <c r="L318" s="22" t="s">
        <v>104</v>
      </c>
      <c r="M318" s="22" t="s">
        <v>36879</v>
      </c>
    </row>
    <row r="319" spans="1:13" x14ac:dyDescent="0.75">
      <c r="A319" t="s">
        <v>22288</v>
      </c>
      <c r="B319" t="s">
        <v>6850</v>
      </c>
      <c r="C319" t="s">
        <v>6851</v>
      </c>
      <c r="D319" t="s">
        <v>6852</v>
      </c>
      <c r="E319" t="s">
        <v>22289</v>
      </c>
      <c r="F319">
        <v>120</v>
      </c>
      <c r="G319">
        <v>2684346</v>
      </c>
      <c r="H319" t="s">
        <v>22290</v>
      </c>
      <c r="J319" s="54" t="s">
        <v>6052</v>
      </c>
      <c r="K319" s="54">
        <v>0</v>
      </c>
      <c r="L319" s="22" t="s">
        <v>104</v>
      </c>
      <c r="M319" s="22" t="s">
        <v>36879</v>
      </c>
    </row>
    <row r="320" spans="1:13" x14ac:dyDescent="0.75">
      <c r="A320" t="s">
        <v>22285</v>
      </c>
      <c r="B320" t="s">
        <v>6850</v>
      </c>
      <c r="C320" t="s">
        <v>6851</v>
      </c>
      <c r="D320" t="s">
        <v>6852</v>
      </c>
      <c r="E320" t="s">
        <v>22286</v>
      </c>
      <c r="F320">
        <v>85</v>
      </c>
      <c r="G320">
        <v>2593442</v>
      </c>
      <c r="H320" t="s">
        <v>22287</v>
      </c>
      <c r="J320" s="54" t="s">
        <v>6052</v>
      </c>
      <c r="K320" s="54">
        <v>0</v>
      </c>
      <c r="L320" s="22" t="s">
        <v>104</v>
      </c>
      <c r="M320" s="22" t="s">
        <v>36879</v>
      </c>
    </row>
    <row r="321" spans="1:13" x14ac:dyDescent="0.75">
      <c r="A321" t="s">
        <v>6849</v>
      </c>
      <c r="B321" t="s">
        <v>6850</v>
      </c>
      <c r="C321" t="s">
        <v>6851</v>
      </c>
      <c r="D321" t="s">
        <v>6852</v>
      </c>
      <c r="E321" t="s">
        <v>6853</v>
      </c>
      <c r="F321">
        <v>34</v>
      </c>
      <c r="G321">
        <v>2585719</v>
      </c>
      <c r="H321" t="s">
        <v>6854</v>
      </c>
      <c r="J321" s="54" t="s">
        <v>6052</v>
      </c>
      <c r="K321" s="54">
        <v>0</v>
      </c>
      <c r="L321" s="22" t="s">
        <v>104</v>
      </c>
      <c r="M321" s="22" t="s">
        <v>36879</v>
      </c>
    </row>
    <row r="322" spans="1:13" x14ac:dyDescent="0.75">
      <c r="A322" t="s">
        <v>29601</v>
      </c>
      <c r="B322" t="s">
        <v>6850</v>
      </c>
      <c r="C322" t="s">
        <v>6851</v>
      </c>
      <c r="D322" t="s">
        <v>6852</v>
      </c>
      <c r="E322" t="s">
        <v>29602</v>
      </c>
      <c r="F322">
        <v>71</v>
      </c>
      <c r="G322">
        <v>2301845</v>
      </c>
      <c r="H322" t="s">
        <v>29603</v>
      </c>
      <c r="J322" s="54" t="s">
        <v>6052</v>
      </c>
      <c r="K322" s="54">
        <v>0</v>
      </c>
      <c r="L322" s="22" t="s">
        <v>104</v>
      </c>
      <c r="M322" s="22" t="s">
        <v>36879</v>
      </c>
    </row>
    <row r="323" spans="1:13" x14ac:dyDescent="0.75">
      <c r="A323" t="s">
        <v>30351</v>
      </c>
      <c r="B323" t="s">
        <v>6850</v>
      </c>
      <c r="C323" t="s">
        <v>6851</v>
      </c>
      <c r="D323" t="s">
        <v>6852</v>
      </c>
      <c r="E323" t="s">
        <v>30352</v>
      </c>
      <c r="F323">
        <v>239</v>
      </c>
      <c r="G323">
        <v>1931099</v>
      </c>
      <c r="H323" t="s">
        <v>30353</v>
      </c>
      <c r="J323" s="54" t="s">
        <v>6052</v>
      </c>
      <c r="K323" s="54">
        <v>0</v>
      </c>
      <c r="L323" s="22" t="s">
        <v>104</v>
      </c>
      <c r="M323" s="22" t="s">
        <v>36879</v>
      </c>
    </row>
    <row r="324" spans="1:13" x14ac:dyDescent="0.75">
      <c r="A324" t="s">
        <v>28962</v>
      </c>
      <c r="B324" t="s">
        <v>6850</v>
      </c>
      <c r="C324" t="s">
        <v>6851</v>
      </c>
      <c r="D324" t="s">
        <v>6852</v>
      </c>
      <c r="E324" t="s">
        <v>28963</v>
      </c>
      <c r="F324">
        <v>56</v>
      </c>
      <c r="G324">
        <v>2468476</v>
      </c>
      <c r="H324" t="s">
        <v>28964</v>
      </c>
      <c r="J324" s="54" t="s">
        <v>6052</v>
      </c>
      <c r="K324" s="54">
        <v>0</v>
      </c>
      <c r="L324" s="22" t="s">
        <v>104</v>
      </c>
      <c r="M324" s="22" t="s">
        <v>36879</v>
      </c>
    </row>
    <row r="325" spans="1:13" x14ac:dyDescent="0.75">
      <c r="A325" t="s">
        <v>10994</v>
      </c>
      <c r="B325" t="s">
        <v>9536</v>
      </c>
      <c r="C325" t="s">
        <v>9537</v>
      </c>
      <c r="D325" t="s">
        <v>9538</v>
      </c>
      <c r="E325" t="s">
        <v>10995</v>
      </c>
      <c r="F325">
        <v>31</v>
      </c>
      <c r="G325">
        <v>1792971</v>
      </c>
      <c r="H325" t="s">
        <v>10996</v>
      </c>
      <c r="J325" s="54" t="s">
        <v>6052</v>
      </c>
      <c r="K325" s="54">
        <v>0</v>
      </c>
      <c r="L325" s="22" t="s">
        <v>104</v>
      </c>
      <c r="M325" s="22" t="s">
        <v>36880</v>
      </c>
    </row>
    <row r="326" spans="1:13" x14ac:dyDescent="0.75">
      <c r="A326" t="s">
        <v>11024</v>
      </c>
      <c r="B326" t="s">
        <v>9536</v>
      </c>
      <c r="C326" t="s">
        <v>9537</v>
      </c>
      <c r="D326" t="s">
        <v>9538</v>
      </c>
      <c r="E326" t="s">
        <v>11025</v>
      </c>
      <c r="F326">
        <v>23</v>
      </c>
      <c r="G326">
        <v>1875004</v>
      </c>
      <c r="H326" t="s">
        <v>11026</v>
      </c>
      <c r="J326" s="54" t="s">
        <v>6052</v>
      </c>
      <c r="K326" s="54">
        <v>0</v>
      </c>
      <c r="L326" s="22" t="s">
        <v>104</v>
      </c>
      <c r="M326" s="22" t="s">
        <v>36880</v>
      </c>
    </row>
    <row r="327" spans="1:13" x14ac:dyDescent="0.75">
      <c r="A327" t="s">
        <v>11027</v>
      </c>
      <c r="B327" t="s">
        <v>9536</v>
      </c>
      <c r="C327" t="s">
        <v>9537</v>
      </c>
      <c r="D327" t="s">
        <v>9538</v>
      </c>
      <c r="E327" t="s">
        <v>11028</v>
      </c>
      <c r="F327">
        <v>26</v>
      </c>
      <c r="G327">
        <v>1759239</v>
      </c>
      <c r="H327" t="s">
        <v>11029</v>
      </c>
      <c r="J327" s="54" t="s">
        <v>6052</v>
      </c>
      <c r="K327" s="54">
        <v>0</v>
      </c>
      <c r="L327" s="22" t="s">
        <v>104</v>
      </c>
      <c r="M327" s="22" t="s">
        <v>36880</v>
      </c>
    </row>
    <row r="328" spans="1:13" x14ac:dyDescent="0.75">
      <c r="A328" t="s">
        <v>9535</v>
      </c>
      <c r="B328" t="s">
        <v>9536</v>
      </c>
      <c r="C328" t="s">
        <v>9537</v>
      </c>
      <c r="D328" t="s">
        <v>9538</v>
      </c>
      <c r="E328" t="s">
        <v>9539</v>
      </c>
      <c r="F328">
        <v>43</v>
      </c>
      <c r="G328">
        <v>1847146</v>
      </c>
      <c r="H328" t="s">
        <v>9540</v>
      </c>
      <c r="J328" s="54" t="s">
        <v>6052</v>
      </c>
      <c r="K328" s="54">
        <v>0</v>
      </c>
      <c r="L328" s="22" t="s">
        <v>104</v>
      </c>
      <c r="M328" s="22" t="s">
        <v>36880</v>
      </c>
    </row>
    <row r="329" spans="1:13" x14ac:dyDescent="0.75">
      <c r="A329" t="s">
        <v>14361</v>
      </c>
      <c r="B329" t="s">
        <v>9536</v>
      </c>
      <c r="C329" t="s">
        <v>9537</v>
      </c>
      <c r="D329" t="s">
        <v>9538</v>
      </c>
      <c r="E329" t="s">
        <v>14362</v>
      </c>
      <c r="F329">
        <v>14</v>
      </c>
      <c r="G329">
        <v>1802081</v>
      </c>
      <c r="H329" t="s">
        <v>14363</v>
      </c>
      <c r="J329" s="54" t="s">
        <v>6052</v>
      </c>
      <c r="K329" s="54">
        <v>0</v>
      </c>
      <c r="L329" s="22" t="s">
        <v>104</v>
      </c>
      <c r="M329" s="22" t="s">
        <v>36880</v>
      </c>
    </row>
    <row r="330" spans="1:13" x14ac:dyDescent="0.75">
      <c r="A330" t="s">
        <v>14286</v>
      </c>
      <c r="B330" t="s">
        <v>9536</v>
      </c>
      <c r="C330" t="s">
        <v>9537</v>
      </c>
      <c r="D330" t="s">
        <v>9538</v>
      </c>
      <c r="E330" t="s">
        <v>14287</v>
      </c>
      <c r="F330">
        <v>16</v>
      </c>
      <c r="G330">
        <v>1841181</v>
      </c>
      <c r="H330" t="s">
        <v>14288</v>
      </c>
      <c r="J330" s="54" t="s">
        <v>6052</v>
      </c>
      <c r="K330" s="54">
        <v>0</v>
      </c>
      <c r="L330" s="22" t="s">
        <v>104</v>
      </c>
      <c r="M330" s="22" t="s">
        <v>36880</v>
      </c>
    </row>
    <row r="331" spans="1:13" x14ac:dyDescent="0.75">
      <c r="A331" t="s">
        <v>26076</v>
      </c>
      <c r="B331" t="s">
        <v>9536</v>
      </c>
      <c r="C331" t="s">
        <v>9537</v>
      </c>
      <c r="D331" t="s">
        <v>9538</v>
      </c>
      <c r="E331" t="s">
        <v>26077</v>
      </c>
      <c r="F331">
        <v>11</v>
      </c>
      <c r="G331">
        <v>1799614</v>
      </c>
      <c r="H331" t="s">
        <v>26078</v>
      </c>
      <c r="J331" s="54" t="s">
        <v>6052</v>
      </c>
      <c r="K331" s="54">
        <v>0</v>
      </c>
      <c r="L331" s="22" t="s">
        <v>104</v>
      </c>
      <c r="M331" s="22" t="s">
        <v>36880</v>
      </c>
    </row>
    <row r="332" spans="1:13" x14ac:dyDescent="0.75">
      <c r="A332" t="s">
        <v>25911</v>
      </c>
      <c r="B332" t="s">
        <v>9536</v>
      </c>
      <c r="C332" t="s">
        <v>9537</v>
      </c>
      <c r="D332" t="s">
        <v>9538</v>
      </c>
      <c r="E332" t="s">
        <v>25912</v>
      </c>
      <c r="F332">
        <v>29</v>
      </c>
      <c r="G332">
        <v>1852113</v>
      </c>
      <c r="H332" t="s">
        <v>25913</v>
      </c>
      <c r="J332" s="54" t="s">
        <v>6052</v>
      </c>
      <c r="K332" s="54">
        <v>0</v>
      </c>
      <c r="L332" s="22" t="s">
        <v>104</v>
      </c>
      <c r="M332" s="22" t="s">
        <v>36880</v>
      </c>
    </row>
    <row r="333" spans="1:13" x14ac:dyDescent="0.75">
      <c r="A333" t="s">
        <v>25935</v>
      </c>
      <c r="B333" t="s">
        <v>9536</v>
      </c>
      <c r="C333" t="s">
        <v>9537</v>
      </c>
      <c r="D333" t="s">
        <v>9538</v>
      </c>
      <c r="E333" t="s">
        <v>25936</v>
      </c>
      <c r="F333">
        <v>31</v>
      </c>
      <c r="G333">
        <v>1787092</v>
      </c>
      <c r="H333" t="s">
        <v>25937</v>
      </c>
      <c r="J333" s="54" t="s">
        <v>6052</v>
      </c>
      <c r="K333" s="54">
        <v>0</v>
      </c>
      <c r="L333" s="22" t="s">
        <v>104</v>
      </c>
      <c r="M333" s="22" t="s">
        <v>36880</v>
      </c>
    </row>
    <row r="334" spans="1:13" x14ac:dyDescent="0.75">
      <c r="A334" t="s">
        <v>28752</v>
      </c>
      <c r="B334" t="s">
        <v>8375</v>
      </c>
      <c r="C334" t="s">
        <v>8376</v>
      </c>
      <c r="D334" t="s">
        <v>8377</v>
      </c>
      <c r="E334" t="s">
        <v>28753</v>
      </c>
      <c r="F334">
        <v>44</v>
      </c>
      <c r="G334">
        <v>1734376</v>
      </c>
      <c r="H334" t="s">
        <v>28754</v>
      </c>
      <c r="J334" s="54" t="s">
        <v>6052</v>
      </c>
      <c r="K334" s="54">
        <v>0</v>
      </c>
      <c r="L334" s="22" t="s">
        <v>104</v>
      </c>
      <c r="M334" s="22" t="s">
        <v>36887</v>
      </c>
    </row>
    <row r="335" spans="1:13" x14ac:dyDescent="0.75">
      <c r="A335" t="s">
        <v>29934</v>
      </c>
      <c r="B335" t="s">
        <v>8375</v>
      </c>
      <c r="C335" t="s">
        <v>8376</v>
      </c>
      <c r="D335" t="s">
        <v>8377</v>
      </c>
      <c r="E335" t="s">
        <v>29935</v>
      </c>
      <c r="F335">
        <v>24</v>
      </c>
      <c r="G335">
        <v>1783959</v>
      </c>
      <c r="H335" t="s">
        <v>29936</v>
      </c>
      <c r="J335" s="54" t="s">
        <v>6052</v>
      </c>
      <c r="K335" s="54">
        <v>0</v>
      </c>
      <c r="L335" s="22" t="s">
        <v>104</v>
      </c>
      <c r="M335" s="22" t="s">
        <v>36887</v>
      </c>
    </row>
    <row r="336" spans="1:13" x14ac:dyDescent="0.75">
      <c r="A336" t="s">
        <v>8374</v>
      </c>
      <c r="B336" t="s">
        <v>8375</v>
      </c>
      <c r="C336" t="s">
        <v>8376</v>
      </c>
      <c r="D336" t="s">
        <v>8377</v>
      </c>
      <c r="E336" t="s">
        <v>8378</v>
      </c>
      <c r="F336">
        <v>103</v>
      </c>
      <c r="G336">
        <v>1798854</v>
      </c>
      <c r="H336" t="s">
        <v>8379</v>
      </c>
      <c r="J336" s="54" t="s">
        <v>6052</v>
      </c>
      <c r="K336" s="54">
        <v>0</v>
      </c>
      <c r="L336" s="22" t="s">
        <v>104</v>
      </c>
      <c r="M336" s="22" t="s">
        <v>36887</v>
      </c>
    </row>
    <row r="337" spans="1:13" x14ac:dyDescent="0.75">
      <c r="A337" t="s">
        <v>28481</v>
      </c>
      <c r="B337" t="s">
        <v>8375</v>
      </c>
      <c r="C337" t="s">
        <v>8376</v>
      </c>
      <c r="D337" t="s">
        <v>8377</v>
      </c>
      <c r="E337" t="s">
        <v>28482</v>
      </c>
      <c r="F337">
        <v>28</v>
      </c>
      <c r="G337">
        <v>1764081</v>
      </c>
      <c r="H337" t="s">
        <v>28483</v>
      </c>
      <c r="J337" s="54" t="s">
        <v>6052</v>
      </c>
      <c r="K337" s="54">
        <v>0</v>
      </c>
      <c r="L337" s="22" t="s">
        <v>104</v>
      </c>
      <c r="M337" s="22" t="s">
        <v>36887</v>
      </c>
    </row>
    <row r="338" spans="1:13" x14ac:dyDescent="0.75">
      <c r="A338" t="s">
        <v>30628</v>
      </c>
      <c r="B338" t="s">
        <v>8375</v>
      </c>
      <c r="C338" t="s">
        <v>8376</v>
      </c>
      <c r="D338" t="s">
        <v>8377</v>
      </c>
      <c r="E338" t="s">
        <v>30629</v>
      </c>
      <c r="F338">
        <v>113</v>
      </c>
      <c r="G338">
        <v>1674649</v>
      </c>
      <c r="H338" t="s">
        <v>30630</v>
      </c>
      <c r="J338" s="54" t="s">
        <v>6052</v>
      </c>
      <c r="K338" s="54">
        <v>0</v>
      </c>
      <c r="L338" s="22" t="s">
        <v>104</v>
      </c>
      <c r="M338" s="22" t="s">
        <v>36887</v>
      </c>
    </row>
    <row r="339" spans="1:13" x14ac:dyDescent="0.75">
      <c r="A339" t="s">
        <v>30530</v>
      </c>
      <c r="B339" t="s">
        <v>8375</v>
      </c>
      <c r="C339" t="s">
        <v>8376</v>
      </c>
      <c r="D339" t="s">
        <v>8377</v>
      </c>
      <c r="E339" t="s">
        <v>30531</v>
      </c>
      <c r="F339">
        <v>85</v>
      </c>
      <c r="G339">
        <v>1688965</v>
      </c>
      <c r="H339" t="s">
        <v>30532</v>
      </c>
      <c r="J339" s="54" t="s">
        <v>6052</v>
      </c>
      <c r="K339" s="54">
        <v>0</v>
      </c>
      <c r="L339" s="22" t="s">
        <v>104</v>
      </c>
      <c r="M339" s="22" t="s">
        <v>36887</v>
      </c>
    </row>
    <row r="340" spans="1:13" x14ac:dyDescent="0.75">
      <c r="A340" t="s">
        <v>28954</v>
      </c>
      <c r="B340" t="s">
        <v>8375</v>
      </c>
      <c r="C340" t="s">
        <v>8376</v>
      </c>
      <c r="D340" t="s">
        <v>8377</v>
      </c>
      <c r="E340" t="s">
        <v>28955</v>
      </c>
      <c r="F340">
        <v>30</v>
      </c>
      <c r="G340">
        <v>1760181</v>
      </c>
      <c r="H340" t="s">
        <v>28956</v>
      </c>
      <c r="J340" s="54" t="s">
        <v>6052</v>
      </c>
      <c r="K340" s="54">
        <v>0</v>
      </c>
      <c r="L340" s="22" t="s">
        <v>104</v>
      </c>
      <c r="M340" s="22" t="s">
        <v>36887</v>
      </c>
    </row>
    <row r="341" spans="1:13" x14ac:dyDescent="0.75">
      <c r="A341" t="s">
        <v>1646</v>
      </c>
      <c r="B341" t="s">
        <v>1647</v>
      </c>
      <c r="C341" t="s">
        <v>9439</v>
      </c>
      <c r="D341" t="s">
        <v>9440</v>
      </c>
      <c r="E341" t="s">
        <v>12542</v>
      </c>
      <c r="F341">
        <v>1</v>
      </c>
      <c r="G341">
        <v>2945494</v>
      </c>
      <c r="H341" t="s">
        <v>12543</v>
      </c>
      <c r="J341" s="54" t="s">
        <v>12542</v>
      </c>
      <c r="K341" s="54">
        <v>2</v>
      </c>
      <c r="L341" s="22" t="s">
        <v>104</v>
      </c>
      <c r="M341" s="22" t="s">
        <v>36813</v>
      </c>
    </row>
    <row r="342" spans="1:13" x14ac:dyDescent="0.75">
      <c r="A342" t="s">
        <v>5444</v>
      </c>
      <c r="B342" t="s">
        <v>1647</v>
      </c>
      <c r="C342" t="s">
        <v>9439</v>
      </c>
      <c r="D342" t="s">
        <v>9440</v>
      </c>
      <c r="E342" t="s">
        <v>28926</v>
      </c>
      <c r="F342">
        <v>229</v>
      </c>
      <c r="G342">
        <v>2554535</v>
      </c>
      <c r="H342" t="s">
        <v>28927</v>
      </c>
      <c r="J342" s="54" t="s">
        <v>30844</v>
      </c>
      <c r="K342" s="54">
        <v>2</v>
      </c>
      <c r="L342" s="22" t="s">
        <v>104</v>
      </c>
      <c r="M342" s="22" t="s">
        <v>36813</v>
      </c>
    </row>
    <row r="343" spans="1:13" x14ac:dyDescent="0.75">
      <c r="A343" t="s">
        <v>9438</v>
      </c>
      <c r="B343" t="s">
        <v>1647</v>
      </c>
      <c r="C343" t="s">
        <v>9439</v>
      </c>
      <c r="D343" t="s">
        <v>9440</v>
      </c>
      <c r="E343" t="s">
        <v>9441</v>
      </c>
      <c r="F343">
        <v>113</v>
      </c>
      <c r="G343">
        <v>1160015</v>
      </c>
      <c r="H343" t="s">
        <v>9442</v>
      </c>
      <c r="J343" s="54" t="s">
        <v>6052</v>
      </c>
      <c r="K343" s="54">
        <v>0</v>
      </c>
      <c r="L343" s="22" t="s">
        <v>104</v>
      </c>
      <c r="M343" s="22" t="s">
        <v>36813</v>
      </c>
    </row>
    <row r="344" spans="1:13" x14ac:dyDescent="0.75">
      <c r="A344" t="s">
        <v>9816</v>
      </c>
      <c r="B344" t="s">
        <v>6539</v>
      </c>
      <c r="C344" t="s">
        <v>6540</v>
      </c>
      <c r="D344" t="s">
        <v>6541</v>
      </c>
      <c r="E344" t="s">
        <v>9817</v>
      </c>
      <c r="F344">
        <v>5</v>
      </c>
      <c r="G344">
        <v>1499757</v>
      </c>
      <c r="H344" t="s">
        <v>9818</v>
      </c>
      <c r="J344" s="54" t="s">
        <v>6052</v>
      </c>
      <c r="K344" s="54">
        <v>0</v>
      </c>
      <c r="L344" s="22" t="s">
        <v>104</v>
      </c>
      <c r="M344" s="22" t="s">
        <v>36890</v>
      </c>
    </row>
    <row r="345" spans="1:13" x14ac:dyDescent="0.75">
      <c r="A345" t="s">
        <v>6538</v>
      </c>
      <c r="B345" t="s">
        <v>6539</v>
      </c>
      <c r="C345" t="s">
        <v>6540</v>
      </c>
      <c r="D345" t="s">
        <v>6541</v>
      </c>
      <c r="E345" t="s">
        <v>6542</v>
      </c>
      <c r="F345">
        <v>72</v>
      </c>
      <c r="G345">
        <v>1569385</v>
      </c>
      <c r="H345" t="s">
        <v>6543</v>
      </c>
      <c r="J345" s="54" t="s">
        <v>6052</v>
      </c>
      <c r="K345" s="54">
        <v>0</v>
      </c>
      <c r="L345" s="22" t="s">
        <v>104</v>
      </c>
      <c r="M345" s="22" t="s">
        <v>36890</v>
      </c>
    </row>
    <row r="346" spans="1:13" x14ac:dyDescent="0.75">
      <c r="A346" t="s">
        <v>30056</v>
      </c>
      <c r="B346" t="s">
        <v>8434</v>
      </c>
      <c r="C346" t="s">
        <v>8435</v>
      </c>
      <c r="D346" t="s">
        <v>8436</v>
      </c>
      <c r="E346" t="s">
        <v>30057</v>
      </c>
      <c r="F346">
        <v>59</v>
      </c>
      <c r="G346">
        <v>1954565</v>
      </c>
      <c r="H346" t="s">
        <v>30058</v>
      </c>
      <c r="J346" s="54" t="s">
        <v>6052</v>
      </c>
      <c r="K346" s="54">
        <v>0</v>
      </c>
      <c r="L346" s="22" t="s">
        <v>104</v>
      </c>
      <c r="M346" s="22" t="s">
        <v>36892</v>
      </c>
    </row>
    <row r="347" spans="1:13" x14ac:dyDescent="0.75">
      <c r="A347" t="s">
        <v>8433</v>
      </c>
      <c r="B347" t="s">
        <v>8434</v>
      </c>
      <c r="C347" t="s">
        <v>8435</v>
      </c>
      <c r="D347" t="s">
        <v>8436</v>
      </c>
      <c r="E347" t="s">
        <v>8437</v>
      </c>
      <c r="F347">
        <v>42</v>
      </c>
      <c r="G347">
        <v>1910927</v>
      </c>
      <c r="H347" t="s">
        <v>8438</v>
      </c>
      <c r="J347" s="54" t="s">
        <v>6052</v>
      </c>
      <c r="K347" s="54">
        <v>0</v>
      </c>
      <c r="L347" s="22" t="s">
        <v>104</v>
      </c>
      <c r="M347" s="22" t="s">
        <v>36892</v>
      </c>
    </row>
    <row r="348" spans="1:13" x14ac:dyDescent="0.75">
      <c r="A348" t="s">
        <v>21316</v>
      </c>
      <c r="B348" t="s">
        <v>8434</v>
      </c>
      <c r="C348" t="s">
        <v>8435</v>
      </c>
      <c r="D348" t="s">
        <v>8436</v>
      </c>
      <c r="E348" t="s">
        <v>21317</v>
      </c>
      <c r="F348">
        <v>269</v>
      </c>
      <c r="G348">
        <v>1264423</v>
      </c>
      <c r="H348" t="s">
        <v>21318</v>
      </c>
      <c r="J348" s="54" t="s">
        <v>6052</v>
      </c>
      <c r="K348" s="54">
        <v>0</v>
      </c>
      <c r="L348" s="22" t="s">
        <v>104</v>
      </c>
      <c r="M348" s="22" t="s">
        <v>36892</v>
      </c>
    </row>
    <row r="349" spans="1:13" x14ac:dyDescent="0.75">
      <c r="A349" t="s">
        <v>27454</v>
      </c>
      <c r="B349" t="s">
        <v>8434</v>
      </c>
      <c r="C349" t="s">
        <v>8435</v>
      </c>
      <c r="D349" t="s">
        <v>8436</v>
      </c>
      <c r="E349" t="s">
        <v>27455</v>
      </c>
      <c r="F349">
        <v>2</v>
      </c>
      <c r="G349">
        <v>1906995</v>
      </c>
      <c r="H349" t="s">
        <v>27456</v>
      </c>
      <c r="J349" s="54" t="s">
        <v>6052</v>
      </c>
      <c r="K349" s="54">
        <v>0</v>
      </c>
      <c r="L349" s="22" t="s">
        <v>104</v>
      </c>
      <c r="M349" s="22" t="s">
        <v>36892</v>
      </c>
    </row>
    <row r="350" spans="1:13" x14ac:dyDescent="0.75">
      <c r="A350" t="s">
        <v>30343</v>
      </c>
      <c r="B350" t="s">
        <v>8434</v>
      </c>
      <c r="C350" t="s">
        <v>8435</v>
      </c>
      <c r="D350" t="s">
        <v>8436</v>
      </c>
      <c r="E350" t="s">
        <v>30344</v>
      </c>
      <c r="F350">
        <v>184</v>
      </c>
      <c r="G350">
        <v>1407999</v>
      </c>
      <c r="H350" t="s">
        <v>30345</v>
      </c>
      <c r="J350" s="54" t="s">
        <v>6052</v>
      </c>
      <c r="K350" s="54">
        <v>0</v>
      </c>
      <c r="L350" s="22" t="s">
        <v>104</v>
      </c>
      <c r="M350" s="22" t="s">
        <v>36892</v>
      </c>
    </row>
    <row r="351" spans="1:13" x14ac:dyDescent="0.75">
      <c r="A351" t="s">
        <v>10206</v>
      </c>
      <c r="B351" t="s">
        <v>10207</v>
      </c>
      <c r="C351" t="s">
        <v>8435</v>
      </c>
      <c r="D351" t="s">
        <v>10208</v>
      </c>
      <c r="E351" t="s">
        <v>10209</v>
      </c>
      <c r="F351">
        <v>18</v>
      </c>
      <c r="G351">
        <v>1728669</v>
      </c>
      <c r="H351" t="s">
        <v>10210</v>
      </c>
      <c r="J351" s="54" t="s">
        <v>6052</v>
      </c>
      <c r="K351" s="54">
        <v>0</v>
      </c>
      <c r="L351" s="22" t="s">
        <v>104</v>
      </c>
      <c r="M351" s="22" t="s">
        <v>36891</v>
      </c>
    </row>
    <row r="352" spans="1:13" x14ac:dyDescent="0.75">
      <c r="A352" t="s">
        <v>11369</v>
      </c>
      <c r="B352" t="s">
        <v>10207</v>
      </c>
      <c r="C352" t="s">
        <v>8435</v>
      </c>
      <c r="D352" t="s">
        <v>10208</v>
      </c>
      <c r="E352" t="s">
        <v>10209</v>
      </c>
      <c r="F352">
        <v>1</v>
      </c>
      <c r="G352">
        <v>1739380</v>
      </c>
      <c r="H352" t="s">
        <v>11370</v>
      </c>
      <c r="J352" s="54" t="s">
        <v>6052</v>
      </c>
      <c r="K352" s="54">
        <v>0</v>
      </c>
      <c r="L352" s="22" t="s">
        <v>104</v>
      </c>
      <c r="M352" s="22" t="s">
        <v>36891</v>
      </c>
    </row>
    <row r="353" spans="1:13" x14ac:dyDescent="0.75">
      <c r="A353" t="s">
        <v>19224</v>
      </c>
      <c r="B353" t="s">
        <v>10207</v>
      </c>
      <c r="C353" t="s">
        <v>8435</v>
      </c>
      <c r="D353" t="s">
        <v>10208</v>
      </c>
      <c r="E353" t="s">
        <v>19225</v>
      </c>
      <c r="F353">
        <v>78</v>
      </c>
      <c r="G353">
        <v>1623809</v>
      </c>
      <c r="H353" t="s">
        <v>19226</v>
      </c>
      <c r="J353" s="54" t="s">
        <v>6052</v>
      </c>
      <c r="K353" s="54">
        <v>0</v>
      </c>
      <c r="L353" s="22" t="s">
        <v>104</v>
      </c>
      <c r="M353" s="22" t="s">
        <v>36891</v>
      </c>
    </row>
    <row r="354" spans="1:13" x14ac:dyDescent="0.75">
      <c r="A354" t="s">
        <v>19242</v>
      </c>
      <c r="B354" t="s">
        <v>10207</v>
      </c>
      <c r="C354" t="s">
        <v>8435</v>
      </c>
      <c r="D354" t="s">
        <v>10208</v>
      </c>
      <c r="E354" t="s">
        <v>19243</v>
      </c>
      <c r="F354">
        <v>39</v>
      </c>
      <c r="G354">
        <v>1817673</v>
      </c>
      <c r="H354" t="s">
        <v>19244</v>
      </c>
      <c r="J354" s="54" t="s">
        <v>6052</v>
      </c>
      <c r="K354" s="54">
        <v>0</v>
      </c>
      <c r="L354" s="22" t="s">
        <v>104</v>
      </c>
      <c r="M354" s="22" t="s">
        <v>36891</v>
      </c>
    </row>
    <row r="355" spans="1:13" x14ac:dyDescent="0.75">
      <c r="A355" t="s">
        <v>19233</v>
      </c>
      <c r="B355" t="s">
        <v>10207</v>
      </c>
      <c r="C355" t="s">
        <v>8435</v>
      </c>
      <c r="D355" t="s">
        <v>10208</v>
      </c>
      <c r="E355" t="s">
        <v>19234</v>
      </c>
      <c r="F355">
        <v>22</v>
      </c>
      <c r="G355">
        <v>1675367</v>
      </c>
      <c r="H355" t="s">
        <v>19235</v>
      </c>
      <c r="J355" s="54" t="s">
        <v>6052</v>
      </c>
      <c r="K355" s="54">
        <v>0</v>
      </c>
      <c r="L355" s="22" t="s">
        <v>104</v>
      </c>
      <c r="M355" s="22" t="s">
        <v>36891</v>
      </c>
    </row>
    <row r="356" spans="1:13" x14ac:dyDescent="0.75">
      <c r="A356" t="s">
        <v>19236</v>
      </c>
      <c r="B356" t="s">
        <v>10207</v>
      </c>
      <c r="C356" t="s">
        <v>8435</v>
      </c>
      <c r="D356" t="s">
        <v>10208</v>
      </c>
      <c r="E356" t="s">
        <v>19237</v>
      </c>
      <c r="F356">
        <v>45</v>
      </c>
      <c r="G356">
        <v>1577907</v>
      </c>
      <c r="H356" t="s">
        <v>19238</v>
      </c>
      <c r="J356" s="54" t="s">
        <v>6052</v>
      </c>
      <c r="K356" s="54">
        <v>0</v>
      </c>
      <c r="L356" s="22" t="s">
        <v>104</v>
      </c>
      <c r="M356" s="22" t="s">
        <v>36891</v>
      </c>
    </row>
    <row r="357" spans="1:13" x14ac:dyDescent="0.75">
      <c r="A357" t="s">
        <v>19239</v>
      </c>
      <c r="B357" t="s">
        <v>10207</v>
      </c>
      <c r="C357" t="s">
        <v>8435</v>
      </c>
      <c r="D357" t="s">
        <v>10208</v>
      </c>
      <c r="E357" t="s">
        <v>19240</v>
      </c>
      <c r="F357">
        <v>223</v>
      </c>
      <c r="G357">
        <v>1555823</v>
      </c>
      <c r="H357" t="s">
        <v>19241</v>
      </c>
      <c r="J357" s="54" t="s">
        <v>6052</v>
      </c>
      <c r="K357" s="54">
        <v>0</v>
      </c>
      <c r="L357" s="22" t="s">
        <v>104</v>
      </c>
      <c r="M357" s="22" t="s">
        <v>36891</v>
      </c>
    </row>
    <row r="358" spans="1:13" x14ac:dyDescent="0.75">
      <c r="A358" t="s">
        <v>19230</v>
      </c>
      <c r="B358" t="s">
        <v>10207</v>
      </c>
      <c r="C358" t="s">
        <v>8435</v>
      </c>
      <c r="D358" t="s">
        <v>10208</v>
      </c>
      <c r="E358" t="s">
        <v>19231</v>
      </c>
      <c r="F358">
        <v>173</v>
      </c>
      <c r="G358">
        <v>1560527</v>
      </c>
      <c r="H358" t="s">
        <v>19232</v>
      </c>
      <c r="J358" s="54" t="s">
        <v>6052</v>
      </c>
      <c r="K358" s="54">
        <v>0</v>
      </c>
      <c r="L358" s="22" t="s">
        <v>104</v>
      </c>
      <c r="M358" s="22" t="s">
        <v>36891</v>
      </c>
    </row>
    <row r="359" spans="1:13" x14ac:dyDescent="0.75">
      <c r="A359" t="s">
        <v>19227</v>
      </c>
      <c r="B359" t="s">
        <v>10207</v>
      </c>
      <c r="C359" t="s">
        <v>8435</v>
      </c>
      <c r="D359" t="s">
        <v>10208</v>
      </c>
      <c r="E359" t="s">
        <v>19228</v>
      </c>
      <c r="F359">
        <v>126</v>
      </c>
      <c r="G359">
        <v>1743182</v>
      </c>
      <c r="H359" t="s">
        <v>19229</v>
      </c>
      <c r="J359" s="54" t="s">
        <v>6052</v>
      </c>
      <c r="K359" s="54">
        <v>0</v>
      </c>
      <c r="L359" s="22" t="s">
        <v>104</v>
      </c>
      <c r="M359" s="22" t="s">
        <v>36891</v>
      </c>
    </row>
    <row r="360" spans="1:13" x14ac:dyDescent="0.75">
      <c r="A360" t="s">
        <v>19221</v>
      </c>
      <c r="B360" t="s">
        <v>10207</v>
      </c>
      <c r="C360" t="s">
        <v>8435</v>
      </c>
      <c r="D360" t="s">
        <v>10208</v>
      </c>
      <c r="E360" t="s">
        <v>19222</v>
      </c>
      <c r="F360">
        <v>26</v>
      </c>
      <c r="G360">
        <v>1835897</v>
      </c>
      <c r="H360" t="s">
        <v>19223</v>
      </c>
      <c r="J360" s="54" t="s">
        <v>6052</v>
      </c>
      <c r="K360" s="54">
        <v>0</v>
      </c>
      <c r="L360" s="22" t="s">
        <v>104</v>
      </c>
      <c r="M360" s="22" t="s">
        <v>36891</v>
      </c>
    </row>
    <row r="361" spans="1:13" x14ac:dyDescent="0.75">
      <c r="A361" t="s">
        <v>19218</v>
      </c>
      <c r="B361" t="s">
        <v>10207</v>
      </c>
      <c r="C361" t="s">
        <v>8435</v>
      </c>
      <c r="D361" t="s">
        <v>10208</v>
      </c>
      <c r="E361" t="s">
        <v>19219</v>
      </c>
      <c r="F361">
        <v>32</v>
      </c>
      <c r="G361">
        <v>1737384</v>
      </c>
      <c r="H361" t="s">
        <v>19220</v>
      </c>
      <c r="J361" s="54" t="s">
        <v>6052</v>
      </c>
      <c r="K361" s="54">
        <v>0</v>
      </c>
      <c r="L361" s="22" t="s">
        <v>104</v>
      </c>
      <c r="M361" s="22" t="s">
        <v>36891</v>
      </c>
    </row>
    <row r="362" spans="1:13" x14ac:dyDescent="0.75">
      <c r="A362" t="s">
        <v>19215</v>
      </c>
      <c r="B362" t="s">
        <v>10207</v>
      </c>
      <c r="C362" t="s">
        <v>8435</v>
      </c>
      <c r="D362" t="s">
        <v>10208</v>
      </c>
      <c r="E362" t="s">
        <v>19216</v>
      </c>
      <c r="F362">
        <v>65</v>
      </c>
      <c r="G362">
        <v>1672967</v>
      </c>
      <c r="H362" t="s">
        <v>19217</v>
      </c>
      <c r="J362" s="54" t="s">
        <v>6052</v>
      </c>
      <c r="K362" s="54">
        <v>0</v>
      </c>
      <c r="L362" s="22" t="s">
        <v>104</v>
      </c>
      <c r="M362" s="22" t="s">
        <v>36891</v>
      </c>
    </row>
    <row r="363" spans="1:13" x14ac:dyDescent="0.75">
      <c r="A363" t="s">
        <v>19212</v>
      </c>
      <c r="B363" t="s">
        <v>10207</v>
      </c>
      <c r="C363" t="s">
        <v>8435</v>
      </c>
      <c r="D363" t="s">
        <v>10208</v>
      </c>
      <c r="E363" t="s">
        <v>19213</v>
      </c>
      <c r="F363">
        <v>42</v>
      </c>
      <c r="G363">
        <v>1639903</v>
      </c>
      <c r="H363" t="s">
        <v>19214</v>
      </c>
      <c r="J363" s="54" t="s">
        <v>6052</v>
      </c>
      <c r="K363" s="54">
        <v>0</v>
      </c>
      <c r="L363" s="22" t="s">
        <v>104</v>
      </c>
      <c r="M363" s="22" t="s">
        <v>36891</v>
      </c>
    </row>
    <row r="364" spans="1:13" x14ac:dyDescent="0.75">
      <c r="A364" t="s">
        <v>19209</v>
      </c>
      <c r="B364" t="s">
        <v>10207</v>
      </c>
      <c r="C364" t="s">
        <v>8435</v>
      </c>
      <c r="D364" t="s">
        <v>10208</v>
      </c>
      <c r="E364" t="s">
        <v>19210</v>
      </c>
      <c r="F364">
        <v>62</v>
      </c>
      <c r="G364">
        <v>1698949</v>
      </c>
      <c r="H364" t="s">
        <v>19211</v>
      </c>
      <c r="J364" s="54" t="s">
        <v>6052</v>
      </c>
      <c r="K364" s="54">
        <v>0</v>
      </c>
      <c r="L364" s="22" t="s">
        <v>104</v>
      </c>
      <c r="M364" s="22" t="s">
        <v>36891</v>
      </c>
    </row>
    <row r="365" spans="1:13" x14ac:dyDescent="0.75">
      <c r="A365" t="s">
        <v>19206</v>
      </c>
      <c r="B365" t="s">
        <v>10207</v>
      </c>
      <c r="C365" t="s">
        <v>8435</v>
      </c>
      <c r="D365" t="s">
        <v>10208</v>
      </c>
      <c r="E365" t="s">
        <v>19207</v>
      </c>
      <c r="F365">
        <v>35</v>
      </c>
      <c r="G365">
        <v>1785280</v>
      </c>
      <c r="H365" t="s">
        <v>19208</v>
      </c>
      <c r="J365" s="54" t="s">
        <v>6052</v>
      </c>
      <c r="K365" s="54">
        <v>0</v>
      </c>
      <c r="L365" s="22" t="s">
        <v>104</v>
      </c>
      <c r="M365" s="22" t="s">
        <v>36891</v>
      </c>
    </row>
    <row r="366" spans="1:13" x14ac:dyDescent="0.75">
      <c r="A366" t="s">
        <v>19203</v>
      </c>
      <c r="B366" t="s">
        <v>10207</v>
      </c>
      <c r="C366" t="s">
        <v>8435</v>
      </c>
      <c r="D366" t="s">
        <v>10208</v>
      </c>
      <c r="E366" t="s">
        <v>19204</v>
      </c>
      <c r="F366">
        <v>222</v>
      </c>
      <c r="G366">
        <v>1671780</v>
      </c>
      <c r="H366" t="s">
        <v>19205</v>
      </c>
      <c r="J366" s="54" t="s">
        <v>6052</v>
      </c>
      <c r="K366" s="54">
        <v>0</v>
      </c>
      <c r="L366" s="22" t="s">
        <v>104</v>
      </c>
      <c r="M366" s="22" t="s">
        <v>36891</v>
      </c>
    </row>
    <row r="367" spans="1:13" x14ac:dyDescent="0.75">
      <c r="A367" t="s">
        <v>19197</v>
      </c>
      <c r="B367" t="s">
        <v>10207</v>
      </c>
      <c r="C367" t="s">
        <v>8435</v>
      </c>
      <c r="D367" t="s">
        <v>10208</v>
      </c>
      <c r="E367" t="s">
        <v>19198</v>
      </c>
      <c r="F367">
        <v>48</v>
      </c>
      <c r="G367">
        <v>1712718</v>
      </c>
      <c r="H367" t="s">
        <v>19199</v>
      </c>
      <c r="J367" s="54" t="s">
        <v>6052</v>
      </c>
      <c r="K367" s="54">
        <v>0</v>
      </c>
      <c r="L367" s="22" t="s">
        <v>104</v>
      </c>
      <c r="M367" s="22" t="s">
        <v>36891</v>
      </c>
    </row>
    <row r="368" spans="1:13" x14ac:dyDescent="0.75">
      <c r="A368" t="s">
        <v>19200</v>
      </c>
      <c r="B368" t="s">
        <v>10207</v>
      </c>
      <c r="C368" t="s">
        <v>8435</v>
      </c>
      <c r="D368" t="s">
        <v>10208</v>
      </c>
      <c r="E368" t="s">
        <v>19201</v>
      </c>
      <c r="F368">
        <v>54</v>
      </c>
      <c r="G368">
        <v>1725057</v>
      </c>
      <c r="H368" t="s">
        <v>19202</v>
      </c>
      <c r="J368" s="54" t="s">
        <v>6052</v>
      </c>
      <c r="K368" s="54">
        <v>0</v>
      </c>
      <c r="L368" s="22" t="s">
        <v>104</v>
      </c>
      <c r="M368" s="22" t="s">
        <v>36891</v>
      </c>
    </row>
    <row r="369" spans="1:13" x14ac:dyDescent="0.75">
      <c r="A369" t="s">
        <v>19194</v>
      </c>
      <c r="B369" t="s">
        <v>10207</v>
      </c>
      <c r="C369" t="s">
        <v>8435</v>
      </c>
      <c r="D369" t="s">
        <v>10208</v>
      </c>
      <c r="E369" t="s">
        <v>19195</v>
      </c>
      <c r="F369">
        <v>134</v>
      </c>
      <c r="G369">
        <v>1588988</v>
      </c>
      <c r="H369" t="s">
        <v>19196</v>
      </c>
      <c r="J369" s="54" t="s">
        <v>6052</v>
      </c>
      <c r="K369" s="54">
        <v>0</v>
      </c>
      <c r="L369" s="22" t="s">
        <v>104</v>
      </c>
      <c r="M369" s="22" t="s">
        <v>36891</v>
      </c>
    </row>
    <row r="370" spans="1:13" x14ac:dyDescent="0.75">
      <c r="A370" t="s">
        <v>19191</v>
      </c>
      <c r="B370" t="s">
        <v>10207</v>
      </c>
      <c r="C370" t="s">
        <v>8435</v>
      </c>
      <c r="D370" t="s">
        <v>10208</v>
      </c>
      <c r="E370" t="s">
        <v>19192</v>
      </c>
      <c r="F370">
        <v>183</v>
      </c>
      <c r="G370">
        <v>1423409</v>
      </c>
      <c r="H370" t="s">
        <v>19193</v>
      </c>
      <c r="J370" s="54" t="s">
        <v>6052</v>
      </c>
      <c r="K370" s="54">
        <v>0</v>
      </c>
      <c r="L370" s="22" t="s">
        <v>104</v>
      </c>
      <c r="M370" s="22" t="s">
        <v>36891</v>
      </c>
    </row>
    <row r="371" spans="1:13" x14ac:dyDescent="0.75">
      <c r="A371" t="s">
        <v>19188</v>
      </c>
      <c r="B371" t="s">
        <v>10207</v>
      </c>
      <c r="C371" t="s">
        <v>8435</v>
      </c>
      <c r="D371" t="s">
        <v>10208</v>
      </c>
      <c r="E371" t="s">
        <v>19189</v>
      </c>
      <c r="F371">
        <v>115</v>
      </c>
      <c r="G371">
        <v>2363855</v>
      </c>
      <c r="H371" t="s">
        <v>19190</v>
      </c>
      <c r="J371" s="54" t="s">
        <v>6052</v>
      </c>
      <c r="K371" s="54">
        <v>0</v>
      </c>
      <c r="L371" s="22" t="s">
        <v>104</v>
      </c>
      <c r="M371" s="22" t="s">
        <v>36891</v>
      </c>
    </row>
    <row r="372" spans="1:13" x14ac:dyDescent="0.75">
      <c r="A372" t="s">
        <v>29384</v>
      </c>
      <c r="B372" t="s">
        <v>10207</v>
      </c>
      <c r="C372" t="s">
        <v>8435</v>
      </c>
      <c r="D372" t="s">
        <v>10208</v>
      </c>
      <c r="E372" t="s">
        <v>29385</v>
      </c>
      <c r="F372">
        <v>124</v>
      </c>
      <c r="G372">
        <v>1634611</v>
      </c>
      <c r="H372" t="s">
        <v>29386</v>
      </c>
      <c r="J372" s="54" t="s">
        <v>6052</v>
      </c>
      <c r="K372" s="54">
        <v>0</v>
      </c>
      <c r="L372" s="22" t="s">
        <v>104</v>
      </c>
      <c r="M372" s="22" t="s">
        <v>36891</v>
      </c>
    </row>
    <row r="373" spans="1:13" x14ac:dyDescent="0.75">
      <c r="A373" t="s">
        <v>29805</v>
      </c>
      <c r="B373" t="s">
        <v>10207</v>
      </c>
      <c r="C373" t="s">
        <v>8435</v>
      </c>
      <c r="D373" t="s">
        <v>10208</v>
      </c>
      <c r="E373" t="s">
        <v>29806</v>
      </c>
      <c r="F373">
        <v>24</v>
      </c>
      <c r="G373">
        <v>1790637</v>
      </c>
      <c r="H373" t="s">
        <v>29807</v>
      </c>
      <c r="J373" s="54" t="s">
        <v>6052</v>
      </c>
      <c r="K373" s="54">
        <v>0</v>
      </c>
      <c r="L373" s="22" t="s">
        <v>104</v>
      </c>
      <c r="M373" s="22" t="s">
        <v>36891</v>
      </c>
    </row>
    <row r="374" spans="1:13" x14ac:dyDescent="0.75">
      <c r="A374" t="s">
        <v>6961</v>
      </c>
      <c r="B374" t="s">
        <v>6962</v>
      </c>
      <c r="C374" t="s">
        <v>6963</v>
      </c>
      <c r="D374" t="s">
        <v>6964</v>
      </c>
      <c r="E374" t="s">
        <v>6965</v>
      </c>
      <c r="F374">
        <v>5</v>
      </c>
      <c r="G374">
        <v>1084901</v>
      </c>
      <c r="H374" t="s">
        <v>6966</v>
      </c>
      <c r="J374" s="54" t="s">
        <v>6052</v>
      </c>
      <c r="K374" s="54">
        <v>0</v>
      </c>
      <c r="L374" s="22" t="s">
        <v>104</v>
      </c>
      <c r="M374" s="22" t="s">
        <v>36893</v>
      </c>
    </row>
    <row r="375" spans="1:13" x14ac:dyDescent="0.75">
      <c r="A375" t="s">
        <v>30007</v>
      </c>
      <c r="B375" t="s">
        <v>6962</v>
      </c>
      <c r="C375" t="s">
        <v>6963</v>
      </c>
      <c r="D375" t="s">
        <v>6964</v>
      </c>
      <c r="E375" t="s">
        <v>30008</v>
      </c>
      <c r="F375">
        <v>15</v>
      </c>
      <c r="G375">
        <v>1072173</v>
      </c>
      <c r="H375" t="s">
        <v>30009</v>
      </c>
      <c r="J375" s="54" t="s">
        <v>6052</v>
      </c>
      <c r="K375" s="54">
        <v>0</v>
      </c>
      <c r="L375" s="22" t="s">
        <v>104</v>
      </c>
      <c r="M375" s="22" t="s">
        <v>36893</v>
      </c>
    </row>
    <row r="376" spans="1:13" x14ac:dyDescent="0.75">
      <c r="A376" t="s">
        <v>28942</v>
      </c>
      <c r="B376" t="s">
        <v>6962</v>
      </c>
      <c r="C376" t="s">
        <v>6963</v>
      </c>
      <c r="D376" t="s">
        <v>6964</v>
      </c>
      <c r="E376" t="s">
        <v>28943</v>
      </c>
      <c r="F376">
        <v>111</v>
      </c>
      <c r="G376">
        <v>577738</v>
      </c>
      <c r="H376" t="s">
        <v>28944</v>
      </c>
      <c r="J376" s="54" t="s">
        <v>6052</v>
      </c>
      <c r="K376" s="54">
        <v>0</v>
      </c>
      <c r="L376" s="22" t="s">
        <v>104</v>
      </c>
      <c r="M376" s="22" t="s">
        <v>36893</v>
      </c>
    </row>
    <row r="377" spans="1:13" x14ac:dyDescent="0.75">
      <c r="A377" t="s">
        <v>29737</v>
      </c>
      <c r="B377" t="s">
        <v>8683</v>
      </c>
      <c r="C377" t="s">
        <v>8684</v>
      </c>
      <c r="D377" t="s">
        <v>8685</v>
      </c>
      <c r="E377" t="s">
        <v>29738</v>
      </c>
      <c r="F377">
        <v>139</v>
      </c>
      <c r="G377">
        <v>3337161</v>
      </c>
      <c r="H377" t="s">
        <v>29739</v>
      </c>
      <c r="J377" s="54" t="s">
        <v>6052</v>
      </c>
      <c r="K377" s="54">
        <v>0</v>
      </c>
      <c r="L377" s="22" t="s">
        <v>104</v>
      </c>
      <c r="M377" s="22" t="s">
        <v>36896</v>
      </c>
    </row>
    <row r="378" spans="1:13" x14ac:dyDescent="0.75">
      <c r="A378" t="s">
        <v>8682</v>
      </c>
      <c r="B378" t="s">
        <v>8683</v>
      </c>
      <c r="C378" t="s">
        <v>8684</v>
      </c>
      <c r="D378" t="s">
        <v>8685</v>
      </c>
      <c r="E378" t="s">
        <v>8686</v>
      </c>
      <c r="F378">
        <v>1</v>
      </c>
      <c r="G378">
        <v>3449360</v>
      </c>
      <c r="H378" t="s">
        <v>8687</v>
      </c>
      <c r="J378" s="54" t="s">
        <v>6052</v>
      </c>
      <c r="K378" s="54">
        <v>0</v>
      </c>
      <c r="L378" s="22" t="s">
        <v>104</v>
      </c>
      <c r="M378" s="22" t="s">
        <v>36896</v>
      </c>
    </row>
    <row r="379" spans="1:13" x14ac:dyDescent="0.75">
      <c r="A379" t="s">
        <v>20684</v>
      </c>
      <c r="B379" t="s">
        <v>8683</v>
      </c>
      <c r="C379" t="s">
        <v>8684</v>
      </c>
      <c r="D379" t="s">
        <v>8685</v>
      </c>
      <c r="E379" t="s">
        <v>20685</v>
      </c>
      <c r="F379">
        <v>1</v>
      </c>
      <c r="G379">
        <v>3404402</v>
      </c>
      <c r="H379" t="s">
        <v>20686</v>
      </c>
      <c r="J379" s="54" t="s">
        <v>6052</v>
      </c>
      <c r="K379" s="54">
        <v>0</v>
      </c>
      <c r="L379" s="22" t="s">
        <v>104</v>
      </c>
      <c r="M379" s="22" t="s">
        <v>36896</v>
      </c>
    </row>
    <row r="380" spans="1:13" x14ac:dyDescent="0.75">
      <c r="A380" t="s">
        <v>16740</v>
      </c>
      <c r="B380" t="s">
        <v>8683</v>
      </c>
      <c r="C380" t="s">
        <v>8684</v>
      </c>
      <c r="D380" t="s">
        <v>8685</v>
      </c>
      <c r="E380" t="s">
        <v>16741</v>
      </c>
      <c r="F380">
        <v>1</v>
      </c>
      <c r="G380">
        <v>3437242</v>
      </c>
      <c r="H380" t="s">
        <v>16742</v>
      </c>
      <c r="J380" s="54" t="s">
        <v>6052</v>
      </c>
      <c r="K380" s="54">
        <v>0</v>
      </c>
      <c r="L380" s="22" t="s">
        <v>104</v>
      </c>
      <c r="M380" s="22" t="s">
        <v>36896</v>
      </c>
    </row>
    <row r="381" spans="1:13" x14ac:dyDescent="0.75">
      <c r="A381" t="s">
        <v>20687</v>
      </c>
      <c r="B381" t="s">
        <v>8683</v>
      </c>
      <c r="C381" t="s">
        <v>8684</v>
      </c>
      <c r="D381" t="s">
        <v>8685</v>
      </c>
      <c r="E381" t="s">
        <v>20688</v>
      </c>
      <c r="F381">
        <v>1</v>
      </c>
      <c r="G381">
        <v>3448470</v>
      </c>
      <c r="H381" t="s">
        <v>20689</v>
      </c>
      <c r="J381" s="54" t="s">
        <v>6052</v>
      </c>
      <c r="K381" s="54">
        <v>0</v>
      </c>
      <c r="L381" s="22" t="s">
        <v>104</v>
      </c>
      <c r="M381" s="22" t="s">
        <v>36896</v>
      </c>
    </row>
    <row r="382" spans="1:13" x14ac:dyDescent="0.75">
      <c r="A382" t="s">
        <v>16026</v>
      </c>
      <c r="B382" t="s">
        <v>8683</v>
      </c>
      <c r="C382" t="s">
        <v>8684</v>
      </c>
      <c r="D382" t="s">
        <v>8685</v>
      </c>
      <c r="E382" t="s">
        <v>16027</v>
      </c>
      <c r="F382">
        <v>1</v>
      </c>
      <c r="G382">
        <v>3467615</v>
      </c>
      <c r="H382" t="s">
        <v>16028</v>
      </c>
      <c r="J382" s="54" t="s">
        <v>6052</v>
      </c>
      <c r="K382" s="54">
        <v>0</v>
      </c>
      <c r="L382" s="22" t="s">
        <v>104</v>
      </c>
      <c r="M382" s="22" t="s">
        <v>36896</v>
      </c>
    </row>
    <row r="383" spans="1:13" x14ac:dyDescent="0.75">
      <c r="A383" t="s">
        <v>12096</v>
      </c>
      <c r="B383" t="s">
        <v>8683</v>
      </c>
      <c r="C383" t="s">
        <v>8684</v>
      </c>
      <c r="D383" t="s">
        <v>8685</v>
      </c>
      <c r="E383" t="s">
        <v>12097</v>
      </c>
      <c r="F383">
        <v>26</v>
      </c>
      <c r="G383">
        <v>3385209</v>
      </c>
      <c r="H383" t="s">
        <v>12098</v>
      </c>
      <c r="J383" s="54" t="s">
        <v>6052</v>
      </c>
      <c r="K383" s="54">
        <v>0</v>
      </c>
      <c r="L383" s="22" t="s">
        <v>104</v>
      </c>
      <c r="M383" s="22" t="s">
        <v>36896</v>
      </c>
    </row>
    <row r="384" spans="1:13" x14ac:dyDescent="0.75">
      <c r="A384" t="s">
        <v>28036</v>
      </c>
      <c r="B384" t="s">
        <v>8683</v>
      </c>
      <c r="C384" t="s">
        <v>8684</v>
      </c>
      <c r="D384" t="s">
        <v>8685</v>
      </c>
      <c r="E384" t="s">
        <v>28037</v>
      </c>
      <c r="F384">
        <v>1</v>
      </c>
      <c r="G384">
        <v>3405117</v>
      </c>
      <c r="H384" t="s">
        <v>28038</v>
      </c>
      <c r="J384" s="54" t="s">
        <v>6052</v>
      </c>
      <c r="K384" s="54">
        <v>0</v>
      </c>
      <c r="L384" s="22" t="s">
        <v>104</v>
      </c>
      <c r="M384" s="22" t="s">
        <v>36896</v>
      </c>
    </row>
    <row r="385" spans="1:13" x14ac:dyDescent="0.75">
      <c r="A385" t="s">
        <v>27992</v>
      </c>
      <c r="B385" t="s">
        <v>8683</v>
      </c>
      <c r="C385" t="s">
        <v>8684</v>
      </c>
      <c r="D385" t="s">
        <v>8685</v>
      </c>
      <c r="E385" t="s">
        <v>27993</v>
      </c>
      <c r="F385">
        <v>1</v>
      </c>
      <c r="G385">
        <v>3402349</v>
      </c>
      <c r="H385" t="s">
        <v>27994</v>
      </c>
      <c r="J385" s="54" t="s">
        <v>6052</v>
      </c>
      <c r="K385" s="54">
        <v>0</v>
      </c>
      <c r="L385" s="22" t="s">
        <v>104</v>
      </c>
      <c r="M385" s="22" t="s">
        <v>36896</v>
      </c>
    </row>
    <row r="386" spans="1:13" x14ac:dyDescent="0.75">
      <c r="A386" t="s">
        <v>29170</v>
      </c>
      <c r="B386" t="s">
        <v>8683</v>
      </c>
      <c r="C386" t="s">
        <v>8684</v>
      </c>
      <c r="D386" t="s">
        <v>8685</v>
      </c>
      <c r="E386" t="s">
        <v>29171</v>
      </c>
      <c r="F386">
        <v>203</v>
      </c>
      <c r="G386">
        <v>3216832</v>
      </c>
      <c r="H386" t="s">
        <v>29172</v>
      </c>
      <c r="J386" s="54" t="s">
        <v>6052</v>
      </c>
      <c r="K386" s="54">
        <v>0</v>
      </c>
      <c r="L386" s="22" t="s">
        <v>104</v>
      </c>
      <c r="M386" s="22" t="s">
        <v>36896</v>
      </c>
    </row>
    <row r="387" spans="1:13" x14ac:dyDescent="0.75">
      <c r="A387" t="s">
        <v>3904</v>
      </c>
      <c r="B387" t="s">
        <v>2767</v>
      </c>
      <c r="C387" t="s">
        <v>8684</v>
      </c>
      <c r="D387" t="s">
        <v>18658</v>
      </c>
      <c r="E387" t="s">
        <v>21691</v>
      </c>
      <c r="F387">
        <v>1</v>
      </c>
      <c r="G387">
        <v>3316972</v>
      </c>
      <c r="H387" t="s">
        <v>21692</v>
      </c>
      <c r="J387" s="54" t="s">
        <v>21691</v>
      </c>
      <c r="K387" s="54">
        <v>1</v>
      </c>
      <c r="L387" s="22" t="s">
        <v>104</v>
      </c>
      <c r="M387" s="22" t="s">
        <v>2768</v>
      </c>
    </row>
    <row r="388" spans="1:13" x14ac:dyDescent="0.75">
      <c r="A388" t="s">
        <v>4988</v>
      </c>
      <c r="B388" t="s">
        <v>2767</v>
      </c>
      <c r="C388" t="s">
        <v>8684</v>
      </c>
      <c r="D388" t="s">
        <v>18658</v>
      </c>
      <c r="E388" t="s">
        <v>26409</v>
      </c>
      <c r="F388">
        <v>50</v>
      </c>
      <c r="G388">
        <v>3183181</v>
      </c>
      <c r="H388" t="s">
        <v>26410</v>
      </c>
      <c r="J388" s="54" t="s">
        <v>26409</v>
      </c>
      <c r="K388" s="54">
        <v>1</v>
      </c>
      <c r="L388" s="22" t="s">
        <v>104</v>
      </c>
      <c r="M388" s="22" t="s">
        <v>2768</v>
      </c>
    </row>
    <row r="389" spans="1:13" x14ac:dyDescent="0.75">
      <c r="A389" t="s">
        <v>5691</v>
      </c>
      <c r="B389" t="s">
        <v>2767</v>
      </c>
      <c r="C389" t="s">
        <v>8684</v>
      </c>
      <c r="D389" t="s">
        <v>18658</v>
      </c>
      <c r="E389" t="s">
        <v>29439</v>
      </c>
      <c r="F389">
        <v>139</v>
      </c>
      <c r="G389">
        <v>3140115</v>
      </c>
      <c r="H389" t="s">
        <v>29440</v>
      </c>
      <c r="J389" s="54" t="s">
        <v>30844</v>
      </c>
      <c r="K389" s="54">
        <v>1</v>
      </c>
      <c r="L389" s="22" t="s">
        <v>104</v>
      </c>
      <c r="M389" s="22" t="s">
        <v>2768</v>
      </c>
    </row>
    <row r="390" spans="1:13" x14ac:dyDescent="0.75">
      <c r="A390" t="s">
        <v>5796</v>
      </c>
      <c r="B390" t="s">
        <v>2767</v>
      </c>
      <c r="C390" t="s">
        <v>8684</v>
      </c>
      <c r="D390" t="s">
        <v>18658</v>
      </c>
      <c r="E390" t="s">
        <v>29740</v>
      </c>
      <c r="F390">
        <v>223</v>
      </c>
      <c r="G390">
        <v>3200054</v>
      </c>
      <c r="H390" t="s">
        <v>29741</v>
      </c>
      <c r="J390" s="54" t="s">
        <v>30844</v>
      </c>
      <c r="K390" s="54">
        <v>1</v>
      </c>
      <c r="L390" s="22" t="s">
        <v>104</v>
      </c>
      <c r="M390" s="22" t="s">
        <v>2768</v>
      </c>
    </row>
    <row r="391" spans="1:13" x14ac:dyDescent="0.75">
      <c r="A391" t="s">
        <v>2766</v>
      </c>
      <c r="B391" t="s">
        <v>2767</v>
      </c>
      <c r="C391" t="s">
        <v>8684</v>
      </c>
      <c r="D391" t="s">
        <v>18658</v>
      </c>
      <c r="E391" t="s">
        <v>18659</v>
      </c>
      <c r="F391">
        <v>122</v>
      </c>
      <c r="G391">
        <v>2885146</v>
      </c>
      <c r="H391" t="s">
        <v>18660</v>
      </c>
      <c r="J391" s="54" t="s">
        <v>30844</v>
      </c>
      <c r="K391" s="54">
        <v>1</v>
      </c>
      <c r="L391" s="22" t="s">
        <v>104</v>
      </c>
      <c r="M391" s="22" t="s">
        <v>2768</v>
      </c>
    </row>
    <row r="392" spans="1:13" x14ac:dyDescent="0.75">
      <c r="A392" t="s">
        <v>5463</v>
      </c>
      <c r="B392" t="s">
        <v>2767</v>
      </c>
      <c r="C392" t="s">
        <v>8684</v>
      </c>
      <c r="D392" t="s">
        <v>18658</v>
      </c>
      <c r="E392" t="s">
        <v>28968</v>
      </c>
      <c r="F392">
        <v>157</v>
      </c>
      <c r="G392">
        <v>3115083</v>
      </c>
      <c r="H392" t="s">
        <v>28969</v>
      </c>
      <c r="J392" s="54" t="s">
        <v>30844</v>
      </c>
      <c r="K392" s="54">
        <v>1</v>
      </c>
      <c r="L392" s="22" t="s">
        <v>104</v>
      </c>
      <c r="M392" s="22" t="s">
        <v>2768</v>
      </c>
    </row>
    <row r="393" spans="1:13" x14ac:dyDescent="0.75">
      <c r="A393" t="s">
        <v>3473</v>
      </c>
      <c r="B393" t="s">
        <v>2767</v>
      </c>
      <c r="C393" t="s">
        <v>8684</v>
      </c>
      <c r="D393" t="s">
        <v>18658</v>
      </c>
      <c r="E393" t="s">
        <v>20682</v>
      </c>
      <c r="F393">
        <v>1</v>
      </c>
      <c r="G393">
        <v>3316958</v>
      </c>
      <c r="H393" t="s">
        <v>20683</v>
      </c>
      <c r="J393" s="54" t="s">
        <v>20682</v>
      </c>
      <c r="K393" s="54">
        <v>1</v>
      </c>
      <c r="L393" s="22" t="s">
        <v>104</v>
      </c>
      <c r="M393" s="22" t="s">
        <v>2768</v>
      </c>
    </row>
    <row r="394" spans="1:13" x14ac:dyDescent="0.75">
      <c r="A394" t="s">
        <v>18675</v>
      </c>
      <c r="B394" t="s">
        <v>2767</v>
      </c>
      <c r="C394" t="s">
        <v>8684</v>
      </c>
      <c r="D394" t="s">
        <v>18658</v>
      </c>
      <c r="E394" t="s">
        <v>18676</v>
      </c>
      <c r="F394">
        <v>214</v>
      </c>
      <c r="G394">
        <v>2996074</v>
      </c>
      <c r="H394" t="s">
        <v>18677</v>
      </c>
      <c r="J394" s="54" t="s">
        <v>6052</v>
      </c>
      <c r="K394" s="54">
        <v>0</v>
      </c>
      <c r="L394" s="22" t="s">
        <v>104</v>
      </c>
      <c r="M394" s="22" t="s">
        <v>2768</v>
      </c>
    </row>
    <row r="395" spans="1:13" x14ac:dyDescent="0.75">
      <c r="A395" t="s">
        <v>5936</v>
      </c>
      <c r="B395" t="s">
        <v>1998</v>
      </c>
      <c r="C395" t="s">
        <v>6718</v>
      </c>
      <c r="D395" t="s">
        <v>14718</v>
      </c>
      <c r="E395" t="s">
        <v>30127</v>
      </c>
      <c r="F395">
        <v>82</v>
      </c>
      <c r="G395">
        <v>3515734</v>
      </c>
      <c r="H395" t="s">
        <v>30128</v>
      </c>
      <c r="J395" s="54" t="s">
        <v>30844</v>
      </c>
      <c r="K395" s="54">
        <v>2</v>
      </c>
      <c r="L395" s="22" t="s">
        <v>104</v>
      </c>
      <c r="M395" s="22" t="s">
        <v>1999</v>
      </c>
    </row>
    <row r="396" spans="1:13" x14ac:dyDescent="0.75">
      <c r="A396" t="s">
        <v>2205</v>
      </c>
      <c r="B396" t="s">
        <v>1998</v>
      </c>
      <c r="C396" t="s">
        <v>6718</v>
      </c>
      <c r="D396" t="s">
        <v>14718</v>
      </c>
      <c r="E396" t="s">
        <v>16116</v>
      </c>
      <c r="F396">
        <v>202</v>
      </c>
      <c r="G396">
        <v>3533051</v>
      </c>
      <c r="H396" t="s">
        <v>16117</v>
      </c>
      <c r="J396" s="54" t="s">
        <v>16116</v>
      </c>
      <c r="K396" s="54">
        <v>1</v>
      </c>
      <c r="L396" s="22" t="s">
        <v>104</v>
      </c>
      <c r="M396" s="22" t="s">
        <v>1999</v>
      </c>
    </row>
    <row r="397" spans="1:13" x14ac:dyDescent="0.75">
      <c r="A397" t="s">
        <v>4178</v>
      </c>
      <c r="B397" t="s">
        <v>1998</v>
      </c>
      <c r="C397" t="s">
        <v>6718</v>
      </c>
      <c r="D397" t="s">
        <v>14718</v>
      </c>
      <c r="E397" t="s">
        <v>23273</v>
      </c>
      <c r="F397">
        <v>187</v>
      </c>
      <c r="G397">
        <v>2997541</v>
      </c>
      <c r="H397" t="s">
        <v>23274</v>
      </c>
      <c r="J397" s="54" t="s">
        <v>23273</v>
      </c>
      <c r="K397" s="54">
        <v>1</v>
      </c>
      <c r="L397" s="22" t="s">
        <v>104</v>
      </c>
      <c r="M397" s="22" t="s">
        <v>1999</v>
      </c>
    </row>
    <row r="398" spans="1:13" x14ac:dyDescent="0.75">
      <c r="A398" t="s">
        <v>4189</v>
      </c>
      <c r="B398" t="s">
        <v>1998</v>
      </c>
      <c r="C398" t="s">
        <v>6718</v>
      </c>
      <c r="D398" t="s">
        <v>14718</v>
      </c>
      <c r="E398" t="s">
        <v>23275</v>
      </c>
      <c r="F398">
        <v>61</v>
      </c>
      <c r="G398">
        <v>3413047</v>
      </c>
      <c r="H398" t="s">
        <v>23276</v>
      </c>
      <c r="J398" s="54" t="s">
        <v>23275</v>
      </c>
      <c r="K398" s="54">
        <v>1</v>
      </c>
      <c r="L398" s="22" t="s">
        <v>104</v>
      </c>
      <c r="M398" s="22" t="s">
        <v>1999</v>
      </c>
    </row>
    <row r="399" spans="1:13" x14ac:dyDescent="0.75">
      <c r="A399" t="s">
        <v>5951</v>
      </c>
      <c r="B399" t="s">
        <v>1998</v>
      </c>
      <c r="C399" t="s">
        <v>6718</v>
      </c>
      <c r="D399" t="s">
        <v>14718</v>
      </c>
      <c r="E399" t="s">
        <v>30129</v>
      </c>
      <c r="F399">
        <v>81</v>
      </c>
      <c r="G399">
        <v>3373383</v>
      </c>
      <c r="H399" t="s">
        <v>30130</v>
      </c>
      <c r="J399" s="54" t="s">
        <v>30844</v>
      </c>
      <c r="K399" s="54">
        <v>1</v>
      </c>
      <c r="L399" s="22" t="s">
        <v>104</v>
      </c>
      <c r="M399" s="22" t="s">
        <v>1999</v>
      </c>
    </row>
    <row r="400" spans="1:13" x14ac:dyDescent="0.75">
      <c r="A400" t="s">
        <v>5959</v>
      </c>
      <c r="B400" t="s">
        <v>1998</v>
      </c>
      <c r="C400" t="s">
        <v>6718</v>
      </c>
      <c r="D400" t="s">
        <v>14718</v>
      </c>
      <c r="E400" t="s">
        <v>30134</v>
      </c>
      <c r="F400">
        <v>71</v>
      </c>
      <c r="G400">
        <v>3425605</v>
      </c>
      <c r="H400" t="s">
        <v>30135</v>
      </c>
      <c r="J400" s="54" t="s">
        <v>30844</v>
      </c>
      <c r="K400" s="54">
        <v>1</v>
      </c>
      <c r="L400" s="22" t="s">
        <v>104</v>
      </c>
      <c r="M400" s="22" t="s">
        <v>1999</v>
      </c>
    </row>
    <row r="401" spans="1:13" x14ac:dyDescent="0.75">
      <c r="A401" t="s">
        <v>1997</v>
      </c>
      <c r="B401" t="s">
        <v>1998</v>
      </c>
      <c r="C401" t="s">
        <v>6718</v>
      </c>
      <c r="D401" t="s">
        <v>14718</v>
      </c>
      <c r="E401" t="s">
        <v>14719</v>
      </c>
      <c r="F401">
        <v>1</v>
      </c>
      <c r="G401">
        <v>3608975</v>
      </c>
      <c r="H401" t="s">
        <v>14720</v>
      </c>
      <c r="J401" s="54" t="s">
        <v>14719</v>
      </c>
      <c r="K401" s="54">
        <v>1</v>
      </c>
      <c r="L401" s="22" t="s">
        <v>104</v>
      </c>
      <c r="M401" s="22" t="s">
        <v>1999</v>
      </c>
    </row>
    <row r="402" spans="1:13" x14ac:dyDescent="0.75">
      <c r="A402" t="s">
        <v>2260</v>
      </c>
      <c r="B402" t="s">
        <v>1998</v>
      </c>
      <c r="C402" t="s">
        <v>6718</v>
      </c>
      <c r="D402" t="s">
        <v>14718</v>
      </c>
      <c r="E402" t="s">
        <v>16612</v>
      </c>
      <c r="F402">
        <v>70</v>
      </c>
      <c r="G402">
        <v>3643328</v>
      </c>
      <c r="H402" t="s">
        <v>16613</v>
      </c>
      <c r="J402" s="54" t="s">
        <v>16612</v>
      </c>
      <c r="K402" s="54">
        <v>1</v>
      </c>
      <c r="L402" s="22" t="s">
        <v>104</v>
      </c>
      <c r="M402" s="22" t="s">
        <v>1999</v>
      </c>
    </row>
    <row r="403" spans="1:13" x14ac:dyDescent="0.75">
      <c r="A403" t="s">
        <v>5282</v>
      </c>
      <c r="B403" t="s">
        <v>1998</v>
      </c>
      <c r="C403" t="s">
        <v>6718</v>
      </c>
      <c r="D403" t="s">
        <v>14718</v>
      </c>
      <c r="E403" t="s">
        <v>28063</v>
      </c>
      <c r="F403">
        <v>7</v>
      </c>
      <c r="G403">
        <v>3685643</v>
      </c>
      <c r="H403" t="s">
        <v>28064</v>
      </c>
      <c r="J403" s="54" t="s">
        <v>28063</v>
      </c>
      <c r="K403" s="54">
        <v>1</v>
      </c>
      <c r="L403" s="22" t="s">
        <v>104</v>
      </c>
      <c r="M403" s="22" t="s">
        <v>1999</v>
      </c>
    </row>
    <row r="404" spans="1:13" x14ac:dyDescent="0.75">
      <c r="A404" t="s">
        <v>10058</v>
      </c>
      <c r="B404" t="s">
        <v>10059</v>
      </c>
      <c r="C404" t="s">
        <v>10060</v>
      </c>
      <c r="D404" t="s">
        <v>10061</v>
      </c>
      <c r="E404" t="s">
        <v>10062</v>
      </c>
      <c r="F404">
        <v>1</v>
      </c>
      <c r="G404">
        <v>1177760</v>
      </c>
      <c r="H404" t="s">
        <v>10063</v>
      </c>
      <c r="J404" s="54" t="s">
        <v>6052</v>
      </c>
      <c r="K404" s="54">
        <v>0</v>
      </c>
      <c r="L404" s="22" t="s">
        <v>686</v>
      </c>
      <c r="M404" s="22" t="s">
        <v>36841</v>
      </c>
    </row>
    <row r="405" spans="1:13" x14ac:dyDescent="0.75">
      <c r="A405" t="s">
        <v>7097</v>
      </c>
      <c r="B405" t="s">
        <v>7098</v>
      </c>
      <c r="C405" t="s">
        <v>7099</v>
      </c>
      <c r="D405" t="s">
        <v>7100</v>
      </c>
      <c r="E405" t="s">
        <v>7101</v>
      </c>
      <c r="F405">
        <v>3</v>
      </c>
      <c r="G405">
        <v>7359146</v>
      </c>
      <c r="H405" t="s">
        <v>7102</v>
      </c>
      <c r="J405" s="54" t="s">
        <v>6052</v>
      </c>
      <c r="K405" s="54">
        <v>0</v>
      </c>
      <c r="L405" s="22" t="s">
        <v>144</v>
      </c>
      <c r="M405" s="22" t="s">
        <v>36842</v>
      </c>
    </row>
    <row r="406" spans="1:13" x14ac:dyDescent="0.75">
      <c r="A406" t="s">
        <v>27097</v>
      </c>
      <c r="B406" t="s">
        <v>7098</v>
      </c>
      <c r="C406" t="s">
        <v>7099</v>
      </c>
      <c r="D406" t="s">
        <v>7100</v>
      </c>
      <c r="E406" t="s">
        <v>27098</v>
      </c>
      <c r="F406">
        <v>1</v>
      </c>
      <c r="G406">
        <v>6501194</v>
      </c>
      <c r="H406" t="s">
        <v>27099</v>
      </c>
      <c r="J406" s="54" t="s">
        <v>6052</v>
      </c>
      <c r="K406" s="54">
        <v>0</v>
      </c>
      <c r="L406" s="22" t="s">
        <v>144</v>
      </c>
      <c r="M406" s="22" t="s">
        <v>36842</v>
      </c>
    </row>
    <row r="407" spans="1:13" x14ac:dyDescent="0.75">
      <c r="A407" t="s">
        <v>18683</v>
      </c>
      <c r="B407" t="s">
        <v>7098</v>
      </c>
      <c r="C407" t="s">
        <v>7099</v>
      </c>
      <c r="D407" t="s">
        <v>7100</v>
      </c>
      <c r="E407" t="s">
        <v>18684</v>
      </c>
      <c r="F407">
        <v>1</v>
      </c>
      <c r="G407">
        <v>6806438</v>
      </c>
      <c r="H407" t="s">
        <v>18685</v>
      </c>
      <c r="J407" s="54" t="s">
        <v>6052</v>
      </c>
      <c r="K407" s="54">
        <v>0</v>
      </c>
      <c r="L407" s="22" t="s">
        <v>144</v>
      </c>
      <c r="M407" s="22" t="s">
        <v>36842</v>
      </c>
    </row>
    <row r="408" spans="1:13" x14ac:dyDescent="0.75">
      <c r="A408" t="s">
        <v>12164</v>
      </c>
      <c r="B408" t="s">
        <v>7098</v>
      </c>
      <c r="C408" t="s">
        <v>7099</v>
      </c>
      <c r="D408" t="s">
        <v>7100</v>
      </c>
      <c r="E408" t="s">
        <v>12165</v>
      </c>
      <c r="F408">
        <v>63</v>
      </c>
      <c r="G408">
        <v>6792737</v>
      </c>
      <c r="H408" t="s">
        <v>12166</v>
      </c>
      <c r="J408" s="54" t="s">
        <v>6052</v>
      </c>
      <c r="K408" s="54">
        <v>0</v>
      </c>
      <c r="L408" s="22" t="s">
        <v>144</v>
      </c>
      <c r="M408" s="22" t="s">
        <v>36842</v>
      </c>
    </row>
    <row r="409" spans="1:13" x14ac:dyDescent="0.75">
      <c r="A409" t="s">
        <v>10102</v>
      </c>
      <c r="B409" t="s">
        <v>7098</v>
      </c>
      <c r="C409" t="s">
        <v>7099</v>
      </c>
      <c r="D409" t="s">
        <v>7100</v>
      </c>
      <c r="E409" t="s">
        <v>10103</v>
      </c>
      <c r="F409">
        <v>1</v>
      </c>
      <c r="G409">
        <v>6683584</v>
      </c>
      <c r="H409" t="s">
        <v>10104</v>
      </c>
      <c r="J409" s="54" t="s">
        <v>6052</v>
      </c>
      <c r="K409" s="54">
        <v>0</v>
      </c>
      <c r="L409" s="22" t="s">
        <v>144</v>
      </c>
      <c r="M409" s="22" t="s">
        <v>36842</v>
      </c>
    </row>
    <row r="410" spans="1:13" x14ac:dyDescent="0.75">
      <c r="A410" t="s">
        <v>11717</v>
      </c>
      <c r="B410" t="s">
        <v>7098</v>
      </c>
      <c r="C410" t="s">
        <v>7099</v>
      </c>
      <c r="D410" t="s">
        <v>7100</v>
      </c>
      <c r="E410" t="s">
        <v>11718</v>
      </c>
      <c r="F410">
        <v>1</v>
      </c>
      <c r="G410">
        <v>6813182</v>
      </c>
      <c r="H410" t="s">
        <v>11719</v>
      </c>
      <c r="J410" s="54" t="s">
        <v>6052</v>
      </c>
      <c r="K410" s="54">
        <v>0</v>
      </c>
      <c r="L410" s="22" t="s">
        <v>144</v>
      </c>
      <c r="M410" s="22" t="s">
        <v>36842</v>
      </c>
    </row>
    <row r="411" spans="1:13" x14ac:dyDescent="0.75">
      <c r="A411" t="s">
        <v>22978</v>
      </c>
      <c r="B411" t="s">
        <v>7098</v>
      </c>
      <c r="C411" t="s">
        <v>7099</v>
      </c>
      <c r="D411" t="s">
        <v>7100</v>
      </c>
      <c r="E411" t="s">
        <v>22979</v>
      </c>
      <c r="F411">
        <v>1</v>
      </c>
      <c r="G411">
        <v>6813185</v>
      </c>
      <c r="H411" t="s">
        <v>22980</v>
      </c>
      <c r="J411" s="54" t="s">
        <v>6052</v>
      </c>
      <c r="K411" s="54">
        <v>0</v>
      </c>
      <c r="L411" s="22" t="s">
        <v>144</v>
      </c>
      <c r="M411" s="22" t="s">
        <v>36842</v>
      </c>
    </row>
    <row r="412" spans="1:13" x14ac:dyDescent="0.75">
      <c r="A412" t="s">
        <v>22861</v>
      </c>
      <c r="B412" t="s">
        <v>6285</v>
      </c>
      <c r="C412" t="s">
        <v>6286</v>
      </c>
      <c r="D412" t="s">
        <v>6287</v>
      </c>
      <c r="E412" t="s">
        <v>22862</v>
      </c>
      <c r="F412">
        <v>36</v>
      </c>
      <c r="G412">
        <v>3418583</v>
      </c>
      <c r="H412" t="s">
        <v>22863</v>
      </c>
      <c r="J412" s="54" t="s">
        <v>6052</v>
      </c>
      <c r="K412" s="54">
        <v>0</v>
      </c>
      <c r="L412" s="22" t="s">
        <v>144</v>
      </c>
      <c r="M412" s="22" t="s">
        <v>36843</v>
      </c>
    </row>
    <row r="413" spans="1:13" x14ac:dyDescent="0.75">
      <c r="A413" t="s">
        <v>25343</v>
      </c>
      <c r="B413" t="s">
        <v>6285</v>
      </c>
      <c r="C413" t="s">
        <v>6286</v>
      </c>
      <c r="D413" t="s">
        <v>6287</v>
      </c>
      <c r="E413" t="s">
        <v>25344</v>
      </c>
      <c r="F413">
        <v>221</v>
      </c>
      <c r="G413">
        <v>3561601</v>
      </c>
      <c r="H413" t="s">
        <v>25345</v>
      </c>
      <c r="J413" s="54" t="s">
        <v>6052</v>
      </c>
      <c r="K413" s="54">
        <v>0</v>
      </c>
      <c r="L413" s="22" t="s">
        <v>144</v>
      </c>
      <c r="M413" s="22" t="s">
        <v>36843</v>
      </c>
    </row>
    <row r="414" spans="1:13" x14ac:dyDescent="0.75">
      <c r="A414" t="s">
        <v>26339</v>
      </c>
      <c r="B414" t="s">
        <v>6285</v>
      </c>
      <c r="C414" t="s">
        <v>6286</v>
      </c>
      <c r="D414" t="s">
        <v>6287</v>
      </c>
      <c r="E414" t="s">
        <v>26340</v>
      </c>
      <c r="F414">
        <v>1</v>
      </c>
      <c r="G414">
        <v>3674978</v>
      </c>
      <c r="H414" t="s">
        <v>26341</v>
      </c>
      <c r="J414" s="54" t="s">
        <v>6052</v>
      </c>
      <c r="K414" s="54">
        <v>0</v>
      </c>
      <c r="L414" s="22" t="s">
        <v>144</v>
      </c>
      <c r="M414" s="22" t="s">
        <v>36843</v>
      </c>
    </row>
    <row r="415" spans="1:13" x14ac:dyDescent="0.75">
      <c r="A415" t="s">
        <v>22864</v>
      </c>
      <c r="B415" t="s">
        <v>6285</v>
      </c>
      <c r="C415" t="s">
        <v>6286</v>
      </c>
      <c r="D415" t="s">
        <v>6287</v>
      </c>
      <c r="E415" t="s">
        <v>22865</v>
      </c>
      <c r="F415">
        <v>22</v>
      </c>
      <c r="G415">
        <v>3782621</v>
      </c>
      <c r="H415" t="s">
        <v>22866</v>
      </c>
      <c r="J415" s="54" t="s">
        <v>6052</v>
      </c>
      <c r="K415" s="54">
        <v>0</v>
      </c>
      <c r="L415" s="22" t="s">
        <v>144</v>
      </c>
      <c r="M415" s="22" t="s">
        <v>36843</v>
      </c>
    </row>
    <row r="416" spans="1:13" x14ac:dyDescent="0.75">
      <c r="A416" t="s">
        <v>24528</v>
      </c>
      <c r="B416" t="s">
        <v>10780</v>
      </c>
      <c r="C416" t="s">
        <v>6286</v>
      </c>
      <c r="D416" t="s">
        <v>10781</v>
      </c>
      <c r="E416" t="s">
        <v>24529</v>
      </c>
      <c r="F416">
        <v>124</v>
      </c>
      <c r="G416">
        <v>3778465</v>
      </c>
      <c r="H416" t="s">
        <v>24530</v>
      </c>
      <c r="J416" s="54" t="s">
        <v>6052</v>
      </c>
      <c r="K416" s="54">
        <v>0</v>
      </c>
      <c r="L416" s="22" t="s">
        <v>144</v>
      </c>
      <c r="M416" s="22" t="s">
        <v>36844</v>
      </c>
    </row>
    <row r="417" spans="1:13" x14ac:dyDescent="0.75">
      <c r="A417" t="s">
        <v>16020</v>
      </c>
      <c r="B417" t="s">
        <v>6285</v>
      </c>
      <c r="C417" t="s">
        <v>6286</v>
      </c>
      <c r="D417" t="s">
        <v>6287</v>
      </c>
      <c r="E417" t="s">
        <v>16021</v>
      </c>
      <c r="F417">
        <v>16</v>
      </c>
      <c r="G417">
        <v>3654005</v>
      </c>
      <c r="H417" t="s">
        <v>16022</v>
      </c>
      <c r="J417" s="54" t="s">
        <v>6052</v>
      </c>
      <c r="K417" s="54">
        <v>0</v>
      </c>
      <c r="L417" s="22" t="s">
        <v>144</v>
      </c>
      <c r="M417" s="22" t="s">
        <v>36843</v>
      </c>
    </row>
    <row r="418" spans="1:13" x14ac:dyDescent="0.75">
      <c r="A418" t="s">
        <v>17029</v>
      </c>
      <c r="B418" t="s">
        <v>10780</v>
      </c>
      <c r="C418" t="s">
        <v>6286</v>
      </c>
      <c r="D418" t="s">
        <v>10781</v>
      </c>
      <c r="E418" t="s">
        <v>17030</v>
      </c>
      <c r="F418">
        <v>6</v>
      </c>
      <c r="G418">
        <v>4651394</v>
      </c>
      <c r="H418" t="s">
        <v>17031</v>
      </c>
      <c r="J418" s="54" t="s">
        <v>6052</v>
      </c>
      <c r="K418" s="54">
        <v>0</v>
      </c>
      <c r="L418" s="22" t="s">
        <v>144</v>
      </c>
      <c r="M418" s="22" t="s">
        <v>36844</v>
      </c>
    </row>
    <row r="419" spans="1:13" x14ac:dyDescent="0.75">
      <c r="A419" t="s">
        <v>24578</v>
      </c>
      <c r="B419" t="s">
        <v>6285</v>
      </c>
      <c r="C419" t="s">
        <v>6286</v>
      </c>
      <c r="D419" t="s">
        <v>6287</v>
      </c>
      <c r="E419" t="s">
        <v>24579</v>
      </c>
      <c r="F419">
        <v>1</v>
      </c>
      <c r="G419">
        <v>4114005</v>
      </c>
      <c r="H419" t="s">
        <v>24580</v>
      </c>
      <c r="J419" s="54" t="s">
        <v>6052</v>
      </c>
      <c r="K419" s="54">
        <v>0</v>
      </c>
      <c r="L419" s="22" t="s">
        <v>144</v>
      </c>
      <c r="M419" s="22" t="s">
        <v>36843</v>
      </c>
    </row>
    <row r="420" spans="1:13" x14ac:dyDescent="0.75">
      <c r="A420" t="s">
        <v>20094</v>
      </c>
      <c r="B420" t="s">
        <v>10780</v>
      </c>
      <c r="C420" t="s">
        <v>6286</v>
      </c>
      <c r="D420" t="s">
        <v>10781</v>
      </c>
      <c r="E420" t="s">
        <v>20095</v>
      </c>
      <c r="F420">
        <v>105</v>
      </c>
      <c r="G420">
        <v>4313039</v>
      </c>
      <c r="H420" t="s">
        <v>20096</v>
      </c>
      <c r="J420" s="54" t="s">
        <v>6052</v>
      </c>
      <c r="K420" s="54">
        <v>0</v>
      </c>
      <c r="L420" s="22" t="s">
        <v>144</v>
      </c>
      <c r="M420" s="22" t="s">
        <v>36844</v>
      </c>
    </row>
    <row r="421" spans="1:13" x14ac:dyDescent="0.75">
      <c r="A421" t="s">
        <v>10907</v>
      </c>
      <c r="B421" t="s">
        <v>6285</v>
      </c>
      <c r="C421" t="s">
        <v>6286</v>
      </c>
      <c r="D421" t="s">
        <v>6287</v>
      </c>
      <c r="E421" t="s">
        <v>10908</v>
      </c>
      <c r="F421">
        <v>141</v>
      </c>
      <c r="G421">
        <v>3794153</v>
      </c>
      <c r="H421" t="s">
        <v>10909</v>
      </c>
      <c r="J421" s="54" t="s">
        <v>6052</v>
      </c>
      <c r="K421" s="54">
        <v>0</v>
      </c>
      <c r="L421" s="22" t="s">
        <v>144</v>
      </c>
      <c r="M421" s="22" t="s">
        <v>36843</v>
      </c>
    </row>
    <row r="422" spans="1:13" x14ac:dyDescent="0.75">
      <c r="A422" t="s">
        <v>18452</v>
      </c>
      <c r="B422" t="s">
        <v>6285</v>
      </c>
      <c r="C422" t="s">
        <v>6286</v>
      </c>
      <c r="D422" t="s">
        <v>6287</v>
      </c>
      <c r="E422" t="s">
        <v>18453</v>
      </c>
      <c r="F422">
        <v>2</v>
      </c>
      <c r="G422">
        <v>4032523</v>
      </c>
      <c r="H422" t="s">
        <v>18454</v>
      </c>
      <c r="J422" s="54" t="s">
        <v>6052</v>
      </c>
      <c r="K422" s="54">
        <v>0</v>
      </c>
      <c r="L422" s="22" t="s">
        <v>144</v>
      </c>
      <c r="M422" s="22" t="s">
        <v>36843</v>
      </c>
    </row>
    <row r="423" spans="1:13" x14ac:dyDescent="0.75">
      <c r="A423" t="s">
        <v>19945</v>
      </c>
      <c r="B423" t="s">
        <v>6285</v>
      </c>
      <c r="C423" t="s">
        <v>6286</v>
      </c>
      <c r="D423" t="s">
        <v>6287</v>
      </c>
      <c r="E423" t="s">
        <v>19946</v>
      </c>
      <c r="F423">
        <v>4</v>
      </c>
      <c r="G423">
        <v>4613942</v>
      </c>
      <c r="H423" t="s">
        <v>19947</v>
      </c>
      <c r="J423" s="54" t="s">
        <v>6052</v>
      </c>
      <c r="K423" s="54">
        <v>0</v>
      </c>
      <c r="L423" s="22" t="s">
        <v>144</v>
      </c>
      <c r="M423" s="22" t="s">
        <v>36843</v>
      </c>
    </row>
    <row r="424" spans="1:13" x14ac:dyDescent="0.75">
      <c r="A424" t="s">
        <v>6284</v>
      </c>
      <c r="B424" t="s">
        <v>6285</v>
      </c>
      <c r="C424" t="s">
        <v>6286</v>
      </c>
      <c r="D424" t="s">
        <v>6287</v>
      </c>
      <c r="E424" t="s">
        <v>6288</v>
      </c>
      <c r="F424">
        <v>3</v>
      </c>
      <c r="G424">
        <v>4585154</v>
      </c>
      <c r="H424" t="s">
        <v>6289</v>
      </c>
      <c r="J424" s="54" t="s">
        <v>6052</v>
      </c>
      <c r="K424" s="54">
        <v>0</v>
      </c>
      <c r="L424" s="22" t="s">
        <v>144</v>
      </c>
      <c r="M424" s="22" t="s">
        <v>36843</v>
      </c>
    </row>
    <row r="425" spans="1:13" x14ac:dyDescent="0.75">
      <c r="A425" t="s">
        <v>10779</v>
      </c>
      <c r="B425" t="s">
        <v>10780</v>
      </c>
      <c r="C425" t="s">
        <v>6286</v>
      </c>
      <c r="D425" t="s">
        <v>10781</v>
      </c>
      <c r="E425" t="s">
        <v>10782</v>
      </c>
      <c r="F425">
        <v>141</v>
      </c>
      <c r="G425">
        <v>4475784</v>
      </c>
      <c r="H425" t="s">
        <v>10783</v>
      </c>
      <c r="J425" s="54" t="s">
        <v>6052</v>
      </c>
      <c r="K425" s="54">
        <v>0</v>
      </c>
      <c r="L425" s="22" t="s">
        <v>144</v>
      </c>
      <c r="M425" s="22" t="s">
        <v>36844</v>
      </c>
    </row>
    <row r="426" spans="1:13" x14ac:dyDescent="0.75">
      <c r="A426" t="s">
        <v>22891</v>
      </c>
      <c r="B426" t="s">
        <v>6285</v>
      </c>
      <c r="C426" t="s">
        <v>6286</v>
      </c>
      <c r="D426" t="s">
        <v>6287</v>
      </c>
      <c r="E426" t="s">
        <v>22892</v>
      </c>
      <c r="F426">
        <v>2</v>
      </c>
      <c r="G426">
        <v>4251417</v>
      </c>
      <c r="H426" t="s">
        <v>22893</v>
      </c>
      <c r="J426" s="54" t="s">
        <v>6052</v>
      </c>
      <c r="K426" s="54">
        <v>0</v>
      </c>
      <c r="L426" s="22" t="s">
        <v>144</v>
      </c>
      <c r="M426" s="22" t="s">
        <v>36843</v>
      </c>
    </row>
    <row r="427" spans="1:13" x14ac:dyDescent="0.75">
      <c r="A427" t="s">
        <v>24952</v>
      </c>
      <c r="B427" t="s">
        <v>10780</v>
      </c>
      <c r="C427" t="s">
        <v>6286</v>
      </c>
      <c r="D427" t="s">
        <v>10781</v>
      </c>
      <c r="E427" t="s">
        <v>24953</v>
      </c>
      <c r="F427">
        <v>3</v>
      </c>
      <c r="G427">
        <v>4730769</v>
      </c>
      <c r="H427" t="s">
        <v>24954</v>
      </c>
      <c r="J427" s="54" t="s">
        <v>6052</v>
      </c>
      <c r="K427" s="54">
        <v>0</v>
      </c>
      <c r="L427" s="22" t="s">
        <v>144</v>
      </c>
      <c r="M427" s="22" t="s">
        <v>36844</v>
      </c>
    </row>
    <row r="428" spans="1:13" x14ac:dyDescent="0.75">
      <c r="A428" t="s">
        <v>14600</v>
      </c>
      <c r="B428" t="s">
        <v>6285</v>
      </c>
      <c r="C428" t="s">
        <v>6286</v>
      </c>
      <c r="D428" t="s">
        <v>6287</v>
      </c>
      <c r="E428" t="s">
        <v>14601</v>
      </c>
      <c r="F428">
        <v>87</v>
      </c>
      <c r="G428">
        <v>4557463</v>
      </c>
      <c r="H428" t="s">
        <v>14602</v>
      </c>
      <c r="J428" s="54" t="s">
        <v>6052</v>
      </c>
      <c r="K428" s="54">
        <v>0</v>
      </c>
      <c r="L428" s="22" t="s">
        <v>144</v>
      </c>
      <c r="M428" s="22" t="s">
        <v>36843</v>
      </c>
    </row>
    <row r="429" spans="1:13" x14ac:dyDescent="0.75">
      <c r="A429" t="s">
        <v>21388</v>
      </c>
      <c r="B429" t="s">
        <v>6285</v>
      </c>
      <c r="C429" t="s">
        <v>6286</v>
      </c>
      <c r="D429" t="s">
        <v>6287</v>
      </c>
      <c r="E429" t="s">
        <v>21389</v>
      </c>
      <c r="F429">
        <v>3</v>
      </c>
      <c r="G429">
        <v>3997592</v>
      </c>
      <c r="H429" t="s">
        <v>21390</v>
      </c>
      <c r="J429" s="54" t="s">
        <v>6052</v>
      </c>
      <c r="K429" s="54">
        <v>0</v>
      </c>
      <c r="L429" s="22" t="s">
        <v>144</v>
      </c>
      <c r="M429" s="22" t="s">
        <v>36843</v>
      </c>
    </row>
    <row r="430" spans="1:13" x14ac:dyDescent="0.75">
      <c r="A430" t="s">
        <v>23839</v>
      </c>
      <c r="B430" t="s">
        <v>6285</v>
      </c>
      <c r="C430" t="s">
        <v>6286</v>
      </c>
      <c r="D430" t="s">
        <v>6287</v>
      </c>
      <c r="E430" t="s">
        <v>23840</v>
      </c>
      <c r="F430">
        <v>213</v>
      </c>
      <c r="G430">
        <v>3596826</v>
      </c>
      <c r="H430" t="s">
        <v>23841</v>
      </c>
      <c r="J430" s="54" t="s">
        <v>6052</v>
      </c>
      <c r="K430" s="54">
        <v>0</v>
      </c>
      <c r="L430" s="22" t="s">
        <v>144</v>
      </c>
      <c r="M430" s="22" t="s">
        <v>36843</v>
      </c>
    </row>
    <row r="431" spans="1:13" x14ac:dyDescent="0.75">
      <c r="A431" t="s">
        <v>23842</v>
      </c>
      <c r="B431" t="s">
        <v>6285</v>
      </c>
      <c r="C431" t="s">
        <v>6286</v>
      </c>
      <c r="D431" t="s">
        <v>6287</v>
      </c>
      <c r="E431" t="s">
        <v>23843</v>
      </c>
      <c r="F431">
        <v>34</v>
      </c>
      <c r="G431">
        <v>3536044</v>
      </c>
      <c r="H431" t="s">
        <v>23844</v>
      </c>
      <c r="J431" s="54" t="s">
        <v>6052</v>
      </c>
      <c r="K431" s="54">
        <v>0</v>
      </c>
      <c r="L431" s="22" t="s">
        <v>144</v>
      </c>
      <c r="M431" s="22" t="s">
        <v>36843</v>
      </c>
    </row>
    <row r="432" spans="1:13" x14ac:dyDescent="0.75">
      <c r="A432" t="s">
        <v>22279</v>
      </c>
      <c r="B432" t="s">
        <v>10780</v>
      </c>
      <c r="C432" t="s">
        <v>6286</v>
      </c>
      <c r="D432" t="s">
        <v>10781</v>
      </c>
      <c r="E432" t="s">
        <v>22280</v>
      </c>
      <c r="F432">
        <v>98</v>
      </c>
      <c r="G432">
        <v>3758010</v>
      </c>
      <c r="H432" t="s">
        <v>22281</v>
      </c>
      <c r="J432" s="54" t="s">
        <v>6052</v>
      </c>
      <c r="K432" s="54">
        <v>0</v>
      </c>
      <c r="L432" s="22" t="s">
        <v>144</v>
      </c>
      <c r="M432" s="22" t="s">
        <v>36844</v>
      </c>
    </row>
    <row r="433" spans="1:13" x14ac:dyDescent="0.75">
      <c r="A433" t="s">
        <v>13795</v>
      </c>
      <c r="B433" t="s">
        <v>6285</v>
      </c>
      <c r="C433" t="s">
        <v>6286</v>
      </c>
      <c r="D433" t="s">
        <v>6287</v>
      </c>
      <c r="E433" t="s">
        <v>13796</v>
      </c>
      <c r="F433">
        <v>1</v>
      </c>
      <c r="G433">
        <v>4061276</v>
      </c>
      <c r="H433" t="s">
        <v>13797</v>
      </c>
      <c r="J433" s="54" t="s">
        <v>6052</v>
      </c>
      <c r="K433" s="54">
        <v>0</v>
      </c>
      <c r="L433" s="22" t="s">
        <v>144</v>
      </c>
      <c r="M433" s="22" t="s">
        <v>36843</v>
      </c>
    </row>
    <row r="434" spans="1:13" x14ac:dyDescent="0.75">
      <c r="A434" t="s">
        <v>29155</v>
      </c>
      <c r="B434" t="s">
        <v>10780</v>
      </c>
      <c r="C434" t="s">
        <v>6286</v>
      </c>
      <c r="D434" t="s">
        <v>10781</v>
      </c>
      <c r="E434" t="s">
        <v>29156</v>
      </c>
      <c r="F434">
        <v>232</v>
      </c>
      <c r="G434">
        <v>3703556</v>
      </c>
      <c r="H434" t="s">
        <v>29157</v>
      </c>
      <c r="J434" s="54" t="s">
        <v>6052</v>
      </c>
      <c r="K434" s="54">
        <v>0</v>
      </c>
      <c r="L434" s="22" t="s">
        <v>144</v>
      </c>
      <c r="M434" s="22" t="s">
        <v>36844</v>
      </c>
    </row>
    <row r="435" spans="1:13" x14ac:dyDescent="0.75">
      <c r="A435" t="s">
        <v>6390</v>
      </c>
      <c r="B435" t="s">
        <v>6285</v>
      </c>
      <c r="C435" t="s">
        <v>6286</v>
      </c>
      <c r="D435" t="s">
        <v>6287</v>
      </c>
      <c r="E435" t="s">
        <v>6391</v>
      </c>
      <c r="F435">
        <v>1</v>
      </c>
      <c r="G435">
        <v>3796573</v>
      </c>
      <c r="H435" t="s">
        <v>6392</v>
      </c>
      <c r="J435" s="54" t="s">
        <v>6052</v>
      </c>
      <c r="K435" s="54">
        <v>0</v>
      </c>
      <c r="L435" s="22" t="s">
        <v>144</v>
      </c>
      <c r="M435" s="22" t="s">
        <v>36843</v>
      </c>
    </row>
    <row r="436" spans="1:13" x14ac:dyDescent="0.75">
      <c r="A436" t="s">
        <v>19844</v>
      </c>
      <c r="B436" t="s">
        <v>8467</v>
      </c>
      <c r="C436" t="s">
        <v>6977</v>
      </c>
      <c r="D436" t="s">
        <v>8468</v>
      </c>
      <c r="E436" t="s">
        <v>19845</v>
      </c>
      <c r="F436">
        <v>1</v>
      </c>
      <c r="G436">
        <v>2993055</v>
      </c>
      <c r="H436" t="s">
        <v>19846</v>
      </c>
      <c r="J436" s="54" t="s">
        <v>6052</v>
      </c>
      <c r="K436" s="54">
        <v>0</v>
      </c>
      <c r="L436" s="22" t="s">
        <v>144</v>
      </c>
      <c r="M436" s="22" t="s">
        <v>36845</v>
      </c>
    </row>
    <row r="437" spans="1:13" x14ac:dyDescent="0.75">
      <c r="A437" t="s">
        <v>26607</v>
      </c>
      <c r="B437" t="s">
        <v>9307</v>
      </c>
      <c r="C437" t="s">
        <v>6977</v>
      </c>
      <c r="D437" t="s">
        <v>9308</v>
      </c>
      <c r="E437" t="s">
        <v>26608</v>
      </c>
      <c r="F437">
        <v>2</v>
      </c>
      <c r="G437">
        <v>3536196</v>
      </c>
      <c r="H437" t="s">
        <v>26609</v>
      </c>
      <c r="J437" s="54" t="s">
        <v>6052</v>
      </c>
      <c r="K437" s="54">
        <v>0</v>
      </c>
      <c r="L437" s="22" t="s">
        <v>144</v>
      </c>
      <c r="M437" s="22" t="s">
        <v>36846</v>
      </c>
    </row>
    <row r="438" spans="1:13" x14ac:dyDescent="0.75">
      <c r="A438" t="s">
        <v>17294</v>
      </c>
      <c r="B438" t="s">
        <v>9303</v>
      </c>
      <c r="C438" t="s">
        <v>6977</v>
      </c>
      <c r="D438" t="s">
        <v>6131</v>
      </c>
      <c r="E438" t="s">
        <v>17295</v>
      </c>
      <c r="F438">
        <v>4</v>
      </c>
      <c r="G438">
        <v>3835186</v>
      </c>
      <c r="H438" t="s">
        <v>17296</v>
      </c>
      <c r="J438" s="54" t="s">
        <v>6052</v>
      </c>
      <c r="K438" s="54">
        <v>0</v>
      </c>
      <c r="L438" s="22" t="s">
        <v>144</v>
      </c>
      <c r="M438" s="22" t="s">
        <v>36847</v>
      </c>
    </row>
    <row r="439" spans="1:13" x14ac:dyDescent="0.75">
      <c r="A439" t="s">
        <v>16127</v>
      </c>
      <c r="B439" t="s">
        <v>9307</v>
      </c>
      <c r="C439" t="s">
        <v>6977</v>
      </c>
      <c r="D439" t="s">
        <v>9308</v>
      </c>
      <c r="E439" t="s">
        <v>16128</v>
      </c>
      <c r="F439">
        <v>3</v>
      </c>
      <c r="G439">
        <v>3483561</v>
      </c>
      <c r="H439" t="s">
        <v>16129</v>
      </c>
      <c r="J439" s="54" t="s">
        <v>6052</v>
      </c>
      <c r="K439" s="54">
        <v>0</v>
      </c>
      <c r="L439" s="22" t="s">
        <v>144</v>
      </c>
      <c r="M439" s="22" t="s">
        <v>36846</v>
      </c>
    </row>
    <row r="440" spans="1:13" x14ac:dyDescent="0.75">
      <c r="A440" t="s">
        <v>16124</v>
      </c>
      <c r="B440" t="s">
        <v>9307</v>
      </c>
      <c r="C440" t="s">
        <v>6977</v>
      </c>
      <c r="D440" t="s">
        <v>9308</v>
      </c>
      <c r="E440" t="s">
        <v>16125</v>
      </c>
      <c r="F440">
        <v>2</v>
      </c>
      <c r="G440">
        <v>3769270</v>
      </c>
      <c r="H440" t="s">
        <v>16126</v>
      </c>
      <c r="J440" s="54" t="s">
        <v>6052</v>
      </c>
      <c r="K440" s="54">
        <v>0</v>
      </c>
      <c r="L440" s="22" t="s">
        <v>144</v>
      </c>
      <c r="M440" s="22" t="s">
        <v>36846</v>
      </c>
    </row>
    <row r="441" spans="1:13" x14ac:dyDescent="0.75">
      <c r="A441" t="s">
        <v>22221</v>
      </c>
      <c r="B441" t="s">
        <v>9303</v>
      </c>
      <c r="C441" t="s">
        <v>6977</v>
      </c>
      <c r="D441" t="s">
        <v>6131</v>
      </c>
      <c r="E441" t="s">
        <v>22222</v>
      </c>
      <c r="F441">
        <v>1</v>
      </c>
      <c r="G441">
        <v>3343033</v>
      </c>
      <c r="H441" t="s">
        <v>22223</v>
      </c>
      <c r="J441" s="54" t="s">
        <v>6052</v>
      </c>
      <c r="K441" s="54">
        <v>0</v>
      </c>
      <c r="L441" s="22" t="s">
        <v>144</v>
      </c>
      <c r="M441" s="22" t="s">
        <v>36847</v>
      </c>
    </row>
    <row r="442" spans="1:13" x14ac:dyDescent="0.75">
      <c r="A442" t="s">
        <v>22224</v>
      </c>
      <c r="B442" t="s">
        <v>9303</v>
      </c>
      <c r="C442" t="s">
        <v>6977</v>
      </c>
      <c r="D442" t="s">
        <v>6131</v>
      </c>
      <c r="E442" t="s">
        <v>22225</v>
      </c>
      <c r="F442">
        <v>5</v>
      </c>
      <c r="G442">
        <v>3784505</v>
      </c>
      <c r="H442" t="s">
        <v>22226</v>
      </c>
      <c r="J442" s="54" t="s">
        <v>6052</v>
      </c>
      <c r="K442" s="54">
        <v>0</v>
      </c>
      <c r="L442" s="22" t="s">
        <v>144</v>
      </c>
      <c r="M442" s="22" t="s">
        <v>36847</v>
      </c>
    </row>
    <row r="443" spans="1:13" x14ac:dyDescent="0.75">
      <c r="A443" t="s">
        <v>23419</v>
      </c>
      <c r="B443" t="s">
        <v>9307</v>
      </c>
      <c r="C443" t="s">
        <v>6977</v>
      </c>
      <c r="D443" t="s">
        <v>9308</v>
      </c>
      <c r="E443" t="s">
        <v>23420</v>
      </c>
      <c r="F443">
        <v>1</v>
      </c>
      <c r="G443">
        <v>3362966</v>
      </c>
      <c r="H443" t="s">
        <v>23421</v>
      </c>
      <c r="J443" s="54" t="s">
        <v>6052</v>
      </c>
      <c r="K443" s="54">
        <v>0</v>
      </c>
      <c r="L443" s="22" t="s">
        <v>144</v>
      </c>
      <c r="M443" s="22" t="s">
        <v>36846</v>
      </c>
    </row>
    <row r="444" spans="1:13" x14ac:dyDescent="0.75">
      <c r="A444" t="s">
        <v>6975</v>
      </c>
      <c r="B444" t="s">
        <v>6976</v>
      </c>
      <c r="C444" t="s">
        <v>6977</v>
      </c>
      <c r="D444" t="s">
        <v>6978</v>
      </c>
      <c r="E444" t="s">
        <v>6979</v>
      </c>
      <c r="F444">
        <v>100</v>
      </c>
      <c r="G444">
        <v>3971516</v>
      </c>
      <c r="H444" t="s">
        <v>6980</v>
      </c>
      <c r="J444" s="54" t="s">
        <v>6052</v>
      </c>
      <c r="K444" s="54">
        <v>0</v>
      </c>
      <c r="L444" s="22" t="s">
        <v>963</v>
      </c>
      <c r="M444" s="22" t="s">
        <v>36848</v>
      </c>
    </row>
    <row r="445" spans="1:13" x14ac:dyDescent="0.75">
      <c r="A445" t="s">
        <v>10480</v>
      </c>
      <c r="B445" t="s">
        <v>6976</v>
      </c>
      <c r="C445" t="s">
        <v>6977</v>
      </c>
      <c r="D445" t="s">
        <v>6978</v>
      </c>
      <c r="E445" t="s">
        <v>6979</v>
      </c>
      <c r="F445">
        <v>18</v>
      </c>
      <c r="G445">
        <v>3955221</v>
      </c>
      <c r="H445" t="s">
        <v>10481</v>
      </c>
      <c r="J445" s="54" t="s">
        <v>6052</v>
      </c>
      <c r="K445" s="54">
        <v>0</v>
      </c>
      <c r="L445" s="22" t="s">
        <v>963</v>
      </c>
      <c r="M445" s="22" t="s">
        <v>36848</v>
      </c>
    </row>
    <row r="446" spans="1:13" x14ac:dyDescent="0.75">
      <c r="A446" t="s">
        <v>17501</v>
      </c>
      <c r="B446" t="s">
        <v>6976</v>
      </c>
      <c r="C446" t="s">
        <v>6977</v>
      </c>
      <c r="D446" t="s">
        <v>6978</v>
      </c>
      <c r="E446" t="s">
        <v>6979</v>
      </c>
      <c r="F446">
        <v>3</v>
      </c>
      <c r="G446">
        <v>3999136</v>
      </c>
      <c r="H446" t="s">
        <v>17502</v>
      </c>
      <c r="J446" s="54" t="s">
        <v>6052</v>
      </c>
      <c r="K446" s="54">
        <v>0</v>
      </c>
      <c r="L446" s="22" t="s">
        <v>963</v>
      </c>
      <c r="M446" s="22" t="s">
        <v>36848</v>
      </c>
    </row>
    <row r="447" spans="1:13" x14ac:dyDescent="0.75">
      <c r="A447" t="s">
        <v>17941</v>
      </c>
      <c r="B447" t="s">
        <v>6976</v>
      </c>
      <c r="C447" t="s">
        <v>6977</v>
      </c>
      <c r="D447" t="s">
        <v>6978</v>
      </c>
      <c r="E447" t="s">
        <v>6979</v>
      </c>
      <c r="F447">
        <v>2</v>
      </c>
      <c r="G447">
        <v>3990388</v>
      </c>
      <c r="H447" t="s">
        <v>17942</v>
      </c>
      <c r="J447" s="54" t="s">
        <v>6052</v>
      </c>
      <c r="K447" s="54">
        <v>0</v>
      </c>
      <c r="L447" s="22" t="s">
        <v>963</v>
      </c>
      <c r="M447" s="22" t="s">
        <v>36848</v>
      </c>
    </row>
    <row r="448" spans="1:13" x14ac:dyDescent="0.75">
      <c r="A448" t="s">
        <v>19022</v>
      </c>
      <c r="B448" t="s">
        <v>6976</v>
      </c>
      <c r="C448" t="s">
        <v>6977</v>
      </c>
      <c r="D448" t="s">
        <v>6978</v>
      </c>
      <c r="E448" t="s">
        <v>6979</v>
      </c>
      <c r="F448">
        <v>1</v>
      </c>
      <c r="G448">
        <v>3980852</v>
      </c>
      <c r="H448" t="s">
        <v>19023</v>
      </c>
      <c r="J448" s="54" t="s">
        <v>6052</v>
      </c>
      <c r="K448" s="54">
        <v>0</v>
      </c>
      <c r="L448" s="22" t="s">
        <v>963</v>
      </c>
      <c r="M448" s="22" t="s">
        <v>36848</v>
      </c>
    </row>
    <row r="449" spans="1:13" x14ac:dyDescent="0.75">
      <c r="A449" t="s">
        <v>21924</v>
      </c>
      <c r="B449" t="s">
        <v>6976</v>
      </c>
      <c r="C449" t="s">
        <v>6977</v>
      </c>
      <c r="D449" t="s">
        <v>6978</v>
      </c>
      <c r="E449" t="s">
        <v>6979</v>
      </c>
      <c r="F449">
        <v>2</v>
      </c>
      <c r="G449">
        <v>3999499</v>
      </c>
      <c r="H449" t="s">
        <v>21925</v>
      </c>
      <c r="J449" s="54" t="s">
        <v>6052</v>
      </c>
      <c r="K449" s="54">
        <v>0</v>
      </c>
      <c r="L449" s="22" t="s">
        <v>963</v>
      </c>
      <c r="M449" s="22" t="s">
        <v>36848</v>
      </c>
    </row>
    <row r="450" spans="1:13" x14ac:dyDescent="0.75">
      <c r="A450" t="s">
        <v>11339</v>
      </c>
      <c r="B450" t="s">
        <v>6976</v>
      </c>
      <c r="C450" t="s">
        <v>6977</v>
      </c>
      <c r="D450" t="s">
        <v>6978</v>
      </c>
      <c r="E450" t="s">
        <v>11340</v>
      </c>
      <c r="F450">
        <v>1</v>
      </c>
      <c r="G450">
        <v>3947826</v>
      </c>
      <c r="H450" t="s">
        <v>11341</v>
      </c>
      <c r="J450" s="54" t="s">
        <v>6052</v>
      </c>
      <c r="K450" s="54">
        <v>0</v>
      </c>
      <c r="L450" s="22" t="s">
        <v>963</v>
      </c>
      <c r="M450" s="22" t="s">
        <v>36848</v>
      </c>
    </row>
    <row r="451" spans="1:13" x14ac:dyDescent="0.75">
      <c r="A451" t="s">
        <v>9314</v>
      </c>
      <c r="B451" t="s">
        <v>8761</v>
      </c>
      <c r="C451" t="s">
        <v>6977</v>
      </c>
      <c r="D451" t="s">
        <v>8762</v>
      </c>
      <c r="E451" t="s">
        <v>9315</v>
      </c>
      <c r="F451">
        <v>23</v>
      </c>
      <c r="G451">
        <v>3195486</v>
      </c>
      <c r="H451" t="s">
        <v>9316</v>
      </c>
      <c r="J451" s="54" t="s">
        <v>6052</v>
      </c>
      <c r="K451" s="54">
        <v>0</v>
      </c>
      <c r="L451" s="22" t="s">
        <v>144</v>
      </c>
      <c r="M451" s="22" t="s">
        <v>36849</v>
      </c>
    </row>
    <row r="452" spans="1:13" x14ac:dyDescent="0.75">
      <c r="A452" t="s">
        <v>9306</v>
      </c>
      <c r="B452" t="s">
        <v>9307</v>
      </c>
      <c r="C452" t="s">
        <v>6977</v>
      </c>
      <c r="D452" t="s">
        <v>9308</v>
      </c>
      <c r="E452" t="s">
        <v>9309</v>
      </c>
      <c r="F452">
        <v>41</v>
      </c>
      <c r="G452">
        <v>3357744</v>
      </c>
      <c r="H452" t="s">
        <v>9310</v>
      </c>
      <c r="J452" s="54" t="s">
        <v>6052</v>
      </c>
      <c r="K452" s="54">
        <v>0</v>
      </c>
      <c r="L452" s="22" t="s">
        <v>144</v>
      </c>
      <c r="M452" s="22" t="s">
        <v>36846</v>
      </c>
    </row>
    <row r="453" spans="1:13" x14ac:dyDescent="0.75">
      <c r="A453" t="s">
        <v>9302</v>
      </c>
      <c r="B453" t="s">
        <v>9303</v>
      </c>
      <c r="C453" t="s">
        <v>6977</v>
      </c>
      <c r="D453" t="s">
        <v>6131</v>
      </c>
      <c r="E453" t="s">
        <v>9304</v>
      </c>
      <c r="F453">
        <v>48</v>
      </c>
      <c r="G453">
        <v>3608403</v>
      </c>
      <c r="H453" t="s">
        <v>9305</v>
      </c>
      <c r="J453" s="54" t="s">
        <v>6052</v>
      </c>
      <c r="K453" s="54">
        <v>0</v>
      </c>
      <c r="L453" s="22" t="s">
        <v>144</v>
      </c>
      <c r="M453" s="22" t="s">
        <v>36847</v>
      </c>
    </row>
    <row r="454" spans="1:13" x14ac:dyDescent="0.75">
      <c r="A454" t="s">
        <v>9317</v>
      </c>
      <c r="B454" t="s">
        <v>6976</v>
      </c>
      <c r="C454" t="s">
        <v>6977</v>
      </c>
      <c r="D454" t="s">
        <v>6978</v>
      </c>
      <c r="E454" t="s">
        <v>9318</v>
      </c>
      <c r="F454">
        <v>32</v>
      </c>
      <c r="G454">
        <v>4028903</v>
      </c>
      <c r="H454" t="s">
        <v>9319</v>
      </c>
      <c r="J454" s="54" t="s">
        <v>6052</v>
      </c>
      <c r="K454" s="54">
        <v>0</v>
      </c>
      <c r="L454" s="22" t="s">
        <v>963</v>
      </c>
      <c r="M454" s="22" t="s">
        <v>36848</v>
      </c>
    </row>
    <row r="455" spans="1:13" x14ac:dyDescent="0.75">
      <c r="A455" t="s">
        <v>21727</v>
      </c>
      <c r="B455" t="s">
        <v>9303</v>
      </c>
      <c r="C455" t="s">
        <v>6977</v>
      </c>
      <c r="D455" t="s">
        <v>6131</v>
      </c>
      <c r="E455" t="s">
        <v>21728</v>
      </c>
      <c r="F455">
        <v>3</v>
      </c>
      <c r="G455">
        <v>3655004</v>
      </c>
      <c r="H455" t="s">
        <v>21729</v>
      </c>
      <c r="J455" s="54" t="s">
        <v>6052</v>
      </c>
      <c r="K455" s="54">
        <v>0</v>
      </c>
      <c r="L455" s="22" t="s">
        <v>144</v>
      </c>
      <c r="M455" s="22" t="s">
        <v>36847</v>
      </c>
    </row>
    <row r="456" spans="1:13" x14ac:dyDescent="0.75">
      <c r="A456" t="s">
        <v>16732</v>
      </c>
      <c r="B456" t="s">
        <v>8761</v>
      </c>
      <c r="C456" t="s">
        <v>6977</v>
      </c>
      <c r="D456" t="s">
        <v>8762</v>
      </c>
      <c r="E456" t="s">
        <v>16733</v>
      </c>
      <c r="F456">
        <v>4</v>
      </c>
      <c r="G456">
        <v>3247241</v>
      </c>
      <c r="H456" t="s">
        <v>16734</v>
      </c>
      <c r="J456" s="54" t="s">
        <v>6052</v>
      </c>
      <c r="K456" s="54">
        <v>0</v>
      </c>
      <c r="L456" s="22" t="s">
        <v>144</v>
      </c>
      <c r="M456" s="22" t="s">
        <v>36849</v>
      </c>
    </row>
    <row r="457" spans="1:13" x14ac:dyDescent="0.75">
      <c r="A457" t="s">
        <v>25018</v>
      </c>
      <c r="B457" t="s">
        <v>8467</v>
      </c>
      <c r="C457" t="s">
        <v>6977</v>
      </c>
      <c r="D457" t="s">
        <v>8468</v>
      </c>
      <c r="E457" t="s">
        <v>25019</v>
      </c>
      <c r="F457">
        <v>6</v>
      </c>
      <c r="G457">
        <v>3463679</v>
      </c>
      <c r="H457" t="s">
        <v>25020</v>
      </c>
      <c r="J457" s="54" t="s">
        <v>6052</v>
      </c>
      <c r="K457" s="54">
        <v>0</v>
      </c>
      <c r="L457" s="22" t="s">
        <v>144</v>
      </c>
      <c r="M457" s="22" t="s">
        <v>36845</v>
      </c>
    </row>
    <row r="458" spans="1:13" x14ac:dyDescent="0.75">
      <c r="A458" t="s">
        <v>14701</v>
      </c>
      <c r="B458" t="s">
        <v>8761</v>
      </c>
      <c r="C458" t="s">
        <v>6977</v>
      </c>
      <c r="D458" t="s">
        <v>8762</v>
      </c>
      <c r="E458" t="s">
        <v>14702</v>
      </c>
      <c r="F458">
        <v>1</v>
      </c>
      <c r="G458">
        <v>3132860</v>
      </c>
      <c r="H458" t="s">
        <v>14703</v>
      </c>
      <c r="J458" s="54" t="s">
        <v>6052</v>
      </c>
      <c r="K458" s="54">
        <v>0</v>
      </c>
      <c r="L458" s="22" t="s">
        <v>144</v>
      </c>
      <c r="M458" s="22" t="s">
        <v>36849</v>
      </c>
    </row>
    <row r="459" spans="1:13" x14ac:dyDescent="0.75">
      <c r="A459" t="s">
        <v>21125</v>
      </c>
      <c r="B459" t="s">
        <v>8467</v>
      </c>
      <c r="C459" t="s">
        <v>6977</v>
      </c>
      <c r="D459" t="s">
        <v>8468</v>
      </c>
      <c r="E459" t="s">
        <v>21126</v>
      </c>
      <c r="F459">
        <v>6</v>
      </c>
      <c r="G459">
        <v>3504477</v>
      </c>
      <c r="H459" t="s">
        <v>21127</v>
      </c>
      <c r="J459" s="54" t="s">
        <v>6052</v>
      </c>
      <c r="K459" s="54">
        <v>0</v>
      </c>
      <c r="L459" s="22" t="s">
        <v>144</v>
      </c>
      <c r="M459" s="22" t="s">
        <v>36845</v>
      </c>
    </row>
    <row r="460" spans="1:13" x14ac:dyDescent="0.75">
      <c r="A460" t="s">
        <v>21131</v>
      </c>
      <c r="B460" t="s">
        <v>8467</v>
      </c>
      <c r="C460" t="s">
        <v>6977</v>
      </c>
      <c r="D460" t="s">
        <v>8468</v>
      </c>
      <c r="E460" t="s">
        <v>21132</v>
      </c>
      <c r="F460">
        <v>9</v>
      </c>
      <c r="G460">
        <v>3466826</v>
      </c>
      <c r="H460" t="s">
        <v>21133</v>
      </c>
      <c r="J460" s="54" t="s">
        <v>6052</v>
      </c>
      <c r="K460" s="54">
        <v>0</v>
      </c>
      <c r="L460" s="22" t="s">
        <v>144</v>
      </c>
      <c r="M460" s="22" t="s">
        <v>36845</v>
      </c>
    </row>
    <row r="461" spans="1:13" x14ac:dyDescent="0.75">
      <c r="A461" t="s">
        <v>20203</v>
      </c>
      <c r="B461" t="s">
        <v>9303</v>
      </c>
      <c r="C461" t="s">
        <v>6977</v>
      </c>
      <c r="D461" t="s">
        <v>6131</v>
      </c>
      <c r="E461" t="s">
        <v>20204</v>
      </c>
      <c r="F461">
        <v>10</v>
      </c>
      <c r="G461">
        <v>3524396</v>
      </c>
      <c r="H461" t="s">
        <v>20205</v>
      </c>
      <c r="J461" s="54" t="s">
        <v>6052</v>
      </c>
      <c r="K461" s="54">
        <v>0</v>
      </c>
      <c r="L461" s="22" t="s">
        <v>144</v>
      </c>
      <c r="M461" s="22" t="s">
        <v>36847</v>
      </c>
    </row>
    <row r="462" spans="1:13" x14ac:dyDescent="0.75">
      <c r="A462" t="s">
        <v>18821</v>
      </c>
      <c r="B462" t="s">
        <v>8761</v>
      </c>
      <c r="C462" t="s">
        <v>6977</v>
      </c>
      <c r="D462" t="s">
        <v>8762</v>
      </c>
      <c r="E462" t="s">
        <v>18822</v>
      </c>
      <c r="F462">
        <v>6</v>
      </c>
      <c r="G462">
        <v>3377444</v>
      </c>
      <c r="H462" t="s">
        <v>18823</v>
      </c>
      <c r="J462" s="54" t="s">
        <v>6052</v>
      </c>
      <c r="K462" s="54">
        <v>0</v>
      </c>
      <c r="L462" s="22" t="s">
        <v>144</v>
      </c>
      <c r="M462" s="22" t="s">
        <v>36849</v>
      </c>
    </row>
    <row r="463" spans="1:13" x14ac:dyDescent="0.75">
      <c r="A463" t="s">
        <v>19974</v>
      </c>
      <c r="B463" t="s">
        <v>9303</v>
      </c>
      <c r="C463" t="s">
        <v>6977</v>
      </c>
      <c r="D463" t="s">
        <v>6131</v>
      </c>
      <c r="E463" t="s">
        <v>19975</v>
      </c>
      <c r="F463">
        <v>4</v>
      </c>
      <c r="G463">
        <v>3617455</v>
      </c>
      <c r="H463" t="s">
        <v>19976</v>
      </c>
      <c r="J463" s="54" t="s">
        <v>6052</v>
      </c>
      <c r="K463" s="54">
        <v>0</v>
      </c>
      <c r="L463" s="22" t="s">
        <v>144</v>
      </c>
      <c r="M463" s="22" t="s">
        <v>36847</v>
      </c>
    </row>
    <row r="464" spans="1:13" x14ac:dyDescent="0.75">
      <c r="A464" t="s">
        <v>21230</v>
      </c>
      <c r="B464" t="s">
        <v>8467</v>
      </c>
      <c r="C464" t="s">
        <v>6977</v>
      </c>
      <c r="D464" t="s">
        <v>8468</v>
      </c>
      <c r="E464" t="s">
        <v>21231</v>
      </c>
      <c r="F464">
        <v>6</v>
      </c>
      <c r="G464">
        <v>3528101</v>
      </c>
      <c r="H464" t="s">
        <v>21232</v>
      </c>
      <c r="J464" s="54" t="s">
        <v>6052</v>
      </c>
      <c r="K464" s="54">
        <v>0</v>
      </c>
      <c r="L464" s="22" t="s">
        <v>144</v>
      </c>
      <c r="M464" s="22" t="s">
        <v>36845</v>
      </c>
    </row>
    <row r="465" spans="1:13" x14ac:dyDescent="0.75">
      <c r="A465" t="s">
        <v>16343</v>
      </c>
      <c r="B465" t="s">
        <v>9303</v>
      </c>
      <c r="C465" t="s">
        <v>6977</v>
      </c>
      <c r="D465" t="s">
        <v>6131</v>
      </c>
      <c r="E465" t="s">
        <v>16344</v>
      </c>
      <c r="F465">
        <v>5</v>
      </c>
      <c r="G465">
        <v>3736232</v>
      </c>
      <c r="H465" t="s">
        <v>16345</v>
      </c>
      <c r="J465" s="54" t="s">
        <v>6052</v>
      </c>
      <c r="K465" s="54">
        <v>0</v>
      </c>
      <c r="L465" s="22" t="s">
        <v>144</v>
      </c>
      <c r="M465" s="22" t="s">
        <v>36847</v>
      </c>
    </row>
    <row r="466" spans="1:13" x14ac:dyDescent="0.75">
      <c r="A466" t="s">
        <v>20727</v>
      </c>
      <c r="B466" t="s">
        <v>9307</v>
      </c>
      <c r="C466" t="s">
        <v>6977</v>
      </c>
      <c r="D466" t="s">
        <v>9308</v>
      </c>
      <c r="E466" t="s">
        <v>20728</v>
      </c>
      <c r="F466">
        <v>1</v>
      </c>
      <c r="G466">
        <v>3530883</v>
      </c>
      <c r="H466" t="s">
        <v>20729</v>
      </c>
      <c r="J466" s="54" t="s">
        <v>6052</v>
      </c>
      <c r="K466" s="54">
        <v>0</v>
      </c>
      <c r="L466" s="22" t="s">
        <v>144</v>
      </c>
      <c r="M466" s="22" t="s">
        <v>36846</v>
      </c>
    </row>
    <row r="467" spans="1:13" x14ac:dyDescent="0.75">
      <c r="A467" t="s">
        <v>10330</v>
      </c>
      <c r="B467" t="s">
        <v>6976</v>
      </c>
      <c r="C467" t="s">
        <v>6977</v>
      </c>
      <c r="D467" t="s">
        <v>6978</v>
      </c>
      <c r="E467" t="s">
        <v>10331</v>
      </c>
      <c r="F467">
        <v>118</v>
      </c>
      <c r="G467">
        <v>3932397</v>
      </c>
      <c r="H467" t="s">
        <v>10332</v>
      </c>
      <c r="J467" s="54" t="s">
        <v>6052</v>
      </c>
      <c r="K467" s="54">
        <v>0</v>
      </c>
      <c r="L467" s="22" t="s">
        <v>963</v>
      </c>
      <c r="M467" s="22" t="s">
        <v>36848</v>
      </c>
    </row>
    <row r="468" spans="1:13" x14ac:dyDescent="0.75">
      <c r="A468" t="s">
        <v>15196</v>
      </c>
      <c r="B468" t="s">
        <v>8761</v>
      </c>
      <c r="C468" t="s">
        <v>6977</v>
      </c>
      <c r="D468" t="s">
        <v>8762</v>
      </c>
      <c r="E468" t="s">
        <v>15197</v>
      </c>
      <c r="F468">
        <v>1</v>
      </c>
      <c r="G468">
        <v>3089777</v>
      </c>
      <c r="H468" t="s">
        <v>15198</v>
      </c>
      <c r="J468" s="54" t="s">
        <v>6052</v>
      </c>
      <c r="K468" s="54">
        <v>0</v>
      </c>
      <c r="L468" s="22" t="s">
        <v>144</v>
      </c>
      <c r="M468" s="22" t="s">
        <v>36849</v>
      </c>
    </row>
    <row r="469" spans="1:13" x14ac:dyDescent="0.75">
      <c r="A469" t="s">
        <v>17044</v>
      </c>
      <c r="B469" t="s">
        <v>8761</v>
      </c>
      <c r="C469" t="s">
        <v>6977</v>
      </c>
      <c r="D469" t="s">
        <v>8762</v>
      </c>
      <c r="E469" t="s">
        <v>17045</v>
      </c>
      <c r="F469">
        <v>9</v>
      </c>
      <c r="G469">
        <v>3433938</v>
      </c>
      <c r="H469" t="s">
        <v>17046</v>
      </c>
      <c r="J469" s="54" t="s">
        <v>6052</v>
      </c>
      <c r="K469" s="54">
        <v>0</v>
      </c>
      <c r="L469" s="22" t="s">
        <v>144</v>
      </c>
      <c r="M469" s="22" t="s">
        <v>36849</v>
      </c>
    </row>
    <row r="470" spans="1:13" x14ac:dyDescent="0.75">
      <c r="A470" t="s">
        <v>10776</v>
      </c>
      <c r="B470" t="s">
        <v>6976</v>
      </c>
      <c r="C470" t="s">
        <v>6977</v>
      </c>
      <c r="D470" t="s">
        <v>6978</v>
      </c>
      <c r="E470" t="s">
        <v>10777</v>
      </c>
      <c r="F470">
        <v>53</v>
      </c>
      <c r="G470">
        <v>3926017</v>
      </c>
      <c r="H470" t="s">
        <v>10778</v>
      </c>
      <c r="J470" s="54" t="s">
        <v>6052</v>
      </c>
      <c r="K470" s="54">
        <v>0</v>
      </c>
      <c r="L470" s="22" t="s">
        <v>963</v>
      </c>
      <c r="M470" s="22" t="s">
        <v>36848</v>
      </c>
    </row>
    <row r="471" spans="1:13" x14ac:dyDescent="0.75">
      <c r="A471" t="s">
        <v>10764</v>
      </c>
      <c r="B471" t="s">
        <v>8467</v>
      </c>
      <c r="C471" t="s">
        <v>6977</v>
      </c>
      <c r="D471" t="s">
        <v>8468</v>
      </c>
      <c r="E471" t="s">
        <v>10765</v>
      </c>
      <c r="F471">
        <v>100</v>
      </c>
      <c r="G471">
        <v>3298884</v>
      </c>
      <c r="H471" t="s">
        <v>10766</v>
      </c>
      <c r="J471" s="54" t="s">
        <v>6052</v>
      </c>
      <c r="K471" s="54">
        <v>0</v>
      </c>
      <c r="L471" s="22" t="s">
        <v>144</v>
      </c>
      <c r="M471" s="22" t="s">
        <v>36845</v>
      </c>
    </row>
    <row r="472" spans="1:13" x14ac:dyDescent="0.75">
      <c r="A472" t="s">
        <v>8466</v>
      </c>
      <c r="B472" t="s">
        <v>8467</v>
      </c>
      <c r="C472" t="s">
        <v>6977</v>
      </c>
      <c r="D472" t="s">
        <v>8468</v>
      </c>
      <c r="E472" t="s">
        <v>8469</v>
      </c>
      <c r="F472">
        <v>252</v>
      </c>
      <c r="G472">
        <v>3353128</v>
      </c>
      <c r="H472" t="s">
        <v>8470</v>
      </c>
      <c r="J472" s="54" t="s">
        <v>6052</v>
      </c>
      <c r="K472" s="54">
        <v>0</v>
      </c>
      <c r="L472" s="22" t="s">
        <v>144</v>
      </c>
      <c r="M472" s="22" t="s">
        <v>36845</v>
      </c>
    </row>
    <row r="473" spans="1:13" x14ac:dyDescent="0.75">
      <c r="A473" t="s">
        <v>27366</v>
      </c>
      <c r="B473" t="s">
        <v>9307</v>
      </c>
      <c r="C473" t="s">
        <v>6977</v>
      </c>
      <c r="D473" t="s">
        <v>9308</v>
      </c>
      <c r="E473" t="s">
        <v>27367</v>
      </c>
      <c r="F473">
        <v>2</v>
      </c>
      <c r="G473">
        <v>3361057</v>
      </c>
      <c r="H473" t="s">
        <v>27368</v>
      </c>
      <c r="J473" s="54" t="s">
        <v>6052</v>
      </c>
      <c r="K473" s="54">
        <v>0</v>
      </c>
      <c r="L473" s="22" t="s">
        <v>144</v>
      </c>
      <c r="M473" s="22" t="s">
        <v>36846</v>
      </c>
    </row>
    <row r="474" spans="1:13" x14ac:dyDescent="0.75">
      <c r="A474" t="s">
        <v>27360</v>
      </c>
      <c r="B474" t="s">
        <v>9303</v>
      </c>
      <c r="C474" t="s">
        <v>6977</v>
      </c>
      <c r="D474" t="s">
        <v>6131</v>
      </c>
      <c r="E474" t="s">
        <v>27361</v>
      </c>
      <c r="F474">
        <v>6</v>
      </c>
      <c r="G474">
        <v>3655558</v>
      </c>
      <c r="H474" t="s">
        <v>27362</v>
      </c>
      <c r="J474" s="54" t="s">
        <v>6052</v>
      </c>
      <c r="K474" s="54">
        <v>0</v>
      </c>
      <c r="L474" s="22" t="s">
        <v>144</v>
      </c>
      <c r="M474" s="22" t="s">
        <v>36847</v>
      </c>
    </row>
    <row r="475" spans="1:13" x14ac:dyDescent="0.75">
      <c r="A475" t="s">
        <v>27363</v>
      </c>
      <c r="B475" t="s">
        <v>9307</v>
      </c>
      <c r="C475" t="s">
        <v>6977</v>
      </c>
      <c r="D475" t="s">
        <v>9308</v>
      </c>
      <c r="E475" t="s">
        <v>27364</v>
      </c>
      <c r="F475">
        <v>4</v>
      </c>
      <c r="G475">
        <v>3344648</v>
      </c>
      <c r="H475" t="s">
        <v>27365</v>
      </c>
      <c r="J475" s="54" t="s">
        <v>6052</v>
      </c>
      <c r="K475" s="54">
        <v>0</v>
      </c>
      <c r="L475" s="22" t="s">
        <v>144</v>
      </c>
      <c r="M475" s="22" t="s">
        <v>36846</v>
      </c>
    </row>
    <row r="476" spans="1:13" x14ac:dyDescent="0.75">
      <c r="A476" t="s">
        <v>28073</v>
      </c>
      <c r="B476" t="s">
        <v>8467</v>
      </c>
      <c r="C476" t="s">
        <v>6977</v>
      </c>
      <c r="D476" t="s">
        <v>8468</v>
      </c>
      <c r="E476" t="s">
        <v>28074</v>
      </c>
      <c r="F476">
        <v>2</v>
      </c>
      <c r="G476">
        <v>3495680</v>
      </c>
      <c r="H476" t="s">
        <v>28075</v>
      </c>
      <c r="J476" s="54" t="s">
        <v>6052</v>
      </c>
      <c r="K476" s="54">
        <v>0</v>
      </c>
      <c r="L476" s="22" t="s">
        <v>144</v>
      </c>
      <c r="M476" s="22" t="s">
        <v>36845</v>
      </c>
    </row>
    <row r="477" spans="1:13" x14ac:dyDescent="0.75">
      <c r="A477" t="s">
        <v>9311</v>
      </c>
      <c r="B477" t="s">
        <v>8761</v>
      </c>
      <c r="C477" t="s">
        <v>6977</v>
      </c>
      <c r="D477" t="s">
        <v>8762</v>
      </c>
      <c r="E477" t="s">
        <v>9312</v>
      </c>
      <c r="F477">
        <v>13</v>
      </c>
      <c r="G477">
        <v>3164924</v>
      </c>
      <c r="H477" t="s">
        <v>9313</v>
      </c>
      <c r="J477" s="54" t="s">
        <v>6052</v>
      </c>
      <c r="K477" s="54">
        <v>0</v>
      </c>
      <c r="L477" s="22" t="s">
        <v>144</v>
      </c>
      <c r="M477" s="22" t="s">
        <v>36849</v>
      </c>
    </row>
    <row r="478" spans="1:13" x14ac:dyDescent="0.75">
      <c r="A478" t="s">
        <v>10034</v>
      </c>
      <c r="B478" t="s">
        <v>8467</v>
      </c>
      <c r="C478" t="s">
        <v>6977</v>
      </c>
      <c r="D478" t="s">
        <v>8468</v>
      </c>
      <c r="E478" t="s">
        <v>10035</v>
      </c>
      <c r="F478">
        <v>16</v>
      </c>
      <c r="G478">
        <v>3384618</v>
      </c>
      <c r="H478" t="s">
        <v>10036</v>
      </c>
      <c r="J478" s="54" t="s">
        <v>6052</v>
      </c>
      <c r="K478" s="54">
        <v>0</v>
      </c>
      <c r="L478" s="22" t="s">
        <v>144</v>
      </c>
      <c r="M478" s="22" t="s">
        <v>36845</v>
      </c>
    </row>
    <row r="479" spans="1:13" x14ac:dyDescent="0.75">
      <c r="A479" t="s">
        <v>25290</v>
      </c>
      <c r="B479" t="s">
        <v>8761</v>
      </c>
      <c r="C479" t="s">
        <v>6977</v>
      </c>
      <c r="D479" t="s">
        <v>8762</v>
      </c>
      <c r="E479" t="s">
        <v>25291</v>
      </c>
      <c r="F479">
        <v>2</v>
      </c>
      <c r="G479">
        <v>3170212</v>
      </c>
      <c r="H479" t="s">
        <v>25292</v>
      </c>
      <c r="J479" s="54" t="s">
        <v>6052</v>
      </c>
      <c r="K479" s="54">
        <v>0</v>
      </c>
      <c r="L479" s="22" t="s">
        <v>144</v>
      </c>
      <c r="M479" s="22" t="s">
        <v>36849</v>
      </c>
    </row>
    <row r="480" spans="1:13" x14ac:dyDescent="0.75">
      <c r="A480" t="s">
        <v>8760</v>
      </c>
      <c r="B480" t="s">
        <v>8761</v>
      </c>
      <c r="C480" t="s">
        <v>6977</v>
      </c>
      <c r="D480" t="s">
        <v>8762</v>
      </c>
      <c r="E480" t="s">
        <v>8763</v>
      </c>
      <c r="F480">
        <v>21</v>
      </c>
      <c r="G480">
        <v>3209605</v>
      </c>
      <c r="H480" t="s">
        <v>8764</v>
      </c>
      <c r="J480" s="54" t="s">
        <v>6052</v>
      </c>
      <c r="K480" s="54">
        <v>0</v>
      </c>
      <c r="L480" s="22" t="s">
        <v>144</v>
      </c>
      <c r="M480" s="22" t="s">
        <v>36849</v>
      </c>
    </row>
    <row r="481" spans="1:13" x14ac:dyDescent="0.75">
      <c r="A481" t="s">
        <v>22213</v>
      </c>
      <c r="B481" t="s">
        <v>9307</v>
      </c>
      <c r="C481" t="s">
        <v>6977</v>
      </c>
      <c r="D481" t="s">
        <v>9308</v>
      </c>
      <c r="E481" t="s">
        <v>22214</v>
      </c>
      <c r="F481">
        <v>1</v>
      </c>
      <c r="G481">
        <v>3193903</v>
      </c>
      <c r="H481" t="s">
        <v>22215</v>
      </c>
      <c r="J481" s="54" t="s">
        <v>6052</v>
      </c>
      <c r="K481" s="54">
        <v>0</v>
      </c>
      <c r="L481" s="22" t="s">
        <v>144</v>
      </c>
      <c r="M481" s="22" t="s">
        <v>36846</v>
      </c>
    </row>
    <row r="482" spans="1:13" x14ac:dyDescent="0.75">
      <c r="A482" t="s">
        <v>20755</v>
      </c>
      <c r="B482" t="s">
        <v>9307</v>
      </c>
      <c r="C482" t="s">
        <v>6977</v>
      </c>
      <c r="D482" t="s">
        <v>9308</v>
      </c>
      <c r="E482" t="s">
        <v>20756</v>
      </c>
      <c r="F482">
        <v>2</v>
      </c>
      <c r="G482">
        <v>3438557</v>
      </c>
      <c r="H482" t="s">
        <v>20757</v>
      </c>
      <c r="J482" s="54" t="s">
        <v>6052</v>
      </c>
      <c r="K482" s="54">
        <v>0</v>
      </c>
      <c r="L482" s="22" t="s">
        <v>144</v>
      </c>
      <c r="M482" s="22" t="s">
        <v>36846</v>
      </c>
    </row>
    <row r="483" spans="1:13" x14ac:dyDescent="0.75">
      <c r="A483" t="s">
        <v>13603</v>
      </c>
      <c r="B483" t="s">
        <v>8467</v>
      </c>
      <c r="C483" t="s">
        <v>6977</v>
      </c>
      <c r="D483" t="s">
        <v>8468</v>
      </c>
      <c r="E483" t="s">
        <v>13604</v>
      </c>
      <c r="F483">
        <v>11</v>
      </c>
      <c r="G483">
        <v>3549925</v>
      </c>
      <c r="H483" t="s">
        <v>13605</v>
      </c>
      <c r="J483" s="54" t="s">
        <v>6052</v>
      </c>
      <c r="K483" s="54">
        <v>0</v>
      </c>
      <c r="L483" s="22" t="s">
        <v>144</v>
      </c>
      <c r="M483" s="22" t="s">
        <v>36845</v>
      </c>
    </row>
    <row r="484" spans="1:13" x14ac:dyDescent="0.75">
      <c r="A484" t="s">
        <v>4070</v>
      </c>
      <c r="B484" t="s">
        <v>1998</v>
      </c>
      <c r="C484" t="s">
        <v>6718</v>
      </c>
      <c r="D484" t="s">
        <v>14718</v>
      </c>
      <c r="E484" t="s">
        <v>22883</v>
      </c>
      <c r="F484">
        <v>56</v>
      </c>
      <c r="G484">
        <v>3403240</v>
      </c>
      <c r="H484" t="s">
        <v>22884</v>
      </c>
      <c r="J484" s="54" t="s">
        <v>6052</v>
      </c>
      <c r="K484" s="54">
        <v>0</v>
      </c>
      <c r="L484" s="22" t="s">
        <v>104</v>
      </c>
      <c r="M484" s="22" t="s">
        <v>1999</v>
      </c>
    </row>
    <row r="485" spans="1:13" x14ac:dyDescent="0.75">
      <c r="A485" t="s">
        <v>1991</v>
      </c>
      <c r="B485" t="s">
        <v>1992</v>
      </c>
      <c r="C485" t="s">
        <v>6718</v>
      </c>
      <c r="D485" t="s">
        <v>14715</v>
      </c>
      <c r="E485" t="s">
        <v>14716</v>
      </c>
      <c r="F485">
        <v>1</v>
      </c>
      <c r="G485">
        <v>3361794</v>
      </c>
      <c r="H485" t="s">
        <v>14717</v>
      </c>
      <c r="J485" s="54" t="s">
        <v>6052</v>
      </c>
      <c r="K485" s="54">
        <v>0</v>
      </c>
      <c r="L485" s="22" t="s">
        <v>104</v>
      </c>
      <c r="M485" s="22" t="s">
        <v>1993</v>
      </c>
    </row>
    <row r="486" spans="1:13" x14ac:dyDescent="0.75">
      <c r="A486" t="s">
        <v>2371</v>
      </c>
      <c r="B486" t="s">
        <v>1992</v>
      </c>
      <c r="C486" t="s">
        <v>6718</v>
      </c>
      <c r="D486" t="s">
        <v>14715</v>
      </c>
      <c r="E486" t="s">
        <v>14716</v>
      </c>
      <c r="F486">
        <v>68</v>
      </c>
      <c r="G486">
        <v>3258213</v>
      </c>
      <c r="H486" t="s">
        <v>17143</v>
      </c>
      <c r="J486" s="54" t="s">
        <v>6052</v>
      </c>
      <c r="K486" s="54">
        <v>0</v>
      </c>
      <c r="L486" s="22" t="s">
        <v>104</v>
      </c>
      <c r="M486" s="22" t="s">
        <v>1993</v>
      </c>
    </row>
    <row r="487" spans="1:13" x14ac:dyDescent="0.75">
      <c r="A487" t="s">
        <v>5891</v>
      </c>
      <c r="B487" t="s">
        <v>1992</v>
      </c>
      <c r="C487" t="s">
        <v>6718</v>
      </c>
      <c r="D487" t="s">
        <v>14715</v>
      </c>
      <c r="E487" t="s">
        <v>29975</v>
      </c>
      <c r="F487">
        <v>92</v>
      </c>
      <c r="G487">
        <v>3180430</v>
      </c>
      <c r="H487" t="s">
        <v>29976</v>
      </c>
      <c r="J487" s="54" t="s">
        <v>6052</v>
      </c>
      <c r="K487" s="54">
        <v>0</v>
      </c>
      <c r="L487" s="22" t="s">
        <v>104</v>
      </c>
      <c r="M487" s="22" t="s">
        <v>1993</v>
      </c>
    </row>
    <row r="488" spans="1:13" x14ac:dyDescent="0.75">
      <c r="A488" t="s">
        <v>29979</v>
      </c>
      <c r="B488" t="s">
        <v>9503</v>
      </c>
      <c r="C488" t="s">
        <v>9504</v>
      </c>
      <c r="D488" t="s">
        <v>9505</v>
      </c>
      <c r="E488" t="s">
        <v>29980</v>
      </c>
      <c r="F488">
        <v>675</v>
      </c>
      <c r="G488">
        <v>2612327</v>
      </c>
      <c r="H488" t="s">
        <v>29981</v>
      </c>
      <c r="J488" s="54" t="s">
        <v>6052</v>
      </c>
      <c r="K488" s="54">
        <v>0</v>
      </c>
      <c r="L488" s="22" t="s">
        <v>104</v>
      </c>
      <c r="M488" s="22" t="s">
        <v>36914</v>
      </c>
    </row>
    <row r="489" spans="1:13" x14ac:dyDescent="0.75">
      <c r="A489" t="s">
        <v>9502</v>
      </c>
      <c r="B489" t="s">
        <v>9503</v>
      </c>
      <c r="C489" t="s">
        <v>9504</v>
      </c>
      <c r="D489" t="s">
        <v>9505</v>
      </c>
      <c r="E489" t="s">
        <v>9506</v>
      </c>
      <c r="F489">
        <v>15</v>
      </c>
      <c r="G489">
        <v>2711056</v>
      </c>
      <c r="H489" t="s">
        <v>9507</v>
      </c>
      <c r="J489" s="54" t="s">
        <v>6052</v>
      </c>
      <c r="K489" s="54">
        <v>0</v>
      </c>
      <c r="L489" s="22" t="s">
        <v>104</v>
      </c>
      <c r="M489" s="22" t="s">
        <v>36914</v>
      </c>
    </row>
    <row r="490" spans="1:13" x14ac:dyDescent="0.75">
      <c r="A490" t="s">
        <v>29882</v>
      </c>
      <c r="B490" t="s">
        <v>7267</v>
      </c>
      <c r="C490" t="s">
        <v>7268</v>
      </c>
      <c r="D490" t="s">
        <v>7269</v>
      </c>
      <c r="E490" t="s">
        <v>29883</v>
      </c>
      <c r="F490">
        <v>289</v>
      </c>
      <c r="G490">
        <v>1157370</v>
      </c>
      <c r="H490" t="s">
        <v>29884</v>
      </c>
      <c r="J490" s="54" t="s">
        <v>6052</v>
      </c>
      <c r="K490" s="54">
        <v>0</v>
      </c>
      <c r="L490" s="22" t="s">
        <v>104</v>
      </c>
      <c r="M490" s="22" t="s">
        <v>36916</v>
      </c>
    </row>
    <row r="491" spans="1:13" x14ac:dyDescent="0.75">
      <c r="A491" t="s">
        <v>29043</v>
      </c>
      <c r="B491" t="s">
        <v>7267</v>
      </c>
      <c r="C491" t="s">
        <v>7268</v>
      </c>
      <c r="D491" t="s">
        <v>7269</v>
      </c>
      <c r="E491" t="s">
        <v>29044</v>
      </c>
      <c r="F491">
        <v>94</v>
      </c>
      <c r="G491">
        <v>1266912</v>
      </c>
      <c r="H491" t="s">
        <v>29045</v>
      </c>
      <c r="J491" s="54" t="s">
        <v>6052</v>
      </c>
      <c r="K491" s="54">
        <v>0</v>
      </c>
      <c r="L491" s="22" t="s">
        <v>104</v>
      </c>
      <c r="M491" s="22" t="s">
        <v>36916</v>
      </c>
    </row>
    <row r="492" spans="1:13" x14ac:dyDescent="0.75">
      <c r="A492" t="s">
        <v>7266</v>
      </c>
      <c r="B492" t="s">
        <v>7267</v>
      </c>
      <c r="C492" t="s">
        <v>7268</v>
      </c>
      <c r="D492" t="s">
        <v>7269</v>
      </c>
      <c r="E492" t="s">
        <v>7270</v>
      </c>
      <c r="F492">
        <v>16</v>
      </c>
      <c r="G492">
        <v>1419583</v>
      </c>
      <c r="H492" t="s">
        <v>7271</v>
      </c>
      <c r="J492" s="54" t="s">
        <v>6052</v>
      </c>
      <c r="K492" s="54">
        <v>0</v>
      </c>
      <c r="L492" s="22" t="s">
        <v>104</v>
      </c>
      <c r="M492" s="22" t="s">
        <v>36916</v>
      </c>
    </row>
    <row r="493" spans="1:13" x14ac:dyDescent="0.75">
      <c r="A493" t="s">
        <v>6321</v>
      </c>
      <c r="B493" t="s">
        <v>6322</v>
      </c>
      <c r="C493" t="s">
        <v>6318</v>
      </c>
      <c r="D493" t="s">
        <v>6323</v>
      </c>
      <c r="E493">
        <v>13826</v>
      </c>
      <c r="F493">
        <v>3</v>
      </c>
      <c r="G493">
        <v>2099413</v>
      </c>
      <c r="H493" t="s">
        <v>6324</v>
      </c>
      <c r="J493" s="54" t="s">
        <v>6052</v>
      </c>
      <c r="K493" s="54">
        <v>0</v>
      </c>
      <c r="L493" s="22" t="s">
        <v>104</v>
      </c>
      <c r="M493" s="22" t="s">
        <v>36919</v>
      </c>
    </row>
    <row r="494" spans="1:13" x14ac:dyDescent="0.75">
      <c r="A494" t="s">
        <v>8358</v>
      </c>
      <c r="B494" t="s">
        <v>6322</v>
      </c>
      <c r="C494" t="s">
        <v>6318</v>
      </c>
      <c r="D494" t="s">
        <v>6323</v>
      </c>
      <c r="E494" t="s">
        <v>8359</v>
      </c>
      <c r="F494">
        <v>32</v>
      </c>
      <c r="G494">
        <v>1895632</v>
      </c>
      <c r="H494" t="s">
        <v>8360</v>
      </c>
      <c r="J494" s="54" t="s">
        <v>6052</v>
      </c>
      <c r="K494" s="54">
        <v>0</v>
      </c>
      <c r="L494" s="22" t="s">
        <v>104</v>
      </c>
      <c r="M494" s="22" t="s">
        <v>36919</v>
      </c>
    </row>
    <row r="495" spans="1:13" x14ac:dyDescent="0.75">
      <c r="A495" t="s">
        <v>28402</v>
      </c>
      <c r="B495" t="s">
        <v>6322</v>
      </c>
      <c r="C495" t="s">
        <v>6318</v>
      </c>
      <c r="D495" t="s">
        <v>6323</v>
      </c>
      <c r="E495" t="s">
        <v>28403</v>
      </c>
      <c r="F495">
        <v>108</v>
      </c>
      <c r="G495">
        <v>2145119</v>
      </c>
      <c r="H495" t="s">
        <v>28404</v>
      </c>
      <c r="J495" s="54" t="s">
        <v>6052</v>
      </c>
      <c r="K495" s="54">
        <v>0</v>
      </c>
      <c r="L495" s="22" t="s">
        <v>104</v>
      </c>
      <c r="M495" s="22" t="s">
        <v>36919</v>
      </c>
    </row>
    <row r="496" spans="1:13" x14ac:dyDescent="0.75">
      <c r="A496" t="s">
        <v>28408</v>
      </c>
      <c r="B496" t="s">
        <v>6322</v>
      </c>
      <c r="C496" t="s">
        <v>6318</v>
      </c>
      <c r="D496" t="s">
        <v>6323</v>
      </c>
      <c r="E496" t="s">
        <v>28409</v>
      </c>
      <c r="F496">
        <v>33</v>
      </c>
      <c r="G496">
        <v>2030392</v>
      </c>
      <c r="H496" t="s">
        <v>28410</v>
      </c>
      <c r="J496" s="54" t="s">
        <v>6052</v>
      </c>
      <c r="K496" s="54">
        <v>0</v>
      </c>
      <c r="L496" s="22" t="s">
        <v>104</v>
      </c>
      <c r="M496" s="22" t="s">
        <v>36919</v>
      </c>
    </row>
    <row r="497" spans="1:13" x14ac:dyDescent="0.75">
      <c r="A497" t="s">
        <v>28399</v>
      </c>
      <c r="B497" t="s">
        <v>6322</v>
      </c>
      <c r="C497" t="s">
        <v>6318</v>
      </c>
      <c r="D497" t="s">
        <v>6323</v>
      </c>
      <c r="E497" t="s">
        <v>28400</v>
      </c>
      <c r="F497">
        <v>185</v>
      </c>
      <c r="G497">
        <v>2133743</v>
      </c>
      <c r="H497" t="s">
        <v>28401</v>
      </c>
      <c r="J497" s="54" t="s">
        <v>6052</v>
      </c>
      <c r="K497" s="54">
        <v>0</v>
      </c>
      <c r="L497" s="22" t="s">
        <v>104</v>
      </c>
      <c r="M497" s="22" t="s">
        <v>36919</v>
      </c>
    </row>
    <row r="498" spans="1:13" x14ac:dyDescent="0.75">
      <c r="A498" t="s">
        <v>28411</v>
      </c>
      <c r="B498" t="s">
        <v>6322</v>
      </c>
      <c r="C498" t="s">
        <v>6318</v>
      </c>
      <c r="D498" t="s">
        <v>6323</v>
      </c>
      <c r="E498" t="s">
        <v>28412</v>
      </c>
      <c r="F498">
        <v>51</v>
      </c>
      <c r="G498">
        <v>1913489</v>
      </c>
      <c r="H498" t="s">
        <v>28413</v>
      </c>
      <c r="J498" s="54" t="s">
        <v>6052</v>
      </c>
      <c r="K498" s="54">
        <v>0</v>
      </c>
      <c r="L498" s="22" t="s">
        <v>104</v>
      </c>
      <c r="M498" s="22" t="s">
        <v>36919</v>
      </c>
    </row>
    <row r="499" spans="1:13" x14ac:dyDescent="0.75">
      <c r="A499" t="s">
        <v>28426</v>
      </c>
      <c r="B499" t="s">
        <v>6322</v>
      </c>
      <c r="C499" t="s">
        <v>6318</v>
      </c>
      <c r="D499" t="s">
        <v>6323</v>
      </c>
      <c r="E499" t="s">
        <v>28427</v>
      </c>
      <c r="F499">
        <v>39</v>
      </c>
      <c r="G499">
        <v>2069805</v>
      </c>
      <c r="H499" t="s">
        <v>28428</v>
      </c>
      <c r="J499" s="54" t="s">
        <v>6052</v>
      </c>
      <c r="K499" s="54">
        <v>0</v>
      </c>
      <c r="L499" s="22" t="s">
        <v>104</v>
      </c>
      <c r="M499" s="22" t="s">
        <v>36919</v>
      </c>
    </row>
    <row r="500" spans="1:13" x14ac:dyDescent="0.75">
      <c r="A500" t="s">
        <v>28429</v>
      </c>
      <c r="B500" t="s">
        <v>6322</v>
      </c>
      <c r="C500" t="s">
        <v>6318</v>
      </c>
      <c r="D500" t="s">
        <v>6323</v>
      </c>
      <c r="E500" t="s">
        <v>28430</v>
      </c>
      <c r="F500">
        <v>58</v>
      </c>
      <c r="G500">
        <v>1951669</v>
      </c>
      <c r="H500" t="s">
        <v>28431</v>
      </c>
      <c r="J500" s="54" t="s">
        <v>6052</v>
      </c>
      <c r="K500" s="54">
        <v>0</v>
      </c>
      <c r="L500" s="22" t="s">
        <v>104</v>
      </c>
      <c r="M500" s="22" t="s">
        <v>36919</v>
      </c>
    </row>
    <row r="501" spans="1:13" x14ac:dyDescent="0.75">
      <c r="A501" t="s">
        <v>28420</v>
      </c>
      <c r="B501" t="s">
        <v>6322</v>
      </c>
      <c r="C501" t="s">
        <v>6318</v>
      </c>
      <c r="D501" t="s">
        <v>6323</v>
      </c>
      <c r="E501" t="s">
        <v>28421</v>
      </c>
      <c r="F501">
        <v>34</v>
      </c>
      <c r="G501">
        <v>2051300</v>
      </c>
      <c r="H501" t="s">
        <v>28422</v>
      </c>
      <c r="J501" s="54" t="s">
        <v>6052</v>
      </c>
      <c r="K501" s="54">
        <v>0</v>
      </c>
      <c r="L501" s="22" t="s">
        <v>104</v>
      </c>
      <c r="M501" s="22" t="s">
        <v>36919</v>
      </c>
    </row>
    <row r="502" spans="1:13" x14ac:dyDescent="0.75">
      <c r="A502" t="s">
        <v>28417</v>
      </c>
      <c r="B502" t="s">
        <v>6322</v>
      </c>
      <c r="C502" t="s">
        <v>6318</v>
      </c>
      <c r="D502" t="s">
        <v>6323</v>
      </c>
      <c r="E502" t="s">
        <v>28418</v>
      </c>
      <c r="F502">
        <v>54</v>
      </c>
      <c r="G502">
        <v>1997691</v>
      </c>
      <c r="H502" t="s">
        <v>28419</v>
      </c>
      <c r="J502" s="54" t="s">
        <v>6052</v>
      </c>
      <c r="K502" s="54">
        <v>0</v>
      </c>
      <c r="L502" s="22" t="s">
        <v>104</v>
      </c>
      <c r="M502" s="22" t="s">
        <v>36919</v>
      </c>
    </row>
    <row r="503" spans="1:13" x14ac:dyDescent="0.75">
      <c r="A503" t="s">
        <v>28414</v>
      </c>
      <c r="B503" t="s">
        <v>6322</v>
      </c>
      <c r="C503" t="s">
        <v>6318</v>
      </c>
      <c r="D503" t="s">
        <v>6323</v>
      </c>
      <c r="E503" t="s">
        <v>28415</v>
      </c>
      <c r="F503">
        <v>69</v>
      </c>
      <c r="G503">
        <v>1953836</v>
      </c>
      <c r="H503" t="s">
        <v>28416</v>
      </c>
      <c r="J503" s="54" t="s">
        <v>6052</v>
      </c>
      <c r="K503" s="54">
        <v>0</v>
      </c>
      <c r="L503" s="22" t="s">
        <v>104</v>
      </c>
      <c r="M503" s="22" t="s">
        <v>36919</v>
      </c>
    </row>
    <row r="504" spans="1:13" x14ac:dyDescent="0.75">
      <c r="A504" t="s">
        <v>28423</v>
      </c>
      <c r="B504" t="s">
        <v>6322</v>
      </c>
      <c r="C504" t="s">
        <v>6318</v>
      </c>
      <c r="D504" t="s">
        <v>6323</v>
      </c>
      <c r="E504" t="s">
        <v>28424</v>
      </c>
      <c r="F504">
        <v>53</v>
      </c>
      <c r="G504">
        <v>2128539</v>
      </c>
      <c r="H504" t="s">
        <v>28425</v>
      </c>
      <c r="J504" s="54" t="s">
        <v>6052</v>
      </c>
      <c r="K504" s="54">
        <v>0</v>
      </c>
      <c r="L504" s="22" t="s">
        <v>104</v>
      </c>
      <c r="M504" s="22" t="s">
        <v>36919</v>
      </c>
    </row>
    <row r="505" spans="1:13" x14ac:dyDescent="0.75">
      <c r="A505" t="s">
        <v>28432</v>
      </c>
      <c r="B505" t="s">
        <v>6322</v>
      </c>
      <c r="C505" t="s">
        <v>6318</v>
      </c>
      <c r="D505" t="s">
        <v>6323</v>
      </c>
      <c r="E505" t="s">
        <v>28433</v>
      </c>
      <c r="F505">
        <v>54</v>
      </c>
      <c r="G505">
        <v>2104638</v>
      </c>
      <c r="H505" t="s">
        <v>28434</v>
      </c>
      <c r="J505" s="54" t="s">
        <v>6052</v>
      </c>
      <c r="K505" s="54">
        <v>0</v>
      </c>
      <c r="L505" s="22" t="s">
        <v>104</v>
      </c>
      <c r="M505" s="22" t="s">
        <v>36919</v>
      </c>
    </row>
    <row r="506" spans="1:13" x14ac:dyDescent="0.75">
      <c r="A506" t="s">
        <v>28435</v>
      </c>
      <c r="B506" t="s">
        <v>6322</v>
      </c>
      <c r="C506" t="s">
        <v>6318</v>
      </c>
      <c r="D506" t="s">
        <v>6323</v>
      </c>
      <c r="E506" t="s">
        <v>28436</v>
      </c>
      <c r="F506">
        <v>55</v>
      </c>
      <c r="G506">
        <v>2051445</v>
      </c>
      <c r="H506" t="s">
        <v>28437</v>
      </c>
      <c r="J506" s="54" t="s">
        <v>6052</v>
      </c>
      <c r="K506" s="54">
        <v>0</v>
      </c>
      <c r="L506" s="22" t="s">
        <v>104</v>
      </c>
      <c r="M506" s="22" t="s">
        <v>36919</v>
      </c>
    </row>
    <row r="507" spans="1:13" x14ac:dyDescent="0.75">
      <c r="A507" t="s">
        <v>14498</v>
      </c>
      <c r="B507" t="s">
        <v>6322</v>
      </c>
      <c r="C507" t="s">
        <v>6318</v>
      </c>
      <c r="D507" t="s">
        <v>6323</v>
      </c>
      <c r="E507" t="s">
        <v>14499</v>
      </c>
      <c r="F507">
        <v>56</v>
      </c>
      <c r="G507">
        <v>1895385</v>
      </c>
      <c r="H507" t="s">
        <v>14500</v>
      </c>
      <c r="J507" s="54" t="s">
        <v>6052</v>
      </c>
      <c r="K507" s="54">
        <v>0</v>
      </c>
      <c r="L507" s="22" t="s">
        <v>104</v>
      </c>
      <c r="M507" s="22" t="s">
        <v>36919</v>
      </c>
    </row>
    <row r="508" spans="1:13" x14ac:dyDescent="0.75">
      <c r="A508" t="s">
        <v>14501</v>
      </c>
      <c r="B508" t="s">
        <v>6322</v>
      </c>
      <c r="C508" t="s">
        <v>6318</v>
      </c>
      <c r="D508" t="s">
        <v>6323</v>
      </c>
      <c r="E508" t="s">
        <v>14502</v>
      </c>
      <c r="F508">
        <v>66</v>
      </c>
      <c r="G508">
        <v>1910929</v>
      </c>
      <c r="H508" t="s">
        <v>14503</v>
      </c>
      <c r="J508" s="54" t="s">
        <v>6052</v>
      </c>
      <c r="K508" s="54">
        <v>0</v>
      </c>
      <c r="L508" s="22" t="s">
        <v>104</v>
      </c>
      <c r="M508" s="22" t="s">
        <v>36919</v>
      </c>
    </row>
    <row r="509" spans="1:13" x14ac:dyDescent="0.75">
      <c r="A509" t="s">
        <v>14504</v>
      </c>
      <c r="B509" t="s">
        <v>6322</v>
      </c>
      <c r="C509" t="s">
        <v>6318</v>
      </c>
      <c r="D509" t="s">
        <v>6323</v>
      </c>
      <c r="E509" t="s">
        <v>14505</v>
      </c>
      <c r="F509">
        <v>98</v>
      </c>
      <c r="G509">
        <v>1900837</v>
      </c>
      <c r="H509" t="s">
        <v>14506</v>
      </c>
      <c r="J509" s="54" t="s">
        <v>6052</v>
      </c>
      <c r="K509" s="54">
        <v>0</v>
      </c>
      <c r="L509" s="22" t="s">
        <v>104</v>
      </c>
      <c r="M509" s="22" t="s">
        <v>36919</v>
      </c>
    </row>
    <row r="510" spans="1:13" x14ac:dyDescent="0.75">
      <c r="A510" t="s">
        <v>14594</v>
      </c>
      <c r="B510" t="s">
        <v>6322</v>
      </c>
      <c r="C510" t="s">
        <v>6318</v>
      </c>
      <c r="D510" t="s">
        <v>6323</v>
      </c>
      <c r="E510" t="s">
        <v>14595</v>
      </c>
      <c r="F510">
        <v>55</v>
      </c>
      <c r="G510">
        <v>2004369</v>
      </c>
      <c r="H510" t="s">
        <v>14596</v>
      </c>
      <c r="J510" s="54" t="s">
        <v>6052</v>
      </c>
      <c r="K510" s="54">
        <v>0</v>
      </c>
      <c r="L510" s="22" t="s">
        <v>104</v>
      </c>
      <c r="M510" s="22" t="s">
        <v>36919</v>
      </c>
    </row>
    <row r="511" spans="1:13" x14ac:dyDescent="0.75">
      <c r="A511" t="s">
        <v>14564</v>
      </c>
      <c r="B511" t="s">
        <v>6322</v>
      </c>
      <c r="C511" t="s">
        <v>6318</v>
      </c>
      <c r="D511" t="s">
        <v>6323</v>
      </c>
      <c r="E511" t="s">
        <v>14565</v>
      </c>
      <c r="F511">
        <v>29</v>
      </c>
      <c r="G511">
        <v>2034805</v>
      </c>
      <c r="H511" t="s">
        <v>14566</v>
      </c>
      <c r="J511" s="54" t="s">
        <v>6052</v>
      </c>
      <c r="K511" s="54">
        <v>0</v>
      </c>
      <c r="L511" s="22" t="s">
        <v>104</v>
      </c>
      <c r="M511" s="22" t="s">
        <v>36919</v>
      </c>
    </row>
    <row r="512" spans="1:13" x14ac:dyDescent="0.75">
      <c r="A512" t="s">
        <v>14549</v>
      </c>
      <c r="B512" t="s">
        <v>6322</v>
      </c>
      <c r="C512" t="s">
        <v>6318</v>
      </c>
      <c r="D512" t="s">
        <v>6323</v>
      </c>
      <c r="E512" t="s">
        <v>14550</v>
      </c>
      <c r="F512">
        <v>46</v>
      </c>
      <c r="G512">
        <v>2003321</v>
      </c>
      <c r="H512" t="s">
        <v>14551</v>
      </c>
      <c r="J512" s="54" t="s">
        <v>6052</v>
      </c>
      <c r="K512" s="54">
        <v>0</v>
      </c>
      <c r="L512" s="22" t="s">
        <v>104</v>
      </c>
      <c r="M512" s="22" t="s">
        <v>36919</v>
      </c>
    </row>
    <row r="513" spans="1:13" x14ac:dyDescent="0.75">
      <c r="A513" t="s">
        <v>14558</v>
      </c>
      <c r="B513" t="s">
        <v>6322</v>
      </c>
      <c r="C513" t="s">
        <v>6318</v>
      </c>
      <c r="D513" t="s">
        <v>6323</v>
      </c>
      <c r="E513" t="s">
        <v>14559</v>
      </c>
      <c r="F513">
        <v>203</v>
      </c>
      <c r="G513">
        <v>2073774</v>
      </c>
      <c r="H513" t="s">
        <v>14560</v>
      </c>
      <c r="J513" s="54" t="s">
        <v>6052</v>
      </c>
      <c r="K513" s="54">
        <v>0</v>
      </c>
      <c r="L513" s="22" t="s">
        <v>104</v>
      </c>
      <c r="M513" s="22" t="s">
        <v>36919</v>
      </c>
    </row>
    <row r="514" spans="1:13" x14ac:dyDescent="0.75">
      <c r="A514" t="s">
        <v>14528</v>
      </c>
      <c r="B514" t="s">
        <v>6322</v>
      </c>
      <c r="C514" t="s">
        <v>6318</v>
      </c>
      <c r="D514" t="s">
        <v>6323</v>
      </c>
      <c r="E514" t="s">
        <v>14529</v>
      </c>
      <c r="F514">
        <v>56</v>
      </c>
      <c r="G514">
        <v>1911784</v>
      </c>
      <c r="H514" t="s">
        <v>14530</v>
      </c>
      <c r="J514" s="54" t="s">
        <v>6052</v>
      </c>
      <c r="K514" s="54">
        <v>0</v>
      </c>
      <c r="L514" s="22" t="s">
        <v>104</v>
      </c>
      <c r="M514" s="22" t="s">
        <v>36919</v>
      </c>
    </row>
    <row r="515" spans="1:13" x14ac:dyDescent="0.75">
      <c r="A515" t="s">
        <v>14591</v>
      </c>
      <c r="B515" t="s">
        <v>6322</v>
      </c>
      <c r="C515" t="s">
        <v>6318</v>
      </c>
      <c r="D515" t="s">
        <v>6323</v>
      </c>
      <c r="E515" t="s">
        <v>14592</v>
      </c>
      <c r="F515">
        <v>58</v>
      </c>
      <c r="G515">
        <v>2045531</v>
      </c>
      <c r="H515" t="s">
        <v>14593</v>
      </c>
      <c r="J515" s="54" t="s">
        <v>6052</v>
      </c>
      <c r="K515" s="54">
        <v>0</v>
      </c>
      <c r="L515" s="22" t="s">
        <v>104</v>
      </c>
      <c r="M515" s="22" t="s">
        <v>36919</v>
      </c>
    </row>
    <row r="516" spans="1:13" x14ac:dyDescent="0.75">
      <c r="A516" t="s">
        <v>14567</v>
      </c>
      <c r="B516" t="s">
        <v>6322</v>
      </c>
      <c r="C516" t="s">
        <v>6318</v>
      </c>
      <c r="D516" t="s">
        <v>6323</v>
      </c>
      <c r="E516" t="s">
        <v>14568</v>
      </c>
      <c r="F516">
        <v>51</v>
      </c>
      <c r="G516">
        <v>2046564</v>
      </c>
      <c r="H516" t="s">
        <v>14569</v>
      </c>
      <c r="J516" s="54" t="s">
        <v>6052</v>
      </c>
      <c r="K516" s="54">
        <v>0</v>
      </c>
      <c r="L516" s="22" t="s">
        <v>104</v>
      </c>
      <c r="M516" s="22" t="s">
        <v>36919</v>
      </c>
    </row>
    <row r="517" spans="1:13" x14ac:dyDescent="0.75">
      <c r="A517" t="s">
        <v>14573</v>
      </c>
      <c r="B517" t="s">
        <v>6322</v>
      </c>
      <c r="C517" t="s">
        <v>6318</v>
      </c>
      <c r="D517" t="s">
        <v>6323</v>
      </c>
      <c r="E517" t="s">
        <v>14574</v>
      </c>
      <c r="F517">
        <v>57</v>
      </c>
      <c r="G517">
        <v>1819775</v>
      </c>
      <c r="H517" t="s">
        <v>14575</v>
      </c>
      <c r="J517" s="54" t="s">
        <v>6052</v>
      </c>
      <c r="K517" s="54">
        <v>0</v>
      </c>
      <c r="L517" s="22" t="s">
        <v>104</v>
      </c>
      <c r="M517" s="22" t="s">
        <v>36919</v>
      </c>
    </row>
    <row r="518" spans="1:13" x14ac:dyDescent="0.75">
      <c r="A518" t="s">
        <v>14486</v>
      </c>
      <c r="B518" t="s">
        <v>6322</v>
      </c>
      <c r="C518" t="s">
        <v>6318</v>
      </c>
      <c r="D518" t="s">
        <v>6323</v>
      </c>
      <c r="E518" t="s">
        <v>14487</v>
      </c>
      <c r="F518">
        <v>97</v>
      </c>
      <c r="G518">
        <v>2003790</v>
      </c>
      <c r="H518" t="s">
        <v>14488</v>
      </c>
      <c r="J518" s="54" t="s">
        <v>6052</v>
      </c>
      <c r="K518" s="54">
        <v>0</v>
      </c>
      <c r="L518" s="22" t="s">
        <v>104</v>
      </c>
      <c r="M518" s="22" t="s">
        <v>36919</v>
      </c>
    </row>
    <row r="519" spans="1:13" x14ac:dyDescent="0.75">
      <c r="A519" t="s">
        <v>14531</v>
      </c>
      <c r="B519" t="s">
        <v>6322</v>
      </c>
      <c r="C519" t="s">
        <v>6318</v>
      </c>
      <c r="D519" t="s">
        <v>6323</v>
      </c>
      <c r="E519" t="s">
        <v>14532</v>
      </c>
      <c r="F519">
        <v>53</v>
      </c>
      <c r="G519">
        <v>1931293</v>
      </c>
      <c r="H519" t="s">
        <v>14533</v>
      </c>
      <c r="J519" s="54" t="s">
        <v>6052</v>
      </c>
      <c r="K519" s="54">
        <v>0</v>
      </c>
      <c r="L519" s="22" t="s">
        <v>104</v>
      </c>
      <c r="M519" s="22" t="s">
        <v>36919</v>
      </c>
    </row>
    <row r="520" spans="1:13" x14ac:dyDescent="0.75">
      <c r="A520" t="s">
        <v>14534</v>
      </c>
      <c r="B520" t="s">
        <v>6322</v>
      </c>
      <c r="C520" t="s">
        <v>6318</v>
      </c>
      <c r="D520" t="s">
        <v>6323</v>
      </c>
      <c r="E520" t="s">
        <v>14535</v>
      </c>
      <c r="F520">
        <v>45</v>
      </c>
      <c r="G520">
        <v>1927468</v>
      </c>
      <c r="H520" t="s">
        <v>14536</v>
      </c>
      <c r="J520" s="54" t="s">
        <v>6052</v>
      </c>
      <c r="K520" s="54">
        <v>0</v>
      </c>
      <c r="L520" s="22" t="s">
        <v>104</v>
      </c>
      <c r="M520" s="22" t="s">
        <v>36919</v>
      </c>
    </row>
    <row r="521" spans="1:13" x14ac:dyDescent="0.75">
      <c r="A521" t="s">
        <v>14540</v>
      </c>
      <c r="B521" t="s">
        <v>6322</v>
      </c>
      <c r="C521" t="s">
        <v>6318</v>
      </c>
      <c r="D521" t="s">
        <v>6323</v>
      </c>
      <c r="E521" t="s">
        <v>14541</v>
      </c>
      <c r="F521">
        <v>47</v>
      </c>
      <c r="G521">
        <v>1938662</v>
      </c>
      <c r="H521" t="s">
        <v>14542</v>
      </c>
      <c r="J521" s="54" t="s">
        <v>6052</v>
      </c>
      <c r="K521" s="54">
        <v>0</v>
      </c>
      <c r="L521" s="22" t="s">
        <v>104</v>
      </c>
      <c r="M521" s="22" t="s">
        <v>36919</v>
      </c>
    </row>
    <row r="522" spans="1:13" x14ac:dyDescent="0.75">
      <c r="A522" t="s">
        <v>14537</v>
      </c>
      <c r="B522" t="s">
        <v>6322</v>
      </c>
      <c r="C522" t="s">
        <v>6318</v>
      </c>
      <c r="D522" t="s">
        <v>6323</v>
      </c>
      <c r="E522" t="s">
        <v>14538</v>
      </c>
      <c r="F522">
        <v>57</v>
      </c>
      <c r="G522">
        <v>1935991</v>
      </c>
      <c r="H522" t="s">
        <v>14539</v>
      </c>
      <c r="J522" s="54" t="s">
        <v>6052</v>
      </c>
      <c r="K522" s="54">
        <v>0</v>
      </c>
      <c r="L522" s="22" t="s">
        <v>104</v>
      </c>
      <c r="M522" s="22" t="s">
        <v>36919</v>
      </c>
    </row>
    <row r="523" spans="1:13" x14ac:dyDescent="0.75">
      <c r="A523" t="s">
        <v>14555</v>
      </c>
      <c r="B523" t="s">
        <v>6322</v>
      </c>
      <c r="C523" t="s">
        <v>6318</v>
      </c>
      <c r="D523" t="s">
        <v>6323</v>
      </c>
      <c r="E523" t="s">
        <v>14556</v>
      </c>
      <c r="F523">
        <v>206</v>
      </c>
      <c r="G523">
        <v>2036019</v>
      </c>
      <c r="H523" t="s">
        <v>14557</v>
      </c>
      <c r="J523" s="54" t="s">
        <v>6052</v>
      </c>
      <c r="K523" s="54">
        <v>0</v>
      </c>
      <c r="L523" s="22" t="s">
        <v>104</v>
      </c>
      <c r="M523" s="22" t="s">
        <v>36919</v>
      </c>
    </row>
    <row r="524" spans="1:13" x14ac:dyDescent="0.75">
      <c r="A524" t="s">
        <v>14543</v>
      </c>
      <c r="B524" t="s">
        <v>6322</v>
      </c>
      <c r="C524" t="s">
        <v>6318</v>
      </c>
      <c r="D524" t="s">
        <v>6323</v>
      </c>
      <c r="E524" t="s">
        <v>14544</v>
      </c>
      <c r="F524">
        <v>69</v>
      </c>
      <c r="G524">
        <v>1866885</v>
      </c>
      <c r="H524" t="s">
        <v>14545</v>
      </c>
      <c r="J524" s="54" t="s">
        <v>6052</v>
      </c>
      <c r="K524" s="54">
        <v>0</v>
      </c>
      <c r="L524" s="22" t="s">
        <v>104</v>
      </c>
      <c r="M524" s="22" t="s">
        <v>36919</v>
      </c>
    </row>
    <row r="525" spans="1:13" x14ac:dyDescent="0.75">
      <c r="A525" t="s">
        <v>14489</v>
      </c>
      <c r="B525" t="s">
        <v>6322</v>
      </c>
      <c r="C525" t="s">
        <v>6318</v>
      </c>
      <c r="D525" t="s">
        <v>6323</v>
      </c>
      <c r="E525" t="s">
        <v>14490</v>
      </c>
      <c r="F525">
        <v>73</v>
      </c>
      <c r="G525">
        <v>1945076</v>
      </c>
      <c r="H525" t="s">
        <v>14491</v>
      </c>
      <c r="J525" s="54" t="s">
        <v>6052</v>
      </c>
      <c r="K525" s="54">
        <v>0</v>
      </c>
      <c r="L525" s="22" t="s">
        <v>104</v>
      </c>
      <c r="M525" s="22" t="s">
        <v>36919</v>
      </c>
    </row>
    <row r="526" spans="1:13" x14ac:dyDescent="0.75">
      <c r="A526" t="s">
        <v>14495</v>
      </c>
      <c r="B526" t="s">
        <v>6322</v>
      </c>
      <c r="C526" t="s">
        <v>6318</v>
      </c>
      <c r="D526" t="s">
        <v>6323</v>
      </c>
      <c r="E526" t="s">
        <v>14496</v>
      </c>
      <c r="F526">
        <v>93</v>
      </c>
      <c r="G526">
        <v>1923545</v>
      </c>
      <c r="H526" t="s">
        <v>14497</v>
      </c>
      <c r="J526" s="54" t="s">
        <v>6052</v>
      </c>
      <c r="K526" s="54">
        <v>0</v>
      </c>
      <c r="L526" s="22" t="s">
        <v>104</v>
      </c>
      <c r="M526" s="22" t="s">
        <v>36919</v>
      </c>
    </row>
    <row r="527" spans="1:13" x14ac:dyDescent="0.75">
      <c r="A527" t="s">
        <v>14570</v>
      </c>
      <c r="B527" t="s">
        <v>6322</v>
      </c>
      <c r="C527" t="s">
        <v>6318</v>
      </c>
      <c r="D527" t="s">
        <v>6323</v>
      </c>
      <c r="E527" t="s">
        <v>14571</v>
      </c>
      <c r="F527">
        <v>212</v>
      </c>
      <c r="G527">
        <v>1928844</v>
      </c>
      <c r="H527" t="s">
        <v>14572</v>
      </c>
      <c r="J527" s="54" t="s">
        <v>6052</v>
      </c>
      <c r="K527" s="54">
        <v>0</v>
      </c>
      <c r="L527" s="22" t="s">
        <v>104</v>
      </c>
      <c r="M527" s="22" t="s">
        <v>36919</v>
      </c>
    </row>
    <row r="528" spans="1:13" x14ac:dyDescent="0.75">
      <c r="A528" t="s">
        <v>14492</v>
      </c>
      <c r="B528" t="s">
        <v>6322</v>
      </c>
      <c r="C528" t="s">
        <v>6318</v>
      </c>
      <c r="D528" t="s">
        <v>6323</v>
      </c>
      <c r="E528" t="s">
        <v>14493</v>
      </c>
      <c r="F528">
        <v>61</v>
      </c>
      <c r="G528">
        <v>1971116</v>
      </c>
      <c r="H528" t="s">
        <v>14494</v>
      </c>
      <c r="J528" s="54" t="s">
        <v>6052</v>
      </c>
      <c r="K528" s="54">
        <v>0</v>
      </c>
      <c r="L528" s="22" t="s">
        <v>104</v>
      </c>
      <c r="M528" s="22" t="s">
        <v>36919</v>
      </c>
    </row>
    <row r="529" spans="1:13" x14ac:dyDescent="0.75">
      <c r="A529" t="s">
        <v>14546</v>
      </c>
      <c r="B529" t="s">
        <v>6322</v>
      </c>
      <c r="C529" t="s">
        <v>6318</v>
      </c>
      <c r="D529" t="s">
        <v>6323</v>
      </c>
      <c r="E529" t="s">
        <v>14547</v>
      </c>
      <c r="F529">
        <v>52</v>
      </c>
      <c r="G529">
        <v>1784370</v>
      </c>
      <c r="H529" t="s">
        <v>14548</v>
      </c>
      <c r="J529" s="54" t="s">
        <v>6052</v>
      </c>
      <c r="K529" s="54">
        <v>0</v>
      </c>
      <c r="L529" s="22" t="s">
        <v>104</v>
      </c>
      <c r="M529" s="22" t="s">
        <v>36919</v>
      </c>
    </row>
    <row r="530" spans="1:13" x14ac:dyDescent="0.75">
      <c r="A530" t="s">
        <v>14579</v>
      </c>
      <c r="B530" t="s">
        <v>6322</v>
      </c>
      <c r="C530" t="s">
        <v>6318</v>
      </c>
      <c r="D530" t="s">
        <v>6323</v>
      </c>
      <c r="E530" t="s">
        <v>14580</v>
      </c>
      <c r="F530">
        <v>54</v>
      </c>
      <c r="G530">
        <v>1766858</v>
      </c>
      <c r="H530" t="s">
        <v>14581</v>
      </c>
      <c r="J530" s="54" t="s">
        <v>6052</v>
      </c>
      <c r="K530" s="54">
        <v>0</v>
      </c>
      <c r="L530" s="22" t="s">
        <v>104</v>
      </c>
      <c r="M530" s="22" t="s">
        <v>36919</v>
      </c>
    </row>
    <row r="531" spans="1:13" x14ac:dyDescent="0.75">
      <c r="A531" t="s">
        <v>14552</v>
      </c>
      <c r="B531" t="s">
        <v>6322</v>
      </c>
      <c r="C531" t="s">
        <v>6318</v>
      </c>
      <c r="D531" t="s">
        <v>6323</v>
      </c>
      <c r="E531" t="s">
        <v>14553</v>
      </c>
      <c r="F531">
        <v>133</v>
      </c>
      <c r="G531">
        <v>1887759</v>
      </c>
      <c r="H531" t="s">
        <v>14554</v>
      </c>
      <c r="J531" s="54" t="s">
        <v>6052</v>
      </c>
      <c r="K531" s="54">
        <v>0</v>
      </c>
      <c r="L531" s="22" t="s">
        <v>104</v>
      </c>
      <c r="M531" s="22" t="s">
        <v>36919</v>
      </c>
    </row>
    <row r="532" spans="1:13" x14ac:dyDescent="0.75">
      <c r="A532" t="s">
        <v>9749</v>
      </c>
      <c r="B532" t="s">
        <v>6322</v>
      </c>
      <c r="C532" t="s">
        <v>6318</v>
      </c>
      <c r="D532" t="s">
        <v>6323</v>
      </c>
      <c r="E532" t="s">
        <v>9750</v>
      </c>
      <c r="F532">
        <v>69</v>
      </c>
      <c r="G532">
        <v>1995701</v>
      </c>
      <c r="H532" t="s">
        <v>9751</v>
      </c>
      <c r="J532" s="54" t="s">
        <v>6052</v>
      </c>
      <c r="K532" s="54">
        <v>0</v>
      </c>
      <c r="L532" s="22" t="s">
        <v>104</v>
      </c>
      <c r="M532" s="22" t="s">
        <v>36919</v>
      </c>
    </row>
    <row r="533" spans="1:13" x14ac:dyDescent="0.75">
      <c r="A533" t="s">
        <v>28441</v>
      </c>
      <c r="B533" t="s">
        <v>6322</v>
      </c>
      <c r="C533" t="s">
        <v>6318</v>
      </c>
      <c r="D533" t="s">
        <v>6323</v>
      </c>
      <c r="E533" t="s">
        <v>28442</v>
      </c>
      <c r="F533">
        <v>285</v>
      </c>
      <c r="G533">
        <v>2288052</v>
      </c>
      <c r="H533" t="s">
        <v>28443</v>
      </c>
      <c r="J533" s="54" t="s">
        <v>6052</v>
      </c>
      <c r="K533" s="54">
        <v>0</v>
      </c>
      <c r="L533" s="22" t="s">
        <v>104</v>
      </c>
      <c r="M533" s="22" t="s">
        <v>36919</v>
      </c>
    </row>
    <row r="534" spans="1:13" x14ac:dyDescent="0.75">
      <c r="A534" t="s">
        <v>28438</v>
      </c>
      <c r="B534" t="s">
        <v>6322</v>
      </c>
      <c r="C534" t="s">
        <v>6318</v>
      </c>
      <c r="D534" t="s">
        <v>6323</v>
      </c>
      <c r="E534" t="s">
        <v>28439</v>
      </c>
      <c r="F534">
        <v>39</v>
      </c>
      <c r="G534">
        <v>2090450</v>
      </c>
      <c r="H534" t="s">
        <v>28440</v>
      </c>
      <c r="J534" s="54" t="s">
        <v>6052</v>
      </c>
      <c r="K534" s="54">
        <v>0</v>
      </c>
      <c r="L534" s="22" t="s">
        <v>104</v>
      </c>
      <c r="M534" s="22" t="s">
        <v>36919</v>
      </c>
    </row>
    <row r="535" spans="1:13" x14ac:dyDescent="0.75">
      <c r="A535" t="s">
        <v>28447</v>
      </c>
      <c r="B535" t="s">
        <v>6322</v>
      </c>
      <c r="C535" t="s">
        <v>6318</v>
      </c>
      <c r="D535" t="s">
        <v>6323</v>
      </c>
      <c r="E535" t="s">
        <v>28448</v>
      </c>
      <c r="F535">
        <v>46</v>
      </c>
      <c r="G535">
        <v>2048069</v>
      </c>
      <c r="H535" t="s">
        <v>28449</v>
      </c>
      <c r="J535" s="54" t="s">
        <v>6052</v>
      </c>
      <c r="K535" s="54">
        <v>0</v>
      </c>
      <c r="L535" s="22" t="s">
        <v>104</v>
      </c>
      <c r="M535" s="22" t="s">
        <v>36919</v>
      </c>
    </row>
    <row r="536" spans="1:13" x14ac:dyDescent="0.75">
      <c r="A536" t="s">
        <v>28148</v>
      </c>
      <c r="B536" t="s">
        <v>6322</v>
      </c>
      <c r="C536" t="s">
        <v>6318</v>
      </c>
      <c r="D536" t="s">
        <v>6323</v>
      </c>
      <c r="E536" t="s">
        <v>28149</v>
      </c>
      <c r="F536">
        <v>31</v>
      </c>
      <c r="G536">
        <v>1990492</v>
      </c>
      <c r="H536" t="s">
        <v>28150</v>
      </c>
      <c r="J536" s="54" t="s">
        <v>6052</v>
      </c>
      <c r="K536" s="54">
        <v>0</v>
      </c>
      <c r="L536" s="22" t="s">
        <v>104</v>
      </c>
      <c r="M536" s="22" t="s">
        <v>36919</v>
      </c>
    </row>
    <row r="537" spans="1:13" x14ac:dyDescent="0.75">
      <c r="A537" t="s">
        <v>13648</v>
      </c>
      <c r="B537" t="s">
        <v>6322</v>
      </c>
      <c r="C537" t="s">
        <v>6318</v>
      </c>
      <c r="D537" t="s">
        <v>6323</v>
      </c>
      <c r="E537" t="s">
        <v>13649</v>
      </c>
      <c r="F537">
        <v>44</v>
      </c>
      <c r="G537">
        <v>2105146</v>
      </c>
      <c r="H537" t="s">
        <v>13650</v>
      </c>
      <c r="J537" s="54" t="s">
        <v>6052</v>
      </c>
      <c r="K537" s="54">
        <v>0</v>
      </c>
      <c r="L537" s="22" t="s">
        <v>104</v>
      </c>
      <c r="M537" s="22" t="s">
        <v>36919</v>
      </c>
    </row>
    <row r="538" spans="1:13" x14ac:dyDescent="0.75">
      <c r="A538" t="s">
        <v>19140</v>
      </c>
      <c r="B538" t="s">
        <v>6322</v>
      </c>
      <c r="C538" t="s">
        <v>6318</v>
      </c>
      <c r="D538" t="s">
        <v>6323</v>
      </c>
      <c r="E538" t="s">
        <v>19141</v>
      </c>
      <c r="F538">
        <v>3</v>
      </c>
      <c r="G538">
        <v>1985565</v>
      </c>
      <c r="H538" t="s">
        <v>19142</v>
      </c>
      <c r="J538" s="54" t="s">
        <v>6052</v>
      </c>
      <c r="K538" s="54">
        <v>0</v>
      </c>
      <c r="L538" s="22" t="s">
        <v>104</v>
      </c>
      <c r="M538" s="22" t="s">
        <v>36919</v>
      </c>
    </row>
    <row r="539" spans="1:13" x14ac:dyDescent="0.75">
      <c r="A539" t="s">
        <v>14972</v>
      </c>
      <c r="B539" t="s">
        <v>6322</v>
      </c>
      <c r="C539" t="s">
        <v>6318</v>
      </c>
      <c r="D539" t="s">
        <v>6323</v>
      </c>
      <c r="E539" t="s">
        <v>14973</v>
      </c>
      <c r="F539">
        <v>27</v>
      </c>
      <c r="G539">
        <v>1980595</v>
      </c>
      <c r="H539" t="s">
        <v>14974</v>
      </c>
      <c r="J539" s="54" t="s">
        <v>6052</v>
      </c>
      <c r="K539" s="54">
        <v>0</v>
      </c>
      <c r="L539" s="22" t="s">
        <v>104</v>
      </c>
      <c r="M539" s="22" t="s">
        <v>36919</v>
      </c>
    </row>
    <row r="540" spans="1:13" x14ac:dyDescent="0.75">
      <c r="A540" t="s">
        <v>14918</v>
      </c>
      <c r="B540" t="s">
        <v>6322</v>
      </c>
      <c r="C540" t="s">
        <v>6318</v>
      </c>
      <c r="D540" t="s">
        <v>6323</v>
      </c>
      <c r="E540" t="s">
        <v>14919</v>
      </c>
      <c r="F540">
        <v>18</v>
      </c>
      <c r="G540">
        <v>1948821</v>
      </c>
      <c r="H540" t="s">
        <v>14920</v>
      </c>
      <c r="J540" s="54" t="s">
        <v>6052</v>
      </c>
      <c r="K540" s="54">
        <v>0</v>
      </c>
      <c r="L540" s="22" t="s">
        <v>104</v>
      </c>
      <c r="M540" s="22" t="s">
        <v>36919</v>
      </c>
    </row>
    <row r="541" spans="1:13" x14ac:dyDescent="0.75">
      <c r="A541" t="s">
        <v>14921</v>
      </c>
      <c r="B541" t="s">
        <v>6322</v>
      </c>
      <c r="C541" t="s">
        <v>6318</v>
      </c>
      <c r="D541" t="s">
        <v>6323</v>
      </c>
      <c r="E541" t="s">
        <v>14922</v>
      </c>
      <c r="F541">
        <v>1</v>
      </c>
      <c r="G541">
        <v>1987364</v>
      </c>
      <c r="H541" t="s">
        <v>14923</v>
      </c>
      <c r="J541" s="54" t="s">
        <v>6052</v>
      </c>
      <c r="K541" s="54">
        <v>0</v>
      </c>
      <c r="L541" s="22" t="s">
        <v>104</v>
      </c>
      <c r="M541" s="22" t="s">
        <v>36919</v>
      </c>
    </row>
    <row r="542" spans="1:13" x14ac:dyDescent="0.75">
      <c r="A542" t="s">
        <v>14989</v>
      </c>
      <c r="B542" t="s">
        <v>6322</v>
      </c>
      <c r="C542" t="s">
        <v>6318</v>
      </c>
      <c r="D542" t="s">
        <v>6323</v>
      </c>
      <c r="E542" t="s">
        <v>14990</v>
      </c>
      <c r="F542">
        <v>32</v>
      </c>
      <c r="G542">
        <v>2008280</v>
      </c>
      <c r="H542" t="s">
        <v>14991</v>
      </c>
      <c r="J542" s="54" t="s">
        <v>6052</v>
      </c>
      <c r="K542" s="54">
        <v>0</v>
      </c>
      <c r="L542" s="22" t="s">
        <v>104</v>
      </c>
      <c r="M542" s="22" t="s">
        <v>36919</v>
      </c>
    </row>
    <row r="543" spans="1:13" x14ac:dyDescent="0.75">
      <c r="A543" t="s">
        <v>14966</v>
      </c>
      <c r="B543" t="s">
        <v>6322</v>
      </c>
      <c r="C543" t="s">
        <v>6318</v>
      </c>
      <c r="D543" t="s">
        <v>6323</v>
      </c>
      <c r="E543" t="s">
        <v>14967</v>
      </c>
      <c r="F543">
        <v>26</v>
      </c>
      <c r="G543">
        <v>2001690</v>
      </c>
      <c r="H543" t="s">
        <v>14968</v>
      </c>
      <c r="J543" s="54" t="s">
        <v>6052</v>
      </c>
      <c r="K543" s="54">
        <v>0</v>
      </c>
      <c r="L543" s="22" t="s">
        <v>104</v>
      </c>
      <c r="M543" s="22" t="s">
        <v>36919</v>
      </c>
    </row>
    <row r="544" spans="1:13" x14ac:dyDescent="0.75">
      <c r="A544" t="s">
        <v>14936</v>
      </c>
      <c r="B544" t="s">
        <v>6322</v>
      </c>
      <c r="C544" t="s">
        <v>6318</v>
      </c>
      <c r="D544" t="s">
        <v>6323</v>
      </c>
      <c r="E544" t="s">
        <v>14937</v>
      </c>
      <c r="F544">
        <v>47</v>
      </c>
      <c r="G544">
        <v>1998791</v>
      </c>
      <c r="H544" t="s">
        <v>14938</v>
      </c>
      <c r="J544" s="54" t="s">
        <v>6052</v>
      </c>
      <c r="K544" s="54">
        <v>0</v>
      </c>
      <c r="L544" s="22" t="s">
        <v>104</v>
      </c>
      <c r="M544" s="22" t="s">
        <v>36919</v>
      </c>
    </row>
    <row r="545" spans="1:13" x14ac:dyDescent="0.75">
      <c r="A545" t="s">
        <v>19158</v>
      </c>
      <c r="B545" t="s">
        <v>6322</v>
      </c>
      <c r="C545" t="s">
        <v>6318</v>
      </c>
      <c r="D545" t="s">
        <v>6323</v>
      </c>
      <c r="E545" t="s">
        <v>19159</v>
      </c>
      <c r="F545">
        <v>27</v>
      </c>
      <c r="G545">
        <v>1906383</v>
      </c>
      <c r="H545" t="s">
        <v>19160</v>
      </c>
      <c r="J545" s="54" t="s">
        <v>6052</v>
      </c>
      <c r="K545" s="54">
        <v>0</v>
      </c>
      <c r="L545" s="22" t="s">
        <v>104</v>
      </c>
      <c r="M545" s="22" t="s">
        <v>36919</v>
      </c>
    </row>
    <row r="546" spans="1:13" x14ac:dyDescent="0.75">
      <c r="A546" t="s">
        <v>19155</v>
      </c>
      <c r="B546" t="s">
        <v>6322</v>
      </c>
      <c r="C546" t="s">
        <v>6318</v>
      </c>
      <c r="D546" t="s">
        <v>6323</v>
      </c>
      <c r="E546" t="s">
        <v>19156</v>
      </c>
      <c r="F546">
        <v>29</v>
      </c>
      <c r="G546">
        <v>1978079</v>
      </c>
      <c r="H546" t="s">
        <v>19157</v>
      </c>
      <c r="J546" s="54" t="s">
        <v>6052</v>
      </c>
      <c r="K546" s="54">
        <v>0</v>
      </c>
      <c r="L546" s="22" t="s">
        <v>104</v>
      </c>
      <c r="M546" s="22" t="s">
        <v>36919</v>
      </c>
    </row>
    <row r="547" spans="1:13" x14ac:dyDescent="0.75">
      <c r="A547" t="s">
        <v>19152</v>
      </c>
      <c r="B547" t="s">
        <v>6322</v>
      </c>
      <c r="C547" t="s">
        <v>6318</v>
      </c>
      <c r="D547" t="s">
        <v>6323</v>
      </c>
      <c r="E547" t="s">
        <v>19153</v>
      </c>
      <c r="F547">
        <v>39</v>
      </c>
      <c r="G547">
        <v>2013281</v>
      </c>
      <c r="H547" t="s">
        <v>19154</v>
      </c>
      <c r="J547" s="54" t="s">
        <v>6052</v>
      </c>
      <c r="K547" s="54">
        <v>0</v>
      </c>
      <c r="L547" s="22" t="s">
        <v>104</v>
      </c>
      <c r="M547" s="22" t="s">
        <v>36919</v>
      </c>
    </row>
    <row r="548" spans="1:13" x14ac:dyDescent="0.75">
      <c r="A548" t="s">
        <v>19146</v>
      </c>
      <c r="B548" t="s">
        <v>6322</v>
      </c>
      <c r="C548" t="s">
        <v>6318</v>
      </c>
      <c r="D548" t="s">
        <v>6323</v>
      </c>
      <c r="E548" t="s">
        <v>19147</v>
      </c>
      <c r="F548">
        <v>54</v>
      </c>
      <c r="G548">
        <v>2081174</v>
      </c>
      <c r="H548" t="s">
        <v>19148</v>
      </c>
      <c r="J548" s="54" t="s">
        <v>6052</v>
      </c>
      <c r="K548" s="54">
        <v>0</v>
      </c>
      <c r="L548" s="22" t="s">
        <v>104</v>
      </c>
      <c r="M548" s="22" t="s">
        <v>36919</v>
      </c>
    </row>
    <row r="549" spans="1:13" x14ac:dyDescent="0.75">
      <c r="A549" t="s">
        <v>19143</v>
      </c>
      <c r="B549" t="s">
        <v>6322</v>
      </c>
      <c r="C549" t="s">
        <v>6318</v>
      </c>
      <c r="D549" t="s">
        <v>6323</v>
      </c>
      <c r="E549" t="s">
        <v>19144</v>
      </c>
      <c r="F549">
        <v>35</v>
      </c>
      <c r="G549">
        <v>2032298</v>
      </c>
      <c r="H549" t="s">
        <v>19145</v>
      </c>
      <c r="J549" s="54" t="s">
        <v>6052</v>
      </c>
      <c r="K549" s="54">
        <v>0</v>
      </c>
      <c r="L549" s="22" t="s">
        <v>104</v>
      </c>
      <c r="M549" s="22" t="s">
        <v>36919</v>
      </c>
    </row>
    <row r="550" spans="1:13" x14ac:dyDescent="0.75">
      <c r="A550" t="s">
        <v>14978</v>
      </c>
      <c r="B550" t="s">
        <v>6322</v>
      </c>
      <c r="C550" t="s">
        <v>6318</v>
      </c>
      <c r="D550" t="s">
        <v>6323</v>
      </c>
      <c r="E550" t="s">
        <v>14979</v>
      </c>
      <c r="F550">
        <v>22</v>
      </c>
      <c r="G550">
        <v>1938159</v>
      </c>
      <c r="H550" t="s">
        <v>14980</v>
      </c>
      <c r="J550" s="54" t="s">
        <v>6052</v>
      </c>
      <c r="K550" s="54">
        <v>0</v>
      </c>
      <c r="L550" s="22" t="s">
        <v>104</v>
      </c>
      <c r="M550" s="22" t="s">
        <v>36919</v>
      </c>
    </row>
    <row r="551" spans="1:13" x14ac:dyDescent="0.75">
      <c r="A551" t="s">
        <v>14975</v>
      </c>
      <c r="B551" t="s">
        <v>6322</v>
      </c>
      <c r="C551" t="s">
        <v>6318</v>
      </c>
      <c r="D551" t="s">
        <v>6323</v>
      </c>
      <c r="E551" t="s">
        <v>14976</v>
      </c>
      <c r="F551">
        <v>17</v>
      </c>
      <c r="G551">
        <v>1942077</v>
      </c>
      <c r="H551" t="s">
        <v>14977</v>
      </c>
      <c r="J551" s="54" t="s">
        <v>6052</v>
      </c>
      <c r="K551" s="54">
        <v>0</v>
      </c>
      <c r="L551" s="22" t="s">
        <v>104</v>
      </c>
      <c r="M551" s="22" t="s">
        <v>36919</v>
      </c>
    </row>
    <row r="552" spans="1:13" x14ac:dyDescent="0.75">
      <c r="A552" t="s">
        <v>14948</v>
      </c>
      <c r="B552" t="s">
        <v>6322</v>
      </c>
      <c r="C552" t="s">
        <v>6318</v>
      </c>
      <c r="D552" t="s">
        <v>6323</v>
      </c>
      <c r="E552" t="s">
        <v>14949</v>
      </c>
      <c r="F552">
        <v>19</v>
      </c>
      <c r="G552">
        <v>2085913</v>
      </c>
      <c r="H552" t="s">
        <v>14950</v>
      </c>
      <c r="J552" s="54" t="s">
        <v>6052</v>
      </c>
      <c r="K552" s="54">
        <v>0</v>
      </c>
      <c r="L552" s="22" t="s">
        <v>104</v>
      </c>
      <c r="M552" s="22" t="s">
        <v>36919</v>
      </c>
    </row>
    <row r="553" spans="1:13" x14ac:dyDescent="0.75">
      <c r="A553" t="s">
        <v>19915</v>
      </c>
      <c r="B553" t="s">
        <v>6322</v>
      </c>
      <c r="C553" t="s">
        <v>6318</v>
      </c>
      <c r="D553" t="s">
        <v>6323</v>
      </c>
      <c r="E553" t="s">
        <v>19916</v>
      </c>
      <c r="F553">
        <v>2</v>
      </c>
      <c r="G553">
        <v>2028901</v>
      </c>
      <c r="H553" t="s">
        <v>19917</v>
      </c>
      <c r="J553" s="54" t="s">
        <v>6052</v>
      </c>
      <c r="K553" s="54">
        <v>0</v>
      </c>
      <c r="L553" s="22" t="s">
        <v>104</v>
      </c>
      <c r="M553" s="22" t="s">
        <v>36919</v>
      </c>
    </row>
    <row r="554" spans="1:13" x14ac:dyDescent="0.75">
      <c r="A554" t="s">
        <v>13651</v>
      </c>
      <c r="B554" t="s">
        <v>6322</v>
      </c>
      <c r="C554" t="s">
        <v>6318</v>
      </c>
      <c r="D554" t="s">
        <v>6323</v>
      </c>
      <c r="E554" t="s">
        <v>13652</v>
      </c>
      <c r="F554">
        <v>44</v>
      </c>
      <c r="G554">
        <v>2027572</v>
      </c>
      <c r="H554" t="s">
        <v>13653</v>
      </c>
      <c r="J554" s="54" t="s">
        <v>6052</v>
      </c>
      <c r="K554" s="54">
        <v>0</v>
      </c>
      <c r="L554" s="22" t="s">
        <v>104</v>
      </c>
      <c r="M554" s="22" t="s">
        <v>36919</v>
      </c>
    </row>
    <row r="555" spans="1:13" x14ac:dyDescent="0.75">
      <c r="A555" t="s">
        <v>28279</v>
      </c>
      <c r="B555" t="s">
        <v>6322</v>
      </c>
      <c r="C555" t="s">
        <v>6318</v>
      </c>
      <c r="D555" t="s">
        <v>6323</v>
      </c>
      <c r="E555" t="s">
        <v>28280</v>
      </c>
      <c r="F555">
        <v>32</v>
      </c>
      <c r="G555">
        <v>1895632</v>
      </c>
      <c r="H555" t="s">
        <v>28281</v>
      </c>
      <c r="J555" s="54" t="s">
        <v>6052</v>
      </c>
      <c r="K555" s="54">
        <v>0</v>
      </c>
      <c r="L555" s="22" t="s">
        <v>104</v>
      </c>
      <c r="M555" s="22" t="s">
        <v>36919</v>
      </c>
    </row>
    <row r="556" spans="1:13" x14ac:dyDescent="0.75">
      <c r="A556" t="s">
        <v>14957</v>
      </c>
      <c r="B556" t="s">
        <v>6322</v>
      </c>
      <c r="C556" t="s">
        <v>6318</v>
      </c>
      <c r="D556" t="s">
        <v>6323</v>
      </c>
      <c r="E556" t="s">
        <v>14958</v>
      </c>
      <c r="F556">
        <v>2</v>
      </c>
      <c r="G556">
        <v>2028838</v>
      </c>
      <c r="H556" t="s">
        <v>14959</v>
      </c>
      <c r="J556" s="54" t="s">
        <v>6052</v>
      </c>
      <c r="K556" s="54">
        <v>0</v>
      </c>
      <c r="L556" s="22" t="s">
        <v>104</v>
      </c>
      <c r="M556" s="22" t="s">
        <v>36919</v>
      </c>
    </row>
    <row r="557" spans="1:13" x14ac:dyDescent="0.75">
      <c r="A557" t="s">
        <v>14951</v>
      </c>
      <c r="B557" t="s">
        <v>6322</v>
      </c>
      <c r="C557" t="s">
        <v>6318</v>
      </c>
      <c r="D557" t="s">
        <v>6323</v>
      </c>
      <c r="E557" t="s">
        <v>14952</v>
      </c>
      <c r="F557">
        <v>2</v>
      </c>
      <c r="G557">
        <v>2002415</v>
      </c>
      <c r="H557" t="s">
        <v>14953</v>
      </c>
      <c r="J557" s="54" t="s">
        <v>6052</v>
      </c>
      <c r="K557" s="54">
        <v>0</v>
      </c>
      <c r="L557" s="22" t="s">
        <v>104</v>
      </c>
      <c r="M557" s="22" t="s">
        <v>36919</v>
      </c>
    </row>
    <row r="558" spans="1:13" x14ac:dyDescent="0.75">
      <c r="A558" t="s">
        <v>19903</v>
      </c>
      <c r="B558" t="s">
        <v>6322</v>
      </c>
      <c r="C558" t="s">
        <v>6318</v>
      </c>
      <c r="D558" t="s">
        <v>6323</v>
      </c>
      <c r="E558" t="s">
        <v>19904</v>
      </c>
      <c r="F558">
        <v>3</v>
      </c>
      <c r="G558">
        <v>1946644</v>
      </c>
      <c r="H558" t="s">
        <v>19905</v>
      </c>
      <c r="J558" s="54" t="s">
        <v>6052</v>
      </c>
      <c r="K558" s="54">
        <v>0</v>
      </c>
      <c r="L558" s="22" t="s">
        <v>104</v>
      </c>
      <c r="M558" s="22" t="s">
        <v>36919</v>
      </c>
    </row>
    <row r="559" spans="1:13" x14ac:dyDescent="0.75">
      <c r="A559" t="s">
        <v>14954</v>
      </c>
      <c r="B559" t="s">
        <v>6322</v>
      </c>
      <c r="C559" t="s">
        <v>6318</v>
      </c>
      <c r="D559" t="s">
        <v>6323</v>
      </c>
      <c r="E559" t="s">
        <v>14955</v>
      </c>
      <c r="F559">
        <v>24</v>
      </c>
      <c r="G559">
        <v>1923266</v>
      </c>
      <c r="H559" t="s">
        <v>14956</v>
      </c>
      <c r="J559" s="54" t="s">
        <v>6052</v>
      </c>
      <c r="K559" s="54">
        <v>0</v>
      </c>
      <c r="L559" s="22" t="s">
        <v>104</v>
      </c>
      <c r="M559" s="22" t="s">
        <v>36919</v>
      </c>
    </row>
    <row r="560" spans="1:13" x14ac:dyDescent="0.75">
      <c r="A560" t="s">
        <v>14924</v>
      </c>
      <c r="B560" t="s">
        <v>6322</v>
      </c>
      <c r="C560" t="s">
        <v>6318</v>
      </c>
      <c r="D560" t="s">
        <v>6323</v>
      </c>
      <c r="E560" t="s">
        <v>14925</v>
      </c>
      <c r="F560">
        <v>11</v>
      </c>
      <c r="G560">
        <v>1979247</v>
      </c>
      <c r="H560" t="s">
        <v>14926</v>
      </c>
      <c r="J560" s="54" t="s">
        <v>6052</v>
      </c>
      <c r="K560" s="54">
        <v>0</v>
      </c>
      <c r="L560" s="22" t="s">
        <v>104</v>
      </c>
      <c r="M560" s="22" t="s">
        <v>36919</v>
      </c>
    </row>
    <row r="561" spans="1:13" x14ac:dyDescent="0.75">
      <c r="A561" t="s">
        <v>14927</v>
      </c>
      <c r="B561" t="s">
        <v>6322</v>
      </c>
      <c r="C561" t="s">
        <v>6318</v>
      </c>
      <c r="D561" t="s">
        <v>6323</v>
      </c>
      <c r="E561" t="s">
        <v>14928</v>
      </c>
      <c r="F561">
        <v>1</v>
      </c>
      <c r="G561">
        <v>2031332</v>
      </c>
      <c r="H561" t="s">
        <v>14929</v>
      </c>
      <c r="J561" s="54" t="s">
        <v>6052</v>
      </c>
      <c r="K561" s="54">
        <v>0</v>
      </c>
      <c r="L561" s="22" t="s">
        <v>104</v>
      </c>
      <c r="M561" s="22" t="s">
        <v>36919</v>
      </c>
    </row>
    <row r="562" spans="1:13" x14ac:dyDescent="0.75">
      <c r="A562" t="s">
        <v>14930</v>
      </c>
      <c r="B562" t="s">
        <v>6322</v>
      </c>
      <c r="C562" t="s">
        <v>6318</v>
      </c>
      <c r="D562" t="s">
        <v>6323</v>
      </c>
      <c r="E562" t="s">
        <v>14931</v>
      </c>
      <c r="F562">
        <v>1</v>
      </c>
      <c r="G562">
        <v>2051359</v>
      </c>
      <c r="H562" t="s">
        <v>14932</v>
      </c>
      <c r="J562" s="54" t="s">
        <v>6052</v>
      </c>
      <c r="K562" s="54">
        <v>0</v>
      </c>
      <c r="L562" s="22" t="s">
        <v>104</v>
      </c>
      <c r="M562" s="22" t="s">
        <v>36919</v>
      </c>
    </row>
    <row r="563" spans="1:13" x14ac:dyDescent="0.75">
      <c r="A563" t="s">
        <v>14909</v>
      </c>
      <c r="B563" t="s">
        <v>6322</v>
      </c>
      <c r="C563" t="s">
        <v>6318</v>
      </c>
      <c r="D563" t="s">
        <v>6323</v>
      </c>
      <c r="E563" t="s">
        <v>14910</v>
      </c>
      <c r="F563">
        <v>41</v>
      </c>
      <c r="G563">
        <v>2076862</v>
      </c>
      <c r="H563" t="s">
        <v>14911</v>
      </c>
      <c r="J563" s="54" t="s">
        <v>6052</v>
      </c>
      <c r="K563" s="54">
        <v>0</v>
      </c>
      <c r="L563" s="22" t="s">
        <v>104</v>
      </c>
      <c r="M563" s="22" t="s">
        <v>36919</v>
      </c>
    </row>
    <row r="564" spans="1:13" x14ac:dyDescent="0.75">
      <c r="A564" t="s">
        <v>14942</v>
      </c>
      <c r="B564" t="s">
        <v>6322</v>
      </c>
      <c r="C564" t="s">
        <v>6318</v>
      </c>
      <c r="D564" t="s">
        <v>6323</v>
      </c>
      <c r="E564" t="s">
        <v>14943</v>
      </c>
      <c r="F564">
        <v>30</v>
      </c>
      <c r="G564">
        <v>1997063</v>
      </c>
      <c r="H564" t="s">
        <v>14944</v>
      </c>
      <c r="J564" s="54" t="s">
        <v>6052</v>
      </c>
      <c r="K564" s="54">
        <v>0</v>
      </c>
      <c r="L564" s="22" t="s">
        <v>104</v>
      </c>
      <c r="M564" s="22" t="s">
        <v>36919</v>
      </c>
    </row>
    <row r="565" spans="1:13" x14ac:dyDescent="0.75">
      <c r="A565" t="s">
        <v>14906</v>
      </c>
      <c r="B565" t="s">
        <v>6322</v>
      </c>
      <c r="C565" t="s">
        <v>6318</v>
      </c>
      <c r="D565" t="s">
        <v>6323</v>
      </c>
      <c r="E565" t="s">
        <v>14907</v>
      </c>
      <c r="F565">
        <v>2</v>
      </c>
      <c r="G565">
        <v>2095236</v>
      </c>
      <c r="H565" t="s">
        <v>14908</v>
      </c>
      <c r="J565" s="54" t="s">
        <v>6052</v>
      </c>
      <c r="K565" s="54">
        <v>0</v>
      </c>
      <c r="L565" s="22" t="s">
        <v>104</v>
      </c>
      <c r="M565" s="22" t="s">
        <v>36919</v>
      </c>
    </row>
    <row r="566" spans="1:13" x14ac:dyDescent="0.75">
      <c r="A566" t="s">
        <v>14960</v>
      </c>
      <c r="B566" t="s">
        <v>6322</v>
      </c>
      <c r="C566" t="s">
        <v>6318</v>
      </c>
      <c r="D566" t="s">
        <v>6323</v>
      </c>
      <c r="E566" t="s">
        <v>14961</v>
      </c>
      <c r="F566">
        <v>26</v>
      </c>
      <c r="G566">
        <v>1971692</v>
      </c>
      <c r="H566" t="s">
        <v>14962</v>
      </c>
      <c r="J566" s="54" t="s">
        <v>6052</v>
      </c>
      <c r="K566" s="54">
        <v>0</v>
      </c>
      <c r="L566" s="22" t="s">
        <v>104</v>
      </c>
      <c r="M566" s="22" t="s">
        <v>36919</v>
      </c>
    </row>
    <row r="567" spans="1:13" x14ac:dyDescent="0.75">
      <c r="A567" t="s">
        <v>9743</v>
      </c>
      <c r="B567" t="s">
        <v>6322</v>
      </c>
      <c r="C567" t="s">
        <v>6318</v>
      </c>
      <c r="D567" t="s">
        <v>6323</v>
      </c>
      <c r="E567" t="s">
        <v>9744</v>
      </c>
      <c r="F567">
        <v>72</v>
      </c>
      <c r="G567">
        <v>1937132</v>
      </c>
      <c r="H567" t="s">
        <v>9745</v>
      </c>
      <c r="J567" s="54" t="s">
        <v>6052</v>
      </c>
      <c r="K567" s="54">
        <v>0</v>
      </c>
      <c r="L567" s="22" t="s">
        <v>104</v>
      </c>
      <c r="M567" s="22" t="s">
        <v>36919</v>
      </c>
    </row>
    <row r="568" spans="1:13" x14ac:dyDescent="0.75">
      <c r="A568" t="s">
        <v>9740</v>
      </c>
      <c r="B568" t="s">
        <v>6322</v>
      </c>
      <c r="C568" t="s">
        <v>6318</v>
      </c>
      <c r="D568" t="s">
        <v>6323</v>
      </c>
      <c r="E568" t="s">
        <v>9741</v>
      </c>
      <c r="F568">
        <v>61</v>
      </c>
      <c r="G568">
        <v>1907025</v>
      </c>
      <c r="H568" t="s">
        <v>9742</v>
      </c>
      <c r="J568" s="54" t="s">
        <v>6052</v>
      </c>
      <c r="K568" s="54">
        <v>0</v>
      </c>
      <c r="L568" s="22" t="s">
        <v>104</v>
      </c>
      <c r="M568" s="22" t="s">
        <v>36919</v>
      </c>
    </row>
    <row r="569" spans="1:13" x14ac:dyDescent="0.75">
      <c r="A569" t="s">
        <v>8576</v>
      </c>
      <c r="B569" t="s">
        <v>6322</v>
      </c>
      <c r="C569" t="s">
        <v>6318</v>
      </c>
      <c r="D569" t="s">
        <v>6323</v>
      </c>
      <c r="E569" t="s">
        <v>8577</v>
      </c>
      <c r="F569">
        <v>86</v>
      </c>
      <c r="G569">
        <v>1778912</v>
      </c>
      <c r="H569" t="s">
        <v>8578</v>
      </c>
      <c r="J569" s="54" t="s">
        <v>6052</v>
      </c>
      <c r="K569" s="54">
        <v>0</v>
      </c>
      <c r="L569" s="22" t="s">
        <v>104</v>
      </c>
      <c r="M569" s="22" t="s">
        <v>36919</v>
      </c>
    </row>
    <row r="570" spans="1:13" x14ac:dyDescent="0.75">
      <c r="A570" t="s">
        <v>9746</v>
      </c>
      <c r="B570" t="s">
        <v>6322</v>
      </c>
      <c r="C570" t="s">
        <v>6318</v>
      </c>
      <c r="D570" t="s">
        <v>6323</v>
      </c>
      <c r="E570" t="s">
        <v>9747</v>
      </c>
      <c r="F570">
        <v>177</v>
      </c>
      <c r="G570">
        <v>2108730</v>
      </c>
      <c r="H570" t="s">
        <v>9748</v>
      </c>
      <c r="J570" s="54" t="s">
        <v>6052</v>
      </c>
      <c r="K570" s="54">
        <v>0</v>
      </c>
      <c r="L570" s="22" t="s">
        <v>104</v>
      </c>
      <c r="M570" s="22" t="s">
        <v>36919</v>
      </c>
    </row>
    <row r="571" spans="1:13" x14ac:dyDescent="0.75">
      <c r="A571" t="s">
        <v>28405</v>
      </c>
      <c r="B571" t="s">
        <v>9753</v>
      </c>
      <c r="C571" t="s">
        <v>6318</v>
      </c>
      <c r="D571" t="s">
        <v>9754</v>
      </c>
      <c r="E571" t="s">
        <v>28406</v>
      </c>
      <c r="F571">
        <v>53</v>
      </c>
      <c r="G571">
        <v>1903393</v>
      </c>
      <c r="H571" t="s">
        <v>28407</v>
      </c>
      <c r="J571" s="54" t="s">
        <v>6052</v>
      </c>
      <c r="K571" s="54">
        <v>0</v>
      </c>
      <c r="L571" s="22" t="s">
        <v>104</v>
      </c>
      <c r="M571" s="22" t="s">
        <v>36921</v>
      </c>
    </row>
    <row r="572" spans="1:13" x14ac:dyDescent="0.75">
      <c r="A572" t="s">
        <v>28396</v>
      </c>
      <c r="B572" t="s">
        <v>9753</v>
      </c>
      <c r="C572" t="s">
        <v>6318</v>
      </c>
      <c r="D572" t="s">
        <v>9754</v>
      </c>
      <c r="E572" t="s">
        <v>28397</v>
      </c>
      <c r="F572">
        <v>44</v>
      </c>
      <c r="G572">
        <v>2012410</v>
      </c>
      <c r="H572" t="s">
        <v>28398</v>
      </c>
      <c r="J572" s="54" t="s">
        <v>6052</v>
      </c>
      <c r="K572" s="54">
        <v>0</v>
      </c>
      <c r="L572" s="22" t="s">
        <v>104</v>
      </c>
      <c r="M572" s="22" t="s">
        <v>36921</v>
      </c>
    </row>
    <row r="573" spans="1:13" x14ac:dyDescent="0.75">
      <c r="A573" t="s">
        <v>28393</v>
      </c>
      <c r="B573" t="s">
        <v>9753</v>
      </c>
      <c r="C573" t="s">
        <v>6318</v>
      </c>
      <c r="D573" t="s">
        <v>9754</v>
      </c>
      <c r="E573" t="s">
        <v>28394</v>
      </c>
      <c r="F573">
        <v>49</v>
      </c>
      <c r="G573">
        <v>1898749</v>
      </c>
      <c r="H573" t="s">
        <v>28395</v>
      </c>
      <c r="J573" s="54" t="s">
        <v>6052</v>
      </c>
      <c r="K573" s="54">
        <v>0</v>
      </c>
      <c r="L573" s="22" t="s">
        <v>104</v>
      </c>
      <c r="M573" s="22" t="s">
        <v>36921</v>
      </c>
    </row>
    <row r="574" spans="1:13" x14ac:dyDescent="0.75">
      <c r="A574" t="s">
        <v>28444</v>
      </c>
      <c r="B574" t="s">
        <v>9753</v>
      </c>
      <c r="C574" t="s">
        <v>6318</v>
      </c>
      <c r="D574" t="s">
        <v>9754</v>
      </c>
      <c r="E574" t="s">
        <v>28445</v>
      </c>
      <c r="F574">
        <v>37</v>
      </c>
      <c r="G574">
        <v>2032479</v>
      </c>
      <c r="H574" t="s">
        <v>28446</v>
      </c>
      <c r="J574" s="54" t="s">
        <v>6052</v>
      </c>
      <c r="K574" s="54">
        <v>0</v>
      </c>
      <c r="L574" s="22" t="s">
        <v>104</v>
      </c>
      <c r="M574" s="22" t="s">
        <v>36921</v>
      </c>
    </row>
    <row r="575" spans="1:13" x14ac:dyDescent="0.75">
      <c r="A575" t="s">
        <v>14525</v>
      </c>
      <c r="B575" t="s">
        <v>9753</v>
      </c>
      <c r="C575" t="s">
        <v>6318</v>
      </c>
      <c r="D575" t="s">
        <v>9754</v>
      </c>
      <c r="E575" t="s">
        <v>14526</v>
      </c>
      <c r="F575">
        <v>62</v>
      </c>
      <c r="G575">
        <v>1744650</v>
      </c>
      <c r="H575" t="s">
        <v>14527</v>
      </c>
      <c r="J575" s="54" t="s">
        <v>6052</v>
      </c>
      <c r="K575" s="54">
        <v>0</v>
      </c>
      <c r="L575" s="22" t="s">
        <v>104</v>
      </c>
      <c r="M575" s="22" t="s">
        <v>36921</v>
      </c>
    </row>
    <row r="576" spans="1:13" x14ac:dyDescent="0.75">
      <c r="A576" t="s">
        <v>14585</v>
      </c>
      <c r="B576" t="s">
        <v>9753</v>
      </c>
      <c r="C576" t="s">
        <v>6318</v>
      </c>
      <c r="D576" t="s">
        <v>9754</v>
      </c>
      <c r="E576" t="s">
        <v>14586</v>
      </c>
      <c r="F576">
        <v>44</v>
      </c>
      <c r="G576">
        <v>1870178</v>
      </c>
      <c r="H576" t="s">
        <v>14587</v>
      </c>
      <c r="J576" s="54" t="s">
        <v>6052</v>
      </c>
      <c r="K576" s="54">
        <v>0</v>
      </c>
      <c r="L576" s="22" t="s">
        <v>104</v>
      </c>
      <c r="M576" s="22" t="s">
        <v>36921</v>
      </c>
    </row>
    <row r="577" spans="1:13" x14ac:dyDescent="0.75">
      <c r="A577" t="s">
        <v>14516</v>
      </c>
      <c r="B577" t="s">
        <v>9753</v>
      </c>
      <c r="C577" t="s">
        <v>6318</v>
      </c>
      <c r="D577" t="s">
        <v>9754</v>
      </c>
      <c r="E577" t="s">
        <v>14517</v>
      </c>
      <c r="F577">
        <v>55</v>
      </c>
      <c r="G577">
        <v>1784251</v>
      </c>
      <c r="H577" t="s">
        <v>14518</v>
      </c>
      <c r="J577" s="54" t="s">
        <v>6052</v>
      </c>
      <c r="K577" s="54">
        <v>0</v>
      </c>
      <c r="L577" s="22" t="s">
        <v>104</v>
      </c>
      <c r="M577" s="22" t="s">
        <v>36921</v>
      </c>
    </row>
    <row r="578" spans="1:13" x14ac:dyDescent="0.75">
      <c r="A578" t="s">
        <v>14597</v>
      </c>
      <c r="B578" t="s">
        <v>9753</v>
      </c>
      <c r="C578" t="s">
        <v>6318</v>
      </c>
      <c r="D578" t="s">
        <v>9754</v>
      </c>
      <c r="E578" t="s">
        <v>14598</v>
      </c>
      <c r="F578">
        <v>73</v>
      </c>
      <c r="G578">
        <v>1800093</v>
      </c>
      <c r="H578" t="s">
        <v>14599</v>
      </c>
      <c r="J578" s="54" t="s">
        <v>6052</v>
      </c>
      <c r="K578" s="54">
        <v>0</v>
      </c>
      <c r="L578" s="22" t="s">
        <v>104</v>
      </c>
      <c r="M578" s="22" t="s">
        <v>36921</v>
      </c>
    </row>
    <row r="579" spans="1:13" x14ac:dyDescent="0.75">
      <c r="A579" t="s">
        <v>14582</v>
      </c>
      <c r="B579" t="s">
        <v>9753</v>
      </c>
      <c r="C579" t="s">
        <v>6318</v>
      </c>
      <c r="D579" t="s">
        <v>9754</v>
      </c>
      <c r="E579" t="s">
        <v>14583</v>
      </c>
      <c r="F579">
        <v>38</v>
      </c>
      <c r="G579">
        <v>1857163</v>
      </c>
      <c r="H579" t="s">
        <v>14584</v>
      </c>
      <c r="J579" s="54" t="s">
        <v>6052</v>
      </c>
      <c r="K579" s="54">
        <v>0</v>
      </c>
      <c r="L579" s="22" t="s">
        <v>104</v>
      </c>
      <c r="M579" s="22" t="s">
        <v>36921</v>
      </c>
    </row>
    <row r="580" spans="1:13" x14ac:dyDescent="0.75">
      <c r="A580" t="s">
        <v>14522</v>
      </c>
      <c r="B580" t="s">
        <v>9753</v>
      </c>
      <c r="C580" t="s">
        <v>6318</v>
      </c>
      <c r="D580" t="s">
        <v>9754</v>
      </c>
      <c r="E580" t="s">
        <v>14523</v>
      </c>
      <c r="F580">
        <v>42</v>
      </c>
      <c r="G580">
        <v>1905355</v>
      </c>
      <c r="H580" t="s">
        <v>14524</v>
      </c>
      <c r="J580" s="54" t="s">
        <v>6052</v>
      </c>
      <c r="K580" s="54">
        <v>0</v>
      </c>
      <c r="L580" s="22" t="s">
        <v>104</v>
      </c>
      <c r="M580" s="22" t="s">
        <v>36921</v>
      </c>
    </row>
    <row r="581" spans="1:13" x14ac:dyDescent="0.75">
      <c r="A581" t="s">
        <v>7291</v>
      </c>
      <c r="B581" t="s">
        <v>7292</v>
      </c>
      <c r="C581" t="s">
        <v>7293</v>
      </c>
      <c r="D581" t="s">
        <v>7294</v>
      </c>
      <c r="E581" t="s">
        <v>7295</v>
      </c>
      <c r="F581">
        <v>150</v>
      </c>
      <c r="G581">
        <v>2005853</v>
      </c>
      <c r="H581" t="s">
        <v>7296</v>
      </c>
      <c r="J581" s="54" t="s">
        <v>6052</v>
      </c>
      <c r="K581" s="54">
        <v>0</v>
      </c>
      <c r="L581" s="22" t="s">
        <v>144</v>
      </c>
      <c r="M581" s="22" t="s">
        <v>36867</v>
      </c>
    </row>
    <row r="582" spans="1:13" x14ac:dyDescent="0.75">
      <c r="A582" t="s">
        <v>11816</v>
      </c>
      <c r="B582" t="s">
        <v>7292</v>
      </c>
      <c r="C582" t="s">
        <v>7293</v>
      </c>
      <c r="D582" t="s">
        <v>7294</v>
      </c>
      <c r="E582" t="s">
        <v>11817</v>
      </c>
      <c r="F582">
        <v>1</v>
      </c>
      <c r="G582">
        <v>2199877</v>
      </c>
      <c r="H582" t="s">
        <v>11818</v>
      </c>
      <c r="J582" s="54" t="s">
        <v>6052</v>
      </c>
      <c r="K582" s="54">
        <v>0</v>
      </c>
      <c r="L582" s="22" t="s">
        <v>144</v>
      </c>
      <c r="M582" s="22" t="s">
        <v>36867</v>
      </c>
    </row>
    <row r="583" spans="1:13" x14ac:dyDescent="0.75">
      <c r="A583" t="s">
        <v>25004</v>
      </c>
      <c r="B583" t="s">
        <v>7292</v>
      </c>
      <c r="C583" t="s">
        <v>7293</v>
      </c>
      <c r="D583" t="s">
        <v>7294</v>
      </c>
      <c r="E583" t="s">
        <v>25005</v>
      </c>
      <c r="F583">
        <v>1</v>
      </c>
      <c r="G583">
        <v>2204952</v>
      </c>
      <c r="H583" t="s">
        <v>25006</v>
      </c>
      <c r="J583" s="54" t="s">
        <v>6052</v>
      </c>
      <c r="K583" s="54">
        <v>0</v>
      </c>
      <c r="L583" s="22" t="s">
        <v>144</v>
      </c>
      <c r="M583" s="22" t="s">
        <v>36867</v>
      </c>
    </row>
    <row r="584" spans="1:13" x14ac:dyDescent="0.75">
      <c r="A584" t="s">
        <v>13455</v>
      </c>
      <c r="B584" t="s">
        <v>7292</v>
      </c>
      <c r="C584" t="s">
        <v>7293</v>
      </c>
      <c r="D584" t="s">
        <v>7294</v>
      </c>
      <c r="E584" t="s">
        <v>13456</v>
      </c>
      <c r="F584">
        <v>1</v>
      </c>
      <c r="G584">
        <v>2003760</v>
      </c>
      <c r="H584" t="s">
        <v>13457</v>
      </c>
      <c r="J584" s="54" t="s">
        <v>6052</v>
      </c>
      <c r="K584" s="54">
        <v>0</v>
      </c>
      <c r="L584" s="22" t="s">
        <v>144</v>
      </c>
      <c r="M584" s="22" t="s">
        <v>36867</v>
      </c>
    </row>
    <row r="585" spans="1:13" x14ac:dyDescent="0.75">
      <c r="A585" t="s">
        <v>12580</v>
      </c>
      <c r="B585" t="s">
        <v>7292</v>
      </c>
      <c r="C585" t="s">
        <v>7293</v>
      </c>
      <c r="D585" t="s">
        <v>7294</v>
      </c>
      <c r="E585" t="s">
        <v>12581</v>
      </c>
      <c r="F585">
        <v>101</v>
      </c>
      <c r="G585">
        <v>1892427</v>
      </c>
      <c r="H585" t="s">
        <v>12582</v>
      </c>
      <c r="J585" s="54" t="s">
        <v>6052</v>
      </c>
      <c r="K585" s="54">
        <v>0</v>
      </c>
      <c r="L585" s="22" t="s">
        <v>144</v>
      </c>
      <c r="M585" s="22" t="s">
        <v>36867</v>
      </c>
    </row>
    <row r="586" spans="1:13" x14ac:dyDescent="0.75">
      <c r="A586" t="s">
        <v>27374</v>
      </c>
      <c r="B586" t="s">
        <v>7292</v>
      </c>
      <c r="C586" t="s">
        <v>7293</v>
      </c>
      <c r="D586" t="s">
        <v>7294</v>
      </c>
      <c r="E586" t="s">
        <v>27375</v>
      </c>
      <c r="F586">
        <v>51</v>
      </c>
      <c r="G586">
        <v>2315448</v>
      </c>
      <c r="H586" t="s">
        <v>27376</v>
      </c>
      <c r="J586" s="54" t="s">
        <v>6052</v>
      </c>
      <c r="K586" s="54">
        <v>0</v>
      </c>
      <c r="L586" s="22" t="s">
        <v>144</v>
      </c>
      <c r="M586" s="22" t="s">
        <v>36867</v>
      </c>
    </row>
    <row r="587" spans="1:13" x14ac:dyDescent="0.75">
      <c r="A587" t="s">
        <v>27371</v>
      </c>
      <c r="B587" t="s">
        <v>7292</v>
      </c>
      <c r="C587" t="s">
        <v>7293</v>
      </c>
      <c r="D587" t="s">
        <v>7294</v>
      </c>
      <c r="E587" t="s">
        <v>27372</v>
      </c>
      <c r="F587">
        <v>3</v>
      </c>
      <c r="G587">
        <v>2265362</v>
      </c>
      <c r="H587" t="s">
        <v>27373</v>
      </c>
      <c r="J587" s="54" t="s">
        <v>6052</v>
      </c>
      <c r="K587" s="54">
        <v>0</v>
      </c>
      <c r="L587" s="22" t="s">
        <v>144</v>
      </c>
      <c r="M587" s="22" t="s">
        <v>36867</v>
      </c>
    </row>
    <row r="588" spans="1:13" x14ac:dyDescent="0.75">
      <c r="A588" t="s">
        <v>23967</v>
      </c>
      <c r="B588" t="s">
        <v>7292</v>
      </c>
      <c r="C588" t="s">
        <v>7293</v>
      </c>
      <c r="D588" t="s">
        <v>7294</v>
      </c>
      <c r="E588" t="s">
        <v>23968</v>
      </c>
      <c r="F588">
        <v>46</v>
      </c>
      <c r="G588">
        <v>1975416</v>
      </c>
      <c r="H588" t="s">
        <v>23969</v>
      </c>
      <c r="J588" s="54" t="s">
        <v>6052</v>
      </c>
      <c r="K588" s="54">
        <v>0</v>
      </c>
      <c r="L588" s="22" t="s">
        <v>144</v>
      </c>
      <c r="M588" s="22" t="s">
        <v>36867</v>
      </c>
    </row>
    <row r="589" spans="1:13" x14ac:dyDescent="0.75">
      <c r="A589" t="s">
        <v>14390</v>
      </c>
      <c r="B589" t="s">
        <v>7292</v>
      </c>
      <c r="C589" t="s">
        <v>7293</v>
      </c>
      <c r="D589" t="s">
        <v>7294</v>
      </c>
      <c r="E589" t="s">
        <v>14391</v>
      </c>
      <c r="F589">
        <v>55</v>
      </c>
      <c r="G589">
        <v>1921807</v>
      </c>
      <c r="H589" t="s">
        <v>14392</v>
      </c>
      <c r="J589" s="54" t="s">
        <v>6052</v>
      </c>
      <c r="K589" s="54">
        <v>0</v>
      </c>
      <c r="L589" s="22" t="s">
        <v>144</v>
      </c>
      <c r="M589" s="22" t="s">
        <v>36867</v>
      </c>
    </row>
    <row r="590" spans="1:13" x14ac:dyDescent="0.75">
      <c r="A590" t="s">
        <v>8926</v>
      </c>
      <c r="B590" t="s">
        <v>8927</v>
      </c>
      <c r="C590" t="s">
        <v>8928</v>
      </c>
      <c r="D590" t="s">
        <v>8929</v>
      </c>
      <c r="E590" t="s">
        <v>8930</v>
      </c>
      <c r="F590">
        <v>6</v>
      </c>
      <c r="G590">
        <v>5261968</v>
      </c>
      <c r="H590" t="s">
        <v>8931</v>
      </c>
      <c r="J590" s="54" t="s">
        <v>6052</v>
      </c>
      <c r="K590" s="54">
        <v>0</v>
      </c>
      <c r="L590" s="22" t="s">
        <v>1563</v>
      </c>
      <c r="M590" s="22" t="s">
        <v>36868</v>
      </c>
    </row>
    <row r="591" spans="1:13" x14ac:dyDescent="0.75">
      <c r="A591" t="s">
        <v>16355</v>
      </c>
      <c r="B591" t="s">
        <v>8927</v>
      </c>
      <c r="C591" t="s">
        <v>8928</v>
      </c>
      <c r="D591" t="s">
        <v>8929</v>
      </c>
      <c r="E591" t="s">
        <v>16356</v>
      </c>
      <c r="F591">
        <v>68</v>
      </c>
      <c r="G591">
        <v>5173336</v>
      </c>
      <c r="H591" t="s">
        <v>16357</v>
      </c>
      <c r="J591" s="54" t="s">
        <v>6052</v>
      </c>
      <c r="K591" s="54">
        <v>0</v>
      </c>
      <c r="L591" s="22" t="s">
        <v>1563</v>
      </c>
      <c r="M591" s="22" t="s">
        <v>36868</v>
      </c>
    </row>
    <row r="592" spans="1:13" x14ac:dyDescent="0.75">
      <c r="A592" t="s">
        <v>14084</v>
      </c>
      <c r="B592" t="s">
        <v>8927</v>
      </c>
      <c r="C592" t="s">
        <v>8928</v>
      </c>
      <c r="D592" t="s">
        <v>8929</v>
      </c>
      <c r="E592" t="s">
        <v>14085</v>
      </c>
      <c r="F592">
        <v>49</v>
      </c>
      <c r="G592">
        <v>5163516</v>
      </c>
      <c r="H592" t="s">
        <v>14086</v>
      </c>
      <c r="J592" s="54" t="s">
        <v>6052</v>
      </c>
      <c r="K592" s="54">
        <v>0</v>
      </c>
      <c r="L592" s="22" t="s">
        <v>1563</v>
      </c>
      <c r="M592" s="22" t="s">
        <v>36868</v>
      </c>
    </row>
    <row r="593" spans="1:13" x14ac:dyDescent="0.75">
      <c r="A593" t="s">
        <v>28593</v>
      </c>
      <c r="B593" t="s">
        <v>8927</v>
      </c>
      <c r="C593" t="s">
        <v>8928</v>
      </c>
      <c r="D593" t="s">
        <v>8929</v>
      </c>
      <c r="E593" t="s">
        <v>28594</v>
      </c>
      <c r="F593">
        <v>233</v>
      </c>
      <c r="G593">
        <v>5238503</v>
      </c>
      <c r="H593" t="s">
        <v>28595</v>
      </c>
      <c r="J593" s="54" t="s">
        <v>6052</v>
      </c>
      <c r="K593" s="54">
        <v>0</v>
      </c>
      <c r="L593" s="22" t="s">
        <v>1563</v>
      </c>
      <c r="M593" s="22" t="s">
        <v>36868</v>
      </c>
    </row>
    <row r="594" spans="1:13" x14ac:dyDescent="0.75">
      <c r="A594" t="s">
        <v>10243</v>
      </c>
      <c r="B594" t="s">
        <v>8927</v>
      </c>
      <c r="C594" t="s">
        <v>8928</v>
      </c>
      <c r="D594" t="s">
        <v>8929</v>
      </c>
      <c r="E594" t="s">
        <v>10244</v>
      </c>
      <c r="F594">
        <v>90</v>
      </c>
      <c r="G594">
        <v>5133308</v>
      </c>
      <c r="H594" t="s">
        <v>10245</v>
      </c>
      <c r="J594" s="54" t="s">
        <v>6052</v>
      </c>
      <c r="K594" s="54">
        <v>0</v>
      </c>
      <c r="L594" s="22" t="s">
        <v>1563</v>
      </c>
      <c r="M594" s="22" t="s">
        <v>36868</v>
      </c>
    </row>
    <row r="595" spans="1:13" x14ac:dyDescent="0.75">
      <c r="A595" t="s">
        <v>10246</v>
      </c>
      <c r="B595" t="s">
        <v>8927</v>
      </c>
      <c r="C595" t="s">
        <v>8928</v>
      </c>
      <c r="D595" t="s">
        <v>8929</v>
      </c>
      <c r="E595" t="s">
        <v>10247</v>
      </c>
      <c r="F595">
        <v>66</v>
      </c>
      <c r="G595">
        <v>4996867</v>
      </c>
      <c r="H595" t="s">
        <v>10248</v>
      </c>
      <c r="J595" s="54" t="s">
        <v>6052</v>
      </c>
      <c r="K595" s="54">
        <v>0</v>
      </c>
      <c r="L595" s="22" t="s">
        <v>1563</v>
      </c>
      <c r="M595" s="22" t="s">
        <v>36868</v>
      </c>
    </row>
    <row r="596" spans="1:13" x14ac:dyDescent="0.75">
      <c r="A596" t="s">
        <v>10240</v>
      </c>
      <c r="B596" t="s">
        <v>8927</v>
      </c>
      <c r="C596" t="s">
        <v>8928</v>
      </c>
      <c r="D596" t="s">
        <v>8929</v>
      </c>
      <c r="E596" t="s">
        <v>10241</v>
      </c>
      <c r="F596">
        <v>69</v>
      </c>
      <c r="G596">
        <v>4996806</v>
      </c>
      <c r="H596" t="s">
        <v>10242</v>
      </c>
      <c r="J596" s="54" t="s">
        <v>6052</v>
      </c>
      <c r="K596" s="54">
        <v>0</v>
      </c>
      <c r="L596" s="22" t="s">
        <v>1563</v>
      </c>
      <c r="M596" s="22" t="s">
        <v>36868</v>
      </c>
    </row>
    <row r="597" spans="1:13" x14ac:dyDescent="0.75">
      <c r="A597" t="s">
        <v>13657</v>
      </c>
      <c r="B597" t="s">
        <v>8927</v>
      </c>
      <c r="C597" t="s">
        <v>8928</v>
      </c>
      <c r="D597" t="s">
        <v>8929</v>
      </c>
      <c r="E597" t="s">
        <v>13658</v>
      </c>
      <c r="F597">
        <v>49</v>
      </c>
      <c r="G597">
        <v>5163516</v>
      </c>
      <c r="H597" t="s">
        <v>13659</v>
      </c>
      <c r="J597" s="54" t="s">
        <v>6052</v>
      </c>
      <c r="K597" s="54">
        <v>0</v>
      </c>
      <c r="L597" s="22" t="s">
        <v>1563</v>
      </c>
      <c r="M597" s="22" t="s">
        <v>36868</v>
      </c>
    </row>
    <row r="598" spans="1:13" x14ac:dyDescent="0.75">
      <c r="A598" t="s">
        <v>15618</v>
      </c>
      <c r="B598" t="s">
        <v>2117</v>
      </c>
      <c r="C598" t="s">
        <v>6374</v>
      </c>
      <c r="D598" t="s">
        <v>6375</v>
      </c>
      <c r="E598" t="s">
        <v>15619</v>
      </c>
      <c r="F598">
        <v>45</v>
      </c>
      <c r="G598">
        <v>3096310</v>
      </c>
      <c r="H598" t="s">
        <v>15620</v>
      </c>
      <c r="J598" s="54" t="s">
        <v>6052</v>
      </c>
      <c r="K598" s="54">
        <v>0</v>
      </c>
      <c r="L598" s="22" t="s">
        <v>34</v>
      </c>
      <c r="M598" s="22" t="s">
        <v>2118</v>
      </c>
    </row>
    <row r="599" spans="1:13" x14ac:dyDescent="0.75">
      <c r="A599" t="s">
        <v>2116</v>
      </c>
      <c r="B599" t="s">
        <v>2117</v>
      </c>
      <c r="C599" t="s">
        <v>6374</v>
      </c>
      <c r="D599" t="s">
        <v>6375</v>
      </c>
      <c r="E599" t="s">
        <v>15594</v>
      </c>
      <c r="F599">
        <v>43</v>
      </c>
      <c r="G599">
        <v>3373739</v>
      </c>
      <c r="H599" t="s">
        <v>15595</v>
      </c>
      <c r="J599" s="54" t="s">
        <v>6052</v>
      </c>
      <c r="K599" s="54">
        <v>0</v>
      </c>
      <c r="L599" s="22" t="s">
        <v>34</v>
      </c>
      <c r="M599" s="22" t="s">
        <v>2118</v>
      </c>
    </row>
    <row r="600" spans="1:13" x14ac:dyDescent="0.75">
      <c r="A600" t="s">
        <v>6373</v>
      </c>
      <c r="B600" t="s">
        <v>2117</v>
      </c>
      <c r="C600" t="s">
        <v>6374</v>
      </c>
      <c r="D600" t="s">
        <v>6375</v>
      </c>
      <c r="E600" t="s">
        <v>6376</v>
      </c>
      <c r="F600">
        <v>1</v>
      </c>
      <c r="G600">
        <v>3449685</v>
      </c>
      <c r="H600" t="s">
        <v>6377</v>
      </c>
      <c r="J600" s="54" t="s">
        <v>6052</v>
      </c>
      <c r="K600" s="54">
        <v>0</v>
      </c>
      <c r="L600" s="22" t="s">
        <v>34</v>
      </c>
      <c r="M600" s="22" t="s">
        <v>2118</v>
      </c>
    </row>
    <row r="601" spans="1:13" x14ac:dyDescent="0.75">
      <c r="A601" t="s">
        <v>4920</v>
      </c>
      <c r="B601" t="s">
        <v>2117</v>
      </c>
      <c r="C601" t="s">
        <v>6374</v>
      </c>
      <c r="D601" t="s">
        <v>6375</v>
      </c>
      <c r="E601" t="s">
        <v>24774</v>
      </c>
      <c r="F601">
        <v>34</v>
      </c>
      <c r="G601">
        <v>2792771</v>
      </c>
      <c r="H601" t="s">
        <v>24775</v>
      </c>
      <c r="J601" s="54" t="s">
        <v>6052</v>
      </c>
      <c r="K601" s="54">
        <v>0</v>
      </c>
      <c r="L601" s="22" t="s">
        <v>34</v>
      </c>
      <c r="M601" s="22" t="s">
        <v>2118</v>
      </c>
    </row>
    <row r="602" spans="1:13" x14ac:dyDescent="0.75">
      <c r="A602" t="s">
        <v>4914</v>
      </c>
      <c r="B602" t="s">
        <v>2117</v>
      </c>
      <c r="C602" t="s">
        <v>6374</v>
      </c>
      <c r="D602" t="s">
        <v>6375</v>
      </c>
      <c r="E602" t="s">
        <v>24772</v>
      </c>
      <c r="F602">
        <v>40</v>
      </c>
      <c r="G602">
        <v>2926079</v>
      </c>
      <c r="H602" t="s">
        <v>24773</v>
      </c>
      <c r="J602" s="54" t="s">
        <v>6052</v>
      </c>
      <c r="K602" s="54">
        <v>0</v>
      </c>
      <c r="L602" s="22" t="s">
        <v>34</v>
      </c>
      <c r="M602" s="22" t="s">
        <v>2118</v>
      </c>
    </row>
    <row r="603" spans="1:13" x14ac:dyDescent="0.75">
      <c r="A603" t="s">
        <v>3086</v>
      </c>
      <c r="B603" t="s">
        <v>2117</v>
      </c>
      <c r="C603" t="s">
        <v>6374</v>
      </c>
      <c r="D603" t="s">
        <v>6375</v>
      </c>
      <c r="E603" t="s">
        <v>19798</v>
      </c>
      <c r="F603">
        <v>42</v>
      </c>
      <c r="G603">
        <v>2883067</v>
      </c>
      <c r="H603" t="s">
        <v>19799</v>
      </c>
      <c r="J603" s="54" t="s">
        <v>6052</v>
      </c>
      <c r="K603" s="54">
        <v>0</v>
      </c>
      <c r="L603" s="22" t="s">
        <v>34</v>
      </c>
      <c r="M603" s="22" t="s">
        <v>2118</v>
      </c>
    </row>
    <row r="604" spans="1:13" x14ac:dyDescent="0.75">
      <c r="A604" t="s">
        <v>7672</v>
      </c>
      <c r="B604" t="s">
        <v>2117</v>
      </c>
      <c r="C604" t="s">
        <v>6374</v>
      </c>
      <c r="D604" t="s">
        <v>6375</v>
      </c>
      <c r="E604" t="s">
        <v>7673</v>
      </c>
      <c r="F604">
        <v>90</v>
      </c>
      <c r="G604">
        <v>3344951</v>
      </c>
      <c r="H604" t="s">
        <v>7674</v>
      </c>
      <c r="J604" s="54" t="s">
        <v>6052</v>
      </c>
      <c r="K604" s="54">
        <v>0</v>
      </c>
      <c r="L604" s="22" t="s">
        <v>34</v>
      </c>
      <c r="M604" s="22" t="s">
        <v>2118</v>
      </c>
    </row>
    <row r="605" spans="1:13" x14ac:dyDescent="0.75">
      <c r="A605" t="s">
        <v>28358</v>
      </c>
      <c r="B605" t="s">
        <v>2117</v>
      </c>
      <c r="C605" t="s">
        <v>6374</v>
      </c>
      <c r="D605" t="s">
        <v>6375</v>
      </c>
      <c r="E605" t="s">
        <v>28359</v>
      </c>
      <c r="F605">
        <v>1</v>
      </c>
      <c r="G605">
        <v>3449685</v>
      </c>
      <c r="H605" t="s">
        <v>28360</v>
      </c>
      <c r="J605" s="54" t="s">
        <v>6052</v>
      </c>
      <c r="K605" s="54">
        <v>0</v>
      </c>
      <c r="L605" s="22" t="s">
        <v>34</v>
      </c>
      <c r="M605" s="22" t="s">
        <v>2118</v>
      </c>
    </row>
    <row r="606" spans="1:13" x14ac:dyDescent="0.75">
      <c r="A606" t="s">
        <v>4220</v>
      </c>
      <c r="B606" t="s">
        <v>2117</v>
      </c>
      <c r="C606" t="s">
        <v>6374</v>
      </c>
      <c r="D606" t="s">
        <v>6375</v>
      </c>
      <c r="E606" t="s">
        <v>23511</v>
      </c>
      <c r="F606">
        <v>1</v>
      </c>
      <c r="G606">
        <v>2804625</v>
      </c>
      <c r="H606" t="s">
        <v>23512</v>
      </c>
      <c r="J606" s="54" t="s">
        <v>6052</v>
      </c>
      <c r="K606" s="54">
        <v>0</v>
      </c>
      <c r="L606" s="22" t="s">
        <v>34</v>
      </c>
      <c r="M606" s="22" t="s">
        <v>2118</v>
      </c>
    </row>
    <row r="607" spans="1:13" x14ac:dyDescent="0.75">
      <c r="A607" t="s">
        <v>22535</v>
      </c>
      <c r="B607" t="s">
        <v>2117</v>
      </c>
      <c r="C607" t="s">
        <v>6374</v>
      </c>
      <c r="D607" t="s">
        <v>6375</v>
      </c>
      <c r="E607" t="s">
        <v>22536</v>
      </c>
      <c r="F607">
        <v>1</v>
      </c>
      <c r="G607">
        <v>3451485</v>
      </c>
      <c r="H607" t="s">
        <v>22537</v>
      </c>
      <c r="J607" s="54" t="s">
        <v>6052</v>
      </c>
      <c r="K607" s="54">
        <v>0</v>
      </c>
      <c r="L607" s="22" t="s">
        <v>34</v>
      </c>
      <c r="M607" s="22" t="s">
        <v>2118</v>
      </c>
    </row>
    <row r="608" spans="1:13" x14ac:dyDescent="0.75">
      <c r="A608" t="s">
        <v>14561</v>
      </c>
      <c r="B608" t="s">
        <v>9753</v>
      </c>
      <c r="C608" t="s">
        <v>6318</v>
      </c>
      <c r="D608" t="s">
        <v>9754</v>
      </c>
      <c r="E608" t="s">
        <v>14562</v>
      </c>
      <c r="F608">
        <v>11</v>
      </c>
      <c r="G608">
        <v>1811622</v>
      </c>
      <c r="H608" t="s">
        <v>14563</v>
      </c>
      <c r="J608" s="54" t="s">
        <v>6052</v>
      </c>
      <c r="K608" s="54">
        <v>0</v>
      </c>
      <c r="L608" s="22" t="s">
        <v>104</v>
      </c>
      <c r="M608" s="22" t="s">
        <v>36921</v>
      </c>
    </row>
    <row r="609" spans="1:13" x14ac:dyDescent="0.75">
      <c r="A609" t="s">
        <v>14510</v>
      </c>
      <c r="B609" t="s">
        <v>9753</v>
      </c>
      <c r="C609" t="s">
        <v>6318</v>
      </c>
      <c r="D609" t="s">
        <v>9754</v>
      </c>
      <c r="E609" t="s">
        <v>14511</v>
      </c>
      <c r="F609">
        <v>54</v>
      </c>
      <c r="G609">
        <v>1816514</v>
      </c>
      <c r="H609" t="s">
        <v>14512</v>
      </c>
      <c r="J609" s="54" t="s">
        <v>6052</v>
      </c>
      <c r="K609" s="54">
        <v>0</v>
      </c>
      <c r="L609" s="22" t="s">
        <v>104</v>
      </c>
      <c r="M609" s="22" t="s">
        <v>36921</v>
      </c>
    </row>
    <row r="610" spans="1:13" x14ac:dyDescent="0.75">
      <c r="A610" t="s">
        <v>14513</v>
      </c>
      <c r="B610" t="s">
        <v>9753</v>
      </c>
      <c r="C610" t="s">
        <v>6318</v>
      </c>
      <c r="D610" t="s">
        <v>9754</v>
      </c>
      <c r="E610" t="s">
        <v>14514</v>
      </c>
      <c r="F610">
        <v>37</v>
      </c>
      <c r="G610">
        <v>1821668</v>
      </c>
      <c r="H610" t="s">
        <v>14515</v>
      </c>
      <c r="J610" s="54" t="s">
        <v>6052</v>
      </c>
      <c r="K610" s="54">
        <v>0</v>
      </c>
      <c r="L610" s="22" t="s">
        <v>104</v>
      </c>
      <c r="M610" s="22" t="s">
        <v>36921</v>
      </c>
    </row>
    <row r="611" spans="1:13" x14ac:dyDescent="0.75">
      <c r="A611" t="s">
        <v>14576</v>
      </c>
      <c r="B611" t="s">
        <v>9753</v>
      </c>
      <c r="C611" t="s">
        <v>6318</v>
      </c>
      <c r="D611" t="s">
        <v>9754</v>
      </c>
      <c r="E611" t="s">
        <v>14577</v>
      </c>
      <c r="F611">
        <v>41</v>
      </c>
      <c r="G611">
        <v>1820583</v>
      </c>
      <c r="H611" t="s">
        <v>14578</v>
      </c>
      <c r="J611" s="54" t="s">
        <v>6052</v>
      </c>
      <c r="K611" s="54">
        <v>0</v>
      </c>
      <c r="L611" s="22" t="s">
        <v>104</v>
      </c>
      <c r="M611" s="22" t="s">
        <v>36921</v>
      </c>
    </row>
    <row r="612" spans="1:13" x14ac:dyDescent="0.75">
      <c r="A612" t="s">
        <v>14588</v>
      </c>
      <c r="B612" t="s">
        <v>9753</v>
      </c>
      <c r="C612" t="s">
        <v>6318</v>
      </c>
      <c r="D612" t="s">
        <v>9754</v>
      </c>
      <c r="E612" t="s">
        <v>14589</v>
      </c>
      <c r="F612">
        <v>66</v>
      </c>
      <c r="G612">
        <v>1884438</v>
      </c>
      <c r="H612" t="s">
        <v>14590</v>
      </c>
      <c r="J612" s="54" t="s">
        <v>6052</v>
      </c>
      <c r="K612" s="54">
        <v>0</v>
      </c>
      <c r="L612" s="22" t="s">
        <v>104</v>
      </c>
      <c r="M612" s="22" t="s">
        <v>36921</v>
      </c>
    </row>
    <row r="613" spans="1:13" x14ac:dyDescent="0.75">
      <c r="A613" t="s">
        <v>14519</v>
      </c>
      <c r="B613" t="s">
        <v>9753</v>
      </c>
      <c r="C613" t="s">
        <v>6318</v>
      </c>
      <c r="D613" t="s">
        <v>9754</v>
      </c>
      <c r="E613" t="s">
        <v>14520</v>
      </c>
      <c r="F613">
        <v>60</v>
      </c>
      <c r="G613">
        <v>1862131</v>
      </c>
      <c r="H613" t="s">
        <v>14521</v>
      </c>
      <c r="J613" s="54" t="s">
        <v>6052</v>
      </c>
      <c r="K613" s="54">
        <v>0</v>
      </c>
      <c r="L613" s="22" t="s">
        <v>104</v>
      </c>
      <c r="M613" s="22" t="s">
        <v>36921</v>
      </c>
    </row>
    <row r="614" spans="1:13" x14ac:dyDescent="0.75">
      <c r="A614" t="s">
        <v>14507</v>
      </c>
      <c r="B614" t="s">
        <v>9753</v>
      </c>
      <c r="C614" t="s">
        <v>6318</v>
      </c>
      <c r="D614" t="s">
        <v>9754</v>
      </c>
      <c r="E614" t="s">
        <v>14508</v>
      </c>
      <c r="F614">
        <v>84</v>
      </c>
      <c r="G614">
        <v>1851742</v>
      </c>
      <c r="H614" t="s">
        <v>14509</v>
      </c>
      <c r="J614" s="54" t="s">
        <v>6052</v>
      </c>
      <c r="K614" s="54">
        <v>0</v>
      </c>
      <c r="L614" s="22" t="s">
        <v>104</v>
      </c>
      <c r="M614" s="22" t="s">
        <v>36921</v>
      </c>
    </row>
    <row r="615" spans="1:13" x14ac:dyDescent="0.75">
      <c r="A615" t="s">
        <v>11537</v>
      </c>
      <c r="B615" t="s">
        <v>9753</v>
      </c>
      <c r="C615" t="s">
        <v>6318</v>
      </c>
      <c r="D615" t="s">
        <v>9754</v>
      </c>
      <c r="E615" t="s">
        <v>11538</v>
      </c>
      <c r="F615">
        <v>1</v>
      </c>
      <c r="G615">
        <v>1840041</v>
      </c>
      <c r="H615" t="s">
        <v>11539</v>
      </c>
      <c r="J615" s="54" t="s">
        <v>6052</v>
      </c>
      <c r="K615" s="54">
        <v>0</v>
      </c>
      <c r="L615" s="22" t="s">
        <v>104</v>
      </c>
      <c r="M615" s="22" t="s">
        <v>36921</v>
      </c>
    </row>
    <row r="616" spans="1:13" x14ac:dyDescent="0.75">
      <c r="A616" t="s">
        <v>9752</v>
      </c>
      <c r="B616" t="s">
        <v>9753</v>
      </c>
      <c r="C616" t="s">
        <v>6318</v>
      </c>
      <c r="D616" t="s">
        <v>9754</v>
      </c>
      <c r="E616" t="s">
        <v>9755</v>
      </c>
      <c r="F616">
        <v>21</v>
      </c>
      <c r="G616">
        <v>1841750</v>
      </c>
      <c r="H616" t="s">
        <v>9756</v>
      </c>
      <c r="J616" s="54" t="s">
        <v>6052</v>
      </c>
      <c r="K616" s="54">
        <v>0</v>
      </c>
      <c r="L616" s="22" t="s">
        <v>104</v>
      </c>
      <c r="M616" s="22" t="s">
        <v>36921</v>
      </c>
    </row>
    <row r="617" spans="1:13" x14ac:dyDescent="0.75">
      <c r="A617" t="s">
        <v>14912</v>
      </c>
      <c r="B617" t="s">
        <v>9753</v>
      </c>
      <c r="C617" t="s">
        <v>6318</v>
      </c>
      <c r="D617" t="s">
        <v>9754</v>
      </c>
      <c r="E617" t="s">
        <v>14913</v>
      </c>
      <c r="F617">
        <v>13</v>
      </c>
      <c r="G617">
        <v>1835588</v>
      </c>
      <c r="H617" t="s">
        <v>14914</v>
      </c>
      <c r="J617" s="54" t="s">
        <v>6052</v>
      </c>
      <c r="K617" s="54">
        <v>0</v>
      </c>
      <c r="L617" s="22" t="s">
        <v>104</v>
      </c>
      <c r="M617" s="22" t="s">
        <v>36921</v>
      </c>
    </row>
    <row r="618" spans="1:13" x14ac:dyDescent="0.75">
      <c r="A618" t="s">
        <v>14939</v>
      </c>
      <c r="B618" t="s">
        <v>9753</v>
      </c>
      <c r="C618" t="s">
        <v>6318</v>
      </c>
      <c r="D618" t="s">
        <v>9754</v>
      </c>
      <c r="E618" t="s">
        <v>14940</v>
      </c>
      <c r="F618">
        <v>11</v>
      </c>
      <c r="G618">
        <v>1920100</v>
      </c>
      <c r="H618" t="s">
        <v>14941</v>
      </c>
      <c r="J618" s="54" t="s">
        <v>6052</v>
      </c>
      <c r="K618" s="54">
        <v>0</v>
      </c>
      <c r="L618" s="22" t="s">
        <v>104</v>
      </c>
      <c r="M618" s="22" t="s">
        <v>36921</v>
      </c>
    </row>
    <row r="619" spans="1:13" x14ac:dyDescent="0.75">
      <c r="A619" t="s">
        <v>14969</v>
      </c>
      <c r="B619" t="s">
        <v>9753</v>
      </c>
      <c r="C619" t="s">
        <v>6318</v>
      </c>
      <c r="D619" t="s">
        <v>9754</v>
      </c>
      <c r="E619" t="s">
        <v>14970</v>
      </c>
      <c r="F619">
        <v>14</v>
      </c>
      <c r="G619">
        <v>1836235</v>
      </c>
      <c r="H619" t="s">
        <v>14971</v>
      </c>
      <c r="J619" s="54" t="s">
        <v>6052</v>
      </c>
      <c r="K619" s="54">
        <v>0</v>
      </c>
      <c r="L619" s="22" t="s">
        <v>104</v>
      </c>
      <c r="M619" s="22" t="s">
        <v>36921</v>
      </c>
    </row>
    <row r="620" spans="1:13" x14ac:dyDescent="0.75">
      <c r="A620" t="s">
        <v>19906</v>
      </c>
      <c r="B620" t="s">
        <v>9753</v>
      </c>
      <c r="C620" t="s">
        <v>6318</v>
      </c>
      <c r="D620" t="s">
        <v>9754</v>
      </c>
      <c r="E620" t="s">
        <v>19907</v>
      </c>
      <c r="F620">
        <v>1</v>
      </c>
      <c r="G620">
        <v>1861371</v>
      </c>
      <c r="H620" t="s">
        <v>19908</v>
      </c>
      <c r="J620" s="54" t="s">
        <v>6052</v>
      </c>
      <c r="K620" s="54">
        <v>0</v>
      </c>
      <c r="L620" s="22" t="s">
        <v>104</v>
      </c>
      <c r="M620" s="22" t="s">
        <v>36921</v>
      </c>
    </row>
    <row r="621" spans="1:13" x14ac:dyDescent="0.75">
      <c r="A621" t="s">
        <v>14963</v>
      </c>
      <c r="B621" t="s">
        <v>9753</v>
      </c>
      <c r="C621" t="s">
        <v>6318</v>
      </c>
      <c r="D621" t="s">
        <v>9754</v>
      </c>
      <c r="E621" t="s">
        <v>14964</v>
      </c>
      <c r="F621">
        <v>6</v>
      </c>
      <c r="G621">
        <v>1838331</v>
      </c>
      <c r="H621" t="s">
        <v>14965</v>
      </c>
      <c r="J621" s="54" t="s">
        <v>6052</v>
      </c>
      <c r="K621" s="54">
        <v>0</v>
      </c>
      <c r="L621" s="22" t="s">
        <v>104</v>
      </c>
      <c r="M621" s="22" t="s">
        <v>36921</v>
      </c>
    </row>
    <row r="622" spans="1:13" x14ac:dyDescent="0.75">
      <c r="A622" t="s">
        <v>19149</v>
      </c>
      <c r="B622" t="s">
        <v>9753</v>
      </c>
      <c r="C622" t="s">
        <v>6318</v>
      </c>
      <c r="D622" t="s">
        <v>9754</v>
      </c>
      <c r="E622" t="s">
        <v>19150</v>
      </c>
      <c r="F622">
        <v>14</v>
      </c>
      <c r="G622">
        <v>1803340</v>
      </c>
      <c r="H622" t="s">
        <v>19151</v>
      </c>
      <c r="J622" s="54" t="s">
        <v>6052</v>
      </c>
      <c r="K622" s="54">
        <v>0</v>
      </c>
      <c r="L622" s="22" t="s">
        <v>104</v>
      </c>
      <c r="M622" s="22" t="s">
        <v>36921</v>
      </c>
    </row>
    <row r="623" spans="1:13" x14ac:dyDescent="0.75">
      <c r="A623" t="s">
        <v>13654</v>
      </c>
      <c r="B623" t="s">
        <v>9753</v>
      </c>
      <c r="C623" t="s">
        <v>6318</v>
      </c>
      <c r="D623" t="s">
        <v>9754</v>
      </c>
      <c r="E623" t="s">
        <v>13655</v>
      </c>
      <c r="F623">
        <v>39</v>
      </c>
      <c r="G623">
        <v>1891545</v>
      </c>
      <c r="H623" t="s">
        <v>13656</v>
      </c>
      <c r="J623" s="54" t="s">
        <v>6052</v>
      </c>
      <c r="K623" s="54">
        <v>0</v>
      </c>
      <c r="L623" s="22" t="s">
        <v>104</v>
      </c>
      <c r="M623" s="22" t="s">
        <v>36921</v>
      </c>
    </row>
    <row r="624" spans="1:13" x14ac:dyDescent="0.75">
      <c r="A624" t="s">
        <v>13645</v>
      </c>
      <c r="B624" t="s">
        <v>9753</v>
      </c>
      <c r="C624" t="s">
        <v>6318</v>
      </c>
      <c r="D624" t="s">
        <v>9754</v>
      </c>
      <c r="E624" t="s">
        <v>13646</v>
      </c>
      <c r="F624">
        <v>30</v>
      </c>
      <c r="G624">
        <v>1937734</v>
      </c>
      <c r="H624" t="s">
        <v>13647</v>
      </c>
      <c r="J624" s="54" t="s">
        <v>6052</v>
      </c>
      <c r="K624" s="54">
        <v>0</v>
      </c>
      <c r="L624" s="22" t="s">
        <v>104</v>
      </c>
      <c r="M624" s="22" t="s">
        <v>36921</v>
      </c>
    </row>
    <row r="625" spans="1:13" x14ac:dyDescent="0.75">
      <c r="A625" t="s">
        <v>28352</v>
      </c>
      <c r="B625" t="s">
        <v>9753</v>
      </c>
      <c r="C625" t="s">
        <v>6318</v>
      </c>
      <c r="D625" t="s">
        <v>9754</v>
      </c>
      <c r="E625" t="s">
        <v>28353</v>
      </c>
      <c r="F625">
        <v>30</v>
      </c>
      <c r="G625">
        <v>1937734</v>
      </c>
      <c r="H625" t="s">
        <v>28354</v>
      </c>
      <c r="J625" s="54" t="s">
        <v>6052</v>
      </c>
      <c r="K625" s="54">
        <v>0</v>
      </c>
      <c r="L625" s="22" t="s">
        <v>104</v>
      </c>
      <c r="M625" s="22" t="s">
        <v>36921</v>
      </c>
    </row>
    <row r="626" spans="1:13" x14ac:dyDescent="0.75">
      <c r="A626" t="s">
        <v>28346</v>
      </c>
      <c r="B626" t="s">
        <v>9753</v>
      </c>
      <c r="C626" t="s">
        <v>6318</v>
      </c>
      <c r="D626" t="s">
        <v>9754</v>
      </c>
      <c r="E626" t="s">
        <v>28347</v>
      </c>
      <c r="F626">
        <v>39</v>
      </c>
      <c r="G626">
        <v>1891545</v>
      </c>
      <c r="H626" t="s">
        <v>28348</v>
      </c>
      <c r="J626" s="54" t="s">
        <v>6052</v>
      </c>
      <c r="K626" s="54">
        <v>0</v>
      </c>
      <c r="L626" s="22" t="s">
        <v>104</v>
      </c>
      <c r="M626" s="22" t="s">
        <v>36921</v>
      </c>
    </row>
    <row r="627" spans="1:13" x14ac:dyDescent="0.75">
      <c r="A627" t="s">
        <v>28349</v>
      </c>
      <c r="B627" t="s">
        <v>9753</v>
      </c>
      <c r="C627" t="s">
        <v>6318</v>
      </c>
      <c r="D627" t="s">
        <v>9754</v>
      </c>
      <c r="E627" t="s">
        <v>28350</v>
      </c>
      <c r="F627">
        <v>66</v>
      </c>
      <c r="G627">
        <v>1884438</v>
      </c>
      <c r="H627" t="s">
        <v>28351</v>
      </c>
      <c r="J627" s="54" t="s">
        <v>6052</v>
      </c>
      <c r="K627" s="54">
        <v>0</v>
      </c>
      <c r="L627" s="22" t="s">
        <v>104</v>
      </c>
      <c r="M627" s="22" t="s">
        <v>36921</v>
      </c>
    </row>
    <row r="628" spans="1:13" x14ac:dyDescent="0.75">
      <c r="A628" t="s">
        <v>14933</v>
      </c>
      <c r="B628" t="s">
        <v>9753</v>
      </c>
      <c r="C628" t="s">
        <v>6318</v>
      </c>
      <c r="D628" t="s">
        <v>9754</v>
      </c>
      <c r="E628" t="s">
        <v>14934</v>
      </c>
      <c r="F628">
        <v>1</v>
      </c>
      <c r="G628">
        <v>1932636</v>
      </c>
      <c r="H628" t="s">
        <v>14935</v>
      </c>
      <c r="J628" s="54" t="s">
        <v>6052</v>
      </c>
      <c r="K628" s="54">
        <v>0</v>
      </c>
      <c r="L628" s="22" t="s">
        <v>104</v>
      </c>
      <c r="M628" s="22" t="s">
        <v>36921</v>
      </c>
    </row>
    <row r="629" spans="1:13" x14ac:dyDescent="0.75">
      <c r="A629" t="s">
        <v>14915</v>
      </c>
      <c r="B629" t="s">
        <v>9753</v>
      </c>
      <c r="C629" t="s">
        <v>6318</v>
      </c>
      <c r="D629" t="s">
        <v>9754</v>
      </c>
      <c r="E629" t="s">
        <v>14916</v>
      </c>
      <c r="F629">
        <v>2</v>
      </c>
      <c r="G629">
        <v>1897765</v>
      </c>
      <c r="H629" t="s">
        <v>14917</v>
      </c>
      <c r="J629" s="54" t="s">
        <v>6052</v>
      </c>
      <c r="K629" s="54">
        <v>0</v>
      </c>
      <c r="L629" s="22" t="s">
        <v>104</v>
      </c>
      <c r="M629" s="22" t="s">
        <v>36921</v>
      </c>
    </row>
    <row r="630" spans="1:13" x14ac:dyDescent="0.75">
      <c r="A630" t="s">
        <v>14945</v>
      </c>
      <c r="B630" t="s">
        <v>9753</v>
      </c>
      <c r="C630" t="s">
        <v>6318</v>
      </c>
      <c r="D630" t="s">
        <v>9754</v>
      </c>
      <c r="E630" t="s">
        <v>14946</v>
      </c>
      <c r="F630">
        <v>2</v>
      </c>
      <c r="G630">
        <v>1834912</v>
      </c>
      <c r="H630" t="s">
        <v>14947</v>
      </c>
      <c r="J630" s="54" t="s">
        <v>6052</v>
      </c>
      <c r="K630" s="54">
        <v>0</v>
      </c>
      <c r="L630" s="22" t="s">
        <v>104</v>
      </c>
      <c r="M630" s="22" t="s">
        <v>36921</v>
      </c>
    </row>
    <row r="631" spans="1:13" x14ac:dyDescent="0.75">
      <c r="A631" t="s">
        <v>19912</v>
      </c>
      <c r="B631" t="s">
        <v>9753</v>
      </c>
      <c r="C631" t="s">
        <v>6318</v>
      </c>
      <c r="D631" t="s">
        <v>9754</v>
      </c>
      <c r="E631" t="s">
        <v>19913</v>
      </c>
      <c r="F631">
        <v>1</v>
      </c>
      <c r="G631">
        <v>1831655</v>
      </c>
      <c r="H631" t="s">
        <v>19914</v>
      </c>
      <c r="J631" s="54" t="s">
        <v>6052</v>
      </c>
      <c r="K631" s="54">
        <v>0</v>
      </c>
      <c r="L631" s="22" t="s">
        <v>104</v>
      </c>
      <c r="M631" s="22" t="s">
        <v>36921</v>
      </c>
    </row>
    <row r="632" spans="1:13" x14ac:dyDescent="0.75">
      <c r="A632" t="s">
        <v>19909</v>
      </c>
      <c r="B632" t="s">
        <v>9753</v>
      </c>
      <c r="C632" t="s">
        <v>6318</v>
      </c>
      <c r="D632" t="s">
        <v>9754</v>
      </c>
      <c r="E632" t="s">
        <v>19910</v>
      </c>
      <c r="F632">
        <v>1</v>
      </c>
      <c r="G632">
        <v>1800519</v>
      </c>
      <c r="H632" t="s">
        <v>19911</v>
      </c>
      <c r="J632" s="54" t="s">
        <v>6052</v>
      </c>
      <c r="K632" s="54">
        <v>0</v>
      </c>
      <c r="L632" s="22" t="s">
        <v>104</v>
      </c>
      <c r="M632" s="22" t="s">
        <v>36921</v>
      </c>
    </row>
    <row r="633" spans="1:13" x14ac:dyDescent="0.75">
      <c r="A633" t="s">
        <v>18378</v>
      </c>
      <c r="B633" t="s">
        <v>6317</v>
      </c>
      <c r="C633" t="s">
        <v>6318</v>
      </c>
      <c r="D633" t="s">
        <v>6319</v>
      </c>
      <c r="E633">
        <v>370.96</v>
      </c>
      <c r="F633">
        <v>35</v>
      </c>
      <c r="G633">
        <v>2023950</v>
      </c>
      <c r="H633" t="s">
        <v>18379</v>
      </c>
      <c r="J633" s="54" t="s">
        <v>6052</v>
      </c>
      <c r="K633" s="54">
        <v>0</v>
      </c>
      <c r="L633" s="22" t="s">
        <v>104</v>
      </c>
      <c r="M633" s="22" t="s">
        <v>36918</v>
      </c>
    </row>
    <row r="634" spans="1:13" x14ac:dyDescent="0.75">
      <c r="A634" t="s">
        <v>6316</v>
      </c>
      <c r="B634" t="s">
        <v>6317</v>
      </c>
      <c r="C634" t="s">
        <v>6318</v>
      </c>
      <c r="D634" t="s">
        <v>6319</v>
      </c>
      <c r="E634">
        <v>525.91999999999996</v>
      </c>
      <c r="F634">
        <v>1</v>
      </c>
      <c r="G634">
        <v>1971270</v>
      </c>
      <c r="H634" t="s">
        <v>6320</v>
      </c>
      <c r="J634" s="54" t="s">
        <v>6052</v>
      </c>
      <c r="K634" s="54">
        <v>0</v>
      </c>
      <c r="L634" s="22" t="s">
        <v>104</v>
      </c>
      <c r="M634" s="22" t="s">
        <v>36918</v>
      </c>
    </row>
    <row r="635" spans="1:13" x14ac:dyDescent="0.75">
      <c r="A635" t="s">
        <v>18396</v>
      </c>
      <c r="B635" t="s">
        <v>6317</v>
      </c>
      <c r="C635" t="s">
        <v>6318</v>
      </c>
      <c r="D635" t="s">
        <v>6319</v>
      </c>
      <c r="E635">
        <v>13153</v>
      </c>
      <c r="F635">
        <v>23</v>
      </c>
      <c r="G635">
        <v>1947544</v>
      </c>
      <c r="H635" t="s">
        <v>18397</v>
      </c>
      <c r="J635" s="54" t="s">
        <v>6052</v>
      </c>
      <c r="K635" s="54">
        <v>0</v>
      </c>
      <c r="L635" s="22" t="s">
        <v>104</v>
      </c>
      <c r="M635" s="22" t="s">
        <v>36918</v>
      </c>
    </row>
    <row r="636" spans="1:13" x14ac:dyDescent="0.75">
      <c r="A636" t="s">
        <v>18394</v>
      </c>
      <c r="B636" t="s">
        <v>6317</v>
      </c>
      <c r="C636" t="s">
        <v>6318</v>
      </c>
      <c r="D636" t="s">
        <v>6319</v>
      </c>
      <c r="E636">
        <v>13570</v>
      </c>
      <c r="F636">
        <v>32</v>
      </c>
      <c r="G636">
        <v>1903081</v>
      </c>
      <c r="H636" t="s">
        <v>18395</v>
      </c>
      <c r="J636" s="54" t="s">
        <v>6052</v>
      </c>
      <c r="K636" s="54">
        <v>0</v>
      </c>
      <c r="L636" s="22" t="s">
        <v>104</v>
      </c>
      <c r="M636" s="22" t="s">
        <v>36918</v>
      </c>
    </row>
    <row r="637" spans="1:13" x14ac:dyDescent="0.75">
      <c r="A637" t="s">
        <v>18398</v>
      </c>
      <c r="B637" t="s">
        <v>6317</v>
      </c>
      <c r="C637" t="s">
        <v>6318</v>
      </c>
      <c r="D637" t="s">
        <v>6319</v>
      </c>
      <c r="E637">
        <v>15500</v>
      </c>
      <c r="F637">
        <v>31</v>
      </c>
      <c r="G637">
        <v>2026710</v>
      </c>
      <c r="H637" t="s">
        <v>18399</v>
      </c>
      <c r="J637" s="54" t="s">
        <v>6052</v>
      </c>
      <c r="K637" s="54">
        <v>0</v>
      </c>
      <c r="L637" s="22" t="s">
        <v>104</v>
      </c>
      <c r="M637" s="22" t="s">
        <v>36918</v>
      </c>
    </row>
    <row r="638" spans="1:13" x14ac:dyDescent="0.75">
      <c r="A638" t="s">
        <v>18392</v>
      </c>
      <c r="B638" t="s">
        <v>6317</v>
      </c>
      <c r="C638" t="s">
        <v>6318</v>
      </c>
      <c r="D638" t="s">
        <v>6319</v>
      </c>
      <c r="E638">
        <v>17503</v>
      </c>
      <c r="F638">
        <v>31</v>
      </c>
      <c r="G638">
        <v>2018414</v>
      </c>
      <c r="H638" t="s">
        <v>18393</v>
      </c>
      <c r="J638" s="54" t="s">
        <v>6052</v>
      </c>
      <c r="K638" s="54">
        <v>0</v>
      </c>
      <c r="L638" s="22" t="s">
        <v>104</v>
      </c>
      <c r="M638" s="22" t="s">
        <v>36918</v>
      </c>
    </row>
    <row r="639" spans="1:13" x14ac:dyDescent="0.75">
      <c r="A639" t="s">
        <v>20426</v>
      </c>
      <c r="B639" t="s">
        <v>6317</v>
      </c>
      <c r="C639" t="s">
        <v>6318</v>
      </c>
      <c r="D639" t="s">
        <v>6319</v>
      </c>
      <c r="E639">
        <v>2017609248</v>
      </c>
      <c r="F639">
        <v>21</v>
      </c>
      <c r="G639">
        <v>2028928</v>
      </c>
      <c r="H639" t="s">
        <v>20427</v>
      </c>
      <c r="J639" s="54" t="s">
        <v>6052</v>
      </c>
      <c r="K639" s="54">
        <v>0</v>
      </c>
      <c r="L639" s="22" t="s">
        <v>104</v>
      </c>
      <c r="M639" s="22" t="s">
        <v>36918</v>
      </c>
    </row>
    <row r="640" spans="1:13" x14ac:dyDescent="0.75">
      <c r="A640" t="s">
        <v>18375</v>
      </c>
      <c r="B640" t="s">
        <v>6317</v>
      </c>
      <c r="C640" t="s">
        <v>6318</v>
      </c>
      <c r="D640" t="s">
        <v>6319</v>
      </c>
      <c r="E640" t="s">
        <v>18376</v>
      </c>
      <c r="F640">
        <v>24</v>
      </c>
      <c r="G640">
        <v>1950242</v>
      </c>
      <c r="H640" t="s">
        <v>18377</v>
      </c>
      <c r="J640" s="54" t="s">
        <v>6052</v>
      </c>
      <c r="K640" s="54">
        <v>0</v>
      </c>
      <c r="L640" s="22" t="s">
        <v>104</v>
      </c>
      <c r="M640" s="22" t="s">
        <v>36918</v>
      </c>
    </row>
    <row r="641" spans="1:13" x14ac:dyDescent="0.75">
      <c r="A641" t="s">
        <v>18711</v>
      </c>
      <c r="B641" t="s">
        <v>6317</v>
      </c>
      <c r="C641" t="s">
        <v>6318</v>
      </c>
      <c r="D641" t="s">
        <v>6319</v>
      </c>
      <c r="E641" t="s">
        <v>18376</v>
      </c>
      <c r="F641">
        <v>1</v>
      </c>
      <c r="G641">
        <v>1974918</v>
      </c>
      <c r="H641" t="s">
        <v>18712</v>
      </c>
      <c r="J641" s="54" t="s">
        <v>6052</v>
      </c>
      <c r="K641" s="54">
        <v>0</v>
      </c>
      <c r="L641" s="22" t="s">
        <v>104</v>
      </c>
      <c r="M641" s="22" t="s">
        <v>36918</v>
      </c>
    </row>
    <row r="642" spans="1:13" x14ac:dyDescent="0.75">
      <c r="A642" t="s">
        <v>9361</v>
      </c>
      <c r="B642" t="s">
        <v>6317</v>
      </c>
      <c r="C642" t="s">
        <v>6318</v>
      </c>
      <c r="D642" t="s">
        <v>6319</v>
      </c>
      <c r="E642" t="s">
        <v>9362</v>
      </c>
      <c r="F642">
        <v>8</v>
      </c>
      <c r="G642">
        <v>1954904</v>
      </c>
      <c r="H642" t="s">
        <v>9363</v>
      </c>
      <c r="J642" s="54" t="s">
        <v>6052</v>
      </c>
      <c r="K642" s="54">
        <v>0</v>
      </c>
      <c r="L642" s="22" t="s">
        <v>104</v>
      </c>
      <c r="M642" s="22" t="s">
        <v>36918</v>
      </c>
    </row>
    <row r="643" spans="1:13" x14ac:dyDescent="0.75">
      <c r="A643" t="s">
        <v>21880</v>
      </c>
      <c r="B643" t="s">
        <v>6317</v>
      </c>
      <c r="C643" t="s">
        <v>6318</v>
      </c>
      <c r="D643" t="s">
        <v>6319</v>
      </c>
      <c r="E643" t="s">
        <v>21881</v>
      </c>
      <c r="F643">
        <v>1</v>
      </c>
      <c r="G643">
        <v>1974909</v>
      </c>
      <c r="H643" t="s">
        <v>21882</v>
      </c>
      <c r="J643" s="54" t="s">
        <v>6052</v>
      </c>
      <c r="K643" s="54">
        <v>0</v>
      </c>
      <c r="L643" s="22" t="s">
        <v>104</v>
      </c>
      <c r="M643" s="22" t="s">
        <v>36918</v>
      </c>
    </row>
    <row r="644" spans="1:13" x14ac:dyDescent="0.75">
      <c r="A644" t="s">
        <v>8787</v>
      </c>
      <c r="B644" t="s">
        <v>6317</v>
      </c>
      <c r="C644" t="s">
        <v>6318</v>
      </c>
      <c r="D644" t="s">
        <v>6319</v>
      </c>
      <c r="E644" t="s">
        <v>8788</v>
      </c>
      <c r="F644">
        <v>19</v>
      </c>
      <c r="G644">
        <v>2142354</v>
      </c>
      <c r="H644" t="s">
        <v>8789</v>
      </c>
      <c r="J644" s="54" t="s">
        <v>6052</v>
      </c>
      <c r="K644" s="54">
        <v>0</v>
      </c>
      <c r="L644" s="22" t="s">
        <v>104</v>
      </c>
      <c r="M644" s="22" t="s">
        <v>36918</v>
      </c>
    </row>
    <row r="645" spans="1:13" x14ac:dyDescent="0.75">
      <c r="A645" t="s">
        <v>28319</v>
      </c>
      <c r="B645" t="s">
        <v>6317</v>
      </c>
      <c r="C645" t="s">
        <v>6318</v>
      </c>
      <c r="D645" t="s">
        <v>6319</v>
      </c>
      <c r="E645" t="s">
        <v>28320</v>
      </c>
      <c r="F645">
        <v>1</v>
      </c>
      <c r="G645">
        <v>1971264</v>
      </c>
      <c r="H645" t="s">
        <v>28321</v>
      </c>
      <c r="J645" s="54" t="s">
        <v>6052</v>
      </c>
      <c r="K645" s="54">
        <v>0</v>
      </c>
      <c r="L645" s="22" t="s">
        <v>104</v>
      </c>
      <c r="M645" s="22" t="s">
        <v>36918</v>
      </c>
    </row>
    <row r="646" spans="1:13" x14ac:dyDescent="0.75">
      <c r="A646" t="s">
        <v>18386</v>
      </c>
      <c r="B646" t="s">
        <v>6317</v>
      </c>
      <c r="C646" t="s">
        <v>6318</v>
      </c>
      <c r="D646" t="s">
        <v>6319</v>
      </c>
      <c r="E646" t="s">
        <v>18387</v>
      </c>
      <c r="F646">
        <v>27</v>
      </c>
      <c r="G646">
        <v>1928073</v>
      </c>
      <c r="H646" t="s">
        <v>18388</v>
      </c>
      <c r="J646" s="54" t="s">
        <v>6052</v>
      </c>
      <c r="K646" s="54">
        <v>0</v>
      </c>
      <c r="L646" s="22" t="s">
        <v>104</v>
      </c>
      <c r="M646" s="22" t="s">
        <v>36918</v>
      </c>
    </row>
    <row r="647" spans="1:13" x14ac:dyDescent="0.75">
      <c r="A647" t="s">
        <v>18380</v>
      </c>
      <c r="B647" t="s">
        <v>6317</v>
      </c>
      <c r="C647" t="s">
        <v>6318</v>
      </c>
      <c r="D647" t="s">
        <v>6319</v>
      </c>
      <c r="E647" t="s">
        <v>18381</v>
      </c>
      <c r="F647">
        <v>28</v>
      </c>
      <c r="G647">
        <v>1962220</v>
      </c>
      <c r="H647" t="s">
        <v>18382</v>
      </c>
      <c r="J647" s="54" t="s">
        <v>6052</v>
      </c>
      <c r="K647" s="54">
        <v>0</v>
      </c>
      <c r="L647" s="22" t="s">
        <v>104</v>
      </c>
      <c r="M647" s="22" t="s">
        <v>36918</v>
      </c>
    </row>
    <row r="648" spans="1:13" x14ac:dyDescent="0.75">
      <c r="A648" t="s">
        <v>18389</v>
      </c>
      <c r="B648" t="s">
        <v>6317</v>
      </c>
      <c r="C648" t="s">
        <v>6318</v>
      </c>
      <c r="D648" t="s">
        <v>6319</v>
      </c>
      <c r="E648" t="s">
        <v>18390</v>
      </c>
      <c r="F648">
        <v>39</v>
      </c>
      <c r="G648">
        <v>2009544</v>
      </c>
      <c r="H648" t="s">
        <v>18391</v>
      </c>
      <c r="J648" s="54" t="s">
        <v>6052</v>
      </c>
      <c r="K648" s="54">
        <v>0</v>
      </c>
      <c r="L648" s="22" t="s">
        <v>104</v>
      </c>
      <c r="M648" s="22" t="s">
        <v>36918</v>
      </c>
    </row>
    <row r="649" spans="1:13" x14ac:dyDescent="0.75">
      <c r="A649" t="s">
        <v>18383</v>
      </c>
      <c r="B649" t="s">
        <v>6317</v>
      </c>
      <c r="C649" t="s">
        <v>6318</v>
      </c>
      <c r="D649" t="s">
        <v>6319</v>
      </c>
      <c r="E649" t="s">
        <v>18384</v>
      </c>
      <c r="F649">
        <v>28</v>
      </c>
      <c r="G649">
        <v>1933223</v>
      </c>
      <c r="H649" t="s">
        <v>18385</v>
      </c>
      <c r="J649" s="54" t="s">
        <v>6052</v>
      </c>
      <c r="K649" s="54">
        <v>0</v>
      </c>
      <c r="L649" s="22" t="s">
        <v>104</v>
      </c>
      <c r="M649" s="22" t="s">
        <v>36918</v>
      </c>
    </row>
    <row r="650" spans="1:13" x14ac:dyDescent="0.75">
      <c r="A650" t="s">
        <v>11388</v>
      </c>
      <c r="B650" t="s">
        <v>7215</v>
      </c>
      <c r="C650" t="s">
        <v>6318</v>
      </c>
      <c r="D650" t="s">
        <v>7216</v>
      </c>
      <c r="E650" t="s">
        <v>11389</v>
      </c>
      <c r="F650">
        <v>1</v>
      </c>
      <c r="G650">
        <v>2281652</v>
      </c>
      <c r="H650" t="s">
        <v>11390</v>
      </c>
      <c r="J650" s="54" t="s">
        <v>6052</v>
      </c>
      <c r="K650" s="54">
        <v>0</v>
      </c>
      <c r="L650" s="22" t="s">
        <v>104</v>
      </c>
      <c r="M650" s="22" t="s">
        <v>36922</v>
      </c>
    </row>
    <row r="651" spans="1:13" x14ac:dyDescent="0.75">
      <c r="A651" t="s">
        <v>21874</v>
      </c>
      <c r="B651" t="s">
        <v>7215</v>
      </c>
      <c r="C651" t="s">
        <v>6318</v>
      </c>
      <c r="D651" t="s">
        <v>7216</v>
      </c>
      <c r="E651" t="s">
        <v>21875</v>
      </c>
      <c r="F651">
        <v>1</v>
      </c>
      <c r="G651">
        <v>2281730</v>
      </c>
      <c r="H651" t="s">
        <v>21876</v>
      </c>
      <c r="J651" s="54" t="s">
        <v>6052</v>
      </c>
      <c r="K651" s="54">
        <v>0</v>
      </c>
      <c r="L651" s="22" t="s">
        <v>104</v>
      </c>
      <c r="M651" s="22" t="s">
        <v>36922</v>
      </c>
    </row>
    <row r="652" spans="1:13" x14ac:dyDescent="0.75">
      <c r="A652" t="s">
        <v>27420</v>
      </c>
      <c r="B652" t="s">
        <v>7215</v>
      </c>
      <c r="C652" t="s">
        <v>6318</v>
      </c>
      <c r="D652" t="s">
        <v>7216</v>
      </c>
      <c r="E652" t="s">
        <v>27421</v>
      </c>
      <c r="F652">
        <v>2</v>
      </c>
      <c r="G652">
        <v>2268496</v>
      </c>
      <c r="H652" t="s">
        <v>27422</v>
      </c>
      <c r="J652" s="54" t="s">
        <v>6052</v>
      </c>
      <c r="K652" s="54">
        <v>0</v>
      </c>
      <c r="L652" s="22" t="s">
        <v>104</v>
      </c>
      <c r="M652" s="22" t="s">
        <v>36922</v>
      </c>
    </row>
    <row r="653" spans="1:13" x14ac:dyDescent="0.75">
      <c r="A653" t="s">
        <v>7214</v>
      </c>
      <c r="B653" t="s">
        <v>7215</v>
      </c>
      <c r="C653" t="s">
        <v>6318</v>
      </c>
      <c r="D653" t="s">
        <v>7216</v>
      </c>
      <c r="E653" t="s">
        <v>7217</v>
      </c>
      <c r="F653">
        <v>33</v>
      </c>
      <c r="G653">
        <v>2255573</v>
      </c>
      <c r="H653" t="s">
        <v>7218</v>
      </c>
      <c r="J653" s="54" t="s">
        <v>6052</v>
      </c>
      <c r="K653" s="54">
        <v>0</v>
      </c>
      <c r="L653" s="22" t="s">
        <v>104</v>
      </c>
      <c r="M653" s="22" t="s">
        <v>36922</v>
      </c>
    </row>
    <row r="654" spans="1:13" x14ac:dyDescent="0.75">
      <c r="A654" t="s">
        <v>16681</v>
      </c>
      <c r="B654" t="s">
        <v>7160</v>
      </c>
      <c r="C654" t="s">
        <v>6318</v>
      </c>
      <c r="D654" t="s">
        <v>7161</v>
      </c>
      <c r="E654" t="s">
        <v>16682</v>
      </c>
      <c r="F654">
        <v>1</v>
      </c>
      <c r="G654">
        <v>2571679</v>
      </c>
      <c r="H654" t="s">
        <v>16683</v>
      </c>
      <c r="J654" s="54" t="s">
        <v>6052</v>
      </c>
      <c r="K654" s="54">
        <v>0</v>
      </c>
      <c r="L654" s="22" t="s">
        <v>104</v>
      </c>
      <c r="M654" s="22" t="s">
        <v>36923</v>
      </c>
    </row>
    <row r="655" spans="1:13" x14ac:dyDescent="0.75">
      <c r="A655" t="s">
        <v>25296</v>
      </c>
      <c r="B655" t="s">
        <v>7160</v>
      </c>
      <c r="C655" t="s">
        <v>6318</v>
      </c>
      <c r="D655" t="s">
        <v>7161</v>
      </c>
      <c r="E655" t="s">
        <v>25297</v>
      </c>
      <c r="F655">
        <v>209</v>
      </c>
      <c r="G655">
        <v>2104853</v>
      </c>
      <c r="H655" t="s">
        <v>25298</v>
      </c>
      <c r="J655" s="54" t="s">
        <v>6052</v>
      </c>
      <c r="K655" s="54">
        <v>0</v>
      </c>
      <c r="L655" s="22" t="s">
        <v>104</v>
      </c>
      <c r="M655" s="22" t="s">
        <v>36923</v>
      </c>
    </row>
    <row r="656" spans="1:13" x14ac:dyDescent="0.75">
      <c r="A656" t="s">
        <v>21877</v>
      </c>
      <c r="B656" t="s">
        <v>7160</v>
      </c>
      <c r="C656" t="s">
        <v>6318</v>
      </c>
      <c r="D656" t="s">
        <v>7161</v>
      </c>
      <c r="E656" t="s">
        <v>21878</v>
      </c>
      <c r="F656">
        <v>1</v>
      </c>
      <c r="G656">
        <v>2571801</v>
      </c>
      <c r="H656" t="s">
        <v>21879</v>
      </c>
      <c r="J656" s="54" t="s">
        <v>6052</v>
      </c>
      <c r="K656" s="54">
        <v>0</v>
      </c>
      <c r="L656" s="22" t="s">
        <v>104</v>
      </c>
      <c r="M656" s="22" t="s">
        <v>36923</v>
      </c>
    </row>
    <row r="657" spans="1:13" x14ac:dyDescent="0.75">
      <c r="A657" t="s">
        <v>16080</v>
      </c>
      <c r="B657" t="s">
        <v>7160</v>
      </c>
      <c r="C657" t="s">
        <v>6318</v>
      </c>
      <c r="D657" t="s">
        <v>7161</v>
      </c>
      <c r="E657" t="s">
        <v>16081</v>
      </c>
      <c r="F657">
        <v>91</v>
      </c>
      <c r="G657">
        <v>2491340</v>
      </c>
      <c r="H657" t="s">
        <v>16082</v>
      </c>
      <c r="J657" s="54" t="s">
        <v>6052</v>
      </c>
      <c r="K657" s="54">
        <v>0</v>
      </c>
      <c r="L657" s="22" t="s">
        <v>104</v>
      </c>
      <c r="M657" s="22" t="s">
        <v>36923</v>
      </c>
    </row>
    <row r="658" spans="1:13" x14ac:dyDescent="0.75">
      <c r="A658" t="s">
        <v>7159</v>
      </c>
      <c r="B658" t="s">
        <v>7160</v>
      </c>
      <c r="C658" t="s">
        <v>6318</v>
      </c>
      <c r="D658" t="s">
        <v>7161</v>
      </c>
      <c r="E658" t="s">
        <v>7162</v>
      </c>
      <c r="F658">
        <v>89</v>
      </c>
      <c r="G658">
        <v>2513107</v>
      </c>
      <c r="H658" t="s">
        <v>7163</v>
      </c>
      <c r="J658" s="54" t="s">
        <v>6052</v>
      </c>
      <c r="K658" s="54">
        <v>0</v>
      </c>
      <c r="L658" s="22" t="s">
        <v>104</v>
      </c>
      <c r="M658" s="22" t="s">
        <v>36923</v>
      </c>
    </row>
    <row r="659" spans="1:13" x14ac:dyDescent="0.75">
      <c r="A659" t="s">
        <v>29089</v>
      </c>
      <c r="B659" t="s">
        <v>7160</v>
      </c>
      <c r="C659" t="s">
        <v>6318</v>
      </c>
      <c r="D659" t="s">
        <v>7161</v>
      </c>
      <c r="E659" t="s">
        <v>29090</v>
      </c>
      <c r="F659">
        <v>263</v>
      </c>
      <c r="G659">
        <v>2020017</v>
      </c>
      <c r="H659" t="s">
        <v>29091</v>
      </c>
      <c r="J659" s="54" t="s">
        <v>6052</v>
      </c>
      <c r="K659" s="54">
        <v>0</v>
      </c>
      <c r="L659" s="22" t="s">
        <v>104</v>
      </c>
      <c r="M659" s="22" t="s">
        <v>36923</v>
      </c>
    </row>
    <row r="660" spans="1:13" x14ac:dyDescent="0.75">
      <c r="A660" t="s">
        <v>27887</v>
      </c>
      <c r="B660" t="s">
        <v>7210</v>
      </c>
      <c r="C660" t="s">
        <v>6318</v>
      </c>
      <c r="D660" t="s">
        <v>7211</v>
      </c>
      <c r="E660" t="s">
        <v>27888</v>
      </c>
      <c r="F660">
        <v>4</v>
      </c>
      <c r="G660">
        <v>2243050</v>
      </c>
      <c r="H660" t="s">
        <v>27889</v>
      </c>
      <c r="J660" s="54" t="s">
        <v>6052</v>
      </c>
      <c r="K660" s="54">
        <v>0</v>
      </c>
      <c r="L660" s="22" t="s">
        <v>104</v>
      </c>
      <c r="M660" s="22" t="s">
        <v>36920</v>
      </c>
    </row>
    <row r="661" spans="1:13" x14ac:dyDescent="0.75">
      <c r="A661" t="s">
        <v>27881</v>
      </c>
      <c r="B661" t="s">
        <v>7210</v>
      </c>
      <c r="C661" t="s">
        <v>6318</v>
      </c>
      <c r="D661" t="s">
        <v>7211</v>
      </c>
      <c r="E661" t="s">
        <v>27882</v>
      </c>
      <c r="F661">
        <v>12</v>
      </c>
      <c r="G661">
        <v>2240249</v>
      </c>
      <c r="H661" t="s">
        <v>27883</v>
      </c>
      <c r="J661" s="54" t="s">
        <v>6052</v>
      </c>
      <c r="K661" s="54">
        <v>0</v>
      </c>
      <c r="L661" s="22" t="s">
        <v>104</v>
      </c>
      <c r="M661" s="22" t="s">
        <v>36920</v>
      </c>
    </row>
    <row r="662" spans="1:13" x14ac:dyDescent="0.75">
      <c r="A662" t="s">
        <v>16684</v>
      </c>
      <c r="B662" t="s">
        <v>7210</v>
      </c>
      <c r="C662" t="s">
        <v>6318</v>
      </c>
      <c r="D662" t="s">
        <v>7211</v>
      </c>
      <c r="E662" t="s">
        <v>16685</v>
      </c>
      <c r="F662">
        <v>1</v>
      </c>
      <c r="G662">
        <v>2097887</v>
      </c>
      <c r="H662" t="s">
        <v>16686</v>
      </c>
      <c r="J662" s="54" t="s">
        <v>6052</v>
      </c>
      <c r="K662" s="54">
        <v>0</v>
      </c>
      <c r="L662" s="22" t="s">
        <v>104</v>
      </c>
      <c r="M662" s="22" t="s">
        <v>36920</v>
      </c>
    </row>
    <row r="663" spans="1:13" x14ac:dyDescent="0.75">
      <c r="A663" t="s">
        <v>27872</v>
      </c>
      <c r="B663" t="s">
        <v>7210</v>
      </c>
      <c r="C663" t="s">
        <v>6318</v>
      </c>
      <c r="D663" t="s">
        <v>7211</v>
      </c>
      <c r="E663" t="s">
        <v>27873</v>
      </c>
      <c r="F663">
        <v>2</v>
      </c>
      <c r="G663">
        <v>2308370</v>
      </c>
      <c r="H663" t="s">
        <v>27874</v>
      </c>
      <c r="J663" s="54" t="s">
        <v>6052</v>
      </c>
      <c r="K663" s="54">
        <v>0</v>
      </c>
      <c r="L663" s="22" t="s">
        <v>104</v>
      </c>
      <c r="M663" s="22" t="s">
        <v>36920</v>
      </c>
    </row>
    <row r="664" spans="1:13" x14ac:dyDescent="0.75">
      <c r="A664" t="s">
        <v>28076</v>
      </c>
      <c r="B664" t="s">
        <v>7210</v>
      </c>
      <c r="C664" t="s">
        <v>6318</v>
      </c>
      <c r="D664" t="s">
        <v>7211</v>
      </c>
      <c r="E664" t="s">
        <v>28077</v>
      </c>
      <c r="F664">
        <v>1</v>
      </c>
      <c r="G664">
        <v>2160580</v>
      </c>
      <c r="H664" t="s">
        <v>28078</v>
      </c>
      <c r="J664" s="54" t="s">
        <v>6052</v>
      </c>
      <c r="K664" s="54">
        <v>0</v>
      </c>
      <c r="L664" s="22" t="s">
        <v>104</v>
      </c>
      <c r="M664" s="22" t="s">
        <v>36920</v>
      </c>
    </row>
    <row r="665" spans="1:13" x14ac:dyDescent="0.75">
      <c r="A665" t="s">
        <v>27875</v>
      </c>
      <c r="B665" t="s">
        <v>7210</v>
      </c>
      <c r="C665" t="s">
        <v>6318</v>
      </c>
      <c r="D665" t="s">
        <v>7211</v>
      </c>
      <c r="E665" t="s">
        <v>27876</v>
      </c>
      <c r="F665">
        <v>29</v>
      </c>
      <c r="G665">
        <v>2138501</v>
      </c>
      <c r="H665" t="s">
        <v>27877</v>
      </c>
      <c r="J665" s="54" t="s">
        <v>6052</v>
      </c>
      <c r="K665" s="54">
        <v>0</v>
      </c>
      <c r="L665" s="22" t="s">
        <v>104</v>
      </c>
      <c r="M665" s="22" t="s">
        <v>36920</v>
      </c>
    </row>
    <row r="666" spans="1:13" x14ac:dyDescent="0.75">
      <c r="A666" t="s">
        <v>27878</v>
      </c>
      <c r="B666" t="s">
        <v>7210</v>
      </c>
      <c r="C666" t="s">
        <v>6318</v>
      </c>
      <c r="D666" t="s">
        <v>7211</v>
      </c>
      <c r="E666" t="s">
        <v>27879</v>
      </c>
      <c r="F666">
        <v>30</v>
      </c>
      <c r="G666">
        <v>2149118</v>
      </c>
      <c r="H666" t="s">
        <v>27880</v>
      </c>
      <c r="J666" s="54" t="s">
        <v>6052</v>
      </c>
      <c r="K666" s="54">
        <v>0</v>
      </c>
      <c r="L666" s="22" t="s">
        <v>104</v>
      </c>
      <c r="M666" s="22" t="s">
        <v>36920</v>
      </c>
    </row>
    <row r="667" spans="1:13" x14ac:dyDescent="0.75">
      <c r="A667" t="s">
        <v>27884</v>
      </c>
      <c r="B667" t="s">
        <v>7210</v>
      </c>
      <c r="C667" t="s">
        <v>6318</v>
      </c>
      <c r="D667" t="s">
        <v>7211</v>
      </c>
      <c r="E667" t="s">
        <v>27885</v>
      </c>
      <c r="F667">
        <v>3</v>
      </c>
      <c r="G667">
        <v>2502981</v>
      </c>
      <c r="H667" t="s">
        <v>27886</v>
      </c>
      <c r="J667" s="54" t="s">
        <v>6052</v>
      </c>
      <c r="K667" s="54">
        <v>0</v>
      </c>
      <c r="L667" s="22" t="s">
        <v>104</v>
      </c>
      <c r="M667" s="22" t="s">
        <v>36920</v>
      </c>
    </row>
    <row r="668" spans="1:13" x14ac:dyDescent="0.75">
      <c r="A668" t="s">
        <v>9248</v>
      </c>
      <c r="B668" t="s">
        <v>7210</v>
      </c>
      <c r="C668" t="s">
        <v>6318</v>
      </c>
      <c r="D668" t="s">
        <v>7211</v>
      </c>
      <c r="E668" t="s">
        <v>9249</v>
      </c>
      <c r="F668">
        <v>273</v>
      </c>
      <c r="G668">
        <v>2187351</v>
      </c>
      <c r="H668" t="s">
        <v>9250</v>
      </c>
      <c r="J668" s="54" t="s">
        <v>6052</v>
      </c>
      <c r="K668" s="54">
        <v>0</v>
      </c>
      <c r="L668" s="22" t="s">
        <v>104</v>
      </c>
      <c r="M668" s="22" t="s">
        <v>36920</v>
      </c>
    </row>
    <row r="669" spans="1:13" x14ac:dyDescent="0.75">
      <c r="A669" t="s">
        <v>8920</v>
      </c>
      <c r="B669" t="s">
        <v>7210</v>
      </c>
      <c r="C669" t="s">
        <v>6318</v>
      </c>
      <c r="D669" t="s">
        <v>7211</v>
      </c>
      <c r="E669" t="s">
        <v>8921</v>
      </c>
      <c r="F669">
        <v>23</v>
      </c>
      <c r="G669">
        <v>2125173</v>
      </c>
      <c r="H669" t="s">
        <v>8922</v>
      </c>
      <c r="J669" s="54" t="s">
        <v>6052</v>
      </c>
      <c r="K669" s="54">
        <v>0</v>
      </c>
      <c r="L669" s="22" t="s">
        <v>104</v>
      </c>
      <c r="M669" s="22" t="s">
        <v>36920</v>
      </c>
    </row>
    <row r="670" spans="1:13" x14ac:dyDescent="0.75">
      <c r="A670" t="s">
        <v>29651</v>
      </c>
      <c r="B670" t="s">
        <v>7210</v>
      </c>
      <c r="C670" t="s">
        <v>6318</v>
      </c>
      <c r="D670" t="s">
        <v>7211</v>
      </c>
      <c r="E670" t="s">
        <v>29652</v>
      </c>
      <c r="F670">
        <v>251</v>
      </c>
      <c r="G670">
        <v>2229356</v>
      </c>
      <c r="H670" t="s">
        <v>29653</v>
      </c>
      <c r="J670" s="54" t="s">
        <v>6052</v>
      </c>
      <c r="K670" s="54">
        <v>0</v>
      </c>
      <c r="L670" s="22" t="s">
        <v>104</v>
      </c>
      <c r="M670" s="22" t="s">
        <v>36920</v>
      </c>
    </row>
    <row r="671" spans="1:13" x14ac:dyDescent="0.75">
      <c r="A671" t="s">
        <v>7209</v>
      </c>
      <c r="B671" t="s">
        <v>7210</v>
      </c>
      <c r="C671" t="s">
        <v>6318</v>
      </c>
      <c r="D671" t="s">
        <v>7211</v>
      </c>
      <c r="E671" t="s">
        <v>7212</v>
      </c>
      <c r="F671">
        <v>33</v>
      </c>
      <c r="G671">
        <v>2072007</v>
      </c>
      <c r="H671" t="s">
        <v>7213</v>
      </c>
      <c r="J671" s="54" t="s">
        <v>6052</v>
      </c>
      <c r="K671" s="54">
        <v>0</v>
      </c>
      <c r="L671" s="22" t="s">
        <v>104</v>
      </c>
      <c r="M671" s="22" t="s">
        <v>36920</v>
      </c>
    </row>
    <row r="672" spans="1:13" x14ac:dyDescent="0.75">
      <c r="A672" t="s">
        <v>29928</v>
      </c>
      <c r="B672" t="s">
        <v>8992</v>
      </c>
      <c r="C672" t="s">
        <v>6415</v>
      </c>
      <c r="D672" t="s">
        <v>8993</v>
      </c>
      <c r="E672" t="s">
        <v>29929</v>
      </c>
      <c r="F672">
        <v>223</v>
      </c>
      <c r="G672">
        <v>2405320</v>
      </c>
      <c r="H672" t="s">
        <v>29930</v>
      </c>
      <c r="J672" s="54" t="s">
        <v>6052</v>
      </c>
      <c r="K672" s="54">
        <v>0</v>
      </c>
      <c r="L672" s="22" t="s">
        <v>104</v>
      </c>
      <c r="M672" s="22" t="s">
        <v>36928</v>
      </c>
    </row>
    <row r="673" spans="1:13" x14ac:dyDescent="0.75">
      <c r="A673" t="s">
        <v>8991</v>
      </c>
      <c r="B673" t="s">
        <v>8992</v>
      </c>
      <c r="C673" t="s">
        <v>6415</v>
      </c>
      <c r="D673" t="s">
        <v>8993</v>
      </c>
      <c r="E673" t="s">
        <v>8994</v>
      </c>
      <c r="F673">
        <v>258</v>
      </c>
      <c r="G673">
        <v>2656035</v>
      </c>
      <c r="H673" t="s">
        <v>8995</v>
      </c>
      <c r="J673" s="54" t="s">
        <v>6052</v>
      </c>
      <c r="K673" s="54">
        <v>0</v>
      </c>
      <c r="L673" s="22" t="s">
        <v>104</v>
      </c>
      <c r="M673" s="22" t="s">
        <v>36928</v>
      </c>
    </row>
    <row r="674" spans="1:13" x14ac:dyDescent="0.75">
      <c r="A674" t="s">
        <v>20496</v>
      </c>
      <c r="B674" t="s">
        <v>8992</v>
      </c>
      <c r="C674" t="s">
        <v>6415</v>
      </c>
      <c r="D674" t="s">
        <v>8993</v>
      </c>
      <c r="E674" t="s">
        <v>20497</v>
      </c>
      <c r="F674">
        <v>25</v>
      </c>
      <c r="G674">
        <v>2730939</v>
      </c>
      <c r="H674" t="s">
        <v>20498</v>
      </c>
      <c r="J674" s="54" t="s">
        <v>6052</v>
      </c>
      <c r="K674" s="54">
        <v>0</v>
      </c>
      <c r="L674" s="22" t="s">
        <v>104</v>
      </c>
      <c r="M674" s="22" t="s">
        <v>36928</v>
      </c>
    </row>
    <row r="675" spans="1:13" x14ac:dyDescent="0.75">
      <c r="A675" t="s">
        <v>5728</v>
      </c>
      <c r="B675" t="s">
        <v>349</v>
      </c>
      <c r="C675" t="s">
        <v>6415</v>
      </c>
      <c r="D675" t="s">
        <v>6119</v>
      </c>
      <c r="E675" t="s">
        <v>29587</v>
      </c>
      <c r="F675">
        <v>61</v>
      </c>
      <c r="G675">
        <v>2553925</v>
      </c>
      <c r="H675" t="s">
        <v>29588</v>
      </c>
      <c r="J675" s="54" t="s">
        <v>30844</v>
      </c>
      <c r="K675" s="54">
        <v>2</v>
      </c>
      <c r="L675" s="22" t="s">
        <v>104</v>
      </c>
      <c r="M675" s="22" t="s">
        <v>350</v>
      </c>
    </row>
    <row r="676" spans="1:13" x14ac:dyDescent="0.75">
      <c r="A676" t="s">
        <v>5989</v>
      </c>
      <c r="B676" t="s">
        <v>349</v>
      </c>
      <c r="C676" t="s">
        <v>6415</v>
      </c>
      <c r="D676" t="s">
        <v>6119</v>
      </c>
      <c r="E676" t="s">
        <v>30349</v>
      </c>
      <c r="F676">
        <v>196</v>
      </c>
      <c r="G676">
        <v>2041923</v>
      </c>
      <c r="H676" t="s">
        <v>30350</v>
      </c>
      <c r="J676" s="54" t="s">
        <v>30844</v>
      </c>
      <c r="K676" s="54">
        <v>1</v>
      </c>
      <c r="L676" s="22" t="s">
        <v>104</v>
      </c>
      <c r="M676" s="22" t="s">
        <v>350</v>
      </c>
    </row>
    <row r="677" spans="1:13" x14ac:dyDescent="0.75">
      <c r="A677" t="s">
        <v>5478</v>
      </c>
      <c r="B677" t="s">
        <v>349</v>
      </c>
      <c r="C677" t="s">
        <v>6415</v>
      </c>
      <c r="D677" t="s">
        <v>6119</v>
      </c>
      <c r="E677" t="s">
        <v>28986</v>
      </c>
      <c r="F677">
        <v>162</v>
      </c>
      <c r="G677">
        <v>2556787</v>
      </c>
      <c r="H677" t="s">
        <v>28987</v>
      </c>
      <c r="J677" s="54" t="s">
        <v>30844</v>
      </c>
      <c r="K677" s="54">
        <v>1</v>
      </c>
      <c r="L677" s="22" t="s">
        <v>104</v>
      </c>
      <c r="M677" s="22" t="s">
        <v>350</v>
      </c>
    </row>
    <row r="678" spans="1:13" x14ac:dyDescent="0.75">
      <c r="A678" t="s">
        <v>1821</v>
      </c>
      <c r="B678" t="s">
        <v>349</v>
      </c>
      <c r="C678" t="s">
        <v>6415</v>
      </c>
      <c r="D678" t="s">
        <v>6119</v>
      </c>
      <c r="E678" t="s">
        <v>13900</v>
      </c>
      <c r="F678">
        <v>1</v>
      </c>
      <c r="G678">
        <v>2838633</v>
      </c>
      <c r="H678" t="s">
        <v>13901</v>
      </c>
      <c r="J678" s="54" t="s">
        <v>13900</v>
      </c>
      <c r="K678" s="54">
        <v>1</v>
      </c>
      <c r="L678" s="22" t="s">
        <v>104</v>
      </c>
      <c r="M678" s="22" t="s">
        <v>350</v>
      </c>
    </row>
    <row r="679" spans="1:13" x14ac:dyDescent="0.75">
      <c r="A679" t="s">
        <v>348</v>
      </c>
      <c r="B679" t="s">
        <v>349</v>
      </c>
      <c r="C679" t="s">
        <v>6415</v>
      </c>
      <c r="D679" t="s">
        <v>6119</v>
      </c>
      <c r="E679" t="s">
        <v>7172</v>
      </c>
      <c r="F679">
        <v>37</v>
      </c>
      <c r="G679">
        <v>2667138</v>
      </c>
      <c r="H679" t="s">
        <v>7173</v>
      </c>
      <c r="J679" s="54" t="s">
        <v>7172</v>
      </c>
      <c r="K679" s="54">
        <v>1</v>
      </c>
      <c r="L679" s="22" t="s">
        <v>104</v>
      </c>
      <c r="M679" s="22" t="s">
        <v>350</v>
      </c>
    </row>
    <row r="680" spans="1:13" x14ac:dyDescent="0.75">
      <c r="A680" t="s">
        <v>9450</v>
      </c>
      <c r="B680" t="s">
        <v>8839</v>
      </c>
      <c r="C680" t="s">
        <v>6415</v>
      </c>
      <c r="D680" t="s">
        <v>8840</v>
      </c>
      <c r="E680" t="s">
        <v>9451</v>
      </c>
      <c r="F680">
        <v>28</v>
      </c>
      <c r="G680">
        <v>2746278</v>
      </c>
      <c r="H680" t="s">
        <v>9452</v>
      </c>
      <c r="J680" s="54" t="s">
        <v>6052</v>
      </c>
      <c r="K680" s="54">
        <v>0</v>
      </c>
      <c r="L680" s="22" t="s">
        <v>104</v>
      </c>
      <c r="M680" s="22" t="s">
        <v>36926</v>
      </c>
    </row>
    <row r="681" spans="1:13" x14ac:dyDescent="0.75">
      <c r="A681" t="s">
        <v>8838</v>
      </c>
      <c r="B681" t="s">
        <v>8839</v>
      </c>
      <c r="C681" t="s">
        <v>6415</v>
      </c>
      <c r="D681" t="s">
        <v>8840</v>
      </c>
      <c r="E681" t="s">
        <v>8841</v>
      </c>
      <c r="F681">
        <v>75</v>
      </c>
      <c r="G681">
        <v>2785060</v>
      </c>
      <c r="H681" t="s">
        <v>8842</v>
      </c>
      <c r="J681" s="54" t="s">
        <v>6052</v>
      </c>
      <c r="K681" s="54">
        <v>0</v>
      </c>
      <c r="L681" s="22" t="s">
        <v>104</v>
      </c>
      <c r="M681" s="22" t="s">
        <v>36926</v>
      </c>
    </row>
    <row r="682" spans="1:13" x14ac:dyDescent="0.75">
      <c r="A682" t="s">
        <v>27174</v>
      </c>
      <c r="B682" t="s">
        <v>8839</v>
      </c>
      <c r="C682" t="s">
        <v>6415</v>
      </c>
      <c r="D682" t="s">
        <v>8840</v>
      </c>
      <c r="E682" t="s">
        <v>27175</v>
      </c>
      <c r="F682">
        <v>45</v>
      </c>
      <c r="G682">
        <v>2723453</v>
      </c>
      <c r="H682" t="s">
        <v>27176</v>
      </c>
      <c r="J682" s="54" t="s">
        <v>6052</v>
      </c>
      <c r="K682" s="54">
        <v>0</v>
      </c>
      <c r="L682" s="22" t="s">
        <v>104</v>
      </c>
      <c r="M682" s="22" t="s">
        <v>36926</v>
      </c>
    </row>
    <row r="683" spans="1:13" x14ac:dyDescent="0.75">
      <c r="A683" t="s">
        <v>27426</v>
      </c>
      <c r="B683" t="s">
        <v>8839</v>
      </c>
      <c r="C683" t="s">
        <v>6415</v>
      </c>
      <c r="D683" t="s">
        <v>8840</v>
      </c>
      <c r="E683" t="s">
        <v>27427</v>
      </c>
      <c r="F683">
        <v>3</v>
      </c>
      <c r="G683">
        <v>2843797</v>
      </c>
      <c r="H683" t="s">
        <v>27428</v>
      </c>
      <c r="J683" s="54" t="s">
        <v>6052</v>
      </c>
      <c r="K683" s="54">
        <v>0</v>
      </c>
      <c r="L683" s="22" t="s">
        <v>104</v>
      </c>
      <c r="M683" s="22" t="s">
        <v>36926</v>
      </c>
    </row>
    <row r="684" spans="1:13" x14ac:dyDescent="0.75">
      <c r="A684" t="s">
        <v>29698</v>
      </c>
      <c r="B684" t="s">
        <v>8839</v>
      </c>
      <c r="C684" t="s">
        <v>6415</v>
      </c>
      <c r="D684" t="s">
        <v>8840</v>
      </c>
      <c r="E684" t="s">
        <v>29699</v>
      </c>
      <c r="F684">
        <v>114</v>
      </c>
      <c r="G684">
        <v>2596221</v>
      </c>
      <c r="H684" t="s">
        <v>29700</v>
      </c>
      <c r="J684" s="54" t="s">
        <v>6052</v>
      </c>
      <c r="K684" s="54">
        <v>0</v>
      </c>
      <c r="L684" s="22" t="s">
        <v>104</v>
      </c>
      <c r="M684" s="22" t="s">
        <v>36926</v>
      </c>
    </row>
    <row r="685" spans="1:13" x14ac:dyDescent="0.75">
      <c r="A685" t="s">
        <v>29017</v>
      </c>
      <c r="B685" t="s">
        <v>8839</v>
      </c>
      <c r="C685" t="s">
        <v>6415</v>
      </c>
      <c r="D685" t="s">
        <v>8840</v>
      </c>
      <c r="E685" t="s">
        <v>29018</v>
      </c>
      <c r="F685">
        <v>87</v>
      </c>
      <c r="G685">
        <v>2588185</v>
      </c>
      <c r="H685" t="s">
        <v>29019</v>
      </c>
      <c r="J685" s="54" t="s">
        <v>6052</v>
      </c>
      <c r="K685" s="54">
        <v>0</v>
      </c>
      <c r="L685" s="22" t="s">
        <v>104</v>
      </c>
      <c r="M685" s="22" t="s">
        <v>36926</v>
      </c>
    </row>
    <row r="686" spans="1:13" x14ac:dyDescent="0.75">
      <c r="A686" t="s">
        <v>5154</v>
      </c>
      <c r="B686" t="s">
        <v>1534</v>
      </c>
      <c r="C686" t="s">
        <v>6415</v>
      </c>
      <c r="D686" t="s">
        <v>11907</v>
      </c>
      <c r="E686" t="s">
        <v>27316</v>
      </c>
      <c r="F686">
        <v>1</v>
      </c>
      <c r="G686">
        <v>2688499</v>
      </c>
      <c r="H686" t="s">
        <v>27317</v>
      </c>
      <c r="J686" s="54" t="s">
        <v>27316</v>
      </c>
      <c r="K686" s="54">
        <v>2</v>
      </c>
      <c r="L686" s="22" t="s">
        <v>104</v>
      </c>
      <c r="M686" s="22" t="s">
        <v>1535</v>
      </c>
    </row>
    <row r="687" spans="1:13" x14ac:dyDescent="0.75">
      <c r="A687" t="s">
        <v>5135</v>
      </c>
      <c r="B687" t="s">
        <v>1534</v>
      </c>
      <c r="C687" t="s">
        <v>6415</v>
      </c>
      <c r="D687" t="s">
        <v>11907</v>
      </c>
      <c r="E687" t="s">
        <v>27197</v>
      </c>
      <c r="F687">
        <v>39</v>
      </c>
      <c r="G687">
        <v>2655673</v>
      </c>
      <c r="H687" t="s">
        <v>27198</v>
      </c>
      <c r="J687" s="54" t="s">
        <v>27197</v>
      </c>
      <c r="K687" s="54">
        <v>2</v>
      </c>
      <c r="L687" s="22" t="s">
        <v>104</v>
      </c>
      <c r="M687" s="22" t="s">
        <v>1535</v>
      </c>
    </row>
    <row r="688" spans="1:13" x14ac:dyDescent="0.75">
      <c r="A688" t="s">
        <v>1533</v>
      </c>
      <c r="B688" t="s">
        <v>1534</v>
      </c>
      <c r="C688" t="s">
        <v>6415</v>
      </c>
      <c r="D688" t="s">
        <v>11907</v>
      </c>
      <c r="E688" t="s">
        <v>11908</v>
      </c>
      <c r="F688">
        <v>1</v>
      </c>
      <c r="G688">
        <v>2688484</v>
      </c>
      <c r="H688" t="s">
        <v>11909</v>
      </c>
      <c r="J688" s="54" t="s">
        <v>11908</v>
      </c>
      <c r="K688" s="54">
        <v>2</v>
      </c>
      <c r="L688" s="22" t="s">
        <v>104</v>
      </c>
      <c r="M688" s="22" t="s">
        <v>1535</v>
      </c>
    </row>
    <row r="689" spans="1:13" x14ac:dyDescent="0.75">
      <c r="A689" t="s">
        <v>5849</v>
      </c>
      <c r="B689" t="s">
        <v>514</v>
      </c>
      <c r="C689" t="s">
        <v>6415</v>
      </c>
      <c r="D689" t="s">
        <v>7754</v>
      </c>
      <c r="E689" t="s">
        <v>29825</v>
      </c>
      <c r="F689">
        <v>57</v>
      </c>
      <c r="G689">
        <v>2648041</v>
      </c>
      <c r="H689" t="s">
        <v>29826</v>
      </c>
      <c r="J689" s="54" t="s">
        <v>30844</v>
      </c>
      <c r="K689" s="54">
        <v>1</v>
      </c>
      <c r="L689" s="22" t="s">
        <v>104</v>
      </c>
      <c r="M689" s="22" t="s">
        <v>515</v>
      </c>
    </row>
    <row r="690" spans="1:13" x14ac:dyDescent="0.75">
      <c r="A690" t="s">
        <v>2758</v>
      </c>
      <c r="B690" t="s">
        <v>514</v>
      </c>
      <c r="C690" t="s">
        <v>6415</v>
      </c>
      <c r="D690" t="s">
        <v>7754</v>
      </c>
      <c r="E690" t="s">
        <v>18656</v>
      </c>
      <c r="F690">
        <v>133</v>
      </c>
      <c r="G690">
        <v>2251100</v>
      </c>
      <c r="H690" t="s">
        <v>18657</v>
      </c>
      <c r="J690" s="54" t="s">
        <v>30844</v>
      </c>
      <c r="K690" s="54">
        <v>1</v>
      </c>
      <c r="L690" s="22" t="s">
        <v>104</v>
      </c>
      <c r="M690" s="22" t="s">
        <v>515</v>
      </c>
    </row>
    <row r="691" spans="1:13" x14ac:dyDescent="0.75">
      <c r="A691" t="s">
        <v>5559</v>
      </c>
      <c r="B691" t="s">
        <v>514</v>
      </c>
      <c r="C691" t="s">
        <v>6415</v>
      </c>
      <c r="D691" t="s">
        <v>7754</v>
      </c>
      <c r="E691" t="s">
        <v>29182</v>
      </c>
      <c r="F691">
        <v>184</v>
      </c>
      <c r="G691">
        <v>2377738</v>
      </c>
      <c r="H691" t="s">
        <v>29183</v>
      </c>
      <c r="J691" s="54" t="s">
        <v>30844</v>
      </c>
      <c r="K691" s="54">
        <v>1</v>
      </c>
      <c r="L691" s="22" t="s">
        <v>104</v>
      </c>
      <c r="M691" s="22" t="s">
        <v>515</v>
      </c>
    </row>
    <row r="692" spans="1:13" x14ac:dyDescent="0.75">
      <c r="A692" t="s">
        <v>5474</v>
      </c>
      <c r="B692" t="s">
        <v>514</v>
      </c>
      <c r="C692" t="s">
        <v>6415</v>
      </c>
      <c r="D692" t="s">
        <v>7754</v>
      </c>
      <c r="E692" t="s">
        <v>28975</v>
      </c>
      <c r="F692">
        <v>157</v>
      </c>
      <c r="G692">
        <v>2591175</v>
      </c>
      <c r="H692" t="s">
        <v>28976</v>
      </c>
      <c r="J692" s="54" t="s">
        <v>30844</v>
      </c>
      <c r="K692" s="54">
        <v>1</v>
      </c>
      <c r="L692" s="22" t="s">
        <v>104</v>
      </c>
      <c r="M692" s="22" t="s">
        <v>515</v>
      </c>
    </row>
    <row r="693" spans="1:13" x14ac:dyDescent="0.75">
      <c r="A693" t="s">
        <v>1847</v>
      </c>
      <c r="B693" t="s">
        <v>514</v>
      </c>
      <c r="C693" t="s">
        <v>6415</v>
      </c>
      <c r="D693" t="s">
        <v>7754</v>
      </c>
      <c r="E693" t="s">
        <v>13906</v>
      </c>
      <c r="F693">
        <v>1</v>
      </c>
      <c r="G693">
        <v>2504023</v>
      </c>
      <c r="H693" t="s">
        <v>13907</v>
      </c>
      <c r="J693" s="54" t="s">
        <v>13906</v>
      </c>
      <c r="K693" s="54">
        <v>1</v>
      </c>
      <c r="L693" s="22" t="s">
        <v>104</v>
      </c>
      <c r="M693" s="22" t="s">
        <v>515</v>
      </c>
    </row>
    <row r="694" spans="1:13" x14ac:dyDescent="0.75">
      <c r="A694" t="s">
        <v>2569</v>
      </c>
      <c r="B694" t="s">
        <v>514</v>
      </c>
      <c r="C694" t="s">
        <v>6415</v>
      </c>
      <c r="D694" t="s">
        <v>7754</v>
      </c>
      <c r="E694" t="s">
        <v>17905</v>
      </c>
      <c r="F694">
        <v>1</v>
      </c>
      <c r="G694">
        <v>2652717</v>
      </c>
      <c r="H694" t="s">
        <v>17906</v>
      </c>
      <c r="J694" s="54" t="s">
        <v>17905</v>
      </c>
      <c r="K694" s="54">
        <v>1</v>
      </c>
      <c r="L694" s="22" t="s">
        <v>104</v>
      </c>
      <c r="M694" s="22" t="s">
        <v>515</v>
      </c>
    </row>
    <row r="695" spans="1:13" x14ac:dyDescent="0.75">
      <c r="A695" t="s">
        <v>513</v>
      </c>
      <c r="B695" t="s">
        <v>514</v>
      </c>
      <c r="C695" t="s">
        <v>6415</v>
      </c>
      <c r="D695" t="s">
        <v>7754</v>
      </c>
      <c r="E695" t="s">
        <v>7755</v>
      </c>
      <c r="F695">
        <v>287</v>
      </c>
      <c r="G695">
        <v>2536778</v>
      </c>
      <c r="H695" t="s">
        <v>7756</v>
      </c>
      <c r="J695" s="54" t="s">
        <v>7755</v>
      </c>
      <c r="K695" s="54">
        <v>1</v>
      </c>
      <c r="L695" s="22" t="s">
        <v>104</v>
      </c>
      <c r="M695" s="22" t="s">
        <v>515</v>
      </c>
    </row>
    <row r="696" spans="1:13" x14ac:dyDescent="0.75">
      <c r="A696" t="s">
        <v>2062</v>
      </c>
      <c r="B696" t="s">
        <v>514</v>
      </c>
      <c r="C696" t="s">
        <v>6415</v>
      </c>
      <c r="D696" t="s">
        <v>7754</v>
      </c>
      <c r="E696" t="s">
        <v>14984</v>
      </c>
      <c r="F696">
        <v>43</v>
      </c>
      <c r="G696">
        <v>2636893</v>
      </c>
      <c r="H696" t="s">
        <v>14985</v>
      </c>
      <c r="J696" s="54" t="s">
        <v>14984</v>
      </c>
      <c r="K696" s="54">
        <v>1</v>
      </c>
      <c r="L696" s="22" t="s">
        <v>104</v>
      </c>
      <c r="M696" s="22" t="s">
        <v>515</v>
      </c>
    </row>
    <row r="697" spans="1:13" x14ac:dyDescent="0.75">
      <c r="A697" t="s">
        <v>30360</v>
      </c>
      <c r="B697" t="s">
        <v>514</v>
      </c>
      <c r="C697" t="s">
        <v>6415</v>
      </c>
      <c r="D697" t="s">
        <v>7754</v>
      </c>
      <c r="E697" t="s">
        <v>30361</v>
      </c>
      <c r="F697">
        <v>169</v>
      </c>
      <c r="G697">
        <v>2371942</v>
      </c>
      <c r="H697" t="s">
        <v>30362</v>
      </c>
      <c r="J697" s="54" t="s">
        <v>6052</v>
      </c>
      <c r="K697" s="54">
        <v>0</v>
      </c>
      <c r="L697" s="22" t="s">
        <v>104</v>
      </c>
      <c r="M697" s="22" t="s">
        <v>515</v>
      </c>
    </row>
    <row r="698" spans="1:13" x14ac:dyDescent="0.75">
      <c r="A698" t="s">
        <v>2809</v>
      </c>
      <c r="B698" t="s">
        <v>105</v>
      </c>
      <c r="C698" t="s">
        <v>6415</v>
      </c>
      <c r="D698" t="s">
        <v>6416</v>
      </c>
      <c r="E698" t="s">
        <v>18751</v>
      </c>
      <c r="F698">
        <v>2</v>
      </c>
      <c r="G698">
        <v>2584129</v>
      </c>
      <c r="H698" t="s">
        <v>18752</v>
      </c>
      <c r="J698" s="54" t="s">
        <v>18751</v>
      </c>
      <c r="K698" s="54">
        <v>3</v>
      </c>
      <c r="L698" s="22" t="s">
        <v>104</v>
      </c>
      <c r="M698" s="22" t="s">
        <v>106</v>
      </c>
    </row>
    <row r="699" spans="1:13" x14ac:dyDescent="0.75">
      <c r="A699" t="s">
        <v>2796</v>
      </c>
      <c r="B699" t="s">
        <v>105</v>
      </c>
      <c r="C699" t="s">
        <v>6415</v>
      </c>
      <c r="D699" t="s">
        <v>6416</v>
      </c>
      <c r="E699" t="s">
        <v>18741</v>
      </c>
      <c r="F699">
        <v>1</v>
      </c>
      <c r="G699">
        <v>2837214</v>
      </c>
      <c r="H699" t="s">
        <v>18742</v>
      </c>
      <c r="J699" s="54" t="s">
        <v>18741</v>
      </c>
      <c r="K699" s="54">
        <v>3</v>
      </c>
      <c r="L699" s="22" t="s">
        <v>104</v>
      </c>
      <c r="M699" s="22" t="s">
        <v>106</v>
      </c>
    </row>
    <row r="700" spans="1:13" x14ac:dyDescent="0.75">
      <c r="A700" t="s">
        <v>5198</v>
      </c>
      <c r="B700" t="s">
        <v>105</v>
      </c>
      <c r="C700" t="s">
        <v>6415</v>
      </c>
      <c r="D700" t="s">
        <v>6416</v>
      </c>
      <c r="E700" t="s">
        <v>27434</v>
      </c>
      <c r="F700">
        <v>44</v>
      </c>
      <c r="G700">
        <v>2946791</v>
      </c>
      <c r="H700" t="s">
        <v>27435</v>
      </c>
      <c r="J700" s="54" t="s">
        <v>27434</v>
      </c>
      <c r="K700" s="54">
        <v>3</v>
      </c>
      <c r="L700" s="22" t="s">
        <v>104</v>
      </c>
      <c r="M700" s="22" t="s">
        <v>106</v>
      </c>
    </row>
    <row r="701" spans="1:13" x14ac:dyDescent="0.75">
      <c r="A701" t="s">
        <v>5227</v>
      </c>
      <c r="B701" t="s">
        <v>105</v>
      </c>
      <c r="C701" t="s">
        <v>6415</v>
      </c>
      <c r="D701" t="s">
        <v>6416</v>
      </c>
      <c r="E701" t="s">
        <v>27647</v>
      </c>
      <c r="F701">
        <v>12</v>
      </c>
      <c r="G701">
        <v>2809526</v>
      </c>
      <c r="H701" t="s">
        <v>27648</v>
      </c>
      <c r="J701" s="54" t="s">
        <v>27647</v>
      </c>
      <c r="K701" s="54">
        <v>3</v>
      </c>
      <c r="L701" s="22" t="s">
        <v>104</v>
      </c>
      <c r="M701" s="22" t="s">
        <v>106</v>
      </c>
    </row>
    <row r="702" spans="1:13" x14ac:dyDescent="0.75">
      <c r="A702" t="s">
        <v>5251</v>
      </c>
      <c r="B702" t="s">
        <v>105</v>
      </c>
      <c r="C702" t="s">
        <v>6415</v>
      </c>
      <c r="D702" t="s">
        <v>6416</v>
      </c>
      <c r="E702" t="s">
        <v>27896</v>
      </c>
      <c r="F702">
        <v>2</v>
      </c>
      <c r="G702">
        <v>2694690</v>
      </c>
      <c r="H702" t="s">
        <v>27897</v>
      </c>
      <c r="J702" s="54" t="s">
        <v>27896</v>
      </c>
      <c r="K702" s="54">
        <v>3</v>
      </c>
      <c r="L702" s="22" t="s">
        <v>104</v>
      </c>
      <c r="M702" s="22" t="s">
        <v>106</v>
      </c>
    </row>
    <row r="703" spans="1:13" x14ac:dyDescent="0.75">
      <c r="A703" t="s">
        <v>5383</v>
      </c>
      <c r="B703" t="s">
        <v>105</v>
      </c>
      <c r="C703" t="s">
        <v>6415</v>
      </c>
      <c r="D703" t="s">
        <v>6416</v>
      </c>
      <c r="E703" t="s">
        <v>28536</v>
      </c>
      <c r="F703">
        <v>112</v>
      </c>
      <c r="G703">
        <v>2451559</v>
      </c>
      <c r="H703" t="s">
        <v>28537</v>
      </c>
      <c r="J703" s="54" t="s">
        <v>28536</v>
      </c>
      <c r="K703" s="54">
        <v>3</v>
      </c>
      <c r="L703" s="22" t="s">
        <v>104</v>
      </c>
      <c r="M703" s="22" t="s">
        <v>106</v>
      </c>
    </row>
    <row r="704" spans="1:13" x14ac:dyDescent="0.75">
      <c r="A704" t="s">
        <v>5770</v>
      </c>
      <c r="B704" t="s">
        <v>105</v>
      </c>
      <c r="C704" t="s">
        <v>6415</v>
      </c>
      <c r="D704" t="s">
        <v>6416</v>
      </c>
      <c r="E704" t="s">
        <v>29674</v>
      </c>
      <c r="F704">
        <v>165</v>
      </c>
      <c r="G704">
        <v>2429053</v>
      </c>
      <c r="H704" t="s">
        <v>29675</v>
      </c>
      <c r="J704" s="54" t="s">
        <v>30844</v>
      </c>
      <c r="K704" s="54">
        <v>3</v>
      </c>
      <c r="L704" s="22" t="s">
        <v>104</v>
      </c>
      <c r="M704" s="22" t="s">
        <v>106</v>
      </c>
    </row>
    <row r="705" spans="1:13" x14ac:dyDescent="0.75">
      <c r="A705" t="s">
        <v>5431</v>
      </c>
      <c r="B705" t="s">
        <v>105</v>
      </c>
      <c r="C705" t="s">
        <v>6415</v>
      </c>
      <c r="D705" t="s">
        <v>6416</v>
      </c>
      <c r="E705" t="s">
        <v>28909</v>
      </c>
      <c r="F705">
        <v>149</v>
      </c>
      <c r="G705">
        <v>2549426</v>
      </c>
      <c r="H705" t="s">
        <v>28910</v>
      </c>
      <c r="J705" s="54" t="s">
        <v>30844</v>
      </c>
      <c r="K705" s="54">
        <v>3</v>
      </c>
      <c r="L705" s="22" t="s">
        <v>104</v>
      </c>
      <c r="M705" s="22" t="s">
        <v>106</v>
      </c>
    </row>
    <row r="706" spans="1:13" x14ac:dyDescent="0.75">
      <c r="A706" t="s">
        <v>4794</v>
      </c>
      <c r="B706" t="s">
        <v>105</v>
      </c>
      <c r="C706" t="s">
        <v>6415</v>
      </c>
      <c r="D706" t="s">
        <v>6416</v>
      </c>
      <c r="E706" t="s">
        <v>24254</v>
      </c>
      <c r="F706">
        <v>1</v>
      </c>
      <c r="G706">
        <v>2807434</v>
      </c>
      <c r="H706" t="s">
        <v>24255</v>
      </c>
      <c r="J706" s="54" t="s">
        <v>24254</v>
      </c>
      <c r="K706" s="54">
        <v>3</v>
      </c>
      <c r="L706" s="22" t="s">
        <v>104</v>
      </c>
      <c r="M706" s="22" t="s">
        <v>106</v>
      </c>
    </row>
    <row r="707" spans="1:13" x14ac:dyDescent="0.75">
      <c r="A707" t="s">
        <v>4783</v>
      </c>
      <c r="B707" t="s">
        <v>105</v>
      </c>
      <c r="C707" t="s">
        <v>6415</v>
      </c>
      <c r="D707" t="s">
        <v>6416</v>
      </c>
      <c r="E707" t="s">
        <v>24252</v>
      </c>
      <c r="F707">
        <v>1</v>
      </c>
      <c r="G707">
        <v>2779391</v>
      </c>
      <c r="H707" t="s">
        <v>24253</v>
      </c>
      <c r="J707" s="54" t="s">
        <v>24252</v>
      </c>
      <c r="K707" s="54">
        <v>3</v>
      </c>
      <c r="L707" s="22" t="s">
        <v>104</v>
      </c>
      <c r="M707" s="22" t="s">
        <v>106</v>
      </c>
    </row>
    <row r="708" spans="1:13" x14ac:dyDescent="0.75">
      <c r="A708" t="s">
        <v>4771</v>
      </c>
      <c r="B708" t="s">
        <v>105</v>
      </c>
      <c r="C708" t="s">
        <v>6415</v>
      </c>
      <c r="D708" t="s">
        <v>6416</v>
      </c>
      <c r="E708" t="s">
        <v>24250</v>
      </c>
      <c r="F708">
        <v>1</v>
      </c>
      <c r="G708">
        <v>2672569</v>
      </c>
      <c r="H708" t="s">
        <v>24251</v>
      </c>
      <c r="J708" s="54" t="s">
        <v>24250</v>
      </c>
      <c r="K708" s="54">
        <v>3</v>
      </c>
      <c r="L708" s="22" t="s">
        <v>104</v>
      </c>
      <c r="M708" s="22" t="s">
        <v>106</v>
      </c>
    </row>
    <row r="709" spans="1:13" x14ac:dyDescent="0.75">
      <c r="A709" t="s">
        <v>657</v>
      </c>
      <c r="B709" t="s">
        <v>105</v>
      </c>
      <c r="C709" t="s">
        <v>6415</v>
      </c>
      <c r="D709" t="s">
        <v>6416</v>
      </c>
      <c r="E709" t="s">
        <v>8678</v>
      </c>
      <c r="F709">
        <v>42</v>
      </c>
      <c r="G709">
        <v>2653757</v>
      </c>
      <c r="H709" t="s">
        <v>8679</v>
      </c>
      <c r="J709" s="54" t="s">
        <v>8678</v>
      </c>
      <c r="K709" s="54">
        <v>3</v>
      </c>
      <c r="L709" s="22" t="s">
        <v>104</v>
      </c>
      <c r="M709" s="22" t="s">
        <v>106</v>
      </c>
    </row>
    <row r="710" spans="1:13" x14ac:dyDescent="0.75">
      <c r="A710" t="s">
        <v>4026</v>
      </c>
      <c r="B710" t="s">
        <v>105</v>
      </c>
      <c r="C710" t="s">
        <v>6415</v>
      </c>
      <c r="D710" t="s">
        <v>6416</v>
      </c>
      <c r="E710" t="s">
        <v>21872</v>
      </c>
      <c r="F710">
        <v>1</v>
      </c>
      <c r="G710">
        <v>2713235</v>
      </c>
      <c r="H710" t="s">
        <v>21873</v>
      </c>
      <c r="J710" s="54" t="s">
        <v>21872</v>
      </c>
      <c r="K710" s="54">
        <v>3</v>
      </c>
      <c r="L710" s="22" t="s">
        <v>104</v>
      </c>
      <c r="M710" s="22" t="s">
        <v>106</v>
      </c>
    </row>
    <row r="711" spans="1:13" x14ac:dyDescent="0.75">
      <c r="A711" t="s">
        <v>3894</v>
      </c>
      <c r="B711" t="s">
        <v>105</v>
      </c>
      <c r="C711" t="s">
        <v>6415</v>
      </c>
      <c r="D711" t="s">
        <v>6416</v>
      </c>
      <c r="E711" t="s">
        <v>21659</v>
      </c>
      <c r="F711">
        <v>1</v>
      </c>
      <c r="G711">
        <v>2615469</v>
      </c>
      <c r="H711" t="s">
        <v>21660</v>
      </c>
      <c r="J711" s="54" t="s">
        <v>21659</v>
      </c>
      <c r="K711" s="54">
        <v>3</v>
      </c>
      <c r="L711" s="22" t="s">
        <v>104</v>
      </c>
      <c r="M711" s="22" t="s">
        <v>106</v>
      </c>
    </row>
    <row r="712" spans="1:13" x14ac:dyDescent="0.75">
      <c r="A712" t="s">
        <v>2012</v>
      </c>
      <c r="B712" t="s">
        <v>105</v>
      </c>
      <c r="C712" t="s">
        <v>6415</v>
      </c>
      <c r="D712" t="s">
        <v>6416</v>
      </c>
      <c r="E712" t="s">
        <v>14727</v>
      </c>
      <c r="F712">
        <v>2</v>
      </c>
      <c r="G712">
        <v>2682541</v>
      </c>
      <c r="H712" t="s">
        <v>14728</v>
      </c>
      <c r="J712" s="54" t="s">
        <v>14727</v>
      </c>
      <c r="K712" s="54">
        <v>3</v>
      </c>
      <c r="L712" s="22" t="s">
        <v>104</v>
      </c>
      <c r="M712" s="22" t="s">
        <v>106</v>
      </c>
    </row>
    <row r="713" spans="1:13" x14ac:dyDescent="0.75">
      <c r="A713" t="s">
        <v>914</v>
      </c>
      <c r="B713" t="s">
        <v>105</v>
      </c>
      <c r="C713" t="s">
        <v>6415</v>
      </c>
      <c r="D713" t="s">
        <v>6416</v>
      </c>
      <c r="E713" t="s">
        <v>9470</v>
      </c>
      <c r="F713">
        <v>30</v>
      </c>
      <c r="G713">
        <v>2788212</v>
      </c>
      <c r="H713" t="s">
        <v>9471</v>
      </c>
      <c r="J713" s="54" t="s">
        <v>9470</v>
      </c>
      <c r="K713" s="54">
        <v>3</v>
      </c>
      <c r="L713" s="22" t="s">
        <v>104</v>
      </c>
      <c r="M713" s="22" t="s">
        <v>106</v>
      </c>
    </row>
    <row r="714" spans="1:13" x14ac:dyDescent="0.75">
      <c r="A714" t="s">
        <v>797</v>
      </c>
      <c r="B714" t="s">
        <v>105</v>
      </c>
      <c r="C714" t="s">
        <v>6415</v>
      </c>
      <c r="D714" t="s">
        <v>6416</v>
      </c>
      <c r="E714" t="s">
        <v>8989</v>
      </c>
      <c r="F714">
        <v>202</v>
      </c>
      <c r="G714">
        <v>2634285</v>
      </c>
      <c r="H714" t="s">
        <v>8990</v>
      </c>
      <c r="J714" s="54" t="s">
        <v>8989</v>
      </c>
      <c r="K714" s="54">
        <v>3</v>
      </c>
      <c r="L714" s="22" t="s">
        <v>104</v>
      </c>
      <c r="M714" s="22" t="s">
        <v>106</v>
      </c>
    </row>
    <row r="715" spans="1:13" x14ac:dyDescent="0.75">
      <c r="A715" t="s">
        <v>640</v>
      </c>
      <c r="B715" t="s">
        <v>105</v>
      </c>
      <c r="C715" t="s">
        <v>6415</v>
      </c>
      <c r="D715" t="s">
        <v>6416</v>
      </c>
      <c r="E715" t="s">
        <v>8658</v>
      </c>
      <c r="F715">
        <v>62</v>
      </c>
      <c r="G715">
        <v>2590781</v>
      </c>
      <c r="H715" t="s">
        <v>8659</v>
      </c>
      <c r="J715" s="54" t="s">
        <v>8658</v>
      </c>
      <c r="K715" s="54">
        <v>3</v>
      </c>
      <c r="L715" s="22" t="s">
        <v>104</v>
      </c>
      <c r="M715" s="22" t="s">
        <v>106</v>
      </c>
    </row>
    <row r="716" spans="1:13" x14ac:dyDescent="0.75">
      <c r="A716" t="s">
        <v>670</v>
      </c>
      <c r="B716" t="s">
        <v>105</v>
      </c>
      <c r="C716" t="s">
        <v>6415</v>
      </c>
      <c r="D716" t="s">
        <v>6416</v>
      </c>
      <c r="E716" t="s">
        <v>8680</v>
      </c>
      <c r="F716">
        <v>38</v>
      </c>
      <c r="G716">
        <v>2545989</v>
      </c>
      <c r="H716" t="s">
        <v>8681</v>
      </c>
      <c r="J716" s="54" t="s">
        <v>8680</v>
      </c>
      <c r="K716" s="54">
        <v>3</v>
      </c>
      <c r="L716" s="22" t="s">
        <v>104</v>
      </c>
      <c r="M716" s="22" t="s">
        <v>106</v>
      </c>
    </row>
    <row r="717" spans="1:13" x14ac:dyDescent="0.75">
      <c r="A717" t="s">
        <v>831</v>
      </c>
      <c r="B717" t="s">
        <v>105</v>
      </c>
      <c r="C717" t="s">
        <v>6415</v>
      </c>
      <c r="D717" t="s">
        <v>6416</v>
      </c>
      <c r="E717" t="s">
        <v>8999</v>
      </c>
      <c r="F717">
        <v>166</v>
      </c>
      <c r="G717">
        <v>2739607</v>
      </c>
      <c r="H717" t="s">
        <v>9000</v>
      </c>
      <c r="J717" s="54" t="s">
        <v>8999</v>
      </c>
      <c r="K717" s="54">
        <v>3</v>
      </c>
      <c r="L717" s="22" t="s">
        <v>104</v>
      </c>
      <c r="M717" s="22" t="s">
        <v>106</v>
      </c>
    </row>
    <row r="718" spans="1:13" x14ac:dyDescent="0.75">
      <c r="A718" t="s">
        <v>1439</v>
      </c>
      <c r="B718" t="s">
        <v>105</v>
      </c>
      <c r="C718" t="s">
        <v>6415</v>
      </c>
      <c r="D718" t="s">
        <v>6416</v>
      </c>
      <c r="E718" t="s">
        <v>11480</v>
      </c>
      <c r="F718">
        <v>1</v>
      </c>
      <c r="G718">
        <v>2614527</v>
      </c>
      <c r="H718" t="s">
        <v>11481</v>
      </c>
      <c r="J718" s="54" t="s">
        <v>11480</v>
      </c>
      <c r="K718" s="54">
        <v>3</v>
      </c>
      <c r="L718" s="22" t="s">
        <v>104</v>
      </c>
      <c r="M718" s="22" t="s">
        <v>106</v>
      </c>
    </row>
    <row r="719" spans="1:13" x14ac:dyDescent="0.75">
      <c r="A719" t="s">
        <v>403</v>
      </c>
      <c r="B719" t="s">
        <v>105</v>
      </c>
      <c r="C719" t="s">
        <v>6415</v>
      </c>
      <c r="D719" t="s">
        <v>6416</v>
      </c>
      <c r="E719" t="s">
        <v>7366</v>
      </c>
      <c r="F719">
        <v>61</v>
      </c>
      <c r="G719">
        <v>2663545</v>
      </c>
      <c r="H719" t="s">
        <v>7367</v>
      </c>
      <c r="J719" s="54" t="s">
        <v>7366</v>
      </c>
      <c r="K719" s="54">
        <v>3</v>
      </c>
      <c r="L719" s="22" t="s">
        <v>104</v>
      </c>
      <c r="M719" s="22" t="s">
        <v>106</v>
      </c>
    </row>
    <row r="720" spans="1:13" x14ac:dyDescent="0.75">
      <c r="A720" t="s">
        <v>103</v>
      </c>
      <c r="B720" t="s">
        <v>105</v>
      </c>
      <c r="C720" t="s">
        <v>6415</v>
      </c>
      <c r="D720" t="s">
        <v>6416</v>
      </c>
      <c r="E720" t="s">
        <v>6417</v>
      </c>
      <c r="F720">
        <v>1</v>
      </c>
      <c r="G720">
        <v>2612925</v>
      </c>
      <c r="H720" t="s">
        <v>6418</v>
      </c>
      <c r="J720" s="54" t="s">
        <v>6417</v>
      </c>
      <c r="K720" s="54">
        <v>3</v>
      </c>
      <c r="L720" s="22" t="s">
        <v>104</v>
      </c>
      <c r="M720" s="22" t="s">
        <v>106</v>
      </c>
    </row>
    <row r="721" spans="1:13" x14ac:dyDescent="0.75">
      <c r="A721" t="s">
        <v>1376</v>
      </c>
      <c r="B721" t="s">
        <v>105</v>
      </c>
      <c r="C721" t="s">
        <v>6415</v>
      </c>
      <c r="D721" t="s">
        <v>6416</v>
      </c>
      <c r="E721" t="s">
        <v>11033</v>
      </c>
      <c r="F721">
        <v>91</v>
      </c>
      <c r="G721">
        <v>2516120</v>
      </c>
      <c r="H721" t="s">
        <v>11034</v>
      </c>
      <c r="J721" s="54" t="s">
        <v>11033</v>
      </c>
      <c r="K721" s="54">
        <v>3</v>
      </c>
      <c r="L721" s="22" t="s">
        <v>104</v>
      </c>
      <c r="M721" s="22" t="s">
        <v>106</v>
      </c>
    </row>
    <row r="722" spans="1:13" x14ac:dyDescent="0.75">
      <c r="A722" t="s">
        <v>3126</v>
      </c>
      <c r="B722" t="s">
        <v>814</v>
      </c>
      <c r="C722" t="s">
        <v>6415</v>
      </c>
      <c r="D722" t="s">
        <v>8996</v>
      </c>
      <c r="E722" t="s">
        <v>20006</v>
      </c>
      <c r="F722">
        <v>56</v>
      </c>
      <c r="G722">
        <v>3236447</v>
      </c>
      <c r="H722" t="s">
        <v>20007</v>
      </c>
      <c r="J722" s="54" t="s">
        <v>20006</v>
      </c>
      <c r="K722" s="54">
        <v>3</v>
      </c>
      <c r="L722" s="22" t="s">
        <v>104</v>
      </c>
      <c r="M722" s="22" t="s">
        <v>815</v>
      </c>
    </row>
    <row r="723" spans="1:13" x14ac:dyDescent="0.75">
      <c r="A723" t="s">
        <v>5914</v>
      </c>
      <c r="B723" t="s">
        <v>814</v>
      </c>
      <c r="C723" t="s">
        <v>6415</v>
      </c>
      <c r="D723" t="s">
        <v>8996</v>
      </c>
      <c r="E723" t="s">
        <v>30033</v>
      </c>
      <c r="F723">
        <v>189</v>
      </c>
      <c r="G723">
        <v>3228607</v>
      </c>
      <c r="H723" t="s">
        <v>30034</v>
      </c>
      <c r="J723" s="54" t="s">
        <v>30844</v>
      </c>
      <c r="K723" s="54">
        <v>3</v>
      </c>
      <c r="L723" s="22" t="s">
        <v>104</v>
      </c>
      <c r="M723" s="22" t="s">
        <v>815</v>
      </c>
    </row>
    <row r="724" spans="1:13" x14ac:dyDescent="0.75">
      <c r="A724" t="s">
        <v>813</v>
      </c>
      <c r="B724" t="s">
        <v>814</v>
      </c>
      <c r="C724" t="s">
        <v>6415</v>
      </c>
      <c r="D724" t="s">
        <v>8996</v>
      </c>
      <c r="E724" t="s">
        <v>8997</v>
      </c>
      <c r="F724">
        <v>242</v>
      </c>
      <c r="G724">
        <v>3218123</v>
      </c>
      <c r="H724" t="s">
        <v>8998</v>
      </c>
      <c r="J724" s="54" t="s">
        <v>8997</v>
      </c>
      <c r="K724" s="54">
        <v>3</v>
      </c>
      <c r="L724" s="22" t="s">
        <v>104</v>
      </c>
      <c r="M724" s="22" t="s">
        <v>815</v>
      </c>
    </row>
    <row r="725" spans="1:13" x14ac:dyDescent="0.75">
      <c r="A725" t="s">
        <v>1733</v>
      </c>
      <c r="B725" t="s">
        <v>814</v>
      </c>
      <c r="C725" t="s">
        <v>6415</v>
      </c>
      <c r="D725" t="s">
        <v>8996</v>
      </c>
      <c r="E725" t="s">
        <v>13751</v>
      </c>
      <c r="F725">
        <v>1</v>
      </c>
      <c r="G725">
        <v>3412686</v>
      </c>
      <c r="H725" t="s">
        <v>13752</v>
      </c>
      <c r="J725" s="54" t="s">
        <v>13751</v>
      </c>
      <c r="K725" s="54">
        <v>3</v>
      </c>
      <c r="L725" s="22" t="s">
        <v>104</v>
      </c>
      <c r="M725" s="22" t="s">
        <v>815</v>
      </c>
    </row>
    <row r="726" spans="1:13" x14ac:dyDescent="0.75">
      <c r="A726" t="s">
        <v>3247</v>
      </c>
      <c r="B726" t="s">
        <v>814</v>
      </c>
      <c r="C726" t="s">
        <v>6415</v>
      </c>
      <c r="D726" t="s">
        <v>8996</v>
      </c>
      <c r="E726" t="s">
        <v>20295</v>
      </c>
      <c r="F726">
        <v>55</v>
      </c>
      <c r="G726">
        <v>3221018</v>
      </c>
      <c r="H726" t="s">
        <v>20296</v>
      </c>
      <c r="J726" s="54" t="s">
        <v>20295</v>
      </c>
      <c r="K726" s="54">
        <v>3</v>
      </c>
      <c r="L726" s="22" t="s">
        <v>104</v>
      </c>
      <c r="M726" s="22" t="s">
        <v>815</v>
      </c>
    </row>
    <row r="727" spans="1:13" x14ac:dyDescent="0.75">
      <c r="A727" t="s">
        <v>3215</v>
      </c>
      <c r="B727" t="s">
        <v>814</v>
      </c>
      <c r="C727" t="s">
        <v>6415</v>
      </c>
      <c r="D727" t="s">
        <v>8996</v>
      </c>
      <c r="E727" t="s">
        <v>20289</v>
      </c>
      <c r="F727">
        <v>56</v>
      </c>
      <c r="G727">
        <v>3223016</v>
      </c>
      <c r="H727" t="s">
        <v>20290</v>
      </c>
      <c r="J727" s="54" t="s">
        <v>20289</v>
      </c>
      <c r="K727" s="54">
        <v>3</v>
      </c>
      <c r="L727" s="22" t="s">
        <v>104</v>
      </c>
      <c r="M727" s="22" t="s">
        <v>815</v>
      </c>
    </row>
    <row r="728" spans="1:13" x14ac:dyDescent="0.75">
      <c r="A728" t="s">
        <v>3202</v>
      </c>
      <c r="B728" t="s">
        <v>814</v>
      </c>
      <c r="C728" t="s">
        <v>6415</v>
      </c>
      <c r="D728" t="s">
        <v>8996</v>
      </c>
      <c r="E728" t="s">
        <v>20287</v>
      </c>
      <c r="F728">
        <v>58</v>
      </c>
      <c r="G728">
        <v>3255290</v>
      </c>
      <c r="H728" t="s">
        <v>20288</v>
      </c>
      <c r="J728" s="54" t="s">
        <v>20287</v>
      </c>
      <c r="K728" s="54">
        <v>3</v>
      </c>
      <c r="L728" s="22" t="s">
        <v>104</v>
      </c>
      <c r="M728" s="22" t="s">
        <v>815</v>
      </c>
    </row>
    <row r="729" spans="1:13" x14ac:dyDescent="0.75">
      <c r="A729" t="s">
        <v>3235</v>
      </c>
      <c r="B729" t="s">
        <v>814</v>
      </c>
      <c r="C729" t="s">
        <v>6415</v>
      </c>
      <c r="D729" t="s">
        <v>8996</v>
      </c>
      <c r="E729" t="s">
        <v>20293</v>
      </c>
      <c r="F729">
        <v>53</v>
      </c>
      <c r="G729">
        <v>3073616</v>
      </c>
      <c r="H729" t="s">
        <v>20294</v>
      </c>
      <c r="J729" s="54" t="s">
        <v>30843</v>
      </c>
      <c r="K729" s="54">
        <v>3</v>
      </c>
      <c r="L729" s="22" t="s">
        <v>104</v>
      </c>
      <c r="M729" s="22" t="s">
        <v>815</v>
      </c>
    </row>
    <row r="730" spans="1:13" x14ac:dyDescent="0.75">
      <c r="A730" t="s">
        <v>3140</v>
      </c>
      <c r="B730" t="s">
        <v>814</v>
      </c>
      <c r="C730" t="s">
        <v>6415</v>
      </c>
      <c r="D730" t="s">
        <v>8996</v>
      </c>
      <c r="E730">
        <v>51621</v>
      </c>
      <c r="F730">
        <v>53</v>
      </c>
      <c r="G730">
        <v>3136201</v>
      </c>
      <c r="H730" t="s">
        <v>20008</v>
      </c>
      <c r="J730" s="54">
        <v>51621</v>
      </c>
      <c r="K730" s="54">
        <v>3</v>
      </c>
      <c r="L730" s="22" t="s">
        <v>104</v>
      </c>
      <c r="M730" s="22" t="s">
        <v>815</v>
      </c>
    </row>
    <row r="731" spans="1:13" x14ac:dyDescent="0.75">
      <c r="A731" t="s">
        <v>3226</v>
      </c>
      <c r="B731" t="s">
        <v>814</v>
      </c>
      <c r="C731" t="s">
        <v>6415</v>
      </c>
      <c r="D731" t="s">
        <v>8996</v>
      </c>
      <c r="E731" t="s">
        <v>20291</v>
      </c>
      <c r="F731">
        <v>99</v>
      </c>
      <c r="G731">
        <v>3200929</v>
      </c>
      <c r="H731" t="s">
        <v>20292</v>
      </c>
      <c r="J731" s="54" t="s">
        <v>20291</v>
      </c>
      <c r="K731" s="54">
        <v>2</v>
      </c>
      <c r="L731" s="22" t="s">
        <v>104</v>
      </c>
      <c r="M731" s="22" t="s">
        <v>815</v>
      </c>
    </row>
    <row r="732" spans="1:13" x14ac:dyDescent="0.75">
      <c r="A732" t="s">
        <v>5425</v>
      </c>
      <c r="B732" t="s">
        <v>473</v>
      </c>
      <c r="C732" t="s">
        <v>6415</v>
      </c>
      <c r="D732" t="s">
        <v>7549</v>
      </c>
      <c r="E732" t="s">
        <v>28901</v>
      </c>
      <c r="F732">
        <v>265</v>
      </c>
      <c r="G732">
        <v>1632811</v>
      </c>
      <c r="H732" t="s">
        <v>28902</v>
      </c>
      <c r="J732" s="54" t="s">
        <v>30844</v>
      </c>
      <c r="K732" s="54">
        <v>1</v>
      </c>
      <c r="L732" s="22" t="s">
        <v>104</v>
      </c>
      <c r="M732" s="22" t="s">
        <v>36826</v>
      </c>
    </row>
    <row r="733" spans="1:13" x14ac:dyDescent="0.75">
      <c r="A733" t="s">
        <v>472</v>
      </c>
      <c r="B733" t="s">
        <v>473</v>
      </c>
      <c r="C733" t="s">
        <v>6415</v>
      </c>
      <c r="D733" t="s">
        <v>7549</v>
      </c>
      <c r="E733" t="s">
        <v>7550</v>
      </c>
      <c r="F733">
        <v>74</v>
      </c>
      <c r="G733">
        <v>2548422</v>
      </c>
      <c r="H733" t="s">
        <v>7551</v>
      </c>
      <c r="J733" s="54" t="s">
        <v>7550</v>
      </c>
      <c r="K733" s="54">
        <v>1</v>
      </c>
      <c r="L733" s="22" t="s">
        <v>104</v>
      </c>
      <c r="M733" s="22" t="s">
        <v>36826</v>
      </c>
    </row>
    <row r="734" spans="1:13" x14ac:dyDescent="0.75">
      <c r="A734" t="s">
        <v>30834</v>
      </c>
      <c r="B734" t="s">
        <v>30835</v>
      </c>
      <c r="C734" t="s">
        <v>6415</v>
      </c>
      <c r="D734" t="s">
        <v>30836</v>
      </c>
      <c r="E734" t="s">
        <v>30837</v>
      </c>
      <c r="F734">
        <v>89</v>
      </c>
      <c r="G734">
        <v>2301859</v>
      </c>
      <c r="H734" t="s">
        <v>30838</v>
      </c>
      <c r="J734" s="54" t="s">
        <v>6052</v>
      </c>
      <c r="K734" s="54">
        <v>0</v>
      </c>
      <c r="L734" s="22" t="s">
        <v>104</v>
      </c>
      <c r="M734" s="22" t="s">
        <v>36929</v>
      </c>
    </row>
    <row r="735" spans="1:13" x14ac:dyDescent="0.75">
      <c r="A735" t="s">
        <v>26708</v>
      </c>
      <c r="B735" t="s">
        <v>26709</v>
      </c>
      <c r="C735" t="s">
        <v>6415</v>
      </c>
      <c r="D735" t="s">
        <v>26710</v>
      </c>
      <c r="E735" t="s">
        <v>6089</v>
      </c>
      <c r="F735">
        <v>100</v>
      </c>
      <c r="G735">
        <v>2953506</v>
      </c>
      <c r="H735" t="s">
        <v>26711</v>
      </c>
      <c r="J735" s="54" t="s">
        <v>6052</v>
      </c>
      <c r="K735" s="54">
        <v>0</v>
      </c>
      <c r="L735" s="22" t="s">
        <v>104</v>
      </c>
      <c r="M735" s="22" t="s">
        <v>36927</v>
      </c>
    </row>
    <row r="736" spans="1:13" x14ac:dyDescent="0.75">
      <c r="A736" t="s">
        <v>29885</v>
      </c>
      <c r="B736" t="s">
        <v>26709</v>
      </c>
      <c r="C736" t="s">
        <v>6415</v>
      </c>
      <c r="D736" t="s">
        <v>26710</v>
      </c>
      <c r="E736" t="s">
        <v>29886</v>
      </c>
      <c r="F736">
        <v>190</v>
      </c>
      <c r="G736">
        <v>3000345</v>
      </c>
      <c r="H736" t="s">
        <v>29887</v>
      </c>
      <c r="J736" s="54" t="s">
        <v>6052</v>
      </c>
      <c r="K736" s="54">
        <v>0</v>
      </c>
      <c r="L736" s="22" t="s">
        <v>104</v>
      </c>
      <c r="M736" s="22" t="s">
        <v>36927</v>
      </c>
    </row>
    <row r="737" spans="1:13" x14ac:dyDescent="0.75">
      <c r="A737" t="s">
        <v>9729</v>
      </c>
      <c r="B737" t="s">
        <v>9730</v>
      </c>
      <c r="C737" t="s">
        <v>6415</v>
      </c>
      <c r="D737" t="s">
        <v>9731</v>
      </c>
      <c r="E737" t="s">
        <v>9732</v>
      </c>
      <c r="F737">
        <v>191</v>
      </c>
      <c r="G737">
        <v>2724306</v>
      </c>
      <c r="H737" t="s">
        <v>9733</v>
      </c>
      <c r="J737" s="54" t="s">
        <v>6052</v>
      </c>
      <c r="K737" s="54">
        <v>0</v>
      </c>
      <c r="L737" s="22" t="s">
        <v>104</v>
      </c>
      <c r="M737" s="22" t="s">
        <v>36930</v>
      </c>
    </row>
    <row r="738" spans="1:13" x14ac:dyDescent="0.75">
      <c r="A738" t="s">
        <v>2024</v>
      </c>
      <c r="B738" t="s">
        <v>2025</v>
      </c>
      <c r="C738" t="s">
        <v>6415</v>
      </c>
      <c r="D738" t="s">
        <v>14740</v>
      </c>
      <c r="E738" t="s">
        <v>14741</v>
      </c>
      <c r="F738">
        <v>2</v>
      </c>
      <c r="G738">
        <v>2990835</v>
      </c>
      <c r="H738" t="s">
        <v>14742</v>
      </c>
      <c r="J738" s="54" t="s">
        <v>14741</v>
      </c>
      <c r="K738" s="54">
        <v>1</v>
      </c>
      <c r="L738" s="22" t="s">
        <v>104</v>
      </c>
      <c r="M738" s="22" t="s">
        <v>36835</v>
      </c>
    </row>
    <row r="739" spans="1:13" x14ac:dyDescent="0.75">
      <c r="A739" t="s">
        <v>5270</v>
      </c>
      <c r="B739" t="s">
        <v>329</v>
      </c>
      <c r="C739" t="s">
        <v>6415</v>
      </c>
      <c r="D739" t="s">
        <v>6911</v>
      </c>
      <c r="E739" t="s">
        <v>28022</v>
      </c>
      <c r="F739">
        <v>1</v>
      </c>
      <c r="G739">
        <v>2933908</v>
      </c>
      <c r="H739" t="s">
        <v>28023</v>
      </c>
      <c r="J739" s="54" t="s">
        <v>28022</v>
      </c>
      <c r="K739" s="54">
        <v>3</v>
      </c>
      <c r="L739" s="22" t="s">
        <v>104</v>
      </c>
      <c r="M739" s="22" t="s">
        <v>330</v>
      </c>
    </row>
    <row r="740" spans="1:13" x14ac:dyDescent="0.75">
      <c r="A740" t="s">
        <v>5709</v>
      </c>
      <c r="B740" t="s">
        <v>329</v>
      </c>
      <c r="C740" t="s">
        <v>6415</v>
      </c>
      <c r="D740" t="s">
        <v>6911</v>
      </c>
      <c r="E740" t="s">
        <v>29565</v>
      </c>
      <c r="F740">
        <v>84</v>
      </c>
      <c r="G740">
        <v>2757173</v>
      </c>
      <c r="H740" t="s">
        <v>29566</v>
      </c>
      <c r="J740" s="54" t="s">
        <v>30844</v>
      </c>
      <c r="K740" s="54">
        <v>3</v>
      </c>
      <c r="L740" s="22" t="s">
        <v>104</v>
      </c>
      <c r="M740" s="22" t="s">
        <v>330</v>
      </c>
    </row>
    <row r="741" spans="1:13" x14ac:dyDescent="0.75">
      <c r="A741" t="s">
        <v>5492</v>
      </c>
      <c r="B741" t="s">
        <v>329</v>
      </c>
      <c r="C741" t="s">
        <v>6415</v>
      </c>
      <c r="D741" t="s">
        <v>6911</v>
      </c>
      <c r="E741" t="s">
        <v>29070</v>
      </c>
      <c r="F741">
        <v>89</v>
      </c>
      <c r="G741">
        <v>2955558</v>
      </c>
      <c r="H741" t="s">
        <v>29071</v>
      </c>
      <c r="J741" s="54" t="s">
        <v>30844</v>
      </c>
      <c r="K741" s="54">
        <v>3</v>
      </c>
      <c r="L741" s="22" t="s">
        <v>104</v>
      </c>
      <c r="M741" s="22" t="s">
        <v>330</v>
      </c>
    </row>
    <row r="742" spans="1:13" x14ac:dyDescent="0.75">
      <c r="A742" t="s">
        <v>1854</v>
      </c>
      <c r="B742" t="s">
        <v>329</v>
      </c>
      <c r="C742" t="s">
        <v>6415</v>
      </c>
      <c r="D742" t="s">
        <v>6911</v>
      </c>
      <c r="E742" t="s">
        <v>13911</v>
      </c>
      <c r="F742">
        <v>2</v>
      </c>
      <c r="G742">
        <v>2963948</v>
      </c>
      <c r="H742" t="s">
        <v>13912</v>
      </c>
      <c r="J742" s="54" t="s">
        <v>13911</v>
      </c>
      <c r="K742" s="54">
        <v>3</v>
      </c>
      <c r="L742" s="22" t="s">
        <v>104</v>
      </c>
      <c r="M742" s="22" t="s">
        <v>330</v>
      </c>
    </row>
    <row r="743" spans="1:13" x14ac:dyDescent="0.75">
      <c r="A743" t="s">
        <v>1836</v>
      </c>
      <c r="B743" t="s">
        <v>329</v>
      </c>
      <c r="C743" t="s">
        <v>6415</v>
      </c>
      <c r="D743" t="s">
        <v>6911</v>
      </c>
      <c r="E743" t="s">
        <v>13904</v>
      </c>
      <c r="F743">
        <v>1</v>
      </c>
      <c r="G743">
        <v>3098616</v>
      </c>
      <c r="H743" t="s">
        <v>13905</v>
      </c>
      <c r="J743" s="54" t="s">
        <v>13904</v>
      </c>
      <c r="K743" s="54">
        <v>3</v>
      </c>
      <c r="L743" s="22" t="s">
        <v>104</v>
      </c>
      <c r="M743" s="22" t="s">
        <v>330</v>
      </c>
    </row>
    <row r="744" spans="1:13" x14ac:dyDescent="0.75">
      <c r="A744" t="s">
        <v>5189</v>
      </c>
      <c r="B744" t="s">
        <v>329</v>
      </c>
      <c r="C744" t="s">
        <v>6415</v>
      </c>
      <c r="D744" t="s">
        <v>6911</v>
      </c>
      <c r="E744" t="s">
        <v>27432</v>
      </c>
      <c r="F744">
        <v>11</v>
      </c>
      <c r="G744">
        <v>3053418</v>
      </c>
      <c r="H744" t="s">
        <v>27433</v>
      </c>
      <c r="J744" s="54" t="s">
        <v>27432</v>
      </c>
      <c r="K744" s="54">
        <v>2</v>
      </c>
      <c r="L744" s="22" t="s">
        <v>104</v>
      </c>
      <c r="M744" s="22" t="s">
        <v>330</v>
      </c>
    </row>
    <row r="745" spans="1:13" x14ac:dyDescent="0.75">
      <c r="A745" t="s">
        <v>1812</v>
      </c>
      <c r="B745" t="s">
        <v>329</v>
      </c>
      <c r="C745" t="s">
        <v>6415</v>
      </c>
      <c r="D745" t="s">
        <v>6911</v>
      </c>
      <c r="E745" t="s">
        <v>13898</v>
      </c>
      <c r="F745">
        <v>1</v>
      </c>
      <c r="G745">
        <v>3074746</v>
      </c>
      <c r="H745" t="s">
        <v>13899</v>
      </c>
      <c r="J745" s="54" t="s">
        <v>13898</v>
      </c>
      <c r="K745" s="54">
        <v>2</v>
      </c>
      <c r="L745" s="22" t="s">
        <v>104</v>
      </c>
      <c r="M745" s="22" t="s">
        <v>330</v>
      </c>
    </row>
    <row r="746" spans="1:13" x14ac:dyDescent="0.75">
      <c r="A746" t="s">
        <v>1825</v>
      </c>
      <c r="B746" t="s">
        <v>329</v>
      </c>
      <c r="C746" t="s">
        <v>6415</v>
      </c>
      <c r="D746" t="s">
        <v>6911</v>
      </c>
      <c r="E746" t="s">
        <v>13902</v>
      </c>
      <c r="F746">
        <v>1</v>
      </c>
      <c r="G746">
        <v>2855148</v>
      </c>
      <c r="H746" t="s">
        <v>13903</v>
      </c>
      <c r="J746" s="54" t="s">
        <v>13902</v>
      </c>
      <c r="K746" s="54">
        <v>2</v>
      </c>
      <c r="L746" s="22" t="s">
        <v>104</v>
      </c>
      <c r="M746" s="22" t="s">
        <v>330</v>
      </c>
    </row>
    <row r="747" spans="1:13" x14ac:dyDescent="0.75">
      <c r="A747" t="s">
        <v>328</v>
      </c>
      <c r="B747" t="s">
        <v>329</v>
      </c>
      <c r="C747" t="s">
        <v>6415</v>
      </c>
      <c r="D747" t="s">
        <v>6911</v>
      </c>
      <c r="E747" t="s">
        <v>7116</v>
      </c>
      <c r="F747">
        <v>65</v>
      </c>
      <c r="G747">
        <v>2997845</v>
      </c>
      <c r="H747" t="s">
        <v>7117</v>
      </c>
      <c r="J747" s="54" t="s">
        <v>7116</v>
      </c>
      <c r="K747" s="54">
        <v>2</v>
      </c>
      <c r="L747" s="22" t="s">
        <v>104</v>
      </c>
      <c r="M747" s="22" t="s">
        <v>330</v>
      </c>
    </row>
    <row r="748" spans="1:13" x14ac:dyDescent="0.75">
      <c r="A748" t="s">
        <v>5262</v>
      </c>
      <c r="B748" t="s">
        <v>223</v>
      </c>
      <c r="C748" t="s">
        <v>6927</v>
      </c>
      <c r="D748" t="s">
        <v>6928</v>
      </c>
      <c r="E748" t="s">
        <v>27969</v>
      </c>
      <c r="F748">
        <v>1</v>
      </c>
      <c r="G748">
        <v>2670755</v>
      </c>
      <c r="H748" t="s">
        <v>27970</v>
      </c>
      <c r="J748" s="54" t="s">
        <v>27969</v>
      </c>
      <c r="K748" s="54">
        <v>1</v>
      </c>
      <c r="L748" s="22" t="s">
        <v>104</v>
      </c>
      <c r="M748" s="22" t="s">
        <v>224</v>
      </c>
    </row>
    <row r="749" spans="1:13" x14ac:dyDescent="0.75">
      <c r="A749" t="s">
        <v>5038</v>
      </c>
      <c r="B749" t="s">
        <v>223</v>
      </c>
      <c r="C749" t="s">
        <v>6927</v>
      </c>
      <c r="D749" t="s">
        <v>6928</v>
      </c>
      <c r="E749" t="s">
        <v>27109</v>
      </c>
      <c r="F749">
        <v>88</v>
      </c>
      <c r="G749">
        <v>2646022</v>
      </c>
      <c r="H749" t="s">
        <v>27110</v>
      </c>
      <c r="J749" s="54" t="s">
        <v>27109</v>
      </c>
      <c r="K749" s="54">
        <v>1</v>
      </c>
      <c r="L749" s="22" t="s">
        <v>104</v>
      </c>
      <c r="M749" s="22" t="s">
        <v>224</v>
      </c>
    </row>
    <row r="750" spans="1:13" x14ac:dyDescent="0.75">
      <c r="A750" t="s">
        <v>222</v>
      </c>
      <c r="B750" t="s">
        <v>223</v>
      </c>
      <c r="C750" t="s">
        <v>6927</v>
      </c>
      <c r="D750" t="s">
        <v>6928</v>
      </c>
      <c r="E750" t="s">
        <v>6929</v>
      </c>
      <c r="F750">
        <v>142</v>
      </c>
      <c r="G750">
        <v>2642494</v>
      </c>
      <c r="H750" t="s">
        <v>6930</v>
      </c>
      <c r="J750" s="54" t="s">
        <v>6929</v>
      </c>
      <c r="K750" s="54">
        <v>1</v>
      </c>
      <c r="L750" s="22" t="s">
        <v>104</v>
      </c>
      <c r="M750" s="22" t="s">
        <v>224</v>
      </c>
    </row>
    <row r="751" spans="1:13" x14ac:dyDescent="0.75">
      <c r="A751" t="s">
        <v>1399</v>
      </c>
      <c r="B751" t="s">
        <v>223</v>
      </c>
      <c r="C751" t="s">
        <v>6927</v>
      </c>
      <c r="D751" t="s">
        <v>6928</v>
      </c>
      <c r="E751" t="s">
        <v>11040</v>
      </c>
      <c r="F751">
        <v>208</v>
      </c>
      <c r="G751">
        <v>2541982</v>
      </c>
      <c r="H751" t="s">
        <v>11041</v>
      </c>
      <c r="J751" s="54" t="s">
        <v>11040</v>
      </c>
      <c r="K751" s="54">
        <v>1</v>
      </c>
      <c r="L751" s="22" t="s">
        <v>104</v>
      </c>
      <c r="M751" s="22" t="s">
        <v>224</v>
      </c>
    </row>
    <row r="752" spans="1:13" x14ac:dyDescent="0.75">
      <c r="A752" t="s">
        <v>1407</v>
      </c>
      <c r="B752" t="s">
        <v>223</v>
      </c>
      <c r="C752" t="s">
        <v>6927</v>
      </c>
      <c r="D752" t="s">
        <v>6928</v>
      </c>
      <c r="E752" t="s">
        <v>11128</v>
      </c>
      <c r="F752">
        <v>160</v>
      </c>
      <c r="G752">
        <v>2565097</v>
      </c>
      <c r="H752" t="s">
        <v>11129</v>
      </c>
      <c r="J752" s="54" t="s">
        <v>11128</v>
      </c>
      <c r="K752" s="54">
        <v>1</v>
      </c>
      <c r="L752" s="22" t="s">
        <v>104</v>
      </c>
      <c r="M752" s="22" t="s">
        <v>224</v>
      </c>
    </row>
    <row r="753" spans="1:13" x14ac:dyDescent="0.75">
      <c r="A753" t="s">
        <v>1392</v>
      </c>
      <c r="B753" t="s">
        <v>223</v>
      </c>
      <c r="C753" t="s">
        <v>6927</v>
      </c>
      <c r="D753" t="s">
        <v>6928</v>
      </c>
      <c r="E753" t="s">
        <v>11038</v>
      </c>
      <c r="F753">
        <v>193</v>
      </c>
      <c r="G753">
        <v>2561486</v>
      </c>
      <c r="H753" t="s">
        <v>11039</v>
      </c>
      <c r="J753" s="54" t="s">
        <v>11038</v>
      </c>
      <c r="K753" s="54">
        <v>1</v>
      </c>
      <c r="L753" s="22" t="s">
        <v>104</v>
      </c>
      <c r="M753" s="22" t="s">
        <v>224</v>
      </c>
    </row>
    <row r="754" spans="1:13" x14ac:dyDescent="0.75">
      <c r="A754" t="s">
        <v>5751</v>
      </c>
      <c r="B754" t="s">
        <v>223</v>
      </c>
      <c r="C754" t="s">
        <v>6927</v>
      </c>
      <c r="D754" t="s">
        <v>6928</v>
      </c>
      <c r="E754" t="s">
        <v>29617</v>
      </c>
      <c r="F754">
        <v>239</v>
      </c>
      <c r="G754">
        <v>2581702</v>
      </c>
      <c r="H754" t="s">
        <v>29618</v>
      </c>
      <c r="J754" s="54" t="s">
        <v>6052</v>
      </c>
      <c r="K754" s="54">
        <v>0</v>
      </c>
      <c r="L754" s="22" t="s">
        <v>104</v>
      </c>
      <c r="M754" s="22" t="s">
        <v>224</v>
      </c>
    </row>
    <row r="755" spans="1:13" x14ac:dyDescent="0.75">
      <c r="A755" t="s">
        <v>29026</v>
      </c>
      <c r="B755" t="s">
        <v>223</v>
      </c>
      <c r="C755" t="s">
        <v>6927</v>
      </c>
      <c r="D755" t="s">
        <v>6928</v>
      </c>
      <c r="E755" t="s">
        <v>29027</v>
      </c>
      <c r="F755">
        <v>219</v>
      </c>
      <c r="G755">
        <v>2340265</v>
      </c>
      <c r="H755" t="s">
        <v>29028</v>
      </c>
      <c r="J755" s="54" t="s">
        <v>6052</v>
      </c>
      <c r="K755" s="54">
        <v>0</v>
      </c>
      <c r="L755" s="22" t="s">
        <v>104</v>
      </c>
      <c r="M755" s="22" t="s">
        <v>224</v>
      </c>
    </row>
    <row r="756" spans="1:13" x14ac:dyDescent="0.75">
      <c r="A756" t="s">
        <v>596</v>
      </c>
      <c r="B756" t="s">
        <v>597</v>
      </c>
      <c r="C756" t="s">
        <v>6927</v>
      </c>
      <c r="D756" t="s">
        <v>8380</v>
      </c>
      <c r="E756" t="s">
        <v>8381</v>
      </c>
      <c r="F756">
        <v>198</v>
      </c>
      <c r="G756">
        <v>2553535</v>
      </c>
      <c r="H756" t="s">
        <v>8382</v>
      </c>
      <c r="J756" s="54" t="s">
        <v>6052</v>
      </c>
      <c r="K756" s="54">
        <v>0</v>
      </c>
      <c r="L756" s="22" t="s">
        <v>104</v>
      </c>
      <c r="M756" s="22" t="s">
        <v>598</v>
      </c>
    </row>
    <row r="757" spans="1:13" x14ac:dyDescent="0.75">
      <c r="A757" t="s">
        <v>5338</v>
      </c>
      <c r="B757" t="s">
        <v>597</v>
      </c>
      <c r="C757" t="s">
        <v>6927</v>
      </c>
      <c r="D757" t="s">
        <v>8380</v>
      </c>
      <c r="E757" t="s">
        <v>28364</v>
      </c>
      <c r="F757">
        <v>198</v>
      </c>
      <c r="G757">
        <v>2547857</v>
      </c>
      <c r="H757" t="s">
        <v>28365</v>
      </c>
      <c r="J757" s="54" t="s">
        <v>6052</v>
      </c>
      <c r="K757" s="54">
        <v>0</v>
      </c>
      <c r="L757" s="22" t="s">
        <v>104</v>
      </c>
      <c r="M757" s="22" t="s">
        <v>598</v>
      </c>
    </row>
    <row r="758" spans="1:13" x14ac:dyDescent="0.75">
      <c r="A758" t="s">
        <v>5243</v>
      </c>
      <c r="B758" t="s">
        <v>597</v>
      </c>
      <c r="C758" t="s">
        <v>6927</v>
      </c>
      <c r="D758" t="s">
        <v>8380</v>
      </c>
      <c r="E758" t="s">
        <v>27649</v>
      </c>
      <c r="F758">
        <v>2</v>
      </c>
      <c r="G758">
        <v>2755518</v>
      </c>
      <c r="H758" t="s">
        <v>27650</v>
      </c>
      <c r="J758" s="54" t="s">
        <v>6052</v>
      </c>
      <c r="K758" s="54">
        <v>0</v>
      </c>
      <c r="L758" s="22" t="s">
        <v>104</v>
      </c>
      <c r="M758" s="22" t="s">
        <v>598</v>
      </c>
    </row>
    <row r="759" spans="1:13" x14ac:dyDescent="0.75">
      <c r="A759" t="s">
        <v>20168</v>
      </c>
      <c r="B759" t="s">
        <v>20169</v>
      </c>
      <c r="C759" t="s">
        <v>6862</v>
      </c>
      <c r="D759" t="s">
        <v>8644</v>
      </c>
      <c r="E759" t="s">
        <v>20170</v>
      </c>
      <c r="F759">
        <v>3</v>
      </c>
      <c r="G759">
        <v>3122925</v>
      </c>
      <c r="H759" t="s">
        <v>20171</v>
      </c>
      <c r="J759" s="54" t="s">
        <v>6052</v>
      </c>
      <c r="K759" s="54">
        <v>0</v>
      </c>
      <c r="L759" s="22" t="s">
        <v>104</v>
      </c>
      <c r="M759" s="22" t="s">
        <v>36932</v>
      </c>
    </row>
    <row r="760" spans="1:13" x14ac:dyDescent="0.75">
      <c r="A760" t="s">
        <v>6860</v>
      </c>
      <c r="B760" t="s">
        <v>6861</v>
      </c>
      <c r="C760" t="s">
        <v>6862</v>
      </c>
      <c r="D760" t="s">
        <v>6863</v>
      </c>
      <c r="E760" t="s">
        <v>6864</v>
      </c>
      <c r="F760">
        <v>26</v>
      </c>
      <c r="G760">
        <v>3479204</v>
      </c>
      <c r="H760" t="s">
        <v>6865</v>
      </c>
      <c r="J760" s="54" t="s">
        <v>6052</v>
      </c>
      <c r="K760" s="54">
        <v>0</v>
      </c>
      <c r="L760" s="22" t="s">
        <v>104</v>
      </c>
      <c r="M760" s="22" t="s">
        <v>36931</v>
      </c>
    </row>
    <row r="761" spans="1:13" x14ac:dyDescent="0.75">
      <c r="A761" t="s">
        <v>7765</v>
      </c>
      <c r="B761" t="s">
        <v>7766</v>
      </c>
      <c r="C761" t="s">
        <v>7767</v>
      </c>
      <c r="D761" t="s">
        <v>7768</v>
      </c>
      <c r="E761" t="s">
        <v>7769</v>
      </c>
      <c r="F761">
        <v>71</v>
      </c>
      <c r="G761">
        <v>2761262</v>
      </c>
      <c r="H761" t="s">
        <v>7770</v>
      </c>
      <c r="J761" s="54" t="s">
        <v>6052</v>
      </c>
      <c r="K761" s="54">
        <v>0</v>
      </c>
      <c r="L761" s="22" t="s">
        <v>104</v>
      </c>
      <c r="M761" s="22" t="s">
        <v>36933</v>
      </c>
    </row>
    <row r="762" spans="1:13" x14ac:dyDescent="0.75">
      <c r="A762" t="s">
        <v>28945</v>
      </c>
      <c r="B762" t="s">
        <v>7766</v>
      </c>
      <c r="C762" t="s">
        <v>7767</v>
      </c>
      <c r="D762" t="s">
        <v>7768</v>
      </c>
      <c r="E762" t="s">
        <v>28946</v>
      </c>
      <c r="F762">
        <v>173</v>
      </c>
      <c r="G762">
        <v>2403355</v>
      </c>
      <c r="H762" t="s">
        <v>28947</v>
      </c>
      <c r="J762" s="54" t="s">
        <v>6052</v>
      </c>
      <c r="K762" s="54">
        <v>0</v>
      </c>
      <c r="L762" s="22" t="s">
        <v>104</v>
      </c>
      <c r="M762" s="22" t="s">
        <v>36933</v>
      </c>
    </row>
    <row r="763" spans="1:13" x14ac:dyDescent="0.75">
      <c r="A763" t="s">
        <v>28842</v>
      </c>
      <c r="B763" t="s">
        <v>8965</v>
      </c>
      <c r="C763" t="s">
        <v>6081</v>
      </c>
      <c r="D763" t="s">
        <v>8966</v>
      </c>
      <c r="E763" t="s">
        <v>28843</v>
      </c>
      <c r="F763">
        <v>206</v>
      </c>
      <c r="G763">
        <v>2294648</v>
      </c>
      <c r="H763" t="s">
        <v>28844</v>
      </c>
      <c r="J763" s="54" t="s">
        <v>6052</v>
      </c>
      <c r="K763" s="54">
        <v>0</v>
      </c>
      <c r="L763" s="22" t="s">
        <v>104</v>
      </c>
      <c r="M763" s="22" t="s">
        <v>36967</v>
      </c>
    </row>
    <row r="764" spans="1:13" x14ac:dyDescent="0.75">
      <c r="A764" t="s">
        <v>18767</v>
      </c>
      <c r="B764" t="s">
        <v>8965</v>
      </c>
      <c r="C764" t="s">
        <v>6081</v>
      </c>
      <c r="D764" t="s">
        <v>8966</v>
      </c>
      <c r="E764" t="s">
        <v>18768</v>
      </c>
      <c r="F764">
        <v>1</v>
      </c>
      <c r="G764">
        <v>2800016</v>
      </c>
      <c r="H764" t="s">
        <v>18769</v>
      </c>
      <c r="J764" s="54" t="s">
        <v>6052</v>
      </c>
      <c r="K764" s="54">
        <v>0</v>
      </c>
      <c r="L764" s="22" t="s">
        <v>104</v>
      </c>
      <c r="M764" s="22" t="s">
        <v>36967</v>
      </c>
    </row>
    <row r="765" spans="1:13" x14ac:dyDescent="0.75">
      <c r="A765" t="s">
        <v>26231</v>
      </c>
      <c r="B765" t="s">
        <v>8965</v>
      </c>
      <c r="C765" t="s">
        <v>6081</v>
      </c>
      <c r="D765" t="s">
        <v>8966</v>
      </c>
      <c r="E765" t="s">
        <v>18768</v>
      </c>
      <c r="F765">
        <v>1</v>
      </c>
      <c r="G765">
        <v>2786863</v>
      </c>
      <c r="H765" t="s">
        <v>26232</v>
      </c>
      <c r="J765" s="54" t="s">
        <v>6052</v>
      </c>
      <c r="K765" s="54">
        <v>0</v>
      </c>
      <c r="L765" s="22" t="s">
        <v>104</v>
      </c>
      <c r="M765" s="22" t="s">
        <v>36967</v>
      </c>
    </row>
    <row r="766" spans="1:13" x14ac:dyDescent="0.75">
      <c r="A766" t="s">
        <v>20570</v>
      </c>
      <c r="B766" t="s">
        <v>16703</v>
      </c>
      <c r="C766" t="s">
        <v>16704</v>
      </c>
      <c r="D766" t="s">
        <v>16705</v>
      </c>
      <c r="E766" t="s">
        <v>20571</v>
      </c>
      <c r="F766">
        <v>2</v>
      </c>
      <c r="G766">
        <v>5082709</v>
      </c>
      <c r="H766" t="s">
        <v>20572</v>
      </c>
      <c r="J766" s="54" t="s">
        <v>6052</v>
      </c>
      <c r="K766" s="54">
        <v>0</v>
      </c>
      <c r="L766" s="22" t="s">
        <v>144</v>
      </c>
      <c r="M766" s="22" t="s">
        <v>36875</v>
      </c>
    </row>
    <row r="767" spans="1:13" x14ac:dyDescent="0.75">
      <c r="A767" t="s">
        <v>16702</v>
      </c>
      <c r="B767" t="s">
        <v>16703</v>
      </c>
      <c r="C767" t="s">
        <v>16704</v>
      </c>
      <c r="D767" t="s">
        <v>16705</v>
      </c>
      <c r="E767" t="s">
        <v>16706</v>
      </c>
      <c r="F767">
        <v>6</v>
      </c>
      <c r="G767">
        <v>6138594</v>
      </c>
      <c r="H767" t="s">
        <v>16707</v>
      </c>
      <c r="J767" s="54" t="s">
        <v>6052</v>
      </c>
      <c r="K767" s="54">
        <v>0</v>
      </c>
      <c r="L767" s="22" t="s">
        <v>144</v>
      </c>
      <c r="M767" s="22" t="s">
        <v>36875</v>
      </c>
    </row>
    <row r="768" spans="1:13" x14ac:dyDescent="0.75">
      <c r="A768" t="s">
        <v>16708</v>
      </c>
      <c r="B768" t="s">
        <v>16703</v>
      </c>
      <c r="C768" t="s">
        <v>16704</v>
      </c>
      <c r="D768" t="s">
        <v>16705</v>
      </c>
      <c r="E768" t="s">
        <v>16709</v>
      </c>
      <c r="F768">
        <v>6</v>
      </c>
      <c r="G768">
        <v>5996243</v>
      </c>
      <c r="H768" t="s">
        <v>16710</v>
      </c>
      <c r="J768" s="54" t="s">
        <v>6052</v>
      </c>
      <c r="K768" s="54">
        <v>0</v>
      </c>
      <c r="L768" s="22" t="s">
        <v>144</v>
      </c>
      <c r="M768" s="22" t="s">
        <v>36875</v>
      </c>
    </row>
    <row r="769" spans="1:13" x14ac:dyDescent="0.75">
      <c r="A769" t="s">
        <v>24200</v>
      </c>
      <c r="B769" t="s">
        <v>16703</v>
      </c>
      <c r="C769" t="s">
        <v>16704</v>
      </c>
      <c r="D769" t="s">
        <v>16705</v>
      </c>
      <c r="E769" t="s">
        <v>24201</v>
      </c>
      <c r="F769">
        <v>4</v>
      </c>
      <c r="G769">
        <v>5831233</v>
      </c>
      <c r="H769" t="s">
        <v>24202</v>
      </c>
      <c r="J769" s="54" t="s">
        <v>6052</v>
      </c>
      <c r="K769" s="54">
        <v>0</v>
      </c>
      <c r="L769" s="22" t="s">
        <v>144</v>
      </c>
      <c r="M769" s="22" t="s">
        <v>36875</v>
      </c>
    </row>
    <row r="770" spans="1:13" x14ac:dyDescent="0.75">
      <c r="A770" t="s">
        <v>24197</v>
      </c>
      <c r="B770" t="s">
        <v>16703</v>
      </c>
      <c r="C770" t="s">
        <v>16704</v>
      </c>
      <c r="D770" t="s">
        <v>16705</v>
      </c>
      <c r="E770" t="s">
        <v>24198</v>
      </c>
      <c r="F770">
        <v>4</v>
      </c>
      <c r="G770">
        <v>5512153</v>
      </c>
      <c r="H770" t="s">
        <v>24199</v>
      </c>
      <c r="J770" s="54" t="s">
        <v>6052</v>
      </c>
      <c r="K770" s="54">
        <v>0</v>
      </c>
      <c r="L770" s="22" t="s">
        <v>144</v>
      </c>
      <c r="M770" s="22" t="s">
        <v>36875</v>
      </c>
    </row>
    <row r="771" spans="1:13" x14ac:dyDescent="0.75">
      <c r="A771" t="s">
        <v>3672</v>
      </c>
      <c r="B771" t="s">
        <v>73</v>
      </c>
      <c r="C771" t="s">
        <v>6363</v>
      </c>
      <c r="D771" t="s">
        <v>6364</v>
      </c>
      <c r="E771" t="s">
        <v>21074</v>
      </c>
      <c r="F771">
        <v>1</v>
      </c>
      <c r="G771">
        <v>2788976</v>
      </c>
      <c r="H771" t="s">
        <v>21075</v>
      </c>
      <c r="J771" s="54" t="s">
        <v>6052</v>
      </c>
      <c r="K771" s="54">
        <v>0</v>
      </c>
      <c r="L771" s="22" t="s">
        <v>34</v>
      </c>
      <c r="M771" s="22" t="s">
        <v>74</v>
      </c>
    </row>
    <row r="772" spans="1:13" x14ac:dyDescent="0.75">
      <c r="A772" t="s">
        <v>72</v>
      </c>
      <c r="B772" t="s">
        <v>73</v>
      </c>
      <c r="C772" t="s">
        <v>6363</v>
      </c>
      <c r="D772" t="s">
        <v>6364</v>
      </c>
      <c r="E772" t="s">
        <v>6365</v>
      </c>
      <c r="F772">
        <v>1</v>
      </c>
      <c r="G772">
        <v>2664102</v>
      </c>
      <c r="H772" t="s">
        <v>6366</v>
      </c>
      <c r="J772" s="54" t="s">
        <v>6052</v>
      </c>
      <c r="K772" s="54">
        <v>0</v>
      </c>
      <c r="L772" s="22" t="s">
        <v>34</v>
      </c>
      <c r="M772" s="22" t="s">
        <v>74</v>
      </c>
    </row>
    <row r="773" spans="1:13" x14ac:dyDescent="0.75">
      <c r="A773" t="s">
        <v>3316</v>
      </c>
      <c r="B773" t="s">
        <v>73</v>
      </c>
      <c r="C773" t="s">
        <v>6363</v>
      </c>
      <c r="D773" t="s">
        <v>6364</v>
      </c>
      <c r="E773" t="s">
        <v>6365</v>
      </c>
      <c r="F773">
        <v>1</v>
      </c>
      <c r="G773">
        <v>2664051</v>
      </c>
      <c r="H773" t="s">
        <v>20495</v>
      </c>
      <c r="J773" s="54" t="s">
        <v>6052</v>
      </c>
      <c r="K773" s="54">
        <v>0</v>
      </c>
      <c r="L773" s="22" t="s">
        <v>34</v>
      </c>
      <c r="M773" s="22" t="s">
        <v>74</v>
      </c>
    </row>
    <row r="774" spans="1:13" x14ac:dyDescent="0.75">
      <c r="A774" t="s">
        <v>2473</v>
      </c>
      <c r="B774" t="s">
        <v>73</v>
      </c>
      <c r="C774" t="s">
        <v>6363</v>
      </c>
      <c r="D774" t="s">
        <v>6364</v>
      </c>
      <c r="E774" t="s">
        <v>17227</v>
      </c>
      <c r="F774">
        <v>1</v>
      </c>
      <c r="G774">
        <v>2664043</v>
      </c>
      <c r="H774" t="s">
        <v>17228</v>
      </c>
      <c r="J774" s="54" t="s">
        <v>6052</v>
      </c>
      <c r="K774" s="54">
        <v>0</v>
      </c>
      <c r="L774" s="22" t="s">
        <v>34</v>
      </c>
      <c r="M774" s="22" t="s">
        <v>74</v>
      </c>
    </row>
    <row r="775" spans="1:13" x14ac:dyDescent="0.75">
      <c r="A775" t="s">
        <v>2219</v>
      </c>
      <c r="B775" t="s">
        <v>73</v>
      </c>
      <c r="C775" t="s">
        <v>6363</v>
      </c>
      <c r="D775" t="s">
        <v>6364</v>
      </c>
      <c r="E775" t="s">
        <v>16494</v>
      </c>
      <c r="F775">
        <v>1</v>
      </c>
      <c r="G775">
        <v>2764311</v>
      </c>
      <c r="H775" t="s">
        <v>16495</v>
      </c>
      <c r="J775" s="54" t="s">
        <v>6052</v>
      </c>
      <c r="K775" s="54">
        <v>0</v>
      </c>
      <c r="L775" s="22" t="s">
        <v>34</v>
      </c>
      <c r="M775" s="22" t="s">
        <v>74</v>
      </c>
    </row>
    <row r="776" spans="1:13" x14ac:dyDescent="0.75">
      <c r="A776" t="s">
        <v>2601</v>
      </c>
      <c r="B776" t="s">
        <v>73</v>
      </c>
      <c r="C776" t="s">
        <v>6363</v>
      </c>
      <c r="D776" t="s">
        <v>6364</v>
      </c>
      <c r="E776" t="s">
        <v>18042</v>
      </c>
      <c r="F776">
        <v>1</v>
      </c>
      <c r="G776">
        <v>2724277</v>
      </c>
      <c r="H776" t="s">
        <v>18043</v>
      </c>
      <c r="J776" s="54" t="s">
        <v>6052</v>
      </c>
      <c r="K776" s="54">
        <v>0</v>
      </c>
      <c r="L776" s="22" t="s">
        <v>34</v>
      </c>
      <c r="M776" s="22" t="s">
        <v>74</v>
      </c>
    </row>
    <row r="777" spans="1:13" x14ac:dyDescent="0.75">
      <c r="A777" t="s">
        <v>2611</v>
      </c>
      <c r="B777" t="s">
        <v>73</v>
      </c>
      <c r="C777" t="s">
        <v>6363</v>
      </c>
      <c r="D777" t="s">
        <v>6364</v>
      </c>
      <c r="E777" t="s">
        <v>18044</v>
      </c>
      <c r="F777">
        <v>1</v>
      </c>
      <c r="G777">
        <v>2724313</v>
      </c>
      <c r="H777" t="s">
        <v>18045</v>
      </c>
      <c r="J777" s="54" t="s">
        <v>6052</v>
      </c>
      <c r="K777" s="54">
        <v>0</v>
      </c>
      <c r="L777" s="22" t="s">
        <v>34</v>
      </c>
      <c r="M777" s="22" t="s">
        <v>74</v>
      </c>
    </row>
    <row r="778" spans="1:13" x14ac:dyDescent="0.75">
      <c r="A778" t="s">
        <v>3326</v>
      </c>
      <c r="B778" t="s">
        <v>73</v>
      </c>
      <c r="C778" t="s">
        <v>6363</v>
      </c>
      <c r="D778" t="s">
        <v>6364</v>
      </c>
      <c r="E778" t="s">
        <v>20505</v>
      </c>
      <c r="F778">
        <v>1</v>
      </c>
      <c r="G778">
        <v>2844062</v>
      </c>
      <c r="H778" t="s">
        <v>20506</v>
      </c>
      <c r="J778" s="54" t="s">
        <v>6052</v>
      </c>
      <c r="K778" s="54">
        <v>0</v>
      </c>
      <c r="L778" s="22" t="s">
        <v>34</v>
      </c>
      <c r="M778" s="22" t="s">
        <v>74</v>
      </c>
    </row>
    <row r="779" spans="1:13" x14ac:dyDescent="0.75">
      <c r="A779" t="s">
        <v>5016</v>
      </c>
      <c r="B779" t="s">
        <v>73</v>
      </c>
      <c r="C779" t="s">
        <v>6363</v>
      </c>
      <c r="D779" t="s">
        <v>6364</v>
      </c>
      <c r="E779" t="s">
        <v>26603</v>
      </c>
      <c r="F779">
        <v>1</v>
      </c>
      <c r="G779">
        <v>2742000</v>
      </c>
      <c r="H779" t="s">
        <v>26604</v>
      </c>
      <c r="J779" s="54" t="s">
        <v>6052</v>
      </c>
      <c r="K779" s="54">
        <v>0</v>
      </c>
      <c r="L779" s="22" t="s">
        <v>34</v>
      </c>
      <c r="M779" s="22" t="s">
        <v>74</v>
      </c>
    </row>
    <row r="780" spans="1:13" x14ac:dyDescent="0.75">
      <c r="A780" t="s">
        <v>1634</v>
      </c>
      <c r="B780" t="s">
        <v>73</v>
      </c>
      <c r="C780" t="s">
        <v>6363</v>
      </c>
      <c r="D780" t="s">
        <v>6364</v>
      </c>
      <c r="E780" t="s">
        <v>12381</v>
      </c>
      <c r="F780">
        <v>1</v>
      </c>
      <c r="G780">
        <v>2745278</v>
      </c>
      <c r="H780" t="s">
        <v>12382</v>
      </c>
      <c r="J780" s="54" t="s">
        <v>6052</v>
      </c>
      <c r="K780" s="54">
        <v>0</v>
      </c>
      <c r="L780" s="22" t="s">
        <v>34</v>
      </c>
      <c r="M780" s="22" t="s">
        <v>74</v>
      </c>
    </row>
    <row r="781" spans="1:13" x14ac:dyDescent="0.75">
      <c r="A781" t="s">
        <v>19818</v>
      </c>
      <c r="B781" t="s">
        <v>2626</v>
      </c>
      <c r="C781" t="s">
        <v>6714</v>
      </c>
      <c r="D781" t="s">
        <v>9323</v>
      </c>
      <c r="E781" t="s">
        <v>19819</v>
      </c>
      <c r="F781">
        <v>74</v>
      </c>
      <c r="G781">
        <v>3378421</v>
      </c>
      <c r="H781" t="s">
        <v>19820</v>
      </c>
      <c r="J781" s="54" t="s">
        <v>6052</v>
      </c>
      <c r="K781" s="54">
        <v>0</v>
      </c>
      <c r="L781" s="22" t="s">
        <v>34</v>
      </c>
      <c r="M781" s="22" t="s">
        <v>2627</v>
      </c>
    </row>
    <row r="782" spans="1:13" x14ac:dyDescent="0.75">
      <c r="A782" t="s">
        <v>19856</v>
      </c>
      <c r="B782" t="s">
        <v>11591</v>
      </c>
      <c r="C782" t="s">
        <v>6714</v>
      </c>
      <c r="D782" t="s">
        <v>11592</v>
      </c>
      <c r="E782" t="s">
        <v>19857</v>
      </c>
      <c r="F782">
        <v>19</v>
      </c>
      <c r="G782">
        <v>3412381</v>
      </c>
      <c r="H782" t="s">
        <v>19858</v>
      </c>
      <c r="J782" s="54" t="s">
        <v>6052</v>
      </c>
      <c r="K782" s="54">
        <v>0</v>
      </c>
      <c r="L782" s="22" t="s">
        <v>34</v>
      </c>
      <c r="M782" s="22" t="s">
        <v>36876</v>
      </c>
    </row>
    <row r="783" spans="1:13" x14ac:dyDescent="0.75">
      <c r="A783" t="s">
        <v>19809</v>
      </c>
      <c r="B783" t="s">
        <v>2626</v>
      </c>
      <c r="C783" t="s">
        <v>6714</v>
      </c>
      <c r="D783" t="s">
        <v>9323</v>
      </c>
      <c r="E783" t="s">
        <v>19810</v>
      </c>
      <c r="F783">
        <v>60</v>
      </c>
      <c r="G783">
        <v>3561746</v>
      </c>
      <c r="H783" t="s">
        <v>19811</v>
      </c>
      <c r="J783" s="54" t="s">
        <v>6052</v>
      </c>
      <c r="K783" s="54">
        <v>0</v>
      </c>
      <c r="L783" s="22" t="s">
        <v>34</v>
      </c>
      <c r="M783" s="22" t="s">
        <v>2627</v>
      </c>
    </row>
    <row r="784" spans="1:13" x14ac:dyDescent="0.75">
      <c r="A784" t="s">
        <v>19751</v>
      </c>
      <c r="B784" t="s">
        <v>6713</v>
      </c>
      <c r="C784" t="s">
        <v>6714</v>
      </c>
      <c r="D784" t="s">
        <v>6715</v>
      </c>
      <c r="E784" t="s">
        <v>19752</v>
      </c>
      <c r="F784">
        <v>46</v>
      </c>
      <c r="G784">
        <v>3123722</v>
      </c>
      <c r="H784" t="s">
        <v>19753</v>
      </c>
      <c r="J784" s="54" t="s">
        <v>6052</v>
      </c>
      <c r="K784" s="54">
        <v>0</v>
      </c>
      <c r="L784" s="22" t="s">
        <v>34</v>
      </c>
      <c r="M784" s="22" t="s">
        <v>36877</v>
      </c>
    </row>
    <row r="785" spans="1:13" x14ac:dyDescent="0.75">
      <c r="A785" t="s">
        <v>19740</v>
      </c>
      <c r="B785" t="s">
        <v>2626</v>
      </c>
      <c r="C785" t="s">
        <v>6714</v>
      </c>
      <c r="D785" t="s">
        <v>9323</v>
      </c>
      <c r="E785" t="s">
        <v>19741</v>
      </c>
      <c r="F785">
        <v>51</v>
      </c>
      <c r="G785">
        <v>3437448</v>
      </c>
      <c r="H785" t="s">
        <v>19742</v>
      </c>
      <c r="J785" s="54" t="s">
        <v>6052</v>
      </c>
      <c r="K785" s="54">
        <v>0</v>
      </c>
      <c r="L785" s="22" t="s">
        <v>34</v>
      </c>
      <c r="M785" s="22" t="s">
        <v>2627</v>
      </c>
    </row>
    <row r="786" spans="1:13" x14ac:dyDescent="0.75">
      <c r="A786" t="s">
        <v>11590</v>
      </c>
      <c r="B786" t="s">
        <v>11591</v>
      </c>
      <c r="C786" t="s">
        <v>6714</v>
      </c>
      <c r="D786" t="s">
        <v>11592</v>
      </c>
      <c r="E786" t="s">
        <v>11593</v>
      </c>
      <c r="F786">
        <v>23</v>
      </c>
      <c r="G786">
        <v>3215546</v>
      </c>
      <c r="H786" t="s">
        <v>11594</v>
      </c>
      <c r="J786" s="54" t="s">
        <v>6052</v>
      </c>
      <c r="K786" s="54">
        <v>0</v>
      </c>
      <c r="L786" s="22" t="s">
        <v>34</v>
      </c>
      <c r="M786" s="22" t="s">
        <v>36876</v>
      </c>
    </row>
    <row r="787" spans="1:13" x14ac:dyDescent="0.75">
      <c r="A787" t="s">
        <v>17001</v>
      </c>
      <c r="B787" t="s">
        <v>11591</v>
      </c>
      <c r="C787" t="s">
        <v>6714</v>
      </c>
      <c r="D787" t="s">
        <v>11592</v>
      </c>
      <c r="E787" t="s">
        <v>17002</v>
      </c>
      <c r="F787">
        <v>1</v>
      </c>
      <c r="G787">
        <v>3507492</v>
      </c>
      <c r="H787" t="s">
        <v>17003</v>
      </c>
      <c r="J787" s="54" t="s">
        <v>6052</v>
      </c>
      <c r="K787" s="54">
        <v>0</v>
      </c>
      <c r="L787" s="22" t="s">
        <v>34</v>
      </c>
      <c r="M787" s="22" t="s">
        <v>36876</v>
      </c>
    </row>
    <row r="788" spans="1:13" x14ac:dyDescent="0.75">
      <c r="A788" t="s">
        <v>17004</v>
      </c>
      <c r="B788" t="s">
        <v>11591</v>
      </c>
      <c r="C788" t="s">
        <v>6714</v>
      </c>
      <c r="D788" t="s">
        <v>11592</v>
      </c>
      <c r="E788" t="s">
        <v>17005</v>
      </c>
      <c r="F788">
        <v>1</v>
      </c>
      <c r="G788">
        <v>3312673</v>
      </c>
      <c r="H788" t="s">
        <v>17006</v>
      </c>
      <c r="J788" s="54" t="s">
        <v>6052</v>
      </c>
      <c r="K788" s="54">
        <v>0</v>
      </c>
      <c r="L788" s="22" t="s">
        <v>34</v>
      </c>
      <c r="M788" s="22" t="s">
        <v>36876</v>
      </c>
    </row>
    <row r="789" spans="1:13" x14ac:dyDescent="0.75">
      <c r="A789" t="s">
        <v>17007</v>
      </c>
      <c r="B789" t="s">
        <v>11591</v>
      </c>
      <c r="C789" t="s">
        <v>6714</v>
      </c>
      <c r="D789" t="s">
        <v>11592</v>
      </c>
      <c r="E789" t="s">
        <v>17008</v>
      </c>
      <c r="F789">
        <v>1</v>
      </c>
      <c r="G789">
        <v>3312682</v>
      </c>
      <c r="H789" t="s">
        <v>17009</v>
      </c>
      <c r="J789" s="54" t="s">
        <v>6052</v>
      </c>
      <c r="K789" s="54">
        <v>0</v>
      </c>
      <c r="L789" s="22" t="s">
        <v>34</v>
      </c>
      <c r="M789" s="22" t="s">
        <v>36876</v>
      </c>
    </row>
    <row r="790" spans="1:13" x14ac:dyDescent="0.75">
      <c r="A790" t="s">
        <v>15578</v>
      </c>
      <c r="B790" t="s">
        <v>2626</v>
      </c>
      <c r="C790" t="s">
        <v>6714</v>
      </c>
      <c r="D790" t="s">
        <v>9323</v>
      </c>
      <c r="E790" t="s">
        <v>15579</v>
      </c>
      <c r="F790">
        <v>62</v>
      </c>
      <c r="G790">
        <v>3668313</v>
      </c>
      <c r="H790" t="s">
        <v>15580</v>
      </c>
      <c r="J790" s="54" t="s">
        <v>6052</v>
      </c>
      <c r="K790" s="54">
        <v>0</v>
      </c>
      <c r="L790" s="22" t="s">
        <v>34</v>
      </c>
      <c r="M790" s="22" t="s">
        <v>2627</v>
      </c>
    </row>
    <row r="791" spans="1:13" x14ac:dyDescent="0.75">
      <c r="A791" t="s">
        <v>13639</v>
      </c>
      <c r="B791" t="s">
        <v>11591</v>
      </c>
      <c r="C791" t="s">
        <v>6714</v>
      </c>
      <c r="D791" t="s">
        <v>11592</v>
      </c>
      <c r="E791" t="s">
        <v>13640</v>
      </c>
      <c r="F791">
        <v>17</v>
      </c>
      <c r="G791">
        <v>3483340</v>
      </c>
      <c r="H791" t="s">
        <v>13641</v>
      </c>
      <c r="J791" s="54" t="s">
        <v>6052</v>
      </c>
      <c r="K791" s="54">
        <v>0</v>
      </c>
      <c r="L791" s="22" t="s">
        <v>34</v>
      </c>
      <c r="M791" s="22" t="s">
        <v>36876</v>
      </c>
    </row>
    <row r="792" spans="1:13" x14ac:dyDescent="0.75">
      <c r="A792" t="s">
        <v>2625</v>
      </c>
      <c r="B792" t="s">
        <v>2626</v>
      </c>
      <c r="C792" t="s">
        <v>6714</v>
      </c>
      <c r="D792" t="s">
        <v>9323</v>
      </c>
      <c r="E792" t="s">
        <v>18335</v>
      </c>
      <c r="F792">
        <v>65</v>
      </c>
      <c r="G792">
        <v>3317268</v>
      </c>
      <c r="H792" t="s">
        <v>18336</v>
      </c>
      <c r="J792" s="54" t="s">
        <v>6052</v>
      </c>
      <c r="K792" s="54">
        <v>0</v>
      </c>
      <c r="L792" s="22" t="s">
        <v>34</v>
      </c>
      <c r="M792" s="22" t="s">
        <v>2627</v>
      </c>
    </row>
    <row r="793" spans="1:13" x14ac:dyDescent="0.75">
      <c r="A793" t="s">
        <v>19792</v>
      </c>
      <c r="B793" t="s">
        <v>2626</v>
      </c>
      <c r="C793" t="s">
        <v>6714</v>
      </c>
      <c r="D793" t="s">
        <v>9323</v>
      </c>
      <c r="E793" t="s">
        <v>19793</v>
      </c>
      <c r="F793">
        <v>28</v>
      </c>
      <c r="G793">
        <v>3239091</v>
      </c>
      <c r="H793" t="s">
        <v>19794</v>
      </c>
      <c r="J793" s="54" t="s">
        <v>6052</v>
      </c>
      <c r="K793" s="54">
        <v>0</v>
      </c>
      <c r="L793" s="22" t="s">
        <v>34</v>
      </c>
      <c r="M793" s="22" t="s">
        <v>2627</v>
      </c>
    </row>
    <row r="794" spans="1:13" x14ac:dyDescent="0.75">
      <c r="A794" t="s">
        <v>16792</v>
      </c>
      <c r="B794" t="s">
        <v>2626</v>
      </c>
      <c r="C794" t="s">
        <v>6714</v>
      </c>
      <c r="D794" t="s">
        <v>9323</v>
      </c>
      <c r="E794" t="s">
        <v>16793</v>
      </c>
      <c r="F794">
        <v>28</v>
      </c>
      <c r="G794">
        <v>3239091</v>
      </c>
      <c r="H794" t="s">
        <v>16794</v>
      </c>
      <c r="J794" s="54" t="s">
        <v>6052</v>
      </c>
      <c r="K794" s="54">
        <v>0</v>
      </c>
      <c r="L794" s="22" t="s">
        <v>34</v>
      </c>
      <c r="M794" s="22" t="s">
        <v>2627</v>
      </c>
    </row>
    <row r="795" spans="1:13" x14ac:dyDescent="0.75">
      <c r="A795" t="s">
        <v>22944</v>
      </c>
      <c r="B795" t="s">
        <v>11591</v>
      </c>
      <c r="C795" t="s">
        <v>6714</v>
      </c>
      <c r="D795" t="s">
        <v>11592</v>
      </c>
      <c r="E795" t="s">
        <v>22945</v>
      </c>
      <c r="F795">
        <v>8</v>
      </c>
      <c r="G795">
        <v>3811789</v>
      </c>
      <c r="H795" t="s">
        <v>22946</v>
      </c>
      <c r="J795" s="54" t="s">
        <v>6052</v>
      </c>
      <c r="K795" s="54">
        <v>0</v>
      </c>
      <c r="L795" s="22" t="s">
        <v>34</v>
      </c>
      <c r="M795" s="22" t="s">
        <v>36876</v>
      </c>
    </row>
    <row r="796" spans="1:13" x14ac:dyDescent="0.75">
      <c r="A796" t="s">
        <v>22960</v>
      </c>
      <c r="B796" t="s">
        <v>11591</v>
      </c>
      <c r="C796" t="s">
        <v>6714</v>
      </c>
      <c r="D796" t="s">
        <v>11592</v>
      </c>
      <c r="E796" t="s">
        <v>22961</v>
      </c>
      <c r="F796">
        <v>1</v>
      </c>
      <c r="G796">
        <v>3812179</v>
      </c>
      <c r="H796" t="s">
        <v>22962</v>
      </c>
      <c r="J796" s="54" t="s">
        <v>6052</v>
      </c>
      <c r="K796" s="54">
        <v>0</v>
      </c>
      <c r="L796" s="22" t="s">
        <v>34</v>
      </c>
      <c r="M796" s="22" t="s">
        <v>36876</v>
      </c>
    </row>
    <row r="797" spans="1:13" x14ac:dyDescent="0.75">
      <c r="A797" t="s">
        <v>19795</v>
      </c>
      <c r="B797" t="s">
        <v>2626</v>
      </c>
      <c r="C797" t="s">
        <v>6714</v>
      </c>
      <c r="D797" t="s">
        <v>9323</v>
      </c>
      <c r="E797" t="s">
        <v>19796</v>
      </c>
      <c r="F797">
        <v>87</v>
      </c>
      <c r="G797">
        <v>3476415</v>
      </c>
      <c r="H797" t="s">
        <v>19797</v>
      </c>
      <c r="J797" s="54" t="s">
        <v>6052</v>
      </c>
      <c r="K797" s="54">
        <v>0</v>
      </c>
      <c r="L797" s="22" t="s">
        <v>34</v>
      </c>
      <c r="M797" s="22" t="s">
        <v>2627</v>
      </c>
    </row>
    <row r="798" spans="1:13" x14ac:dyDescent="0.75">
      <c r="A798" t="s">
        <v>21140</v>
      </c>
      <c r="B798" t="s">
        <v>6713</v>
      </c>
      <c r="C798" t="s">
        <v>6714</v>
      </c>
      <c r="D798" t="s">
        <v>6715</v>
      </c>
      <c r="E798" t="s">
        <v>21141</v>
      </c>
      <c r="F798">
        <v>29</v>
      </c>
      <c r="G798">
        <v>2458158</v>
      </c>
      <c r="H798" t="s">
        <v>21142</v>
      </c>
      <c r="J798" s="54" t="s">
        <v>6052</v>
      </c>
      <c r="K798" s="54">
        <v>0</v>
      </c>
      <c r="L798" s="22" t="s">
        <v>34</v>
      </c>
      <c r="M798" s="22" t="s">
        <v>36877</v>
      </c>
    </row>
    <row r="799" spans="1:13" x14ac:dyDescent="0.75">
      <c r="A799" t="s">
        <v>23743</v>
      </c>
      <c r="B799" t="s">
        <v>6713</v>
      </c>
      <c r="C799" t="s">
        <v>6714</v>
      </c>
      <c r="D799" t="s">
        <v>6715</v>
      </c>
      <c r="E799" t="s">
        <v>23744</v>
      </c>
      <c r="F799">
        <v>90</v>
      </c>
      <c r="G799">
        <v>2777827</v>
      </c>
      <c r="H799" t="s">
        <v>23745</v>
      </c>
      <c r="J799" s="54" t="s">
        <v>6052</v>
      </c>
      <c r="K799" s="54">
        <v>0</v>
      </c>
      <c r="L799" s="22" t="s">
        <v>34</v>
      </c>
      <c r="M799" s="22" t="s">
        <v>36877</v>
      </c>
    </row>
    <row r="800" spans="1:13" x14ac:dyDescent="0.75">
      <c r="A800" t="s">
        <v>23740</v>
      </c>
      <c r="B800" t="s">
        <v>6713</v>
      </c>
      <c r="C800" t="s">
        <v>6714</v>
      </c>
      <c r="D800" t="s">
        <v>6715</v>
      </c>
      <c r="E800" t="s">
        <v>23741</v>
      </c>
      <c r="F800">
        <v>265</v>
      </c>
      <c r="G800">
        <v>2806976</v>
      </c>
      <c r="H800" t="s">
        <v>23742</v>
      </c>
      <c r="J800" s="54" t="s">
        <v>6052</v>
      </c>
      <c r="K800" s="54">
        <v>0</v>
      </c>
      <c r="L800" s="22" t="s">
        <v>34</v>
      </c>
      <c r="M800" s="22" t="s">
        <v>36877</v>
      </c>
    </row>
    <row r="801" spans="1:13" x14ac:dyDescent="0.75">
      <c r="A801" t="s">
        <v>21772</v>
      </c>
      <c r="B801" t="s">
        <v>6713</v>
      </c>
      <c r="C801" t="s">
        <v>6714</v>
      </c>
      <c r="D801" t="s">
        <v>6715</v>
      </c>
      <c r="E801" t="s">
        <v>21773</v>
      </c>
      <c r="F801">
        <v>53</v>
      </c>
      <c r="G801">
        <v>2769186</v>
      </c>
      <c r="H801" t="s">
        <v>21774</v>
      </c>
      <c r="J801" s="54" t="s">
        <v>6052</v>
      </c>
      <c r="K801" s="54">
        <v>0</v>
      </c>
      <c r="L801" s="22" t="s">
        <v>34</v>
      </c>
      <c r="M801" s="22" t="s">
        <v>36877</v>
      </c>
    </row>
    <row r="802" spans="1:13" x14ac:dyDescent="0.75">
      <c r="A802" t="s">
        <v>6712</v>
      </c>
      <c r="B802" t="s">
        <v>6713</v>
      </c>
      <c r="C802" t="s">
        <v>6714</v>
      </c>
      <c r="D802" t="s">
        <v>6715</v>
      </c>
      <c r="E802" t="s">
        <v>6716</v>
      </c>
      <c r="F802">
        <v>20</v>
      </c>
      <c r="G802">
        <v>2550678</v>
      </c>
      <c r="H802" t="s">
        <v>6717</v>
      </c>
      <c r="J802" s="54" t="s">
        <v>6052</v>
      </c>
      <c r="K802" s="54">
        <v>0</v>
      </c>
      <c r="L802" s="22" t="s">
        <v>34</v>
      </c>
      <c r="M802" s="22" t="s">
        <v>36877</v>
      </c>
    </row>
    <row r="803" spans="1:13" x14ac:dyDescent="0.75">
      <c r="A803" t="s">
        <v>23973</v>
      </c>
      <c r="B803" t="s">
        <v>11591</v>
      </c>
      <c r="C803" t="s">
        <v>6714</v>
      </c>
      <c r="D803" t="s">
        <v>11592</v>
      </c>
      <c r="E803" t="s">
        <v>23974</v>
      </c>
      <c r="F803">
        <v>1</v>
      </c>
      <c r="G803">
        <v>3869542</v>
      </c>
      <c r="H803" t="s">
        <v>23975</v>
      </c>
      <c r="J803" s="54" t="s">
        <v>6052</v>
      </c>
      <c r="K803" s="54">
        <v>0</v>
      </c>
      <c r="L803" s="22" t="s">
        <v>34</v>
      </c>
      <c r="M803" s="22" t="s">
        <v>36876</v>
      </c>
    </row>
    <row r="804" spans="1:13" x14ac:dyDescent="0.75">
      <c r="A804" t="s">
        <v>21060</v>
      </c>
      <c r="B804" t="s">
        <v>6713</v>
      </c>
      <c r="C804" t="s">
        <v>6714</v>
      </c>
      <c r="D804" t="s">
        <v>6715</v>
      </c>
      <c r="E804" t="s">
        <v>21061</v>
      </c>
      <c r="F804">
        <v>63</v>
      </c>
      <c r="G804">
        <v>2622641</v>
      </c>
      <c r="H804" t="s">
        <v>21062</v>
      </c>
      <c r="J804" s="54" t="s">
        <v>6052</v>
      </c>
      <c r="K804" s="54">
        <v>0</v>
      </c>
      <c r="L804" s="22" t="s">
        <v>34</v>
      </c>
      <c r="M804" s="22" t="s">
        <v>36877</v>
      </c>
    </row>
    <row r="805" spans="1:13" x14ac:dyDescent="0.75">
      <c r="A805" t="s">
        <v>28182</v>
      </c>
      <c r="B805" t="s">
        <v>2626</v>
      </c>
      <c r="C805" t="s">
        <v>6714</v>
      </c>
      <c r="D805" t="s">
        <v>9323</v>
      </c>
      <c r="E805" t="s">
        <v>28183</v>
      </c>
      <c r="F805">
        <v>35</v>
      </c>
      <c r="G805">
        <v>3234232</v>
      </c>
      <c r="H805" t="s">
        <v>28184</v>
      </c>
      <c r="J805" s="54" t="s">
        <v>6052</v>
      </c>
      <c r="K805" s="54">
        <v>0</v>
      </c>
      <c r="L805" s="22" t="s">
        <v>34</v>
      </c>
      <c r="M805" s="22" t="s">
        <v>2627</v>
      </c>
    </row>
    <row r="806" spans="1:13" x14ac:dyDescent="0.75">
      <c r="A806" t="s">
        <v>28185</v>
      </c>
      <c r="B806" t="s">
        <v>11591</v>
      </c>
      <c r="C806" t="s">
        <v>6714</v>
      </c>
      <c r="D806" t="s">
        <v>11592</v>
      </c>
      <c r="E806" t="s">
        <v>28186</v>
      </c>
      <c r="F806">
        <v>23</v>
      </c>
      <c r="G806">
        <v>3215546</v>
      </c>
      <c r="H806" t="s">
        <v>28187</v>
      </c>
      <c r="J806" s="54" t="s">
        <v>6052</v>
      </c>
      <c r="K806" s="54">
        <v>0</v>
      </c>
      <c r="L806" s="22" t="s">
        <v>34</v>
      </c>
      <c r="M806" s="22" t="s">
        <v>36876</v>
      </c>
    </row>
    <row r="807" spans="1:13" x14ac:dyDescent="0.75">
      <c r="A807" t="s">
        <v>28238</v>
      </c>
      <c r="B807" t="s">
        <v>6713</v>
      </c>
      <c r="C807" t="s">
        <v>6714</v>
      </c>
      <c r="D807" t="s">
        <v>6715</v>
      </c>
      <c r="E807" t="s">
        <v>28239</v>
      </c>
      <c r="F807">
        <v>20</v>
      </c>
      <c r="G807">
        <v>2550678</v>
      </c>
      <c r="H807" t="s">
        <v>28240</v>
      </c>
      <c r="J807" s="54" t="s">
        <v>6052</v>
      </c>
      <c r="K807" s="54">
        <v>0</v>
      </c>
      <c r="L807" s="22" t="s">
        <v>34</v>
      </c>
      <c r="M807" s="22" t="s">
        <v>36877</v>
      </c>
    </row>
    <row r="808" spans="1:13" x14ac:dyDescent="0.75">
      <c r="A808" t="s">
        <v>23988</v>
      </c>
      <c r="B808" t="s">
        <v>2626</v>
      </c>
      <c r="C808" t="s">
        <v>6714</v>
      </c>
      <c r="D808" t="s">
        <v>9323</v>
      </c>
      <c r="E808" t="s">
        <v>23989</v>
      </c>
      <c r="F808">
        <v>1</v>
      </c>
      <c r="G808">
        <v>3809618</v>
      </c>
      <c r="H808" t="s">
        <v>23990</v>
      </c>
      <c r="J808" s="54" t="s">
        <v>6052</v>
      </c>
      <c r="K808" s="54">
        <v>0</v>
      </c>
      <c r="L808" s="22" t="s">
        <v>34</v>
      </c>
      <c r="M808" s="22" t="s">
        <v>2627</v>
      </c>
    </row>
    <row r="809" spans="1:13" x14ac:dyDescent="0.75">
      <c r="A809" t="s">
        <v>2888</v>
      </c>
      <c r="B809" t="s">
        <v>1805</v>
      </c>
      <c r="C809" t="s">
        <v>13847</v>
      </c>
      <c r="D809" t="s">
        <v>13848</v>
      </c>
      <c r="E809" t="s">
        <v>18972</v>
      </c>
      <c r="F809">
        <v>1</v>
      </c>
      <c r="G809">
        <v>4598557</v>
      </c>
      <c r="H809" t="s">
        <v>18973</v>
      </c>
      <c r="J809" s="54" t="s">
        <v>6052</v>
      </c>
      <c r="K809" s="54">
        <v>0</v>
      </c>
      <c r="L809" s="22" t="s">
        <v>144</v>
      </c>
      <c r="M809" s="22" t="s">
        <v>1806</v>
      </c>
    </row>
    <row r="810" spans="1:13" x14ac:dyDescent="0.75">
      <c r="A810" t="s">
        <v>1804</v>
      </c>
      <c r="B810" t="s">
        <v>1805</v>
      </c>
      <c r="C810" t="s">
        <v>13847</v>
      </c>
      <c r="D810" t="s">
        <v>13848</v>
      </c>
      <c r="E810" t="s">
        <v>13849</v>
      </c>
      <c r="F810">
        <v>1</v>
      </c>
      <c r="G810">
        <v>4517459</v>
      </c>
      <c r="H810" t="s">
        <v>13850</v>
      </c>
      <c r="J810" s="54" t="s">
        <v>6052</v>
      </c>
      <c r="K810" s="54">
        <v>0</v>
      </c>
      <c r="L810" s="22" t="s">
        <v>144</v>
      </c>
      <c r="M810" s="22" t="s">
        <v>1806</v>
      </c>
    </row>
    <row r="811" spans="1:13" x14ac:dyDescent="0.75">
      <c r="A811" t="s">
        <v>30089</v>
      </c>
      <c r="B811" t="s">
        <v>8941</v>
      </c>
      <c r="C811" t="s">
        <v>8942</v>
      </c>
      <c r="D811" t="s">
        <v>8943</v>
      </c>
      <c r="E811" t="s">
        <v>30090</v>
      </c>
      <c r="F811">
        <v>55</v>
      </c>
      <c r="G811">
        <v>1592740</v>
      </c>
      <c r="H811" t="s">
        <v>30091</v>
      </c>
      <c r="J811" s="54" t="s">
        <v>6052</v>
      </c>
      <c r="K811" s="54">
        <v>0</v>
      </c>
      <c r="L811" s="22" t="s">
        <v>36805</v>
      </c>
      <c r="M811" s="22" t="s">
        <v>36878</v>
      </c>
    </row>
    <row r="812" spans="1:13" x14ac:dyDescent="0.75">
      <c r="A812" t="s">
        <v>8940</v>
      </c>
      <c r="B812" t="s">
        <v>8941</v>
      </c>
      <c r="C812" t="s">
        <v>8942</v>
      </c>
      <c r="D812" t="s">
        <v>8943</v>
      </c>
      <c r="E812" t="s">
        <v>8944</v>
      </c>
      <c r="F812">
        <v>35</v>
      </c>
      <c r="G812">
        <v>1806596</v>
      </c>
      <c r="H812" t="s">
        <v>8945</v>
      </c>
      <c r="J812" s="54" t="s">
        <v>6052</v>
      </c>
      <c r="K812" s="54">
        <v>0</v>
      </c>
      <c r="L812" s="22" t="s">
        <v>36805</v>
      </c>
      <c r="M812" s="22" t="s">
        <v>36878</v>
      </c>
    </row>
    <row r="813" spans="1:13" x14ac:dyDescent="0.75">
      <c r="A813" t="s">
        <v>27383</v>
      </c>
      <c r="B813" t="s">
        <v>8941</v>
      </c>
      <c r="C813" t="s">
        <v>8942</v>
      </c>
      <c r="D813" t="s">
        <v>8943</v>
      </c>
      <c r="E813" t="s">
        <v>27384</v>
      </c>
      <c r="F813">
        <v>4</v>
      </c>
      <c r="G813">
        <v>1875153</v>
      </c>
      <c r="H813" t="s">
        <v>27385</v>
      </c>
      <c r="J813" s="54" t="s">
        <v>6052</v>
      </c>
      <c r="K813" s="54">
        <v>0</v>
      </c>
      <c r="L813" s="22" t="s">
        <v>36805</v>
      </c>
      <c r="M813" s="22" t="s">
        <v>36878</v>
      </c>
    </row>
    <row r="814" spans="1:13" x14ac:dyDescent="0.75">
      <c r="A814" t="s">
        <v>29550</v>
      </c>
      <c r="B814" t="s">
        <v>8941</v>
      </c>
      <c r="C814" t="s">
        <v>8942</v>
      </c>
      <c r="D814" t="s">
        <v>8943</v>
      </c>
      <c r="E814" t="s">
        <v>29551</v>
      </c>
      <c r="F814">
        <v>81</v>
      </c>
      <c r="G814">
        <v>1710563</v>
      </c>
      <c r="H814" t="s">
        <v>29552</v>
      </c>
      <c r="J814" s="54" t="s">
        <v>6052</v>
      </c>
      <c r="K814" s="54">
        <v>0</v>
      </c>
      <c r="L814" s="22" t="s">
        <v>36805</v>
      </c>
      <c r="M814" s="22" t="s">
        <v>36878</v>
      </c>
    </row>
    <row r="815" spans="1:13" x14ac:dyDescent="0.75">
      <c r="A815" t="s">
        <v>29891</v>
      </c>
      <c r="B815" t="s">
        <v>8965</v>
      </c>
      <c r="C815" t="s">
        <v>6081</v>
      </c>
      <c r="D815" t="s">
        <v>8966</v>
      </c>
      <c r="E815" t="s">
        <v>29892</v>
      </c>
      <c r="F815">
        <v>28</v>
      </c>
      <c r="G815">
        <v>2821757</v>
      </c>
      <c r="H815" t="s">
        <v>29893</v>
      </c>
      <c r="J815" s="54" t="s">
        <v>6052</v>
      </c>
      <c r="K815" s="54">
        <v>0</v>
      </c>
      <c r="L815" s="22" t="s">
        <v>104</v>
      </c>
      <c r="M815" s="22" t="s">
        <v>36967</v>
      </c>
    </row>
    <row r="816" spans="1:13" x14ac:dyDescent="0.75">
      <c r="A816" t="s">
        <v>8964</v>
      </c>
      <c r="B816" t="s">
        <v>8965</v>
      </c>
      <c r="C816" t="s">
        <v>6081</v>
      </c>
      <c r="D816" t="s">
        <v>8966</v>
      </c>
      <c r="E816" t="s">
        <v>8967</v>
      </c>
      <c r="F816">
        <v>44</v>
      </c>
      <c r="G816">
        <v>2809576</v>
      </c>
      <c r="H816" t="s">
        <v>8968</v>
      </c>
      <c r="J816" s="54" t="s">
        <v>6052</v>
      </c>
      <c r="K816" s="54">
        <v>0</v>
      </c>
      <c r="L816" s="22" t="s">
        <v>104</v>
      </c>
      <c r="M816" s="22" t="s">
        <v>36967</v>
      </c>
    </row>
    <row r="817" spans="1:13" x14ac:dyDescent="0.75">
      <c r="A817" t="s">
        <v>26413</v>
      </c>
      <c r="B817" t="s">
        <v>8965</v>
      </c>
      <c r="C817" t="s">
        <v>6081</v>
      </c>
      <c r="D817" t="s">
        <v>8966</v>
      </c>
      <c r="E817" t="s">
        <v>26414</v>
      </c>
      <c r="F817">
        <v>36</v>
      </c>
      <c r="G817">
        <v>2819628</v>
      </c>
      <c r="H817" t="s">
        <v>26415</v>
      </c>
      <c r="J817" s="54" t="s">
        <v>6052</v>
      </c>
      <c r="K817" s="54">
        <v>0</v>
      </c>
      <c r="L817" s="22" t="s">
        <v>104</v>
      </c>
      <c r="M817" s="22" t="s">
        <v>36967</v>
      </c>
    </row>
    <row r="818" spans="1:13" x14ac:dyDescent="0.75">
      <c r="A818" t="s">
        <v>29339</v>
      </c>
      <c r="B818" t="s">
        <v>8965</v>
      </c>
      <c r="C818" t="s">
        <v>6081</v>
      </c>
      <c r="D818" t="s">
        <v>8966</v>
      </c>
      <c r="E818" t="s">
        <v>29340</v>
      </c>
      <c r="F818">
        <v>238</v>
      </c>
      <c r="G818">
        <v>2478936</v>
      </c>
      <c r="H818" t="s">
        <v>29341</v>
      </c>
      <c r="J818" s="54" t="s">
        <v>6052</v>
      </c>
      <c r="K818" s="54">
        <v>0</v>
      </c>
      <c r="L818" s="22" t="s">
        <v>104</v>
      </c>
      <c r="M818" s="22" t="s">
        <v>36967</v>
      </c>
    </row>
    <row r="819" spans="1:13" x14ac:dyDescent="0.75">
      <c r="A819" t="s">
        <v>28931</v>
      </c>
      <c r="B819" t="s">
        <v>8965</v>
      </c>
      <c r="C819" t="s">
        <v>6081</v>
      </c>
      <c r="D819" t="s">
        <v>8966</v>
      </c>
      <c r="E819" t="s">
        <v>28932</v>
      </c>
      <c r="F819">
        <v>221</v>
      </c>
      <c r="G819">
        <v>2182802</v>
      </c>
      <c r="H819" t="s">
        <v>28933</v>
      </c>
      <c r="J819" s="54" t="s">
        <v>6052</v>
      </c>
      <c r="K819" s="54">
        <v>0</v>
      </c>
      <c r="L819" s="22" t="s">
        <v>104</v>
      </c>
      <c r="M819" s="22" t="s">
        <v>36967</v>
      </c>
    </row>
    <row r="820" spans="1:13" x14ac:dyDescent="0.75">
      <c r="A820" t="s">
        <v>30172</v>
      </c>
      <c r="B820" t="s">
        <v>6787</v>
      </c>
      <c r="C820" t="s">
        <v>6081</v>
      </c>
      <c r="D820" t="s">
        <v>6788</v>
      </c>
      <c r="E820" t="s">
        <v>30173</v>
      </c>
      <c r="F820">
        <v>221</v>
      </c>
      <c r="G820">
        <v>2537573</v>
      </c>
      <c r="H820" t="s">
        <v>30174</v>
      </c>
      <c r="J820" s="54" t="s">
        <v>6052</v>
      </c>
      <c r="K820" s="54">
        <v>0</v>
      </c>
      <c r="L820" s="22" t="s">
        <v>104</v>
      </c>
      <c r="M820" s="22" t="s">
        <v>36951</v>
      </c>
    </row>
    <row r="821" spans="1:13" x14ac:dyDescent="0.75">
      <c r="A821" t="s">
        <v>17492</v>
      </c>
      <c r="B821" t="s">
        <v>6787</v>
      </c>
      <c r="C821" t="s">
        <v>6081</v>
      </c>
      <c r="D821" t="s">
        <v>6788</v>
      </c>
      <c r="E821" t="s">
        <v>17493</v>
      </c>
      <c r="F821">
        <v>50</v>
      </c>
      <c r="G821">
        <v>2850841</v>
      </c>
      <c r="H821" t="s">
        <v>17494</v>
      </c>
      <c r="J821" s="54" t="s">
        <v>6052</v>
      </c>
      <c r="K821" s="54">
        <v>0</v>
      </c>
      <c r="L821" s="22" t="s">
        <v>104</v>
      </c>
      <c r="M821" s="22" t="s">
        <v>36951</v>
      </c>
    </row>
    <row r="822" spans="1:13" x14ac:dyDescent="0.75">
      <c r="A822" t="s">
        <v>7194</v>
      </c>
      <c r="B822" t="s">
        <v>6787</v>
      </c>
      <c r="C822" t="s">
        <v>6081</v>
      </c>
      <c r="D822" t="s">
        <v>6788</v>
      </c>
      <c r="E822" t="s">
        <v>7195</v>
      </c>
      <c r="F822">
        <v>8</v>
      </c>
      <c r="G822">
        <v>2855988</v>
      </c>
      <c r="H822" t="s">
        <v>7196</v>
      </c>
      <c r="J822" s="54" t="s">
        <v>6052</v>
      </c>
      <c r="K822" s="54">
        <v>0</v>
      </c>
      <c r="L822" s="22" t="s">
        <v>104</v>
      </c>
      <c r="M822" s="22" t="s">
        <v>36951</v>
      </c>
    </row>
    <row r="823" spans="1:13" x14ac:dyDescent="0.75">
      <c r="A823" t="s">
        <v>18110</v>
      </c>
      <c r="B823" t="s">
        <v>6787</v>
      </c>
      <c r="C823" t="s">
        <v>6081</v>
      </c>
      <c r="D823" t="s">
        <v>6788</v>
      </c>
      <c r="E823" t="s">
        <v>7195</v>
      </c>
      <c r="F823">
        <v>1</v>
      </c>
      <c r="G823">
        <v>2866540</v>
      </c>
      <c r="H823" t="s">
        <v>18111</v>
      </c>
      <c r="J823" s="54" t="s">
        <v>6052</v>
      </c>
      <c r="K823" s="54">
        <v>0</v>
      </c>
      <c r="L823" s="22" t="s">
        <v>104</v>
      </c>
      <c r="M823" s="22" t="s">
        <v>36951</v>
      </c>
    </row>
    <row r="824" spans="1:13" x14ac:dyDescent="0.75">
      <c r="A824" t="s">
        <v>6786</v>
      </c>
      <c r="B824" t="s">
        <v>6787</v>
      </c>
      <c r="C824" t="s">
        <v>6081</v>
      </c>
      <c r="D824" t="s">
        <v>6788</v>
      </c>
      <c r="E824" t="s">
        <v>6789</v>
      </c>
      <c r="F824">
        <v>58</v>
      </c>
      <c r="G824">
        <v>2992255</v>
      </c>
      <c r="H824" t="s">
        <v>6790</v>
      </c>
      <c r="J824" s="54" t="s">
        <v>6052</v>
      </c>
      <c r="K824" s="54">
        <v>0</v>
      </c>
      <c r="L824" s="22" t="s">
        <v>104</v>
      </c>
      <c r="M824" s="22" t="s">
        <v>36951</v>
      </c>
    </row>
    <row r="825" spans="1:13" x14ac:dyDescent="0.75">
      <c r="A825" t="s">
        <v>29463</v>
      </c>
      <c r="B825" t="s">
        <v>6787</v>
      </c>
      <c r="C825" t="s">
        <v>6081</v>
      </c>
      <c r="D825" t="s">
        <v>6788</v>
      </c>
      <c r="E825" t="s">
        <v>29464</v>
      </c>
      <c r="F825">
        <v>140</v>
      </c>
      <c r="G825">
        <v>2802994</v>
      </c>
      <c r="H825" t="s">
        <v>29465</v>
      </c>
      <c r="J825" s="54" t="s">
        <v>6052</v>
      </c>
      <c r="K825" s="54">
        <v>0</v>
      </c>
      <c r="L825" s="22" t="s">
        <v>104</v>
      </c>
      <c r="M825" s="22" t="s">
        <v>36951</v>
      </c>
    </row>
    <row r="826" spans="1:13" x14ac:dyDescent="0.75">
      <c r="A826" t="s">
        <v>29794</v>
      </c>
      <c r="B826" t="s">
        <v>6787</v>
      </c>
      <c r="C826" t="s">
        <v>6081</v>
      </c>
      <c r="D826" t="s">
        <v>6788</v>
      </c>
      <c r="E826" t="s">
        <v>29795</v>
      </c>
      <c r="F826">
        <v>30</v>
      </c>
      <c r="G826">
        <v>2878501</v>
      </c>
      <c r="H826" t="s">
        <v>29796</v>
      </c>
      <c r="J826" s="54" t="s">
        <v>6052</v>
      </c>
      <c r="K826" s="54">
        <v>0</v>
      </c>
      <c r="L826" s="22" t="s">
        <v>104</v>
      </c>
      <c r="M826" s="22" t="s">
        <v>36951</v>
      </c>
    </row>
    <row r="827" spans="1:13" x14ac:dyDescent="0.75">
      <c r="A827" t="s">
        <v>28024</v>
      </c>
      <c r="B827" t="s">
        <v>6787</v>
      </c>
      <c r="C827" t="s">
        <v>6081</v>
      </c>
      <c r="D827" t="s">
        <v>6788</v>
      </c>
      <c r="E827" t="s">
        <v>28025</v>
      </c>
      <c r="F827">
        <v>1</v>
      </c>
      <c r="G827">
        <v>2878842</v>
      </c>
      <c r="H827" t="s">
        <v>28026</v>
      </c>
      <c r="J827" s="54" t="s">
        <v>6052</v>
      </c>
      <c r="K827" s="54">
        <v>0</v>
      </c>
      <c r="L827" s="22" t="s">
        <v>104</v>
      </c>
      <c r="M827" s="22" t="s">
        <v>36951</v>
      </c>
    </row>
    <row r="828" spans="1:13" x14ac:dyDescent="0.75">
      <c r="A828" t="s">
        <v>27442</v>
      </c>
      <c r="B828" t="s">
        <v>6787</v>
      </c>
      <c r="C828" t="s">
        <v>6081</v>
      </c>
      <c r="D828" t="s">
        <v>6788</v>
      </c>
      <c r="E828" t="s">
        <v>27443</v>
      </c>
      <c r="F828">
        <v>36</v>
      </c>
      <c r="G828">
        <v>2854659</v>
      </c>
      <c r="H828" t="s">
        <v>27444</v>
      </c>
      <c r="J828" s="54" t="s">
        <v>6052</v>
      </c>
      <c r="K828" s="54">
        <v>0</v>
      </c>
      <c r="L828" s="22" t="s">
        <v>104</v>
      </c>
      <c r="M828" s="22" t="s">
        <v>36951</v>
      </c>
    </row>
    <row r="829" spans="1:13" x14ac:dyDescent="0.75">
      <c r="A829" t="s">
        <v>29173</v>
      </c>
      <c r="B829" t="s">
        <v>6787</v>
      </c>
      <c r="C829" t="s">
        <v>6081</v>
      </c>
      <c r="D829" t="s">
        <v>6788</v>
      </c>
      <c r="E829" t="s">
        <v>29174</v>
      </c>
      <c r="F829">
        <v>49</v>
      </c>
      <c r="G829">
        <v>2843031</v>
      </c>
      <c r="H829" t="s">
        <v>29175</v>
      </c>
      <c r="J829" s="54" t="s">
        <v>6052</v>
      </c>
      <c r="K829" s="54">
        <v>0</v>
      </c>
      <c r="L829" s="22" t="s">
        <v>104</v>
      </c>
      <c r="M829" s="22" t="s">
        <v>36951</v>
      </c>
    </row>
    <row r="830" spans="1:13" x14ac:dyDescent="0.75">
      <c r="A830" t="s">
        <v>29011</v>
      </c>
      <c r="B830" t="s">
        <v>6787</v>
      </c>
      <c r="C830" t="s">
        <v>6081</v>
      </c>
      <c r="D830" t="s">
        <v>6788</v>
      </c>
      <c r="E830" t="s">
        <v>29012</v>
      </c>
      <c r="F830">
        <v>57</v>
      </c>
      <c r="G830">
        <v>2925442</v>
      </c>
      <c r="H830" t="s">
        <v>29013</v>
      </c>
      <c r="J830" s="54" t="s">
        <v>6052</v>
      </c>
      <c r="K830" s="54">
        <v>0</v>
      </c>
      <c r="L830" s="22" t="s">
        <v>104</v>
      </c>
      <c r="M830" s="22" t="s">
        <v>36951</v>
      </c>
    </row>
    <row r="831" spans="1:13" x14ac:dyDescent="0.75">
      <c r="A831" t="s">
        <v>6419</v>
      </c>
      <c r="B831" t="s">
        <v>6420</v>
      </c>
      <c r="C831" t="s">
        <v>6421</v>
      </c>
      <c r="D831" t="s">
        <v>6422</v>
      </c>
      <c r="E831" t="s">
        <v>6423</v>
      </c>
      <c r="F831">
        <v>1</v>
      </c>
      <c r="G831">
        <v>1617804</v>
      </c>
      <c r="H831" t="s">
        <v>6424</v>
      </c>
      <c r="J831" s="54" t="s">
        <v>6052</v>
      </c>
      <c r="K831" s="54">
        <v>0</v>
      </c>
      <c r="L831" s="22" t="s">
        <v>104</v>
      </c>
      <c r="M831" s="22" t="s">
        <v>36972</v>
      </c>
    </row>
    <row r="832" spans="1:13" x14ac:dyDescent="0.75">
      <c r="A832" t="s">
        <v>7530</v>
      </c>
      <c r="B832" t="s">
        <v>7531</v>
      </c>
      <c r="C832" t="s">
        <v>6435</v>
      </c>
      <c r="D832" t="s">
        <v>7532</v>
      </c>
      <c r="E832" t="s">
        <v>7533</v>
      </c>
      <c r="F832">
        <v>35</v>
      </c>
      <c r="G832">
        <v>1697099</v>
      </c>
      <c r="H832" t="s">
        <v>7534</v>
      </c>
      <c r="J832" s="54" t="s">
        <v>6052</v>
      </c>
      <c r="K832" s="54">
        <v>0</v>
      </c>
      <c r="L832" s="22" t="s">
        <v>1308</v>
      </c>
      <c r="M832" s="22" t="s">
        <v>36881</v>
      </c>
    </row>
    <row r="833" spans="1:13" x14ac:dyDescent="0.75">
      <c r="A833" t="s">
        <v>6794</v>
      </c>
      <c r="B833" t="s">
        <v>6795</v>
      </c>
      <c r="C833" t="s">
        <v>6435</v>
      </c>
      <c r="D833" t="s">
        <v>6796</v>
      </c>
      <c r="E833" t="s">
        <v>6797</v>
      </c>
      <c r="F833">
        <v>141</v>
      </c>
      <c r="G833">
        <v>2145347</v>
      </c>
      <c r="H833" t="s">
        <v>6798</v>
      </c>
      <c r="J833" s="54" t="s">
        <v>6052</v>
      </c>
      <c r="K833" s="54">
        <v>0</v>
      </c>
      <c r="L833" s="22" t="s">
        <v>1308</v>
      </c>
      <c r="M833" s="22" t="s">
        <v>36882</v>
      </c>
    </row>
    <row r="834" spans="1:13" x14ac:dyDescent="0.75">
      <c r="A834" t="s">
        <v>6732</v>
      </c>
      <c r="B834" t="s">
        <v>6733</v>
      </c>
      <c r="C834" t="s">
        <v>6435</v>
      </c>
      <c r="D834" t="s">
        <v>6734</v>
      </c>
      <c r="E834" t="s">
        <v>6735</v>
      </c>
      <c r="F834">
        <v>298</v>
      </c>
      <c r="G834">
        <v>2206675</v>
      </c>
      <c r="H834" t="s">
        <v>6736</v>
      </c>
      <c r="J834" s="54" t="s">
        <v>6052</v>
      </c>
      <c r="K834" s="54">
        <v>0</v>
      </c>
      <c r="L834" s="22" t="s">
        <v>1563</v>
      </c>
      <c r="M834" s="22" t="s">
        <v>36883</v>
      </c>
    </row>
    <row r="835" spans="1:13" x14ac:dyDescent="0.75">
      <c r="A835" t="s">
        <v>30095</v>
      </c>
      <c r="B835" t="s">
        <v>14282</v>
      </c>
      <c r="C835" t="s">
        <v>6435</v>
      </c>
      <c r="D835" t="s">
        <v>14283</v>
      </c>
      <c r="E835" t="s">
        <v>30096</v>
      </c>
      <c r="F835">
        <v>94</v>
      </c>
      <c r="G835">
        <v>1714535</v>
      </c>
      <c r="H835" t="s">
        <v>30097</v>
      </c>
      <c r="J835" s="54" t="s">
        <v>6052</v>
      </c>
      <c r="K835" s="54">
        <v>0</v>
      </c>
      <c r="L835" s="22" t="s">
        <v>36806</v>
      </c>
      <c r="M835" s="22" t="s">
        <v>36884</v>
      </c>
    </row>
    <row r="836" spans="1:13" x14ac:dyDescent="0.75">
      <c r="A836" t="s">
        <v>20593</v>
      </c>
      <c r="B836" t="s">
        <v>13938</v>
      </c>
      <c r="C836" t="s">
        <v>6435</v>
      </c>
      <c r="D836" t="s">
        <v>13939</v>
      </c>
      <c r="E836" t="s">
        <v>20594</v>
      </c>
      <c r="F836">
        <v>16</v>
      </c>
      <c r="G836">
        <v>1751430</v>
      </c>
      <c r="H836" t="s">
        <v>20595</v>
      </c>
      <c r="J836" s="54" t="s">
        <v>6052</v>
      </c>
      <c r="K836" s="54">
        <v>0</v>
      </c>
      <c r="L836" s="22" t="s">
        <v>36806</v>
      </c>
      <c r="M836" s="22" t="s">
        <v>36885</v>
      </c>
    </row>
    <row r="837" spans="1:13" x14ac:dyDescent="0.75">
      <c r="A837" t="s">
        <v>6433</v>
      </c>
      <c r="B837" t="s">
        <v>6434</v>
      </c>
      <c r="C837" t="s">
        <v>6435</v>
      </c>
      <c r="D837" t="s">
        <v>6436</v>
      </c>
      <c r="E837" t="s">
        <v>6437</v>
      </c>
      <c r="F837">
        <v>2</v>
      </c>
      <c r="G837">
        <v>1998633</v>
      </c>
      <c r="H837" t="s">
        <v>6438</v>
      </c>
      <c r="J837" s="54" t="s">
        <v>6052</v>
      </c>
      <c r="K837" s="54">
        <v>0</v>
      </c>
      <c r="L837" s="22" t="s">
        <v>1563</v>
      </c>
      <c r="M837" s="22" t="s">
        <v>36886</v>
      </c>
    </row>
    <row r="838" spans="1:13" x14ac:dyDescent="0.75">
      <c r="A838" t="s">
        <v>20893</v>
      </c>
      <c r="B838" t="s">
        <v>14282</v>
      </c>
      <c r="C838" t="s">
        <v>6435</v>
      </c>
      <c r="D838" t="s">
        <v>14283</v>
      </c>
      <c r="E838" t="s">
        <v>20894</v>
      </c>
      <c r="F838">
        <v>26</v>
      </c>
      <c r="G838">
        <v>1973144</v>
      </c>
      <c r="H838" t="s">
        <v>20895</v>
      </c>
      <c r="J838" s="54" t="s">
        <v>6052</v>
      </c>
      <c r="K838" s="54">
        <v>0</v>
      </c>
      <c r="L838" s="22" t="s">
        <v>36806</v>
      </c>
      <c r="M838" s="22" t="s">
        <v>36884</v>
      </c>
    </row>
    <row r="839" spans="1:13" x14ac:dyDescent="0.75">
      <c r="A839" t="s">
        <v>27900</v>
      </c>
      <c r="B839" t="s">
        <v>7531</v>
      </c>
      <c r="C839" t="s">
        <v>6435</v>
      </c>
      <c r="D839" t="s">
        <v>7532</v>
      </c>
      <c r="E839" t="s">
        <v>27901</v>
      </c>
      <c r="F839">
        <v>1</v>
      </c>
      <c r="G839">
        <v>1836452</v>
      </c>
      <c r="H839" t="s">
        <v>27902</v>
      </c>
      <c r="J839" s="54" t="s">
        <v>6052</v>
      </c>
      <c r="K839" s="54">
        <v>0</v>
      </c>
      <c r="L839" s="22" t="s">
        <v>1308</v>
      </c>
      <c r="M839" s="22" t="s">
        <v>36881</v>
      </c>
    </row>
    <row r="840" spans="1:13" x14ac:dyDescent="0.75">
      <c r="A840" t="s">
        <v>28325</v>
      </c>
      <c r="B840" t="s">
        <v>13938</v>
      </c>
      <c r="C840" t="s">
        <v>6435</v>
      </c>
      <c r="D840" t="s">
        <v>13939</v>
      </c>
      <c r="E840" t="s">
        <v>28326</v>
      </c>
      <c r="F840">
        <v>18</v>
      </c>
      <c r="G840">
        <v>1825047</v>
      </c>
      <c r="H840" t="s">
        <v>28327</v>
      </c>
      <c r="J840" s="54" t="s">
        <v>6052</v>
      </c>
      <c r="K840" s="54">
        <v>0</v>
      </c>
      <c r="L840" s="22" t="s">
        <v>36806</v>
      </c>
      <c r="M840" s="22" t="s">
        <v>36885</v>
      </c>
    </row>
    <row r="841" spans="1:13" x14ac:dyDescent="0.75">
      <c r="A841" t="s">
        <v>28496</v>
      </c>
      <c r="B841" t="s">
        <v>7531</v>
      </c>
      <c r="C841" t="s">
        <v>6435</v>
      </c>
      <c r="D841" t="s">
        <v>7532</v>
      </c>
      <c r="E841" t="s">
        <v>28497</v>
      </c>
      <c r="F841">
        <v>18</v>
      </c>
      <c r="G841">
        <v>1697277</v>
      </c>
      <c r="H841" t="s">
        <v>28498</v>
      </c>
      <c r="J841" s="54" t="s">
        <v>6052</v>
      </c>
      <c r="K841" s="54">
        <v>0</v>
      </c>
      <c r="L841" s="22" t="s">
        <v>1308</v>
      </c>
      <c r="M841" s="22" t="s">
        <v>36881</v>
      </c>
    </row>
    <row r="842" spans="1:13" x14ac:dyDescent="0.75">
      <c r="A842" t="s">
        <v>28505</v>
      </c>
      <c r="B842" t="s">
        <v>6434</v>
      </c>
      <c r="C842" t="s">
        <v>6435</v>
      </c>
      <c r="D842" t="s">
        <v>6436</v>
      </c>
      <c r="E842" t="s">
        <v>28506</v>
      </c>
      <c r="F842">
        <v>227</v>
      </c>
      <c r="G842">
        <v>1231601</v>
      </c>
      <c r="H842" t="s">
        <v>28507</v>
      </c>
      <c r="J842" s="54" t="s">
        <v>6052</v>
      </c>
      <c r="K842" s="54">
        <v>0</v>
      </c>
      <c r="L842" s="22" t="s">
        <v>1563</v>
      </c>
      <c r="M842" s="22" t="s">
        <v>36886</v>
      </c>
    </row>
    <row r="843" spans="1:13" x14ac:dyDescent="0.75">
      <c r="A843" t="s">
        <v>28541</v>
      </c>
      <c r="B843" t="s">
        <v>14282</v>
      </c>
      <c r="C843" t="s">
        <v>6435</v>
      </c>
      <c r="D843" t="s">
        <v>14283</v>
      </c>
      <c r="E843" t="s">
        <v>28542</v>
      </c>
      <c r="F843">
        <v>39</v>
      </c>
      <c r="G843">
        <v>1715963</v>
      </c>
      <c r="H843" t="s">
        <v>28543</v>
      </c>
      <c r="J843" s="54" t="s">
        <v>6052</v>
      </c>
      <c r="K843" s="54">
        <v>0</v>
      </c>
      <c r="L843" s="22" t="s">
        <v>36806</v>
      </c>
      <c r="M843" s="22" t="s">
        <v>36884</v>
      </c>
    </row>
    <row r="844" spans="1:13" x14ac:dyDescent="0.75">
      <c r="A844" t="s">
        <v>28596</v>
      </c>
      <c r="B844" t="s">
        <v>6733</v>
      </c>
      <c r="C844" t="s">
        <v>6435</v>
      </c>
      <c r="D844" t="s">
        <v>6734</v>
      </c>
      <c r="E844" t="s">
        <v>28597</v>
      </c>
      <c r="F844">
        <v>150</v>
      </c>
      <c r="G844">
        <v>1433043</v>
      </c>
      <c r="H844" t="s">
        <v>28598</v>
      </c>
      <c r="J844" s="54" t="s">
        <v>6052</v>
      </c>
      <c r="K844" s="54">
        <v>0</v>
      </c>
      <c r="L844" s="22" t="s">
        <v>1563</v>
      </c>
      <c r="M844" s="22" t="s">
        <v>36883</v>
      </c>
    </row>
    <row r="845" spans="1:13" x14ac:dyDescent="0.75">
      <c r="A845" t="s">
        <v>11831</v>
      </c>
      <c r="B845" t="s">
        <v>6795</v>
      </c>
      <c r="C845" t="s">
        <v>6435</v>
      </c>
      <c r="D845" t="s">
        <v>6796</v>
      </c>
      <c r="E845" t="s">
        <v>11832</v>
      </c>
      <c r="F845">
        <v>106</v>
      </c>
      <c r="G845">
        <v>2015538</v>
      </c>
      <c r="H845" t="s">
        <v>11833</v>
      </c>
      <c r="J845" s="54" t="s">
        <v>6052</v>
      </c>
      <c r="K845" s="54">
        <v>0</v>
      </c>
      <c r="L845" s="22" t="s">
        <v>1308</v>
      </c>
      <c r="M845" s="22" t="s">
        <v>36882</v>
      </c>
    </row>
    <row r="846" spans="1:13" x14ac:dyDescent="0.75">
      <c r="A846" t="s">
        <v>27392</v>
      </c>
      <c r="B846" t="s">
        <v>6434</v>
      </c>
      <c r="C846" t="s">
        <v>6435</v>
      </c>
      <c r="D846" t="s">
        <v>6436</v>
      </c>
      <c r="E846" t="s">
        <v>27393</v>
      </c>
      <c r="F846">
        <v>2</v>
      </c>
      <c r="G846">
        <v>2004977</v>
      </c>
      <c r="H846" t="s">
        <v>27394</v>
      </c>
      <c r="J846" s="54" t="s">
        <v>6052</v>
      </c>
      <c r="K846" s="54">
        <v>0</v>
      </c>
      <c r="L846" s="22" t="s">
        <v>1563</v>
      </c>
      <c r="M846" s="22" t="s">
        <v>36886</v>
      </c>
    </row>
    <row r="847" spans="1:13" x14ac:dyDescent="0.75">
      <c r="A847" t="s">
        <v>27386</v>
      </c>
      <c r="B847" t="s">
        <v>14282</v>
      </c>
      <c r="C847" t="s">
        <v>6435</v>
      </c>
      <c r="D847" t="s">
        <v>14283</v>
      </c>
      <c r="E847" t="s">
        <v>27387</v>
      </c>
      <c r="F847">
        <v>2</v>
      </c>
      <c r="G847">
        <v>1914290</v>
      </c>
      <c r="H847" t="s">
        <v>27388</v>
      </c>
      <c r="J847" s="54" t="s">
        <v>6052</v>
      </c>
      <c r="K847" s="54">
        <v>0</v>
      </c>
      <c r="L847" s="22" t="s">
        <v>36806</v>
      </c>
      <c r="M847" s="22" t="s">
        <v>36884</v>
      </c>
    </row>
    <row r="848" spans="1:13" x14ac:dyDescent="0.75">
      <c r="A848" t="s">
        <v>15529</v>
      </c>
      <c r="B848" t="s">
        <v>13938</v>
      </c>
      <c r="C848" t="s">
        <v>6435</v>
      </c>
      <c r="D848" t="s">
        <v>13939</v>
      </c>
      <c r="E848" t="s">
        <v>15530</v>
      </c>
      <c r="F848">
        <v>18</v>
      </c>
      <c r="G848">
        <v>1825047</v>
      </c>
      <c r="H848" t="s">
        <v>15531</v>
      </c>
      <c r="J848" s="54" t="s">
        <v>6052</v>
      </c>
      <c r="K848" s="54">
        <v>0</v>
      </c>
      <c r="L848" s="22" t="s">
        <v>36806</v>
      </c>
      <c r="M848" s="22" t="s">
        <v>36885</v>
      </c>
    </row>
    <row r="849" spans="1:13" x14ac:dyDescent="0.75">
      <c r="A849" t="s">
        <v>26547</v>
      </c>
      <c r="B849" t="s">
        <v>14282</v>
      </c>
      <c r="C849" t="s">
        <v>6435</v>
      </c>
      <c r="D849" t="s">
        <v>14283</v>
      </c>
      <c r="E849" t="s">
        <v>26548</v>
      </c>
      <c r="F849">
        <v>82</v>
      </c>
      <c r="G849">
        <v>1719998</v>
      </c>
      <c r="H849" t="s">
        <v>26549</v>
      </c>
      <c r="J849" s="54" t="s">
        <v>6052</v>
      </c>
      <c r="K849" s="54">
        <v>0</v>
      </c>
      <c r="L849" s="22" t="s">
        <v>36806</v>
      </c>
      <c r="M849" s="22" t="s">
        <v>36884</v>
      </c>
    </row>
    <row r="850" spans="1:13" x14ac:dyDescent="0.75">
      <c r="A850" t="s">
        <v>10588</v>
      </c>
      <c r="B850" t="s">
        <v>6733</v>
      </c>
      <c r="C850" t="s">
        <v>6435</v>
      </c>
      <c r="D850" t="s">
        <v>6734</v>
      </c>
      <c r="E850" t="s">
        <v>10589</v>
      </c>
      <c r="F850">
        <v>44</v>
      </c>
      <c r="G850">
        <v>1936866</v>
      </c>
      <c r="H850" t="s">
        <v>10590</v>
      </c>
      <c r="J850" s="54" t="s">
        <v>6052</v>
      </c>
      <c r="K850" s="54">
        <v>0</v>
      </c>
      <c r="L850" s="22" t="s">
        <v>1563</v>
      </c>
      <c r="M850" s="22" t="s">
        <v>36883</v>
      </c>
    </row>
    <row r="851" spans="1:13" x14ac:dyDescent="0.75">
      <c r="A851" t="s">
        <v>30323</v>
      </c>
      <c r="B851" t="s">
        <v>6795</v>
      </c>
      <c r="C851" t="s">
        <v>6435</v>
      </c>
      <c r="D851" t="s">
        <v>6796</v>
      </c>
      <c r="E851" t="s">
        <v>30324</v>
      </c>
      <c r="F851">
        <v>28</v>
      </c>
      <c r="G851">
        <v>1725895</v>
      </c>
      <c r="H851" t="s">
        <v>30325</v>
      </c>
      <c r="J851" s="54" t="s">
        <v>6052</v>
      </c>
      <c r="K851" s="54">
        <v>0</v>
      </c>
      <c r="L851" s="22" t="s">
        <v>1308</v>
      </c>
      <c r="M851" s="22" t="s">
        <v>36882</v>
      </c>
    </row>
    <row r="852" spans="1:13" x14ac:dyDescent="0.75">
      <c r="A852" t="s">
        <v>30220</v>
      </c>
      <c r="B852" t="s">
        <v>6795</v>
      </c>
      <c r="C852" t="s">
        <v>6435</v>
      </c>
      <c r="D852" t="s">
        <v>6796</v>
      </c>
      <c r="E852" t="s">
        <v>30221</v>
      </c>
      <c r="F852">
        <v>55</v>
      </c>
      <c r="G852">
        <v>1769598</v>
      </c>
      <c r="H852" t="s">
        <v>30222</v>
      </c>
      <c r="J852" s="54" t="s">
        <v>6052</v>
      </c>
      <c r="K852" s="54">
        <v>0</v>
      </c>
      <c r="L852" s="22" t="s">
        <v>1308</v>
      </c>
      <c r="M852" s="22" t="s">
        <v>36882</v>
      </c>
    </row>
    <row r="853" spans="1:13" x14ac:dyDescent="0.75">
      <c r="A853" t="s">
        <v>30238</v>
      </c>
      <c r="B853" t="s">
        <v>6795</v>
      </c>
      <c r="C853" t="s">
        <v>6435</v>
      </c>
      <c r="D853" t="s">
        <v>6796</v>
      </c>
      <c r="E853" t="s">
        <v>30239</v>
      </c>
      <c r="F853">
        <v>30</v>
      </c>
      <c r="G853">
        <v>1755896</v>
      </c>
      <c r="H853" t="s">
        <v>30240</v>
      </c>
      <c r="J853" s="54" t="s">
        <v>6052</v>
      </c>
      <c r="K853" s="54">
        <v>0</v>
      </c>
      <c r="L853" s="22" t="s">
        <v>1308</v>
      </c>
      <c r="M853" s="22" t="s">
        <v>36882</v>
      </c>
    </row>
    <row r="854" spans="1:13" x14ac:dyDescent="0.75">
      <c r="A854" t="s">
        <v>30416</v>
      </c>
      <c r="B854" t="s">
        <v>6795</v>
      </c>
      <c r="C854" t="s">
        <v>6435</v>
      </c>
      <c r="D854" t="s">
        <v>6796</v>
      </c>
      <c r="E854" t="s">
        <v>30417</v>
      </c>
      <c r="F854">
        <v>30</v>
      </c>
      <c r="G854">
        <v>1753796</v>
      </c>
      <c r="H854" t="s">
        <v>30418</v>
      </c>
      <c r="J854" s="54" t="s">
        <v>6052</v>
      </c>
      <c r="K854" s="54">
        <v>0</v>
      </c>
      <c r="L854" s="22" t="s">
        <v>1308</v>
      </c>
      <c r="M854" s="22" t="s">
        <v>36882</v>
      </c>
    </row>
    <row r="855" spans="1:13" x14ac:dyDescent="0.75">
      <c r="A855" t="s">
        <v>30380</v>
      </c>
      <c r="B855" t="s">
        <v>6733</v>
      </c>
      <c r="C855" t="s">
        <v>6435</v>
      </c>
      <c r="D855" t="s">
        <v>6734</v>
      </c>
      <c r="E855" t="s">
        <v>30381</v>
      </c>
      <c r="F855">
        <v>39</v>
      </c>
      <c r="G855">
        <v>1819439</v>
      </c>
      <c r="H855" t="s">
        <v>30382</v>
      </c>
      <c r="J855" s="54" t="s">
        <v>6052</v>
      </c>
      <c r="K855" s="54">
        <v>0</v>
      </c>
      <c r="L855" s="22" t="s">
        <v>1563</v>
      </c>
      <c r="M855" s="22" t="s">
        <v>36883</v>
      </c>
    </row>
    <row r="856" spans="1:13" x14ac:dyDescent="0.75">
      <c r="A856" t="s">
        <v>30413</v>
      </c>
      <c r="B856" t="s">
        <v>6434</v>
      </c>
      <c r="C856" t="s">
        <v>6435</v>
      </c>
      <c r="D856" t="s">
        <v>6436</v>
      </c>
      <c r="E856" t="s">
        <v>30414</v>
      </c>
      <c r="F856">
        <v>152</v>
      </c>
      <c r="G856">
        <v>1371198</v>
      </c>
      <c r="H856" t="s">
        <v>30415</v>
      </c>
      <c r="J856" s="54" t="s">
        <v>6052</v>
      </c>
      <c r="K856" s="54">
        <v>0</v>
      </c>
      <c r="L856" s="22" t="s">
        <v>1563</v>
      </c>
      <c r="M856" s="22" t="s">
        <v>36886</v>
      </c>
    </row>
    <row r="857" spans="1:13" x14ac:dyDescent="0.75">
      <c r="A857" t="s">
        <v>13937</v>
      </c>
      <c r="B857" t="s">
        <v>13938</v>
      </c>
      <c r="C857" t="s">
        <v>6435</v>
      </c>
      <c r="D857" t="s">
        <v>13939</v>
      </c>
      <c r="E857" t="s">
        <v>13940</v>
      </c>
      <c r="F857">
        <v>155</v>
      </c>
      <c r="G857">
        <v>1670242</v>
      </c>
      <c r="H857" t="s">
        <v>13941</v>
      </c>
      <c r="J857" s="54" t="s">
        <v>6052</v>
      </c>
      <c r="K857" s="54">
        <v>0</v>
      </c>
      <c r="L857" s="22" t="s">
        <v>36806</v>
      </c>
      <c r="M857" s="22" t="s">
        <v>36885</v>
      </c>
    </row>
    <row r="858" spans="1:13" x14ac:dyDescent="0.75">
      <c r="A858" t="s">
        <v>14281</v>
      </c>
      <c r="B858" t="s">
        <v>14282</v>
      </c>
      <c r="C858" t="s">
        <v>6435</v>
      </c>
      <c r="D858" t="s">
        <v>14283</v>
      </c>
      <c r="E858" t="s">
        <v>14284</v>
      </c>
      <c r="F858">
        <v>19</v>
      </c>
      <c r="G858">
        <v>1979036</v>
      </c>
      <c r="H858" t="s">
        <v>14285</v>
      </c>
      <c r="J858" s="54" t="s">
        <v>6052</v>
      </c>
      <c r="K858" s="54">
        <v>0</v>
      </c>
      <c r="L858" s="22" t="s">
        <v>36806</v>
      </c>
      <c r="M858" s="22" t="s">
        <v>36884</v>
      </c>
    </row>
    <row r="859" spans="1:13" x14ac:dyDescent="0.75">
      <c r="A859" t="s">
        <v>27860</v>
      </c>
      <c r="B859" t="s">
        <v>13938</v>
      </c>
      <c r="C859" t="s">
        <v>6435</v>
      </c>
      <c r="D859" t="s">
        <v>13939</v>
      </c>
      <c r="E859" t="s">
        <v>27861</v>
      </c>
      <c r="F859">
        <v>47</v>
      </c>
      <c r="G859">
        <v>1745397</v>
      </c>
      <c r="H859" t="s">
        <v>27862</v>
      </c>
      <c r="J859" s="54" t="s">
        <v>6052</v>
      </c>
      <c r="K859" s="54">
        <v>0</v>
      </c>
      <c r="L859" s="22" t="s">
        <v>36806</v>
      </c>
      <c r="M859" s="22" t="s">
        <v>36885</v>
      </c>
    </row>
    <row r="860" spans="1:13" x14ac:dyDescent="0.75">
      <c r="A860" t="s">
        <v>29642</v>
      </c>
      <c r="B860" t="s">
        <v>6420</v>
      </c>
      <c r="C860" t="s">
        <v>6421</v>
      </c>
      <c r="D860" t="s">
        <v>6422</v>
      </c>
      <c r="E860" t="s">
        <v>29643</v>
      </c>
      <c r="F860">
        <v>17</v>
      </c>
      <c r="G860">
        <v>1585518</v>
      </c>
      <c r="H860" t="s">
        <v>29644</v>
      </c>
      <c r="J860" s="54" t="s">
        <v>6052</v>
      </c>
      <c r="K860" s="54">
        <v>0</v>
      </c>
      <c r="L860" s="22" t="s">
        <v>104</v>
      </c>
      <c r="M860" s="22" t="s">
        <v>36972</v>
      </c>
    </row>
    <row r="861" spans="1:13" x14ac:dyDescent="0.75">
      <c r="A861" t="s">
        <v>28815</v>
      </c>
      <c r="B861" t="s">
        <v>27131</v>
      </c>
      <c r="C861" t="s">
        <v>8376</v>
      </c>
      <c r="D861" t="s">
        <v>8644</v>
      </c>
      <c r="E861" t="s">
        <v>28816</v>
      </c>
      <c r="F861">
        <v>34</v>
      </c>
      <c r="G861">
        <v>1663237</v>
      </c>
      <c r="H861" t="s">
        <v>28817</v>
      </c>
      <c r="J861" s="54" t="s">
        <v>6052</v>
      </c>
      <c r="K861" s="54">
        <v>0</v>
      </c>
      <c r="L861" s="22" t="s">
        <v>1563</v>
      </c>
      <c r="M861" s="22" t="s">
        <v>36888</v>
      </c>
    </row>
    <row r="862" spans="1:13" x14ac:dyDescent="0.75">
      <c r="A862" t="s">
        <v>29835</v>
      </c>
      <c r="B862" t="s">
        <v>27131</v>
      </c>
      <c r="C862" t="s">
        <v>8376</v>
      </c>
      <c r="D862" t="s">
        <v>8644</v>
      </c>
      <c r="E862" t="s">
        <v>29836</v>
      </c>
      <c r="F862">
        <v>21</v>
      </c>
      <c r="G862">
        <v>1791590</v>
      </c>
      <c r="H862" t="s">
        <v>29837</v>
      </c>
      <c r="J862" s="54" t="s">
        <v>6052</v>
      </c>
      <c r="K862" s="54">
        <v>0</v>
      </c>
      <c r="L862" s="22" t="s">
        <v>1563</v>
      </c>
      <c r="M862" s="22" t="s">
        <v>36888</v>
      </c>
    </row>
    <row r="863" spans="1:13" x14ac:dyDescent="0.75">
      <c r="A863" t="s">
        <v>29020</v>
      </c>
      <c r="B863" t="s">
        <v>6420</v>
      </c>
      <c r="C863" t="s">
        <v>6421</v>
      </c>
      <c r="D863" t="s">
        <v>6422</v>
      </c>
      <c r="E863" t="s">
        <v>29021</v>
      </c>
      <c r="F863">
        <v>149</v>
      </c>
      <c r="G863">
        <v>1457245</v>
      </c>
      <c r="H863" t="s">
        <v>29022</v>
      </c>
      <c r="J863" s="54" t="s">
        <v>6052</v>
      </c>
      <c r="K863" s="54">
        <v>0</v>
      </c>
      <c r="L863" s="22" t="s">
        <v>104</v>
      </c>
      <c r="M863" s="22" t="s">
        <v>36972</v>
      </c>
    </row>
    <row r="864" spans="1:13" x14ac:dyDescent="0.75">
      <c r="A864" t="s">
        <v>29943</v>
      </c>
      <c r="B864" t="s">
        <v>14630</v>
      </c>
      <c r="C864" t="s">
        <v>14631</v>
      </c>
      <c r="D864" t="s">
        <v>6535</v>
      </c>
      <c r="E864" t="s">
        <v>29944</v>
      </c>
      <c r="F864">
        <v>117</v>
      </c>
      <c r="G864">
        <v>2552752</v>
      </c>
      <c r="H864" t="s">
        <v>29945</v>
      </c>
      <c r="J864" s="54" t="s">
        <v>6052</v>
      </c>
      <c r="K864" s="54">
        <v>0</v>
      </c>
      <c r="L864" s="22" t="s">
        <v>104</v>
      </c>
      <c r="M864" s="22" t="s">
        <v>36981</v>
      </c>
    </row>
    <row r="865" spans="1:13" x14ac:dyDescent="0.75">
      <c r="A865" t="s">
        <v>27130</v>
      </c>
      <c r="B865" t="s">
        <v>27131</v>
      </c>
      <c r="C865" t="s">
        <v>8376</v>
      </c>
      <c r="D865" t="s">
        <v>8644</v>
      </c>
      <c r="E865" t="s">
        <v>27132</v>
      </c>
      <c r="F865">
        <v>2</v>
      </c>
      <c r="G865">
        <v>1715864</v>
      </c>
      <c r="H865" t="s">
        <v>27133</v>
      </c>
      <c r="J865" s="54" t="s">
        <v>6052</v>
      </c>
      <c r="K865" s="54">
        <v>0</v>
      </c>
      <c r="L865" s="22" t="s">
        <v>1563</v>
      </c>
      <c r="M865" s="22" t="s">
        <v>36888</v>
      </c>
    </row>
    <row r="866" spans="1:13" x14ac:dyDescent="0.75">
      <c r="A866" t="s">
        <v>28304</v>
      </c>
      <c r="B866" t="s">
        <v>27131</v>
      </c>
      <c r="C866" t="s">
        <v>8376</v>
      </c>
      <c r="D866" t="s">
        <v>8644</v>
      </c>
      <c r="E866" t="s">
        <v>28305</v>
      </c>
      <c r="F866">
        <v>2</v>
      </c>
      <c r="G866">
        <v>1715864</v>
      </c>
      <c r="H866" t="s">
        <v>28306</v>
      </c>
      <c r="J866" s="54" t="s">
        <v>6052</v>
      </c>
      <c r="K866" s="54">
        <v>0</v>
      </c>
      <c r="L866" s="22" t="s">
        <v>1563</v>
      </c>
      <c r="M866" s="22" t="s">
        <v>36888</v>
      </c>
    </row>
    <row r="867" spans="1:13" x14ac:dyDescent="0.75">
      <c r="A867" t="s">
        <v>14629</v>
      </c>
      <c r="B867" t="s">
        <v>14630</v>
      </c>
      <c r="C867" t="s">
        <v>14631</v>
      </c>
      <c r="D867" t="s">
        <v>6535</v>
      </c>
      <c r="E867" t="s">
        <v>14632</v>
      </c>
      <c r="F867">
        <v>1</v>
      </c>
      <c r="G867">
        <v>2774417</v>
      </c>
      <c r="H867" t="s">
        <v>14633</v>
      </c>
      <c r="J867" s="54" t="s">
        <v>6052</v>
      </c>
      <c r="K867" s="54">
        <v>0</v>
      </c>
      <c r="L867" s="22" t="s">
        <v>104</v>
      </c>
      <c r="M867" s="22" t="s">
        <v>36981</v>
      </c>
    </row>
    <row r="868" spans="1:13" x14ac:dyDescent="0.75">
      <c r="A868" t="s">
        <v>29116</v>
      </c>
      <c r="B868" t="s">
        <v>14630</v>
      </c>
      <c r="C868" t="s">
        <v>14631</v>
      </c>
      <c r="D868" t="s">
        <v>6535</v>
      </c>
      <c r="E868" t="s">
        <v>29117</v>
      </c>
      <c r="F868">
        <v>114</v>
      </c>
      <c r="G868">
        <v>2433601</v>
      </c>
      <c r="H868" t="s">
        <v>29118</v>
      </c>
      <c r="J868" s="54" t="s">
        <v>6052</v>
      </c>
      <c r="K868" s="54">
        <v>0</v>
      </c>
      <c r="L868" s="22" t="s">
        <v>104</v>
      </c>
      <c r="M868" s="22" t="s">
        <v>36981</v>
      </c>
    </row>
    <row r="869" spans="1:13" x14ac:dyDescent="0.75">
      <c r="A869" t="s">
        <v>30646</v>
      </c>
      <c r="B869" t="s">
        <v>27131</v>
      </c>
      <c r="C869" t="s">
        <v>8376</v>
      </c>
      <c r="D869" t="s">
        <v>8644</v>
      </c>
      <c r="E869" t="s">
        <v>30647</v>
      </c>
      <c r="F869">
        <v>20</v>
      </c>
      <c r="G869">
        <v>1700004</v>
      </c>
      <c r="H869" t="s">
        <v>30648</v>
      </c>
      <c r="J869" s="54" t="s">
        <v>6052</v>
      </c>
      <c r="K869" s="54">
        <v>0</v>
      </c>
      <c r="L869" s="22" t="s">
        <v>1563</v>
      </c>
      <c r="M869" s="22" t="s">
        <v>36888</v>
      </c>
    </row>
    <row r="870" spans="1:13" x14ac:dyDescent="0.75">
      <c r="A870" t="s">
        <v>11918</v>
      </c>
      <c r="B870" t="s">
        <v>11919</v>
      </c>
      <c r="C870" t="s">
        <v>11920</v>
      </c>
      <c r="D870" t="s">
        <v>8428</v>
      </c>
      <c r="E870" t="s">
        <v>11921</v>
      </c>
      <c r="F870">
        <v>1</v>
      </c>
      <c r="G870">
        <v>2783374</v>
      </c>
      <c r="H870" t="s">
        <v>11922</v>
      </c>
      <c r="J870" s="54" t="s">
        <v>6052</v>
      </c>
      <c r="K870" s="54">
        <v>0</v>
      </c>
      <c r="L870" s="22" t="s">
        <v>104</v>
      </c>
      <c r="M870" s="22" t="s">
        <v>36982</v>
      </c>
    </row>
    <row r="871" spans="1:13" x14ac:dyDescent="0.75">
      <c r="A871" t="s">
        <v>19045</v>
      </c>
      <c r="B871" t="s">
        <v>6867</v>
      </c>
      <c r="C871" t="s">
        <v>6868</v>
      </c>
      <c r="D871" t="s">
        <v>6869</v>
      </c>
      <c r="E871" t="s">
        <v>19046</v>
      </c>
      <c r="F871">
        <v>22</v>
      </c>
      <c r="G871">
        <v>1773818</v>
      </c>
      <c r="H871" t="s">
        <v>19047</v>
      </c>
      <c r="J871" s="54" t="s">
        <v>6052</v>
      </c>
      <c r="K871" s="54">
        <v>0</v>
      </c>
      <c r="L871" s="22" t="s">
        <v>104</v>
      </c>
      <c r="M871" s="22" t="s">
        <v>36984</v>
      </c>
    </row>
    <row r="872" spans="1:13" x14ac:dyDescent="0.75">
      <c r="A872" t="s">
        <v>7635</v>
      </c>
      <c r="B872" t="s">
        <v>7636</v>
      </c>
      <c r="C872" t="s">
        <v>7637</v>
      </c>
      <c r="D872" t="s">
        <v>7638</v>
      </c>
      <c r="E872" t="s">
        <v>7639</v>
      </c>
      <c r="F872">
        <v>1</v>
      </c>
      <c r="G872">
        <v>3532378</v>
      </c>
      <c r="H872" t="s">
        <v>7640</v>
      </c>
      <c r="J872" s="54" t="s">
        <v>6052</v>
      </c>
      <c r="K872" s="54">
        <v>0</v>
      </c>
      <c r="L872" s="22" t="s">
        <v>686</v>
      </c>
      <c r="M872" s="22" t="s">
        <v>36889</v>
      </c>
    </row>
    <row r="873" spans="1:13" x14ac:dyDescent="0.75">
      <c r="A873" t="s">
        <v>30115</v>
      </c>
      <c r="B873" t="s">
        <v>6867</v>
      </c>
      <c r="C873" t="s">
        <v>6868</v>
      </c>
      <c r="D873" t="s">
        <v>6869</v>
      </c>
      <c r="E873" t="s">
        <v>30116</v>
      </c>
      <c r="F873">
        <v>73</v>
      </c>
      <c r="G873">
        <v>1785844</v>
      </c>
      <c r="H873" t="s">
        <v>30117</v>
      </c>
      <c r="J873" s="54" t="s">
        <v>6052</v>
      </c>
      <c r="K873" s="54">
        <v>0</v>
      </c>
      <c r="L873" s="22" t="s">
        <v>104</v>
      </c>
      <c r="M873" s="22" t="s">
        <v>36984</v>
      </c>
    </row>
    <row r="874" spans="1:13" x14ac:dyDescent="0.75">
      <c r="A874" t="s">
        <v>6866</v>
      </c>
      <c r="B874" t="s">
        <v>6867</v>
      </c>
      <c r="C874" t="s">
        <v>6868</v>
      </c>
      <c r="D874" t="s">
        <v>6869</v>
      </c>
      <c r="E874" t="s">
        <v>6870</v>
      </c>
      <c r="F874">
        <v>2</v>
      </c>
      <c r="G874">
        <v>1895960</v>
      </c>
      <c r="H874" t="s">
        <v>6871</v>
      </c>
      <c r="J874" s="54" t="s">
        <v>6052</v>
      </c>
      <c r="K874" s="54">
        <v>0</v>
      </c>
      <c r="L874" s="22" t="s">
        <v>104</v>
      </c>
      <c r="M874" s="22" t="s">
        <v>36984</v>
      </c>
    </row>
    <row r="875" spans="1:13" x14ac:dyDescent="0.75">
      <c r="A875" t="s">
        <v>30601</v>
      </c>
      <c r="B875" t="s">
        <v>6867</v>
      </c>
      <c r="C875" t="s">
        <v>6868</v>
      </c>
      <c r="D875" t="s">
        <v>6869</v>
      </c>
      <c r="E875" t="s">
        <v>30602</v>
      </c>
      <c r="F875">
        <v>20</v>
      </c>
      <c r="G875">
        <v>1847868</v>
      </c>
      <c r="H875" t="s">
        <v>30603</v>
      </c>
      <c r="J875" s="54" t="s">
        <v>6052</v>
      </c>
      <c r="K875" s="54">
        <v>0</v>
      </c>
      <c r="L875" s="22" t="s">
        <v>104</v>
      </c>
      <c r="M875" s="22" t="s">
        <v>36984</v>
      </c>
    </row>
    <row r="876" spans="1:13" x14ac:dyDescent="0.75">
      <c r="A876" t="s">
        <v>28806</v>
      </c>
      <c r="B876" t="s">
        <v>6867</v>
      </c>
      <c r="C876" t="s">
        <v>6868</v>
      </c>
      <c r="D876" t="s">
        <v>6869</v>
      </c>
      <c r="E876" t="s">
        <v>28807</v>
      </c>
      <c r="F876">
        <v>31</v>
      </c>
      <c r="G876">
        <v>1661091</v>
      </c>
      <c r="H876" t="s">
        <v>28808</v>
      </c>
      <c r="J876" s="54" t="s">
        <v>6052</v>
      </c>
      <c r="K876" s="54">
        <v>0</v>
      </c>
      <c r="L876" s="22" t="s">
        <v>104</v>
      </c>
      <c r="M876" s="22" t="s">
        <v>36984</v>
      </c>
    </row>
    <row r="877" spans="1:13" x14ac:dyDescent="0.75">
      <c r="A877" t="s">
        <v>29925</v>
      </c>
      <c r="B877" t="s">
        <v>6867</v>
      </c>
      <c r="C877" t="s">
        <v>6868</v>
      </c>
      <c r="D877" t="s">
        <v>6869</v>
      </c>
      <c r="E877" t="s">
        <v>29926</v>
      </c>
      <c r="F877">
        <v>37</v>
      </c>
      <c r="G877">
        <v>1920595</v>
      </c>
      <c r="H877" t="s">
        <v>29927</v>
      </c>
      <c r="J877" s="54" t="s">
        <v>6052</v>
      </c>
      <c r="K877" s="54">
        <v>0</v>
      </c>
      <c r="L877" s="22" t="s">
        <v>104</v>
      </c>
      <c r="M877" s="22" t="s">
        <v>36984</v>
      </c>
    </row>
    <row r="878" spans="1:13" x14ac:dyDescent="0.75">
      <c r="A878" t="s">
        <v>30545</v>
      </c>
      <c r="B878" t="s">
        <v>6867</v>
      </c>
      <c r="C878" t="s">
        <v>6868</v>
      </c>
      <c r="D878" t="s">
        <v>6869</v>
      </c>
      <c r="E878" t="s">
        <v>30546</v>
      </c>
      <c r="F878">
        <v>27</v>
      </c>
      <c r="G878">
        <v>1891164</v>
      </c>
      <c r="H878" t="s">
        <v>30547</v>
      </c>
      <c r="J878" s="54" t="s">
        <v>6052</v>
      </c>
      <c r="K878" s="54">
        <v>0</v>
      </c>
      <c r="L878" s="22" t="s">
        <v>104</v>
      </c>
      <c r="M878" s="22" t="s">
        <v>36984</v>
      </c>
    </row>
    <row r="879" spans="1:13" x14ac:dyDescent="0.75">
      <c r="A879" t="s">
        <v>30548</v>
      </c>
      <c r="B879" t="s">
        <v>6867</v>
      </c>
      <c r="C879" t="s">
        <v>6868</v>
      </c>
      <c r="D879" t="s">
        <v>6869</v>
      </c>
      <c r="E879" t="s">
        <v>30549</v>
      </c>
      <c r="F879">
        <v>90</v>
      </c>
      <c r="G879">
        <v>1646985</v>
      </c>
      <c r="H879" t="s">
        <v>30550</v>
      </c>
      <c r="J879" s="54" t="s">
        <v>6052</v>
      </c>
      <c r="K879" s="54">
        <v>0</v>
      </c>
      <c r="L879" s="22" t="s">
        <v>104</v>
      </c>
      <c r="M879" s="22" t="s">
        <v>36984</v>
      </c>
    </row>
    <row r="880" spans="1:13" x14ac:dyDescent="0.75">
      <c r="A880" t="s">
        <v>30487</v>
      </c>
      <c r="B880" t="s">
        <v>6867</v>
      </c>
      <c r="C880" t="s">
        <v>6868</v>
      </c>
      <c r="D880" t="s">
        <v>6869</v>
      </c>
      <c r="E880" t="s">
        <v>30488</v>
      </c>
      <c r="F880">
        <v>36</v>
      </c>
      <c r="G880">
        <v>1801161</v>
      </c>
      <c r="H880" t="s">
        <v>30489</v>
      </c>
      <c r="J880" s="54" t="s">
        <v>6052</v>
      </c>
      <c r="K880" s="54">
        <v>0</v>
      </c>
      <c r="L880" s="22" t="s">
        <v>104</v>
      </c>
      <c r="M880" s="22" t="s">
        <v>36984</v>
      </c>
    </row>
    <row r="881" spans="1:13" x14ac:dyDescent="0.75">
      <c r="A881" t="s">
        <v>30514</v>
      </c>
      <c r="B881" t="s">
        <v>6867</v>
      </c>
      <c r="C881" t="s">
        <v>6868</v>
      </c>
      <c r="D881" t="s">
        <v>6869</v>
      </c>
      <c r="E881" t="s">
        <v>30515</v>
      </c>
      <c r="F881">
        <v>43</v>
      </c>
      <c r="G881">
        <v>1689904</v>
      </c>
      <c r="H881" t="s">
        <v>30516</v>
      </c>
      <c r="J881" s="54" t="s">
        <v>6052</v>
      </c>
      <c r="K881" s="54">
        <v>0</v>
      </c>
      <c r="L881" s="22" t="s">
        <v>104</v>
      </c>
      <c r="M881" s="22" t="s">
        <v>36984</v>
      </c>
    </row>
    <row r="882" spans="1:13" x14ac:dyDescent="0.75">
      <c r="A882" t="s">
        <v>30490</v>
      </c>
      <c r="B882" t="s">
        <v>6867</v>
      </c>
      <c r="C882" t="s">
        <v>6868</v>
      </c>
      <c r="D882" t="s">
        <v>6869</v>
      </c>
      <c r="E882" t="s">
        <v>30491</v>
      </c>
      <c r="F882">
        <v>67</v>
      </c>
      <c r="G882">
        <v>1858499</v>
      </c>
      <c r="H882" t="s">
        <v>30492</v>
      </c>
      <c r="J882" s="54" t="s">
        <v>6052</v>
      </c>
      <c r="K882" s="54">
        <v>0</v>
      </c>
      <c r="L882" s="22" t="s">
        <v>104</v>
      </c>
      <c r="M882" s="22" t="s">
        <v>36984</v>
      </c>
    </row>
    <row r="883" spans="1:13" x14ac:dyDescent="0.75">
      <c r="A883" t="s">
        <v>30502</v>
      </c>
      <c r="B883" t="s">
        <v>6867</v>
      </c>
      <c r="C883" t="s">
        <v>6868</v>
      </c>
      <c r="D883" t="s">
        <v>6869</v>
      </c>
      <c r="E883" t="s">
        <v>30503</v>
      </c>
      <c r="F883">
        <v>28</v>
      </c>
      <c r="G883">
        <v>1722294</v>
      </c>
      <c r="H883" t="s">
        <v>30504</v>
      </c>
      <c r="J883" s="54" t="s">
        <v>6052</v>
      </c>
      <c r="K883" s="54">
        <v>0</v>
      </c>
      <c r="L883" s="22" t="s">
        <v>104</v>
      </c>
      <c r="M883" s="22" t="s">
        <v>36984</v>
      </c>
    </row>
    <row r="884" spans="1:13" x14ac:dyDescent="0.75">
      <c r="A884" t="s">
        <v>30525</v>
      </c>
      <c r="B884" t="s">
        <v>6867</v>
      </c>
      <c r="C884" t="s">
        <v>6868</v>
      </c>
      <c r="D884" t="s">
        <v>6869</v>
      </c>
      <c r="E884" t="s">
        <v>30526</v>
      </c>
      <c r="F884">
        <v>60</v>
      </c>
      <c r="G884">
        <v>1974901</v>
      </c>
      <c r="H884" t="s">
        <v>30527</v>
      </c>
      <c r="J884" s="54" t="s">
        <v>6052</v>
      </c>
      <c r="K884" s="54">
        <v>0</v>
      </c>
      <c r="L884" s="22" t="s">
        <v>104</v>
      </c>
      <c r="M884" s="22" t="s">
        <v>36984</v>
      </c>
    </row>
    <row r="885" spans="1:13" x14ac:dyDescent="0.75">
      <c r="A885" t="s">
        <v>30557</v>
      </c>
      <c r="B885" t="s">
        <v>6867</v>
      </c>
      <c r="C885" t="s">
        <v>6868</v>
      </c>
      <c r="D885" t="s">
        <v>6869</v>
      </c>
      <c r="E885" t="s">
        <v>30558</v>
      </c>
      <c r="F885">
        <v>42</v>
      </c>
      <c r="G885">
        <v>1899534</v>
      </c>
      <c r="H885" t="s">
        <v>30559</v>
      </c>
      <c r="J885" s="54" t="s">
        <v>6052</v>
      </c>
      <c r="K885" s="54">
        <v>0</v>
      </c>
      <c r="L885" s="22" t="s">
        <v>104</v>
      </c>
      <c r="M885" s="22" t="s">
        <v>36984</v>
      </c>
    </row>
    <row r="886" spans="1:13" x14ac:dyDescent="0.75">
      <c r="A886" t="s">
        <v>30505</v>
      </c>
      <c r="B886" t="s">
        <v>6867</v>
      </c>
      <c r="C886" t="s">
        <v>6868</v>
      </c>
      <c r="D886" t="s">
        <v>6869</v>
      </c>
      <c r="E886" t="s">
        <v>30506</v>
      </c>
      <c r="F886">
        <v>18</v>
      </c>
      <c r="G886">
        <v>1804515</v>
      </c>
      <c r="H886" t="s">
        <v>30507</v>
      </c>
      <c r="J886" s="54" t="s">
        <v>6052</v>
      </c>
      <c r="K886" s="54">
        <v>0</v>
      </c>
      <c r="L886" s="22" t="s">
        <v>104</v>
      </c>
      <c r="M886" s="22" t="s">
        <v>36984</v>
      </c>
    </row>
    <row r="887" spans="1:13" x14ac:dyDescent="0.75">
      <c r="A887" t="s">
        <v>19248</v>
      </c>
      <c r="B887" t="s">
        <v>6867</v>
      </c>
      <c r="C887" t="s">
        <v>6868</v>
      </c>
      <c r="D887" t="s">
        <v>6869</v>
      </c>
      <c r="E887" t="s">
        <v>19249</v>
      </c>
      <c r="F887">
        <v>266</v>
      </c>
      <c r="G887">
        <v>2000039</v>
      </c>
      <c r="H887" t="s">
        <v>19250</v>
      </c>
      <c r="J887" s="54" t="s">
        <v>6052</v>
      </c>
      <c r="K887" s="54">
        <v>0</v>
      </c>
      <c r="L887" s="22" t="s">
        <v>104</v>
      </c>
      <c r="M887" s="22" t="s">
        <v>36984</v>
      </c>
    </row>
    <row r="888" spans="1:13" x14ac:dyDescent="0.75">
      <c r="A888" t="s">
        <v>20966</v>
      </c>
      <c r="B888" t="s">
        <v>6867</v>
      </c>
      <c r="C888" t="s">
        <v>6868</v>
      </c>
      <c r="D888" t="s">
        <v>6869</v>
      </c>
      <c r="E888" t="s">
        <v>20967</v>
      </c>
      <c r="F888">
        <v>44</v>
      </c>
      <c r="G888">
        <v>1929021</v>
      </c>
      <c r="H888" t="s">
        <v>20968</v>
      </c>
      <c r="J888" s="54" t="s">
        <v>6052</v>
      </c>
      <c r="K888" s="54">
        <v>0</v>
      </c>
      <c r="L888" s="22" t="s">
        <v>104</v>
      </c>
      <c r="M888" s="22" t="s">
        <v>36984</v>
      </c>
    </row>
    <row r="889" spans="1:13" x14ac:dyDescent="0.75">
      <c r="A889" t="s">
        <v>20917</v>
      </c>
      <c r="B889" t="s">
        <v>6867</v>
      </c>
      <c r="C889" t="s">
        <v>6868</v>
      </c>
      <c r="D889" t="s">
        <v>6869</v>
      </c>
      <c r="E889" t="s">
        <v>20918</v>
      </c>
      <c r="F889">
        <v>45</v>
      </c>
      <c r="G889">
        <v>1984395</v>
      </c>
      <c r="H889" t="s">
        <v>20919</v>
      </c>
      <c r="J889" s="54" t="s">
        <v>6052</v>
      </c>
      <c r="K889" s="54">
        <v>0</v>
      </c>
      <c r="L889" s="22" t="s">
        <v>104</v>
      </c>
      <c r="M889" s="22" t="s">
        <v>36984</v>
      </c>
    </row>
    <row r="890" spans="1:13" x14ac:dyDescent="0.75">
      <c r="A890" t="s">
        <v>20908</v>
      </c>
      <c r="B890" t="s">
        <v>6867</v>
      </c>
      <c r="C890" t="s">
        <v>6868</v>
      </c>
      <c r="D890" t="s">
        <v>6869</v>
      </c>
      <c r="E890" t="s">
        <v>20909</v>
      </c>
      <c r="F890">
        <v>35</v>
      </c>
      <c r="G890">
        <v>1843002</v>
      </c>
      <c r="H890" t="s">
        <v>20910</v>
      </c>
      <c r="J890" s="54" t="s">
        <v>6052</v>
      </c>
      <c r="K890" s="54">
        <v>0</v>
      </c>
      <c r="L890" s="22" t="s">
        <v>104</v>
      </c>
      <c r="M890" s="22" t="s">
        <v>36984</v>
      </c>
    </row>
    <row r="891" spans="1:13" x14ac:dyDescent="0.75">
      <c r="A891" t="s">
        <v>20786</v>
      </c>
      <c r="B891" t="s">
        <v>6867</v>
      </c>
      <c r="C891" t="s">
        <v>6868</v>
      </c>
      <c r="D891" t="s">
        <v>6869</v>
      </c>
      <c r="E891" t="s">
        <v>20787</v>
      </c>
      <c r="F891">
        <v>60</v>
      </c>
      <c r="G891">
        <v>1673203</v>
      </c>
      <c r="H891" t="s">
        <v>20788</v>
      </c>
      <c r="J891" s="54" t="s">
        <v>6052</v>
      </c>
      <c r="K891" s="54">
        <v>0</v>
      </c>
      <c r="L891" s="22" t="s">
        <v>104</v>
      </c>
      <c r="M891" s="22" t="s">
        <v>36984</v>
      </c>
    </row>
    <row r="892" spans="1:13" x14ac:dyDescent="0.75">
      <c r="A892" t="s">
        <v>22858</v>
      </c>
      <c r="B892" t="s">
        <v>6867</v>
      </c>
      <c r="C892" t="s">
        <v>6868</v>
      </c>
      <c r="D892" t="s">
        <v>6869</v>
      </c>
      <c r="E892" t="s">
        <v>22859</v>
      </c>
      <c r="F892">
        <v>239</v>
      </c>
      <c r="G892">
        <v>2530150</v>
      </c>
      <c r="H892" t="s">
        <v>22860</v>
      </c>
      <c r="J892" s="54" t="s">
        <v>6052</v>
      </c>
      <c r="K892" s="54">
        <v>0</v>
      </c>
      <c r="L892" s="22" t="s">
        <v>104</v>
      </c>
      <c r="M892" s="22" t="s">
        <v>36984</v>
      </c>
    </row>
    <row r="893" spans="1:13" x14ac:dyDescent="0.75">
      <c r="A893" t="s">
        <v>28614</v>
      </c>
      <c r="B893" t="s">
        <v>6867</v>
      </c>
      <c r="C893" t="s">
        <v>6868</v>
      </c>
      <c r="D893" t="s">
        <v>6869</v>
      </c>
      <c r="E893" t="s">
        <v>28615</v>
      </c>
      <c r="F893">
        <v>24</v>
      </c>
      <c r="G893">
        <v>1763641</v>
      </c>
      <c r="H893" t="s">
        <v>28616</v>
      </c>
      <c r="J893" s="54" t="s">
        <v>6052</v>
      </c>
      <c r="K893" s="54">
        <v>0</v>
      </c>
      <c r="L893" s="22" t="s">
        <v>104</v>
      </c>
      <c r="M893" s="22" t="s">
        <v>36984</v>
      </c>
    </row>
    <row r="894" spans="1:13" x14ac:dyDescent="0.75">
      <c r="A894" t="s">
        <v>29523</v>
      </c>
      <c r="B894" t="s">
        <v>6867</v>
      </c>
      <c r="C894" t="s">
        <v>6868</v>
      </c>
      <c r="D894" t="s">
        <v>6869</v>
      </c>
      <c r="E894" t="s">
        <v>29524</v>
      </c>
      <c r="F894">
        <v>299</v>
      </c>
      <c r="G894">
        <v>1590841</v>
      </c>
      <c r="H894" t="s">
        <v>29525</v>
      </c>
      <c r="J894" s="54" t="s">
        <v>6052</v>
      </c>
      <c r="K894" s="54">
        <v>0</v>
      </c>
      <c r="L894" s="22" t="s">
        <v>104</v>
      </c>
      <c r="M894" s="22" t="s">
        <v>36984</v>
      </c>
    </row>
    <row r="895" spans="1:13" x14ac:dyDescent="0.75">
      <c r="A895" t="s">
        <v>29526</v>
      </c>
      <c r="B895" t="s">
        <v>6867</v>
      </c>
      <c r="C895" t="s">
        <v>6868</v>
      </c>
      <c r="D895" t="s">
        <v>6869</v>
      </c>
      <c r="E895" t="s">
        <v>29527</v>
      </c>
      <c r="F895">
        <v>97</v>
      </c>
      <c r="G895">
        <v>1814295</v>
      </c>
      <c r="H895" t="s">
        <v>29528</v>
      </c>
      <c r="J895" s="54" t="s">
        <v>6052</v>
      </c>
      <c r="K895" s="54">
        <v>0</v>
      </c>
      <c r="L895" s="22" t="s">
        <v>104</v>
      </c>
      <c r="M895" s="22" t="s">
        <v>36984</v>
      </c>
    </row>
    <row r="896" spans="1:13" x14ac:dyDescent="0.75">
      <c r="A896" t="s">
        <v>29529</v>
      </c>
      <c r="B896" t="s">
        <v>6867</v>
      </c>
      <c r="C896" t="s">
        <v>6868</v>
      </c>
      <c r="D896" t="s">
        <v>6869</v>
      </c>
      <c r="E896" t="s">
        <v>29530</v>
      </c>
      <c r="F896">
        <v>135</v>
      </c>
      <c r="G896">
        <v>1836853</v>
      </c>
      <c r="H896" t="s">
        <v>29531</v>
      </c>
      <c r="J896" s="54" t="s">
        <v>6052</v>
      </c>
      <c r="K896" s="54">
        <v>0</v>
      </c>
      <c r="L896" s="22" t="s">
        <v>104</v>
      </c>
      <c r="M896" s="22" t="s">
        <v>36984</v>
      </c>
    </row>
    <row r="897" spans="1:13" x14ac:dyDescent="0.75">
      <c r="A897" t="s">
        <v>26565</v>
      </c>
      <c r="B897" t="s">
        <v>6867</v>
      </c>
      <c r="C897" t="s">
        <v>6868</v>
      </c>
      <c r="D897" t="s">
        <v>6869</v>
      </c>
      <c r="E897" t="s">
        <v>26566</v>
      </c>
      <c r="F897">
        <v>10</v>
      </c>
      <c r="G897">
        <v>1805260</v>
      </c>
      <c r="H897" t="s">
        <v>26567</v>
      </c>
      <c r="J897" s="54" t="s">
        <v>6052</v>
      </c>
      <c r="K897" s="54">
        <v>0</v>
      </c>
      <c r="L897" s="22" t="s">
        <v>104</v>
      </c>
      <c r="M897" s="22" t="s">
        <v>36984</v>
      </c>
    </row>
    <row r="898" spans="1:13" x14ac:dyDescent="0.75">
      <c r="A898" t="s">
        <v>26571</v>
      </c>
      <c r="B898" t="s">
        <v>6867</v>
      </c>
      <c r="C898" t="s">
        <v>6868</v>
      </c>
      <c r="D898" t="s">
        <v>6869</v>
      </c>
      <c r="E898" t="s">
        <v>26572</v>
      </c>
      <c r="F898">
        <v>24</v>
      </c>
      <c r="G898">
        <v>1807687</v>
      </c>
      <c r="H898" t="s">
        <v>26573</v>
      </c>
      <c r="J898" s="54" t="s">
        <v>6052</v>
      </c>
      <c r="K898" s="54">
        <v>0</v>
      </c>
      <c r="L898" s="22" t="s">
        <v>104</v>
      </c>
      <c r="M898" s="22" t="s">
        <v>36984</v>
      </c>
    </row>
    <row r="899" spans="1:13" x14ac:dyDescent="0.75">
      <c r="A899" t="s">
        <v>26568</v>
      </c>
      <c r="B899" t="s">
        <v>6867</v>
      </c>
      <c r="C899" t="s">
        <v>6868</v>
      </c>
      <c r="D899" t="s">
        <v>6869</v>
      </c>
      <c r="E899" t="s">
        <v>26569</v>
      </c>
      <c r="F899">
        <v>24</v>
      </c>
      <c r="G899">
        <v>1791249</v>
      </c>
      <c r="H899" t="s">
        <v>26570</v>
      </c>
      <c r="J899" s="54" t="s">
        <v>6052</v>
      </c>
      <c r="K899" s="54">
        <v>0</v>
      </c>
      <c r="L899" s="22" t="s">
        <v>104</v>
      </c>
      <c r="M899" s="22" t="s">
        <v>36984</v>
      </c>
    </row>
    <row r="900" spans="1:13" x14ac:dyDescent="0.75">
      <c r="A900" t="s">
        <v>9601</v>
      </c>
      <c r="B900" t="s">
        <v>6867</v>
      </c>
      <c r="C900" t="s">
        <v>6868</v>
      </c>
      <c r="D900" t="s">
        <v>6869</v>
      </c>
      <c r="E900" t="s">
        <v>6504</v>
      </c>
      <c r="F900">
        <v>130</v>
      </c>
      <c r="G900">
        <v>1773580</v>
      </c>
      <c r="H900" t="s">
        <v>9602</v>
      </c>
      <c r="J900" s="54" t="s">
        <v>6052</v>
      </c>
      <c r="K900" s="54">
        <v>0</v>
      </c>
      <c r="L900" s="22" t="s">
        <v>104</v>
      </c>
      <c r="M900" s="22" t="s">
        <v>36984</v>
      </c>
    </row>
    <row r="901" spans="1:13" x14ac:dyDescent="0.75">
      <c r="A901" t="s">
        <v>17935</v>
      </c>
      <c r="B901" t="s">
        <v>6867</v>
      </c>
      <c r="C901" t="s">
        <v>6868</v>
      </c>
      <c r="D901" t="s">
        <v>6869</v>
      </c>
      <c r="E901" t="s">
        <v>17936</v>
      </c>
      <c r="F901">
        <v>1</v>
      </c>
      <c r="G901">
        <v>1894694</v>
      </c>
      <c r="H901" t="s">
        <v>17937</v>
      </c>
      <c r="J901" s="54" t="s">
        <v>6052</v>
      </c>
      <c r="K901" s="54">
        <v>0</v>
      </c>
      <c r="L901" s="22" t="s">
        <v>104</v>
      </c>
      <c r="M901" s="22" t="s">
        <v>36984</v>
      </c>
    </row>
    <row r="902" spans="1:13" x14ac:dyDescent="0.75">
      <c r="A902" t="s">
        <v>21798</v>
      </c>
      <c r="B902" t="s">
        <v>6867</v>
      </c>
      <c r="C902" t="s">
        <v>6868</v>
      </c>
      <c r="D902" t="s">
        <v>6869</v>
      </c>
      <c r="E902" t="s">
        <v>21799</v>
      </c>
      <c r="F902">
        <v>45</v>
      </c>
      <c r="G902">
        <v>1783057</v>
      </c>
      <c r="H902" t="s">
        <v>21800</v>
      </c>
      <c r="J902" s="54" t="s">
        <v>6052</v>
      </c>
      <c r="K902" s="54">
        <v>0</v>
      </c>
      <c r="L902" s="22" t="s">
        <v>104</v>
      </c>
      <c r="M902" s="22" t="s">
        <v>36984</v>
      </c>
    </row>
    <row r="903" spans="1:13" x14ac:dyDescent="0.75">
      <c r="A903" t="s">
        <v>30613</v>
      </c>
      <c r="B903" t="s">
        <v>6867</v>
      </c>
      <c r="C903" t="s">
        <v>6868</v>
      </c>
      <c r="D903" t="s">
        <v>6869</v>
      </c>
      <c r="E903" t="s">
        <v>30614</v>
      </c>
      <c r="F903">
        <v>27</v>
      </c>
      <c r="G903">
        <v>1780422</v>
      </c>
      <c r="H903" t="s">
        <v>30615</v>
      </c>
      <c r="J903" s="54" t="s">
        <v>6052</v>
      </c>
      <c r="K903" s="54">
        <v>0</v>
      </c>
      <c r="L903" s="22" t="s">
        <v>104</v>
      </c>
      <c r="M903" s="22" t="s">
        <v>36984</v>
      </c>
    </row>
    <row r="904" spans="1:13" x14ac:dyDescent="0.75">
      <c r="A904" t="s">
        <v>30649</v>
      </c>
      <c r="B904" t="s">
        <v>6867</v>
      </c>
      <c r="C904" t="s">
        <v>6868</v>
      </c>
      <c r="D904" t="s">
        <v>6869</v>
      </c>
      <c r="E904" t="s">
        <v>30650</v>
      </c>
      <c r="F904">
        <v>34</v>
      </c>
      <c r="G904">
        <v>1796317</v>
      </c>
      <c r="H904" t="s">
        <v>30651</v>
      </c>
      <c r="J904" s="54" t="s">
        <v>6052</v>
      </c>
      <c r="K904" s="54">
        <v>0</v>
      </c>
      <c r="L904" s="22" t="s">
        <v>104</v>
      </c>
      <c r="M904" s="22" t="s">
        <v>36984</v>
      </c>
    </row>
    <row r="905" spans="1:13" x14ac:dyDescent="0.75">
      <c r="A905" t="s">
        <v>30664</v>
      </c>
      <c r="B905" t="s">
        <v>6867</v>
      </c>
      <c r="C905" t="s">
        <v>6868</v>
      </c>
      <c r="D905" t="s">
        <v>6869</v>
      </c>
      <c r="E905" t="s">
        <v>30665</v>
      </c>
      <c r="F905">
        <v>18</v>
      </c>
      <c r="G905">
        <v>1796328</v>
      </c>
      <c r="H905" t="s">
        <v>30666</v>
      </c>
      <c r="J905" s="54" t="s">
        <v>6052</v>
      </c>
      <c r="K905" s="54">
        <v>0</v>
      </c>
      <c r="L905" s="22" t="s">
        <v>104</v>
      </c>
      <c r="M905" s="22" t="s">
        <v>36984</v>
      </c>
    </row>
    <row r="906" spans="1:13" x14ac:dyDescent="0.75">
      <c r="A906" t="s">
        <v>30533</v>
      </c>
      <c r="B906" t="s">
        <v>6867</v>
      </c>
      <c r="C906" t="s">
        <v>6868</v>
      </c>
      <c r="D906" t="s">
        <v>6869</v>
      </c>
      <c r="E906" t="s">
        <v>30534</v>
      </c>
      <c r="F906">
        <v>18</v>
      </c>
      <c r="G906">
        <v>1708913</v>
      </c>
      <c r="H906" t="s">
        <v>30535</v>
      </c>
      <c r="J906" s="54" t="s">
        <v>6052</v>
      </c>
      <c r="K906" s="54">
        <v>0</v>
      </c>
      <c r="L906" s="22" t="s">
        <v>104</v>
      </c>
      <c r="M906" s="22" t="s">
        <v>36984</v>
      </c>
    </row>
    <row r="907" spans="1:13" x14ac:dyDescent="0.75">
      <c r="A907" t="s">
        <v>13684</v>
      </c>
      <c r="B907" t="s">
        <v>6343</v>
      </c>
      <c r="C907" t="s">
        <v>6344</v>
      </c>
      <c r="D907" t="s">
        <v>6345</v>
      </c>
      <c r="E907" t="s">
        <v>13685</v>
      </c>
      <c r="F907">
        <v>2</v>
      </c>
      <c r="G907">
        <v>2830124</v>
      </c>
      <c r="H907" t="s">
        <v>13686</v>
      </c>
      <c r="J907" s="54" t="s">
        <v>6052</v>
      </c>
      <c r="K907" s="54">
        <v>0</v>
      </c>
      <c r="L907" s="22" t="s">
        <v>144</v>
      </c>
      <c r="M907" s="22" t="s">
        <v>36894</v>
      </c>
    </row>
    <row r="908" spans="1:13" x14ac:dyDescent="0.75">
      <c r="A908" t="s">
        <v>13838</v>
      </c>
      <c r="B908" t="s">
        <v>6343</v>
      </c>
      <c r="C908" t="s">
        <v>6344</v>
      </c>
      <c r="D908" t="s">
        <v>6345</v>
      </c>
      <c r="E908" t="s">
        <v>13839</v>
      </c>
      <c r="F908">
        <v>1</v>
      </c>
      <c r="G908">
        <v>2812123</v>
      </c>
      <c r="H908" t="s">
        <v>13840</v>
      </c>
      <c r="J908" s="54" t="s">
        <v>6052</v>
      </c>
      <c r="K908" s="54">
        <v>0</v>
      </c>
      <c r="L908" s="22" t="s">
        <v>144</v>
      </c>
      <c r="M908" s="22" t="s">
        <v>36894</v>
      </c>
    </row>
    <row r="909" spans="1:13" x14ac:dyDescent="0.75">
      <c r="A909" t="s">
        <v>14090</v>
      </c>
      <c r="B909" t="s">
        <v>6343</v>
      </c>
      <c r="C909" t="s">
        <v>6344</v>
      </c>
      <c r="D909" t="s">
        <v>6345</v>
      </c>
      <c r="E909" t="s">
        <v>14091</v>
      </c>
      <c r="F909">
        <v>74</v>
      </c>
      <c r="G909">
        <v>2646305</v>
      </c>
      <c r="H909" t="s">
        <v>14092</v>
      </c>
      <c r="J909" s="54" t="s">
        <v>6052</v>
      </c>
      <c r="K909" s="54">
        <v>0</v>
      </c>
      <c r="L909" s="22" t="s">
        <v>144</v>
      </c>
      <c r="M909" s="22" t="s">
        <v>36894</v>
      </c>
    </row>
    <row r="910" spans="1:13" x14ac:dyDescent="0.75">
      <c r="A910" t="s">
        <v>9299</v>
      </c>
      <c r="B910" t="s">
        <v>6343</v>
      </c>
      <c r="C910" t="s">
        <v>6344</v>
      </c>
      <c r="D910" t="s">
        <v>6345</v>
      </c>
      <c r="E910" t="s">
        <v>9300</v>
      </c>
      <c r="F910">
        <v>90</v>
      </c>
      <c r="G910">
        <v>2772624</v>
      </c>
      <c r="H910" t="s">
        <v>9301</v>
      </c>
      <c r="J910" s="54" t="s">
        <v>6052</v>
      </c>
      <c r="K910" s="54">
        <v>0</v>
      </c>
      <c r="L910" s="22" t="s">
        <v>144</v>
      </c>
      <c r="M910" s="22" t="s">
        <v>36894</v>
      </c>
    </row>
    <row r="911" spans="1:13" x14ac:dyDescent="0.75">
      <c r="A911" t="s">
        <v>9009</v>
      </c>
      <c r="B911" t="s">
        <v>6343</v>
      </c>
      <c r="C911" t="s">
        <v>6344</v>
      </c>
      <c r="D911" t="s">
        <v>6345</v>
      </c>
      <c r="E911" t="s">
        <v>9010</v>
      </c>
      <c r="F911">
        <v>68</v>
      </c>
      <c r="G911">
        <v>2658425</v>
      </c>
      <c r="H911" t="s">
        <v>9011</v>
      </c>
      <c r="J911" s="54" t="s">
        <v>6052</v>
      </c>
      <c r="K911" s="54">
        <v>0</v>
      </c>
      <c r="L911" s="22" t="s">
        <v>144</v>
      </c>
      <c r="M911" s="22" t="s">
        <v>36894</v>
      </c>
    </row>
    <row r="912" spans="1:13" x14ac:dyDescent="0.75">
      <c r="A912" t="s">
        <v>6342</v>
      </c>
      <c r="B912" t="s">
        <v>6343</v>
      </c>
      <c r="C912" t="s">
        <v>6344</v>
      </c>
      <c r="D912" t="s">
        <v>6345</v>
      </c>
      <c r="E912" t="s">
        <v>6346</v>
      </c>
      <c r="F912">
        <v>1</v>
      </c>
      <c r="G912">
        <v>2846746</v>
      </c>
      <c r="H912" t="s">
        <v>6347</v>
      </c>
      <c r="J912" s="54" t="s">
        <v>6052</v>
      </c>
      <c r="K912" s="54">
        <v>0</v>
      </c>
      <c r="L912" s="22" t="s">
        <v>144</v>
      </c>
      <c r="M912" s="22" t="s">
        <v>36894</v>
      </c>
    </row>
    <row r="913" spans="1:13" x14ac:dyDescent="0.75">
      <c r="A913" t="s">
        <v>19056</v>
      </c>
      <c r="B913" t="s">
        <v>6343</v>
      </c>
      <c r="C913" t="s">
        <v>6344</v>
      </c>
      <c r="D913" t="s">
        <v>6345</v>
      </c>
      <c r="E913" t="s">
        <v>19057</v>
      </c>
      <c r="F913">
        <v>149</v>
      </c>
      <c r="G913">
        <v>2792323</v>
      </c>
      <c r="H913" t="s">
        <v>19058</v>
      </c>
      <c r="J913" s="54" t="s">
        <v>6052</v>
      </c>
      <c r="K913" s="54">
        <v>0</v>
      </c>
      <c r="L913" s="22" t="s">
        <v>144</v>
      </c>
      <c r="M913" s="22" t="s">
        <v>36894</v>
      </c>
    </row>
    <row r="914" spans="1:13" x14ac:dyDescent="0.75">
      <c r="A914" t="s">
        <v>19053</v>
      </c>
      <c r="B914" t="s">
        <v>6343</v>
      </c>
      <c r="C914" t="s">
        <v>6344</v>
      </c>
      <c r="D914" t="s">
        <v>6345</v>
      </c>
      <c r="E914" t="s">
        <v>19054</v>
      </c>
      <c r="F914">
        <v>146</v>
      </c>
      <c r="G914">
        <v>2631121</v>
      </c>
      <c r="H914" t="s">
        <v>19055</v>
      </c>
      <c r="J914" s="54" t="s">
        <v>6052</v>
      </c>
      <c r="K914" s="54">
        <v>0</v>
      </c>
      <c r="L914" s="22" t="s">
        <v>144</v>
      </c>
      <c r="M914" s="22" t="s">
        <v>36894</v>
      </c>
    </row>
    <row r="915" spans="1:13" x14ac:dyDescent="0.75">
      <c r="A915" t="s">
        <v>25177</v>
      </c>
      <c r="B915" t="s">
        <v>18863</v>
      </c>
      <c r="C915" t="s">
        <v>18864</v>
      </c>
      <c r="D915" t="s">
        <v>18865</v>
      </c>
      <c r="E915" t="s">
        <v>25178</v>
      </c>
      <c r="F915">
        <v>3</v>
      </c>
      <c r="G915">
        <v>4399299</v>
      </c>
      <c r="H915" t="s">
        <v>25179</v>
      </c>
      <c r="J915" s="54" t="s">
        <v>6052</v>
      </c>
      <c r="K915" s="54">
        <v>0</v>
      </c>
      <c r="L915" s="22" t="s">
        <v>144</v>
      </c>
      <c r="M915" s="22" t="s">
        <v>36895</v>
      </c>
    </row>
    <row r="916" spans="1:13" x14ac:dyDescent="0.75">
      <c r="A916" t="s">
        <v>18862</v>
      </c>
      <c r="B916" t="s">
        <v>18863</v>
      </c>
      <c r="C916" t="s">
        <v>18864</v>
      </c>
      <c r="D916" t="s">
        <v>18865</v>
      </c>
      <c r="E916" t="s">
        <v>18866</v>
      </c>
      <c r="F916">
        <v>15</v>
      </c>
      <c r="G916">
        <v>4389592</v>
      </c>
      <c r="H916" t="s">
        <v>18867</v>
      </c>
      <c r="J916" s="54" t="s">
        <v>6052</v>
      </c>
      <c r="K916" s="54">
        <v>0</v>
      </c>
      <c r="L916" s="22" t="s">
        <v>144</v>
      </c>
      <c r="M916" s="22" t="s">
        <v>36895</v>
      </c>
    </row>
    <row r="917" spans="1:13" x14ac:dyDescent="0.75">
      <c r="A917" t="s">
        <v>22523</v>
      </c>
      <c r="B917" t="s">
        <v>18863</v>
      </c>
      <c r="C917" t="s">
        <v>18864</v>
      </c>
      <c r="D917" t="s">
        <v>18865</v>
      </c>
      <c r="E917" t="s">
        <v>22524</v>
      </c>
      <c r="F917">
        <v>12</v>
      </c>
      <c r="G917">
        <v>5201486</v>
      </c>
      <c r="H917" t="s">
        <v>22525</v>
      </c>
      <c r="J917" s="54" t="s">
        <v>6052</v>
      </c>
      <c r="K917" s="54">
        <v>0</v>
      </c>
      <c r="L917" s="22" t="s">
        <v>144</v>
      </c>
      <c r="M917" s="22" t="s">
        <v>36895</v>
      </c>
    </row>
    <row r="918" spans="1:13" x14ac:dyDescent="0.75">
      <c r="A918" t="s">
        <v>30560</v>
      </c>
      <c r="B918" t="s">
        <v>6867</v>
      </c>
      <c r="C918" t="s">
        <v>6868</v>
      </c>
      <c r="D918" t="s">
        <v>6869</v>
      </c>
      <c r="E918" t="s">
        <v>30561</v>
      </c>
      <c r="F918">
        <v>24</v>
      </c>
      <c r="G918">
        <v>1963109</v>
      </c>
      <c r="H918" t="s">
        <v>30562</v>
      </c>
      <c r="J918" s="54" t="s">
        <v>6052</v>
      </c>
      <c r="K918" s="54">
        <v>0</v>
      </c>
      <c r="L918" s="22" t="s">
        <v>104</v>
      </c>
      <c r="M918" s="22" t="s">
        <v>36984</v>
      </c>
    </row>
    <row r="919" spans="1:13" x14ac:dyDescent="0.75">
      <c r="A919" t="s">
        <v>30281</v>
      </c>
      <c r="B919" t="s">
        <v>6867</v>
      </c>
      <c r="C919" t="s">
        <v>6868</v>
      </c>
      <c r="D919" t="s">
        <v>6869</v>
      </c>
      <c r="E919" t="s">
        <v>30282</v>
      </c>
      <c r="F919">
        <v>216</v>
      </c>
      <c r="G919">
        <v>1574870</v>
      </c>
      <c r="H919" t="s">
        <v>30283</v>
      </c>
      <c r="J919" s="54" t="s">
        <v>6052</v>
      </c>
      <c r="K919" s="54">
        <v>0</v>
      </c>
      <c r="L919" s="22" t="s">
        <v>104</v>
      </c>
      <c r="M919" s="22" t="s">
        <v>36984</v>
      </c>
    </row>
    <row r="920" spans="1:13" x14ac:dyDescent="0.75">
      <c r="A920" t="s">
        <v>30637</v>
      </c>
      <c r="B920" t="s">
        <v>6867</v>
      </c>
      <c r="C920" t="s">
        <v>6868</v>
      </c>
      <c r="D920" t="s">
        <v>6869</v>
      </c>
      <c r="E920" t="s">
        <v>30638</v>
      </c>
      <c r="F920">
        <v>142</v>
      </c>
      <c r="G920">
        <v>1640075</v>
      </c>
      <c r="H920" t="s">
        <v>30639</v>
      </c>
      <c r="J920" s="54" t="s">
        <v>6052</v>
      </c>
      <c r="K920" s="54">
        <v>0</v>
      </c>
      <c r="L920" s="22" t="s">
        <v>104</v>
      </c>
      <c r="M920" s="22" t="s">
        <v>36984</v>
      </c>
    </row>
    <row r="921" spans="1:13" x14ac:dyDescent="0.75">
      <c r="A921" t="s">
        <v>30563</v>
      </c>
      <c r="B921" t="s">
        <v>6867</v>
      </c>
      <c r="C921" t="s">
        <v>6868</v>
      </c>
      <c r="D921" t="s">
        <v>6869</v>
      </c>
      <c r="E921" t="s">
        <v>30564</v>
      </c>
      <c r="F921">
        <v>10</v>
      </c>
      <c r="G921">
        <v>1798651</v>
      </c>
      <c r="H921" t="s">
        <v>30565</v>
      </c>
      <c r="J921" s="54" t="s">
        <v>6052</v>
      </c>
      <c r="K921" s="54">
        <v>0</v>
      </c>
      <c r="L921" s="22" t="s">
        <v>104</v>
      </c>
      <c r="M921" s="22" t="s">
        <v>36984</v>
      </c>
    </row>
    <row r="922" spans="1:13" x14ac:dyDescent="0.75">
      <c r="A922" t="s">
        <v>29079</v>
      </c>
      <c r="B922" t="s">
        <v>6867</v>
      </c>
      <c r="C922" t="s">
        <v>6868</v>
      </c>
      <c r="D922" t="s">
        <v>6869</v>
      </c>
      <c r="E922" t="s">
        <v>29080</v>
      </c>
      <c r="F922">
        <v>76</v>
      </c>
      <c r="G922">
        <v>1833164</v>
      </c>
      <c r="H922" t="s">
        <v>29081</v>
      </c>
      <c r="J922" s="54" t="s">
        <v>6052</v>
      </c>
      <c r="K922" s="54">
        <v>0</v>
      </c>
      <c r="L922" s="22" t="s">
        <v>104</v>
      </c>
      <c r="M922" s="22" t="s">
        <v>36984</v>
      </c>
    </row>
    <row r="923" spans="1:13" x14ac:dyDescent="0.75">
      <c r="A923" t="s">
        <v>29843</v>
      </c>
      <c r="B923" t="s">
        <v>9606</v>
      </c>
      <c r="C923" t="s">
        <v>6868</v>
      </c>
      <c r="D923" t="s">
        <v>9607</v>
      </c>
      <c r="E923" t="s">
        <v>29844</v>
      </c>
      <c r="F923">
        <v>23</v>
      </c>
      <c r="G923">
        <v>1267065</v>
      </c>
      <c r="H923" t="s">
        <v>29845</v>
      </c>
      <c r="J923" s="54" t="s">
        <v>6052</v>
      </c>
      <c r="K923" s="54">
        <v>0</v>
      </c>
      <c r="L923" s="22" t="s">
        <v>104</v>
      </c>
      <c r="M923" s="22" t="s">
        <v>36986</v>
      </c>
    </row>
    <row r="924" spans="1:13" x14ac:dyDescent="0.75">
      <c r="A924" t="s">
        <v>12534</v>
      </c>
      <c r="B924" t="s">
        <v>9606</v>
      </c>
      <c r="C924" t="s">
        <v>6868</v>
      </c>
      <c r="D924" t="s">
        <v>9607</v>
      </c>
      <c r="E924" t="s">
        <v>12535</v>
      </c>
      <c r="F924">
        <v>1</v>
      </c>
      <c r="G924">
        <v>1274073</v>
      </c>
      <c r="H924" t="s">
        <v>12536</v>
      </c>
      <c r="J924" s="54" t="s">
        <v>6052</v>
      </c>
      <c r="K924" s="54">
        <v>0</v>
      </c>
      <c r="L924" s="22" t="s">
        <v>104</v>
      </c>
      <c r="M924" s="22" t="s">
        <v>36986</v>
      </c>
    </row>
    <row r="925" spans="1:13" x14ac:dyDescent="0.75">
      <c r="A925" t="s">
        <v>15817</v>
      </c>
      <c r="B925" t="s">
        <v>9606</v>
      </c>
      <c r="C925" t="s">
        <v>6868</v>
      </c>
      <c r="D925" t="s">
        <v>9607</v>
      </c>
      <c r="E925" t="s">
        <v>15818</v>
      </c>
      <c r="F925">
        <v>7</v>
      </c>
      <c r="G925">
        <v>1247407</v>
      </c>
      <c r="H925" t="s">
        <v>15819</v>
      </c>
      <c r="J925" s="54" t="s">
        <v>6052</v>
      </c>
      <c r="K925" s="54">
        <v>0</v>
      </c>
      <c r="L925" s="22" t="s">
        <v>104</v>
      </c>
      <c r="M925" s="22" t="s">
        <v>36986</v>
      </c>
    </row>
    <row r="926" spans="1:13" x14ac:dyDescent="0.75">
      <c r="A926" t="s">
        <v>20938</v>
      </c>
      <c r="B926" t="s">
        <v>9606</v>
      </c>
      <c r="C926" t="s">
        <v>6868</v>
      </c>
      <c r="D926" t="s">
        <v>9607</v>
      </c>
      <c r="E926" t="s">
        <v>20939</v>
      </c>
      <c r="F926">
        <v>25</v>
      </c>
      <c r="G926">
        <v>1238898</v>
      </c>
      <c r="H926" t="s">
        <v>20940</v>
      </c>
      <c r="J926" s="54" t="s">
        <v>6052</v>
      </c>
      <c r="K926" s="54">
        <v>0</v>
      </c>
      <c r="L926" s="22" t="s">
        <v>104</v>
      </c>
      <c r="M926" s="22" t="s">
        <v>36986</v>
      </c>
    </row>
    <row r="927" spans="1:13" x14ac:dyDescent="0.75">
      <c r="A927" t="s">
        <v>28478</v>
      </c>
      <c r="B927" t="s">
        <v>9606</v>
      </c>
      <c r="C927" t="s">
        <v>6868</v>
      </c>
      <c r="D927" t="s">
        <v>9607</v>
      </c>
      <c r="E927" t="s">
        <v>28479</v>
      </c>
      <c r="F927">
        <v>11</v>
      </c>
      <c r="G927">
        <v>1269637</v>
      </c>
      <c r="H927" t="s">
        <v>28480</v>
      </c>
      <c r="J927" s="54" t="s">
        <v>6052</v>
      </c>
      <c r="K927" s="54">
        <v>0</v>
      </c>
      <c r="L927" s="22" t="s">
        <v>104</v>
      </c>
      <c r="M927" s="22" t="s">
        <v>36986</v>
      </c>
    </row>
    <row r="928" spans="1:13" x14ac:dyDescent="0.75">
      <c r="A928" t="s">
        <v>9605</v>
      </c>
      <c r="B928" t="s">
        <v>9606</v>
      </c>
      <c r="C928" t="s">
        <v>6868</v>
      </c>
      <c r="D928" t="s">
        <v>9607</v>
      </c>
      <c r="E928" t="s">
        <v>6504</v>
      </c>
      <c r="F928">
        <v>197</v>
      </c>
      <c r="G928">
        <v>1245617</v>
      </c>
      <c r="H928" t="s">
        <v>9608</v>
      </c>
      <c r="J928" s="54" t="s">
        <v>6052</v>
      </c>
      <c r="K928" s="54">
        <v>0</v>
      </c>
      <c r="L928" s="22" t="s">
        <v>104</v>
      </c>
      <c r="M928" s="22" t="s">
        <v>36986</v>
      </c>
    </row>
    <row r="929" spans="1:13" x14ac:dyDescent="0.75">
      <c r="A929" t="s">
        <v>6556</v>
      </c>
      <c r="B929" t="s">
        <v>6557</v>
      </c>
      <c r="C929" t="s">
        <v>6558</v>
      </c>
      <c r="D929" t="s">
        <v>6559</v>
      </c>
      <c r="E929" t="s">
        <v>6560</v>
      </c>
      <c r="F929">
        <v>1</v>
      </c>
      <c r="G929">
        <v>1986154</v>
      </c>
      <c r="H929" t="s">
        <v>6561</v>
      </c>
      <c r="J929" s="54" t="s">
        <v>6052</v>
      </c>
      <c r="K929" s="54">
        <v>0</v>
      </c>
      <c r="L929" s="22" t="s">
        <v>963</v>
      </c>
      <c r="M929" s="22" t="s">
        <v>36897</v>
      </c>
    </row>
    <row r="930" spans="1:13" x14ac:dyDescent="0.75">
      <c r="A930" t="s">
        <v>27732</v>
      </c>
      <c r="B930" t="s">
        <v>6557</v>
      </c>
      <c r="C930" t="s">
        <v>6558</v>
      </c>
      <c r="D930" t="s">
        <v>6559</v>
      </c>
      <c r="E930" t="s">
        <v>27733</v>
      </c>
      <c r="F930">
        <v>1</v>
      </c>
      <c r="G930">
        <v>1988850</v>
      </c>
      <c r="H930" t="s">
        <v>27734</v>
      </c>
      <c r="J930" s="54" t="s">
        <v>6052</v>
      </c>
      <c r="K930" s="54">
        <v>0</v>
      </c>
      <c r="L930" s="22" t="s">
        <v>963</v>
      </c>
      <c r="M930" s="22" t="s">
        <v>36897</v>
      </c>
    </row>
    <row r="931" spans="1:13" x14ac:dyDescent="0.75">
      <c r="A931" t="s">
        <v>27389</v>
      </c>
      <c r="B931" t="s">
        <v>6557</v>
      </c>
      <c r="C931" t="s">
        <v>6558</v>
      </c>
      <c r="D931" t="s">
        <v>6559</v>
      </c>
      <c r="E931" t="s">
        <v>27390</v>
      </c>
      <c r="F931">
        <v>44</v>
      </c>
      <c r="G931">
        <v>1888729</v>
      </c>
      <c r="H931" t="s">
        <v>27391</v>
      </c>
      <c r="J931" s="54" t="s">
        <v>6052</v>
      </c>
      <c r="K931" s="54">
        <v>0</v>
      </c>
      <c r="L931" s="22" t="s">
        <v>963</v>
      </c>
      <c r="M931" s="22" t="s">
        <v>36897</v>
      </c>
    </row>
    <row r="932" spans="1:13" x14ac:dyDescent="0.75">
      <c r="A932" t="s">
        <v>16916</v>
      </c>
      <c r="B932" t="s">
        <v>6557</v>
      </c>
      <c r="C932" t="s">
        <v>6558</v>
      </c>
      <c r="D932" t="s">
        <v>6559</v>
      </c>
      <c r="E932" t="s">
        <v>16917</v>
      </c>
      <c r="F932">
        <v>105</v>
      </c>
      <c r="G932">
        <v>1986154</v>
      </c>
      <c r="H932" t="s">
        <v>16918</v>
      </c>
      <c r="J932" s="54" t="s">
        <v>6052</v>
      </c>
      <c r="K932" s="54">
        <v>0</v>
      </c>
      <c r="L932" s="22" t="s">
        <v>963</v>
      </c>
      <c r="M932" s="22" t="s">
        <v>36897</v>
      </c>
    </row>
    <row r="933" spans="1:13" x14ac:dyDescent="0.75">
      <c r="A933" t="s">
        <v>11376</v>
      </c>
      <c r="B933" t="s">
        <v>11377</v>
      </c>
      <c r="C933" t="s">
        <v>11378</v>
      </c>
      <c r="D933" t="s">
        <v>11379</v>
      </c>
      <c r="E933" t="s">
        <v>11380</v>
      </c>
      <c r="F933">
        <v>1</v>
      </c>
      <c r="G933">
        <v>3525271</v>
      </c>
      <c r="H933" t="s">
        <v>11381</v>
      </c>
      <c r="J933" s="54" t="s">
        <v>6052</v>
      </c>
      <c r="K933" s="54">
        <v>0</v>
      </c>
      <c r="L933" s="22" t="s">
        <v>144</v>
      </c>
      <c r="M933" s="22" t="s">
        <v>36898</v>
      </c>
    </row>
    <row r="934" spans="1:13" x14ac:dyDescent="0.75">
      <c r="A934" t="s">
        <v>8903</v>
      </c>
      <c r="B934" t="s">
        <v>7198</v>
      </c>
      <c r="C934" t="s">
        <v>7199</v>
      </c>
      <c r="D934" t="s">
        <v>7200</v>
      </c>
      <c r="E934" t="s">
        <v>8879</v>
      </c>
      <c r="F934">
        <v>63</v>
      </c>
      <c r="G934">
        <v>6089210</v>
      </c>
      <c r="H934" t="s">
        <v>8904</v>
      </c>
      <c r="J934" s="54" t="s">
        <v>6052</v>
      </c>
      <c r="K934" s="54">
        <v>0</v>
      </c>
      <c r="L934" s="22" t="s">
        <v>144</v>
      </c>
      <c r="M934" s="22" t="s">
        <v>36899</v>
      </c>
    </row>
    <row r="935" spans="1:13" x14ac:dyDescent="0.75">
      <c r="A935" t="s">
        <v>25029</v>
      </c>
      <c r="B935" t="s">
        <v>7198</v>
      </c>
      <c r="C935" t="s">
        <v>7199</v>
      </c>
      <c r="D935" t="s">
        <v>7200</v>
      </c>
      <c r="E935" t="s">
        <v>25030</v>
      </c>
      <c r="F935">
        <v>5</v>
      </c>
      <c r="G935">
        <v>6864973</v>
      </c>
      <c r="H935" t="s">
        <v>25031</v>
      </c>
      <c r="J935" s="54" t="s">
        <v>6052</v>
      </c>
      <c r="K935" s="54">
        <v>0</v>
      </c>
      <c r="L935" s="22" t="s">
        <v>144</v>
      </c>
      <c r="M935" s="22" t="s">
        <v>36899</v>
      </c>
    </row>
    <row r="936" spans="1:13" x14ac:dyDescent="0.75">
      <c r="A936" t="s">
        <v>7678</v>
      </c>
      <c r="B936" t="s">
        <v>7198</v>
      </c>
      <c r="C936" t="s">
        <v>7199</v>
      </c>
      <c r="D936" t="s">
        <v>7200</v>
      </c>
      <c r="E936" t="s">
        <v>7679</v>
      </c>
      <c r="F936">
        <v>18</v>
      </c>
      <c r="G936">
        <v>6788435</v>
      </c>
      <c r="H936" t="s">
        <v>7680</v>
      </c>
      <c r="J936" s="54" t="s">
        <v>6052</v>
      </c>
      <c r="K936" s="54">
        <v>0</v>
      </c>
      <c r="L936" s="22" t="s">
        <v>144</v>
      </c>
      <c r="M936" s="22" t="s">
        <v>36899</v>
      </c>
    </row>
    <row r="937" spans="1:13" x14ac:dyDescent="0.75">
      <c r="A937" t="s">
        <v>24248</v>
      </c>
      <c r="B937" t="s">
        <v>7198</v>
      </c>
      <c r="C937" t="s">
        <v>7199</v>
      </c>
      <c r="D937" t="s">
        <v>7200</v>
      </c>
      <c r="E937" t="s">
        <v>7679</v>
      </c>
      <c r="F937">
        <v>1</v>
      </c>
      <c r="G937">
        <v>6818856</v>
      </c>
      <c r="H937" t="s">
        <v>24249</v>
      </c>
      <c r="J937" s="54" t="s">
        <v>6052</v>
      </c>
      <c r="K937" s="54">
        <v>0</v>
      </c>
      <c r="L937" s="22" t="s">
        <v>144</v>
      </c>
      <c r="M937" s="22" t="s">
        <v>36899</v>
      </c>
    </row>
    <row r="938" spans="1:13" x14ac:dyDescent="0.75">
      <c r="A938" t="s">
        <v>7197</v>
      </c>
      <c r="B938" t="s">
        <v>7198</v>
      </c>
      <c r="C938" t="s">
        <v>7199</v>
      </c>
      <c r="D938" t="s">
        <v>7200</v>
      </c>
      <c r="E938" t="s">
        <v>7201</v>
      </c>
      <c r="F938">
        <v>268</v>
      </c>
      <c r="G938">
        <v>6501886</v>
      </c>
      <c r="H938" t="s">
        <v>7202</v>
      </c>
      <c r="J938" s="54" t="s">
        <v>6052</v>
      </c>
      <c r="K938" s="54">
        <v>0</v>
      </c>
      <c r="L938" s="22" t="s">
        <v>144</v>
      </c>
      <c r="M938" s="22" t="s">
        <v>36899</v>
      </c>
    </row>
    <row r="939" spans="1:13" x14ac:dyDescent="0.75">
      <c r="A939" t="s">
        <v>20236</v>
      </c>
      <c r="B939" t="s">
        <v>7198</v>
      </c>
      <c r="C939" t="s">
        <v>7199</v>
      </c>
      <c r="D939" t="s">
        <v>7200</v>
      </c>
      <c r="E939" t="s">
        <v>20237</v>
      </c>
      <c r="F939">
        <v>1</v>
      </c>
      <c r="G939">
        <v>6763969</v>
      </c>
      <c r="H939" t="s">
        <v>20238</v>
      </c>
      <c r="J939" s="54" t="s">
        <v>6052</v>
      </c>
      <c r="K939" s="54">
        <v>0</v>
      </c>
      <c r="L939" s="22" t="s">
        <v>144</v>
      </c>
      <c r="M939" s="22" t="s">
        <v>36899</v>
      </c>
    </row>
    <row r="940" spans="1:13" x14ac:dyDescent="0.75">
      <c r="A940" t="s">
        <v>12176</v>
      </c>
      <c r="B940" t="s">
        <v>7198</v>
      </c>
      <c r="C940" t="s">
        <v>7199</v>
      </c>
      <c r="D940" t="s">
        <v>7200</v>
      </c>
      <c r="E940" t="s">
        <v>12177</v>
      </c>
      <c r="F940">
        <v>10</v>
      </c>
      <c r="G940">
        <v>6520772</v>
      </c>
      <c r="H940" t="s">
        <v>12178</v>
      </c>
      <c r="J940" s="54" t="s">
        <v>6052</v>
      </c>
      <c r="K940" s="54">
        <v>0</v>
      </c>
      <c r="L940" s="22" t="s">
        <v>144</v>
      </c>
      <c r="M940" s="22" t="s">
        <v>36899</v>
      </c>
    </row>
    <row r="941" spans="1:13" x14ac:dyDescent="0.75">
      <c r="A941" t="s">
        <v>9284</v>
      </c>
      <c r="B941" t="s">
        <v>9285</v>
      </c>
      <c r="C941" t="s">
        <v>9286</v>
      </c>
      <c r="D941" t="s">
        <v>9287</v>
      </c>
      <c r="E941">
        <v>10063974</v>
      </c>
      <c r="F941">
        <v>3</v>
      </c>
      <c r="G941">
        <v>1706966</v>
      </c>
      <c r="H941" t="s">
        <v>9288</v>
      </c>
      <c r="J941" s="54" t="s">
        <v>6052</v>
      </c>
      <c r="K941" s="54">
        <v>0</v>
      </c>
      <c r="L941" s="22" t="s">
        <v>1563</v>
      </c>
      <c r="M941" s="22" t="s">
        <v>36900</v>
      </c>
    </row>
    <row r="942" spans="1:13" x14ac:dyDescent="0.75">
      <c r="A942" t="s">
        <v>9826</v>
      </c>
      <c r="B942" t="s">
        <v>9285</v>
      </c>
      <c r="C942" t="s">
        <v>9286</v>
      </c>
      <c r="D942" t="s">
        <v>9287</v>
      </c>
      <c r="E942" t="s">
        <v>9827</v>
      </c>
      <c r="F942">
        <v>8</v>
      </c>
      <c r="G942">
        <v>1717627</v>
      </c>
      <c r="H942" t="s">
        <v>9828</v>
      </c>
      <c r="J942" s="54" t="s">
        <v>6052</v>
      </c>
      <c r="K942" s="54">
        <v>0</v>
      </c>
      <c r="L942" s="22" t="s">
        <v>1563</v>
      </c>
      <c r="M942" s="22" t="s">
        <v>36900</v>
      </c>
    </row>
    <row r="943" spans="1:13" x14ac:dyDescent="0.75">
      <c r="A943" t="s">
        <v>11685</v>
      </c>
      <c r="B943" t="s">
        <v>9285</v>
      </c>
      <c r="C943" t="s">
        <v>9286</v>
      </c>
      <c r="D943" t="s">
        <v>9287</v>
      </c>
      <c r="E943" t="s">
        <v>11686</v>
      </c>
      <c r="F943">
        <v>49</v>
      </c>
      <c r="G943">
        <v>1719821</v>
      </c>
      <c r="H943" t="s">
        <v>11687</v>
      </c>
      <c r="J943" s="54" t="s">
        <v>6052</v>
      </c>
      <c r="K943" s="54">
        <v>0</v>
      </c>
      <c r="L943" s="22" t="s">
        <v>1563</v>
      </c>
      <c r="M943" s="22" t="s">
        <v>36900</v>
      </c>
    </row>
    <row r="944" spans="1:13" x14ac:dyDescent="0.75">
      <c r="A944" t="s">
        <v>27170</v>
      </c>
      <c r="B944" t="s">
        <v>9285</v>
      </c>
      <c r="C944" t="s">
        <v>9286</v>
      </c>
      <c r="D944" t="s">
        <v>9287</v>
      </c>
      <c r="E944" t="s">
        <v>11686</v>
      </c>
      <c r="F944">
        <v>3</v>
      </c>
      <c r="G944">
        <v>1779562</v>
      </c>
      <c r="H944" t="s">
        <v>27171</v>
      </c>
      <c r="J944" s="54" t="s">
        <v>6052</v>
      </c>
      <c r="K944" s="54">
        <v>0</v>
      </c>
      <c r="L944" s="22" t="s">
        <v>1563</v>
      </c>
      <c r="M944" s="22" t="s">
        <v>36900</v>
      </c>
    </row>
    <row r="945" spans="1:13" x14ac:dyDescent="0.75">
      <c r="A945" t="s">
        <v>29745</v>
      </c>
      <c r="B945" t="s">
        <v>9285</v>
      </c>
      <c r="C945" t="s">
        <v>9286</v>
      </c>
      <c r="D945" t="s">
        <v>9287</v>
      </c>
      <c r="E945" t="s">
        <v>29746</v>
      </c>
      <c r="F945">
        <v>10</v>
      </c>
      <c r="G945">
        <v>1629170</v>
      </c>
      <c r="H945" t="s">
        <v>29747</v>
      </c>
      <c r="J945" s="54" t="s">
        <v>6052</v>
      </c>
      <c r="K945" s="54">
        <v>0</v>
      </c>
      <c r="L945" s="22" t="s">
        <v>1563</v>
      </c>
      <c r="M945" s="22" t="s">
        <v>36900</v>
      </c>
    </row>
    <row r="946" spans="1:13" x14ac:dyDescent="0.75">
      <c r="A946" t="s">
        <v>20765</v>
      </c>
      <c r="B946" t="s">
        <v>9285</v>
      </c>
      <c r="C946" t="s">
        <v>9286</v>
      </c>
      <c r="D946" t="s">
        <v>9287</v>
      </c>
      <c r="E946" t="s">
        <v>20766</v>
      </c>
      <c r="F946">
        <v>24</v>
      </c>
      <c r="G946">
        <v>1648815</v>
      </c>
      <c r="H946" t="s">
        <v>20767</v>
      </c>
      <c r="J946" s="54" t="s">
        <v>6052</v>
      </c>
      <c r="K946" s="54">
        <v>0</v>
      </c>
      <c r="L946" s="22" t="s">
        <v>1563</v>
      </c>
      <c r="M946" s="22" t="s">
        <v>36900</v>
      </c>
    </row>
    <row r="947" spans="1:13" x14ac:dyDescent="0.75">
      <c r="A947" t="s">
        <v>28372</v>
      </c>
      <c r="B947" t="s">
        <v>9285</v>
      </c>
      <c r="C947" t="s">
        <v>9286</v>
      </c>
      <c r="D947" t="s">
        <v>9287</v>
      </c>
      <c r="E947" t="s">
        <v>28373</v>
      </c>
      <c r="F947">
        <v>9</v>
      </c>
      <c r="G947">
        <v>1625916</v>
      </c>
      <c r="H947" t="s">
        <v>28374</v>
      </c>
      <c r="J947" s="54" t="s">
        <v>6052</v>
      </c>
      <c r="K947" s="54">
        <v>0</v>
      </c>
      <c r="L947" s="22" t="s">
        <v>1563</v>
      </c>
      <c r="M947" s="22" t="s">
        <v>36900</v>
      </c>
    </row>
    <row r="948" spans="1:13" x14ac:dyDescent="0.75">
      <c r="A948" t="s">
        <v>30317</v>
      </c>
      <c r="B948" t="s">
        <v>9285</v>
      </c>
      <c r="C948" t="s">
        <v>9286</v>
      </c>
      <c r="D948" t="s">
        <v>9287</v>
      </c>
      <c r="E948" t="s">
        <v>30318</v>
      </c>
      <c r="F948">
        <v>107</v>
      </c>
      <c r="G948">
        <v>1495533</v>
      </c>
      <c r="H948" t="s">
        <v>30319</v>
      </c>
      <c r="J948" s="54" t="s">
        <v>6052</v>
      </c>
      <c r="K948" s="54">
        <v>0</v>
      </c>
      <c r="L948" s="22" t="s">
        <v>1563</v>
      </c>
      <c r="M948" s="22" t="s">
        <v>36900</v>
      </c>
    </row>
    <row r="949" spans="1:13" x14ac:dyDescent="0.75">
      <c r="A949" t="s">
        <v>6171</v>
      </c>
      <c r="B949" t="s">
        <v>6172</v>
      </c>
      <c r="C949" t="s">
        <v>6173</v>
      </c>
      <c r="D949" t="s">
        <v>6174</v>
      </c>
      <c r="E949">
        <v>168</v>
      </c>
      <c r="F949">
        <v>1</v>
      </c>
      <c r="G949">
        <v>4215606</v>
      </c>
      <c r="H949" t="s">
        <v>6175</v>
      </c>
      <c r="J949" s="54" t="s">
        <v>6052</v>
      </c>
      <c r="K949" s="54">
        <v>0</v>
      </c>
      <c r="L949" s="22" t="s">
        <v>144</v>
      </c>
      <c r="M949" s="22" t="s">
        <v>36901</v>
      </c>
    </row>
    <row r="950" spans="1:13" x14ac:dyDescent="0.75">
      <c r="A950" t="s">
        <v>10677</v>
      </c>
      <c r="B950" t="s">
        <v>6172</v>
      </c>
      <c r="C950" t="s">
        <v>6173</v>
      </c>
      <c r="D950" t="s">
        <v>6174</v>
      </c>
      <c r="E950">
        <v>168</v>
      </c>
      <c r="F950">
        <v>1</v>
      </c>
      <c r="G950">
        <v>4215619</v>
      </c>
      <c r="H950" t="s">
        <v>10678</v>
      </c>
      <c r="J950" s="54" t="s">
        <v>6052</v>
      </c>
      <c r="K950" s="54">
        <v>0</v>
      </c>
      <c r="L950" s="22" t="s">
        <v>144</v>
      </c>
      <c r="M950" s="22" t="s">
        <v>36901</v>
      </c>
    </row>
    <row r="951" spans="1:13" x14ac:dyDescent="0.75">
      <c r="A951" t="s">
        <v>18359</v>
      </c>
      <c r="B951" t="s">
        <v>6172</v>
      </c>
      <c r="C951" t="s">
        <v>6173</v>
      </c>
      <c r="D951" t="s">
        <v>6174</v>
      </c>
      <c r="E951">
        <v>168</v>
      </c>
      <c r="F951">
        <v>1</v>
      </c>
      <c r="G951">
        <v>4227167</v>
      </c>
      <c r="H951" t="s">
        <v>18360</v>
      </c>
      <c r="J951" s="54" t="s">
        <v>6052</v>
      </c>
      <c r="K951" s="54">
        <v>0</v>
      </c>
      <c r="L951" s="22" t="s">
        <v>144</v>
      </c>
      <c r="M951" s="22" t="s">
        <v>36901</v>
      </c>
    </row>
    <row r="952" spans="1:13" x14ac:dyDescent="0.75">
      <c r="A952" t="s">
        <v>18403</v>
      </c>
      <c r="B952" t="s">
        <v>6172</v>
      </c>
      <c r="C952" t="s">
        <v>6173</v>
      </c>
      <c r="D952" t="s">
        <v>6174</v>
      </c>
      <c r="E952">
        <v>168</v>
      </c>
      <c r="F952">
        <v>1</v>
      </c>
      <c r="G952">
        <v>4316079</v>
      </c>
      <c r="H952" t="s">
        <v>18404</v>
      </c>
      <c r="J952" s="54" t="s">
        <v>6052</v>
      </c>
      <c r="K952" s="54">
        <v>0</v>
      </c>
      <c r="L952" s="22" t="s">
        <v>144</v>
      </c>
      <c r="M952" s="22" t="s">
        <v>36901</v>
      </c>
    </row>
    <row r="953" spans="1:13" x14ac:dyDescent="0.75">
      <c r="A953" t="s">
        <v>23930</v>
      </c>
      <c r="B953" t="s">
        <v>6172</v>
      </c>
      <c r="C953" t="s">
        <v>6173</v>
      </c>
      <c r="D953" t="s">
        <v>6174</v>
      </c>
      <c r="E953">
        <v>168</v>
      </c>
      <c r="F953">
        <v>1</v>
      </c>
      <c r="G953">
        <v>4215167</v>
      </c>
      <c r="H953" t="s">
        <v>23931</v>
      </c>
      <c r="J953" s="54" t="s">
        <v>6052</v>
      </c>
      <c r="K953" s="54">
        <v>0</v>
      </c>
      <c r="L953" s="22" t="s">
        <v>144</v>
      </c>
      <c r="M953" s="22" t="s">
        <v>36901</v>
      </c>
    </row>
    <row r="954" spans="1:13" x14ac:dyDescent="0.75">
      <c r="A954" t="s">
        <v>7343</v>
      </c>
      <c r="B954" t="s">
        <v>7104</v>
      </c>
      <c r="C954" t="s">
        <v>6173</v>
      </c>
      <c r="D954" t="s">
        <v>7105</v>
      </c>
      <c r="E954" t="s">
        <v>7344</v>
      </c>
      <c r="F954">
        <v>63</v>
      </c>
      <c r="G954">
        <v>5392168</v>
      </c>
      <c r="H954" t="s">
        <v>7345</v>
      </c>
      <c r="J954" s="54" t="s">
        <v>6052</v>
      </c>
      <c r="K954" s="54">
        <v>0</v>
      </c>
      <c r="L954" s="22" t="s">
        <v>36804</v>
      </c>
      <c r="M954" s="22" t="s">
        <v>36902</v>
      </c>
    </row>
    <row r="955" spans="1:13" x14ac:dyDescent="0.75">
      <c r="A955" t="s">
        <v>22357</v>
      </c>
      <c r="B955" t="s">
        <v>7104</v>
      </c>
      <c r="C955" t="s">
        <v>6173</v>
      </c>
      <c r="D955" t="s">
        <v>7105</v>
      </c>
      <c r="E955" t="s">
        <v>22358</v>
      </c>
      <c r="F955">
        <v>3</v>
      </c>
      <c r="G955">
        <v>5486304</v>
      </c>
      <c r="H955" t="s">
        <v>22359</v>
      </c>
      <c r="J955" s="54" t="s">
        <v>6052</v>
      </c>
      <c r="K955" s="54">
        <v>0</v>
      </c>
      <c r="L955" s="22" t="s">
        <v>36804</v>
      </c>
      <c r="M955" s="22" t="s">
        <v>36902</v>
      </c>
    </row>
    <row r="956" spans="1:13" x14ac:dyDescent="0.75">
      <c r="A956" t="s">
        <v>10751</v>
      </c>
      <c r="B956" t="s">
        <v>7104</v>
      </c>
      <c r="C956" t="s">
        <v>6173</v>
      </c>
      <c r="D956" t="s">
        <v>7105</v>
      </c>
      <c r="E956" t="s">
        <v>10752</v>
      </c>
      <c r="F956">
        <v>2</v>
      </c>
      <c r="G956">
        <v>5312179</v>
      </c>
      <c r="H956" t="s">
        <v>10753</v>
      </c>
      <c r="J956" s="54" t="s">
        <v>6052</v>
      </c>
      <c r="K956" s="54">
        <v>0</v>
      </c>
      <c r="L956" s="22" t="s">
        <v>36804</v>
      </c>
      <c r="M956" s="22" t="s">
        <v>36902</v>
      </c>
    </row>
    <row r="957" spans="1:13" x14ac:dyDescent="0.75">
      <c r="A957" t="s">
        <v>12401</v>
      </c>
      <c r="B957" t="s">
        <v>6172</v>
      </c>
      <c r="C957" t="s">
        <v>6173</v>
      </c>
      <c r="D957" t="s">
        <v>6174</v>
      </c>
      <c r="E957" t="s">
        <v>12402</v>
      </c>
      <c r="F957">
        <v>1</v>
      </c>
      <c r="G957">
        <v>4211343</v>
      </c>
      <c r="H957" t="s">
        <v>12403</v>
      </c>
      <c r="J957" s="54" t="s">
        <v>6052</v>
      </c>
      <c r="K957" s="54">
        <v>0</v>
      </c>
      <c r="L957" s="22" t="s">
        <v>144</v>
      </c>
      <c r="M957" s="22" t="s">
        <v>36901</v>
      </c>
    </row>
    <row r="958" spans="1:13" x14ac:dyDescent="0.75">
      <c r="A958" t="s">
        <v>17038</v>
      </c>
      <c r="B958" t="s">
        <v>6172</v>
      </c>
      <c r="C958" t="s">
        <v>6173</v>
      </c>
      <c r="D958" t="s">
        <v>6174</v>
      </c>
      <c r="E958" t="s">
        <v>17039</v>
      </c>
      <c r="F958">
        <v>2</v>
      </c>
      <c r="G958">
        <v>4295305</v>
      </c>
      <c r="H958" t="s">
        <v>17040</v>
      </c>
      <c r="J958" s="54" t="s">
        <v>6052</v>
      </c>
      <c r="K958" s="54">
        <v>0</v>
      </c>
      <c r="L958" s="22" t="s">
        <v>144</v>
      </c>
      <c r="M958" s="22" t="s">
        <v>36901</v>
      </c>
    </row>
    <row r="959" spans="1:13" x14ac:dyDescent="0.75">
      <c r="A959" t="s">
        <v>13389</v>
      </c>
      <c r="B959" t="s">
        <v>6172</v>
      </c>
      <c r="C959" t="s">
        <v>6173</v>
      </c>
      <c r="D959" t="s">
        <v>6174</v>
      </c>
      <c r="E959" t="s">
        <v>13390</v>
      </c>
      <c r="F959">
        <v>2</v>
      </c>
      <c r="G959">
        <v>4299822</v>
      </c>
      <c r="H959" t="s">
        <v>13391</v>
      </c>
      <c r="J959" s="54" t="s">
        <v>6052</v>
      </c>
      <c r="K959" s="54">
        <v>0</v>
      </c>
      <c r="L959" s="22" t="s">
        <v>144</v>
      </c>
      <c r="M959" s="22" t="s">
        <v>36901</v>
      </c>
    </row>
    <row r="960" spans="1:13" x14ac:dyDescent="0.75">
      <c r="A960" t="s">
        <v>25024</v>
      </c>
      <c r="B960" t="s">
        <v>6172</v>
      </c>
      <c r="C960" t="s">
        <v>6173</v>
      </c>
      <c r="D960" t="s">
        <v>6174</v>
      </c>
      <c r="E960" t="s">
        <v>13390</v>
      </c>
      <c r="F960">
        <v>2</v>
      </c>
      <c r="G960">
        <v>4295123</v>
      </c>
      <c r="H960" t="s">
        <v>25025</v>
      </c>
      <c r="J960" s="54" t="s">
        <v>6052</v>
      </c>
      <c r="K960" s="54">
        <v>0</v>
      </c>
      <c r="L960" s="22" t="s">
        <v>144</v>
      </c>
      <c r="M960" s="22" t="s">
        <v>36901</v>
      </c>
    </row>
    <row r="961" spans="1:13" x14ac:dyDescent="0.75">
      <c r="A961" t="s">
        <v>24333</v>
      </c>
      <c r="B961" t="s">
        <v>7104</v>
      </c>
      <c r="C961" t="s">
        <v>6173</v>
      </c>
      <c r="D961" t="s">
        <v>7105</v>
      </c>
      <c r="E961" t="s">
        <v>24334</v>
      </c>
      <c r="F961">
        <v>3</v>
      </c>
      <c r="G961">
        <v>5525241</v>
      </c>
      <c r="H961" t="s">
        <v>24335</v>
      </c>
      <c r="J961" s="54" t="s">
        <v>6052</v>
      </c>
      <c r="K961" s="54">
        <v>0</v>
      </c>
      <c r="L961" s="22" t="s">
        <v>36804</v>
      </c>
      <c r="M961" s="22" t="s">
        <v>36902</v>
      </c>
    </row>
    <row r="962" spans="1:13" x14ac:dyDescent="0.75">
      <c r="A962" t="s">
        <v>12361</v>
      </c>
      <c r="B962" t="s">
        <v>7104</v>
      </c>
      <c r="C962" t="s">
        <v>6173</v>
      </c>
      <c r="D962" t="s">
        <v>7105</v>
      </c>
      <c r="E962" t="s">
        <v>12362</v>
      </c>
      <c r="F962">
        <v>1</v>
      </c>
      <c r="G962">
        <v>5228660</v>
      </c>
      <c r="H962" t="s">
        <v>12363</v>
      </c>
      <c r="J962" s="54" t="s">
        <v>6052</v>
      </c>
      <c r="K962" s="54">
        <v>0</v>
      </c>
      <c r="L962" s="22" t="s">
        <v>36804</v>
      </c>
      <c r="M962" s="22" t="s">
        <v>36902</v>
      </c>
    </row>
    <row r="963" spans="1:13" x14ac:dyDescent="0.75">
      <c r="A963" t="s">
        <v>12364</v>
      </c>
      <c r="B963" t="s">
        <v>7104</v>
      </c>
      <c r="C963" t="s">
        <v>6173</v>
      </c>
      <c r="D963" t="s">
        <v>7105</v>
      </c>
      <c r="E963" t="s">
        <v>12365</v>
      </c>
      <c r="F963">
        <v>1</v>
      </c>
      <c r="G963">
        <v>5228656</v>
      </c>
      <c r="H963" t="s">
        <v>12366</v>
      </c>
      <c r="J963" s="54" t="s">
        <v>6052</v>
      </c>
      <c r="K963" s="54">
        <v>0</v>
      </c>
      <c r="L963" s="22" t="s">
        <v>36804</v>
      </c>
      <c r="M963" s="22" t="s">
        <v>36902</v>
      </c>
    </row>
    <row r="964" spans="1:13" x14ac:dyDescent="0.75">
      <c r="A964" t="s">
        <v>10748</v>
      </c>
      <c r="B964" t="s">
        <v>7104</v>
      </c>
      <c r="C964" t="s">
        <v>6173</v>
      </c>
      <c r="D964" t="s">
        <v>7105</v>
      </c>
      <c r="E964" t="s">
        <v>10749</v>
      </c>
      <c r="F964">
        <v>3</v>
      </c>
      <c r="G964">
        <v>5505665</v>
      </c>
      <c r="H964" t="s">
        <v>10750</v>
      </c>
      <c r="J964" s="54" t="s">
        <v>6052</v>
      </c>
      <c r="K964" s="54">
        <v>0</v>
      </c>
      <c r="L964" s="22" t="s">
        <v>36804</v>
      </c>
      <c r="M964" s="22" t="s">
        <v>36902</v>
      </c>
    </row>
    <row r="965" spans="1:13" x14ac:dyDescent="0.75">
      <c r="A965" t="s">
        <v>7103</v>
      </c>
      <c r="B965" t="s">
        <v>7104</v>
      </c>
      <c r="C965" t="s">
        <v>6173</v>
      </c>
      <c r="D965" t="s">
        <v>7105</v>
      </c>
      <c r="E965" t="s">
        <v>7106</v>
      </c>
      <c r="F965">
        <v>52</v>
      </c>
      <c r="G965">
        <v>5488459</v>
      </c>
      <c r="H965" t="s">
        <v>7107</v>
      </c>
      <c r="J965" s="54" t="s">
        <v>6052</v>
      </c>
      <c r="K965" s="54">
        <v>0</v>
      </c>
      <c r="L965" s="22" t="s">
        <v>36804</v>
      </c>
      <c r="M965" s="22" t="s">
        <v>36902</v>
      </c>
    </row>
    <row r="966" spans="1:13" x14ac:dyDescent="0.75">
      <c r="A966" t="s">
        <v>10556</v>
      </c>
      <c r="B966" t="s">
        <v>7104</v>
      </c>
      <c r="C966" t="s">
        <v>6173</v>
      </c>
      <c r="D966" t="s">
        <v>7105</v>
      </c>
      <c r="E966" t="s">
        <v>7106</v>
      </c>
      <c r="F966">
        <v>3</v>
      </c>
      <c r="G966">
        <v>5506189</v>
      </c>
      <c r="H966" t="s">
        <v>10557</v>
      </c>
      <c r="J966" s="54" t="s">
        <v>6052</v>
      </c>
      <c r="K966" s="54">
        <v>0</v>
      </c>
      <c r="L966" s="22" t="s">
        <v>36804</v>
      </c>
      <c r="M966" s="22" t="s">
        <v>36902</v>
      </c>
    </row>
    <row r="967" spans="1:13" x14ac:dyDescent="0.75">
      <c r="A967" t="s">
        <v>22360</v>
      </c>
      <c r="B967" t="s">
        <v>7104</v>
      </c>
      <c r="C967" t="s">
        <v>6173</v>
      </c>
      <c r="D967" t="s">
        <v>7105</v>
      </c>
      <c r="E967" t="s">
        <v>7106</v>
      </c>
      <c r="F967">
        <v>3</v>
      </c>
      <c r="G967">
        <v>5506524</v>
      </c>
      <c r="H967" t="s">
        <v>22361</v>
      </c>
      <c r="J967" s="54" t="s">
        <v>6052</v>
      </c>
      <c r="K967" s="54">
        <v>0</v>
      </c>
      <c r="L967" s="22" t="s">
        <v>36804</v>
      </c>
      <c r="M967" s="22" t="s">
        <v>36902</v>
      </c>
    </row>
    <row r="968" spans="1:13" x14ac:dyDescent="0.75">
      <c r="A968" t="s">
        <v>1453</v>
      </c>
      <c r="B968" t="s">
        <v>1454</v>
      </c>
      <c r="C968" t="s">
        <v>6718</v>
      </c>
      <c r="D968" t="s">
        <v>11568</v>
      </c>
      <c r="E968">
        <v>7330</v>
      </c>
      <c r="F968">
        <v>1</v>
      </c>
      <c r="G968">
        <v>6487685</v>
      </c>
      <c r="H968" t="s">
        <v>11569</v>
      </c>
      <c r="J968" s="54" t="s">
        <v>6052</v>
      </c>
      <c r="K968" s="54">
        <v>0</v>
      </c>
      <c r="L968" s="22" t="s">
        <v>34</v>
      </c>
      <c r="M968" s="22" t="s">
        <v>1455</v>
      </c>
    </row>
    <row r="969" spans="1:13" x14ac:dyDescent="0.75">
      <c r="A969" t="s">
        <v>4926</v>
      </c>
      <c r="B969" t="s">
        <v>167</v>
      </c>
      <c r="C969" t="s">
        <v>6718</v>
      </c>
      <c r="D969" t="s">
        <v>6719</v>
      </c>
      <c r="E969" t="s">
        <v>24902</v>
      </c>
      <c r="F969">
        <v>64</v>
      </c>
      <c r="G969">
        <v>3928105</v>
      </c>
      <c r="H969" t="s">
        <v>24903</v>
      </c>
      <c r="J969" s="54" t="s">
        <v>6052</v>
      </c>
      <c r="K969" s="54">
        <v>0</v>
      </c>
      <c r="L969" s="22" t="s">
        <v>34</v>
      </c>
      <c r="M969" s="22" t="s">
        <v>168</v>
      </c>
    </row>
    <row r="970" spans="1:13" x14ac:dyDescent="0.75">
      <c r="A970" t="s">
        <v>2237</v>
      </c>
      <c r="B970" t="s">
        <v>2238</v>
      </c>
      <c r="C970" t="s">
        <v>6718</v>
      </c>
      <c r="D970" t="s">
        <v>16599</v>
      </c>
      <c r="E970" t="s">
        <v>16600</v>
      </c>
      <c r="F970">
        <v>1</v>
      </c>
      <c r="G970">
        <v>4502190</v>
      </c>
      <c r="H970" t="s">
        <v>16601</v>
      </c>
      <c r="J970" s="54" t="s">
        <v>6052</v>
      </c>
      <c r="K970" s="54">
        <v>0</v>
      </c>
      <c r="L970" s="22" t="s">
        <v>34</v>
      </c>
      <c r="M970" s="22" t="s">
        <v>2239</v>
      </c>
    </row>
    <row r="971" spans="1:13" x14ac:dyDescent="0.75">
      <c r="A971" t="s">
        <v>4857</v>
      </c>
      <c r="B971" t="s">
        <v>167</v>
      </c>
      <c r="C971" t="s">
        <v>6718</v>
      </c>
      <c r="D971" t="s">
        <v>6719</v>
      </c>
      <c r="E971" t="s">
        <v>24682</v>
      </c>
      <c r="F971">
        <v>54</v>
      </c>
      <c r="G971">
        <v>3900626</v>
      </c>
      <c r="H971" t="s">
        <v>24683</v>
      </c>
      <c r="J971" s="54" t="s">
        <v>6052</v>
      </c>
      <c r="K971" s="54">
        <v>0</v>
      </c>
      <c r="L971" s="22" t="s">
        <v>34</v>
      </c>
      <c r="M971" s="22" t="s">
        <v>168</v>
      </c>
    </row>
    <row r="972" spans="1:13" x14ac:dyDescent="0.75">
      <c r="A972" t="s">
        <v>2103</v>
      </c>
      <c r="B972" t="s">
        <v>167</v>
      </c>
      <c r="C972" t="s">
        <v>6718</v>
      </c>
      <c r="D972" t="s">
        <v>6719</v>
      </c>
      <c r="E972" t="s">
        <v>15586</v>
      </c>
      <c r="F972">
        <v>56</v>
      </c>
      <c r="G972">
        <v>4015577</v>
      </c>
      <c r="H972" t="s">
        <v>15587</v>
      </c>
      <c r="J972" s="54" t="s">
        <v>6052</v>
      </c>
      <c r="K972" s="54">
        <v>0</v>
      </c>
      <c r="L972" s="22" t="s">
        <v>34</v>
      </c>
      <c r="M972" s="22" t="s">
        <v>168</v>
      </c>
    </row>
    <row r="973" spans="1:13" x14ac:dyDescent="0.75">
      <c r="A973" t="s">
        <v>3507</v>
      </c>
      <c r="B973" t="s">
        <v>2352</v>
      </c>
      <c r="C973" t="s">
        <v>6718</v>
      </c>
      <c r="D973" t="s">
        <v>17016</v>
      </c>
      <c r="E973" t="s">
        <v>20725</v>
      </c>
      <c r="F973">
        <v>3</v>
      </c>
      <c r="G973">
        <v>6470801</v>
      </c>
      <c r="H973" t="s">
        <v>20726</v>
      </c>
      <c r="J973" s="54" t="s">
        <v>6052</v>
      </c>
      <c r="K973" s="54">
        <v>0</v>
      </c>
      <c r="L973" s="22" t="s">
        <v>34</v>
      </c>
      <c r="M973" s="22" t="s">
        <v>2353</v>
      </c>
    </row>
    <row r="974" spans="1:13" x14ac:dyDescent="0.75">
      <c r="A974" t="s">
        <v>30616</v>
      </c>
      <c r="B974" t="s">
        <v>9606</v>
      </c>
      <c r="C974" t="s">
        <v>6868</v>
      </c>
      <c r="D974" t="s">
        <v>9607</v>
      </c>
      <c r="E974" t="s">
        <v>30617</v>
      </c>
      <c r="F974">
        <v>28</v>
      </c>
      <c r="G974">
        <v>1310366</v>
      </c>
      <c r="H974" t="s">
        <v>30618</v>
      </c>
      <c r="J974" s="54" t="s">
        <v>6052</v>
      </c>
      <c r="K974" s="54">
        <v>0</v>
      </c>
      <c r="L974" s="22" t="s">
        <v>104</v>
      </c>
      <c r="M974" s="22" t="s">
        <v>36986</v>
      </c>
    </row>
    <row r="975" spans="1:13" x14ac:dyDescent="0.75">
      <c r="A975" t="s">
        <v>1620</v>
      </c>
      <c r="B975" t="s">
        <v>1621</v>
      </c>
      <c r="C975" t="s">
        <v>6782</v>
      </c>
      <c r="D975" t="s">
        <v>6783</v>
      </c>
      <c r="E975" t="s">
        <v>12254</v>
      </c>
      <c r="F975">
        <v>35</v>
      </c>
      <c r="G975">
        <v>2408287</v>
      </c>
      <c r="H975" t="s">
        <v>12255</v>
      </c>
      <c r="J975" s="54" t="s">
        <v>12254</v>
      </c>
      <c r="K975" s="54">
        <v>1</v>
      </c>
      <c r="L975" s="22" t="s">
        <v>104</v>
      </c>
      <c r="M975" s="22" t="s">
        <v>1622</v>
      </c>
    </row>
    <row r="976" spans="1:13" x14ac:dyDescent="0.75">
      <c r="A976" t="s">
        <v>166</v>
      </c>
      <c r="B976" t="s">
        <v>167</v>
      </c>
      <c r="C976" t="s">
        <v>6718</v>
      </c>
      <c r="D976" t="s">
        <v>6719</v>
      </c>
      <c r="E976" t="s">
        <v>6720</v>
      </c>
      <c r="F976">
        <v>23</v>
      </c>
      <c r="G976">
        <v>4009829</v>
      </c>
      <c r="H976" t="s">
        <v>6721</v>
      </c>
      <c r="J976" s="54" t="s">
        <v>6052</v>
      </c>
      <c r="K976" s="54">
        <v>0</v>
      </c>
      <c r="L976" s="22" t="s">
        <v>34</v>
      </c>
      <c r="M976" s="22" t="s">
        <v>168</v>
      </c>
    </row>
    <row r="977" spans="1:13" x14ac:dyDescent="0.75">
      <c r="A977" t="s">
        <v>4726</v>
      </c>
      <c r="B977" t="s">
        <v>167</v>
      </c>
      <c r="C977" t="s">
        <v>6718</v>
      </c>
      <c r="D977" t="s">
        <v>6719</v>
      </c>
      <c r="E977" t="s">
        <v>6720</v>
      </c>
      <c r="F977">
        <v>1</v>
      </c>
      <c r="G977">
        <v>4007931</v>
      </c>
      <c r="H977" t="s">
        <v>24012</v>
      </c>
      <c r="J977" s="54" t="s">
        <v>6052</v>
      </c>
      <c r="K977" s="54">
        <v>0</v>
      </c>
      <c r="L977" s="22" t="s">
        <v>34</v>
      </c>
      <c r="M977" s="22" t="s">
        <v>168</v>
      </c>
    </row>
    <row r="978" spans="1:13" x14ac:dyDescent="0.75">
      <c r="A978" t="s">
        <v>1744</v>
      </c>
      <c r="B978" t="s">
        <v>1745</v>
      </c>
      <c r="C978" t="s">
        <v>6718</v>
      </c>
      <c r="D978" t="s">
        <v>13814</v>
      </c>
      <c r="E978" t="s">
        <v>13815</v>
      </c>
      <c r="F978">
        <v>1</v>
      </c>
      <c r="G978">
        <v>4570803</v>
      </c>
      <c r="H978" t="s">
        <v>13816</v>
      </c>
      <c r="J978" s="54" t="s">
        <v>6052</v>
      </c>
      <c r="K978" s="54">
        <v>0</v>
      </c>
      <c r="L978" s="22" t="s">
        <v>34</v>
      </c>
      <c r="M978" s="22" t="s">
        <v>1746</v>
      </c>
    </row>
    <row r="979" spans="1:13" x14ac:dyDescent="0.75">
      <c r="A979" t="s">
        <v>1937</v>
      </c>
      <c r="B979" t="s">
        <v>1745</v>
      </c>
      <c r="C979" t="s">
        <v>6718</v>
      </c>
      <c r="D979" t="s">
        <v>13814</v>
      </c>
      <c r="E979" t="s">
        <v>13815</v>
      </c>
      <c r="F979">
        <v>3</v>
      </c>
      <c r="G979">
        <v>4577788</v>
      </c>
      <c r="H979" t="s">
        <v>14643</v>
      </c>
      <c r="J979" s="54" t="s">
        <v>6052</v>
      </c>
      <c r="K979" s="54">
        <v>0</v>
      </c>
      <c r="L979" s="22" t="s">
        <v>34</v>
      </c>
      <c r="M979" s="22" t="s">
        <v>1746</v>
      </c>
    </row>
    <row r="980" spans="1:13" x14ac:dyDescent="0.75">
      <c r="A980" t="s">
        <v>4687</v>
      </c>
      <c r="B980" t="s">
        <v>1745</v>
      </c>
      <c r="C980" t="s">
        <v>6718</v>
      </c>
      <c r="D980" t="s">
        <v>13814</v>
      </c>
      <c r="E980" t="s">
        <v>13815</v>
      </c>
      <c r="F980">
        <v>1</v>
      </c>
      <c r="G980">
        <v>4570799</v>
      </c>
      <c r="H980" t="s">
        <v>23997</v>
      </c>
      <c r="J980" s="54" t="s">
        <v>6052</v>
      </c>
      <c r="K980" s="54">
        <v>0</v>
      </c>
      <c r="L980" s="22" t="s">
        <v>34</v>
      </c>
      <c r="M980" s="22" t="s">
        <v>1746</v>
      </c>
    </row>
    <row r="981" spans="1:13" x14ac:dyDescent="0.75">
      <c r="A981" t="s">
        <v>1491</v>
      </c>
      <c r="B981" t="s">
        <v>1492</v>
      </c>
      <c r="C981" t="s">
        <v>6718</v>
      </c>
      <c r="D981" t="s">
        <v>11570</v>
      </c>
      <c r="E981" t="s">
        <v>11571</v>
      </c>
      <c r="F981">
        <v>1</v>
      </c>
      <c r="G981">
        <v>6472489</v>
      </c>
      <c r="H981" t="s">
        <v>11572</v>
      </c>
      <c r="J981" s="54" t="s">
        <v>6052</v>
      </c>
      <c r="K981" s="54">
        <v>0</v>
      </c>
      <c r="L981" s="22" t="s">
        <v>34</v>
      </c>
      <c r="M981" s="22" t="s">
        <v>1493</v>
      </c>
    </row>
    <row r="982" spans="1:13" x14ac:dyDescent="0.75">
      <c r="A982" t="s">
        <v>4717</v>
      </c>
      <c r="B982" t="s">
        <v>1492</v>
      </c>
      <c r="C982" t="s">
        <v>6718</v>
      </c>
      <c r="D982" t="s">
        <v>11570</v>
      </c>
      <c r="E982" t="s">
        <v>11571</v>
      </c>
      <c r="F982">
        <v>1</v>
      </c>
      <c r="G982">
        <v>6472384</v>
      </c>
      <c r="H982" t="s">
        <v>24005</v>
      </c>
      <c r="J982" s="54" t="s">
        <v>6052</v>
      </c>
      <c r="K982" s="54">
        <v>0</v>
      </c>
      <c r="L982" s="22" t="s">
        <v>34</v>
      </c>
      <c r="M982" s="22" t="s">
        <v>1493</v>
      </c>
    </row>
    <row r="983" spans="1:13" x14ac:dyDescent="0.75">
      <c r="A983" t="s">
        <v>4736</v>
      </c>
      <c r="B983" t="s">
        <v>2238</v>
      </c>
      <c r="C983" t="s">
        <v>6718</v>
      </c>
      <c r="D983" t="s">
        <v>16599</v>
      </c>
      <c r="E983" t="s">
        <v>24013</v>
      </c>
      <c r="F983">
        <v>1</v>
      </c>
      <c r="G983">
        <v>4629452</v>
      </c>
      <c r="H983" t="s">
        <v>24014</v>
      </c>
      <c r="J983" s="54" t="s">
        <v>6052</v>
      </c>
      <c r="K983" s="54">
        <v>0</v>
      </c>
      <c r="L983" s="22" t="s">
        <v>34</v>
      </c>
      <c r="M983" s="22" t="s">
        <v>2239</v>
      </c>
    </row>
    <row r="984" spans="1:13" x14ac:dyDescent="0.75">
      <c r="A984" t="s">
        <v>4934</v>
      </c>
      <c r="B984" t="s">
        <v>2352</v>
      </c>
      <c r="C984" t="s">
        <v>6718</v>
      </c>
      <c r="D984" t="s">
        <v>17016</v>
      </c>
      <c r="E984" t="s">
        <v>25047</v>
      </c>
      <c r="F984">
        <v>1</v>
      </c>
      <c r="G984">
        <v>6530506</v>
      </c>
      <c r="H984" t="s">
        <v>25048</v>
      </c>
      <c r="J984" s="54" t="s">
        <v>6052</v>
      </c>
      <c r="K984" s="54">
        <v>0</v>
      </c>
      <c r="L984" s="22" t="s">
        <v>34</v>
      </c>
      <c r="M984" s="22" t="s">
        <v>2353</v>
      </c>
    </row>
    <row r="985" spans="1:13" x14ac:dyDescent="0.75">
      <c r="A985" t="s">
        <v>3938</v>
      </c>
      <c r="B985" t="s">
        <v>1745</v>
      </c>
      <c r="C985" t="s">
        <v>6718</v>
      </c>
      <c r="D985" t="s">
        <v>13814</v>
      </c>
      <c r="E985" t="s">
        <v>21705</v>
      </c>
      <c r="F985">
        <v>1</v>
      </c>
      <c r="G985">
        <v>5022820</v>
      </c>
      <c r="H985" t="s">
        <v>21706</v>
      </c>
      <c r="J985" s="54" t="s">
        <v>6052</v>
      </c>
      <c r="K985" s="54">
        <v>0</v>
      </c>
      <c r="L985" s="22" t="s">
        <v>34</v>
      </c>
      <c r="M985" s="22" t="s">
        <v>1746</v>
      </c>
    </row>
    <row r="986" spans="1:13" x14ac:dyDescent="0.75">
      <c r="A986" t="s">
        <v>4327</v>
      </c>
      <c r="B986" t="s">
        <v>1745</v>
      </c>
      <c r="C986" t="s">
        <v>6718</v>
      </c>
      <c r="D986" t="s">
        <v>13814</v>
      </c>
      <c r="E986" t="s">
        <v>23873</v>
      </c>
      <c r="F986">
        <v>1</v>
      </c>
      <c r="G986">
        <v>5022643</v>
      </c>
      <c r="H986" t="s">
        <v>23874</v>
      </c>
      <c r="J986" s="54" t="s">
        <v>6052</v>
      </c>
      <c r="K986" s="54">
        <v>0</v>
      </c>
      <c r="L986" s="22" t="s">
        <v>34</v>
      </c>
      <c r="M986" s="22" t="s">
        <v>1746</v>
      </c>
    </row>
    <row r="987" spans="1:13" x14ac:dyDescent="0.75">
      <c r="A987" t="s">
        <v>4410</v>
      </c>
      <c r="B987" t="s">
        <v>1745</v>
      </c>
      <c r="C987" t="s">
        <v>6718</v>
      </c>
      <c r="D987" t="s">
        <v>13814</v>
      </c>
      <c r="E987" t="s">
        <v>23884</v>
      </c>
      <c r="F987">
        <v>1</v>
      </c>
      <c r="G987">
        <v>5023218</v>
      </c>
      <c r="H987" t="s">
        <v>23885</v>
      </c>
      <c r="J987" s="54" t="s">
        <v>6052</v>
      </c>
      <c r="K987" s="54">
        <v>0</v>
      </c>
      <c r="L987" s="22" t="s">
        <v>34</v>
      </c>
      <c r="M987" s="22" t="s">
        <v>1746</v>
      </c>
    </row>
    <row r="988" spans="1:13" x14ac:dyDescent="0.75">
      <c r="A988" t="s">
        <v>4372</v>
      </c>
      <c r="B988" t="s">
        <v>1454</v>
      </c>
      <c r="C988" t="s">
        <v>6718</v>
      </c>
      <c r="D988" t="s">
        <v>11568</v>
      </c>
      <c r="E988" t="s">
        <v>23880</v>
      </c>
      <c r="F988">
        <v>1</v>
      </c>
      <c r="G988">
        <v>5957022</v>
      </c>
      <c r="H988" t="s">
        <v>23881</v>
      </c>
      <c r="J988" s="54" t="s">
        <v>6052</v>
      </c>
      <c r="K988" s="54">
        <v>0</v>
      </c>
      <c r="L988" s="22" t="s">
        <v>34</v>
      </c>
      <c r="M988" s="22" t="s">
        <v>1455</v>
      </c>
    </row>
    <row r="989" spans="1:13" x14ac:dyDescent="0.75">
      <c r="A989" t="s">
        <v>3928</v>
      </c>
      <c r="B989" t="s">
        <v>167</v>
      </c>
      <c r="C989" t="s">
        <v>6718</v>
      </c>
      <c r="D989" t="s">
        <v>6719</v>
      </c>
      <c r="E989" t="s">
        <v>21703</v>
      </c>
      <c r="F989">
        <v>1</v>
      </c>
      <c r="G989">
        <v>3883826</v>
      </c>
      <c r="H989" t="s">
        <v>21704</v>
      </c>
      <c r="J989" s="54" t="s">
        <v>6052</v>
      </c>
      <c r="K989" s="54">
        <v>0</v>
      </c>
      <c r="L989" s="22" t="s">
        <v>34</v>
      </c>
      <c r="M989" s="22" t="s">
        <v>168</v>
      </c>
    </row>
    <row r="990" spans="1:13" x14ac:dyDescent="0.75">
      <c r="A990" t="s">
        <v>4316</v>
      </c>
      <c r="B990" t="s">
        <v>1454</v>
      </c>
      <c r="C990" t="s">
        <v>6718</v>
      </c>
      <c r="D990" t="s">
        <v>11568</v>
      </c>
      <c r="E990" t="s">
        <v>23871</v>
      </c>
      <c r="F990">
        <v>1</v>
      </c>
      <c r="G990">
        <v>6282330</v>
      </c>
      <c r="H990" t="s">
        <v>23872</v>
      </c>
      <c r="J990" s="54" t="s">
        <v>6052</v>
      </c>
      <c r="K990" s="54">
        <v>0</v>
      </c>
      <c r="L990" s="22" t="s">
        <v>34</v>
      </c>
      <c r="M990" s="22" t="s">
        <v>1455</v>
      </c>
    </row>
    <row r="991" spans="1:13" x14ac:dyDescent="0.75">
      <c r="A991" t="s">
        <v>4511</v>
      </c>
      <c r="B991" t="s">
        <v>1454</v>
      </c>
      <c r="C991" t="s">
        <v>6718</v>
      </c>
      <c r="D991" t="s">
        <v>11568</v>
      </c>
      <c r="E991" t="s">
        <v>23905</v>
      </c>
      <c r="F991">
        <v>2</v>
      </c>
      <c r="G991">
        <v>6111721</v>
      </c>
      <c r="H991" t="s">
        <v>23906</v>
      </c>
      <c r="J991" s="54" t="s">
        <v>6052</v>
      </c>
      <c r="K991" s="54">
        <v>0</v>
      </c>
      <c r="L991" s="22" t="s">
        <v>34</v>
      </c>
      <c r="M991" s="22" t="s">
        <v>1455</v>
      </c>
    </row>
    <row r="992" spans="1:13" x14ac:dyDescent="0.75">
      <c r="A992" t="s">
        <v>4357</v>
      </c>
      <c r="B992" t="s">
        <v>1454</v>
      </c>
      <c r="C992" t="s">
        <v>6718</v>
      </c>
      <c r="D992" t="s">
        <v>11568</v>
      </c>
      <c r="E992" t="s">
        <v>23878</v>
      </c>
      <c r="F992">
        <v>1</v>
      </c>
      <c r="G992">
        <v>6057350</v>
      </c>
      <c r="H992" t="s">
        <v>23879</v>
      </c>
      <c r="J992" s="54" t="s">
        <v>6052</v>
      </c>
      <c r="K992" s="54">
        <v>0</v>
      </c>
      <c r="L992" s="22" t="s">
        <v>34</v>
      </c>
      <c r="M992" s="22" t="s">
        <v>1455</v>
      </c>
    </row>
    <row r="993" spans="1:13" x14ac:dyDescent="0.75">
      <c r="A993" t="s">
        <v>4677</v>
      </c>
      <c r="B993" t="s">
        <v>2352</v>
      </c>
      <c r="C993" t="s">
        <v>6718</v>
      </c>
      <c r="D993" t="s">
        <v>17016</v>
      </c>
      <c r="E993" t="s">
        <v>23925</v>
      </c>
      <c r="F993">
        <v>2</v>
      </c>
      <c r="G993">
        <v>6245945</v>
      </c>
      <c r="H993" t="s">
        <v>23926</v>
      </c>
      <c r="J993" s="54" t="s">
        <v>6052</v>
      </c>
      <c r="K993" s="54">
        <v>0</v>
      </c>
      <c r="L993" s="22" t="s">
        <v>34</v>
      </c>
      <c r="M993" s="22" t="s">
        <v>2353</v>
      </c>
    </row>
    <row r="994" spans="1:13" x14ac:dyDescent="0.75">
      <c r="A994" t="s">
        <v>4552</v>
      </c>
      <c r="B994" t="s">
        <v>2238</v>
      </c>
      <c r="C994" t="s">
        <v>6718</v>
      </c>
      <c r="D994" t="s">
        <v>16599</v>
      </c>
      <c r="E994" t="s">
        <v>23909</v>
      </c>
      <c r="F994">
        <v>2</v>
      </c>
      <c r="G994">
        <v>4735906</v>
      </c>
      <c r="H994" t="s">
        <v>23910</v>
      </c>
      <c r="J994" s="54" t="s">
        <v>6052</v>
      </c>
      <c r="K994" s="54">
        <v>0</v>
      </c>
      <c r="L994" s="22" t="s">
        <v>34</v>
      </c>
      <c r="M994" s="22" t="s">
        <v>2239</v>
      </c>
    </row>
    <row r="995" spans="1:13" x14ac:dyDescent="0.75">
      <c r="A995" t="s">
        <v>4526</v>
      </c>
      <c r="B995" t="s">
        <v>1745</v>
      </c>
      <c r="C995" t="s">
        <v>6718</v>
      </c>
      <c r="D995" t="s">
        <v>13814</v>
      </c>
      <c r="E995" t="s">
        <v>23907</v>
      </c>
      <c r="F995">
        <v>3</v>
      </c>
      <c r="G995">
        <v>5195543</v>
      </c>
      <c r="H995" t="s">
        <v>23908</v>
      </c>
      <c r="J995" s="54" t="s">
        <v>6052</v>
      </c>
      <c r="K995" s="54">
        <v>0</v>
      </c>
      <c r="L995" s="22" t="s">
        <v>34</v>
      </c>
      <c r="M995" s="22" t="s">
        <v>1746</v>
      </c>
    </row>
    <row r="996" spans="1:13" x14ac:dyDescent="0.75">
      <c r="A996" t="s">
        <v>4449</v>
      </c>
      <c r="B996" t="s">
        <v>2352</v>
      </c>
      <c r="C996" t="s">
        <v>6718</v>
      </c>
      <c r="D996" t="s">
        <v>17016</v>
      </c>
      <c r="E996" t="s">
        <v>23886</v>
      </c>
      <c r="F996">
        <v>1</v>
      </c>
      <c r="G996">
        <v>6778845</v>
      </c>
      <c r="H996" t="s">
        <v>23887</v>
      </c>
      <c r="J996" s="54" t="s">
        <v>6052</v>
      </c>
      <c r="K996" s="54">
        <v>0</v>
      </c>
      <c r="L996" s="22" t="s">
        <v>34</v>
      </c>
      <c r="M996" s="22" t="s">
        <v>2353</v>
      </c>
    </row>
    <row r="997" spans="1:13" x14ac:dyDescent="0.75">
      <c r="A997" t="s">
        <v>4564</v>
      </c>
      <c r="B997" t="s">
        <v>1454</v>
      </c>
      <c r="C997" t="s">
        <v>6718</v>
      </c>
      <c r="D997" t="s">
        <v>11568</v>
      </c>
      <c r="E997" t="s">
        <v>23911</v>
      </c>
      <c r="F997">
        <v>2</v>
      </c>
      <c r="G997">
        <v>6712364</v>
      </c>
      <c r="H997" t="s">
        <v>23912</v>
      </c>
      <c r="J997" s="54" t="s">
        <v>6052</v>
      </c>
      <c r="K997" s="54">
        <v>0</v>
      </c>
      <c r="L997" s="22" t="s">
        <v>34</v>
      </c>
      <c r="M997" s="22" t="s">
        <v>1455</v>
      </c>
    </row>
    <row r="998" spans="1:13" x14ac:dyDescent="0.75">
      <c r="A998" t="s">
        <v>4632</v>
      </c>
      <c r="B998" t="s">
        <v>167</v>
      </c>
      <c r="C998" t="s">
        <v>6718</v>
      </c>
      <c r="D998" t="s">
        <v>6719</v>
      </c>
      <c r="E998" t="s">
        <v>23919</v>
      </c>
      <c r="F998">
        <v>3</v>
      </c>
      <c r="G998">
        <v>4148508</v>
      </c>
      <c r="H998" t="s">
        <v>23920</v>
      </c>
      <c r="J998" s="54" t="s">
        <v>6052</v>
      </c>
      <c r="K998" s="54">
        <v>0</v>
      </c>
      <c r="L998" s="22" t="s">
        <v>34</v>
      </c>
      <c r="M998" s="22" t="s">
        <v>168</v>
      </c>
    </row>
    <row r="999" spans="1:13" x14ac:dyDescent="0.75">
      <c r="A999" t="s">
        <v>4668</v>
      </c>
      <c r="B999" t="s">
        <v>167</v>
      </c>
      <c r="C999" t="s">
        <v>6718</v>
      </c>
      <c r="D999" t="s">
        <v>6719</v>
      </c>
      <c r="E999" t="s">
        <v>23923</v>
      </c>
      <c r="F999">
        <v>6</v>
      </c>
      <c r="G999">
        <v>4162344</v>
      </c>
      <c r="H999" t="s">
        <v>23924</v>
      </c>
      <c r="J999" s="54" t="s">
        <v>6052</v>
      </c>
      <c r="K999" s="54">
        <v>0</v>
      </c>
      <c r="L999" s="22" t="s">
        <v>34</v>
      </c>
      <c r="M999" s="22" t="s">
        <v>168</v>
      </c>
    </row>
    <row r="1000" spans="1:13" x14ac:dyDescent="0.75">
      <c r="A1000" t="s">
        <v>4286</v>
      </c>
      <c r="B1000" t="s">
        <v>1492</v>
      </c>
      <c r="C1000" t="s">
        <v>6718</v>
      </c>
      <c r="D1000" t="s">
        <v>11570</v>
      </c>
      <c r="E1000" t="s">
        <v>23867</v>
      </c>
      <c r="F1000">
        <v>1</v>
      </c>
      <c r="G1000">
        <v>6835259</v>
      </c>
      <c r="H1000" t="s">
        <v>23868</v>
      </c>
      <c r="J1000" s="54" t="s">
        <v>6052</v>
      </c>
      <c r="K1000" s="54">
        <v>0</v>
      </c>
      <c r="L1000" s="22" t="s">
        <v>34</v>
      </c>
      <c r="M1000" s="22" t="s">
        <v>1493</v>
      </c>
    </row>
    <row r="1001" spans="1:13" x14ac:dyDescent="0.75">
      <c r="A1001" t="s">
        <v>4398</v>
      </c>
      <c r="B1001" t="s">
        <v>1492</v>
      </c>
      <c r="C1001" t="s">
        <v>6718</v>
      </c>
      <c r="D1001" t="s">
        <v>11570</v>
      </c>
      <c r="E1001" t="s">
        <v>23882</v>
      </c>
      <c r="F1001">
        <v>1</v>
      </c>
      <c r="G1001">
        <v>6838003</v>
      </c>
      <c r="H1001" t="s">
        <v>23883</v>
      </c>
      <c r="J1001" s="54" t="s">
        <v>6052</v>
      </c>
      <c r="K1001" s="54">
        <v>0</v>
      </c>
      <c r="L1001" s="22" t="s">
        <v>34</v>
      </c>
      <c r="M1001" s="22" t="s">
        <v>1493</v>
      </c>
    </row>
    <row r="1002" spans="1:13" x14ac:dyDescent="0.75">
      <c r="A1002" t="s">
        <v>4471</v>
      </c>
      <c r="B1002" t="s">
        <v>1745</v>
      </c>
      <c r="C1002" t="s">
        <v>6718</v>
      </c>
      <c r="D1002" t="s">
        <v>13814</v>
      </c>
      <c r="E1002" t="s">
        <v>23890</v>
      </c>
      <c r="F1002">
        <v>3</v>
      </c>
      <c r="G1002">
        <v>5340561</v>
      </c>
      <c r="H1002" t="s">
        <v>23891</v>
      </c>
      <c r="J1002" s="54" t="s">
        <v>6052</v>
      </c>
      <c r="K1002" s="54">
        <v>0</v>
      </c>
      <c r="L1002" s="22" t="s">
        <v>34</v>
      </c>
      <c r="M1002" s="22" t="s">
        <v>1746</v>
      </c>
    </row>
    <row r="1003" spans="1:13" x14ac:dyDescent="0.75">
      <c r="A1003" t="s">
        <v>4458</v>
      </c>
      <c r="B1003" t="s">
        <v>1454</v>
      </c>
      <c r="C1003" t="s">
        <v>6718</v>
      </c>
      <c r="D1003" t="s">
        <v>11568</v>
      </c>
      <c r="E1003" t="s">
        <v>23888</v>
      </c>
      <c r="F1003">
        <v>2</v>
      </c>
      <c r="G1003">
        <v>6107487</v>
      </c>
      <c r="H1003" t="s">
        <v>23889</v>
      </c>
      <c r="J1003" s="54" t="s">
        <v>6052</v>
      </c>
      <c r="K1003" s="54">
        <v>0</v>
      </c>
      <c r="L1003" s="22" t="s">
        <v>34</v>
      </c>
      <c r="M1003" s="22" t="s">
        <v>1455</v>
      </c>
    </row>
    <row r="1004" spans="1:13" x14ac:dyDescent="0.75">
      <c r="A1004" t="s">
        <v>4304</v>
      </c>
      <c r="B1004" t="s">
        <v>2352</v>
      </c>
      <c r="C1004" t="s">
        <v>6718</v>
      </c>
      <c r="D1004" t="s">
        <v>17016</v>
      </c>
      <c r="E1004" t="s">
        <v>23869</v>
      </c>
      <c r="F1004">
        <v>1</v>
      </c>
      <c r="G1004">
        <v>6481087</v>
      </c>
      <c r="H1004" t="s">
        <v>23870</v>
      </c>
      <c r="J1004" s="54" t="s">
        <v>6052</v>
      </c>
      <c r="K1004" s="54">
        <v>0</v>
      </c>
      <c r="L1004" s="22" t="s">
        <v>34</v>
      </c>
      <c r="M1004" s="22" t="s">
        <v>2353</v>
      </c>
    </row>
    <row r="1005" spans="1:13" x14ac:dyDescent="0.75">
      <c r="A1005" t="s">
        <v>3908</v>
      </c>
      <c r="B1005" t="s">
        <v>1454</v>
      </c>
      <c r="C1005" t="s">
        <v>6718</v>
      </c>
      <c r="D1005" t="s">
        <v>11568</v>
      </c>
      <c r="E1005" t="s">
        <v>21699</v>
      </c>
      <c r="F1005">
        <v>1</v>
      </c>
      <c r="G1005">
        <v>6337561</v>
      </c>
      <c r="H1005" t="s">
        <v>21700</v>
      </c>
      <c r="J1005" s="54" t="s">
        <v>6052</v>
      </c>
      <c r="K1005" s="54">
        <v>0</v>
      </c>
      <c r="L1005" s="22" t="s">
        <v>34</v>
      </c>
      <c r="M1005" s="22" t="s">
        <v>1455</v>
      </c>
    </row>
    <row r="1006" spans="1:13" x14ac:dyDescent="0.75">
      <c r="A1006" t="s">
        <v>4502</v>
      </c>
      <c r="B1006" t="s">
        <v>2352</v>
      </c>
      <c r="C1006" t="s">
        <v>6718</v>
      </c>
      <c r="D1006" t="s">
        <v>17016</v>
      </c>
      <c r="E1006" t="s">
        <v>23894</v>
      </c>
      <c r="F1006">
        <v>4</v>
      </c>
      <c r="G1006">
        <v>6717551</v>
      </c>
      <c r="H1006" t="s">
        <v>23895</v>
      </c>
      <c r="J1006" s="54" t="s">
        <v>6052</v>
      </c>
      <c r="K1006" s="54">
        <v>0</v>
      </c>
      <c r="L1006" s="22" t="s">
        <v>34</v>
      </c>
      <c r="M1006" s="22" t="s">
        <v>2353</v>
      </c>
    </row>
    <row r="1007" spans="1:13" x14ac:dyDescent="0.75">
      <c r="A1007" t="s">
        <v>927</v>
      </c>
      <c r="B1007" t="s">
        <v>167</v>
      </c>
      <c r="C1007" t="s">
        <v>6718</v>
      </c>
      <c r="D1007" t="s">
        <v>6719</v>
      </c>
      <c r="E1007" t="s">
        <v>9519</v>
      </c>
      <c r="F1007">
        <v>57</v>
      </c>
      <c r="G1007">
        <v>4102660</v>
      </c>
      <c r="H1007" t="s">
        <v>9520</v>
      </c>
      <c r="J1007" s="54" t="s">
        <v>6052</v>
      </c>
      <c r="K1007" s="54">
        <v>0</v>
      </c>
      <c r="L1007" s="22" t="s">
        <v>34</v>
      </c>
      <c r="M1007" s="22" t="s">
        <v>168</v>
      </c>
    </row>
    <row r="1008" spans="1:13" x14ac:dyDescent="0.75">
      <c r="A1008" t="s">
        <v>4156</v>
      </c>
      <c r="B1008" t="s">
        <v>2238</v>
      </c>
      <c r="C1008" t="s">
        <v>6718</v>
      </c>
      <c r="D1008" t="s">
        <v>16599</v>
      </c>
      <c r="E1008" t="s">
        <v>22947</v>
      </c>
      <c r="F1008">
        <v>2</v>
      </c>
      <c r="G1008">
        <v>4839343</v>
      </c>
      <c r="H1008" t="s">
        <v>22948</v>
      </c>
      <c r="J1008" s="54" t="s">
        <v>6052</v>
      </c>
      <c r="K1008" s="54">
        <v>0</v>
      </c>
      <c r="L1008" s="22" t="s">
        <v>34</v>
      </c>
      <c r="M1008" s="22" t="s">
        <v>2239</v>
      </c>
    </row>
    <row r="1009" spans="1:13" x14ac:dyDescent="0.75">
      <c r="A1009" t="s">
        <v>3660</v>
      </c>
      <c r="B1009" t="s">
        <v>2352</v>
      </c>
      <c r="C1009" t="s">
        <v>6718</v>
      </c>
      <c r="D1009" t="s">
        <v>17016</v>
      </c>
      <c r="E1009" t="s">
        <v>21029</v>
      </c>
      <c r="F1009">
        <v>3</v>
      </c>
      <c r="G1009">
        <v>5895426</v>
      </c>
      <c r="H1009" t="s">
        <v>21030</v>
      </c>
      <c r="J1009" s="54" t="s">
        <v>6052</v>
      </c>
      <c r="K1009" s="54">
        <v>0</v>
      </c>
      <c r="L1009" s="22" t="s">
        <v>34</v>
      </c>
      <c r="M1009" s="22" t="s">
        <v>2353</v>
      </c>
    </row>
    <row r="1010" spans="1:13" x14ac:dyDescent="0.75">
      <c r="A1010" t="s">
        <v>3594</v>
      </c>
      <c r="B1010" t="s">
        <v>2238</v>
      </c>
      <c r="C1010" t="s">
        <v>6718</v>
      </c>
      <c r="D1010" t="s">
        <v>16599</v>
      </c>
      <c r="E1010" t="s">
        <v>20742</v>
      </c>
      <c r="F1010">
        <v>2</v>
      </c>
      <c r="G1010">
        <v>4920161</v>
      </c>
      <c r="H1010" t="s">
        <v>20743</v>
      </c>
      <c r="J1010" s="54" t="s">
        <v>6052</v>
      </c>
      <c r="K1010" s="54">
        <v>0</v>
      </c>
      <c r="L1010" s="22" t="s">
        <v>34</v>
      </c>
      <c r="M1010" s="22" t="s">
        <v>2239</v>
      </c>
    </row>
    <row r="1011" spans="1:13" x14ac:dyDescent="0.75">
      <c r="A1011" t="s">
        <v>3572</v>
      </c>
      <c r="B1011" t="s">
        <v>1454</v>
      </c>
      <c r="C1011" t="s">
        <v>6718</v>
      </c>
      <c r="D1011" t="s">
        <v>11568</v>
      </c>
      <c r="E1011" t="s">
        <v>20738</v>
      </c>
      <c r="F1011">
        <v>1</v>
      </c>
      <c r="G1011">
        <v>5830764</v>
      </c>
      <c r="H1011" t="s">
        <v>20739</v>
      </c>
      <c r="J1011" s="54" t="s">
        <v>6052</v>
      </c>
      <c r="K1011" s="54">
        <v>0</v>
      </c>
      <c r="L1011" s="22" t="s">
        <v>34</v>
      </c>
      <c r="M1011" s="22" t="s">
        <v>1455</v>
      </c>
    </row>
    <row r="1012" spans="1:13" x14ac:dyDescent="0.75">
      <c r="A1012" t="s">
        <v>3542</v>
      </c>
      <c r="B1012" t="s">
        <v>2352</v>
      </c>
      <c r="C1012" t="s">
        <v>6718</v>
      </c>
      <c r="D1012" t="s">
        <v>17016</v>
      </c>
      <c r="E1012" t="s">
        <v>20732</v>
      </c>
      <c r="F1012">
        <v>4</v>
      </c>
      <c r="G1012">
        <v>6558523</v>
      </c>
      <c r="H1012" t="s">
        <v>20733</v>
      </c>
      <c r="J1012" s="54" t="s">
        <v>6052</v>
      </c>
      <c r="K1012" s="54">
        <v>0</v>
      </c>
      <c r="L1012" s="22" t="s">
        <v>34</v>
      </c>
      <c r="M1012" s="22" t="s">
        <v>2353</v>
      </c>
    </row>
    <row r="1013" spans="1:13" x14ac:dyDescent="0.75">
      <c r="A1013" t="s">
        <v>3528</v>
      </c>
      <c r="B1013" t="s">
        <v>2352</v>
      </c>
      <c r="C1013" t="s">
        <v>6718</v>
      </c>
      <c r="D1013" t="s">
        <v>17016</v>
      </c>
      <c r="E1013" t="s">
        <v>20730</v>
      </c>
      <c r="F1013">
        <v>4</v>
      </c>
      <c r="G1013">
        <v>6827031</v>
      </c>
      <c r="H1013" t="s">
        <v>20731</v>
      </c>
      <c r="J1013" s="54" t="s">
        <v>6052</v>
      </c>
      <c r="K1013" s="54">
        <v>0</v>
      </c>
      <c r="L1013" s="22" t="s">
        <v>34</v>
      </c>
      <c r="M1013" s="22" t="s">
        <v>2353</v>
      </c>
    </row>
    <row r="1014" spans="1:13" x14ac:dyDescent="0.75">
      <c r="A1014" t="s">
        <v>3482</v>
      </c>
      <c r="B1014" t="s">
        <v>964</v>
      </c>
      <c r="C1014" t="s">
        <v>6718</v>
      </c>
      <c r="D1014" t="s">
        <v>8900</v>
      </c>
      <c r="E1014" t="s">
        <v>20712</v>
      </c>
      <c r="F1014">
        <v>132</v>
      </c>
      <c r="G1014">
        <v>3347679</v>
      </c>
      <c r="H1014" t="s">
        <v>20713</v>
      </c>
      <c r="J1014" s="54" t="s">
        <v>6052</v>
      </c>
      <c r="K1014" s="54">
        <v>0</v>
      </c>
      <c r="L1014" s="22" t="s">
        <v>963</v>
      </c>
      <c r="M1014" s="22" t="s">
        <v>965</v>
      </c>
    </row>
    <row r="1015" spans="1:13" x14ac:dyDescent="0.75">
      <c r="A1015" t="s">
        <v>3495</v>
      </c>
      <c r="B1015" t="s">
        <v>964</v>
      </c>
      <c r="C1015" t="s">
        <v>6718</v>
      </c>
      <c r="D1015" t="s">
        <v>8900</v>
      </c>
      <c r="E1015" t="s">
        <v>20714</v>
      </c>
      <c r="F1015">
        <v>132</v>
      </c>
      <c r="G1015">
        <v>3347772</v>
      </c>
      <c r="H1015" t="s">
        <v>20715</v>
      </c>
      <c r="J1015" s="54" t="s">
        <v>6052</v>
      </c>
      <c r="K1015" s="54">
        <v>0</v>
      </c>
      <c r="L1015" s="22" t="s">
        <v>963</v>
      </c>
      <c r="M1015" s="22" t="s">
        <v>965</v>
      </c>
    </row>
    <row r="1016" spans="1:13" x14ac:dyDescent="0.75">
      <c r="A1016" t="s">
        <v>2866</v>
      </c>
      <c r="B1016" t="s">
        <v>964</v>
      </c>
      <c r="C1016" t="s">
        <v>6718</v>
      </c>
      <c r="D1016" t="s">
        <v>8900</v>
      </c>
      <c r="E1016" t="s">
        <v>18860</v>
      </c>
      <c r="F1016">
        <v>53</v>
      </c>
      <c r="G1016">
        <v>3394239</v>
      </c>
      <c r="H1016" t="s">
        <v>18861</v>
      </c>
      <c r="J1016" s="54" t="s">
        <v>6052</v>
      </c>
      <c r="K1016" s="54">
        <v>0</v>
      </c>
      <c r="L1016" s="22" t="s">
        <v>963</v>
      </c>
      <c r="M1016" s="22" t="s">
        <v>965</v>
      </c>
    </row>
    <row r="1017" spans="1:13" x14ac:dyDescent="0.75">
      <c r="A1017" t="s">
        <v>962</v>
      </c>
      <c r="B1017" t="s">
        <v>964</v>
      </c>
      <c r="C1017" t="s">
        <v>6718</v>
      </c>
      <c r="D1017" t="s">
        <v>8900</v>
      </c>
      <c r="E1017" t="s">
        <v>9580</v>
      </c>
      <c r="F1017">
        <v>79</v>
      </c>
      <c r="G1017">
        <v>3427038</v>
      </c>
      <c r="H1017" t="s">
        <v>9581</v>
      </c>
      <c r="J1017" s="54" t="s">
        <v>6052</v>
      </c>
      <c r="K1017" s="54">
        <v>0</v>
      </c>
      <c r="L1017" s="22" t="s">
        <v>963</v>
      </c>
      <c r="M1017" s="22" t="s">
        <v>965</v>
      </c>
    </row>
    <row r="1018" spans="1:13" x14ac:dyDescent="0.75">
      <c r="A1018" t="s">
        <v>2838</v>
      </c>
      <c r="B1018" t="s">
        <v>1454</v>
      </c>
      <c r="C1018" t="s">
        <v>6718</v>
      </c>
      <c r="D1018" t="s">
        <v>11568</v>
      </c>
      <c r="E1018" t="s">
        <v>18836</v>
      </c>
      <c r="F1018">
        <v>2</v>
      </c>
      <c r="G1018">
        <v>6304193</v>
      </c>
      <c r="H1018" t="s">
        <v>18837</v>
      </c>
      <c r="J1018" s="54" t="s">
        <v>6052</v>
      </c>
      <c r="K1018" s="54">
        <v>0</v>
      </c>
      <c r="L1018" s="22" t="s">
        <v>34</v>
      </c>
      <c r="M1018" s="22" t="s">
        <v>1455</v>
      </c>
    </row>
    <row r="1019" spans="1:13" x14ac:dyDescent="0.75">
      <c r="A1019" t="s">
        <v>11330</v>
      </c>
      <c r="B1019" t="s">
        <v>1621</v>
      </c>
      <c r="C1019" t="s">
        <v>6782</v>
      </c>
      <c r="D1019" t="s">
        <v>6783</v>
      </c>
      <c r="E1019" t="s">
        <v>11331</v>
      </c>
      <c r="F1019">
        <v>119</v>
      </c>
      <c r="G1019">
        <v>2361428</v>
      </c>
      <c r="H1019" t="s">
        <v>11332</v>
      </c>
      <c r="J1019" s="54" t="s">
        <v>6052</v>
      </c>
      <c r="K1019" s="54">
        <v>0</v>
      </c>
      <c r="L1019" s="22" t="s">
        <v>104</v>
      </c>
      <c r="M1019" s="22" t="s">
        <v>1622</v>
      </c>
    </row>
    <row r="1020" spans="1:13" x14ac:dyDescent="0.75">
      <c r="A1020" t="s">
        <v>4053</v>
      </c>
      <c r="B1020" t="s">
        <v>964</v>
      </c>
      <c r="C1020" t="s">
        <v>6718</v>
      </c>
      <c r="D1020" t="s">
        <v>8900</v>
      </c>
      <c r="E1020" t="s">
        <v>22260</v>
      </c>
      <c r="F1020">
        <v>132</v>
      </c>
      <c r="G1020">
        <v>3309443</v>
      </c>
      <c r="H1020" t="s">
        <v>22261</v>
      </c>
      <c r="J1020" s="54" t="s">
        <v>6052</v>
      </c>
      <c r="K1020" s="54">
        <v>0</v>
      </c>
      <c r="L1020" s="22" t="s">
        <v>963</v>
      </c>
      <c r="M1020" s="22" t="s">
        <v>965</v>
      </c>
    </row>
    <row r="1021" spans="1:13" x14ac:dyDescent="0.75">
      <c r="A1021" t="s">
        <v>3164</v>
      </c>
      <c r="B1021" t="s">
        <v>1745</v>
      </c>
      <c r="C1021" t="s">
        <v>6718</v>
      </c>
      <c r="D1021" t="s">
        <v>13814</v>
      </c>
      <c r="E1021" t="s">
        <v>20195</v>
      </c>
      <c r="F1021">
        <v>1</v>
      </c>
      <c r="G1021">
        <v>4570941</v>
      </c>
      <c r="H1021" t="s">
        <v>20196</v>
      </c>
      <c r="J1021" s="54" t="s">
        <v>6052</v>
      </c>
      <c r="K1021" s="54">
        <v>0</v>
      </c>
      <c r="L1021" s="22" t="s">
        <v>34</v>
      </c>
      <c r="M1021" s="22" t="s">
        <v>1746</v>
      </c>
    </row>
    <row r="1022" spans="1:13" x14ac:dyDescent="0.75">
      <c r="A1022" t="s">
        <v>3272</v>
      </c>
      <c r="B1022" t="s">
        <v>1745</v>
      </c>
      <c r="C1022" t="s">
        <v>6718</v>
      </c>
      <c r="D1022" t="s">
        <v>13814</v>
      </c>
      <c r="E1022" t="s">
        <v>20342</v>
      </c>
      <c r="F1022">
        <v>1</v>
      </c>
      <c r="G1022">
        <v>4570957</v>
      </c>
      <c r="H1022" t="s">
        <v>20343</v>
      </c>
      <c r="J1022" s="54" t="s">
        <v>6052</v>
      </c>
      <c r="K1022" s="54">
        <v>0</v>
      </c>
      <c r="L1022" s="22" t="s">
        <v>34</v>
      </c>
      <c r="M1022" s="22" t="s">
        <v>1746</v>
      </c>
    </row>
    <row r="1023" spans="1:13" x14ac:dyDescent="0.75">
      <c r="A1023" t="s">
        <v>3293</v>
      </c>
      <c r="B1023" t="s">
        <v>1492</v>
      </c>
      <c r="C1023" t="s">
        <v>6718</v>
      </c>
      <c r="D1023" t="s">
        <v>11570</v>
      </c>
      <c r="E1023" t="s">
        <v>20353</v>
      </c>
      <c r="F1023">
        <v>1</v>
      </c>
      <c r="G1023">
        <v>6425267</v>
      </c>
      <c r="H1023" t="s">
        <v>20354</v>
      </c>
      <c r="J1023" s="54" t="s">
        <v>6052</v>
      </c>
      <c r="K1023" s="54">
        <v>0</v>
      </c>
      <c r="L1023" s="22" t="s">
        <v>34</v>
      </c>
      <c r="M1023" s="22" t="s">
        <v>1493</v>
      </c>
    </row>
    <row r="1024" spans="1:13" x14ac:dyDescent="0.75">
      <c r="A1024" t="s">
        <v>3968</v>
      </c>
      <c r="B1024" t="s">
        <v>1492</v>
      </c>
      <c r="C1024" t="s">
        <v>6718</v>
      </c>
      <c r="D1024" t="s">
        <v>11570</v>
      </c>
      <c r="E1024" t="s">
        <v>21722</v>
      </c>
      <c r="F1024">
        <v>1</v>
      </c>
      <c r="G1024">
        <v>6434576</v>
      </c>
      <c r="H1024" t="s">
        <v>21723</v>
      </c>
      <c r="J1024" s="54" t="s">
        <v>6052</v>
      </c>
      <c r="K1024" s="54">
        <v>0</v>
      </c>
      <c r="L1024" s="22" t="s">
        <v>34</v>
      </c>
      <c r="M1024" s="22" t="s">
        <v>1493</v>
      </c>
    </row>
    <row r="1025" spans="1:13" x14ac:dyDescent="0.75">
      <c r="A1025" t="s">
        <v>2577</v>
      </c>
      <c r="B1025" t="s">
        <v>1492</v>
      </c>
      <c r="C1025" t="s">
        <v>6718</v>
      </c>
      <c r="D1025" t="s">
        <v>11570</v>
      </c>
      <c r="E1025" t="s">
        <v>17918</v>
      </c>
      <c r="F1025">
        <v>1</v>
      </c>
      <c r="G1025">
        <v>6571392</v>
      </c>
      <c r="H1025" t="s">
        <v>17919</v>
      </c>
      <c r="J1025" s="54" t="s">
        <v>6052</v>
      </c>
      <c r="K1025" s="54">
        <v>0</v>
      </c>
      <c r="L1025" s="22" t="s">
        <v>34</v>
      </c>
      <c r="M1025" s="22" t="s">
        <v>1493</v>
      </c>
    </row>
    <row r="1026" spans="1:13" x14ac:dyDescent="0.75">
      <c r="A1026" t="s">
        <v>3115</v>
      </c>
      <c r="B1026" t="s">
        <v>2238</v>
      </c>
      <c r="C1026" t="s">
        <v>6718</v>
      </c>
      <c r="D1026" t="s">
        <v>16599</v>
      </c>
      <c r="E1026" t="s">
        <v>20004</v>
      </c>
      <c r="F1026">
        <v>1</v>
      </c>
      <c r="G1026">
        <v>4728573</v>
      </c>
      <c r="H1026" t="s">
        <v>20005</v>
      </c>
      <c r="J1026" s="54" t="s">
        <v>6052</v>
      </c>
      <c r="K1026" s="54">
        <v>0</v>
      </c>
      <c r="L1026" s="22" t="s">
        <v>34</v>
      </c>
      <c r="M1026" s="22" t="s">
        <v>2239</v>
      </c>
    </row>
    <row r="1027" spans="1:13" x14ac:dyDescent="0.75">
      <c r="A1027" t="s">
        <v>2351</v>
      </c>
      <c r="B1027" t="s">
        <v>2352</v>
      </c>
      <c r="C1027" t="s">
        <v>6718</v>
      </c>
      <c r="D1027" t="s">
        <v>17016</v>
      </c>
      <c r="E1027" t="s">
        <v>17017</v>
      </c>
      <c r="F1027">
        <v>3</v>
      </c>
      <c r="G1027">
        <v>6547285</v>
      </c>
      <c r="H1027" t="s">
        <v>17018</v>
      </c>
      <c r="J1027" s="54" t="s">
        <v>6052</v>
      </c>
      <c r="K1027" s="54">
        <v>0</v>
      </c>
      <c r="L1027" s="22" t="s">
        <v>34</v>
      </c>
      <c r="M1027" s="22" t="s">
        <v>2353</v>
      </c>
    </row>
    <row r="1028" spans="1:13" x14ac:dyDescent="0.75">
      <c r="A1028" t="s">
        <v>3104</v>
      </c>
      <c r="B1028" t="s">
        <v>2238</v>
      </c>
      <c r="C1028" t="s">
        <v>6718</v>
      </c>
      <c r="D1028" t="s">
        <v>16599</v>
      </c>
      <c r="E1028" t="s">
        <v>19874</v>
      </c>
      <c r="F1028">
        <v>1</v>
      </c>
      <c r="G1028">
        <v>4384378</v>
      </c>
      <c r="H1028" t="s">
        <v>19875</v>
      </c>
      <c r="J1028" s="54" t="s">
        <v>6052</v>
      </c>
      <c r="K1028" s="54">
        <v>0</v>
      </c>
      <c r="L1028" s="22" t="s">
        <v>34</v>
      </c>
      <c r="M1028" s="22" t="s">
        <v>2239</v>
      </c>
    </row>
    <row r="1029" spans="1:13" x14ac:dyDescent="0.75">
      <c r="A1029" t="s">
        <v>1170</v>
      </c>
      <c r="B1029" t="s">
        <v>964</v>
      </c>
      <c r="C1029" t="s">
        <v>6718</v>
      </c>
      <c r="D1029" t="s">
        <v>8900</v>
      </c>
      <c r="E1029" t="s">
        <v>10121</v>
      </c>
      <c r="F1029">
        <v>95</v>
      </c>
      <c r="G1029">
        <v>3379354</v>
      </c>
      <c r="H1029" t="s">
        <v>10122</v>
      </c>
      <c r="J1029" s="54" t="s">
        <v>6052</v>
      </c>
      <c r="K1029" s="54">
        <v>0</v>
      </c>
      <c r="L1029" s="22" t="s">
        <v>963</v>
      </c>
      <c r="M1029" s="22" t="s">
        <v>965</v>
      </c>
    </row>
    <row r="1030" spans="1:13" x14ac:dyDescent="0.75">
      <c r="A1030" t="s">
        <v>1112</v>
      </c>
      <c r="B1030" t="s">
        <v>964</v>
      </c>
      <c r="C1030" t="s">
        <v>6718</v>
      </c>
      <c r="D1030" t="s">
        <v>8900</v>
      </c>
      <c r="E1030" t="s">
        <v>10117</v>
      </c>
      <c r="F1030">
        <v>112</v>
      </c>
      <c r="G1030">
        <v>3405221</v>
      </c>
      <c r="H1030" t="s">
        <v>10118</v>
      </c>
      <c r="J1030" s="54" t="s">
        <v>6052</v>
      </c>
      <c r="K1030" s="54">
        <v>0</v>
      </c>
      <c r="L1030" s="22" t="s">
        <v>963</v>
      </c>
      <c r="M1030" s="22" t="s">
        <v>965</v>
      </c>
    </row>
    <row r="1031" spans="1:13" x14ac:dyDescent="0.75">
      <c r="A1031" t="s">
        <v>1141</v>
      </c>
      <c r="B1031" t="s">
        <v>964</v>
      </c>
      <c r="C1031" t="s">
        <v>6718</v>
      </c>
      <c r="D1031" t="s">
        <v>8900</v>
      </c>
      <c r="E1031" t="s">
        <v>10119</v>
      </c>
      <c r="F1031">
        <v>107</v>
      </c>
      <c r="G1031">
        <v>3404843</v>
      </c>
      <c r="H1031" t="s">
        <v>10120</v>
      </c>
      <c r="J1031" s="54" t="s">
        <v>6052</v>
      </c>
      <c r="K1031" s="54">
        <v>0</v>
      </c>
      <c r="L1031" s="22" t="s">
        <v>963</v>
      </c>
      <c r="M1031" s="22" t="s">
        <v>965</v>
      </c>
    </row>
    <row r="1032" spans="1:13" x14ac:dyDescent="0.75">
      <c r="A1032" t="s">
        <v>3819</v>
      </c>
      <c r="B1032" t="s">
        <v>167</v>
      </c>
      <c r="C1032" t="s">
        <v>6718</v>
      </c>
      <c r="D1032" t="s">
        <v>6719</v>
      </c>
      <c r="E1032" t="s">
        <v>21491</v>
      </c>
      <c r="F1032">
        <v>61</v>
      </c>
      <c r="G1032">
        <v>3906938</v>
      </c>
      <c r="H1032" t="s">
        <v>21492</v>
      </c>
      <c r="J1032" s="54" t="s">
        <v>6052</v>
      </c>
      <c r="K1032" s="54">
        <v>0</v>
      </c>
      <c r="L1032" s="22" t="s">
        <v>34</v>
      </c>
      <c r="M1032" s="22" t="s">
        <v>168</v>
      </c>
    </row>
    <row r="1033" spans="1:13" x14ac:dyDescent="0.75">
      <c r="A1033" t="s">
        <v>2483</v>
      </c>
      <c r="B1033" t="s">
        <v>964</v>
      </c>
      <c r="C1033" t="s">
        <v>6718</v>
      </c>
      <c r="D1033" t="s">
        <v>8900</v>
      </c>
      <c r="E1033" t="s">
        <v>17286</v>
      </c>
      <c r="F1033">
        <v>115</v>
      </c>
      <c r="G1033">
        <v>3371970</v>
      </c>
      <c r="H1033" t="s">
        <v>17287</v>
      </c>
      <c r="J1033" s="54" t="s">
        <v>6052</v>
      </c>
      <c r="K1033" s="54">
        <v>0</v>
      </c>
      <c r="L1033" s="22" t="s">
        <v>963</v>
      </c>
      <c r="M1033" s="22" t="s">
        <v>965</v>
      </c>
    </row>
    <row r="1034" spans="1:13" x14ac:dyDescent="0.75">
      <c r="A1034" t="s">
        <v>3302</v>
      </c>
      <c r="B1034" t="s">
        <v>2238</v>
      </c>
      <c r="C1034" t="s">
        <v>6718</v>
      </c>
      <c r="D1034" t="s">
        <v>16599</v>
      </c>
      <c r="E1034" t="s">
        <v>20470</v>
      </c>
      <c r="F1034">
        <v>1</v>
      </c>
      <c r="G1034">
        <v>4240638</v>
      </c>
      <c r="H1034" t="s">
        <v>20471</v>
      </c>
      <c r="J1034" s="54" t="s">
        <v>6052</v>
      </c>
      <c r="K1034" s="54">
        <v>0</v>
      </c>
      <c r="L1034" s="22" t="s">
        <v>34</v>
      </c>
      <c r="M1034" s="22" t="s">
        <v>2239</v>
      </c>
    </row>
    <row r="1035" spans="1:13" x14ac:dyDescent="0.75">
      <c r="A1035" t="s">
        <v>3979</v>
      </c>
      <c r="B1035" t="s">
        <v>2238</v>
      </c>
      <c r="C1035" t="s">
        <v>6718</v>
      </c>
      <c r="D1035" t="s">
        <v>16599</v>
      </c>
      <c r="E1035" t="s">
        <v>21761</v>
      </c>
      <c r="F1035">
        <v>1</v>
      </c>
      <c r="G1035">
        <v>4248411</v>
      </c>
      <c r="H1035" t="s">
        <v>21762</v>
      </c>
      <c r="J1035" s="54" t="s">
        <v>6052</v>
      </c>
      <c r="K1035" s="54">
        <v>0</v>
      </c>
      <c r="L1035" s="22" t="s">
        <v>34</v>
      </c>
      <c r="M1035" s="22" t="s">
        <v>2239</v>
      </c>
    </row>
    <row r="1036" spans="1:13" x14ac:dyDescent="0.75">
      <c r="A1036" t="s">
        <v>5178</v>
      </c>
      <c r="B1036" t="s">
        <v>964</v>
      </c>
      <c r="C1036" t="s">
        <v>6718</v>
      </c>
      <c r="D1036" t="s">
        <v>8900</v>
      </c>
      <c r="E1036" t="s">
        <v>27400</v>
      </c>
      <c r="F1036">
        <v>4</v>
      </c>
      <c r="G1036">
        <v>3495913</v>
      </c>
      <c r="H1036" t="s">
        <v>27401</v>
      </c>
      <c r="J1036" s="54" t="s">
        <v>6052</v>
      </c>
      <c r="K1036" s="54">
        <v>0</v>
      </c>
      <c r="L1036" s="22" t="s">
        <v>963</v>
      </c>
      <c r="M1036" s="22" t="s">
        <v>965</v>
      </c>
    </row>
    <row r="1037" spans="1:13" x14ac:dyDescent="0.75">
      <c r="A1037" t="s">
        <v>2879</v>
      </c>
      <c r="B1037" t="s">
        <v>2238</v>
      </c>
      <c r="C1037" t="s">
        <v>6718</v>
      </c>
      <c r="D1037" t="s">
        <v>16599</v>
      </c>
      <c r="E1037" t="s">
        <v>18955</v>
      </c>
      <c r="F1037">
        <v>2</v>
      </c>
      <c r="G1037">
        <v>4129429</v>
      </c>
      <c r="H1037" t="s">
        <v>18956</v>
      </c>
      <c r="J1037" s="54" t="s">
        <v>6052</v>
      </c>
      <c r="K1037" s="54">
        <v>0</v>
      </c>
      <c r="L1037" s="22" t="s">
        <v>34</v>
      </c>
      <c r="M1037" s="22" t="s">
        <v>2239</v>
      </c>
    </row>
    <row r="1038" spans="1:13" x14ac:dyDescent="0.75">
      <c r="A1038" t="s">
        <v>6781</v>
      </c>
      <c r="B1038" t="s">
        <v>1621</v>
      </c>
      <c r="C1038" t="s">
        <v>6782</v>
      </c>
      <c r="D1038" t="s">
        <v>6783</v>
      </c>
      <c r="E1038" t="s">
        <v>6784</v>
      </c>
      <c r="F1038">
        <v>65</v>
      </c>
      <c r="G1038">
        <v>2171245</v>
      </c>
      <c r="H1038" t="s">
        <v>6785</v>
      </c>
      <c r="J1038" s="54" t="s">
        <v>6052</v>
      </c>
      <c r="K1038" s="54">
        <v>0</v>
      </c>
      <c r="L1038" s="22" t="s">
        <v>104</v>
      </c>
      <c r="M1038" s="22" t="s">
        <v>1622</v>
      </c>
    </row>
    <row r="1039" spans="1:13" x14ac:dyDescent="0.75">
      <c r="A1039" t="s">
        <v>5052</v>
      </c>
      <c r="B1039" t="s">
        <v>1492</v>
      </c>
      <c r="C1039" t="s">
        <v>6718</v>
      </c>
      <c r="D1039" t="s">
        <v>11570</v>
      </c>
      <c r="E1039" t="s">
        <v>27120</v>
      </c>
      <c r="F1039">
        <v>1</v>
      </c>
      <c r="G1039">
        <v>6475296</v>
      </c>
      <c r="H1039" t="s">
        <v>27121</v>
      </c>
      <c r="J1039" s="54" t="s">
        <v>6052</v>
      </c>
      <c r="K1039" s="54">
        <v>0</v>
      </c>
      <c r="L1039" s="22" t="s">
        <v>34</v>
      </c>
      <c r="M1039" s="22" t="s">
        <v>1493</v>
      </c>
    </row>
    <row r="1040" spans="1:13" x14ac:dyDescent="0.75">
      <c r="A1040" t="s">
        <v>5672</v>
      </c>
      <c r="B1040" t="s">
        <v>1492</v>
      </c>
      <c r="C1040" t="s">
        <v>6718</v>
      </c>
      <c r="D1040" t="s">
        <v>11570</v>
      </c>
      <c r="E1040" t="s">
        <v>29418</v>
      </c>
      <c r="F1040">
        <v>2</v>
      </c>
      <c r="G1040">
        <v>6262417</v>
      </c>
      <c r="H1040" t="s">
        <v>29419</v>
      </c>
      <c r="J1040" s="54" t="s">
        <v>6052</v>
      </c>
      <c r="K1040" s="54">
        <v>0</v>
      </c>
      <c r="L1040" s="22" t="s">
        <v>34</v>
      </c>
      <c r="M1040" s="22" t="s">
        <v>1493</v>
      </c>
    </row>
    <row r="1041" spans="1:13" x14ac:dyDescent="0.75">
      <c r="A1041" t="s">
        <v>5650</v>
      </c>
      <c r="B1041" t="s">
        <v>1492</v>
      </c>
      <c r="C1041" t="s">
        <v>6718</v>
      </c>
      <c r="D1041" t="s">
        <v>11570</v>
      </c>
      <c r="E1041" t="s">
        <v>29416</v>
      </c>
      <c r="F1041">
        <v>1</v>
      </c>
      <c r="G1041">
        <v>7082243</v>
      </c>
      <c r="H1041" t="s">
        <v>29417</v>
      </c>
      <c r="J1041" s="54" t="s">
        <v>6052</v>
      </c>
      <c r="K1041" s="54">
        <v>0</v>
      </c>
      <c r="L1041" s="22" t="s">
        <v>34</v>
      </c>
      <c r="M1041" s="22" t="s">
        <v>1493</v>
      </c>
    </row>
    <row r="1042" spans="1:13" x14ac:dyDescent="0.75">
      <c r="A1042" t="s">
        <v>28661</v>
      </c>
      <c r="B1042" t="s">
        <v>9411</v>
      </c>
      <c r="C1042" t="s">
        <v>9412</v>
      </c>
      <c r="D1042" t="s">
        <v>9413</v>
      </c>
      <c r="E1042" t="s">
        <v>28662</v>
      </c>
      <c r="F1042">
        <v>100</v>
      </c>
      <c r="G1042">
        <v>1576519</v>
      </c>
      <c r="H1042" t="s">
        <v>28663</v>
      </c>
      <c r="J1042" s="54" t="s">
        <v>6052</v>
      </c>
      <c r="K1042" s="54">
        <v>0</v>
      </c>
      <c r="L1042" s="22" t="s">
        <v>36808</v>
      </c>
      <c r="M1042" s="22" t="s">
        <v>36903</v>
      </c>
    </row>
    <row r="1043" spans="1:13" x14ac:dyDescent="0.75">
      <c r="A1043" t="s">
        <v>18838</v>
      </c>
      <c r="B1043" t="s">
        <v>9411</v>
      </c>
      <c r="C1043" t="s">
        <v>9412</v>
      </c>
      <c r="D1043" t="s">
        <v>9413</v>
      </c>
      <c r="E1043" t="s">
        <v>18839</v>
      </c>
      <c r="F1043">
        <v>34</v>
      </c>
      <c r="G1043">
        <v>1565755</v>
      </c>
      <c r="H1043" t="s">
        <v>18840</v>
      </c>
      <c r="J1043" s="54" t="s">
        <v>6052</v>
      </c>
      <c r="K1043" s="54">
        <v>0</v>
      </c>
      <c r="L1043" s="22" t="s">
        <v>36808</v>
      </c>
      <c r="M1043" s="22" t="s">
        <v>36903</v>
      </c>
    </row>
    <row r="1044" spans="1:13" x14ac:dyDescent="0.75">
      <c r="A1044" t="s">
        <v>9410</v>
      </c>
      <c r="B1044" t="s">
        <v>9411</v>
      </c>
      <c r="C1044" t="s">
        <v>9412</v>
      </c>
      <c r="D1044" t="s">
        <v>9413</v>
      </c>
      <c r="E1044" t="s">
        <v>9414</v>
      </c>
      <c r="F1044">
        <v>11</v>
      </c>
      <c r="G1044">
        <v>1680471</v>
      </c>
      <c r="H1044" t="s">
        <v>9415</v>
      </c>
      <c r="J1044" s="54" t="s">
        <v>6052</v>
      </c>
      <c r="K1044" s="54">
        <v>0</v>
      </c>
      <c r="L1044" s="22" t="s">
        <v>36808</v>
      </c>
      <c r="M1044" s="22" t="s">
        <v>36903</v>
      </c>
    </row>
    <row r="1045" spans="1:13" x14ac:dyDescent="0.75">
      <c r="A1045" t="s">
        <v>13375</v>
      </c>
      <c r="B1045" t="s">
        <v>9411</v>
      </c>
      <c r="C1045" t="s">
        <v>9412</v>
      </c>
      <c r="D1045" t="s">
        <v>9413</v>
      </c>
      <c r="E1045" t="s">
        <v>13376</v>
      </c>
      <c r="F1045">
        <v>2</v>
      </c>
      <c r="G1045">
        <v>1728487</v>
      </c>
      <c r="H1045" t="s">
        <v>13377</v>
      </c>
      <c r="J1045" s="54" t="s">
        <v>6052</v>
      </c>
      <c r="K1045" s="54">
        <v>0</v>
      </c>
      <c r="L1045" s="22" t="s">
        <v>36808</v>
      </c>
      <c r="M1045" s="22" t="s">
        <v>36903</v>
      </c>
    </row>
    <row r="1046" spans="1:13" x14ac:dyDescent="0.75">
      <c r="A1046" t="s">
        <v>19933</v>
      </c>
      <c r="B1046" t="s">
        <v>6455</v>
      </c>
      <c r="C1046" t="s">
        <v>6456</v>
      </c>
      <c r="D1046" t="s">
        <v>6457</v>
      </c>
      <c r="E1046" t="s">
        <v>19934</v>
      </c>
      <c r="F1046">
        <v>10</v>
      </c>
      <c r="G1046">
        <v>2523858</v>
      </c>
      <c r="H1046" t="s">
        <v>19935</v>
      </c>
      <c r="J1046" s="54" t="s">
        <v>6052</v>
      </c>
      <c r="K1046" s="54">
        <v>0</v>
      </c>
      <c r="L1046" s="22" t="s">
        <v>1563</v>
      </c>
      <c r="M1046" s="22" t="s">
        <v>36904</v>
      </c>
    </row>
    <row r="1047" spans="1:13" x14ac:dyDescent="0.75">
      <c r="A1047" t="s">
        <v>11064</v>
      </c>
      <c r="B1047" t="s">
        <v>1309</v>
      </c>
      <c r="C1047" t="s">
        <v>6456</v>
      </c>
      <c r="D1047" t="s">
        <v>10540</v>
      </c>
      <c r="E1047" t="s">
        <v>11065</v>
      </c>
      <c r="F1047">
        <v>150</v>
      </c>
      <c r="G1047">
        <v>3121288</v>
      </c>
      <c r="H1047" t="s">
        <v>11066</v>
      </c>
      <c r="J1047" s="54" t="s">
        <v>6052</v>
      </c>
      <c r="K1047" s="54">
        <v>0</v>
      </c>
      <c r="L1047" s="22" t="s">
        <v>1308</v>
      </c>
      <c r="M1047" s="22" t="s">
        <v>1310</v>
      </c>
    </row>
    <row r="1048" spans="1:13" x14ac:dyDescent="0.75">
      <c r="A1048" t="s">
        <v>8593</v>
      </c>
      <c r="B1048" t="s">
        <v>8594</v>
      </c>
      <c r="C1048" t="s">
        <v>6456</v>
      </c>
      <c r="D1048" t="s">
        <v>6770</v>
      </c>
      <c r="E1048" t="s">
        <v>8595</v>
      </c>
      <c r="F1048">
        <v>1</v>
      </c>
      <c r="G1048">
        <v>1932693</v>
      </c>
      <c r="H1048" t="s">
        <v>8596</v>
      </c>
      <c r="J1048" s="54" t="s">
        <v>6052</v>
      </c>
      <c r="K1048" s="54">
        <v>0</v>
      </c>
      <c r="L1048" s="22" t="s">
        <v>34</v>
      </c>
      <c r="M1048" s="22" t="s">
        <v>36905</v>
      </c>
    </row>
    <row r="1049" spans="1:13" x14ac:dyDescent="0.75">
      <c r="A1049" t="s">
        <v>9897</v>
      </c>
      <c r="B1049" t="s">
        <v>8594</v>
      </c>
      <c r="C1049" t="s">
        <v>6456</v>
      </c>
      <c r="D1049" t="s">
        <v>6770</v>
      </c>
      <c r="E1049" t="s">
        <v>9898</v>
      </c>
      <c r="F1049">
        <v>1</v>
      </c>
      <c r="G1049">
        <v>1963012</v>
      </c>
      <c r="H1049" t="s">
        <v>9899</v>
      </c>
      <c r="J1049" s="54" t="s">
        <v>6052</v>
      </c>
      <c r="K1049" s="54">
        <v>0</v>
      </c>
      <c r="L1049" s="22" t="s">
        <v>34</v>
      </c>
      <c r="M1049" s="22" t="s">
        <v>36905</v>
      </c>
    </row>
    <row r="1050" spans="1:13" x14ac:dyDescent="0.75">
      <c r="A1050" t="s">
        <v>7108</v>
      </c>
      <c r="B1050" t="s">
        <v>6455</v>
      </c>
      <c r="C1050" t="s">
        <v>6456</v>
      </c>
      <c r="D1050" t="s">
        <v>6457</v>
      </c>
      <c r="E1050" t="s">
        <v>7109</v>
      </c>
      <c r="F1050">
        <v>2</v>
      </c>
      <c r="G1050">
        <v>2642081</v>
      </c>
      <c r="H1050" t="s">
        <v>7110</v>
      </c>
      <c r="J1050" s="54" t="s">
        <v>6052</v>
      </c>
      <c r="K1050" s="54">
        <v>0</v>
      </c>
      <c r="L1050" s="22" t="s">
        <v>1563</v>
      </c>
      <c r="M1050" s="22" t="s">
        <v>36904</v>
      </c>
    </row>
    <row r="1051" spans="1:13" x14ac:dyDescent="0.75">
      <c r="A1051" t="s">
        <v>6454</v>
      </c>
      <c r="B1051" t="s">
        <v>6455</v>
      </c>
      <c r="C1051" t="s">
        <v>6456</v>
      </c>
      <c r="D1051" t="s">
        <v>6457</v>
      </c>
      <c r="E1051" t="s">
        <v>6458</v>
      </c>
      <c r="F1051">
        <v>1</v>
      </c>
      <c r="G1051">
        <v>2636367</v>
      </c>
      <c r="H1051" t="s">
        <v>6459</v>
      </c>
      <c r="J1051" s="54" t="s">
        <v>6052</v>
      </c>
      <c r="K1051" s="54">
        <v>0</v>
      </c>
      <c r="L1051" s="22" t="s">
        <v>1563</v>
      </c>
      <c r="M1051" s="22" t="s">
        <v>36904</v>
      </c>
    </row>
    <row r="1052" spans="1:13" x14ac:dyDescent="0.75">
      <c r="A1052" t="s">
        <v>10733</v>
      </c>
      <c r="B1052" t="s">
        <v>8594</v>
      </c>
      <c r="C1052" t="s">
        <v>6456</v>
      </c>
      <c r="D1052" t="s">
        <v>6770</v>
      </c>
      <c r="E1052" t="s">
        <v>10734</v>
      </c>
      <c r="F1052">
        <v>1</v>
      </c>
      <c r="G1052">
        <v>1938624</v>
      </c>
      <c r="H1052" t="s">
        <v>10735</v>
      </c>
      <c r="J1052" s="54" t="s">
        <v>6052</v>
      </c>
      <c r="K1052" s="54">
        <v>0</v>
      </c>
      <c r="L1052" s="22" t="s">
        <v>34</v>
      </c>
      <c r="M1052" s="22" t="s">
        <v>36905</v>
      </c>
    </row>
    <row r="1053" spans="1:13" x14ac:dyDescent="0.75">
      <c r="A1053" t="s">
        <v>23807</v>
      </c>
      <c r="B1053" t="s">
        <v>6749</v>
      </c>
      <c r="C1053" t="s">
        <v>6456</v>
      </c>
      <c r="D1053" t="s">
        <v>6750</v>
      </c>
      <c r="E1053" t="s">
        <v>23808</v>
      </c>
      <c r="F1053">
        <v>2</v>
      </c>
      <c r="G1053">
        <v>2336700</v>
      </c>
      <c r="H1053" t="s">
        <v>23809</v>
      </c>
      <c r="J1053" s="54" t="s">
        <v>6052</v>
      </c>
      <c r="K1053" s="54">
        <v>0</v>
      </c>
      <c r="L1053" s="22" t="s">
        <v>1308</v>
      </c>
      <c r="M1053" s="22" t="s">
        <v>36906</v>
      </c>
    </row>
    <row r="1054" spans="1:13" x14ac:dyDescent="0.75">
      <c r="A1054" t="s">
        <v>23249</v>
      </c>
      <c r="B1054" t="s">
        <v>8594</v>
      </c>
      <c r="C1054" t="s">
        <v>6456</v>
      </c>
      <c r="D1054" t="s">
        <v>6770</v>
      </c>
      <c r="E1054" t="s">
        <v>23250</v>
      </c>
      <c r="F1054">
        <v>1</v>
      </c>
      <c r="G1054">
        <v>1935434</v>
      </c>
      <c r="H1054" t="s">
        <v>23251</v>
      </c>
      <c r="J1054" s="54" t="s">
        <v>6052</v>
      </c>
      <c r="K1054" s="54">
        <v>0</v>
      </c>
      <c r="L1054" s="22" t="s">
        <v>34</v>
      </c>
      <c r="M1054" s="22" t="s">
        <v>36905</v>
      </c>
    </row>
    <row r="1055" spans="1:13" x14ac:dyDescent="0.75">
      <c r="A1055" t="s">
        <v>14261</v>
      </c>
      <c r="B1055" t="s">
        <v>6749</v>
      </c>
      <c r="C1055" t="s">
        <v>6456</v>
      </c>
      <c r="D1055" t="s">
        <v>6750</v>
      </c>
      <c r="E1055" t="s">
        <v>14262</v>
      </c>
      <c r="F1055">
        <v>1</v>
      </c>
      <c r="G1055">
        <v>2435083</v>
      </c>
      <c r="H1055" t="s">
        <v>14263</v>
      </c>
      <c r="J1055" s="54" t="s">
        <v>6052</v>
      </c>
      <c r="K1055" s="54">
        <v>0</v>
      </c>
      <c r="L1055" s="22" t="s">
        <v>1308</v>
      </c>
      <c r="M1055" s="22" t="s">
        <v>36906</v>
      </c>
    </row>
    <row r="1056" spans="1:13" x14ac:dyDescent="0.75">
      <c r="A1056" t="s">
        <v>1336</v>
      </c>
      <c r="B1056" t="s">
        <v>1309</v>
      </c>
      <c r="C1056" t="s">
        <v>6456</v>
      </c>
      <c r="D1056" t="s">
        <v>10540</v>
      </c>
      <c r="E1056" t="s">
        <v>10652</v>
      </c>
      <c r="F1056">
        <v>136</v>
      </c>
      <c r="G1056">
        <v>3146618</v>
      </c>
      <c r="H1056" t="s">
        <v>10653</v>
      </c>
      <c r="J1056" s="54" t="s">
        <v>6052</v>
      </c>
      <c r="K1056" s="54">
        <v>0</v>
      </c>
      <c r="L1056" s="22" t="s">
        <v>1308</v>
      </c>
      <c r="M1056" s="22" t="s">
        <v>1310</v>
      </c>
    </row>
    <row r="1057" spans="1:13" x14ac:dyDescent="0.75">
      <c r="A1057" t="s">
        <v>1352</v>
      </c>
      <c r="B1057" t="s">
        <v>1309</v>
      </c>
      <c r="C1057" t="s">
        <v>6456</v>
      </c>
      <c r="D1057" t="s">
        <v>10540</v>
      </c>
      <c r="E1057" t="s">
        <v>10652</v>
      </c>
      <c r="F1057">
        <v>57</v>
      </c>
      <c r="G1057">
        <v>3143954</v>
      </c>
      <c r="H1057" t="s">
        <v>10865</v>
      </c>
      <c r="J1057" s="54" t="s">
        <v>6052</v>
      </c>
      <c r="K1057" s="54">
        <v>0</v>
      </c>
      <c r="L1057" s="22" t="s">
        <v>1308</v>
      </c>
      <c r="M1057" s="22" t="s">
        <v>1310</v>
      </c>
    </row>
    <row r="1058" spans="1:13" x14ac:dyDescent="0.75">
      <c r="A1058" t="s">
        <v>9563</v>
      </c>
      <c r="B1058" t="s">
        <v>9564</v>
      </c>
      <c r="C1058" t="s">
        <v>6456</v>
      </c>
      <c r="D1058" t="s">
        <v>9565</v>
      </c>
      <c r="E1058" t="s">
        <v>9566</v>
      </c>
      <c r="F1058">
        <v>32</v>
      </c>
      <c r="G1058">
        <v>2765266</v>
      </c>
      <c r="H1058" t="s">
        <v>9567</v>
      </c>
      <c r="J1058" s="54" t="s">
        <v>6052</v>
      </c>
      <c r="K1058" s="54">
        <v>0</v>
      </c>
      <c r="L1058" s="22" t="s">
        <v>144</v>
      </c>
      <c r="M1058" s="22" t="s">
        <v>36907</v>
      </c>
    </row>
    <row r="1059" spans="1:13" x14ac:dyDescent="0.75">
      <c r="A1059" t="s">
        <v>10654</v>
      </c>
      <c r="B1059" t="s">
        <v>9564</v>
      </c>
      <c r="C1059" t="s">
        <v>6456</v>
      </c>
      <c r="D1059" t="s">
        <v>9565</v>
      </c>
      <c r="E1059" t="s">
        <v>9566</v>
      </c>
      <c r="F1059">
        <v>75</v>
      </c>
      <c r="G1059">
        <v>2761997</v>
      </c>
      <c r="H1059" t="s">
        <v>10655</v>
      </c>
      <c r="J1059" s="54" t="s">
        <v>6052</v>
      </c>
      <c r="K1059" s="54">
        <v>0</v>
      </c>
      <c r="L1059" s="22" t="s">
        <v>144</v>
      </c>
      <c r="M1059" s="22" t="s">
        <v>36907</v>
      </c>
    </row>
    <row r="1060" spans="1:13" x14ac:dyDescent="0.75">
      <c r="A1060" t="s">
        <v>6748</v>
      </c>
      <c r="B1060" t="s">
        <v>6749</v>
      </c>
      <c r="C1060" t="s">
        <v>6456</v>
      </c>
      <c r="D1060" t="s">
        <v>6750</v>
      </c>
      <c r="E1060" t="s">
        <v>6751</v>
      </c>
      <c r="F1060">
        <v>117</v>
      </c>
      <c r="G1060">
        <v>2331386</v>
      </c>
      <c r="H1060" t="s">
        <v>6752</v>
      </c>
      <c r="J1060" s="54" t="s">
        <v>6052</v>
      </c>
      <c r="K1060" s="54">
        <v>0</v>
      </c>
      <c r="L1060" s="22" t="s">
        <v>1308</v>
      </c>
      <c r="M1060" s="22" t="s">
        <v>36906</v>
      </c>
    </row>
    <row r="1061" spans="1:13" x14ac:dyDescent="0.75">
      <c r="A1061" t="s">
        <v>10656</v>
      </c>
      <c r="B1061" t="s">
        <v>6749</v>
      </c>
      <c r="C1061" t="s">
        <v>6456</v>
      </c>
      <c r="D1061" t="s">
        <v>6750</v>
      </c>
      <c r="E1061" t="s">
        <v>6751</v>
      </c>
      <c r="F1061">
        <v>29</v>
      </c>
      <c r="G1061">
        <v>2257131</v>
      </c>
      <c r="H1061" t="s">
        <v>10657</v>
      </c>
      <c r="J1061" s="54" t="s">
        <v>6052</v>
      </c>
      <c r="K1061" s="54">
        <v>0</v>
      </c>
      <c r="L1061" s="22" t="s">
        <v>1308</v>
      </c>
      <c r="M1061" s="22" t="s">
        <v>36906</v>
      </c>
    </row>
    <row r="1062" spans="1:13" x14ac:dyDescent="0.75">
      <c r="A1062" t="s">
        <v>27157</v>
      </c>
      <c r="B1062" t="s">
        <v>7625</v>
      </c>
      <c r="C1062" t="s">
        <v>6456</v>
      </c>
      <c r="D1062" t="s">
        <v>7626</v>
      </c>
      <c r="E1062" t="s">
        <v>27158</v>
      </c>
      <c r="F1062">
        <v>6</v>
      </c>
      <c r="G1062">
        <v>2449019</v>
      </c>
      <c r="H1062" t="s">
        <v>27159</v>
      </c>
      <c r="J1062" s="54" t="s">
        <v>6052</v>
      </c>
      <c r="K1062" s="54">
        <v>0</v>
      </c>
      <c r="L1062" s="22" t="s">
        <v>1563</v>
      </c>
      <c r="M1062" s="22" t="s">
        <v>36908</v>
      </c>
    </row>
    <row r="1063" spans="1:13" x14ac:dyDescent="0.75">
      <c r="A1063" t="s">
        <v>10658</v>
      </c>
      <c r="B1063" t="s">
        <v>6455</v>
      </c>
      <c r="C1063" t="s">
        <v>6456</v>
      </c>
      <c r="D1063" t="s">
        <v>6457</v>
      </c>
      <c r="E1063" t="s">
        <v>10659</v>
      </c>
      <c r="F1063">
        <v>32</v>
      </c>
      <c r="G1063">
        <v>2614783</v>
      </c>
      <c r="H1063" t="s">
        <v>10660</v>
      </c>
      <c r="J1063" s="54" t="s">
        <v>6052</v>
      </c>
      <c r="K1063" s="54">
        <v>0</v>
      </c>
      <c r="L1063" s="22" t="s">
        <v>1563</v>
      </c>
      <c r="M1063" s="22" t="s">
        <v>36904</v>
      </c>
    </row>
    <row r="1064" spans="1:13" x14ac:dyDescent="0.75">
      <c r="A1064" t="s">
        <v>27168</v>
      </c>
      <c r="B1064" t="s">
        <v>6455</v>
      </c>
      <c r="C1064" t="s">
        <v>6456</v>
      </c>
      <c r="D1064" t="s">
        <v>6457</v>
      </c>
      <c r="E1064" t="s">
        <v>10659</v>
      </c>
      <c r="F1064">
        <v>2</v>
      </c>
      <c r="G1064">
        <v>2668067</v>
      </c>
      <c r="H1064" t="s">
        <v>27169</v>
      </c>
      <c r="J1064" s="54" t="s">
        <v>6052</v>
      </c>
      <c r="K1064" s="54">
        <v>0</v>
      </c>
      <c r="L1064" s="22" t="s">
        <v>1563</v>
      </c>
      <c r="M1064" s="22" t="s">
        <v>36904</v>
      </c>
    </row>
    <row r="1065" spans="1:13" x14ac:dyDescent="0.75">
      <c r="A1065" t="s">
        <v>20576</v>
      </c>
      <c r="B1065" t="s">
        <v>6455</v>
      </c>
      <c r="C1065" t="s">
        <v>6456</v>
      </c>
      <c r="D1065" t="s">
        <v>6457</v>
      </c>
      <c r="E1065" t="s">
        <v>20577</v>
      </c>
      <c r="F1065">
        <v>1</v>
      </c>
      <c r="G1065">
        <v>2552511</v>
      </c>
      <c r="H1065" t="s">
        <v>20578</v>
      </c>
      <c r="J1065" s="54" t="s">
        <v>6052</v>
      </c>
      <c r="K1065" s="54">
        <v>0</v>
      </c>
      <c r="L1065" s="22" t="s">
        <v>1563</v>
      </c>
      <c r="M1065" s="22" t="s">
        <v>36904</v>
      </c>
    </row>
    <row r="1066" spans="1:13" x14ac:dyDescent="0.75">
      <c r="A1066" t="s">
        <v>23379</v>
      </c>
      <c r="B1066" t="s">
        <v>8594</v>
      </c>
      <c r="C1066" t="s">
        <v>6456</v>
      </c>
      <c r="D1066" t="s">
        <v>6770</v>
      </c>
      <c r="E1066" t="s">
        <v>23380</v>
      </c>
      <c r="F1066">
        <v>1</v>
      </c>
      <c r="G1066">
        <v>1944140</v>
      </c>
      <c r="H1066" t="s">
        <v>23381</v>
      </c>
      <c r="J1066" s="54" t="s">
        <v>6052</v>
      </c>
      <c r="K1066" s="54">
        <v>0</v>
      </c>
      <c r="L1066" s="22" t="s">
        <v>34</v>
      </c>
      <c r="M1066" s="22" t="s">
        <v>36905</v>
      </c>
    </row>
    <row r="1067" spans="1:13" x14ac:dyDescent="0.75">
      <c r="A1067" t="s">
        <v>10910</v>
      </c>
      <c r="B1067" t="s">
        <v>6749</v>
      </c>
      <c r="C1067" t="s">
        <v>6456</v>
      </c>
      <c r="D1067" t="s">
        <v>6750</v>
      </c>
      <c r="E1067" t="s">
        <v>10911</v>
      </c>
      <c r="F1067">
        <v>1</v>
      </c>
      <c r="G1067">
        <v>2269415</v>
      </c>
      <c r="H1067" t="s">
        <v>10912</v>
      </c>
      <c r="J1067" s="54" t="s">
        <v>6052</v>
      </c>
      <c r="K1067" s="54">
        <v>0</v>
      </c>
      <c r="L1067" s="22" t="s">
        <v>1308</v>
      </c>
      <c r="M1067" s="22" t="s">
        <v>36906</v>
      </c>
    </row>
    <row r="1068" spans="1:13" x14ac:dyDescent="0.75">
      <c r="A1068" t="s">
        <v>10926</v>
      </c>
      <c r="B1068" t="s">
        <v>6455</v>
      </c>
      <c r="C1068" t="s">
        <v>6456</v>
      </c>
      <c r="D1068" t="s">
        <v>6457</v>
      </c>
      <c r="E1068" t="s">
        <v>10927</v>
      </c>
      <c r="F1068">
        <v>1</v>
      </c>
      <c r="G1068">
        <v>2635669</v>
      </c>
      <c r="H1068" t="s">
        <v>10928</v>
      </c>
      <c r="J1068" s="54" t="s">
        <v>6052</v>
      </c>
      <c r="K1068" s="54">
        <v>0</v>
      </c>
      <c r="L1068" s="22" t="s">
        <v>1563</v>
      </c>
      <c r="M1068" s="22" t="s">
        <v>36904</v>
      </c>
    </row>
    <row r="1069" spans="1:13" x14ac:dyDescent="0.75">
      <c r="A1069" t="s">
        <v>7624</v>
      </c>
      <c r="B1069" t="s">
        <v>7625</v>
      </c>
      <c r="C1069" t="s">
        <v>6456</v>
      </c>
      <c r="D1069" t="s">
        <v>7626</v>
      </c>
      <c r="E1069" t="s">
        <v>7627</v>
      </c>
      <c r="F1069">
        <v>1</v>
      </c>
      <c r="G1069">
        <v>2385164</v>
      </c>
      <c r="H1069" t="s">
        <v>7628</v>
      </c>
      <c r="J1069" s="54" t="s">
        <v>6052</v>
      </c>
      <c r="K1069" s="54">
        <v>0</v>
      </c>
      <c r="L1069" s="22" t="s">
        <v>1563</v>
      </c>
      <c r="M1069" s="22" t="s">
        <v>36908</v>
      </c>
    </row>
    <row r="1070" spans="1:13" x14ac:dyDescent="0.75">
      <c r="A1070" t="s">
        <v>1370</v>
      </c>
      <c r="B1070" t="s">
        <v>1309</v>
      </c>
      <c r="C1070" t="s">
        <v>6456</v>
      </c>
      <c r="D1070" t="s">
        <v>10540</v>
      </c>
      <c r="E1070" t="s">
        <v>10929</v>
      </c>
      <c r="F1070">
        <v>1</v>
      </c>
      <c r="G1070">
        <v>3158347</v>
      </c>
      <c r="H1070" t="s">
        <v>10930</v>
      </c>
      <c r="J1070" s="54" t="s">
        <v>6052</v>
      </c>
      <c r="K1070" s="54">
        <v>0</v>
      </c>
      <c r="L1070" s="22" t="s">
        <v>1308</v>
      </c>
      <c r="M1070" s="22" t="s">
        <v>1310</v>
      </c>
    </row>
    <row r="1071" spans="1:13" x14ac:dyDescent="0.75">
      <c r="A1071" t="s">
        <v>18483</v>
      </c>
      <c r="B1071" t="s">
        <v>6749</v>
      </c>
      <c r="C1071" t="s">
        <v>6456</v>
      </c>
      <c r="D1071" t="s">
        <v>6750</v>
      </c>
      <c r="E1071" t="s">
        <v>18484</v>
      </c>
      <c r="F1071">
        <v>1</v>
      </c>
      <c r="G1071">
        <v>2289549</v>
      </c>
      <c r="H1071" t="s">
        <v>18485</v>
      </c>
      <c r="J1071" s="54" t="s">
        <v>6052</v>
      </c>
      <c r="K1071" s="54">
        <v>0</v>
      </c>
      <c r="L1071" s="22" t="s">
        <v>1308</v>
      </c>
      <c r="M1071" s="22" t="s">
        <v>36906</v>
      </c>
    </row>
    <row r="1072" spans="1:13" x14ac:dyDescent="0.75">
      <c r="A1072" t="s">
        <v>20388</v>
      </c>
      <c r="B1072" t="s">
        <v>7625</v>
      </c>
      <c r="C1072" t="s">
        <v>6456</v>
      </c>
      <c r="D1072" t="s">
        <v>7626</v>
      </c>
      <c r="E1072" t="s">
        <v>20389</v>
      </c>
      <c r="F1072">
        <v>1</v>
      </c>
      <c r="G1072">
        <v>2403825</v>
      </c>
      <c r="H1072" t="s">
        <v>20390</v>
      </c>
      <c r="J1072" s="54" t="s">
        <v>6052</v>
      </c>
      <c r="K1072" s="54">
        <v>0</v>
      </c>
      <c r="L1072" s="22" t="s">
        <v>1563</v>
      </c>
      <c r="M1072" s="22" t="s">
        <v>36908</v>
      </c>
    </row>
    <row r="1073" spans="1:13" x14ac:dyDescent="0.75">
      <c r="A1073" t="s">
        <v>19068</v>
      </c>
      <c r="B1073" t="s">
        <v>9564</v>
      </c>
      <c r="C1073" t="s">
        <v>6456</v>
      </c>
      <c r="D1073" t="s">
        <v>9565</v>
      </c>
      <c r="E1073" t="s">
        <v>19069</v>
      </c>
      <c r="F1073">
        <v>1</v>
      </c>
      <c r="G1073">
        <v>2822354</v>
      </c>
      <c r="H1073" t="s">
        <v>19070</v>
      </c>
      <c r="J1073" s="54" t="s">
        <v>6052</v>
      </c>
      <c r="K1073" s="54">
        <v>0</v>
      </c>
      <c r="L1073" s="22" t="s">
        <v>144</v>
      </c>
      <c r="M1073" s="22" t="s">
        <v>36907</v>
      </c>
    </row>
    <row r="1074" spans="1:13" x14ac:dyDescent="0.75">
      <c r="A1074" t="s">
        <v>10722</v>
      </c>
      <c r="B1074" t="s">
        <v>8594</v>
      </c>
      <c r="C1074" t="s">
        <v>6456</v>
      </c>
      <c r="D1074" t="s">
        <v>6770</v>
      </c>
      <c r="E1074" t="s">
        <v>10723</v>
      </c>
      <c r="F1074">
        <v>1</v>
      </c>
      <c r="G1074">
        <v>1946899</v>
      </c>
      <c r="H1074" t="s">
        <v>10724</v>
      </c>
      <c r="J1074" s="54" t="s">
        <v>6052</v>
      </c>
      <c r="K1074" s="54">
        <v>0</v>
      </c>
      <c r="L1074" s="22" t="s">
        <v>34</v>
      </c>
      <c r="M1074" s="22" t="s">
        <v>36905</v>
      </c>
    </row>
    <row r="1075" spans="1:13" x14ac:dyDescent="0.75">
      <c r="A1075" t="s">
        <v>20987</v>
      </c>
      <c r="B1075" t="s">
        <v>1309</v>
      </c>
      <c r="C1075" t="s">
        <v>6456</v>
      </c>
      <c r="D1075" t="s">
        <v>10540</v>
      </c>
      <c r="E1075" t="s">
        <v>20988</v>
      </c>
      <c r="F1075">
        <v>101</v>
      </c>
      <c r="G1075">
        <v>3001014</v>
      </c>
      <c r="H1075" t="s">
        <v>20989</v>
      </c>
      <c r="J1075" s="54" t="s">
        <v>6052</v>
      </c>
      <c r="K1075" s="54">
        <v>0</v>
      </c>
      <c r="L1075" s="22" t="s">
        <v>1308</v>
      </c>
      <c r="M1075" s="22" t="s">
        <v>1310</v>
      </c>
    </row>
    <row r="1076" spans="1:13" x14ac:dyDescent="0.75">
      <c r="A1076" t="s">
        <v>10543</v>
      </c>
      <c r="B1076" t="s">
        <v>8594</v>
      </c>
      <c r="C1076" t="s">
        <v>6456</v>
      </c>
      <c r="D1076" t="s">
        <v>6770</v>
      </c>
      <c r="E1076" t="s">
        <v>10544</v>
      </c>
      <c r="F1076">
        <v>13</v>
      </c>
      <c r="G1076">
        <v>1915007</v>
      </c>
      <c r="H1076" t="s">
        <v>10545</v>
      </c>
      <c r="J1076" s="54" t="s">
        <v>6052</v>
      </c>
      <c r="K1076" s="54">
        <v>0</v>
      </c>
      <c r="L1076" s="22" t="s">
        <v>34</v>
      </c>
      <c r="M1076" s="22" t="s">
        <v>36905</v>
      </c>
    </row>
    <row r="1077" spans="1:13" x14ac:dyDescent="0.75">
      <c r="A1077" t="s">
        <v>10546</v>
      </c>
      <c r="B1077" t="s">
        <v>9564</v>
      </c>
      <c r="C1077" t="s">
        <v>6456</v>
      </c>
      <c r="D1077" t="s">
        <v>9565</v>
      </c>
      <c r="E1077" t="s">
        <v>10547</v>
      </c>
      <c r="F1077">
        <v>27</v>
      </c>
      <c r="G1077">
        <v>2790088</v>
      </c>
      <c r="H1077" t="s">
        <v>10548</v>
      </c>
      <c r="J1077" s="54" t="s">
        <v>6052</v>
      </c>
      <c r="K1077" s="54">
        <v>0</v>
      </c>
      <c r="L1077" s="22" t="s">
        <v>144</v>
      </c>
      <c r="M1077" s="22" t="s">
        <v>36907</v>
      </c>
    </row>
    <row r="1078" spans="1:13" x14ac:dyDescent="0.75">
      <c r="A1078" t="s">
        <v>10537</v>
      </c>
      <c r="B1078" t="s">
        <v>7625</v>
      </c>
      <c r="C1078" t="s">
        <v>6456</v>
      </c>
      <c r="D1078" t="s">
        <v>7626</v>
      </c>
      <c r="E1078" t="s">
        <v>10538</v>
      </c>
      <c r="F1078">
        <v>8</v>
      </c>
      <c r="G1078">
        <v>2384703</v>
      </c>
      <c r="H1078" t="s">
        <v>10539</v>
      </c>
      <c r="J1078" s="54" t="s">
        <v>6052</v>
      </c>
      <c r="K1078" s="54">
        <v>0</v>
      </c>
      <c r="L1078" s="22" t="s">
        <v>1563</v>
      </c>
      <c r="M1078" s="22" t="s">
        <v>36908</v>
      </c>
    </row>
    <row r="1079" spans="1:13" x14ac:dyDescent="0.75">
      <c r="A1079" t="s">
        <v>1307</v>
      </c>
      <c r="B1079" t="s">
        <v>1309</v>
      </c>
      <c r="C1079" t="s">
        <v>6456</v>
      </c>
      <c r="D1079" t="s">
        <v>10540</v>
      </c>
      <c r="E1079" t="s">
        <v>10541</v>
      </c>
      <c r="F1079">
        <v>34</v>
      </c>
      <c r="G1079">
        <v>3141793</v>
      </c>
      <c r="H1079" t="s">
        <v>10542</v>
      </c>
      <c r="J1079" s="54" t="s">
        <v>6052</v>
      </c>
      <c r="K1079" s="54">
        <v>0</v>
      </c>
      <c r="L1079" s="22" t="s">
        <v>1308</v>
      </c>
      <c r="M1079" s="22" t="s">
        <v>1310</v>
      </c>
    </row>
    <row r="1080" spans="1:13" x14ac:dyDescent="0.75">
      <c r="A1080" t="s">
        <v>28262</v>
      </c>
      <c r="B1080" t="s">
        <v>6455</v>
      </c>
      <c r="C1080" t="s">
        <v>6456</v>
      </c>
      <c r="D1080" t="s">
        <v>6457</v>
      </c>
      <c r="E1080" t="s">
        <v>28263</v>
      </c>
      <c r="F1080">
        <v>2</v>
      </c>
      <c r="G1080">
        <v>2642081</v>
      </c>
      <c r="H1080" t="s">
        <v>28264</v>
      </c>
      <c r="J1080" s="54" t="s">
        <v>6052</v>
      </c>
      <c r="K1080" s="54">
        <v>0</v>
      </c>
      <c r="L1080" s="22" t="s">
        <v>1563</v>
      </c>
      <c r="M1080" s="22" t="s">
        <v>36904</v>
      </c>
    </row>
    <row r="1081" spans="1:13" x14ac:dyDescent="0.75">
      <c r="A1081" t="s">
        <v>28355</v>
      </c>
      <c r="B1081" t="s">
        <v>8594</v>
      </c>
      <c r="C1081" t="s">
        <v>6456</v>
      </c>
      <c r="D1081" t="s">
        <v>6770</v>
      </c>
      <c r="E1081" t="s">
        <v>28356</v>
      </c>
      <c r="F1081">
        <v>1</v>
      </c>
      <c r="G1081">
        <v>1958651</v>
      </c>
      <c r="H1081" t="s">
        <v>28357</v>
      </c>
      <c r="J1081" s="54" t="s">
        <v>6052</v>
      </c>
      <c r="K1081" s="54">
        <v>0</v>
      </c>
      <c r="L1081" s="22" t="s">
        <v>34</v>
      </c>
      <c r="M1081" s="22" t="s">
        <v>36905</v>
      </c>
    </row>
    <row r="1082" spans="1:13" x14ac:dyDescent="0.75">
      <c r="A1082" t="s">
        <v>20573</v>
      </c>
      <c r="B1082" t="s">
        <v>6455</v>
      </c>
      <c r="C1082" t="s">
        <v>6456</v>
      </c>
      <c r="D1082" t="s">
        <v>6457</v>
      </c>
      <c r="E1082" t="s">
        <v>20574</v>
      </c>
      <c r="F1082">
        <v>1</v>
      </c>
      <c r="G1082">
        <v>2535489</v>
      </c>
      <c r="H1082" t="s">
        <v>20575</v>
      </c>
      <c r="J1082" s="54" t="s">
        <v>6052</v>
      </c>
      <c r="K1082" s="54">
        <v>0</v>
      </c>
      <c r="L1082" s="22" t="s">
        <v>1563</v>
      </c>
      <c r="M1082" s="22" t="s">
        <v>36904</v>
      </c>
    </row>
    <row r="1083" spans="1:13" x14ac:dyDescent="0.75">
      <c r="A1083" t="s">
        <v>21742</v>
      </c>
      <c r="B1083" t="s">
        <v>7625</v>
      </c>
      <c r="C1083" t="s">
        <v>6456</v>
      </c>
      <c r="D1083" t="s">
        <v>7626</v>
      </c>
      <c r="E1083" t="s">
        <v>21743</v>
      </c>
      <c r="F1083">
        <v>3</v>
      </c>
      <c r="G1083">
        <v>2534372</v>
      </c>
      <c r="H1083" t="s">
        <v>21744</v>
      </c>
      <c r="J1083" s="54" t="s">
        <v>6052</v>
      </c>
      <c r="K1083" s="54">
        <v>0</v>
      </c>
      <c r="L1083" s="22" t="s">
        <v>1563</v>
      </c>
      <c r="M1083" s="22" t="s">
        <v>36908</v>
      </c>
    </row>
    <row r="1084" spans="1:13" x14ac:dyDescent="0.75">
      <c r="A1084" t="s">
        <v>27963</v>
      </c>
      <c r="B1084" t="s">
        <v>6749</v>
      </c>
      <c r="C1084" t="s">
        <v>6456</v>
      </c>
      <c r="D1084" t="s">
        <v>6750</v>
      </c>
      <c r="E1084" t="s">
        <v>27964</v>
      </c>
      <c r="F1084">
        <v>1</v>
      </c>
      <c r="G1084">
        <v>2275664</v>
      </c>
      <c r="H1084" t="s">
        <v>27965</v>
      </c>
      <c r="J1084" s="54" t="s">
        <v>6052</v>
      </c>
      <c r="K1084" s="54">
        <v>0</v>
      </c>
      <c r="L1084" s="22" t="s">
        <v>1308</v>
      </c>
      <c r="M1084" s="22" t="s">
        <v>36906</v>
      </c>
    </row>
    <row r="1085" spans="1:13" x14ac:dyDescent="0.75">
      <c r="A1085" t="s">
        <v>27966</v>
      </c>
      <c r="B1085" t="s">
        <v>6455</v>
      </c>
      <c r="C1085" t="s">
        <v>6456</v>
      </c>
      <c r="D1085" t="s">
        <v>6457</v>
      </c>
      <c r="E1085" t="s">
        <v>27967</v>
      </c>
      <c r="F1085">
        <v>1</v>
      </c>
      <c r="G1085">
        <v>2635828</v>
      </c>
      <c r="H1085" t="s">
        <v>27968</v>
      </c>
      <c r="J1085" s="54" t="s">
        <v>6052</v>
      </c>
      <c r="K1085" s="54">
        <v>0</v>
      </c>
      <c r="L1085" s="22" t="s">
        <v>1563</v>
      </c>
      <c r="M1085" s="22" t="s">
        <v>36904</v>
      </c>
    </row>
    <row r="1086" spans="1:13" x14ac:dyDescent="0.75">
      <c r="A1086" t="s">
        <v>27974</v>
      </c>
      <c r="B1086" t="s">
        <v>7625</v>
      </c>
      <c r="C1086" t="s">
        <v>6456</v>
      </c>
      <c r="D1086" t="s">
        <v>7626</v>
      </c>
      <c r="E1086" t="s">
        <v>27975</v>
      </c>
      <c r="F1086">
        <v>1</v>
      </c>
      <c r="G1086">
        <v>2385160</v>
      </c>
      <c r="H1086" t="s">
        <v>27976</v>
      </c>
      <c r="J1086" s="54" t="s">
        <v>6052</v>
      </c>
      <c r="K1086" s="54">
        <v>0</v>
      </c>
      <c r="L1086" s="22" t="s">
        <v>1563</v>
      </c>
      <c r="M1086" s="22" t="s">
        <v>36908</v>
      </c>
    </row>
    <row r="1087" spans="1:13" x14ac:dyDescent="0.75">
      <c r="A1087" t="s">
        <v>14264</v>
      </c>
      <c r="B1087" t="s">
        <v>6749</v>
      </c>
      <c r="C1087" t="s">
        <v>6456</v>
      </c>
      <c r="D1087" t="s">
        <v>6750</v>
      </c>
      <c r="E1087" t="s">
        <v>14265</v>
      </c>
      <c r="F1087">
        <v>1</v>
      </c>
      <c r="G1087">
        <v>2289838</v>
      </c>
      <c r="H1087" t="s">
        <v>14266</v>
      </c>
      <c r="J1087" s="54" t="s">
        <v>6052</v>
      </c>
      <c r="K1087" s="54">
        <v>0</v>
      </c>
      <c r="L1087" s="22" t="s">
        <v>1308</v>
      </c>
      <c r="M1087" s="22" t="s">
        <v>36906</v>
      </c>
    </row>
    <row r="1088" spans="1:13" x14ac:dyDescent="0.75">
      <c r="A1088" t="s">
        <v>14267</v>
      </c>
      <c r="B1088" t="s">
        <v>6749</v>
      </c>
      <c r="C1088" t="s">
        <v>6456</v>
      </c>
      <c r="D1088" t="s">
        <v>6750</v>
      </c>
      <c r="E1088" t="s">
        <v>14268</v>
      </c>
      <c r="F1088">
        <v>1</v>
      </c>
      <c r="G1088">
        <v>2289791</v>
      </c>
      <c r="H1088" t="s">
        <v>14269</v>
      </c>
      <c r="J1088" s="54" t="s">
        <v>6052</v>
      </c>
      <c r="K1088" s="54">
        <v>0</v>
      </c>
      <c r="L1088" s="22" t="s">
        <v>1308</v>
      </c>
      <c r="M1088" s="22" t="s">
        <v>36906</v>
      </c>
    </row>
    <row r="1089" spans="1:13" x14ac:dyDescent="0.75">
      <c r="A1089" t="s">
        <v>28898</v>
      </c>
      <c r="B1089" t="s">
        <v>1309</v>
      </c>
      <c r="C1089" t="s">
        <v>6456</v>
      </c>
      <c r="D1089" t="s">
        <v>10540</v>
      </c>
      <c r="E1089" t="s">
        <v>28899</v>
      </c>
      <c r="F1089">
        <v>119</v>
      </c>
      <c r="G1089">
        <v>3023256</v>
      </c>
      <c r="H1089" t="s">
        <v>28900</v>
      </c>
      <c r="J1089" s="54" t="s">
        <v>6052</v>
      </c>
      <c r="K1089" s="54">
        <v>0</v>
      </c>
      <c r="L1089" s="22" t="s">
        <v>1308</v>
      </c>
      <c r="M1089" s="22" t="s">
        <v>1310</v>
      </c>
    </row>
    <row r="1090" spans="1:13" x14ac:dyDescent="0.75">
      <c r="A1090" t="s">
        <v>19720</v>
      </c>
      <c r="B1090" t="s">
        <v>8594</v>
      </c>
      <c r="C1090" t="s">
        <v>6456</v>
      </c>
      <c r="D1090" t="s">
        <v>6770</v>
      </c>
      <c r="E1090" t="s">
        <v>19721</v>
      </c>
      <c r="F1090">
        <v>1</v>
      </c>
      <c r="G1090">
        <v>1944283</v>
      </c>
      <c r="H1090" t="s">
        <v>19722</v>
      </c>
      <c r="J1090" s="54" t="s">
        <v>6052</v>
      </c>
      <c r="K1090" s="54">
        <v>0</v>
      </c>
      <c r="L1090" s="22" t="s">
        <v>34</v>
      </c>
      <c r="M1090" s="22" t="s">
        <v>36905</v>
      </c>
    </row>
    <row r="1091" spans="1:13" x14ac:dyDescent="0.75">
      <c r="A1091" t="s">
        <v>22658</v>
      </c>
      <c r="B1091" t="s">
        <v>9564</v>
      </c>
      <c r="C1091" t="s">
        <v>6456</v>
      </c>
      <c r="D1091" t="s">
        <v>9565</v>
      </c>
      <c r="E1091" t="s">
        <v>22659</v>
      </c>
      <c r="F1091">
        <v>50</v>
      </c>
      <c r="G1091">
        <v>2186116</v>
      </c>
      <c r="H1091" t="s">
        <v>22660</v>
      </c>
      <c r="J1091" s="54" t="s">
        <v>6052</v>
      </c>
      <c r="K1091" s="54">
        <v>0</v>
      </c>
      <c r="L1091" s="22" t="s">
        <v>144</v>
      </c>
      <c r="M1091" s="22" t="s">
        <v>36907</v>
      </c>
    </row>
    <row r="1092" spans="1:13" x14ac:dyDescent="0.75">
      <c r="A1092" t="s">
        <v>23205</v>
      </c>
      <c r="B1092" t="s">
        <v>7625</v>
      </c>
      <c r="C1092" t="s">
        <v>6456</v>
      </c>
      <c r="D1092" t="s">
        <v>7626</v>
      </c>
      <c r="E1092" t="s">
        <v>23206</v>
      </c>
      <c r="F1092">
        <v>1</v>
      </c>
      <c r="G1092">
        <v>2335916</v>
      </c>
      <c r="H1092" t="s">
        <v>23207</v>
      </c>
      <c r="J1092" s="54" t="s">
        <v>6052</v>
      </c>
      <c r="K1092" s="54">
        <v>0</v>
      </c>
      <c r="L1092" s="22" t="s">
        <v>1563</v>
      </c>
      <c r="M1092" s="22" t="s">
        <v>36908</v>
      </c>
    </row>
    <row r="1093" spans="1:13" x14ac:dyDescent="0.75">
      <c r="A1093" t="s">
        <v>26294</v>
      </c>
      <c r="B1093" t="s">
        <v>7625</v>
      </c>
      <c r="C1093" t="s">
        <v>6456</v>
      </c>
      <c r="D1093" t="s">
        <v>7626</v>
      </c>
      <c r="E1093" t="s">
        <v>26295</v>
      </c>
      <c r="F1093">
        <v>1</v>
      </c>
      <c r="G1093">
        <v>2528511</v>
      </c>
      <c r="H1093" t="s">
        <v>26296</v>
      </c>
      <c r="J1093" s="54" t="s">
        <v>6052</v>
      </c>
      <c r="K1093" s="54">
        <v>0</v>
      </c>
      <c r="L1093" s="22" t="s">
        <v>1563</v>
      </c>
      <c r="M1093" s="22" t="s">
        <v>36908</v>
      </c>
    </row>
    <row r="1094" spans="1:13" x14ac:dyDescent="0.75">
      <c r="A1094" t="s">
        <v>12378</v>
      </c>
      <c r="B1094" t="s">
        <v>8594</v>
      </c>
      <c r="C1094" t="s">
        <v>6456</v>
      </c>
      <c r="D1094" t="s">
        <v>6770</v>
      </c>
      <c r="E1094" t="s">
        <v>12379</v>
      </c>
      <c r="F1094">
        <v>1</v>
      </c>
      <c r="G1094">
        <v>2027369</v>
      </c>
      <c r="H1094" t="s">
        <v>12380</v>
      </c>
      <c r="J1094" s="54" t="s">
        <v>6052</v>
      </c>
      <c r="K1094" s="54">
        <v>0</v>
      </c>
      <c r="L1094" s="22" t="s">
        <v>34</v>
      </c>
      <c r="M1094" s="22" t="s">
        <v>36905</v>
      </c>
    </row>
    <row r="1095" spans="1:13" x14ac:dyDescent="0.75">
      <c r="A1095" t="s">
        <v>8887</v>
      </c>
      <c r="B1095" t="s">
        <v>8888</v>
      </c>
      <c r="C1095" t="s">
        <v>8889</v>
      </c>
      <c r="D1095" t="s">
        <v>8890</v>
      </c>
      <c r="E1095">
        <v>18323</v>
      </c>
      <c r="F1095">
        <v>1</v>
      </c>
      <c r="G1095">
        <v>4043846</v>
      </c>
      <c r="H1095" t="s">
        <v>8891</v>
      </c>
      <c r="J1095" s="54" t="s">
        <v>6052</v>
      </c>
      <c r="K1095" s="54">
        <v>0</v>
      </c>
      <c r="L1095" s="22" t="s">
        <v>36804</v>
      </c>
      <c r="M1095" s="22" t="s">
        <v>36909</v>
      </c>
    </row>
    <row r="1096" spans="1:13" x14ac:dyDescent="0.75">
      <c r="A1096" t="s">
        <v>13317</v>
      </c>
      <c r="B1096" t="s">
        <v>8888</v>
      </c>
      <c r="C1096" t="s">
        <v>8889</v>
      </c>
      <c r="D1096" t="s">
        <v>8890</v>
      </c>
      <c r="E1096" t="s">
        <v>13318</v>
      </c>
      <c r="F1096">
        <v>1</v>
      </c>
      <c r="G1096">
        <v>4106396</v>
      </c>
      <c r="H1096" t="s">
        <v>13319</v>
      </c>
      <c r="J1096" s="54" t="s">
        <v>6052</v>
      </c>
      <c r="K1096" s="54">
        <v>0</v>
      </c>
      <c r="L1096" s="22" t="s">
        <v>36804</v>
      </c>
      <c r="M1096" s="22" t="s">
        <v>36909</v>
      </c>
    </row>
    <row r="1097" spans="1:13" x14ac:dyDescent="0.75">
      <c r="A1097" t="s">
        <v>11788</v>
      </c>
      <c r="B1097" t="s">
        <v>8888</v>
      </c>
      <c r="C1097" t="s">
        <v>8889</v>
      </c>
      <c r="D1097" t="s">
        <v>8890</v>
      </c>
      <c r="E1097" t="s">
        <v>11789</v>
      </c>
      <c r="F1097">
        <v>1</v>
      </c>
      <c r="G1097">
        <v>4082551</v>
      </c>
      <c r="H1097" t="s">
        <v>11790</v>
      </c>
      <c r="J1097" s="54" t="s">
        <v>6052</v>
      </c>
      <c r="K1097" s="54">
        <v>0</v>
      </c>
      <c r="L1097" s="22" t="s">
        <v>36804</v>
      </c>
      <c r="M1097" s="22" t="s">
        <v>36909</v>
      </c>
    </row>
    <row r="1098" spans="1:13" x14ac:dyDescent="0.75">
      <c r="A1098" t="s">
        <v>13320</v>
      </c>
      <c r="B1098" t="s">
        <v>8888</v>
      </c>
      <c r="C1098" t="s">
        <v>8889</v>
      </c>
      <c r="D1098" t="s">
        <v>8890</v>
      </c>
      <c r="E1098" t="s">
        <v>13321</v>
      </c>
      <c r="F1098">
        <v>1</v>
      </c>
      <c r="G1098">
        <v>4105330</v>
      </c>
      <c r="H1098" t="s">
        <v>13322</v>
      </c>
      <c r="J1098" s="54" t="s">
        <v>6052</v>
      </c>
      <c r="K1098" s="54">
        <v>0</v>
      </c>
      <c r="L1098" s="22" t="s">
        <v>36804</v>
      </c>
      <c r="M1098" s="22" t="s">
        <v>36909</v>
      </c>
    </row>
    <row r="1099" spans="1:13" x14ac:dyDescent="0.75">
      <c r="A1099" t="s">
        <v>16667</v>
      </c>
      <c r="B1099" t="s">
        <v>8888</v>
      </c>
      <c r="C1099" t="s">
        <v>8889</v>
      </c>
      <c r="D1099" t="s">
        <v>8890</v>
      </c>
      <c r="E1099" t="s">
        <v>16668</v>
      </c>
      <c r="F1099">
        <v>1</v>
      </c>
      <c r="G1099">
        <v>4112699</v>
      </c>
      <c r="H1099" t="s">
        <v>16669</v>
      </c>
      <c r="J1099" s="54" t="s">
        <v>6052</v>
      </c>
      <c r="K1099" s="54">
        <v>0</v>
      </c>
      <c r="L1099" s="22" t="s">
        <v>36804</v>
      </c>
      <c r="M1099" s="22" t="s">
        <v>36909</v>
      </c>
    </row>
    <row r="1100" spans="1:13" x14ac:dyDescent="0.75">
      <c r="A1100" t="s">
        <v>16664</v>
      </c>
      <c r="B1100" t="s">
        <v>8888</v>
      </c>
      <c r="C1100" t="s">
        <v>8889</v>
      </c>
      <c r="D1100" t="s">
        <v>8890</v>
      </c>
      <c r="E1100" t="s">
        <v>16665</v>
      </c>
      <c r="F1100">
        <v>1</v>
      </c>
      <c r="G1100">
        <v>4105318</v>
      </c>
      <c r="H1100" t="s">
        <v>16666</v>
      </c>
      <c r="J1100" s="54" t="s">
        <v>6052</v>
      </c>
      <c r="K1100" s="54">
        <v>0</v>
      </c>
      <c r="L1100" s="22" t="s">
        <v>36804</v>
      </c>
      <c r="M1100" s="22" t="s">
        <v>36909</v>
      </c>
    </row>
    <row r="1101" spans="1:13" x14ac:dyDescent="0.75">
      <c r="A1101" t="s">
        <v>12167</v>
      </c>
      <c r="B1101" t="s">
        <v>8888</v>
      </c>
      <c r="C1101" t="s">
        <v>8889</v>
      </c>
      <c r="D1101" t="s">
        <v>8890</v>
      </c>
      <c r="E1101" t="s">
        <v>12168</v>
      </c>
      <c r="F1101">
        <v>193</v>
      </c>
      <c r="G1101">
        <v>5115418</v>
      </c>
      <c r="H1101" t="s">
        <v>12169</v>
      </c>
      <c r="J1101" s="54" t="s">
        <v>6052</v>
      </c>
      <c r="K1101" s="54">
        <v>0</v>
      </c>
      <c r="L1101" s="22" t="s">
        <v>36804</v>
      </c>
      <c r="M1101" s="22" t="s">
        <v>36909</v>
      </c>
    </row>
    <row r="1102" spans="1:13" x14ac:dyDescent="0.75">
      <c r="A1102" t="s">
        <v>27402</v>
      </c>
      <c r="B1102" t="s">
        <v>8888</v>
      </c>
      <c r="C1102" t="s">
        <v>8889</v>
      </c>
      <c r="D1102" t="s">
        <v>8890</v>
      </c>
      <c r="E1102" t="s">
        <v>27403</v>
      </c>
      <c r="F1102">
        <v>2</v>
      </c>
      <c r="G1102">
        <v>5173845</v>
      </c>
      <c r="H1102" t="s">
        <v>27404</v>
      </c>
      <c r="J1102" s="54" t="s">
        <v>6052</v>
      </c>
      <c r="K1102" s="54">
        <v>0</v>
      </c>
      <c r="L1102" s="22" t="s">
        <v>36804</v>
      </c>
      <c r="M1102" s="22" t="s">
        <v>36909</v>
      </c>
    </row>
    <row r="1103" spans="1:13" x14ac:dyDescent="0.75">
      <c r="A1103" t="s">
        <v>27408</v>
      </c>
      <c r="B1103" t="s">
        <v>8888</v>
      </c>
      <c r="C1103" t="s">
        <v>8889</v>
      </c>
      <c r="D1103" t="s">
        <v>8890</v>
      </c>
      <c r="E1103" t="s">
        <v>27409</v>
      </c>
      <c r="F1103">
        <v>2</v>
      </c>
      <c r="G1103">
        <v>4775492</v>
      </c>
      <c r="H1103" t="s">
        <v>27410</v>
      </c>
      <c r="J1103" s="54" t="s">
        <v>6052</v>
      </c>
      <c r="K1103" s="54">
        <v>0</v>
      </c>
      <c r="L1103" s="22" t="s">
        <v>36804</v>
      </c>
      <c r="M1103" s="22" t="s">
        <v>36909</v>
      </c>
    </row>
    <row r="1104" spans="1:13" x14ac:dyDescent="0.75">
      <c r="A1104" t="s">
        <v>19697</v>
      </c>
      <c r="B1104" t="s">
        <v>9381</v>
      </c>
      <c r="C1104" t="s">
        <v>9382</v>
      </c>
      <c r="D1104" t="s">
        <v>9383</v>
      </c>
      <c r="E1104" t="s">
        <v>19698</v>
      </c>
      <c r="F1104">
        <v>1</v>
      </c>
      <c r="G1104">
        <v>9482549</v>
      </c>
      <c r="H1104" t="s">
        <v>19699</v>
      </c>
      <c r="J1104" s="54" t="s">
        <v>6052</v>
      </c>
      <c r="K1104" s="54">
        <v>0</v>
      </c>
      <c r="L1104" s="22" t="s">
        <v>144</v>
      </c>
      <c r="M1104" s="22" t="s">
        <v>36910</v>
      </c>
    </row>
    <row r="1105" spans="1:13" x14ac:dyDescent="0.75">
      <c r="A1105" t="s">
        <v>26452</v>
      </c>
      <c r="B1105" t="s">
        <v>9381</v>
      </c>
      <c r="C1105" t="s">
        <v>9382</v>
      </c>
      <c r="D1105" t="s">
        <v>9383</v>
      </c>
      <c r="E1105" t="s">
        <v>26453</v>
      </c>
      <c r="F1105">
        <v>3</v>
      </c>
      <c r="G1105">
        <v>9982772</v>
      </c>
      <c r="H1105" t="s">
        <v>26454</v>
      </c>
      <c r="J1105" s="54" t="s">
        <v>6052</v>
      </c>
      <c r="K1105" s="54">
        <v>0</v>
      </c>
      <c r="L1105" s="22" t="s">
        <v>144</v>
      </c>
      <c r="M1105" s="22" t="s">
        <v>36910</v>
      </c>
    </row>
    <row r="1106" spans="1:13" x14ac:dyDescent="0.75">
      <c r="A1106" t="s">
        <v>26446</v>
      </c>
      <c r="B1106" t="s">
        <v>9381</v>
      </c>
      <c r="C1106" t="s">
        <v>9382</v>
      </c>
      <c r="D1106" t="s">
        <v>9383</v>
      </c>
      <c r="E1106" t="s">
        <v>26447</v>
      </c>
      <c r="F1106">
        <v>1</v>
      </c>
      <c r="G1106">
        <v>9249796</v>
      </c>
      <c r="H1106" t="s">
        <v>26448</v>
      </c>
      <c r="J1106" s="54" t="s">
        <v>6052</v>
      </c>
      <c r="K1106" s="54">
        <v>0</v>
      </c>
      <c r="L1106" s="22" t="s">
        <v>144</v>
      </c>
      <c r="M1106" s="22" t="s">
        <v>36910</v>
      </c>
    </row>
    <row r="1107" spans="1:13" x14ac:dyDescent="0.75">
      <c r="A1107" t="s">
        <v>26443</v>
      </c>
      <c r="B1107" t="s">
        <v>9381</v>
      </c>
      <c r="C1107" t="s">
        <v>9382</v>
      </c>
      <c r="D1107" t="s">
        <v>9383</v>
      </c>
      <c r="E1107" t="s">
        <v>26444</v>
      </c>
      <c r="F1107">
        <v>2</v>
      </c>
      <c r="G1107">
        <v>9809455</v>
      </c>
      <c r="H1107" t="s">
        <v>26445</v>
      </c>
      <c r="J1107" s="54" t="s">
        <v>6052</v>
      </c>
      <c r="K1107" s="54">
        <v>0</v>
      </c>
      <c r="L1107" s="22" t="s">
        <v>144</v>
      </c>
      <c r="M1107" s="22" t="s">
        <v>36910</v>
      </c>
    </row>
    <row r="1108" spans="1:13" x14ac:dyDescent="0.75">
      <c r="A1108" t="s">
        <v>16992</v>
      </c>
      <c r="B1108" t="s">
        <v>9381</v>
      </c>
      <c r="C1108" t="s">
        <v>9382</v>
      </c>
      <c r="D1108" t="s">
        <v>9383</v>
      </c>
      <c r="E1108" t="s">
        <v>16993</v>
      </c>
      <c r="F1108">
        <v>289</v>
      </c>
      <c r="G1108">
        <v>9260234</v>
      </c>
      <c r="H1108" t="s">
        <v>16994</v>
      </c>
      <c r="J1108" s="54" t="s">
        <v>6052</v>
      </c>
      <c r="K1108" s="54">
        <v>0</v>
      </c>
      <c r="L1108" s="22" t="s">
        <v>144</v>
      </c>
      <c r="M1108" s="22" t="s">
        <v>36910</v>
      </c>
    </row>
    <row r="1109" spans="1:13" x14ac:dyDescent="0.75">
      <c r="A1109" t="s">
        <v>26455</v>
      </c>
      <c r="B1109" t="s">
        <v>9381</v>
      </c>
      <c r="C1109" t="s">
        <v>9382</v>
      </c>
      <c r="D1109" t="s">
        <v>9383</v>
      </c>
      <c r="E1109" t="s">
        <v>26456</v>
      </c>
      <c r="F1109">
        <v>2</v>
      </c>
      <c r="G1109">
        <v>9644547</v>
      </c>
      <c r="H1109" t="s">
        <v>26457</v>
      </c>
      <c r="J1109" s="54" t="s">
        <v>6052</v>
      </c>
      <c r="K1109" s="54">
        <v>0</v>
      </c>
      <c r="L1109" s="22" t="s">
        <v>144</v>
      </c>
      <c r="M1109" s="22" t="s">
        <v>36910</v>
      </c>
    </row>
    <row r="1110" spans="1:13" x14ac:dyDescent="0.75">
      <c r="A1110" t="s">
        <v>26449</v>
      </c>
      <c r="B1110" t="s">
        <v>9381</v>
      </c>
      <c r="C1110" t="s">
        <v>9382</v>
      </c>
      <c r="D1110" t="s">
        <v>9383</v>
      </c>
      <c r="E1110" t="s">
        <v>26450</v>
      </c>
      <c r="F1110">
        <v>1</v>
      </c>
      <c r="G1110">
        <v>9563136</v>
      </c>
      <c r="H1110" t="s">
        <v>26451</v>
      </c>
      <c r="J1110" s="54" t="s">
        <v>6052</v>
      </c>
      <c r="K1110" s="54">
        <v>0</v>
      </c>
      <c r="L1110" s="22" t="s">
        <v>144</v>
      </c>
      <c r="M1110" s="22" t="s">
        <v>36910</v>
      </c>
    </row>
    <row r="1111" spans="1:13" x14ac:dyDescent="0.75">
      <c r="A1111" t="s">
        <v>18342</v>
      </c>
      <c r="B1111" t="s">
        <v>9381</v>
      </c>
      <c r="C1111" t="s">
        <v>9382</v>
      </c>
      <c r="D1111" t="s">
        <v>9383</v>
      </c>
      <c r="E1111" t="s">
        <v>18343</v>
      </c>
      <c r="F1111">
        <v>2</v>
      </c>
      <c r="G1111">
        <v>9649995</v>
      </c>
      <c r="H1111" t="s">
        <v>18344</v>
      </c>
      <c r="J1111" s="54" t="s">
        <v>6052</v>
      </c>
      <c r="K1111" s="54">
        <v>0</v>
      </c>
      <c r="L1111" s="22" t="s">
        <v>144</v>
      </c>
      <c r="M1111" s="22" t="s">
        <v>36910</v>
      </c>
    </row>
    <row r="1112" spans="1:13" x14ac:dyDescent="0.75">
      <c r="A1112" t="s">
        <v>9380</v>
      </c>
      <c r="B1112" t="s">
        <v>9381</v>
      </c>
      <c r="C1112" t="s">
        <v>9382</v>
      </c>
      <c r="D1112" t="s">
        <v>9383</v>
      </c>
      <c r="E1112" t="s">
        <v>9384</v>
      </c>
      <c r="F1112">
        <v>25</v>
      </c>
      <c r="G1112">
        <v>9484767</v>
      </c>
      <c r="H1112" t="s">
        <v>9385</v>
      </c>
      <c r="J1112" s="54" t="s">
        <v>6052</v>
      </c>
      <c r="K1112" s="54">
        <v>0</v>
      </c>
      <c r="L1112" s="22" t="s">
        <v>144</v>
      </c>
      <c r="M1112" s="22" t="s">
        <v>36910</v>
      </c>
    </row>
    <row r="1113" spans="1:13" x14ac:dyDescent="0.75">
      <c r="A1113" t="s">
        <v>23229</v>
      </c>
      <c r="B1113" t="s">
        <v>9381</v>
      </c>
      <c r="C1113" t="s">
        <v>9382</v>
      </c>
      <c r="D1113" t="s">
        <v>9383</v>
      </c>
      <c r="E1113" t="s">
        <v>9384</v>
      </c>
      <c r="F1113">
        <v>2</v>
      </c>
      <c r="G1113">
        <v>9518205</v>
      </c>
      <c r="H1113" t="s">
        <v>23230</v>
      </c>
      <c r="J1113" s="54" t="s">
        <v>6052</v>
      </c>
      <c r="K1113" s="54">
        <v>0</v>
      </c>
      <c r="L1113" s="22" t="s">
        <v>144</v>
      </c>
      <c r="M1113" s="22" t="s">
        <v>36910</v>
      </c>
    </row>
    <row r="1114" spans="1:13" x14ac:dyDescent="0.75">
      <c r="A1114" t="s">
        <v>22469</v>
      </c>
      <c r="B1114" t="s">
        <v>20374</v>
      </c>
      <c r="C1114" t="s">
        <v>20375</v>
      </c>
      <c r="D1114" t="s">
        <v>20376</v>
      </c>
      <c r="E1114" t="s">
        <v>22470</v>
      </c>
      <c r="F1114">
        <v>22</v>
      </c>
      <c r="G1114">
        <v>2466009</v>
      </c>
      <c r="H1114" t="s">
        <v>22471</v>
      </c>
      <c r="J1114" s="54" t="s">
        <v>6052</v>
      </c>
      <c r="K1114" s="54">
        <v>0</v>
      </c>
      <c r="L1114" s="22" t="s">
        <v>1563</v>
      </c>
      <c r="M1114" s="22" t="s">
        <v>36911</v>
      </c>
    </row>
    <row r="1115" spans="1:13" x14ac:dyDescent="0.75">
      <c r="A1115" t="s">
        <v>20373</v>
      </c>
      <c r="B1115" t="s">
        <v>20374</v>
      </c>
      <c r="C1115" t="s">
        <v>20375</v>
      </c>
      <c r="D1115" t="s">
        <v>20376</v>
      </c>
      <c r="E1115" t="s">
        <v>20377</v>
      </c>
      <c r="F1115">
        <v>1</v>
      </c>
      <c r="G1115">
        <v>2410104</v>
      </c>
      <c r="H1115" t="s">
        <v>20378</v>
      </c>
      <c r="J1115" s="54" t="s">
        <v>6052</v>
      </c>
      <c r="K1115" s="54">
        <v>0</v>
      </c>
      <c r="L1115" s="22" t="s">
        <v>1563</v>
      </c>
      <c r="M1115" s="22" t="s">
        <v>36911</v>
      </c>
    </row>
    <row r="1116" spans="1:13" x14ac:dyDescent="0.75">
      <c r="A1116" t="s">
        <v>30151</v>
      </c>
      <c r="B1116" t="s">
        <v>20374</v>
      </c>
      <c r="C1116" t="s">
        <v>20375</v>
      </c>
      <c r="D1116" t="s">
        <v>20376</v>
      </c>
      <c r="E1116" t="s">
        <v>30152</v>
      </c>
      <c r="F1116">
        <v>28</v>
      </c>
      <c r="G1116">
        <v>2374123</v>
      </c>
      <c r="H1116" t="s">
        <v>30153</v>
      </c>
      <c r="J1116" s="54" t="s">
        <v>6052</v>
      </c>
      <c r="K1116" s="54">
        <v>0</v>
      </c>
      <c r="L1116" s="22" t="s">
        <v>1563</v>
      </c>
      <c r="M1116" s="22" t="s">
        <v>36911</v>
      </c>
    </row>
    <row r="1117" spans="1:13" x14ac:dyDescent="0.75">
      <c r="A1117" t="s">
        <v>30139</v>
      </c>
      <c r="B1117" t="s">
        <v>20374</v>
      </c>
      <c r="C1117" t="s">
        <v>20375</v>
      </c>
      <c r="D1117" t="s">
        <v>20376</v>
      </c>
      <c r="E1117" t="s">
        <v>30140</v>
      </c>
      <c r="F1117">
        <v>163</v>
      </c>
      <c r="G1117">
        <v>2354452</v>
      </c>
      <c r="H1117" t="s">
        <v>30141</v>
      </c>
      <c r="J1117" s="54" t="s">
        <v>6052</v>
      </c>
      <c r="K1117" s="54">
        <v>0</v>
      </c>
      <c r="L1117" s="22" t="s">
        <v>1563</v>
      </c>
      <c r="M1117" s="22" t="s">
        <v>36911</v>
      </c>
    </row>
    <row r="1118" spans="1:13" x14ac:dyDescent="0.75">
      <c r="A1118" t="s">
        <v>16501</v>
      </c>
      <c r="B1118" t="s">
        <v>13715</v>
      </c>
      <c r="C1118" t="s">
        <v>13716</v>
      </c>
      <c r="D1118" t="s">
        <v>13717</v>
      </c>
      <c r="E1118" t="s">
        <v>16502</v>
      </c>
      <c r="F1118">
        <v>1</v>
      </c>
      <c r="G1118">
        <v>3551819</v>
      </c>
      <c r="H1118" t="s">
        <v>16503</v>
      </c>
      <c r="J1118" s="54" t="s">
        <v>6052</v>
      </c>
      <c r="K1118" s="54">
        <v>0</v>
      </c>
      <c r="L1118" s="22" t="s">
        <v>144</v>
      </c>
      <c r="M1118" s="22" t="s">
        <v>36912</v>
      </c>
    </row>
    <row r="1119" spans="1:13" x14ac:dyDescent="0.75">
      <c r="A1119" t="s">
        <v>13714</v>
      </c>
      <c r="B1119" t="s">
        <v>13715</v>
      </c>
      <c r="C1119" t="s">
        <v>13716</v>
      </c>
      <c r="D1119" t="s">
        <v>13717</v>
      </c>
      <c r="E1119" t="s">
        <v>13718</v>
      </c>
      <c r="F1119">
        <v>6</v>
      </c>
      <c r="G1119">
        <v>3385620</v>
      </c>
      <c r="H1119" t="s">
        <v>13719</v>
      </c>
      <c r="J1119" s="54" t="s">
        <v>6052</v>
      </c>
      <c r="K1119" s="54">
        <v>0</v>
      </c>
      <c r="L1119" s="22" t="s">
        <v>144</v>
      </c>
      <c r="M1119" s="22" t="s">
        <v>36912</v>
      </c>
    </row>
    <row r="1120" spans="1:13" x14ac:dyDescent="0.75">
      <c r="A1120" t="s">
        <v>20041</v>
      </c>
      <c r="B1120" t="s">
        <v>13715</v>
      </c>
      <c r="C1120" t="s">
        <v>13716</v>
      </c>
      <c r="D1120" t="s">
        <v>13717</v>
      </c>
      <c r="E1120" t="s">
        <v>20042</v>
      </c>
      <c r="F1120">
        <v>1</v>
      </c>
      <c r="G1120">
        <v>3549082</v>
      </c>
      <c r="H1120" t="s">
        <v>20043</v>
      </c>
      <c r="J1120" s="54" t="s">
        <v>6052</v>
      </c>
      <c r="K1120" s="54">
        <v>0</v>
      </c>
      <c r="L1120" s="22" t="s">
        <v>144</v>
      </c>
      <c r="M1120" s="22" t="s">
        <v>36912</v>
      </c>
    </row>
    <row r="1121" spans="1:13" x14ac:dyDescent="0.75">
      <c r="A1121" t="s">
        <v>27411</v>
      </c>
      <c r="B1121" t="s">
        <v>13715</v>
      </c>
      <c r="C1121" t="s">
        <v>13716</v>
      </c>
      <c r="D1121" t="s">
        <v>13717</v>
      </c>
      <c r="E1121" t="s">
        <v>27412</v>
      </c>
      <c r="F1121">
        <v>12</v>
      </c>
      <c r="G1121">
        <v>3408470</v>
      </c>
      <c r="H1121" t="s">
        <v>27413</v>
      </c>
      <c r="J1121" s="54" t="s">
        <v>6052</v>
      </c>
      <c r="K1121" s="54">
        <v>0</v>
      </c>
      <c r="L1121" s="22" t="s">
        <v>144</v>
      </c>
      <c r="M1121" s="22" t="s">
        <v>36912</v>
      </c>
    </row>
    <row r="1122" spans="1:13" x14ac:dyDescent="0.75">
      <c r="A1122" t="s">
        <v>27414</v>
      </c>
      <c r="B1122" t="s">
        <v>13715</v>
      </c>
      <c r="C1122" t="s">
        <v>13716</v>
      </c>
      <c r="D1122" t="s">
        <v>13717</v>
      </c>
      <c r="E1122" t="s">
        <v>27415</v>
      </c>
      <c r="F1122">
        <v>2</v>
      </c>
      <c r="G1122">
        <v>3438815</v>
      </c>
      <c r="H1122" t="s">
        <v>27416</v>
      </c>
      <c r="J1122" s="54" t="s">
        <v>6052</v>
      </c>
      <c r="K1122" s="54">
        <v>0</v>
      </c>
      <c r="L1122" s="22" t="s">
        <v>144</v>
      </c>
      <c r="M1122" s="22" t="s">
        <v>36912</v>
      </c>
    </row>
    <row r="1123" spans="1:13" x14ac:dyDescent="0.75">
      <c r="A1123" t="s">
        <v>28088</v>
      </c>
      <c r="B1123" t="s">
        <v>13715</v>
      </c>
      <c r="C1123" t="s">
        <v>13716</v>
      </c>
      <c r="D1123" t="s">
        <v>13717</v>
      </c>
      <c r="E1123" t="s">
        <v>28089</v>
      </c>
      <c r="F1123">
        <v>1</v>
      </c>
      <c r="G1123">
        <v>3383349</v>
      </c>
      <c r="H1123" t="s">
        <v>28090</v>
      </c>
      <c r="J1123" s="54" t="s">
        <v>6052</v>
      </c>
      <c r="K1123" s="54">
        <v>0</v>
      </c>
      <c r="L1123" s="22" t="s">
        <v>144</v>
      </c>
      <c r="M1123" s="22" t="s">
        <v>36912</v>
      </c>
    </row>
    <row r="1124" spans="1:13" x14ac:dyDescent="0.75">
      <c r="A1124" t="s">
        <v>24516</v>
      </c>
      <c r="B1124" t="s">
        <v>13715</v>
      </c>
      <c r="C1124" t="s">
        <v>13716</v>
      </c>
      <c r="D1124" t="s">
        <v>13717</v>
      </c>
      <c r="E1124" t="s">
        <v>24517</v>
      </c>
      <c r="F1124">
        <v>14</v>
      </c>
      <c r="G1124">
        <v>3359331</v>
      </c>
      <c r="H1124" t="s">
        <v>24518</v>
      </c>
      <c r="J1124" s="54" t="s">
        <v>6052</v>
      </c>
      <c r="K1124" s="54">
        <v>0</v>
      </c>
      <c r="L1124" s="22" t="s">
        <v>144</v>
      </c>
      <c r="M1124" s="22" t="s">
        <v>36912</v>
      </c>
    </row>
    <row r="1125" spans="1:13" x14ac:dyDescent="0.75">
      <c r="A1125" t="s">
        <v>23499</v>
      </c>
      <c r="B1125" t="s">
        <v>13715</v>
      </c>
      <c r="C1125" t="s">
        <v>13716</v>
      </c>
      <c r="D1125" t="s">
        <v>13717</v>
      </c>
      <c r="E1125" t="s">
        <v>23500</v>
      </c>
      <c r="F1125">
        <v>8</v>
      </c>
      <c r="G1125">
        <v>3281946</v>
      </c>
      <c r="H1125" t="s">
        <v>23501</v>
      </c>
      <c r="J1125" s="54" t="s">
        <v>6052</v>
      </c>
      <c r="K1125" s="54">
        <v>0</v>
      </c>
      <c r="L1125" s="22" t="s">
        <v>144</v>
      </c>
      <c r="M1125" s="22" t="s">
        <v>36912</v>
      </c>
    </row>
    <row r="1126" spans="1:13" x14ac:dyDescent="0.75">
      <c r="A1126" t="s">
        <v>23502</v>
      </c>
      <c r="B1126" t="s">
        <v>13715</v>
      </c>
      <c r="C1126" t="s">
        <v>13716</v>
      </c>
      <c r="D1126" t="s">
        <v>13717</v>
      </c>
      <c r="E1126" t="s">
        <v>23503</v>
      </c>
      <c r="F1126">
        <v>12</v>
      </c>
      <c r="G1126">
        <v>3281034</v>
      </c>
      <c r="H1126" t="s">
        <v>23504</v>
      </c>
      <c r="J1126" s="54" t="s">
        <v>6052</v>
      </c>
      <c r="K1126" s="54">
        <v>0</v>
      </c>
      <c r="L1126" s="22" t="s">
        <v>144</v>
      </c>
      <c r="M1126" s="22" t="s">
        <v>36912</v>
      </c>
    </row>
    <row r="1127" spans="1:13" x14ac:dyDescent="0.75">
      <c r="A1127" t="s">
        <v>13942</v>
      </c>
      <c r="B1127" t="s">
        <v>10201</v>
      </c>
      <c r="C1127" t="s">
        <v>10202</v>
      </c>
      <c r="D1127" t="s">
        <v>10203</v>
      </c>
      <c r="E1127" t="s">
        <v>13943</v>
      </c>
      <c r="F1127">
        <v>1</v>
      </c>
      <c r="G1127">
        <v>2647794</v>
      </c>
      <c r="H1127" t="s">
        <v>13944</v>
      </c>
      <c r="J1127" s="54" t="s">
        <v>6052</v>
      </c>
      <c r="K1127" s="54">
        <v>0</v>
      </c>
      <c r="L1127" s="22" t="s">
        <v>1563</v>
      </c>
      <c r="M1127" s="22" t="s">
        <v>36913</v>
      </c>
    </row>
    <row r="1128" spans="1:13" x14ac:dyDescent="0.75">
      <c r="A1128" t="s">
        <v>13965</v>
      </c>
      <c r="B1128" t="s">
        <v>10201</v>
      </c>
      <c r="C1128" t="s">
        <v>10202</v>
      </c>
      <c r="D1128" t="s">
        <v>10203</v>
      </c>
      <c r="E1128" t="s">
        <v>13966</v>
      </c>
      <c r="F1128">
        <v>1</v>
      </c>
      <c r="G1128">
        <v>2603084</v>
      </c>
      <c r="H1128" t="s">
        <v>13967</v>
      </c>
      <c r="J1128" s="54" t="s">
        <v>6052</v>
      </c>
      <c r="K1128" s="54">
        <v>0</v>
      </c>
      <c r="L1128" s="22" t="s">
        <v>1563</v>
      </c>
      <c r="M1128" s="22" t="s">
        <v>36913</v>
      </c>
    </row>
    <row r="1129" spans="1:13" x14ac:dyDescent="0.75">
      <c r="A1129" t="s">
        <v>12531</v>
      </c>
      <c r="B1129" t="s">
        <v>10201</v>
      </c>
      <c r="C1129" t="s">
        <v>10202</v>
      </c>
      <c r="D1129" t="s">
        <v>10203</v>
      </c>
      <c r="E1129" t="s">
        <v>12532</v>
      </c>
      <c r="F1129">
        <v>22</v>
      </c>
      <c r="G1129">
        <v>2471990</v>
      </c>
      <c r="H1129" t="s">
        <v>12533</v>
      </c>
      <c r="J1129" s="54" t="s">
        <v>6052</v>
      </c>
      <c r="K1129" s="54">
        <v>0</v>
      </c>
      <c r="L1129" s="22" t="s">
        <v>1563</v>
      </c>
      <c r="M1129" s="22" t="s">
        <v>36913</v>
      </c>
    </row>
    <row r="1130" spans="1:13" x14ac:dyDescent="0.75">
      <c r="A1130" t="s">
        <v>27351</v>
      </c>
      <c r="B1130" t="s">
        <v>10201</v>
      </c>
      <c r="C1130" t="s">
        <v>10202</v>
      </c>
      <c r="D1130" t="s">
        <v>10203</v>
      </c>
      <c r="E1130" t="s">
        <v>27352</v>
      </c>
      <c r="F1130">
        <v>1</v>
      </c>
      <c r="G1130">
        <v>2594377</v>
      </c>
      <c r="H1130" t="s">
        <v>27353</v>
      </c>
      <c r="J1130" s="54" t="s">
        <v>6052</v>
      </c>
      <c r="K1130" s="54">
        <v>0</v>
      </c>
      <c r="L1130" s="22" t="s">
        <v>1563</v>
      </c>
      <c r="M1130" s="22" t="s">
        <v>36913</v>
      </c>
    </row>
    <row r="1131" spans="1:13" x14ac:dyDescent="0.75">
      <c r="A1131" t="s">
        <v>26336</v>
      </c>
      <c r="B1131" t="s">
        <v>10201</v>
      </c>
      <c r="C1131" t="s">
        <v>10202</v>
      </c>
      <c r="D1131" t="s">
        <v>10203</v>
      </c>
      <c r="E1131" t="s">
        <v>26337</v>
      </c>
      <c r="F1131">
        <v>1</v>
      </c>
      <c r="G1131">
        <v>2558019</v>
      </c>
      <c r="H1131" t="s">
        <v>26338</v>
      </c>
      <c r="J1131" s="54" t="s">
        <v>6052</v>
      </c>
      <c r="K1131" s="54">
        <v>0</v>
      </c>
      <c r="L1131" s="22" t="s">
        <v>1563</v>
      </c>
      <c r="M1131" s="22" t="s">
        <v>36913</v>
      </c>
    </row>
    <row r="1132" spans="1:13" x14ac:dyDescent="0.75">
      <c r="A1132" t="s">
        <v>10356</v>
      </c>
      <c r="B1132" t="s">
        <v>10201</v>
      </c>
      <c r="C1132" t="s">
        <v>10202</v>
      </c>
      <c r="D1132" t="s">
        <v>10203</v>
      </c>
      <c r="E1132" t="s">
        <v>10357</v>
      </c>
      <c r="F1132">
        <v>33</v>
      </c>
      <c r="G1132">
        <v>2503118</v>
      </c>
      <c r="H1132" t="s">
        <v>10358</v>
      </c>
      <c r="J1132" s="54" t="s">
        <v>6052</v>
      </c>
      <c r="K1132" s="54">
        <v>0</v>
      </c>
      <c r="L1132" s="22" t="s">
        <v>1563</v>
      </c>
      <c r="M1132" s="22" t="s">
        <v>36913</v>
      </c>
    </row>
    <row r="1133" spans="1:13" x14ac:dyDescent="0.75">
      <c r="A1133" t="s">
        <v>12529</v>
      </c>
      <c r="B1133" t="s">
        <v>10201</v>
      </c>
      <c r="C1133" t="s">
        <v>10202</v>
      </c>
      <c r="D1133" t="s">
        <v>10203</v>
      </c>
      <c r="E1133" t="s">
        <v>10357</v>
      </c>
      <c r="F1133">
        <v>42</v>
      </c>
      <c r="G1133">
        <v>2494302</v>
      </c>
      <c r="H1133" t="s">
        <v>12530</v>
      </c>
      <c r="J1133" s="54" t="s">
        <v>6052</v>
      </c>
      <c r="K1133" s="54">
        <v>0</v>
      </c>
      <c r="L1133" s="22" t="s">
        <v>1563</v>
      </c>
      <c r="M1133" s="22" t="s">
        <v>36913</v>
      </c>
    </row>
    <row r="1134" spans="1:13" x14ac:dyDescent="0.75">
      <c r="A1134" t="s">
        <v>10200</v>
      </c>
      <c r="B1134" t="s">
        <v>10201</v>
      </c>
      <c r="C1134" t="s">
        <v>10202</v>
      </c>
      <c r="D1134" t="s">
        <v>10203</v>
      </c>
      <c r="E1134" t="s">
        <v>10204</v>
      </c>
      <c r="F1134">
        <v>67</v>
      </c>
      <c r="G1134">
        <v>2529115</v>
      </c>
      <c r="H1134" t="s">
        <v>10205</v>
      </c>
      <c r="J1134" s="54" t="s">
        <v>6052</v>
      </c>
      <c r="K1134" s="54">
        <v>0</v>
      </c>
      <c r="L1134" s="22" t="s">
        <v>1563</v>
      </c>
      <c r="M1134" s="22" t="s">
        <v>36913</v>
      </c>
    </row>
    <row r="1135" spans="1:13" x14ac:dyDescent="0.75">
      <c r="A1135" t="s">
        <v>12511</v>
      </c>
      <c r="B1135" t="s">
        <v>10201</v>
      </c>
      <c r="C1135" t="s">
        <v>10202</v>
      </c>
      <c r="D1135" t="s">
        <v>10203</v>
      </c>
      <c r="E1135" t="s">
        <v>12512</v>
      </c>
      <c r="F1135">
        <v>2</v>
      </c>
      <c r="G1135">
        <v>2578375</v>
      </c>
      <c r="H1135" t="s">
        <v>12513</v>
      </c>
      <c r="J1135" s="54" t="s">
        <v>6052</v>
      </c>
      <c r="K1135" s="54">
        <v>0</v>
      </c>
      <c r="L1135" s="22" t="s">
        <v>1563</v>
      </c>
      <c r="M1135" s="22" t="s">
        <v>36913</v>
      </c>
    </row>
    <row r="1136" spans="1:13" x14ac:dyDescent="0.75">
      <c r="A1136" t="s">
        <v>12514</v>
      </c>
      <c r="B1136" t="s">
        <v>10201</v>
      </c>
      <c r="C1136" t="s">
        <v>10202</v>
      </c>
      <c r="D1136" t="s">
        <v>10203</v>
      </c>
      <c r="E1136" t="s">
        <v>12515</v>
      </c>
      <c r="F1136">
        <v>2</v>
      </c>
      <c r="G1136">
        <v>2614544</v>
      </c>
      <c r="H1136" t="s">
        <v>12516</v>
      </c>
      <c r="J1136" s="54" t="s">
        <v>6052</v>
      </c>
      <c r="K1136" s="54">
        <v>0</v>
      </c>
      <c r="L1136" s="22" t="s">
        <v>1563</v>
      </c>
      <c r="M1136" s="22" t="s">
        <v>36913</v>
      </c>
    </row>
    <row r="1137" spans="1:13" x14ac:dyDescent="0.75">
      <c r="A1137" t="s">
        <v>10075</v>
      </c>
      <c r="B1137" t="s">
        <v>1621</v>
      </c>
      <c r="C1137" t="s">
        <v>6782</v>
      </c>
      <c r="D1137" t="s">
        <v>6783</v>
      </c>
      <c r="E1137" t="s">
        <v>10076</v>
      </c>
      <c r="F1137">
        <v>17</v>
      </c>
      <c r="G1137">
        <v>2214907</v>
      </c>
      <c r="H1137" t="s">
        <v>10077</v>
      </c>
      <c r="J1137" s="54" t="s">
        <v>6052</v>
      </c>
      <c r="K1137" s="54">
        <v>0</v>
      </c>
      <c r="L1137" s="22" t="s">
        <v>104</v>
      </c>
      <c r="M1137" s="22" t="s">
        <v>1622</v>
      </c>
    </row>
    <row r="1138" spans="1:13" x14ac:dyDescent="0.75">
      <c r="A1138" t="s">
        <v>17748</v>
      </c>
      <c r="B1138" t="s">
        <v>1621</v>
      </c>
      <c r="C1138" t="s">
        <v>6782</v>
      </c>
      <c r="D1138" t="s">
        <v>6783</v>
      </c>
      <c r="E1138" t="s">
        <v>17749</v>
      </c>
      <c r="F1138">
        <v>68</v>
      </c>
      <c r="G1138">
        <v>2239719</v>
      </c>
      <c r="H1138" t="s">
        <v>17750</v>
      </c>
      <c r="J1138" s="54" t="s">
        <v>6052</v>
      </c>
      <c r="K1138" s="54">
        <v>0</v>
      </c>
      <c r="L1138" s="22" t="s">
        <v>104</v>
      </c>
      <c r="M1138" s="22" t="s">
        <v>1622</v>
      </c>
    </row>
    <row r="1139" spans="1:13" x14ac:dyDescent="0.75">
      <c r="A1139" t="s">
        <v>6310</v>
      </c>
      <c r="B1139" t="s">
        <v>6311</v>
      </c>
      <c r="C1139" t="s">
        <v>6312</v>
      </c>
      <c r="D1139" t="s">
        <v>6313</v>
      </c>
      <c r="E1139" t="s">
        <v>6314</v>
      </c>
      <c r="F1139">
        <v>6</v>
      </c>
      <c r="G1139">
        <v>5205777</v>
      </c>
      <c r="H1139" t="s">
        <v>6315</v>
      </c>
      <c r="J1139" s="54" t="s">
        <v>6052</v>
      </c>
      <c r="K1139" s="54">
        <v>0</v>
      </c>
      <c r="L1139" s="22" t="s">
        <v>36804</v>
      </c>
      <c r="M1139" s="22" t="s">
        <v>36915</v>
      </c>
    </row>
    <row r="1140" spans="1:13" x14ac:dyDescent="0.75">
      <c r="A1140" t="s">
        <v>23927</v>
      </c>
      <c r="B1140" t="s">
        <v>6311</v>
      </c>
      <c r="C1140" t="s">
        <v>6312</v>
      </c>
      <c r="D1140" t="s">
        <v>6313</v>
      </c>
      <c r="E1140" t="s">
        <v>23928</v>
      </c>
      <c r="F1140">
        <v>5</v>
      </c>
      <c r="G1140">
        <v>5233853</v>
      </c>
      <c r="H1140" t="s">
        <v>23929</v>
      </c>
      <c r="J1140" s="54" t="s">
        <v>6052</v>
      </c>
      <c r="K1140" s="54">
        <v>0</v>
      </c>
      <c r="L1140" s="22" t="s">
        <v>36804</v>
      </c>
      <c r="M1140" s="22" t="s">
        <v>36915</v>
      </c>
    </row>
    <row r="1141" spans="1:13" x14ac:dyDescent="0.75">
      <c r="A1141" t="s">
        <v>20582</v>
      </c>
      <c r="B1141" t="s">
        <v>6311</v>
      </c>
      <c r="C1141" t="s">
        <v>6312</v>
      </c>
      <c r="D1141" t="s">
        <v>6313</v>
      </c>
      <c r="E1141" t="s">
        <v>20583</v>
      </c>
      <c r="F1141">
        <v>2</v>
      </c>
      <c r="G1141">
        <v>4714242</v>
      </c>
      <c r="H1141" t="s">
        <v>20584</v>
      </c>
      <c r="J1141" s="54" t="s">
        <v>6052</v>
      </c>
      <c r="K1141" s="54">
        <v>0</v>
      </c>
      <c r="L1141" s="22" t="s">
        <v>36804</v>
      </c>
      <c r="M1141" s="22" t="s">
        <v>36915</v>
      </c>
    </row>
    <row r="1142" spans="1:13" x14ac:dyDescent="0.75">
      <c r="A1142" t="s">
        <v>13851</v>
      </c>
      <c r="B1142" t="s">
        <v>6311</v>
      </c>
      <c r="C1142" t="s">
        <v>6312</v>
      </c>
      <c r="D1142" t="s">
        <v>6313</v>
      </c>
      <c r="E1142" t="s">
        <v>13852</v>
      </c>
      <c r="F1142">
        <v>65</v>
      </c>
      <c r="G1142">
        <v>5582813</v>
      </c>
      <c r="H1142" t="s">
        <v>13853</v>
      </c>
      <c r="J1142" s="54" t="s">
        <v>6052</v>
      </c>
      <c r="K1142" s="54">
        <v>0</v>
      </c>
      <c r="L1142" s="22" t="s">
        <v>36804</v>
      </c>
      <c r="M1142" s="22" t="s">
        <v>36915</v>
      </c>
    </row>
    <row r="1143" spans="1:13" x14ac:dyDescent="0.75">
      <c r="A1143" t="s">
        <v>24227</v>
      </c>
      <c r="B1143" t="s">
        <v>6311</v>
      </c>
      <c r="C1143" t="s">
        <v>6312</v>
      </c>
      <c r="D1143" t="s">
        <v>6313</v>
      </c>
      <c r="E1143" t="s">
        <v>24228</v>
      </c>
      <c r="F1143">
        <v>4</v>
      </c>
      <c r="G1143">
        <v>4827192</v>
      </c>
      <c r="H1143" t="s">
        <v>24229</v>
      </c>
      <c r="J1143" s="54" t="s">
        <v>6052</v>
      </c>
      <c r="K1143" s="54">
        <v>0</v>
      </c>
      <c r="L1143" s="22" t="s">
        <v>36804</v>
      </c>
      <c r="M1143" s="22" t="s">
        <v>36915</v>
      </c>
    </row>
    <row r="1144" spans="1:13" x14ac:dyDescent="0.75">
      <c r="A1144" t="s">
        <v>26404</v>
      </c>
      <c r="B1144" t="s">
        <v>6311</v>
      </c>
      <c r="C1144" t="s">
        <v>6312</v>
      </c>
      <c r="D1144" t="s">
        <v>6313</v>
      </c>
      <c r="E1144" t="s">
        <v>26405</v>
      </c>
      <c r="F1144">
        <v>2</v>
      </c>
      <c r="G1144">
        <v>5111417</v>
      </c>
      <c r="H1144" t="s">
        <v>26406</v>
      </c>
      <c r="J1144" s="54" t="s">
        <v>6052</v>
      </c>
      <c r="K1144" s="54">
        <v>0</v>
      </c>
      <c r="L1144" s="22" t="s">
        <v>36804</v>
      </c>
      <c r="M1144" s="22" t="s">
        <v>36915</v>
      </c>
    </row>
    <row r="1145" spans="1:13" x14ac:dyDescent="0.75">
      <c r="A1145" t="s">
        <v>27534</v>
      </c>
      <c r="B1145" t="s">
        <v>6311</v>
      </c>
      <c r="C1145" t="s">
        <v>6312</v>
      </c>
      <c r="D1145" t="s">
        <v>6313</v>
      </c>
      <c r="E1145" t="s">
        <v>27535</v>
      </c>
      <c r="F1145">
        <v>5</v>
      </c>
      <c r="G1145">
        <v>5239764</v>
      </c>
      <c r="H1145" t="s">
        <v>27536</v>
      </c>
      <c r="J1145" s="54" t="s">
        <v>6052</v>
      </c>
      <c r="K1145" s="54">
        <v>0</v>
      </c>
      <c r="L1145" s="22" t="s">
        <v>36804</v>
      </c>
      <c r="M1145" s="22" t="s">
        <v>36915</v>
      </c>
    </row>
    <row r="1146" spans="1:13" x14ac:dyDescent="0.75">
      <c r="A1146" t="s">
        <v>19706</v>
      </c>
      <c r="B1146" t="s">
        <v>6311</v>
      </c>
      <c r="C1146" t="s">
        <v>6312</v>
      </c>
      <c r="D1146" t="s">
        <v>6313</v>
      </c>
      <c r="E1146" t="s">
        <v>19707</v>
      </c>
      <c r="F1146">
        <v>3</v>
      </c>
      <c r="G1146">
        <v>4858647</v>
      </c>
      <c r="H1146" t="s">
        <v>19708</v>
      </c>
      <c r="J1146" s="54" t="s">
        <v>6052</v>
      </c>
      <c r="K1146" s="54">
        <v>0</v>
      </c>
      <c r="L1146" s="22" t="s">
        <v>36804</v>
      </c>
      <c r="M1146" s="22" t="s">
        <v>36915</v>
      </c>
    </row>
    <row r="1147" spans="1:13" x14ac:dyDescent="0.75">
      <c r="A1147" t="s">
        <v>17498</v>
      </c>
      <c r="B1147" t="s">
        <v>6311</v>
      </c>
      <c r="C1147" t="s">
        <v>6312</v>
      </c>
      <c r="D1147" t="s">
        <v>6313</v>
      </c>
      <c r="E1147" t="s">
        <v>17499</v>
      </c>
      <c r="F1147">
        <v>2</v>
      </c>
      <c r="G1147">
        <v>4736879</v>
      </c>
      <c r="H1147" t="s">
        <v>17500</v>
      </c>
      <c r="J1147" s="54" t="s">
        <v>6052</v>
      </c>
      <c r="K1147" s="54">
        <v>0</v>
      </c>
      <c r="L1147" s="22" t="s">
        <v>36804</v>
      </c>
      <c r="M1147" s="22" t="s">
        <v>36915</v>
      </c>
    </row>
    <row r="1148" spans="1:13" x14ac:dyDescent="0.75">
      <c r="A1148" t="s">
        <v>17742</v>
      </c>
      <c r="B1148" t="s">
        <v>1621</v>
      </c>
      <c r="C1148" t="s">
        <v>6782</v>
      </c>
      <c r="D1148" t="s">
        <v>6783</v>
      </c>
      <c r="E1148" t="s">
        <v>17743</v>
      </c>
      <c r="F1148">
        <v>100</v>
      </c>
      <c r="G1148">
        <v>2185166</v>
      </c>
      <c r="H1148" t="s">
        <v>17744</v>
      </c>
      <c r="J1148" s="54" t="s">
        <v>6052</v>
      </c>
      <c r="K1148" s="54">
        <v>0</v>
      </c>
      <c r="L1148" s="22" t="s">
        <v>104</v>
      </c>
      <c r="M1148" s="22" t="s">
        <v>1622</v>
      </c>
    </row>
    <row r="1149" spans="1:13" x14ac:dyDescent="0.75">
      <c r="A1149" t="s">
        <v>17745</v>
      </c>
      <c r="B1149" t="s">
        <v>1621</v>
      </c>
      <c r="C1149" t="s">
        <v>6782</v>
      </c>
      <c r="D1149" t="s">
        <v>6783</v>
      </c>
      <c r="E1149" t="s">
        <v>17746</v>
      </c>
      <c r="F1149">
        <v>120</v>
      </c>
      <c r="G1149">
        <v>2246558</v>
      </c>
      <c r="H1149" t="s">
        <v>17747</v>
      </c>
      <c r="J1149" s="54" t="s">
        <v>6052</v>
      </c>
      <c r="K1149" s="54">
        <v>0</v>
      </c>
      <c r="L1149" s="22" t="s">
        <v>104</v>
      </c>
      <c r="M1149" s="22" t="s">
        <v>1622</v>
      </c>
    </row>
    <row r="1150" spans="1:13" x14ac:dyDescent="0.75">
      <c r="A1150" t="s">
        <v>17733</v>
      </c>
      <c r="B1150" t="s">
        <v>1621</v>
      </c>
      <c r="C1150" t="s">
        <v>6782</v>
      </c>
      <c r="D1150" t="s">
        <v>6783</v>
      </c>
      <c r="E1150" t="s">
        <v>17734</v>
      </c>
      <c r="F1150">
        <v>95</v>
      </c>
      <c r="G1150">
        <v>2331998</v>
      </c>
      <c r="H1150" t="s">
        <v>17735</v>
      </c>
      <c r="J1150" s="54" t="s">
        <v>6052</v>
      </c>
      <c r="K1150" s="54">
        <v>0</v>
      </c>
      <c r="L1150" s="22" t="s">
        <v>104</v>
      </c>
      <c r="M1150" s="22" t="s">
        <v>1622</v>
      </c>
    </row>
    <row r="1151" spans="1:13" x14ac:dyDescent="0.75">
      <c r="A1151" t="s">
        <v>9903</v>
      </c>
      <c r="B1151" t="s">
        <v>8808</v>
      </c>
      <c r="C1151" t="s">
        <v>8809</v>
      </c>
      <c r="D1151" t="s">
        <v>8810</v>
      </c>
      <c r="E1151" t="s">
        <v>9904</v>
      </c>
      <c r="F1151">
        <v>46</v>
      </c>
      <c r="G1151">
        <v>8612710</v>
      </c>
      <c r="H1151" t="s">
        <v>9905</v>
      </c>
      <c r="J1151" s="54" t="s">
        <v>6052</v>
      </c>
      <c r="K1151" s="54">
        <v>0</v>
      </c>
      <c r="L1151" s="22" t="s">
        <v>144</v>
      </c>
      <c r="M1151" s="22" t="s">
        <v>36917</v>
      </c>
    </row>
    <row r="1152" spans="1:13" x14ac:dyDescent="0.75">
      <c r="A1152" t="s">
        <v>15812</v>
      </c>
      <c r="B1152" t="s">
        <v>8808</v>
      </c>
      <c r="C1152" t="s">
        <v>8809</v>
      </c>
      <c r="D1152" t="s">
        <v>8810</v>
      </c>
      <c r="E1152" t="s">
        <v>9904</v>
      </c>
      <c r="F1152">
        <v>4</v>
      </c>
      <c r="G1152">
        <v>8567011</v>
      </c>
      <c r="H1152" t="s">
        <v>15813</v>
      </c>
      <c r="J1152" s="54" t="s">
        <v>6052</v>
      </c>
      <c r="K1152" s="54">
        <v>0</v>
      </c>
      <c r="L1152" s="22" t="s">
        <v>144</v>
      </c>
      <c r="M1152" s="22" t="s">
        <v>36917</v>
      </c>
    </row>
    <row r="1153" spans="1:13" x14ac:dyDescent="0.75">
      <c r="A1153" t="s">
        <v>16919</v>
      </c>
      <c r="B1153" t="s">
        <v>8808</v>
      </c>
      <c r="C1153" t="s">
        <v>8809</v>
      </c>
      <c r="D1153" t="s">
        <v>8810</v>
      </c>
      <c r="E1153" t="s">
        <v>9904</v>
      </c>
      <c r="F1153">
        <v>5</v>
      </c>
      <c r="G1153">
        <v>8574389</v>
      </c>
      <c r="H1153" t="s">
        <v>16920</v>
      </c>
      <c r="J1153" s="54" t="s">
        <v>6052</v>
      </c>
      <c r="K1153" s="54">
        <v>0</v>
      </c>
      <c r="L1153" s="22" t="s">
        <v>144</v>
      </c>
      <c r="M1153" s="22" t="s">
        <v>36917</v>
      </c>
    </row>
    <row r="1154" spans="1:13" x14ac:dyDescent="0.75">
      <c r="A1154" t="s">
        <v>15258</v>
      </c>
      <c r="B1154" t="s">
        <v>8808</v>
      </c>
      <c r="C1154" t="s">
        <v>8809</v>
      </c>
      <c r="D1154" t="s">
        <v>8810</v>
      </c>
      <c r="E1154" t="s">
        <v>15259</v>
      </c>
      <c r="F1154">
        <v>182</v>
      </c>
      <c r="G1154">
        <v>8933938</v>
      </c>
      <c r="H1154" t="s">
        <v>15260</v>
      </c>
      <c r="J1154" s="54" t="s">
        <v>6052</v>
      </c>
      <c r="K1154" s="54">
        <v>0</v>
      </c>
      <c r="L1154" s="22" t="s">
        <v>144</v>
      </c>
      <c r="M1154" s="22" t="s">
        <v>36917</v>
      </c>
    </row>
    <row r="1155" spans="1:13" x14ac:dyDescent="0.75">
      <c r="A1155" t="s">
        <v>8807</v>
      </c>
      <c r="B1155" t="s">
        <v>8808</v>
      </c>
      <c r="C1155" t="s">
        <v>8809</v>
      </c>
      <c r="D1155" t="s">
        <v>8810</v>
      </c>
      <c r="E1155" t="s">
        <v>8811</v>
      </c>
      <c r="F1155">
        <v>2</v>
      </c>
      <c r="G1155">
        <v>6467321</v>
      </c>
      <c r="H1155" t="s">
        <v>8812</v>
      </c>
      <c r="J1155" s="54" t="s">
        <v>6052</v>
      </c>
      <c r="K1155" s="54">
        <v>0</v>
      </c>
      <c r="L1155" s="22" t="s">
        <v>144</v>
      </c>
      <c r="M1155" s="22" t="s">
        <v>36917</v>
      </c>
    </row>
    <row r="1156" spans="1:13" x14ac:dyDescent="0.75">
      <c r="A1156" t="s">
        <v>12552</v>
      </c>
      <c r="B1156" t="s">
        <v>8808</v>
      </c>
      <c r="C1156" t="s">
        <v>8809</v>
      </c>
      <c r="D1156" t="s">
        <v>8810</v>
      </c>
      <c r="E1156" t="s">
        <v>12553</v>
      </c>
      <c r="F1156">
        <v>3</v>
      </c>
      <c r="G1156">
        <v>8003631</v>
      </c>
      <c r="H1156" t="s">
        <v>12554</v>
      </c>
      <c r="J1156" s="54" t="s">
        <v>6052</v>
      </c>
      <c r="K1156" s="54">
        <v>0</v>
      </c>
      <c r="L1156" s="22" t="s">
        <v>144</v>
      </c>
      <c r="M1156" s="22" t="s">
        <v>36917</v>
      </c>
    </row>
    <row r="1157" spans="1:13" x14ac:dyDescent="0.75">
      <c r="A1157" t="s">
        <v>23795</v>
      </c>
      <c r="B1157" t="s">
        <v>8808</v>
      </c>
      <c r="C1157" t="s">
        <v>8809</v>
      </c>
      <c r="D1157" t="s">
        <v>8810</v>
      </c>
      <c r="E1157" t="s">
        <v>23796</v>
      </c>
      <c r="F1157">
        <v>3</v>
      </c>
      <c r="G1157">
        <v>8425983</v>
      </c>
      <c r="H1157" t="s">
        <v>23797</v>
      </c>
      <c r="J1157" s="54" t="s">
        <v>6052</v>
      </c>
      <c r="K1157" s="54">
        <v>0</v>
      </c>
      <c r="L1157" s="22" t="s">
        <v>144</v>
      </c>
      <c r="M1157" s="22" t="s">
        <v>36917</v>
      </c>
    </row>
    <row r="1158" spans="1:13" x14ac:dyDescent="0.75">
      <c r="A1158" t="s">
        <v>11810</v>
      </c>
      <c r="B1158" t="s">
        <v>8808</v>
      </c>
      <c r="C1158" t="s">
        <v>8809</v>
      </c>
      <c r="D1158" t="s">
        <v>8810</v>
      </c>
      <c r="E1158" t="s">
        <v>11811</v>
      </c>
      <c r="F1158">
        <v>110</v>
      </c>
      <c r="G1158">
        <v>8486058</v>
      </c>
      <c r="H1158" t="s">
        <v>11812</v>
      </c>
      <c r="J1158" s="54" t="s">
        <v>6052</v>
      </c>
      <c r="K1158" s="54">
        <v>0</v>
      </c>
      <c r="L1158" s="22" t="s">
        <v>144</v>
      </c>
      <c r="M1158" s="22" t="s">
        <v>36917</v>
      </c>
    </row>
    <row r="1159" spans="1:13" x14ac:dyDescent="0.75">
      <c r="A1159" t="s">
        <v>27417</v>
      </c>
      <c r="B1159" t="s">
        <v>8808</v>
      </c>
      <c r="C1159" t="s">
        <v>8809</v>
      </c>
      <c r="D1159" t="s">
        <v>8810</v>
      </c>
      <c r="E1159" t="s">
        <v>27418</v>
      </c>
      <c r="F1159">
        <v>13</v>
      </c>
      <c r="G1159">
        <v>8554913</v>
      </c>
      <c r="H1159" t="s">
        <v>27419</v>
      </c>
      <c r="J1159" s="54" t="s">
        <v>6052</v>
      </c>
      <c r="K1159" s="54">
        <v>0</v>
      </c>
      <c r="L1159" s="22" t="s">
        <v>144</v>
      </c>
      <c r="M1159" s="22" t="s">
        <v>36917</v>
      </c>
    </row>
    <row r="1160" spans="1:13" x14ac:dyDescent="0.75">
      <c r="A1160" t="s">
        <v>11598</v>
      </c>
      <c r="B1160" t="s">
        <v>8808</v>
      </c>
      <c r="C1160" t="s">
        <v>8809</v>
      </c>
      <c r="D1160" t="s">
        <v>8810</v>
      </c>
      <c r="E1160" t="s">
        <v>11599</v>
      </c>
      <c r="F1160">
        <v>4</v>
      </c>
      <c r="G1160">
        <v>8605945</v>
      </c>
      <c r="H1160" t="s">
        <v>11600</v>
      </c>
      <c r="J1160" s="54" t="s">
        <v>6052</v>
      </c>
      <c r="K1160" s="54">
        <v>0</v>
      </c>
      <c r="L1160" s="22" t="s">
        <v>144</v>
      </c>
      <c r="M1160" s="22" t="s">
        <v>36917</v>
      </c>
    </row>
    <row r="1161" spans="1:13" x14ac:dyDescent="0.75">
      <c r="A1161" t="s">
        <v>711</v>
      </c>
      <c r="B1161" t="s">
        <v>712</v>
      </c>
      <c r="C1161" t="s">
        <v>8717</v>
      </c>
      <c r="D1161" t="s">
        <v>8718</v>
      </c>
      <c r="E1161" t="s">
        <v>8719</v>
      </c>
      <c r="F1161">
        <v>1</v>
      </c>
      <c r="G1161">
        <v>5144873</v>
      </c>
      <c r="H1161" t="s">
        <v>8720</v>
      </c>
      <c r="J1161" s="54" t="s">
        <v>6052</v>
      </c>
      <c r="K1161" s="54">
        <v>0</v>
      </c>
      <c r="L1161" s="22" t="s">
        <v>686</v>
      </c>
      <c r="M1161" s="22" t="s">
        <v>713</v>
      </c>
    </row>
    <row r="1162" spans="1:13" x14ac:dyDescent="0.75">
      <c r="A1162" t="s">
        <v>17736</v>
      </c>
      <c r="B1162" t="s">
        <v>1621</v>
      </c>
      <c r="C1162" t="s">
        <v>6782</v>
      </c>
      <c r="D1162" t="s">
        <v>6783</v>
      </c>
      <c r="E1162" t="s">
        <v>17737</v>
      </c>
      <c r="F1162">
        <v>193</v>
      </c>
      <c r="G1162">
        <v>2461924</v>
      </c>
      <c r="H1162" t="s">
        <v>17738</v>
      </c>
      <c r="J1162" s="54" t="s">
        <v>6052</v>
      </c>
      <c r="K1162" s="54">
        <v>0</v>
      </c>
      <c r="L1162" s="22" t="s">
        <v>104</v>
      </c>
      <c r="M1162" s="22" t="s">
        <v>1622</v>
      </c>
    </row>
    <row r="1163" spans="1:13" x14ac:dyDescent="0.75">
      <c r="A1163" t="s">
        <v>17727</v>
      </c>
      <c r="B1163" t="s">
        <v>1621</v>
      </c>
      <c r="C1163" t="s">
        <v>6782</v>
      </c>
      <c r="D1163" t="s">
        <v>6783</v>
      </c>
      <c r="E1163" t="s">
        <v>17728</v>
      </c>
      <c r="F1163">
        <v>81</v>
      </c>
      <c r="G1163">
        <v>2412728</v>
      </c>
      <c r="H1163" t="s">
        <v>17729</v>
      </c>
      <c r="J1163" s="54" t="s">
        <v>6052</v>
      </c>
      <c r="K1163" s="54">
        <v>0</v>
      </c>
      <c r="L1163" s="22" t="s">
        <v>104</v>
      </c>
      <c r="M1163" s="22" t="s">
        <v>1622</v>
      </c>
    </row>
    <row r="1164" spans="1:13" x14ac:dyDescent="0.75">
      <c r="A1164" t="s">
        <v>17739</v>
      </c>
      <c r="B1164" t="s">
        <v>1621</v>
      </c>
      <c r="C1164" t="s">
        <v>6782</v>
      </c>
      <c r="D1164" t="s">
        <v>6783</v>
      </c>
      <c r="E1164" t="s">
        <v>17740</v>
      </c>
      <c r="F1164">
        <v>138</v>
      </c>
      <c r="G1164">
        <v>2362358</v>
      </c>
      <c r="H1164" t="s">
        <v>17741</v>
      </c>
      <c r="J1164" s="54" t="s">
        <v>6052</v>
      </c>
      <c r="K1164" s="54">
        <v>0</v>
      </c>
      <c r="L1164" s="22" t="s">
        <v>104</v>
      </c>
      <c r="M1164" s="22" t="s">
        <v>1622</v>
      </c>
    </row>
    <row r="1165" spans="1:13" x14ac:dyDescent="0.75">
      <c r="A1165" t="s">
        <v>17730</v>
      </c>
      <c r="B1165" t="s">
        <v>1621</v>
      </c>
      <c r="C1165" t="s">
        <v>6782</v>
      </c>
      <c r="D1165" t="s">
        <v>6783</v>
      </c>
      <c r="E1165" t="s">
        <v>17731</v>
      </c>
      <c r="F1165">
        <v>60</v>
      </c>
      <c r="G1165">
        <v>2224963</v>
      </c>
      <c r="H1165" t="s">
        <v>17732</v>
      </c>
      <c r="J1165" s="54" t="s">
        <v>6052</v>
      </c>
      <c r="K1165" s="54">
        <v>0</v>
      </c>
      <c r="L1165" s="22" t="s">
        <v>104</v>
      </c>
      <c r="M1165" s="22" t="s">
        <v>1622</v>
      </c>
    </row>
    <row r="1166" spans="1:13" x14ac:dyDescent="0.75">
      <c r="A1166" t="s">
        <v>29855</v>
      </c>
      <c r="B1166" t="s">
        <v>1621</v>
      </c>
      <c r="C1166" t="s">
        <v>6782</v>
      </c>
      <c r="D1166" t="s">
        <v>6783</v>
      </c>
      <c r="E1166" t="s">
        <v>29856</v>
      </c>
      <c r="F1166">
        <v>157</v>
      </c>
      <c r="G1166">
        <v>2148105</v>
      </c>
      <c r="H1166" t="s">
        <v>29857</v>
      </c>
      <c r="J1166" s="54" t="s">
        <v>6052</v>
      </c>
      <c r="K1166" s="54">
        <v>0</v>
      </c>
      <c r="L1166" s="22" t="s">
        <v>104</v>
      </c>
      <c r="M1166" s="22" t="s">
        <v>1622</v>
      </c>
    </row>
    <row r="1167" spans="1:13" x14ac:dyDescent="0.75">
      <c r="A1167" t="s">
        <v>21661</v>
      </c>
      <c r="B1167" t="s">
        <v>1621</v>
      </c>
      <c r="C1167" t="s">
        <v>6782</v>
      </c>
      <c r="D1167" t="s">
        <v>6783</v>
      </c>
      <c r="E1167" t="s">
        <v>21662</v>
      </c>
      <c r="F1167">
        <v>1</v>
      </c>
      <c r="G1167">
        <v>2192571</v>
      </c>
      <c r="H1167" t="s">
        <v>21663</v>
      </c>
      <c r="J1167" s="54" t="s">
        <v>6052</v>
      </c>
      <c r="K1167" s="54">
        <v>0</v>
      </c>
      <c r="L1167" s="22" t="s">
        <v>104</v>
      </c>
      <c r="M1167" s="22" t="s">
        <v>1622</v>
      </c>
    </row>
    <row r="1168" spans="1:13" x14ac:dyDescent="0.75">
      <c r="A1168" t="s">
        <v>12664</v>
      </c>
      <c r="B1168" t="s">
        <v>1621</v>
      </c>
      <c r="C1168" t="s">
        <v>6782</v>
      </c>
      <c r="D1168" t="s">
        <v>6783</v>
      </c>
      <c r="E1168" t="s">
        <v>12665</v>
      </c>
      <c r="F1168">
        <v>111</v>
      </c>
      <c r="G1168">
        <v>2284273</v>
      </c>
      <c r="H1168" t="s">
        <v>12666</v>
      </c>
      <c r="J1168" s="54" t="s">
        <v>6052</v>
      </c>
      <c r="K1168" s="54">
        <v>0</v>
      </c>
      <c r="L1168" s="22" t="s">
        <v>104</v>
      </c>
      <c r="M1168" s="22" t="s">
        <v>1622</v>
      </c>
    </row>
    <row r="1169" spans="1:13" x14ac:dyDescent="0.75">
      <c r="A1169" t="s">
        <v>12783</v>
      </c>
      <c r="B1169" t="s">
        <v>1621</v>
      </c>
      <c r="C1169" t="s">
        <v>6782</v>
      </c>
      <c r="D1169" t="s">
        <v>6783</v>
      </c>
      <c r="E1169" t="s">
        <v>12784</v>
      </c>
      <c r="F1169">
        <v>107</v>
      </c>
      <c r="G1169">
        <v>2200272</v>
      </c>
      <c r="H1169" t="s">
        <v>12785</v>
      </c>
      <c r="J1169" s="54" t="s">
        <v>6052</v>
      </c>
      <c r="K1169" s="54">
        <v>0</v>
      </c>
      <c r="L1169" s="22" t="s">
        <v>104</v>
      </c>
      <c r="M1169" s="22" t="s">
        <v>1622</v>
      </c>
    </row>
    <row r="1170" spans="1:13" x14ac:dyDescent="0.75">
      <c r="A1170" t="s">
        <v>12990</v>
      </c>
      <c r="B1170" t="s">
        <v>1621</v>
      </c>
      <c r="C1170" t="s">
        <v>6782</v>
      </c>
      <c r="D1170" t="s">
        <v>6783</v>
      </c>
      <c r="E1170" t="s">
        <v>12991</v>
      </c>
      <c r="F1170">
        <v>112</v>
      </c>
      <c r="G1170">
        <v>2199832</v>
      </c>
      <c r="H1170" t="s">
        <v>12992</v>
      </c>
      <c r="J1170" s="54" t="s">
        <v>6052</v>
      </c>
      <c r="K1170" s="54">
        <v>0</v>
      </c>
      <c r="L1170" s="22" t="s">
        <v>104</v>
      </c>
      <c r="M1170" s="22" t="s">
        <v>1622</v>
      </c>
    </row>
    <row r="1171" spans="1:13" x14ac:dyDescent="0.75">
      <c r="A1171" t="s">
        <v>13693</v>
      </c>
      <c r="B1171" t="s">
        <v>1621</v>
      </c>
      <c r="C1171" t="s">
        <v>6782</v>
      </c>
      <c r="D1171" t="s">
        <v>6783</v>
      </c>
      <c r="E1171" t="s">
        <v>13694</v>
      </c>
      <c r="F1171">
        <v>9</v>
      </c>
      <c r="G1171">
        <v>2227855</v>
      </c>
      <c r="H1171" t="s">
        <v>13695</v>
      </c>
      <c r="J1171" s="54" t="s">
        <v>6052</v>
      </c>
      <c r="K1171" s="54">
        <v>0</v>
      </c>
      <c r="L1171" s="22" t="s">
        <v>104</v>
      </c>
      <c r="M1171" s="22" t="s">
        <v>1622</v>
      </c>
    </row>
    <row r="1172" spans="1:13" x14ac:dyDescent="0.75">
      <c r="A1172" t="s">
        <v>16447</v>
      </c>
      <c r="B1172" t="s">
        <v>1621</v>
      </c>
      <c r="C1172" t="s">
        <v>6782</v>
      </c>
      <c r="D1172" t="s">
        <v>6783</v>
      </c>
      <c r="E1172" t="s">
        <v>16448</v>
      </c>
      <c r="F1172">
        <v>1</v>
      </c>
      <c r="G1172">
        <v>2458478</v>
      </c>
      <c r="H1172" t="s">
        <v>16449</v>
      </c>
      <c r="J1172" s="54" t="s">
        <v>6052</v>
      </c>
      <c r="K1172" s="54">
        <v>0</v>
      </c>
      <c r="L1172" s="22" t="s">
        <v>104</v>
      </c>
      <c r="M1172" s="22" t="s">
        <v>1622</v>
      </c>
    </row>
    <row r="1173" spans="1:13" x14ac:dyDescent="0.75">
      <c r="A1173" t="s">
        <v>27307</v>
      </c>
      <c r="B1173" t="s">
        <v>1621</v>
      </c>
      <c r="C1173" t="s">
        <v>6782</v>
      </c>
      <c r="D1173" t="s">
        <v>6783</v>
      </c>
      <c r="E1173" t="s">
        <v>27308</v>
      </c>
      <c r="F1173">
        <v>1</v>
      </c>
      <c r="G1173">
        <v>2192577</v>
      </c>
      <c r="H1173" t="s">
        <v>27309</v>
      </c>
      <c r="J1173" s="54" t="s">
        <v>6052</v>
      </c>
      <c r="K1173" s="54">
        <v>0</v>
      </c>
      <c r="L1173" s="22" t="s">
        <v>104</v>
      </c>
      <c r="M1173" s="22" t="s">
        <v>1622</v>
      </c>
    </row>
    <row r="1174" spans="1:13" x14ac:dyDescent="0.75">
      <c r="A1174" t="s">
        <v>12251</v>
      </c>
      <c r="B1174" t="s">
        <v>1621</v>
      </c>
      <c r="C1174" t="s">
        <v>6782</v>
      </c>
      <c r="D1174" t="s">
        <v>6783</v>
      </c>
      <c r="E1174" t="s">
        <v>12252</v>
      </c>
      <c r="F1174">
        <v>35</v>
      </c>
      <c r="G1174">
        <v>2258481</v>
      </c>
      <c r="H1174" t="s">
        <v>12253</v>
      </c>
      <c r="J1174" s="54" t="s">
        <v>6052</v>
      </c>
      <c r="K1174" s="54">
        <v>0</v>
      </c>
      <c r="L1174" s="22" t="s">
        <v>104</v>
      </c>
      <c r="M1174" s="22" t="s">
        <v>1622</v>
      </c>
    </row>
    <row r="1175" spans="1:13" x14ac:dyDescent="0.75">
      <c r="A1175" t="s">
        <v>12245</v>
      </c>
      <c r="B1175" t="s">
        <v>1621</v>
      </c>
      <c r="C1175" t="s">
        <v>6782</v>
      </c>
      <c r="D1175" t="s">
        <v>6783</v>
      </c>
      <c r="E1175" t="s">
        <v>12246</v>
      </c>
      <c r="F1175">
        <v>12</v>
      </c>
      <c r="G1175">
        <v>2203048</v>
      </c>
      <c r="H1175" t="s">
        <v>12247</v>
      </c>
      <c r="J1175" s="54" t="s">
        <v>6052</v>
      </c>
      <c r="K1175" s="54">
        <v>0</v>
      </c>
      <c r="L1175" s="22" t="s">
        <v>104</v>
      </c>
      <c r="M1175" s="22" t="s">
        <v>1622</v>
      </c>
    </row>
    <row r="1176" spans="1:13" x14ac:dyDescent="0.75">
      <c r="A1176" t="s">
        <v>12248</v>
      </c>
      <c r="B1176" t="s">
        <v>1621</v>
      </c>
      <c r="C1176" t="s">
        <v>6782</v>
      </c>
      <c r="D1176" t="s">
        <v>6783</v>
      </c>
      <c r="E1176" t="s">
        <v>12249</v>
      </c>
      <c r="F1176">
        <v>50</v>
      </c>
      <c r="G1176">
        <v>2423039</v>
      </c>
      <c r="H1176" t="s">
        <v>12250</v>
      </c>
      <c r="J1176" s="54" t="s">
        <v>6052</v>
      </c>
      <c r="K1176" s="54">
        <v>0</v>
      </c>
      <c r="L1176" s="22" t="s">
        <v>104</v>
      </c>
      <c r="M1176" s="22" t="s">
        <v>1622</v>
      </c>
    </row>
    <row r="1177" spans="1:13" x14ac:dyDescent="0.75">
      <c r="A1177" t="s">
        <v>12256</v>
      </c>
      <c r="B1177" t="s">
        <v>1621</v>
      </c>
      <c r="C1177" t="s">
        <v>6782</v>
      </c>
      <c r="D1177" t="s">
        <v>6783</v>
      </c>
      <c r="E1177" t="s">
        <v>12257</v>
      </c>
      <c r="F1177">
        <v>13</v>
      </c>
      <c r="G1177">
        <v>2188187</v>
      </c>
      <c r="H1177" t="s">
        <v>12258</v>
      </c>
      <c r="J1177" s="54" t="s">
        <v>6052</v>
      </c>
      <c r="K1177" s="54">
        <v>0</v>
      </c>
      <c r="L1177" s="22" t="s">
        <v>104</v>
      </c>
      <c r="M1177" s="22" t="s">
        <v>1622</v>
      </c>
    </row>
    <row r="1178" spans="1:13" x14ac:dyDescent="0.75">
      <c r="A1178" t="s">
        <v>12259</v>
      </c>
      <c r="B1178" t="s">
        <v>1621</v>
      </c>
      <c r="C1178" t="s">
        <v>6782</v>
      </c>
      <c r="D1178" t="s">
        <v>6783</v>
      </c>
      <c r="E1178" t="s">
        <v>12260</v>
      </c>
      <c r="F1178">
        <v>55</v>
      </c>
      <c r="G1178">
        <v>2197973</v>
      </c>
      <c r="H1178" t="s">
        <v>12261</v>
      </c>
      <c r="J1178" s="54" t="s">
        <v>6052</v>
      </c>
      <c r="K1178" s="54">
        <v>0</v>
      </c>
      <c r="L1178" s="22" t="s">
        <v>104</v>
      </c>
      <c r="M1178" s="22" t="s">
        <v>1622</v>
      </c>
    </row>
    <row r="1179" spans="1:13" x14ac:dyDescent="0.75">
      <c r="A1179" t="s">
        <v>29052</v>
      </c>
      <c r="B1179" t="s">
        <v>1621</v>
      </c>
      <c r="C1179" t="s">
        <v>6782</v>
      </c>
      <c r="D1179" t="s">
        <v>6783</v>
      </c>
      <c r="E1179" t="s">
        <v>29053</v>
      </c>
      <c r="F1179">
        <v>105</v>
      </c>
      <c r="G1179">
        <v>2070314</v>
      </c>
      <c r="H1179" t="s">
        <v>29054</v>
      </c>
      <c r="J1179" s="54" t="s">
        <v>6052</v>
      </c>
      <c r="K1179" s="54">
        <v>0</v>
      </c>
      <c r="L1179" s="22" t="s">
        <v>104</v>
      </c>
      <c r="M1179" s="22" t="s">
        <v>1622</v>
      </c>
    </row>
    <row r="1180" spans="1:13" x14ac:dyDescent="0.75">
      <c r="A1180" t="s">
        <v>29951</v>
      </c>
      <c r="B1180" t="s">
        <v>20675</v>
      </c>
      <c r="C1180" t="s">
        <v>6814</v>
      </c>
      <c r="D1180" t="s">
        <v>20676</v>
      </c>
      <c r="E1180" t="s">
        <v>29952</v>
      </c>
      <c r="F1180">
        <v>237</v>
      </c>
      <c r="G1180">
        <v>2305925</v>
      </c>
      <c r="H1180" t="s">
        <v>29953</v>
      </c>
      <c r="J1180" s="54" t="s">
        <v>6052</v>
      </c>
      <c r="K1180" s="54">
        <v>0</v>
      </c>
      <c r="L1180" s="22" t="s">
        <v>104</v>
      </c>
      <c r="M1180" s="22" t="s">
        <v>37003</v>
      </c>
    </row>
    <row r="1181" spans="1:13" x14ac:dyDescent="0.75">
      <c r="A1181" t="s">
        <v>20674</v>
      </c>
      <c r="B1181" t="s">
        <v>20675</v>
      </c>
      <c r="C1181" t="s">
        <v>6814</v>
      </c>
      <c r="D1181" t="s">
        <v>20676</v>
      </c>
      <c r="E1181" t="s">
        <v>20677</v>
      </c>
      <c r="F1181">
        <v>1</v>
      </c>
      <c r="G1181">
        <v>3004013</v>
      </c>
      <c r="H1181" t="s">
        <v>20678</v>
      </c>
      <c r="J1181" s="54" t="s">
        <v>6052</v>
      </c>
      <c r="K1181" s="54">
        <v>0</v>
      </c>
      <c r="L1181" s="22" t="s">
        <v>104</v>
      </c>
      <c r="M1181" s="22" t="s">
        <v>37003</v>
      </c>
    </row>
    <row r="1182" spans="1:13" x14ac:dyDescent="0.75">
      <c r="A1182" t="s">
        <v>7068</v>
      </c>
      <c r="B1182" t="s">
        <v>7069</v>
      </c>
      <c r="C1182" t="s">
        <v>7070</v>
      </c>
      <c r="D1182" t="s">
        <v>7071</v>
      </c>
      <c r="E1182" t="s">
        <v>7072</v>
      </c>
      <c r="F1182">
        <v>1</v>
      </c>
      <c r="G1182">
        <v>1931012</v>
      </c>
      <c r="H1182" t="s">
        <v>7073</v>
      </c>
      <c r="J1182" s="54" t="s">
        <v>6052</v>
      </c>
      <c r="K1182" s="54">
        <v>0</v>
      </c>
      <c r="L1182" s="22" t="s">
        <v>104</v>
      </c>
      <c r="M1182" s="22" t="s">
        <v>37006</v>
      </c>
    </row>
    <row r="1183" spans="1:13" x14ac:dyDescent="0.75">
      <c r="A1183" t="s">
        <v>29725</v>
      </c>
      <c r="B1183" t="s">
        <v>7069</v>
      </c>
      <c r="C1183" t="s">
        <v>7070</v>
      </c>
      <c r="D1183" t="s">
        <v>7071</v>
      </c>
      <c r="E1183" t="s">
        <v>29726</v>
      </c>
      <c r="F1183">
        <v>238</v>
      </c>
      <c r="G1183">
        <v>1472763</v>
      </c>
      <c r="H1183" t="s">
        <v>29727</v>
      </c>
      <c r="J1183" s="54" t="s">
        <v>6052</v>
      </c>
      <c r="K1183" s="54">
        <v>0</v>
      </c>
      <c r="L1183" s="22" t="s">
        <v>104</v>
      </c>
      <c r="M1183" s="22" t="s">
        <v>37006</v>
      </c>
    </row>
    <row r="1184" spans="1:13" x14ac:dyDescent="0.75">
      <c r="A1184" t="s">
        <v>28957</v>
      </c>
      <c r="B1184" t="s">
        <v>7069</v>
      </c>
      <c r="C1184" t="s">
        <v>7070</v>
      </c>
      <c r="D1184" t="s">
        <v>7071</v>
      </c>
      <c r="E1184" t="s">
        <v>28958</v>
      </c>
      <c r="F1184">
        <v>212</v>
      </c>
      <c r="G1184">
        <v>1790812</v>
      </c>
      <c r="H1184" t="s">
        <v>28959</v>
      </c>
      <c r="J1184" s="54" t="s">
        <v>6052</v>
      </c>
      <c r="K1184" s="54">
        <v>0</v>
      </c>
      <c r="L1184" s="22" t="s">
        <v>104</v>
      </c>
      <c r="M1184" s="22" t="s">
        <v>37006</v>
      </c>
    </row>
    <row r="1185" spans="1:13" x14ac:dyDescent="0.75">
      <c r="A1185" t="s">
        <v>7684</v>
      </c>
      <c r="B1185" t="s">
        <v>7685</v>
      </c>
      <c r="C1185" t="s">
        <v>7686</v>
      </c>
      <c r="D1185" t="s">
        <v>7687</v>
      </c>
      <c r="E1185" t="s">
        <v>7688</v>
      </c>
      <c r="F1185">
        <v>1</v>
      </c>
      <c r="G1185">
        <v>2728333</v>
      </c>
      <c r="H1185" t="s">
        <v>7689</v>
      </c>
      <c r="J1185" s="54" t="s">
        <v>6052</v>
      </c>
      <c r="K1185" s="54">
        <v>0</v>
      </c>
      <c r="L1185" s="22" t="s">
        <v>104</v>
      </c>
      <c r="M1185" s="22" t="s">
        <v>37008</v>
      </c>
    </row>
    <row r="1186" spans="1:13" x14ac:dyDescent="0.75">
      <c r="A1186" t="s">
        <v>28911</v>
      </c>
      <c r="B1186" t="s">
        <v>7685</v>
      </c>
      <c r="C1186" t="s">
        <v>7686</v>
      </c>
      <c r="D1186" t="s">
        <v>7687</v>
      </c>
      <c r="E1186" t="s">
        <v>28912</v>
      </c>
      <c r="F1186">
        <v>311</v>
      </c>
      <c r="G1186">
        <v>1870214</v>
      </c>
      <c r="H1186" t="s">
        <v>28913</v>
      </c>
      <c r="J1186" s="54" t="s">
        <v>6052</v>
      </c>
      <c r="K1186" s="54">
        <v>0</v>
      </c>
      <c r="L1186" s="22" t="s">
        <v>104</v>
      </c>
      <c r="M1186" s="22" t="s">
        <v>37008</v>
      </c>
    </row>
    <row r="1187" spans="1:13" x14ac:dyDescent="0.75">
      <c r="A1187" t="s">
        <v>7824</v>
      </c>
      <c r="B1187" t="s">
        <v>6769</v>
      </c>
      <c r="C1187" t="s">
        <v>6107</v>
      </c>
      <c r="D1187" t="s">
        <v>6770</v>
      </c>
      <c r="E1187" t="s">
        <v>7825</v>
      </c>
      <c r="F1187">
        <v>81</v>
      </c>
      <c r="G1187">
        <v>2721023</v>
      </c>
      <c r="H1187" t="s">
        <v>7826</v>
      </c>
      <c r="J1187" s="54" t="s">
        <v>6052</v>
      </c>
      <c r="K1187" s="54">
        <v>0</v>
      </c>
      <c r="L1187" s="22" t="s">
        <v>104</v>
      </c>
      <c r="M1187" s="22" t="s">
        <v>37013</v>
      </c>
    </row>
    <row r="1188" spans="1:13" x14ac:dyDescent="0.75">
      <c r="A1188" t="s">
        <v>24978</v>
      </c>
      <c r="B1188" t="s">
        <v>6769</v>
      </c>
      <c r="C1188" t="s">
        <v>6107</v>
      </c>
      <c r="D1188" t="s">
        <v>6770</v>
      </c>
      <c r="E1188" t="s">
        <v>24979</v>
      </c>
      <c r="F1188">
        <v>1</v>
      </c>
      <c r="G1188">
        <v>2448186</v>
      </c>
      <c r="H1188" t="s">
        <v>24980</v>
      </c>
      <c r="J1188" s="54" t="s">
        <v>6052</v>
      </c>
      <c r="K1188" s="54">
        <v>0</v>
      </c>
      <c r="L1188" s="22" t="s">
        <v>104</v>
      </c>
      <c r="M1188" s="22" t="s">
        <v>37013</v>
      </c>
    </row>
    <row r="1189" spans="1:13" x14ac:dyDescent="0.75">
      <c r="A1189" t="s">
        <v>7821</v>
      </c>
      <c r="B1189" t="s">
        <v>6769</v>
      </c>
      <c r="C1189" t="s">
        <v>6107</v>
      </c>
      <c r="D1189" t="s">
        <v>6770</v>
      </c>
      <c r="E1189" t="s">
        <v>7822</v>
      </c>
      <c r="F1189">
        <v>2</v>
      </c>
      <c r="G1189">
        <v>2154007</v>
      </c>
      <c r="H1189" t="s">
        <v>7823</v>
      </c>
      <c r="J1189" s="54" t="s">
        <v>6052</v>
      </c>
      <c r="K1189" s="54">
        <v>0</v>
      </c>
      <c r="L1189" s="22" t="s">
        <v>104</v>
      </c>
      <c r="M1189" s="22" t="s">
        <v>37013</v>
      </c>
    </row>
    <row r="1190" spans="1:13" x14ac:dyDescent="0.75">
      <c r="A1190" t="s">
        <v>6981</v>
      </c>
      <c r="B1190" t="s">
        <v>6769</v>
      </c>
      <c r="C1190" t="s">
        <v>6107</v>
      </c>
      <c r="D1190" t="s">
        <v>6770</v>
      </c>
      <c r="E1190" t="s">
        <v>6982</v>
      </c>
      <c r="F1190">
        <v>18</v>
      </c>
      <c r="G1190">
        <v>2302090</v>
      </c>
      <c r="H1190" t="s">
        <v>6983</v>
      </c>
      <c r="J1190" s="54" t="s">
        <v>6052</v>
      </c>
      <c r="K1190" s="54">
        <v>0</v>
      </c>
      <c r="L1190" s="22" t="s">
        <v>104</v>
      </c>
      <c r="M1190" s="22" t="s">
        <v>37013</v>
      </c>
    </row>
    <row r="1191" spans="1:13" x14ac:dyDescent="0.75">
      <c r="A1191" t="s">
        <v>9430</v>
      </c>
      <c r="B1191" t="s">
        <v>6769</v>
      </c>
      <c r="C1191" t="s">
        <v>6107</v>
      </c>
      <c r="D1191" t="s">
        <v>6770</v>
      </c>
      <c r="E1191" t="s">
        <v>9431</v>
      </c>
      <c r="F1191">
        <v>2</v>
      </c>
      <c r="G1191">
        <v>2275461</v>
      </c>
      <c r="H1191" t="s">
        <v>9432</v>
      </c>
      <c r="J1191" s="54" t="s">
        <v>6052</v>
      </c>
      <c r="K1191" s="54">
        <v>0</v>
      </c>
      <c r="L1191" s="22" t="s">
        <v>104</v>
      </c>
      <c r="M1191" s="22" t="s">
        <v>37013</v>
      </c>
    </row>
    <row r="1192" spans="1:13" x14ac:dyDescent="0.75">
      <c r="A1192" t="s">
        <v>6768</v>
      </c>
      <c r="B1192" t="s">
        <v>6769</v>
      </c>
      <c r="C1192" t="s">
        <v>6107</v>
      </c>
      <c r="D1192" t="s">
        <v>6770</v>
      </c>
      <c r="E1192" t="s">
        <v>6771</v>
      </c>
      <c r="F1192">
        <v>2</v>
      </c>
      <c r="G1192">
        <v>2514029</v>
      </c>
      <c r="H1192" t="s">
        <v>6772</v>
      </c>
      <c r="J1192" s="54" t="s">
        <v>6052</v>
      </c>
      <c r="K1192" s="54">
        <v>0</v>
      </c>
      <c r="L1192" s="22" t="s">
        <v>104</v>
      </c>
      <c r="M1192" s="22" t="s">
        <v>37013</v>
      </c>
    </row>
    <row r="1193" spans="1:13" x14ac:dyDescent="0.75">
      <c r="A1193" t="s">
        <v>8668</v>
      </c>
      <c r="B1193" t="s">
        <v>6769</v>
      </c>
      <c r="C1193" t="s">
        <v>6107</v>
      </c>
      <c r="D1193" t="s">
        <v>6770</v>
      </c>
      <c r="E1193" t="s">
        <v>6771</v>
      </c>
      <c r="F1193">
        <v>4</v>
      </c>
      <c r="G1193">
        <v>2515488</v>
      </c>
      <c r="H1193" t="s">
        <v>8669</v>
      </c>
      <c r="J1193" s="54" t="s">
        <v>6052</v>
      </c>
      <c r="K1193" s="54">
        <v>0</v>
      </c>
      <c r="L1193" s="22" t="s">
        <v>104</v>
      </c>
      <c r="M1193" s="22" t="s">
        <v>37013</v>
      </c>
    </row>
    <row r="1194" spans="1:13" x14ac:dyDescent="0.75">
      <c r="A1194" t="s">
        <v>9659</v>
      </c>
      <c r="B1194" t="s">
        <v>6769</v>
      </c>
      <c r="C1194" t="s">
        <v>6107</v>
      </c>
      <c r="D1194" t="s">
        <v>6770</v>
      </c>
      <c r="E1194" t="s">
        <v>9660</v>
      </c>
      <c r="F1194">
        <v>123</v>
      </c>
      <c r="G1194">
        <v>2265718</v>
      </c>
      <c r="H1194" t="s">
        <v>9661</v>
      </c>
      <c r="J1194" s="54" t="s">
        <v>6052</v>
      </c>
      <c r="K1194" s="54">
        <v>0</v>
      </c>
      <c r="L1194" s="22" t="s">
        <v>104</v>
      </c>
      <c r="M1194" s="22" t="s">
        <v>37013</v>
      </c>
    </row>
    <row r="1195" spans="1:13" x14ac:dyDescent="0.75">
      <c r="A1195" t="s">
        <v>13759</v>
      </c>
      <c r="B1195" t="s">
        <v>6769</v>
      </c>
      <c r="C1195" t="s">
        <v>6107</v>
      </c>
      <c r="D1195" t="s">
        <v>6770</v>
      </c>
      <c r="E1195" t="s">
        <v>13760</v>
      </c>
      <c r="F1195">
        <v>1</v>
      </c>
      <c r="G1195">
        <v>2322902</v>
      </c>
      <c r="H1195" t="s">
        <v>13761</v>
      </c>
      <c r="J1195" s="54" t="s">
        <v>6052</v>
      </c>
      <c r="K1195" s="54">
        <v>0</v>
      </c>
      <c r="L1195" s="22" t="s">
        <v>104</v>
      </c>
      <c r="M1195" s="22" t="s">
        <v>37013</v>
      </c>
    </row>
    <row r="1196" spans="1:13" x14ac:dyDescent="0.75">
      <c r="A1196" t="s">
        <v>10170</v>
      </c>
      <c r="B1196" t="s">
        <v>6769</v>
      </c>
      <c r="C1196" t="s">
        <v>6107</v>
      </c>
      <c r="D1196" t="s">
        <v>6770</v>
      </c>
      <c r="E1196" t="s">
        <v>10171</v>
      </c>
      <c r="F1196">
        <v>155</v>
      </c>
      <c r="G1196">
        <v>2442599</v>
      </c>
      <c r="H1196" t="s">
        <v>10172</v>
      </c>
      <c r="J1196" s="54" t="s">
        <v>6052</v>
      </c>
      <c r="K1196" s="54">
        <v>0</v>
      </c>
      <c r="L1196" s="22" t="s">
        <v>104</v>
      </c>
      <c r="M1196" s="22" t="s">
        <v>37013</v>
      </c>
    </row>
    <row r="1197" spans="1:13" x14ac:dyDescent="0.75">
      <c r="A1197" t="s">
        <v>10013</v>
      </c>
      <c r="B1197" t="s">
        <v>6769</v>
      </c>
      <c r="C1197" t="s">
        <v>6107</v>
      </c>
      <c r="D1197" t="s">
        <v>6770</v>
      </c>
      <c r="E1197" t="s">
        <v>10014</v>
      </c>
      <c r="F1197">
        <v>28</v>
      </c>
      <c r="G1197">
        <v>2429447</v>
      </c>
      <c r="H1197" t="s">
        <v>10015</v>
      </c>
      <c r="J1197" s="54" t="s">
        <v>6052</v>
      </c>
      <c r="K1197" s="54">
        <v>0</v>
      </c>
      <c r="L1197" s="22" t="s">
        <v>104</v>
      </c>
      <c r="M1197" s="22" t="s">
        <v>37013</v>
      </c>
    </row>
    <row r="1198" spans="1:13" x14ac:dyDescent="0.75">
      <c r="A1198" t="s">
        <v>10007</v>
      </c>
      <c r="B1198" t="s">
        <v>6769</v>
      </c>
      <c r="C1198" t="s">
        <v>6107</v>
      </c>
      <c r="D1198" t="s">
        <v>6770</v>
      </c>
      <c r="E1198" t="s">
        <v>10008</v>
      </c>
      <c r="F1198">
        <v>22</v>
      </c>
      <c r="G1198">
        <v>2205574</v>
      </c>
      <c r="H1198" t="s">
        <v>10009</v>
      </c>
      <c r="J1198" s="54" t="s">
        <v>6052</v>
      </c>
      <c r="K1198" s="54">
        <v>0</v>
      </c>
      <c r="L1198" s="22" t="s">
        <v>104</v>
      </c>
      <c r="M1198" s="22" t="s">
        <v>37013</v>
      </c>
    </row>
    <row r="1199" spans="1:13" x14ac:dyDescent="0.75">
      <c r="A1199" t="s">
        <v>10004</v>
      </c>
      <c r="B1199" t="s">
        <v>6769</v>
      </c>
      <c r="C1199" t="s">
        <v>6107</v>
      </c>
      <c r="D1199" t="s">
        <v>6770</v>
      </c>
      <c r="E1199" t="s">
        <v>10005</v>
      </c>
      <c r="F1199">
        <v>45</v>
      </c>
      <c r="G1199">
        <v>2391779</v>
      </c>
      <c r="H1199" t="s">
        <v>10006</v>
      </c>
      <c r="J1199" s="54" t="s">
        <v>6052</v>
      </c>
      <c r="K1199" s="54">
        <v>0</v>
      </c>
      <c r="L1199" s="22" t="s">
        <v>104</v>
      </c>
      <c r="M1199" s="22" t="s">
        <v>37013</v>
      </c>
    </row>
    <row r="1200" spans="1:13" x14ac:dyDescent="0.75">
      <c r="A1200" t="s">
        <v>6778</v>
      </c>
      <c r="B1200" t="s">
        <v>6769</v>
      </c>
      <c r="C1200" t="s">
        <v>6107</v>
      </c>
      <c r="D1200" t="s">
        <v>6770</v>
      </c>
      <c r="E1200" t="s">
        <v>6779</v>
      </c>
      <c r="F1200">
        <v>165</v>
      </c>
      <c r="G1200">
        <v>2363537</v>
      </c>
      <c r="H1200" t="s">
        <v>6780</v>
      </c>
      <c r="J1200" s="54" t="s">
        <v>6052</v>
      </c>
      <c r="K1200" s="54">
        <v>0</v>
      </c>
      <c r="L1200" s="22" t="s">
        <v>104</v>
      </c>
      <c r="M1200" s="22" t="s">
        <v>37013</v>
      </c>
    </row>
    <row r="1201" spans="1:13" x14ac:dyDescent="0.75">
      <c r="A1201" t="s">
        <v>28782</v>
      </c>
      <c r="B1201" t="s">
        <v>6769</v>
      </c>
      <c r="C1201" t="s">
        <v>6107</v>
      </c>
      <c r="D1201" t="s">
        <v>6770</v>
      </c>
      <c r="E1201" t="s">
        <v>28783</v>
      </c>
      <c r="F1201">
        <v>202</v>
      </c>
      <c r="G1201">
        <v>2577276</v>
      </c>
      <c r="H1201" t="s">
        <v>28784</v>
      </c>
      <c r="J1201" s="54" t="s">
        <v>6052</v>
      </c>
      <c r="K1201" s="54">
        <v>0</v>
      </c>
      <c r="L1201" s="22" t="s">
        <v>104</v>
      </c>
      <c r="M1201" s="22" t="s">
        <v>37013</v>
      </c>
    </row>
    <row r="1202" spans="1:13" x14ac:dyDescent="0.75">
      <c r="A1202" t="s">
        <v>29916</v>
      </c>
      <c r="B1202" t="s">
        <v>6769</v>
      </c>
      <c r="C1202" t="s">
        <v>6107</v>
      </c>
      <c r="D1202" t="s">
        <v>6770</v>
      </c>
      <c r="E1202" t="s">
        <v>29917</v>
      </c>
      <c r="F1202">
        <v>292</v>
      </c>
      <c r="G1202">
        <v>2386757</v>
      </c>
      <c r="H1202" t="s">
        <v>29918</v>
      </c>
      <c r="J1202" s="54" t="s">
        <v>6052</v>
      </c>
      <c r="K1202" s="54">
        <v>0</v>
      </c>
      <c r="L1202" s="22" t="s">
        <v>104</v>
      </c>
      <c r="M1202" s="22" t="s">
        <v>37013</v>
      </c>
    </row>
    <row r="1203" spans="1:13" x14ac:dyDescent="0.75">
      <c r="A1203" t="s">
        <v>8298</v>
      </c>
      <c r="B1203" t="s">
        <v>6769</v>
      </c>
      <c r="C1203" t="s">
        <v>6107</v>
      </c>
      <c r="D1203" t="s">
        <v>6770</v>
      </c>
      <c r="E1203" t="s">
        <v>8299</v>
      </c>
      <c r="F1203">
        <v>2</v>
      </c>
      <c r="G1203">
        <v>2514030</v>
      </c>
      <c r="H1203" t="s">
        <v>8300</v>
      </c>
      <c r="J1203" s="54" t="s">
        <v>6052</v>
      </c>
      <c r="K1203" s="54">
        <v>0</v>
      </c>
      <c r="L1203" s="22" t="s">
        <v>104</v>
      </c>
      <c r="M1203" s="22" t="s">
        <v>37013</v>
      </c>
    </row>
    <row r="1204" spans="1:13" x14ac:dyDescent="0.75">
      <c r="A1204" t="s">
        <v>8665</v>
      </c>
      <c r="B1204" t="s">
        <v>6769</v>
      </c>
      <c r="C1204" t="s">
        <v>6107</v>
      </c>
      <c r="D1204" t="s">
        <v>6770</v>
      </c>
      <c r="E1204" t="s">
        <v>8666</v>
      </c>
      <c r="F1204">
        <v>5</v>
      </c>
      <c r="G1204">
        <v>2438048</v>
      </c>
      <c r="H1204" t="s">
        <v>8667</v>
      </c>
      <c r="J1204" s="54" t="s">
        <v>6052</v>
      </c>
      <c r="K1204" s="54">
        <v>0</v>
      </c>
      <c r="L1204" s="22" t="s">
        <v>104</v>
      </c>
      <c r="M1204" s="22" t="s">
        <v>37013</v>
      </c>
    </row>
    <row r="1205" spans="1:13" x14ac:dyDescent="0.75">
      <c r="A1205" t="s">
        <v>22398</v>
      </c>
      <c r="B1205" t="s">
        <v>6769</v>
      </c>
      <c r="C1205" t="s">
        <v>6107</v>
      </c>
      <c r="D1205" t="s">
        <v>6770</v>
      </c>
      <c r="E1205" t="s">
        <v>22399</v>
      </c>
      <c r="F1205">
        <v>36</v>
      </c>
      <c r="G1205">
        <v>2120548</v>
      </c>
      <c r="H1205" t="s">
        <v>22400</v>
      </c>
      <c r="J1205" s="54" t="s">
        <v>6052</v>
      </c>
      <c r="K1205" s="54">
        <v>0</v>
      </c>
      <c r="L1205" s="22" t="s">
        <v>104</v>
      </c>
      <c r="M1205" s="22" t="s">
        <v>37013</v>
      </c>
    </row>
    <row r="1206" spans="1:13" x14ac:dyDescent="0.75">
      <c r="A1206" t="s">
        <v>24972</v>
      </c>
      <c r="B1206" t="s">
        <v>6769</v>
      </c>
      <c r="C1206" t="s">
        <v>6107</v>
      </c>
      <c r="D1206" t="s">
        <v>6770</v>
      </c>
      <c r="E1206" t="s">
        <v>24973</v>
      </c>
      <c r="F1206">
        <v>1</v>
      </c>
      <c r="G1206">
        <v>2492833</v>
      </c>
      <c r="H1206" t="s">
        <v>24974</v>
      </c>
      <c r="J1206" s="54" t="s">
        <v>6052</v>
      </c>
      <c r="K1206" s="54">
        <v>0</v>
      </c>
      <c r="L1206" s="22" t="s">
        <v>104</v>
      </c>
      <c r="M1206" s="22" t="s">
        <v>37013</v>
      </c>
    </row>
    <row r="1207" spans="1:13" x14ac:dyDescent="0.75">
      <c r="A1207" t="s">
        <v>12906</v>
      </c>
      <c r="B1207" t="s">
        <v>6769</v>
      </c>
      <c r="C1207" t="s">
        <v>6107</v>
      </c>
      <c r="D1207" t="s">
        <v>6770</v>
      </c>
      <c r="E1207" t="s">
        <v>12907</v>
      </c>
      <c r="F1207">
        <v>134</v>
      </c>
      <c r="G1207">
        <v>2127181</v>
      </c>
      <c r="H1207" t="s">
        <v>12908</v>
      </c>
      <c r="J1207" s="54" t="s">
        <v>6052</v>
      </c>
      <c r="K1207" s="54">
        <v>0</v>
      </c>
      <c r="L1207" s="22" t="s">
        <v>104</v>
      </c>
      <c r="M1207" s="22" t="s">
        <v>37013</v>
      </c>
    </row>
    <row r="1208" spans="1:13" x14ac:dyDescent="0.75">
      <c r="A1208" t="s">
        <v>11513</v>
      </c>
      <c r="B1208" t="s">
        <v>6769</v>
      </c>
      <c r="C1208" t="s">
        <v>6107</v>
      </c>
      <c r="D1208" t="s">
        <v>6770</v>
      </c>
      <c r="E1208" t="s">
        <v>11514</v>
      </c>
      <c r="F1208">
        <v>1</v>
      </c>
      <c r="G1208">
        <v>2549353</v>
      </c>
      <c r="H1208" t="s">
        <v>11515</v>
      </c>
      <c r="J1208" s="54" t="s">
        <v>6052</v>
      </c>
      <c r="K1208" s="54">
        <v>0</v>
      </c>
      <c r="L1208" s="22" t="s">
        <v>104</v>
      </c>
      <c r="M1208" s="22" t="s">
        <v>37013</v>
      </c>
    </row>
    <row r="1209" spans="1:13" x14ac:dyDescent="0.75">
      <c r="A1209" t="s">
        <v>14033</v>
      </c>
      <c r="B1209" t="s">
        <v>6769</v>
      </c>
      <c r="C1209" t="s">
        <v>6107</v>
      </c>
      <c r="D1209" t="s">
        <v>6770</v>
      </c>
      <c r="E1209" t="s">
        <v>14034</v>
      </c>
      <c r="F1209">
        <v>4</v>
      </c>
      <c r="G1209">
        <v>2674036</v>
      </c>
      <c r="H1209" t="s">
        <v>14035</v>
      </c>
      <c r="J1209" s="54" t="s">
        <v>6052</v>
      </c>
      <c r="K1209" s="54">
        <v>0</v>
      </c>
      <c r="L1209" s="22" t="s">
        <v>104</v>
      </c>
      <c r="M1209" s="22" t="s">
        <v>37013</v>
      </c>
    </row>
    <row r="1210" spans="1:13" x14ac:dyDescent="0.75">
      <c r="A1210" t="s">
        <v>11519</v>
      </c>
      <c r="B1210" t="s">
        <v>6769</v>
      </c>
      <c r="C1210" t="s">
        <v>6107</v>
      </c>
      <c r="D1210" t="s">
        <v>6770</v>
      </c>
      <c r="E1210" t="s">
        <v>11520</v>
      </c>
      <c r="F1210">
        <v>1</v>
      </c>
      <c r="G1210">
        <v>2310804</v>
      </c>
      <c r="H1210" t="s">
        <v>11521</v>
      </c>
      <c r="J1210" s="54" t="s">
        <v>6052</v>
      </c>
      <c r="K1210" s="54">
        <v>0</v>
      </c>
      <c r="L1210" s="22" t="s">
        <v>104</v>
      </c>
      <c r="M1210" s="22" t="s">
        <v>37013</v>
      </c>
    </row>
    <row r="1211" spans="1:13" x14ac:dyDescent="0.75">
      <c r="A1211" t="s">
        <v>27037</v>
      </c>
      <c r="B1211" t="s">
        <v>6769</v>
      </c>
      <c r="C1211" t="s">
        <v>6107</v>
      </c>
      <c r="D1211" t="s">
        <v>6770</v>
      </c>
      <c r="E1211" t="s">
        <v>27038</v>
      </c>
      <c r="F1211">
        <v>1</v>
      </c>
      <c r="G1211">
        <v>2560460</v>
      </c>
      <c r="H1211" t="s">
        <v>27039</v>
      </c>
      <c r="J1211" s="54" t="s">
        <v>6052</v>
      </c>
      <c r="K1211" s="54">
        <v>0</v>
      </c>
      <c r="L1211" s="22" t="s">
        <v>104</v>
      </c>
      <c r="M1211" s="22" t="s">
        <v>37013</v>
      </c>
    </row>
    <row r="1212" spans="1:13" x14ac:dyDescent="0.75">
      <c r="A1212" t="s">
        <v>26941</v>
      </c>
      <c r="B1212" t="s">
        <v>6769</v>
      </c>
      <c r="C1212" t="s">
        <v>6107</v>
      </c>
      <c r="D1212" t="s">
        <v>6770</v>
      </c>
      <c r="E1212" t="s">
        <v>26942</v>
      </c>
      <c r="F1212">
        <v>2</v>
      </c>
      <c r="G1212">
        <v>2668481</v>
      </c>
      <c r="H1212" t="s">
        <v>26943</v>
      </c>
      <c r="J1212" s="54" t="s">
        <v>6052</v>
      </c>
      <c r="K1212" s="54">
        <v>0</v>
      </c>
      <c r="L1212" s="22" t="s">
        <v>104</v>
      </c>
      <c r="M1212" s="22" t="s">
        <v>37013</v>
      </c>
    </row>
    <row r="1213" spans="1:13" x14ac:dyDescent="0.75">
      <c r="A1213" t="s">
        <v>27034</v>
      </c>
      <c r="B1213" t="s">
        <v>6769</v>
      </c>
      <c r="C1213" t="s">
        <v>6107</v>
      </c>
      <c r="D1213" t="s">
        <v>6770</v>
      </c>
      <c r="E1213" t="s">
        <v>27035</v>
      </c>
      <c r="F1213">
        <v>1</v>
      </c>
      <c r="G1213">
        <v>2315884</v>
      </c>
      <c r="H1213" t="s">
        <v>27036</v>
      </c>
      <c r="J1213" s="54" t="s">
        <v>6052</v>
      </c>
      <c r="K1213" s="54">
        <v>0</v>
      </c>
      <c r="L1213" s="22" t="s">
        <v>104</v>
      </c>
      <c r="M1213" s="22" t="s">
        <v>37013</v>
      </c>
    </row>
    <row r="1214" spans="1:13" x14ac:dyDescent="0.75">
      <c r="A1214" t="s">
        <v>26817</v>
      </c>
      <c r="B1214" t="s">
        <v>6769</v>
      </c>
      <c r="C1214" t="s">
        <v>6107</v>
      </c>
      <c r="D1214" t="s">
        <v>6770</v>
      </c>
      <c r="E1214" t="s">
        <v>26818</v>
      </c>
      <c r="F1214">
        <v>2</v>
      </c>
      <c r="G1214">
        <v>2539073</v>
      </c>
      <c r="H1214" t="s">
        <v>26819</v>
      </c>
      <c r="J1214" s="54" t="s">
        <v>6052</v>
      </c>
      <c r="K1214" s="54">
        <v>0</v>
      </c>
      <c r="L1214" s="22" t="s">
        <v>104</v>
      </c>
      <c r="M1214" s="22" t="s">
        <v>37013</v>
      </c>
    </row>
    <row r="1215" spans="1:13" x14ac:dyDescent="0.75">
      <c r="A1215" t="s">
        <v>27022</v>
      </c>
      <c r="B1215" t="s">
        <v>6769</v>
      </c>
      <c r="C1215" t="s">
        <v>6107</v>
      </c>
      <c r="D1215" t="s">
        <v>6770</v>
      </c>
      <c r="E1215" t="s">
        <v>27023</v>
      </c>
      <c r="F1215">
        <v>1</v>
      </c>
      <c r="G1215">
        <v>2336223</v>
      </c>
      <c r="H1215" t="s">
        <v>27024</v>
      </c>
      <c r="J1215" s="54" t="s">
        <v>6052</v>
      </c>
      <c r="K1215" s="54">
        <v>0</v>
      </c>
      <c r="L1215" s="22" t="s">
        <v>104</v>
      </c>
      <c r="M1215" s="22" t="s">
        <v>37013</v>
      </c>
    </row>
    <row r="1216" spans="1:13" x14ac:dyDescent="0.75">
      <c r="A1216" t="s">
        <v>26935</v>
      </c>
      <c r="B1216" t="s">
        <v>6769</v>
      </c>
      <c r="C1216" t="s">
        <v>6107</v>
      </c>
      <c r="D1216" t="s">
        <v>6770</v>
      </c>
      <c r="E1216" t="s">
        <v>26936</v>
      </c>
      <c r="F1216">
        <v>1</v>
      </c>
      <c r="G1216">
        <v>2322909</v>
      </c>
      <c r="H1216" t="s">
        <v>26937</v>
      </c>
      <c r="J1216" s="54" t="s">
        <v>6052</v>
      </c>
      <c r="K1216" s="54">
        <v>0</v>
      </c>
      <c r="L1216" s="22" t="s">
        <v>104</v>
      </c>
      <c r="M1216" s="22" t="s">
        <v>37013</v>
      </c>
    </row>
    <row r="1217" spans="1:13" x14ac:dyDescent="0.75">
      <c r="A1217" t="s">
        <v>27016</v>
      </c>
      <c r="B1217" t="s">
        <v>6769</v>
      </c>
      <c r="C1217" t="s">
        <v>6107</v>
      </c>
      <c r="D1217" t="s">
        <v>6770</v>
      </c>
      <c r="E1217" t="s">
        <v>27017</v>
      </c>
      <c r="F1217">
        <v>1</v>
      </c>
      <c r="G1217">
        <v>2430285</v>
      </c>
      <c r="H1217" t="s">
        <v>27018</v>
      </c>
      <c r="J1217" s="54" t="s">
        <v>6052</v>
      </c>
      <c r="K1217" s="54">
        <v>0</v>
      </c>
      <c r="L1217" s="22" t="s">
        <v>104</v>
      </c>
      <c r="M1217" s="22" t="s">
        <v>37013</v>
      </c>
    </row>
    <row r="1218" spans="1:13" x14ac:dyDescent="0.75">
      <c r="A1218" t="s">
        <v>27013</v>
      </c>
      <c r="B1218" t="s">
        <v>6769</v>
      </c>
      <c r="C1218" t="s">
        <v>6107</v>
      </c>
      <c r="D1218" t="s">
        <v>6770</v>
      </c>
      <c r="E1218" t="s">
        <v>27014</v>
      </c>
      <c r="F1218">
        <v>1</v>
      </c>
      <c r="G1218">
        <v>2223019</v>
      </c>
      <c r="H1218" t="s">
        <v>27015</v>
      </c>
      <c r="J1218" s="54" t="s">
        <v>6052</v>
      </c>
      <c r="K1218" s="54">
        <v>0</v>
      </c>
      <c r="L1218" s="22" t="s">
        <v>104</v>
      </c>
      <c r="M1218" s="22" t="s">
        <v>37013</v>
      </c>
    </row>
    <row r="1219" spans="1:13" x14ac:dyDescent="0.75">
      <c r="A1219" t="s">
        <v>27010</v>
      </c>
      <c r="B1219" t="s">
        <v>6769</v>
      </c>
      <c r="C1219" t="s">
        <v>6107</v>
      </c>
      <c r="D1219" t="s">
        <v>6770</v>
      </c>
      <c r="E1219" t="s">
        <v>27011</v>
      </c>
      <c r="F1219">
        <v>1</v>
      </c>
      <c r="G1219">
        <v>2762399</v>
      </c>
      <c r="H1219" t="s">
        <v>27012</v>
      </c>
      <c r="J1219" s="54" t="s">
        <v>6052</v>
      </c>
      <c r="K1219" s="54">
        <v>0</v>
      </c>
      <c r="L1219" s="22" t="s">
        <v>104</v>
      </c>
      <c r="M1219" s="22" t="s">
        <v>37013</v>
      </c>
    </row>
    <row r="1220" spans="1:13" x14ac:dyDescent="0.75">
      <c r="A1220" t="s">
        <v>27007</v>
      </c>
      <c r="B1220" t="s">
        <v>6769</v>
      </c>
      <c r="C1220" t="s">
        <v>6107</v>
      </c>
      <c r="D1220" t="s">
        <v>6770</v>
      </c>
      <c r="E1220" t="s">
        <v>27008</v>
      </c>
      <c r="F1220">
        <v>2</v>
      </c>
      <c r="G1220">
        <v>2306212</v>
      </c>
      <c r="H1220" t="s">
        <v>27009</v>
      </c>
      <c r="J1220" s="54" t="s">
        <v>6052</v>
      </c>
      <c r="K1220" s="54">
        <v>0</v>
      </c>
      <c r="L1220" s="22" t="s">
        <v>104</v>
      </c>
      <c r="M1220" s="22" t="s">
        <v>37013</v>
      </c>
    </row>
    <row r="1221" spans="1:13" x14ac:dyDescent="0.75">
      <c r="A1221" t="s">
        <v>27004</v>
      </c>
      <c r="B1221" t="s">
        <v>6769</v>
      </c>
      <c r="C1221" t="s">
        <v>6107</v>
      </c>
      <c r="D1221" t="s">
        <v>6770</v>
      </c>
      <c r="E1221" t="s">
        <v>27005</v>
      </c>
      <c r="F1221">
        <v>1</v>
      </c>
      <c r="G1221">
        <v>2658899</v>
      </c>
      <c r="H1221" t="s">
        <v>27006</v>
      </c>
      <c r="J1221" s="54" t="s">
        <v>6052</v>
      </c>
      <c r="K1221" s="54">
        <v>0</v>
      </c>
      <c r="L1221" s="22" t="s">
        <v>104</v>
      </c>
      <c r="M1221" s="22" t="s">
        <v>37013</v>
      </c>
    </row>
    <row r="1222" spans="1:13" x14ac:dyDescent="0.75">
      <c r="A1222" t="s">
        <v>27001</v>
      </c>
      <c r="B1222" t="s">
        <v>6769</v>
      </c>
      <c r="C1222" t="s">
        <v>6107</v>
      </c>
      <c r="D1222" t="s">
        <v>6770</v>
      </c>
      <c r="E1222" t="s">
        <v>27002</v>
      </c>
      <c r="F1222">
        <v>1</v>
      </c>
      <c r="G1222">
        <v>2776034</v>
      </c>
      <c r="H1222" t="s">
        <v>27003</v>
      </c>
      <c r="J1222" s="54" t="s">
        <v>6052</v>
      </c>
      <c r="K1222" s="54">
        <v>0</v>
      </c>
      <c r="L1222" s="22" t="s">
        <v>104</v>
      </c>
      <c r="M1222" s="22" t="s">
        <v>37013</v>
      </c>
    </row>
    <row r="1223" spans="1:13" x14ac:dyDescent="0.75">
      <c r="A1223" t="s">
        <v>26995</v>
      </c>
      <c r="B1223" t="s">
        <v>6769</v>
      </c>
      <c r="C1223" t="s">
        <v>6107</v>
      </c>
      <c r="D1223" t="s">
        <v>6770</v>
      </c>
      <c r="E1223" t="s">
        <v>26996</v>
      </c>
      <c r="F1223">
        <v>1</v>
      </c>
      <c r="G1223">
        <v>2460084</v>
      </c>
      <c r="H1223" t="s">
        <v>26997</v>
      </c>
      <c r="J1223" s="54" t="s">
        <v>6052</v>
      </c>
      <c r="K1223" s="54">
        <v>0</v>
      </c>
      <c r="L1223" s="22" t="s">
        <v>104</v>
      </c>
      <c r="M1223" s="22" t="s">
        <v>37013</v>
      </c>
    </row>
    <row r="1224" spans="1:13" x14ac:dyDescent="0.75">
      <c r="A1224" t="s">
        <v>26926</v>
      </c>
      <c r="B1224" t="s">
        <v>6769</v>
      </c>
      <c r="C1224" t="s">
        <v>6107</v>
      </c>
      <c r="D1224" t="s">
        <v>6770</v>
      </c>
      <c r="E1224" t="s">
        <v>26927</v>
      </c>
      <c r="F1224">
        <v>1</v>
      </c>
      <c r="G1224">
        <v>2311668</v>
      </c>
      <c r="H1224" t="s">
        <v>26928</v>
      </c>
      <c r="J1224" s="54" t="s">
        <v>6052</v>
      </c>
      <c r="K1224" s="54">
        <v>0</v>
      </c>
      <c r="L1224" s="22" t="s">
        <v>104</v>
      </c>
      <c r="M1224" s="22" t="s">
        <v>37013</v>
      </c>
    </row>
    <row r="1225" spans="1:13" x14ac:dyDescent="0.75">
      <c r="A1225" t="s">
        <v>26992</v>
      </c>
      <c r="B1225" t="s">
        <v>6769</v>
      </c>
      <c r="C1225" t="s">
        <v>6107</v>
      </c>
      <c r="D1225" t="s">
        <v>6770</v>
      </c>
      <c r="E1225" t="s">
        <v>26993</v>
      </c>
      <c r="F1225">
        <v>1</v>
      </c>
      <c r="G1225">
        <v>2413802</v>
      </c>
      <c r="H1225" t="s">
        <v>26994</v>
      </c>
      <c r="J1225" s="54" t="s">
        <v>6052</v>
      </c>
      <c r="K1225" s="54">
        <v>0</v>
      </c>
      <c r="L1225" s="22" t="s">
        <v>104</v>
      </c>
      <c r="M1225" s="22" t="s">
        <v>37013</v>
      </c>
    </row>
    <row r="1226" spans="1:13" x14ac:dyDescent="0.75">
      <c r="A1226" t="s">
        <v>26920</v>
      </c>
      <c r="B1226" t="s">
        <v>6769</v>
      </c>
      <c r="C1226" t="s">
        <v>6107</v>
      </c>
      <c r="D1226" t="s">
        <v>6770</v>
      </c>
      <c r="E1226" t="s">
        <v>26921</v>
      </c>
      <c r="F1226">
        <v>1</v>
      </c>
      <c r="G1226">
        <v>2579120</v>
      </c>
      <c r="H1226" t="s">
        <v>26922</v>
      </c>
      <c r="J1226" s="54" t="s">
        <v>6052</v>
      </c>
      <c r="K1226" s="54">
        <v>0</v>
      </c>
      <c r="L1226" s="22" t="s">
        <v>104</v>
      </c>
      <c r="M1226" s="22" t="s">
        <v>37013</v>
      </c>
    </row>
    <row r="1227" spans="1:13" x14ac:dyDescent="0.75">
      <c r="A1227" t="s">
        <v>28241</v>
      </c>
      <c r="B1227" t="s">
        <v>6769</v>
      </c>
      <c r="C1227" t="s">
        <v>6107</v>
      </c>
      <c r="D1227" t="s">
        <v>6770</v>
      </c>
      <c r="E1227" t="s">
        <v>28242</v>
      </c>
      <c r="F1227">
        <v>2</v>
      </c>
      <c r="G1227">
        <v>2514029</v>
      </c>
      <c r="H1227" t="s">
        <v>28243</v>
      </c>
      <c r="J1227" s="54" t="s">
        <v>6052</v>
      </c>
      <c r="K1227" s="54">
        <v>0</v>
      </c>
      <c r="L1227" s="22" t="s">
        <v>104</v>
      </c>
      <c r="M1227" s="22" t="s">
        <v>37013</v>
      </c>
    </row>
    <row r="1228" spans="1:13" x14ac:dyDescent="0.75">
      <c r="A1228" t="s">
        <v>11837</v>
      </c>
      <c r="B1228" t="s">
        <v>6769</v>
      </c>
      <c r="C1228" t="s">
        <v>6107</v>
      </c>
      <c r="D1228" t="s">
        <v>6770</v>
      </c>
      <c r="E1228" t="s">
        <v>11838</v>
      </c>
      <c r="F1228">
        <v>294</v>
      </c>
      <c r="G1228">
        <v>2392347</v>
      </c>
      <c r="H1228" t="s">
        <v>11839</v>
      </c>
      <c r="J1228" s="54" t="s">
        <v>6052</v>
      </c>
      <c r="K1228" s="54">
        <v>0</v>
      </c>
      <c r="L1228" s="22" t="s">
        <v>104</v>
      </c>
      <c r="M1228" s="22" t="s">
        <v>37013</v>
      </c>
    </row>
    <row r="1229" spans="1:13" x14ac:dyDescent="0.75">
      <c r="A1229" t="s">
        <v>9603</v>
      </c>
      <c r="B1229" t="s">
        <v>6769</v>
      </c>
      <c r="C1229" t="s">
        <v>6107</v>
      </c>
      <c r="D1229" t="s">
        <v>6770</v>
      </c>
      <c r="E1229" t="s">
        <v>6504</v>
      </c>
      <c r="F1229">
        <v>199</v>
      </c>
      <c r="G1229">
        <v>2159799</v>
      </c>
      <c r="H1229" t="s">
        <v>9604</v>
      </c>
      <c r="J1229" s="54" t="s">
        <v>6052</v>
      </c>
      <c r="K1229" s="54">
        <v>0</v>
      </c>
      <c r="L1229" s="22" t="s">
        <v>104</v>
      </c>
      <c r="M1229" s="22" t="s">
        <v>37013</v>
      </c>
    </row>
    <row r="1230" spans="1:13" x14ac:dyDescent="0.75">
      <c r="A1230" t="s">
        <v>8439</v>
      </c>
      <c r="B1230" t="s">
        <v>6769</v>
      </c>
      <c r="C1230" t="s">
        <v>6107</v>
      </c>
      <c r="D1230" t="s">
        <v>6770</v>
      </c>
      <c r="E1230" t="s">
        <v>8440</v>
      </c>
      <c r="F1230">
        <v>39</v>
      </c>
      <c r="G1230">
        <v>2424697</v>
      </c>
      <c r="H1230" t="s">
        <v>8441</v>
      </c>
      <c r="J1230" s="54" t="s">
        <v>6052</v>
      </c>
      <c r="K1230" s="54">
        <v>0</v>
      </c>
      <c r="L1230" s="22" t="s">
        <v>104</v>
      </c>
      <c r="M1230" s="22" t="s">
        <v>37013</v>
      </c>
    </row>
    <row r="1231" spans="1:13" x14ac:dyDescent="0.75">
      <c r="A1231" t="s">
        <v>14161</v>
      </c>
      <c r="B1231" t="s">
        <v>6769</v>
      </c>
      <c r="C1231" t="s">
        <v>6107</v>
      </c>
      <c r="D1231" t="s">
        <v>6770</v>
      </c>
      <c r="E1231" t="s">
        <v>14162</v>
      </c>
      <c r="F1231">
        <v>112</v>
      </c>
      <c r="G1231">
        <v>2351018</v>
      </c>
      <c r="H1231" t="s">
        <v>14163</v>
      </c>
      <c r="J1231" s="54" t="s">
        <v>6052</v>
      </c>
      <c r="K1231" s="54">
        <v>0</v>
      </c>
      <c r="L1231" s="22" t="s">
        <v>104</v>
      </c>
      <c r="M1231" s="22" t="s">
        <v>37013</v>
      </c>
    </row>
    <row r="1232" spans="1:13" x14ac:dyDescent="0.75">
      <c r="A1232" t="s">
        <v>14164</v>
      </c>
      <c r="B1232" t="s">
        <v>6769</v>
      </c>
      <c r="C1232" t="s">
        <v>6107</v>
      </c>
      <c r="D1232" t="s">
        <v>6770</v>
      </c>
      <c r="E1232" t="s">
        <v>14165</v>
      </c>
      <c r="F1232">
        <v>150</v>
      </c>
      <c r="G1232">
        <v>2346246</v>
      </c>
      <c r="H1232" t="s">
        <v>14166</v>
      </c>
      <c r="J1232" s="54" t="s">
        <v>6052</v>
      </c>
      <c r="K1232" s="54">
        <v>0</v>
      </c>
      <c r="L1232" s="22" t="s">
        <v>104</v>
      </c>
      <c r="M1232" s="22" t="s">
        <v>37013</v>
      </c>
    </row>
    <row r="1233" spans="1:13" x14ac:dyDescent="0.75">
      <c r="A1233" t="s">
        <v>26754</v>
      </c>
      <c r="B1233" t="s">
        <v>6769</v>
      </c>
      <c r="C1233" t="s">
        <v>6107</v>
      </c>
      <c r="D1233" t="s">
        <v>6770</v>
      </c>
      <c r="E1233" t="s">
        <v>26755</v>
      </c>
      <c r="F1233">
        <v>1</v>
      </c>
      <c r="G1233">
        <v>2424816</v>
      </c>
      <c r="H1233" t="s">
        <v>26756</v>
      </c>
      <c r="J1233" s="54" t="s">
        <v>6052</v>
      </c>
      <c r="K1233" s="54">
        <v>0</v>
      </c>
      <c r="L1233" s="22" t="s">
        <v>104</v>
      </c>
      <c r="M1233" s="22" t="s">
        <v>37013</v>
      </c>
    </row>
    <row r="1234" spans="1:13" x14ac:dyDescent="0.75">
      <c r="A1234" t="s">
        <v>26751</v>
      </c>
      <c r="B1234" t="s">
        <v>6769</v>
      </c>
      <c r="C1234" t="s">
        <v>6107</v>
      </c>
      <c r="D1234" t="s">
        <v>6770</v>
      </c>
      <c r="E1234" t="s">
        <v>26752</v>
      </c>
      <c r="F1234">
        <v>1</v>
      </c>
      <c r="G1234">
        <v>2286272</v>
      </c>
      <c r="H1234" t="s">
        <v>26753</v>
      </c>
      <c r="J1234" s="54" t="s">
        <v>6052</v>
      </c>
      <c r="K1234" s="54">
        <v>0</v>
      </c>
      <c r="L1234" s="22" t="s">
        <v>104</v>
      </c>
      <c r="M1234" s="22" t="s">
        <v>37013</v>
      </c>
    </row>
    <row r="1235" spans="1:13" x14ac:dyDescent="0.75">
      <c r="A1235" t="s">
        <v>26950</v>
      </c>
      <c r="B1235" t="s">
        <v>6769</v>
      </c>
      <c r="C1235" t="s">
        <v>6107</v>
      </c>
      <c r="D1235" t="s">
        <v>6770</v>
      </c>
      <c r="E1235" t="s">
        <v>26951</v>
      </c>
      <c r="F1235">
        <v>1</v>
      </c>
      <c r="G1235">
        <v>2341829</v>
      </c>
      <c r="H1235" t="s">
        <v>26952</v>
      </c>
      <c r="J1235" s="54" t="s">
        <v>6052</v>
      </c>
      <c r="K1235" s="54">
        <v>0</v>
      </c>
      <c r="L1235" s="22" t="s">
        <v>104</v>
      </c>
      <c r="M1235" s="22" t="s">
        <v>37013</v>
      </c>
    </row>
    <row r="1236" spans="1:13" x14ac:dyDescent="0.75">
      <c r="A1236" t="s">
        <v>26745</v>
      </c>
      <c r="B1236" t="s">
        <v>6769</v>
      </c>
      <c r="C1236" t="s">
        <v>6107</v>
      </c>
      <c r="D1236" t="s">
        <v>6770</v>
      </c>
      <c r="E1236" t="s">
        <v>26746</v>
      </c>
      <c r="F1236">
        <v>2</v>
      </c>
      <c r="G1236">
        <v>2278067</v>
      </c>
      <c r="H1236" t="s">
        <v>26747</v>
      </c>
      <c r="J1236" s="54" t="s">
        <v>6052</v>
      </c>
      <c r="K1236" s="54">
        <v>0</v>
      </c>
      <c r="L1236" s="22" t="s">
        <v>104</v>
      </c>
      <c r="M1236" s="22" t="s">
        <v>37013</v>
      </c>
    </row>
    <row r="1237" spans="1:13" x14ac:dyDescent="0.75">
      <c r="A1237" t="s">
        <v>26739</v>
      </c>
      <c r="B1237" t="s">
        <v>6769</v>
      </c>
      <c r="C1237" t="s">
        <v>6107</v>
      </c>
      <c r="D1237" t="s">
        <v>6770</v>
      </c>
      <c r="E1237" t="s">
        <v>26740</v>
      </c>
      <c r="F1237">
        <v>4</v>
      </c>
      <c r="G1237">
        <v>2495286</v>
      </c>
      <c r="H1237" t="s">
        <v>26741</v>
      </c>
      <c r="J1237" s="54" t="s">
        <v>6052</v>
      </c>
      <c r="K1237" s="54">
        <v>0</v>
      </c>
      <c r="L1237" s="22" t="s">
        <v>104</v>
      </c>
      <c r="M1237" s="22" t="s">
        <v>37013</v>
      </c>
    </row>
    <row r="1238" spans="1:13" x14ac:dyDescent="0.75">
      <c r="A1238" t="s">
        <v>26733</v>
      </c>
      <c r="B1238" t="s">
        <v>6769</v>
      </c>
      <c r="C1238" t="s">
        <v>6107</v>
      </c>
      <c r="D1238" t="s">
        <v>6770</v>
      </c>
      <c r="E1238" t="s">
        <v>26734</v>
      </c>
      <c r="F1238">
        <v>1</v>
      </c>
      <c r="G1238">
        <v>2365912</v>
      </c>
      <c r="H1238" t="s">
        <v>26735</v>
      </c>
      <c r="J1238" s="54" t="s">
        <v>6052</v>
      </c>
      <c r="K1238" s="54">
        <v>0</v>
      </c>
      <c r="L1238" s="22" t="s">
        <v>104</v>
      </c>
      <c r="M1238" s="22" t="s">
        <v>37013</v>
      </c>
    </row>
    <row r="1239" spans="1:13" x14ac:dyDescent="0.75">
      <c r="A1239" t="s">
        <v>26721</v>
      </c>
      <c r="B1239" t="s">
        <v>6769</v>
      </c>
      <c r="C1239" t="s">
        <v>6107</v>
      </c>
      <c r="D1239" t="s">
        <v>6770</v>
      </c>
      <c r="E1239" t="s">
        <v>26722</v>
      </c>
      <c r="F1239">
        <v>3</v>
      </c>
      <c r="G1239">
        <v>3001854</v>
      </c>
      <c r="H1239" t="s">
        <v>26723</v>
      </c>
      <c r="J1239" s="54" t="s">
        <v>6052</v>
      </c>
      <c r="K1239" s="54">
        <v>0</v>
      </c>
      <c r="L1239" s="22" t="s">
        <v>104</v>
      </c>
      <c r="M1239" s="22" t="s">
        <v>37013</v>
      </c>
    </row>
    <row r="1240" spans="1:13" x14ac:dyDescent="0.75">
      <c r="A1240" t="s">
        <v>26727</v>
      </c>
      <c r="B1240" t="s">
        <v>6769</v>
      </c>
      <c r="C1240" t="s">
        <v>6107</v>
      </c>
      <c r="D1240" t="s">
        <v>6770</v>
      </c>
      <c r="E1240" t="s">
        <v>26728</v>
      </c>
      <c r="F1240">
        <v>1</v>
      </c>
      <c r="G1240">
        <v>2209938</v>
      </c>
      <c r="H1240" t="s">
        <v>26729</v>
      </c>
      <c r="J1240" s="54" t="s">
        <v>6052</v>
      </c>
      <c r="K1240" s="54">
        <v>0</v>
      </c>
      <c r="L1240" s="22" t="s">
        <v>104</v>
      </c>
      <c r="M1240" s="22" t="s">
        <v>37013</v>
      </c>
    </row>
    <row r="1241" spans="1:13" x14ac:dyDescent="0.75">
      <c r="A1241" t="s">
        <v>26914</v>
      </c>
      <c r="B1241" t="s">
        <v>6769</v>
      </c>
      <c r="C1241" t="s">
        <v>6107</v>
      </c>
      <c r="D1241" t="s">
        <v>6770</v>
      </c>
      <c r="E1241" t="s">
        <v>26915</v>
      </c>
      <c r="F1241">
        <v>1</v>
      </c>
      <c r="G1241">
        <v>2194667</v>
      </c>
      <c r="H1241" t="s">
        <v>26916</v>
      </c>
      <c r="J1241" s="54" t="s">
        <v>6052</v>
      </c>
      <c r="K1241" s="54">
        <v>0</v>
      </c>
      <c r="L1241" s="22" t="s">
        <v>104</v>
      </c>
      <c r="M1241" s="22" t="s">
        <v>37013</v>
      </c>
    </row>
    <row r="1242" spans="1:13" x14ac:dyDescent="0.75">
      <c r="A1242" t="s">
        <v>26847</v>
      </c>
      <c r="B1242" t="s">
        <v>6769</v>
      </c>
      <c r="C1242" t="s">
        <v>6107</v>
      </c>
      <c r="D1242" t="s">
        <v>6770</v>
      </c>
      <c r="E1242" t="s">
        <v>26848</v>
      </c>
      <c r="F1242">
        <v>1</v>
      </c>
      <c r="G1242">
        <v>2504786</v>
      </c>
      <c r="H1242" t="s">
        <v>26849</v>
      </c>
      <c r="J1242" s="54" t="s">
        <v>6052</v>
      </c>
      <c r="K1242" s="54">
        <v>0</v>
      </c>
      <c r="L1242" s="22" t="s">
        <v>104</v>
      </c>
      <c r="M1242" s="22" t="s">
        <v>37013</v>
      </c>
    </row>
    <row r="1243" spans="1:13" x14ac:dyDescent="0.75">
      <c r="A1243" t="s">
        <v>26886</v>
      </c>
      <c r="B1243" t="s">
        <v>6769</v>
      </c>
      <c r="C1243" t="s">
        <v>6107</v>
      </c>
      <c r="D1243" t="s">
        <v>6770</v>
      </c>
      <c r="E1243" t="s">
        <v>26887</v>
      </c>
      <c r="F1243">
        <v>3</v>
      </c>
      <c r="G1243">
        <v>2778608</v>
      </c>
      <c r="H1243" t="s">
        <v>26888</v>
      </c>
      <c r="J1243" s="54" t="s">
        <v>6052</v>
      </c>
      <c r="K1243" s="54">
        <v>0</v>
      </c>
      <c r="L1243" s="22" t="s">
        <v>104</v>
      </c>
      <c r="M1243" s="22" t="s">
        <v>37013</v>
      </c>
    </row>
    <row r="1244" spans="1:13" x14ac:dyDescent="0.75">
      <c r="A1244" t="s">
        <v>26883</v>
      </c>
      <c r="B1244" t="s">
        <v>6769</v>
      </c>
      <c r="C1244" t="s">
        <v>6107</v>
      </c>
      <c r="D1244" t="s">
        <v>6770</v>
      </c>
      <c r="E1244" t="s">
        <v>26884</v>
      </c>
      <c r="F1244">
        <v>1</v>
      </c>
      <c r="G1244">
        <v>2222684</v>
      </c>
      <c r="H1244" t="s">
        <v>26885</v>
      </c>
      <c r="J1244" s="54" t="s">
        <v>6052</v>
      </c>
      <c r="K1244" s="54">
        <v>0</v>
      </c>
      <c r="L1244" s="22" t="s">
        <v>104</v>
      </c>
      <c r="M1244" s="22" t="s">
        <v>37013</v>
      </c>
    </row>
    <row r="1245" spans="1:13" x14ac:dyDescent="0.75">
      <c r="A1245" t="s">
        <v>26880</v>
      </c>
      <c r="B1245" t="s">
        <v>6769</v>
      </c>
      <c r="C1245" t="s">
        <v>6107</v>
      </c>
      <c r="D1245" t="s">
        <v>6770</v>
      </c>
      <c r="E1245" t="s">
        <v>26881</v>
      </c>
      <c r="F1245">
        <v>1</v>
      </c>
      <c r="G1245">
        <v>2438255</v>
      </c>
      <c r="H1245" t="s">
        <v>26882</v>
      </c>
      <c r="J1245" s="54" t="s">
        <v>6052</v>
      </c>
      <c r="K1245" s="54">
        <v>0</v>
      </c>
      <c r="L1245" s="22" t="s">
        <v>104</v>
      </c>
      <c r="M1245" s="22" t="s">
        <v>37013</v>
      </c>
    </row>
    <row r="1246" spans="1:13" x14ac:dyDescent="0.75">
      <c r="A1246" t="s">
        <v>26877</v>
      </c>
      <c r="B1246" t="s">
        <v>6769</v>
      </c>
      <c r="C1246" t="s">
        <v>6107</v>
      </c>
      <c r="D1246" t="s">
        <v>6770</v>
      </c>
      <c r="E1246" t="s">
        <v>26878</v>
      </c>
      <c r="F1246">
        <v>1</v>
      </c>
      <c r="G1246">
        <v>2188068</v>
      </c>
      <c r="H1246" t="s">
        <v>26879</v>
      </c>
      <c r="J1246" s="54" t="s">
        <v>6052</v>
      </c>
      <c r="K1246" s="54">
        <v>0</v>
      </c>
      <c r="L1246" s="22" t="s">
        <v>104</v>
      </c>
      <c r="M1246" s="22" t="s">
        <v>37013</v>
      </c>
    </row>
    <row r="1247" spans="1:13" x14ac:dyDescent="0.75">
      <c r="A1247" t="s">
        <v>13801</v>
      </c>
      <c r="B1247" t="s">
        <v>13802</v>
      </c>
      <c r="C1247" t="s">
        <v>6318</v>
      </c>
      <c r="D1247" t="s">
        <v>8363</v>
      </c>
      <c r="E1247" t="s">
        <v>13803</v>
      </c>
      <c r="F1247">
        <v>1</v>
      </c>
      <c r="G1247">
        <v>1757292</v>
      </c>
      <c r="H1247" t="s">
        <v>13804</v>
      </c>
      <c r="J1247" s="54" t="s">
        <v>6052</v>
      </c>
      <c r="K1247" s="54">
        <v>0</v>
      </c>
      <c r="L1247" s="22" t="s">
        <v>144</v>
      </c>
      <c r="M1247" s="22" t="s">
        <v>36924</v>
      </c>
    </row>
    <row r="1248" spans="1:13" x14ac:dyDescent="0.75">
      <c r="A1248" t="s">
        <v>17471</v>
      </c>
      <c r="B1248" t="s">
        <v>13802</v>
      </c>
      <c r="C1248" t="s">
        <v>6318</v>
      </c>
      <c r="D1248" t="s">
        <v>8363</v>
      </c>
      <c r="E1248" t="s">
        <v>17472</v>
      </c>
      <c r="F1248">
        <v>26</v>
      </c>
      <c r="G1248">
        <v>1728151</v>
      </c>
      <c r="H1248" t="s">
        <v>17473</v>
      </c>
      <c r="J1248" s="54" t="s">
        <v>6052</v>
      </c>
      <c r="K1248" s="54">
        <v>0</v>
      </c>
      <c r="L1248" s="22" t="s">
        <v>144</v>
      </c>
      <c r="M1248" s="22" t="s">
        <v>36924</v>
      </c>
    </row>
    <row r="1249" spans="1:13" x14ac:dyDescent="0.75">
      <c r="A1249" t="s">
        <v>22952</v>
      </c>
      <c r="B1249" t="s">
        <v>9344</v>
      </c>
      <c r="C1249" t="s">
        <v>6318</v>
      </c>
      <c r="D1249" t="s">
        <v>9345</v>
      </c>
      <c r="E1249" t="s">
        <v>22953</v>
      </c>
      <c r="F1249">
        <v>2</v>
      </c>
      <c r="G1249">
        <v>1863330</v>
      </c>
      <c r="H1249" t="s">
        <v>22954</v>
      </c>
      <c r="J1249" s="54" t="s">
        <v>6052</v>
      </c>
      <c r="K1249" s="54">
        <v>0</v>
      </c>
      <c r="L1249" s="22" t="s">
        <v>36806</v>
      </c>
      <c r="M1249" s="22" t="s">
        <v>36925</v>
      </c>
    </row>
    <row r="1250" spans="1:13" x14ac:dyDescent="0.75">
      <c r="A1250" t="s">
        <v>26871</v>
      </c>
      <c r="B1250" t="s">
        <v>6769</v>
      </c>
      <c r="C1250" t="s">
        <v>6107</v>
      </c>
      <c r="D1250" t="s">
        <v>6770</v>
      </c>
      <c r="E1250" t="s">
        <v>26872</v>
      </c>
      <c r="F1250">
        <v>3</v>
      </c>
      <c r="G1250">
        <v>2439165</v>
      </c>
      <c r="H1250" t="s">
        <v>26873</v>
      </c>
      <c r="J1250" s="54" t="s">
        <v>6052</v>
      </c>
      <c r="K1250" s="54">
        <v>0</v>
      </c>
      <c r="L1250" s="22" t="s">
        <v>104</v>
      </c>
      <c r="M1250" s="22" t="s">
        <v>37013</v>
      </c>
    </row>
    <row r="1251" spans="1:13" x14ac:dyDescent="0.75">
      <c r="A1251" t="s">
        <v>26868</v>
      </c>
      <c r="B1251" t="s">
        <v>6769</v>
      </c>
      <c r="C1251" t="s">
        <v>6107</v>
      </c>
      <c r="D1251" t="s">
        <v>6770</v>
      </c>
      <c r="E1251" t="s">
        <v>26869</v>
      </c>
      <c r="F1251">
        <v>1</v>
      </c>
      <c r="G1251">
        <v>2432266</v>
      </c>
      <c r="H1251" t="s">
        <v>26870</v>
      </c>
      <c r="J1251" s="54" t="s">
        <v>6052</v>
      </c>
      <c r="K1251" s="54">
        <v>0</v>
      </c>
      <c r="L1251" s="22" t="s">
        <v>104</v>
      </c>
      <c r="M1251" s="22" t="s">
        <v>37013</v>
      </c>
    </row>
    <row r="1252" spans="1:13" x14ac:dyDescent="0.75">
      <c r="A1252" t="s">
        <v>9343</v>
      </c>
      <c r="B1252" t="s">
        <v>9344</v>
      </c>
      <c r="C1252" t="s">
        <v>6318</v>
      </c>
      <c r="D1252" t="s">
        <v>9345</v>
      </c>
      <c r="E1252" t="s">
        <v>9346</v>
      </c>
      <c r="F1252">
        <v>37</v>
      </c>
      <c r="G1252">
        <v>1740590</v>
      </c>
      <c r="H1252" t="s">
        <v>9347</v>
      </c>
      <c r="J1252" s="54" t="s">
        <v>6052</v>
      </c>
      <c r="K1252" s="54">
        <v>0</v>
      </c>
      <c r="L1252" s="22" t="s">
        <v>36806</v>
      </c>
      <c r="M1252" s="22" t="s">
        <v>36925</v>
      </c>
    </row>
    <row r="1253" spans="1:13" x14ac:dyDescent="0.75">
      <c r="A1253" t="s">
        <v>27067</v>
      </c>
      <c r="B1253" t="s">
        <v>6769</v>
      </c>
      <c r="C1253" t="s">
        <v>6107</v>
      </c>
      <c r="D1253" t="s">
        <v>6770</v>
      </c>
      <c r="E1253" t="s">
        <v>27068</v>
      </c>
      <c r="F1253">
        <v>1</v>
      </c>
      <c r="G1253">
        <v>2397821</v>
      </c>
      <c r="H1253" t="s">
        <v>27069</v>
      </c>
      <c r="J1253" s="54" t="s">
        <v>6052</v>
      </c>
      <c r="K1253" s="54">
        <v>0</v>
      </c>
      <c r="L1253" s="22" t="s">
        <v>104</v>
      </c>
      <c r="M1253" s="22" t="s">
        <v>37013</v>
      </c>
    </row>
    <row r="1254" spans="1:13" x14ac:dyDescent="0.75">
      <c r="A1254" t="s">
        <v>26865</v>
      </c>
      <c r="B1254" t="s">
        <v>6769</v>
      </c>
      <c r="C1254" t="s">
        <v>6107</v>
      </c>
      <c r="D1254" t="s">
        <v>6770</v>
      </c>
      <c r="E1254" t="s">
        <v>26866</v>
      </c>
      <c r="F1254">
        <v>1</v>
      </c>
      <c r="G1254">
        <v>2588861</v>
      </c>
      <c r="H1254" t="s">
        <v>26867</v>
      </c>
      <c r="J1254" s="54" t="s">
        <v>6052</v>
      </c>
      <c r="K1254" s="54">
        <v>0</v>
      </c>
      <c r="L1254" s="22" t="s">
        <v>104</v>
      </c>
      <c r="M1254" s="22" t="s">
        <v>37013</v>
      </c>
    </row>
    <row r="1255" spans="1:13" x14ac:dyDescent="0.75">
      <c r="A1255" t="s">
        <v>20254</v>
      </c>
      <c r="B1255" t="s">
        <v>9344</v>
      </c>
      <c r="C1255" t="s">
        <v>6318</v>
      </c>
      <c r="D1255" t="s">
        <v>9345</v>
      </c>
      <c r="E1255" t="s">
        <v>20255</v>
      </c>
      <c r="F1255">
        <v>1</v>
      </c>
      <c r="G1255">
        <v>1826798</v>
      </c>
      <c r="H1255" t="s">
        <v>20256</v>
      </c>
      <c r="J1255" s="54" t="s">
        <v>6052</v>
      </c>
      <c r="K1255" s="54">
        <v>0</v>
      </c>
      <c r="L1255" s="22" t="s">
        <v>36806</v>
      </c>
      <c r="M1255" s="22" t="s">
        <v>36925</v>
      </c>
    </row>
    <row r="1256" spans="1:13" x14ac:dyDescent="0.75">
      <c r="A1256" t="s">
        <v>26862</v>
      </c>
      <c r="B1256" t="s">
        <v>6769</v>
      </c>
      <c r="C1256" t="s">
        <v>6107</v>
      </c>
      <c r="D1256" t="s">
        <v>6770</v>
      </c>
      <c r="E1256" t="s">
        <v>26863</v>
      </c>
      <c r="F1256">
        <v>2</v>
      </c>
      <c r="G1256">
        <v>2274778</v>
      </c>
      <c r="H1256" t="s">
        <v>26864</v>
      </c>
      <c r="J1256" s="54" t="s">
        <v>6052</v>
      </c>
      <c r="K1256" s="54">
        <v>0</v>
      </c>
      <c r="L1256" s="22" t="s">
        <v>104</v>
      </c>
      <c r="M1256" s="22" t="s">
        <v>37013</v>
      </c>
    </row>
    <row r="1257" spans="1:13" x14ac:dyDescent="0.75">
      <c r="A1257" t="s">
        <v>27070</v>
      </c>
      <c r="B1257" t="s">
        <v>6769</v>
      </c>
      <c r="C1257" t="s">
        <v>6107</v>
      </c>
      <c r="D1257" t="s">
        <v>6770</v>
      </c>
      <c r="E1257" t="s">
        <v>27071</v>
      </c>
      <c r="F1257">
        <v>1</v>
      </c>
      <c r="G1257">
        <v>2588871</v>
      </c>
      <c r="H1257" t="s">
        <v>27072</v>
      </c>
      <c r="J1257" s="54" t="s">
        <v>6052</v>
      </c>
      <c r="K1257" s="54">
        <v>0</v>
      </c>
      <c r="L1257" s="22" t="s">
        <v>104</v>
      </c>
      <c r="M1257" s="22" t="s">
        <v>37013</v>
      </c>
    </row>
    <row r="1258" spans="1:13" x14ac:dyDescent="0.75">
      <c r="A1258" t="s">
        <v>27076</v>
      </c>
      <c r="B1258" t="s">
        <v>6769</v>
      </c>
      <c r="C1258" t="s">
        <v>6107</v>
      </c>
      <c r="D1258" t="s">
        <v>6770</v>
      </c>
      <c r="E1258" t="s">
        <v>27077</v>
      </c>
      <c r="F1258">
        <v>1</v>
      </c>
      <c r="G1258">
        <v>2239416</v>
      </c>
      <c r="H1258" t="s">
        <v>27078</v>
      </c>
      <c r="J1258" s="54" t="s">
        <v>6052</v>
      </c>
      <c r="K1258" s="54">
        <v>0</v>
      </c>
      <c r="L1258" s="22" t="s">
        <v>104</v>
      </c>
      <c r="M1258" s="22" t="s">
        <v>37013</v>
      </c>
    </row>
    <row r="1259" spans="1:13" x14ac:dyDescent="0.75">
      <c r="A1259" t="s">
        <v>18195</v>
      </c>
      <c r="B1259" t="s">
        <v>9344</v>
      </c>
      <c r="C1259" t="s">
        <v>6318</v>
      </c>
      <c r="D1259" t="s">
        <v>9345</v>
      </c>
      <c r="E1259" t="s">
        <v>18196</v>
      </c>
      <c r="F1259">
        <v>1</v>
      </c>
      <c r="G1259">
        <v>1559279</v>
      </c>
      <c r="H1259" t="s">
        <v>18197</v>
      </c>
      <c r="J1259" s="54" t="s">
        <v>6052</v>
      </c>
      <c r="K1259" s="54">
        <v>0</v>
      </c>
      <c r="L1259" s="22" t="s">
        <v>36806</v>
      </c>
      <c r="M1259" s="22" t="s">
        <v>36925</v>
      </c>
    </row>
    <row r="1260" spans="1:13" x14ac:dyDescent="0.75">
      <c r="A1260" t="s">
        <v>27079</v>
      </c>
      <c r="B1260" t="s">
        <v>6769</v>
      </c>
      <c r="C1260" t="s">
        <v>6107</v>
      </c>
      <c r="D1260" t="s">
        <v>6770</v>
      </c>
      <c r="E1260" t="s">
        <v>27080</v>
      </c>
      <c r="F1260">
        <v>1</v>
      </c>
      <c r="G1260">
        <v>2558877</v>
      </c>
      <c r="H1260" t="s">
        <v>27081</v>
      </c>
      <c r="J1260" s="54" t="s">
        <v>6052</v>
      </c>
      <c r="K1260" s="54">
        <v>0</v>
      </c>
      <c r="L1260" s="22" t="s">
        <v>104</v>
      </c>
      <c r="M1260" s="22" t="s">
        <v>37013</v>
      </c>
    </row>
    <row r="1261" spans="1:13" x14ac:dyDescent="0.75">
      <c r="A1261" t="s">
        <v>27082</v>
      </c>
      <c r="B1261" t="s">
        <v>6769</v>
      </c>
      <c r="C1261" t="s">
        <v>6107</v>
      </c>
      <c r="D1261" t="s">
        <v>6770</v>
      </c>
      <c r="E1261" t="s">
        <v>27083</v>
      </c>
      <c r="F1261">
        <v>2</v>
      </c>
      <c r="G1261">
        <v>2394557</v>
      </c>
      <c r="H1261" t="s">
        <v>27084</v>
      </c>
      <c r="J1261" s="54" t="s">
        <v>6052</v>
      </c>
      <c r="K1261" s="54">
        <v>0</v>
      </c>
      <c r="L1261" s="22" t="s">
        <v>104</v>
      </c>
      <c r="M1261" s="22" t="s">
        <v>37013</v>
      </c>
    </row>
    <row r="1262" spans="1:13" x14ac:dyDescent="0.75">
      <c r="A1262" t="s">
        <v>27088</v>
      </c>
      <c r="B1262" t="s">
        <v>6769</v>
      </c>
      <c r="C1262" t="s">
        <v>6107</v>
      </c>
      <c r="D1262" t="s">
        <v>6770</v>
      </c>
      <c r="E1262" t="s">
        <v>27089</v>
      </c>
      <c r="F1262">
        <v>1</v>
      </c>
      <c r="G1262">
        <v>2341805</v>
      </c>
      <c r="H1262" t="s">
        <v>27090</v>
      </c>
      <c r="J1262" s="54" t="s">
        <v>6052</v>
      </c>
      <c r="K1262" s="54">
        <v>0</v>
      </c>
      <c r="L1262" s="22" t="s">
        <v>104</v>
      </c>
      <c r="M1262" s="22" t="s">
        <v>37013</v>
      </c>
    </row>
    <row r="1263" spans="1:13" x14ac:dyDescent="0.75">
      <c r="A1263" t="s">
        <v>26986</v>
      </c>
      <c r="B1263" t="s">
        <v>6769</v>
      </c>
      <c r="C1263" t="s">
        <v>6107</v>
      </c>
      <c r="D1263" t="s">
        <v>6770</v>
      </c>
      <c r="E1263" t="s">
        <v>26987</v>
      </c>
      <c r="F1263">
        <v>1</v>
      </c>
      <c r="G1263">
        <v>2328368</v>
      </c>
      <c r="H1263" t="s">
        <v>26988</v>
      </c>
      <c r="J1263" s="54" t="s">
        <v>6052</v>
      </c>
      <c r="K1263" s="54">
        <v>0</v>
      </c>
      <c r="L1263" s="22" t="s">
        <v>104</v>
      </c>
      <c r="M1263" s="22" t="s">
        <v>37013</v>
      </c>
    </row>
    <row r="1264" spans="1:13" x14ac:dyDescent="0.75">
      <c r="A1264" t="s">
        <v>26983</v>
      </c>
      <c r="B1264" t="s">
        <v>6769</v>
      </c>
      <c r="C1264" t="s">
        <v>6107</v>
      </c>
      <c r="D1264" t="s">
        <v>6770</v>
      </c>
      <c r="E1264" t="s">
        <v>26984</v>
      </c>
      <c r="F1264">
        <v>1</v>
      </c>
      <c r="G1264">
        <v>2427097</v>
      </c>
      <c r="H1264" t="s">
        <v>26985</v>
      </c>
      <c r="J1264" s="54" t="s">
        <v>6052</v>
      </c>
      <c r="K1264" s="54">
        <v>0</v>
      </c>
      <c r="L1264" s="22" t="s">
        <v>104</v>
      </c>
      <c r="M1264" s="22" t="s">
        <v>37013</v>
      </c>
    </row>
    <row r="1265" spans="1:13" x14ac:dyDescent="0.75">
      <c r="A1265" t="s">
        <v>26974</v>
      </c>
      <c r="B1265" t="s">
        <v>6769</v>
      </c>
      <c r="C1265" t="s">
        <v>6107</v>
      </c>
      <c r="D1265" t="s">
        <v>6770</v>
      </c>
      <c r="E1265" t="s">
        <v>26975</v>
      </c>
      <c r="F1265">
        <v>1</v>
      </c>
      <c r="G1265">
        <v>2134784</v>
      </c>
      <c r="H1265" t="s">
        <v>26976</v>
      </c>
      <c r="J1265" s="54" t="s">
        <v>6052</v>
      </c>
      <c r="K1265" s="54">
        <v>0</v>
      </c>
      <c r="L1265" s="22" t="s">
        <v>104</v>
      </c>
      <c r="M1265" s="22" t="s">
        <v>37013</v>
      </c>
    </row>
    <row r="1266" spans="1:13" x14ac:dyDescent="0.75">
      <c r="A1266" t="s">
        <v>26971</v>
      </c>
      <c r="B1266" t="s">
        <v>6769</v>
      </c>
      <c r="C1266" t="s">
        <v>6107</v>
      </c>
      <c r="D1266" t="s">
        <v>6770</v>
      </c>
      <c r="E1266" t="s">
        <v>26972</v>
      </c>
      <c r="F1266">
        <v>1</v>
      </c>
      <c r="G1266">
        <v>2489800</v>
      </c>
      <c r="H1266" t="s">
        <v>26973</v>
      </c>
      <c r="J1266" s="54" t="s">
        <v>6052</v>
      </c>
      <c r="K1266" s="54">
        <v>0</v>
      </c>
      <c r="L1266" s="22" t="s">
        <v>104</v>
      </c>
      <c r="M1266" s="22" t="s">
        <v>37013</v>
      </c>
    </row>
    <row r="1267" spans="1:13" x14ac:dyDescent="0.75">
      <c r="A1267" t="s">
        <v>26959</v>
      </c>
      <c r="B1267" t="s">
        <v>6769</v>
      </c>
      <c r="C1267" t="s">
        <v>6107</v>
      </c>
      <c r="D1267" t="s">
        <v>6770</v>
      </c>
      <c r="E1267" t="s">
        <v>26960</v>
      </c>
      <c r="F1267">
        <v>1</v>
      </c>
      <c r="G1267">
        <v>2588850</v>
      </c>
      <c r="H1267" t="s">
        <v>26961</v>
      </c>
      <c r="J1267" s="54" t="s">
        <v>6052</v>
      </c>
      <c r="K1267" s="54">
        <v>0</v>
      </c>
      <c r="L1267" s="22" t="s">
        <v>104</v>
      </c>
      <c r="M1267" s="22" t="s">
        <v>37013</v>
      </c>
    </row>
    <row r="1268" spans="1:13" x14ac:dyDescent="0.75">
      <c r="A1268" t="s">
        <v>26968</v>
      </c>
      <c r="B1268" t="s">
        <v>6769</v>
      </c>
      <c r="C1268" t="s">
        <v>6107</v>
      </c>
      <c r="D1268" t="s">
        <v>6770</v>
      </c>
      <c r="E1268" t="s">
        <v>26969</v>
      </c>
      <c r="F1268">
        <v>1</v>
      </c>
      <c r="G1268">
        <v>2142132</v>
      </c>
      <c r="H1268" t="s">
        <v>26970</v>
      </c>
      <c r="J1268" s="54" t="s">
        <v>6052</v>
      </c>
      <c r="K1268" s="54">
        <v>0</v>
      </c>
      <c r="L1268" s="22" t="s">
        <v>104</v>
      </c>
      <c r="M1268" s="22" t="s">
        <v>37013</v>
      </c>
    </row>
    <row r="1269" spans="1:13" x14ac:dyDescent="0.75">
      <c r="A1269" t="s">
        <v>26965</v>
      </c>
      <c r="B1269" t="s">
        <v>6769</v>
      </c>
      <c r="C1269" t="s">
        <v>6107</v>
      </c>
      <c r="D1269" t="s">
        <v>6770</v>
      </c>
      <c r="E1269" t="s">
        <v>26966</v>
      </c>
      <c r="F1269">
        <v>1</v>
      </c>
      <c r="G1269">
        <v>2292958</v>
      </c>
      <c r="H1269" t="s">
        <v>26967</v>
      </c>
      <c r="J1269" s="54" t="s">
        <v>6052</v>
      </c>
      <c r="K1269" s="54">
        <v>0</v>
      </c>
      <c r="L1269" s="22" t="s">
        <v>104</v>
      </c>
      <c r="M1269" s="22" t="s">
        <v>37013</v>
      </c>
    </row>
    <row r="1270" spans="1:13" x14ac:dyDescent="0.75">
      <c r="A1270" t="s">
        <v>26962</v>
      </c>
      <c r="B1270" t="s">
        <v>6769</v>
      </c>
      <c r="C1270" t="s">
        <v>6107</v>
      </c>
      <c r="D1270" t="s">
        <v>6770</v>
      </c>
      <c r="E1270" t="s">
        <v>26963</v>
      </c>
      <c r="F1270">
        <v>1</v>
      </c>
      <c r="G1270">
        <v>2291394</v>
      </c>
      <c r="H1270" t="s">
        <v>26964</v>
      </c>
      <c r="J1270" s="54" t="s">
        <v>6052</v>
      </c>
      <c r="K1270" s="54">
        <v>0</v>
      </c>
      <c r="L1270" s="22" t="s">
        <v>104</v>
      </c>
      <c r="M1270" s="22" t="s">
        <v>37013</v>
      </c>
    </row>
    <row r="1271" spans="1:13" x14ac:dyDescent="0.75">
      <c r="A1271" t="s">
        <v>26956</v>
      </c>
      <c r="B1271" t="s">
        <v>6769</v>
      </c>
      <c r="C1271" t="s">
        <v>6107</v>
      </c>
      <c r="D1271" t="s">
        <v>6770</v>
      </c>
      <c r="E1271" t="s">
        <v>26957</v>
      </c>
      <c r="F1271">
        <v>1</v>
      </c>
      <c r="G1271">
        <v>2187441</v>
      </c>
      <c r="H1271" t="s">
        <v>26958</v>
      </c>
      <c r="J1271" s="54" t="s">
        <v>6052</v>
      </c>
      <c r="K1271" s="54">
        <v>0</v>
      </c>
      <c r="L1271" s="22" t="s">
        <v>104</v>
      </c>
      <c r="M1271" s="22" t="s">
        <v>37013</v>
      </c>
    </row>
    <row r="1272" spans="1:13" x14ac:dyDescent="0.75">
      <c r="A1272" t="s">
        <v>26724</v>
      </c>
      <c r="B1272" t="s">
        <v>6769</v>
      </c>
      <c r="C1272" t="s">
        <v>6107</v>
      </c>
      <c r="D1272" t="s">
        <v>6770</v>
      </c>
      <c r="E1272" t="s">
        <v>26725</v>
      </c>
      <c r="F1272">
        <v>4</v>
      </c>
      <c r="G1272">
        <v>2476946</v>
      </c>
      <c r="H1272" t="s">
        <v>26726</v>
      </c>
      <c r="J1272" s="54" t="s">
        <v>6052</v>
      </c>
      <c r="K1272" s="54">
        <v>0</v>
      </c>
      <c r="L1272" s="22" t="s">
        <v>104</v>
      </c>
      <c r="M1272" s="22" t="s">
        <v>37013</v>
      </c>
    </row>
    <row r="1273" spans="1:13" x14ac:dyDescent="0.75">
      <c r="A1273" t="s">
        <v>30587</v>
      </c>
      <c r="B1273" t="s">
        <v>6769</v>
      </c>
      <c r="C1273" t="s">
        <v>6107</v>
      </c>
      <c r="D1273" t="s">
        <v>6770</v>
      </c>
      <c r="E1273" t="s">
        <v>30588</v>
      </c>
      <c r="F1273">
        <v>64</v>
      </c>
      <c r="G1273">
        <v>2292719</v>
      </c>
      <c r="H1273" t="s">
        <v>30589</v>
      </c>
      <c r="J1273" s="54" t="s">
        <v>6052</v>
      </c>
      <c r="K1273" s="54">
        <v>0</v>
      </c>
      <c r="L1273" s="22" t="s">
        <v>104</v>
      </c>
      <c r="M1273" s="22" t="s">
        <v>37013</v>
      </c>
    </row>
    <row r="1274" spans="1:13" x14ac:dyDescent="0.75">
      <c r="A1274" t="s">
        <v>21383</v>
      </c>
      <c r="B1274" t="s">
        <v>6769</v>
      </c>
      <c r="C1274" t="s">
        <v>6107</v>
      </c>
      <c r="D1274" t="s">
        <v>6770</v>
      </c>
      <c r="E1274" t="s">
        <v>21384</v>
      </c>
      <c r="F1274">
        <v>1</v>
      </c>
      <c r="G1274">
        <v>2490990</v>
      </c>
      <c r="H1274" t="s">
        <v>21385</v>
      </c>
      <c r="J1274" s="54" t="s">
        <v>6052</v>
      </c>
      <c r="K1274" s="54">
        <v>0</v>
      </c>
      <c r="L1274" s="22" t="s">
        <v>104</v>
      </c>
      <c r="M1274" s="22" t="s">
        <v>37013</v>
      </c>
    </row>
    <row r="1275" spans="1:13" x14ac:dyDescent="0.75">
      <c r="A1275" t="s">
        <v>21380</v>
      </c>
      <c r="B1275" t="s">
        <v>6769</v>
      </c>
      <c r="C1275" t="s">
        <v>6107</v>
      </c>
      <c r="D1275" t="s">
        <v>6770</v>
      </c>
      <c r="E1275" t="s">
        <v>21381</v>
      </c>
      <c r="F1275">
        <v>1</v>
      </c>
      <c r="G1275">
        <v>2268559</v>
      </c>
      <c r="H1275" t="s">
        <v>21382</v>
      </c>
      <c r="J1275" s="54" t="s">
        <v>6052</v>
      </c>
      <c r="K1275" s="54">
        <v>0</v>
      </c>
      <c r="L1275" s="22" t="s">
        <v>104</v>
      </c>
      <c r="M1275" s="22" t="s">
        <v>37013</v>
      </c>
    </row>
    <row r="1276" spans="1:13" x14ac:dyDescent="0.75">
      <c r="A1276" t="s">
        <v>21377</v>
      </c>
      <c r="B1276" t="s">
        <v>6769</v>
      </c>
      <c r="C1276" t="s">
        <v>6107</v>
      </c>
      <c r="D1276" t="s">
        <v>6770</v>
      </c>
      <c r="E1276" t="s">
        <v>21378</v>
      </c>
      <c r="F1276">
        <v>1</v>
      </c>
      <c r="G1276">
        <v>2515153</v>
      </c>
      <c r="H1276" t="s">
        <v>21379</v>
      </c>
      <c r="J1276" s="54" t="s">
        <v>6052</v>
      </c>
      <c r="K1276" s="54">
        <v>0</v>
      </c>
      <c r="L1276" s="22" t="s">
        <v>104</v>
      </c>
      <c r="M1276" s="22" t="s">
        <v>37013</v>
      </c>
    </row>
    <row r="1277" spans="1:13" x14ac:dyDescent="0.75">
      <c r="A1277" t="s">
        <v>14427</v>
      </c>
      <c r="B1277" t="s">
        <v>6769</v>
      </c>
      <c r="C1277" t="s">
        <v>6107</v>
      </c>
      <c r="D1277" t="s">
        <v>6770</v>
      </c>
      <c r="E1277" t="s">
        <v>14428</v>
      </c>
      <c r="F1277">
        <v>30</v>
      </c>
      <c r="G1277">
        <v>2455598</v>
      </c>
      <c r="H1277" t="s">
        <v>14429</v>
      </c>
      <c r="J1277" s="54" t="s">
        <v>6052</v>
      </c>
      <c r="K1277" s="54">
        <v>0</v>
      </c>
      <c r="L1277" s="22" t="s">
        <v>104</v>
      </c>
      <c r="M1277" s="22" t="s">
        <v>37013</v>
      </c>
    </row>
    <row r="1278" spans="1:13" x14ac:dyDescent="0.75">
      <c r="A1278" t="s">
        <v>23258</v>
      </c>
      <c r="B1278" t="s">
        <v>6769</v>
      </c>
      <c r="C1278" t="s">
        <v>6107</v>
      </c>
      <c r="D1278" t="s">
        <v>6770</v>
      </c>
      <c r="E1278" t="s">
        <v>23259</v>
      </c>
      <c r="F1278">
        <v>291</v>
      </c>
      <c r="G1278">
        <v>2373650</v>
      </c>
      <c r="H1278" t="s">
        <v>23260</v>
      </c>
      <c r="J1278" s="54" t="s">
        <v>6052</v>
      </c>
      <c r="K1278" s="54">
        <v>0</v>
      </c>
      <c r="L1278" s="22" t="s">
        <v>104</v>
      </c>
      <c r="M1278" s="22" t="s">
        <v>37013</v>
      </c>
    </row>
    <row r="1279" spans="1:13" x14ac:dyDescent="0.75">
      <c r="A1279" t="s">
        <v>23255</v>
      </c>
      <c r="B1279" t="s">
        <v>6769</v>
      </c>
      <c r="C1279" t="s">
        <v>6107</v>
      </c>
      <c r="D1279" t="s">
        <v>6770</v>
      </c>
      <c r="E1279" t="s">
        <v>23256</v>
      </c>
      <c r="F1279">
        <v>286</v>
      </c>
      <c r="G1279">
        <v>2335092</v>
      </c>
      <c r="H1279" t="s">
        <v>23257</v>
      </c>
      <c r="J1279" s="54" t="s">
        <v>6052</v>
      </c>
      <c r="K1279" s="54">
        <v>0</v>
      </c>
      <c r="L1279" s="22" t="s">
        <v>104</v>
      </c>
      <c r="M1279" s="22" t="s">
        <v>37013</v>
      </c>
    </row>
    <row r="1280" spans="1:13" x14ac:dyDescent="0.75">
      <c r="A1280" t="s">
        <v>23261</v>
      </c>
      <c r="B1280" t="s">
        <v>6769</v>
      </c>
      <c r="C1280" t="s">
        <v>6107</v>
      </c>
      <c r="D1280" t="s">
        <v>6770</v>
      </c>
      <c r="E1280" t="s">
        <v>23262</v>
      </c>
      <c r="F1280">
        <v>165</v>
      </c>
      <c r="G1280">
        <v>2204243</v>
      </c>
      <c r="H1280" t="s">
        <v>23263</v>
      </c>
      <c r="J1280" s="54" t="s">
        <v>6052</v>
      </c>
      <c r="K1280" s="54">
        <v>0</v>
      </c>
      <c r="L1280" s="22" t="s">
        <v>104</v>
      </c>
      <c r="M1280" s="22" t="s">
        <v>37013</v>
      </c>
    </row>
    <row r="1281" spans="1:13" x14ac:dyDescent="0.75">
      <c r="A1281" t="s">
        <v>23264</v>
      </c>
      <c r="B1281" t="s">
        <v>6769</v>
      </c>
      <c r="C1281" t="s">
        <v>6107</v>
      </c>
      <c r="D1281" t="s">
        <v>6770</v>
      </c>
      <c r="E1281" t="s">
        <v>23265</v>
      </c>
      <c r="F1281">
        <v>279</v>
      </c>
      <c r="G1281">
        <v>2311780</v>
      </c>
      <c r="H1281" t="s">
        <v>23266</v>
      </c>
      <c r="J1281" s="54" t="s">
        <v>6052</v>
      </c>
      <c r="K1281" s="54">
        <v>0</v>
      </c>
      <c r="L1281" s="22" t="s">
        <v>104</v>
      </c>
      <c r="M1281" s="22" t="s">
        <v>37013</v>
      </c>
    </row>
    <row r="1282" spans="1:13" x14ac:dyDescent="0.75">
      <c r="A1282" t="s">
        <v>23267</v>
      </c>
      <c r="B1282" t="s">
        <v>6769</v>
      </c>
      <c r="C1282" t="s">
        <v>6107</v>
      </c>
      <c r="D1282" t="s">
        <v>6770</v>
      </c>
      <c r="E1282" t="s">
        <v>23268</v>
      </c>
      <c r="F1282">
        <v>276</v>
      </c>
      <c r="G1282">
        <v>2342000</v>
      </c>
      <c r="H1282" t="s">
        <v>23269</v>
      </c>
      <c r="J1282" s="54" t="s">
        <v>6052</v>
      </c>
      <c r="K1282" s="54">
        <v>0</v>
      </c>
      <c r="L1282" s="22" t="s">
        <v>104</v>
      </c>
      <c r="M1282" s="22" t="s">
        <v>37013</v>
      </c>
    </row>
    <row r="1283" spans="1:13" x14ac:dyDescent="0.75">
      <c r="A1283" t="s">
        <v>8813</v>
      </c>
      <c r="B1283" t="s">
        <v>8814</v>
      </c>
      <c r="C1283" t="s">
        <v>6107</v>
      </c>
      <c r="D1283" t="s">
        <v>8815</v>
      </c>
      <c r="E1283" t="s">
        <v>8816</v>
      </c>
      <c r="F1283">
        <v>30</v>
      </c>
      <c r="G1283">
        <v>2361684</v>
      </c>
      <c r="H1283" t="s">
        <v>8817</v>
      </c>
      <c r="J1283" s="54" t="s">
        <v>6052</v>
      </c>
      <c r="K1283" s="54">
        <v>0</v>
      </c>
      <c r="L1283" s="22" t="s">
        <v>104</v>
      </c>
      <c r="M1283" s="22" t="s">
        <v>37018</v>
      </c>
    </row>
    <row r="1284" spans="1:13" x14ac:dyDescent="0.75">
      <c r="A1284" t="s">
        <v>9641</v>
      </c>
      <c r="B1284" t="s">
        <v>8814</v>
      </c>
      <c r="C1284" t="s">
        <v>6107</v>
      </c>
      <c r="D1284" t="s">
        <v>8815</v>
      </c>
      <c r="E1284" t="s">
        <v>9642</v>
      </c>
      <c r="F1284">
        <v>164</v>
      </c>
      <c r="G1284">
        <v>2280257</v>
      </c>
      <c r="H1284" t="s">
        <v>9643</v>
      </c>
      <c r="J1284" s="54" t="s">
        <v>6052</v>
      </c>
      <c r="K1284" s="54">
        <v>0</v>
      </c>
      <c r="L1284" s="22" t="s">
        <v>104</v>
      </c>
      <c r="M1284" s="22" t="s">
        <v>37018</v>
      </c>
    </row>
    <row r="1285" spans="1:13" x14ac:dyDescent="0.75">
      <c r="A1285" t="s">
        <v>13805</v>
      </c>
      <c r="B1285" t="s">
        <v>13802</v>
      </c>
      <c r="C1285" t="s">
        <v>6318</v>
      </c>
      <c r="D1285" t="s">
        <v>8363</v>
      </c>
      <c r="E1285" t="s">
        <v>13806</v>
      </c>
      <c r="F1285">
        <v>1</v>
      </c>
      <c r="G1285">
        <v>1725016</v>
      </c>
      <c r="H1285" t="s">
        <v>13807</v>
      </c>
      <c r="J1285" s="54" t="s">
        <v>6052</v>
      </c>
      <c r="K1285" s="54">
        <v>0</v>
      </c>
      <c r="L1285" s="22" t="s">
        <v>144</v>
      </c>
      <c r="M1285" s="22" t="s">
        <v>36924</v>
      </c>
    </row>
    <row r="1286" spans="1:13" x14ac:dyDescent="0.75">
      <c r="A1286" t="s">
        <v>18713</v>
      </c>
      <c r="B1286" t="s">
        <v>9344</v>
      </c>
      <c r="C1286" t="s">
        <v>6318</v>
      </c>
      <c r="D1286" t="s">
        <v>9345</v>
      </c>
      <c r="E1286" t="s">
        <v>18714</v>
      </c>
      <c r="F1286">
        <v>1</v>
      </c>
      <c r="G1286">
        <v>1820334</v>
      </c>
      <c r="H1286" t="s">
        <v>18715</v>
      </c>
      <c r="J1286" s="54" t="s">
        <v>6052</v>
      </c>
      <c r="K1286" s="54">
        <v>0</v>
      </c>
      <c r="L1286" s="22" t="s">
        <v>36806</v>
      </c>
      <c r="M1286" s="22" t="s">
        <v>36925</v>
      </c>
    </row>
    <row r="1287" spans="1:13" x14ac:dyDescent="0.75">
      <c r="A1287" t="s">
        <v>17300</v>
      </c>
      <c r="B1287" t="s">
        <v>13802</v>
      </c>
      <c r="C1287" t="s">
        <v>6318</v>
      </c>
      <c r="D1287" t="s">
        <v>8363</v>
      </c>
      <c r="E1287" t="s">
        <v>17301</v>
      </c>
      <c r="F1287">
        <v>1</v>
      </c>
      <c r="G1287">
        <v>1753386</v>
      </c>
      <c r="H1287" t="s">
        <v>17302</v>
      </c>
      <c r="J1287" s="54" t="s">
        <v>6052</v>
      </c>
      <c r="K1287" s="54">
        <v>0</v>
      </c>
      <c r="L1287" s="22" t="s">
        <v>144</v>
      </c>
      <c r="M1287" s="22" t="s">
        <v>36924</v>
      </c>
    </row>
    <row r="1288" spans="1:13" x14ac:dyDescent="0.75">
      <c r="A1288" t="s">
        <v>9644</v>
      </c>
      <c r="B1288" t="s">
        <v>8814</v>
      </c>
      <c r="C1288" t="s">
        <v>6107</v>
      </c>
      <c r="D1288" t="s">
        <v>8815</v>
      </c>
      <c r="E1288" t="s">
        <v>9645</v>
      </c>
      <c r="F1288">
        <v>118</v>
      </c>
      <c r="G1288">
        <v>2465770</v>
      </c>
      <c r="H1288" t="s">
        <v>9646</v>
      </c>
      <c r="J1288" s="54" t="s">
        <v>6052</v>
      </c>
      <c r="K1288" s="54">
        <v>0</v>
      </c>
      <c r="L1288" s="22" t="s">
        <v>104</v>
      </c>
      <c r="M1288" s="22" t="s">
        <v>37018</v>
      </c>
    </row>
    <row r="1289" spans="1:13" x14ac:dyDescent="0.75">
      <c r="A1289" t="s">
        <v>11709</v>
      </c>
      <c r="B1289" t="s">
        <v>8814</v>
      </c>
      <c r="C1289" t="s">
        <v>6107</v>
      </c>
      <c r="D1289" t="s">
        <v>8815</v>
      </c>
      <c r="E1289" t="s">
        <v>9645</v>
      </c>
      <c r="F1289">
        <v>3</v>
      </c>
      <c r="G1289">
        <v>2531722</v>
      </c>
      <c r="H1289" t="s">
        <v>11710</v>
      </c>
      <c r="J1289" s="54" t="s">
        <v>6052</v>
      </c>
      <c r="K1289" s="54">
        <v>0</v>
      </c>
      <c r="L1289" s="22" t="s">
        <v>104</v>
      </c>
      <c r="M1289" s="22" t="s">
        <v>37018</v>
      </c>
    </row>
    <row r="1290" spans="1:13" x14ac:dyDescent="0.75">
      <c r="A1290" t="s">
        <v>9647</v>
      </c>
      <c r="B1290" t="s">
        <v>8814</v>
      </c>
      <c r="C1290" t="s">
        <v>6107</v>
      </c>
      <c r="D1290" t="s">
        <v>8815</v>
      </c>
      <c r="E1290" t="s">
        <v>9648</v>
      </c>
      <c r="F1290">
        <v>173</v>
      </c>
      <c r="G1290">
        <v>2362473</v>
      </c>
      <c r="H1290" t="s">
        <v>9649</v>
      </c>
      <c r="J1290" s="54" t="s">
        <v>6052</v>
      </c>
      <c r="K1290" s="54">
        <v>0</v>
      </c>
      <c r="L1290" s="22" t="s">
        <v>104</v>
      </c>
      <c r="M1290" s="22" t="s">
        <v>37018</v>
      </c>
    </row>
    <row r="1291" spans="1:13" x14ac:dyDescent="0.75">
      <c r="A1291" t="s">
        <v>11702</v>
      </c>
      <c r="B1291" t="s">
        <v>8814</v>
      </c>
      <c r="C1291" t="s">
        <v>6107</v>
      </c>
      <c r="D1291" t="s">
        <v>8815</v>
      </c>
      <c r="E1291" t="s">
        <v>9648</v>
      </c>
      <c r="F1291">
        <v>2</v>
      </c>
      <c r="G1291">
        <v>2430523</v>
      </c>
      <c r="H1291" t="s">
        <v>11703</v>
      </c>
      <c r="J1291" s="54" t="s">
        <v>6052</v>
      </c>
      <c r="K1291" s="54">
        <v>0</v>
      </c>
      <c r="L1291" s="22" t="s">
        <v>104</v>
      </c>
      <c r="M1291" s="22" t="s">
        <v>37018</v>
      </c>
    </row>
    <row r="1292" spans="1:13" x14ac:dyDescent="0.75">
      <c r="A1292" t="s">
        <v>9650</v>
      </c>
      <c r="B1292" t="s">
        <v>8814</v>
      </c>
      <c r="C1292" t="s">
        <v>6107</v>
      </c>
      <c r="D1292" t="s">
        <v>8815</v>
      </c>
      <c r="E1292" t="s">
        <v>9651</v>
      </c>
      <c r="F1292">
        <v>148</v>
      </c>
      <c r="G1292">
        <v>2441149</v>
      </c>
      <c r="H1292" t="s">
        <v>9652</v>
      </c>
      <c r="J1292" s="54" t="s">
        <v>6052</v>
      </c>
      <c r="K1292" s="54">
        <v>0</v>
      </c>
      <c r="L1292" s="22" t="s">
        <v>104</v>
      </c>
      <c r="M1292" s="22" t="s">
        <v>37018</v>
      </c>
    </row>
    <row r="1293" spans="1:13" x14ac:dyDescent="0.75">
      <c r="A1293" t="s">
        <v>27644</v>
      </c>
      <c r="B1293" t="s">
        <v>9344</v>
      </c>
      <c r="C1293" t="s">
        <v>6318</v>
      </c>
      <c r="D1293" t="s">
        <v>9345</v>
      </c>
      <c r="E1293" t="s">
        <v>27645</v>
      </c>
      <c r="F1293">
        <v>2</v>
      </c>
      <c r="G1293">
        <v>1833655</v>
      </c>
      <c r="H1293" t="s">
        <v>27646</v>
      </c>
      <c r="J1293" s="54" t="s">
        <v>6052</v>
      </c>
      <c r="K1293" s="54">
        <v>0</v>
      </c>
      <c r="L1293" s="22" t="s">
        <v>36806</v>
      </c>
      <c r="M1293" s="22" t="s">
        <v>36925</v>
      </c>
    </row>
    <row r="1294" spans="1:13" x14ac:dyDescent="0.75">
      <c r="A1294" t="s">
        <v>27429</v>
      </c>
      <c r="B1294" t="s">
        <v>9344</v>
      </c>
      <c r="C1294" t="s">
        <v>6318</v>
      </c>
      <c r="D1294" t="s">
        <v>9345</v>
      </c>
      <c r="E1294" t="s">
        <v>27430</v>
      </c>
      <c r="F1294">
        <v>4</v>
      </c>
      <c r="G1294">
        <v>1589092</v>
      </c>
      <c r="H1294" t="s">
        <v>27431</v>
      </c>
      <c r="J1294" s="54" t="s">
        <v>6052</v>
      </c>
      <c r="K1294" s="54">
        <v>0</v>
      </c>
      <c r="L1294" s="22" t="s">
        <v>36806</v>
      </c>
      <c r="M1294" s="22" t="s">
        <v>36925</v>
      </c>
    </row>
    <row r="1295" spans="1:13" x14ac:dyDescent="0.75">
      <c r="A1295" t="s">
        <v>27423</v>
      </c>
      <c r="B1295" t="s">
        <v>13802</v>
      </c>
      <c r="C1295" t="s">
        <v>6318</v>
      </c>
      <c r="D1295" t="s">
        <v>8363</v>
      </c>
      <c r="E1295" t="s">
        <v>27424</v>
      </c>
      <c r="F1295">
        <v>2</v>
      </c>
      <c r="G1295">
        <v>1767425</v>
      </c>
      <c r="H1295" t="s">
        <v>27425</v>
      </c>
      <c r="J1295" s="54" t="s">
        <v>6052</v>
      </c>
      <c r="K1295" s="54">
        <v>0</v>
      </c>
      <c r="L1295" s="22" t="s">
        <v>144</v>
      </c>
      <c r="M1295" s="22" t="s">
        <v>36924</v>
      </c>
    </row>
    <row r="1296" spans="1:13" x14ac:dyDescent="0.75">
      <c r="A1296" t="s">
        <v>27641</v>
      </c>
      <c r="B1296" t="s">
        <v>13802</v>
      </c>
      <c r="C1296" t="s">
        <v>6318</v>
      </c>
      <c r="D1296" t="s">
        <v>8363</v>
      </c>
      <c r="E1296" t="s">
        <v>27642</v>
      </c>
      <c r="F1296">
        <v>2</v>
      </c>
      <c r="G1296">
        <v>1767942</v>
      </c>
      <c r="H1296" t="s">
        <v>27643</v>
      </c>
      <c r="J1296" s="54" t="s">
        <v>6052</v>
      </c>
      <c r="K1296" s="54">
        <v>0</v>
      </c>
      <c r="L1296" s="22" t="s">
        <v>144</v>
      </c>
      <c r="M1296" s="22" t="s">
        <v>36924</v>
      </c>
    </row>
    <row r="1297" spans="1:13" x14ac:dyDescent="0.75">
      <c r="A1297" t="s">
        <v>11704</v>
      </c>
      <c r="B1297" t="s">
        <v>8814</v>
      </c>
      <c r="C1297" t="s">
        <v>6107</v>
      </c>
      <c r="D1297" t="s">
        <v>8815</v>
      </c>
      <c r="E1297" t="s">
        <v>9651</v>
      </c>
      <c r="F1297">
        <v>2</v>
      </c>
      <c r="G1297">
        <v>2527063</v>
      </c>
      <c r="H1297" t="s">
        <v>11705</v>
      </c>
      <c r="J1297" s="54" t="s">
        <v>6052</v>
      </c>
      <c r="K1297" s="54">
        <v>0</v>
      </c>
      <c r="L1297" s="22" t="s">
        <v>104</v>
      </c>
      <c r="M1297" s="22" t="s">
        <v>37018</v>
      </c>
    </row>
    <row r="1298" spans="1:13" x14ac:dyDescent="0.75">
      <c r="A1298" t="s">
        <v>18874</v>
      </c>
      <c r="B1298" t="s">
        <v>8814</v>
      </c>
      <c r="C1298" t="s">
        <v>6107</v>
      </c>
      <c r="D1298" t="s">
        <v>8815</v>
      </c>
      <c r="E1298" t="s">
        <v>18875</v>
      </c>
      <c r="F1298">
        <v>3</v>
      </c>
      <c r="G1298">
        <v>2378155</v>
      </c>
      <c r="H1298" t="s">
        <v>18876</v>
      </c>
      <c r="J1298" s="54" t="s">
        <v>6052</v>
      </c>
      <c r="K1298" s="54">
        <v>0</v>
      </c>
      <c r="L1298" s="22" t="s">
        <v>104</v>
      </c>
      <c r="M1298" s="22" t="s">
        <v>37018</v>
      </c>
    </row>
    <row r="1299" spans="1:13" x14ac:dyDescent="0.75">
      <c r="A1299" t="s">
        <v>18877</v>
      </c>
      <c r="B1299" t="s">
        <v>8814</v>
      </c>
      <c r="C1299" t="s">
        <v>6107</v>
      </c>
      <c r="D1299" t="s">
        <v>8815</v>
      </c>
      <c r="E1299" t="s">
        <v>18878</v>
      </c>
      <c r="F1299">
        <v>2</v>
      </c>
      <c r="G1299">
        <v>2363187</v>
      </c>
      <c r="H1299" t="s">
        <v>18879</v>
      </c>
      <c r="J1299" s="54" t="s">
        <v>6052</v>
      </c>
      <c r="K1299" s="54">
        <v>0</v>
      </c>
      <c r="L1299" s="22" t="s">
        <v>104</v>
      </c>
      <c r="M1299" s="22" t="s">
        <v>37018</v>
      </c>
    </row>
    <row r="1300" spans="1:13" x14ac:dyDescent="0.75">
      <c r="A1300" t="s">
        <v>21365</v>
      </c>
      <c r="B1300" t="s">
        <v>8814</v>
      </c>
      <c r="C1300" t="s">
        <v>6107</v>
      </c>
      <c r="D1300" t="s">
        <v>8815</v>
      </c>
      <c r="E1300" t="s">
        <v>21366</v>
      </c>
      <c r="F1300">
        <v>1</v>
      </c>
      <c r="G1300">
        <v>2287114</v>
      </c>
      <c r="H1300" t="s">
        <v>21367</v>
      </c>
      <c r="J1300" s="54" t="s">
        <v>6052</v>
      </c>
      <c r="K1300" s="54">
        <v>0</v>
      </c>
      <c r="L1300" s="22" t="s">
        <v>104</v>
      </c>
      <c r="M1300" s="22" t="s">
        <v>37018</v>
      </c>
    </row>
    <row r="1301" spans="1:13" x14ac:dyDescent="0.75">
      <c r="A1301" t="s">
        <v>14763</v>
      </c>
      <c r="B1301" t="s">
        <v>6774</v>
      </c>
      <c r="C1301" t="s">
        <v>6107</v>
      </c>
      <c r="D1301" t="s">
        <v>6775</v>
      </c>
      <c r="E1301" t="s">
        <v>14764</v>
      </c>
      <c r="F1301">
        <v>1</v>
      </c>
      <c r="G1301">
        <v>2286018</v>
      </c>
      <c r="H1301" t="s">
        <v>14765</v>
      </c>
      <c r="J1301" s="54" t="s">
        <v>6052</v>
      </c>
      <c r="K1301" s="54">
        <v>0</v>
      </c>
      <c r="L1301" s="22" t="s">
        <v>104</v>
      </c>
      <c r="M1301" s="22" t="s">
        <v>37010</v>
      </c>
    </row>
    <row r="1302" spans="1:13" x14ac:dyDescent="0.75">
      <c r="A1302" t="s">
        <v>16491</v>
      </c>
      <c r="B1302" t="s">
        <v>6774</v>
      </c>
      <c r="C1302" t="s">
        <v>6107</v>
      </c>
      <c r="D1302" t="s">
        <v>6775</v>
      </c>
      <c r="E1302" t="s">
        <v>16492</v>
      </c>
      <c r="F1302">
        <v>1</v>
      </c>
      <c r="G1302">
        <v>2678415</v>
      </c>
      <c r="H1302" t="s">
        <v>16493</v>
      </c>
      <c r="J1302" s="54" t="s">
        <v>6052</v>
      </c>
      <c r="K1302" s="54">
        <v>0</v>
      </c>
      <c r="L1302" s="22" t="s">
        <v>104</v>
      </c>
      <c r="M1302" s="22" t="s">
        <v>37010</v>
      </c>
    </row>
    <row r="1303" spans="1:13" x14ac:dyDescent="0.75">
      <c r="A1303" t="s">
        <v>27153</v>
      </c>
      <c r="B1303" t="s">
        <v>6774</v>
      </c>
      <c r="C1303" t="s">
        <v>6107</v>
      </c>
      <c r="D1303" t="s">
        <v>6775</v>
      </c>
      <c r="E1303" t="s">
        <v>16492</v>
      </c>
      <c r="F1303">
        <v>94</v>
      </c>
      <c r="G1303">
        <v>2550375</v>
      </c>
      <c r="H1303" t="s">
        <v>27154</v>
      </c>
      <c r="J1303" s="54" t="s">
        <v>6052</v>
      </c>
      <c r="K1303" s="54">
        <v>0</v>
      </c>
      <c r="L1303" s="22" t="s">
        <v>104</v>
      </c>
      <c r="M1303" s="22" t="s">
        <v>37010</v>
      </c>
    </row>
    <row r="1304" spans="1:13" x14ac:dyDescent="0.75">
      <c r="A1304" t="s">
        <v>8606</v>
      </c>
      <c r="B1304" t="s">
        <v>6774</v>
      </c>
      <c r="C1304" t="s">
        <v>6107</v>
      </c>
      <c r="D1304" t="s">
        <v>6775</v>
      </c>
      <c r="E1304" t="s">
        <v>8607</v>
      </c>
      <c r="F1304">
        <v>45</v>
      </c>
      <c r="G1304">
        <v>2110802</v>
      </c>
      <c r="H1304" t="s">
        <v>8608</v>
      </c>
      <c r="J1304" s="54" t="s">
        <v>6052</v>
      </c>
      <c r="K1304" s="54">
        <v>0</v>
      </c>
      <c r="L1304" s="22" t="s">
        <v>104</v>
      </c>
      <c r="M1304" s="22" t="s">
        <v>37010</v>
      </c>
    </row>
    <row r="1305" spans="1:13" x14ac:dyDescent="0.75">
      <c r="A1305" t="s">
        <v>10257</v>
      </c>
      <c r="B1305" t="s">
        <v>6774</v>
      </c>
      <c r="C1305" t="s">
        <v>6107</v>
      </c>
      <c r="D1305" t="s">
        <v>6775</v>
      </c>
      <c r="E1305" t="s">
        <v>10258</v>
      </c>
      <c r="F1305">
        <v>40</v>
      </c>
      <c r="G1305">
        <v>2088497</v>
      </c>
      <c r="H1305" t="s">
        <v>10259</v>
      </c>
      <c r="J1305" s="54" t="s">
        <v>6052</v>
      </c>
      <c r="K1305" s="54">
        <v>0</v>
      </c>
      <c r="L1305" s="22" t="s">
        <v>104</v>
      </c>
      <c r="M1305" s="22" t="s">
        <v>37010</v>
      </c>
    </row>
    <row r="1306" spans="1:13" x14ac:dyDescent="0.75">
      <c r="A1306" t="s">
        <v>10720</v>
      </c>
      <c r="B1306" t="s">
        <v>6774</v>
      </c>
      <c r="C1306" t="s">
        <v>6107</v>
      </c>
      <c r="D1306" t="s">
        <v>6775</v>
      </c>
      <c r="E1306" t="s">
        <v>10258</v>
      </c>
      <c r="F1306">
        <v>42</v>
      </c>
      <c r="G1306">
        <v>2054808</v>
      </c>
      <c r="H1306" t="s">
        <v>10721</v>
      </c>
      <c r="J1306" s="54" t="s">
        <v>6052</v>
      </c>
      <c r="K1306" s="54">
        <v>0</v>
      </c>
      <c r="L1306" s="22" t="s">
        <v>104</v>
      </c>
      <c r="M1306" s="22" t="s">
        <v>37010</v>
      </c>
    </row>
    <row r="1307" spans="1:13" x14ac:dyDescent="0.75">
      <c r="A1307" t="s">
        <v>10394</v>
      </c>
      <c r="B1307" t="s">
        <v>6774</v>
      </c>
      <c r="C1307" t="s">
        <v>6107</v>
      </c>
      <c r="D1307" t="s">
        <v>6775</v>
      </c>
      <c r="E1307" t="s">
        <v>10395</v>
      </c>
      <c r="F1307">
        <v>235</v>
      </c>
      <c r="G1307">
        <v>2458422</v>
      </c>
      <c r="H1307" t="s">
        <v>10396</v>
      </c>
      <c r="J1307" s="54" t="s">
        <v>6052</v>
      </c>
      <c r="K1307" s="54">
        <v>0</v>
      </c>
      <c r="L1307" s="22" t="s">
        <v>104</v>
      </c>
      <c r="M1307" s="22" t="s">
        <v>37010</v>
      </c>
    </row>
    <row r="1308" spans="1:13" x14ac:dyDescent="0.75">
      <c r="A1308" t="s">
        <v>25619</v>
      </c>
      <c r="B1308" t="s">
        <v>6774</v>
      </c>
      <c r="C1308" t="s">
        <v>6107</v>
      </c>
      <c r="D1308" t="s">
        <v>6775</v>
      </c>
      <c r="E1308" t="s">
        <v>25620</v>
      </c>
      <c r="F1308">
        <v>79</v>
      </c>
      <c r="G1308">
        <v>2138413</v>
      </c>
      <c r="H1308" t="s">
        <v>25621</v>
      </c>
      <c r="J1308" s="54" t="s">
        <v>6052</v>
      </c>
      <c r="K1308" s="54">
        <v>0</v>
      </c>
      <c r="L1308" s="22" t="s">
        <v>104</v>
      </c>
      <c r="M1308" s="22" t="s">
        <v>37010</v>
      </c>
    </row>
    <row r="1309" spans="1:13" x14ac:dyDescent="0.75">
      <c r="A1309" t="s">
        <v>25592</v>
      </c>
      <c r="B1309" t="s">
        <v>6774</v>
      </c>
      <c r="C1309" t="s">
        <v>6107</v>
      </c>
      <c r="D1309" t="s">
        <v>6775</v>
      </c>
      <c r="E1309" t="s">
        <v>25593</v>
      </c>
      <c r="F1309">
        <v>277</v>
      </c>
      <c r="G1309">
        <v>2075585</v>
      </c>
      <c r="H1309" t="s">
        <v>25594</v>
      </c>
      <c r="J1309" s="54" t="s">
        <v>6052</v>
      </c>
      <c r="K1309" s="54">
        <v>0</v>
      </c>
      <c r="L1309" s="22" t="s">
        <v>104</v>
      </c>
      <c r="M1309" s="22" t="s">
        <v>37010</v>
      </c>
    </row>
    <row r="1310" spans="1:13" x14ac:dyDescent="0.75">
      <c r="A1310" t="s">
        <v>25586</v>
      </c>
      <c r="B1310" t="s">
        <v>6774</v>
      </c>
      <c r="C1310" t="s">
        <v>6107</v>
      </c>
      <c r="D1310" t="s">
        <v>6775</v>
      </c>
      <c r="E1310" t="s">
        <v>25587</v>
      </c>
      <c r="F1310">
        <v>78</v>
      </c>
      <c r="G1310">
        <v>2087199</v>
      </c>
      <c r="H1310" t="s">
        <v>25588</v>
      </c>
      <c r="J1310" s="54" t="s">
        <v>6052</v>
      </c>
      <c r="K1310" s="54">
        <v>0</v>
      </c>
      <c r="L1310" s="22" t="s">
        <v>104</v>
      </c>
      <c r="M1310" s="22" t="s">
        <v>37010</v>
      </c>
    </row>
    <row r="1311" spans="1:13" x14ac:dyDescent="0.75">
      <c r="A1311" t="s">
        <v>25580</v>
      </c>
      <c r="B1311" t="s">
        <v>6774</v>
      </c>
      <c r="C1311" t="s">
        <v>6107</v>
      </c>
      <c r="D1311" t="s">
        <v>6775</v>
      </c>
      <c r="E1311" t="s">
        <v>25581</v>
      </c>
      <c r="F1311">
        <v>32</v>
      </c>
      <c r="G1311">
        <v>2075133</v>
      </c>
      <c r="H1311" t="s">
        <v>25582</v>
      </c>
      <c r="J1311" s="54" t="s">
        <v>6052</v>
      </c>
      <c r="K1311" s="54">
        <v>0</v>
      </c>
      <c r="L1311" s="22" t="s">
        <v>104</v>
      </c>
      <c r="M1311" s="22" t="s">
        <v>37010</v>
      </c>
    </row>
    <row r="1312" spans="1:13" x14ac:dyDescent="0.75">
      <c r="A1312" t="s">
        <v>25583</v>
      </c>
      <c r="B1312" t="s">
        <v>6774</v>
      </c>
      <c r="C1312" t="s">
        <v>6107</v>
      </c>
      <c r="D1312" t="s">
        <v>6775</v>
      </c>
      <c r="E1312" t="s">
        <v>25584</v>
      </c>
      <c r="F1312">
        <v>34</v>
      </c>
      <c r="G1312">
        <v>2036402</v>
      </c>
      <c r="H1312" t="s">
        <v>25585</v>
      </c>
      <c r="J1312" s="54" t="s">
        <v>6052</v>
      </c>
      <c r="K1312" s="54">
        <v>0</v>
      </c>
      <c r="L1312" s="22" t="s">
        <v>104</v>
      </c>
      <c r="M1312" s="22" t="s">
        <v>37010</v>
      </c>
    </row>
    <row r="1313" spans="1:13" x14ac:dyDescent="0.75">
      <c r="A1313" t="s">
        <v>25589</v>
      </c>
      <c r="B1313" t="s">
        <v>6774</v>
      </c>
      <c r="C1313" t="s">
        <v>6107</v>
      </c>
      <c r="D1313" t="s">
        <v>6775</v>
      </c>
      <c r="E1313" t="s">
        <v>25590</v>
      </c>
      <c r="F1313">
        <v>43</v>
      </c>
      <c r="G1313">
        <v>2224641</v>
      </c>
      <c r="H1313" t="s">
        <v>25591</v>
      </c>
      <c r="J1313" s="54" t="s">
        <v>6052</v>
      </c>
      <c r="K1313" s="54">
        <v>0</v>
      </c>
      <c r="L1313" s="22" t="s">
        <v>104</v>
      </c>
      <c r="M1313" s="22" t="s">
        <v>37010</v>
      </c>
    </row>
    <row r="1314" spans="1:13" x14ac:dyDescent="0.75">
      <c r="A1314" t="s">
        <v>25577</v>
      </c>
      <c r="B1314" t="s">
        <v>6774</v>
      </c>
      <c r="C1314" t="s">
        <v>6107</v>
      </c>
      <c r="D1314" t="s">
        <v>6775</v>
      </c>
      <c r="E1314" t="s">
        <v>25578</v>
      </c>
      <c r="F1314">
        <v>67</v>
      </c>
      <c r="G1314">
        <v>2104199</v>
      </c>
      <c r="H1314" t="s">
        <v>25579</v>
      </c>
      <c r="J1314" s="54" t="s">
        <v>6052</v>
      </c>
      <c r="K1314" s="54">
        <v>0</v>
      </c>
      <c r="L1314" s="22" t="s">
        <v>104</v>
      </c>
      <c r="M1314" s="22" t="s">
        <v>37010</v>
      </c>
    </row>
    <row r="1315" spans="1:13" x14ac:dyDescent="0.75">
      <c r="A1315" t="s">
        <v>11391</v>
      </c>
      <c r="B1315" t="s">
        <v>9344</v>
      </c>
      <c r="C1315" t="s">
        <v>6318</v>
      </c>
      <c r="D1315" t="s">
        <v>9345</v>
      </c>
      <c r="E1315" t="s">
        <v>11392</v>
      </c>
      <c r="F1315">
        <v>1</v>
      </c>
      <c r="G1315">
        <v>1641887</v>
      </c>
      <c r="H1315" t="s">
        <v>11393</v>
      </c>
      <c r="J1315" s="54" t="s">
        <v>6052</v>
      </c>
      <c r="K1315" s="54">
        <v>0</v>
      </c>
      <c r="L1315" s="22" t="s">
        <v>36806</v>
      </c>
      <c r="M1315" s="22" t="s">
        <v>36925</v>
      </c>
    </row>
    <row r="1316" spans="1:13" x14ac:dyDescent="0.75">
      <c r="A1316" t="s">
        <v>13811</v>
      </c>
      <c r="B1316" t="s">
        <v>13802</v>
      </c>
      <c r="C1316" t="s">
        <v>6318</v>
      </c>
      <c r="D1316" t="s">
        <v>8363</v>
      </c>
      <c r="E1316" t="s">
        <v>13812</v>
      </c>
      <c r="F1316">
        <v>1</v>
      </c>
      <c r="G1316">
        <v>1752258</v>
      </c>
      <c r="H1316" t="s">
        <v>13813</v>
      </c>
      <c r="J1316" s="54" t="s">
        <v>6052</v>
      </c>
      <c r="K1316" s="54">
        <v>0</v>
      </c>
      <c r="L1316" s="22" t="s">
        <v>144</v>
      </c>
      <c r="M1316" s="22" t="s">
        <v>36924</v>
      </c>
    </row>
    <row r="1317" spans="1:13" x14ac:dyDescent="0.75">
      <c r="A1317" t="s">
        <v>25568</v>
      </c>
      <c r="B1317" t="s">
        <v>6774</v>
      </c>
      <c r="C1317" t="s">
        <v>6107</v>
      </c>
      <c r="D1317" t="s">
        <v>6775</v>
      </c>
      <c r="E1317" t="s">
        <v>25569</v>
      </c>
      <c r="F1317">
        <v>63</v>
      </c>
      <c r="G1317">
        <v>2240035</v>
      </c>
      <c r="H1317" t="s">
        <v>25570</v>
      </c>
      <c r="J1317" s="54" t="s">
        <v>6052</v>
      </c>
      <c r="K1317" s="54">
        <v>0</v>
      </c>
      <c r="L1317" s="22" t="s">
        <v>104</v>
      </c>
      <c r="M1317" s="22" t="s">
        <v>37010</v>
      </c>
    </row>
    <row r="1318" spans="1:13" x14ac:dyDescent="0.75">
      <c r="A1318" t="s">
        <v>25571</v>
      </c>
      <c r="B1318" t="s">
        <v>6774</v>
      </c>
      <c r="C1318" t="s">
        <v>6107</v>
      </c>
      <c r="D1318" t="s">
        <v>6775</v>
      </c>
      <c r="E1318" t="s">
        <v>25572</v>
      </c>
      <c r="F1318">
        <v>102</v>
      </c>
      <c r="G1318">
        <v>2011162</v>
      </c>
      <c r="H1318" t="s">
        <v>25573</v>
      </c>
      <c r="J1318" s="54" t="s">
        <v>6052</v>
      </c>
      <c r="K1318" s="54">
        <v>0</v>
      </c>
      <c r="L1318" s="22" t="s">
        <v>104</v>
      </c>
      <c r="M1318" s="22" t="s">
        <v>37010</v>
      </c>
    </row>
    <row r="1319" spans="1:13" x14ac:dyDescent="0.75">
      <c r="A1319" t="s">
        <v>25616</v>
      </c>
      <c r="B1319" t="s">
        <v>6774</v>
      </c>
      <c r="C1319" t="s">
        <v>6107</v>
      </c>
      <c r="D1319" t="s">
        <v>6775</v>
      </c>
      <c r="E1319" t="s">
        <v>25617</v>
      </c>
      <c r="F1319">
        <v>49</v>
      </c>
      <c r="G1319">
        <v>2257062</v>
      </c>
      <c r="H1319" t="s">
        <v>25618</v>
      </c>
      <c r="J1319" s="54" t="s">
        <v>6052</v>
      </c>
      <c r="K1319" s="54">
        <v>0</v>
      </c>
      <c r="L1319" s="22" t="s">
        <v>104</v>
      </c>
      <c r="M1319" s="22" t="s">
        <v>37010</v>
      </c>
    </row>
    <row r="1320" spans="1:13" x14ac:dyDescent="0.75">
      <c r="A1320" t="s">
        <v>13808</v>
      </c>
      <c r="B1320" t="s">
        <v>13802</v>
      </c>
      <c r="C1320" t="s">
        <v>6318</v>
      </c>
      <c r="D1320" t="s">
        <v>8363</v>
      </c>
      <c r="E1320" t="s">
        <v>13809</v>
      </c>
      <c r="F1320">
        <v>1</v>
      </c>
      <c r="G1320">
        <v>1681311</v>
      </c>
      <c r="H1320" t="s">
        <v>13810</v>
      </c>
      <c r="J1320" s="54" t="s">
        <v>6052</v>
      </c>
      <c r="K1320" s="54">
        <v>0</v>
      </c>
      <c r="L1320" s="22" t="s">
        <v>144</v>
      </c>
      <c r="M1320" s="22" t="s">
        <v>36924</v>
      </c>
    </row>
    <row r="1321" spans="1:13" x14ac:dyDescent="0.75">
      <c r="A1321" t="s">
        <v>25574</v>
      </c>
      <c r="B1321" t="s">
        <v>6774</v>
      </c>
      <c r="C1321" t="s">
        <v>6107</v>
      </c>
      <c r="D1321" t="s">
        <v>6775</v>
      </c>
      <c r="E1321" t="s">
        <v>25575</v>
      </c>
      <c r="F1321">
        <v>57</v>
      </c>
      <c r="G1321">
        <v>2215131</v>
      </c>
      <c r="H1321" t="s">
        <v>25576</v>
      </c>
      <c r="J1321" s="54" t="s">
        <v>6052</v>
      </c>
      <c r="K1321" s="54">
        <v>0</v>
      </c>
      <c r="L1321" s="22" t="s">
        <v>104</v>
      </c>
      <c r="M1321" s="22" t="s">
        <v>37010</v>
      </c>
    </row>
    <row r="1322" spans="1:13" x14ac:dyDescent="0.75">
      <c r="A1322" t="s">
        <v>25565</v>
      </c>
      <c r="B1322" t="s">
        <v>6774</v>
      </c>
      <c r="C1322" t="s">
        <v>6107</v>
      </c>
      <c r="D1322" t="s">
        <v>6775</v>
      </c>
      <c r="E1322" t="s">
        <v>25566</v>
      </c>
      <c r="F1322">
        <v>52</v>
      </c>
      <c r="G1322">
        <v>2223923</v>
      </c>
      <c r="H1322" t="s">
        <v>25567</v>
      </c>
      <c r="J1322" s="54" t="s">
        <v>6052</v>
      </c>
      <c r="K1322" s="54">
        <v>0</v>
      </c>
      <c r="L1322" s="22" t="s">
        <v>104</v>
      </c>
      <c r="M1322" s="22" t="s">
        <v>37010</v>
      </c>
    </row>
    <row r="1323" spans="1:13" x14ac:dyDescent="0.75">
      <c r="A1323" t="s">
        <v>25556</v>
      </c>
      <c r="B1323" t="s">
        <v>6774</v>
      </c>
      <c r="C1323" t="s">
        <v>6107</v>
      </c>
      <c r="D1323" t="s">
        <v>6775</v>
      </c>
      <c r="E1323" t="s">
        <v>25557</v>
      </c>
      <c r="F1323">
        <v>45</v>
      </c>
      <c r="G1323">
        <v>2074656</v>
      </c>
      <c r="H1323" t="s">
        <v>25558</v>
      </c>
      <c r="J1323" s="54" t="s">
        <v>6052</v>
      </c>
      <c r="K1323" s="54">
        <v>0</v>
      </c>
      <c r="L1323" s="22" t="s">
        <v>104</v>
      </c>
      <c r="M1323" s="22" t="s">
        <v>37010</v>
      </c>
    </row>
    <row r="1324" spans="1:13" x14ac:dyDescent="0.75">
      <c r="A1324" t="s">
        <v>25553</v>
      </c>
      <c r="B1324" t="s">
        <v>6774</v>
      </c>
      <c r="C1324" t="s">
        <v>6107</v>
      </c>
      <c r="D1324" t="s">
        <v>6775</v>
      </c>
      <c r="E1324" t="s">
        <v>25554</v>
      </c>
      <c r="F1324">
        <v>66</v>
      </c>
      <c r="G1324">
        <v>2185785</v>
      </c>
      <c r="H1324" t="s">
        <v>25555</v>
      </c>
      <c r="J1324" s="54" t="s">
        <v>6052</v>
      </c>
      <c r="K1324" s="54">
        <v>0</v>
      </c>
      <c r="L1324" s="22" t="s">
        <v>104</v>
      </c>
      <c r="M1324" s="22" t="s">
        <v>37010</v>
      </c>
    </row>
    <row r="1325" spans="1:13" x14ac:dyDescent="0.75">
      <c r="A1325" t="s">
        <v>25562</v>
      </c>
      <c r="B1325" t="s">
        <v>6774</v>
      </c>
      <c r="C1325" t="s">
        <v>6107</v>
      </c>
      <c r="D1325" t="s">
        <v>6775</v>
      </c>
      <c r="E1325" t="s">
        <v>25563</v>
      </c>
      <c r="F1325">
        <v>65</v>
      </c>
      <c r="G1325">
        <v>2148898</v>
      </c>
      <c r="H1325" t="s">
        <v>25564</v>
      </c>
      <c r="J1325" s="54" t="s">
        <v>6052</v>
      </c>
      <c r="K1325" s="54">
        <v>0</v>
      </c>
      <c r="L1325" s="22" t="s">
        <v>104</v>
      </c>
      <c r="M1325" s="22" t="s">
        <v>37010</v>
      </c>
    </row>
    <row r="1326" spans="1:13" x14ac:dyDescent="0.75">
      <c r="A1326" t="s">
        <v>25559</v>
      </c>
      <c r="B1326" t="s">
        <v>6774</v>
      </c>
      <c r="C1326" t="s">
        <v>6107</v>
      </c>
      <c r="D1326" t="s">
        <v>6775</v>
      </c>
      <c r="E1326" t="s">
        <v>25560</v>
      </c>
      <c r="F1326">
        <v>49</v>
      </c>
      <c r="G1326">
        <v>2185032</v>
      </c>
      <c r="H1326" t="s">
        <v>25561</v>
      </c>
      <c r="J1326" s="54" t="s">
        <v>6052</v>
      </c>
      <c r="K1326" s="54">
        <v>0</v>
      </c>
      <c r="L1326" s="22" t="s">
        <v>104</v>
      </c>
      <c r="M1326" s="22" t="s">
        <v>37010</v>
      </c>
    </row>
    <row r="1327" spans="1:13" x14ac:dyDescent="0.75">
      <c r="A1327" t="s">
        <v>25550</v>
      </c>
      <c r="B1327" t="s">
        <v>6774</v>
      </c>
      <c r="C1327" t="s">
        <v>6107</v>
      </c>
      <c r="D1327" t="s">
        <v>6775</v>
      </c>
      <c r="E1327" t="s">
        <v>25551</v>
      </c>
      <c r="F1327">
        <v>37</v>
      </c>
      <c r="G1327">
        <v>2225447</v>
      </c>
      <c r="H1327" t="s">
        <v>25552</v>
      </c>
      <c r="J1327" s="54" t="s">
        <v>6052</v>
      </c>
      <c r="K1327" s="54">
        <v>0</v>
      </c>
      <c r="L1327" s="22" t="s">
        <v>104</v>
      </c>
      <c r="M1327" s="22" t="s">
        <v>37010</v>
      </c>
    </row>
    <row r="1328" spans="1:13" x14ac:dyDescent="0.75">
      <c r="A1328" t="s">
        <v>25610</v>
      </c>
      <c r="B1328" t="s">
        <v>6774</v>
      </c>
      <c r="C1328" t="s">
        <v>6107</v>
      </c>
      <c r="D1328" t="s">
        <v>6775</v>
      </c>
      <c r="E1328" t="s">
        <v>25611</v>
      </c>
      <c r="F1328">
        <v>120</v>
      </c>
      <c r="G1328">
        <v>2428055</v>
      </c>
      <c r="H1328" t="s">
        <v>25612</v>
      </c>
      <c r="J1328" s="54" t="s">
        <v>6052</v>
      </c>
      <c r="K1328" s="54">
        <v>0</v>
      </c>
      <c r="L1328" s="22" t="s">
        <v>104</v>
      </c>
      <c r="M1328" s="22" t="s">
        <v>37010</v>
      </c>
    </row>
    <row r="1329" spans="1:13" x14ac:dyDescent="0.75">
      <c r="A1329" t="s">
        <v>25547</v>
      </c>
      <c r="B1329" t="s">
        <v>6774</v>
      </c>
      <c r="C1329" t="s">
        <v>6107</v>
      </c>
      <c r="D1329" t="s">
        <v>6775</v>
      </c>
      <c r="E1329" t="s">
        <v>25548</v>
      </c>
      <c r="F1329">
        <v>161</v>
      </c>
      <c r="G1329">
        <v>2322315</v>
      </c>
      <c r="H1329" t="s">
        <v>25549</v>
      </c>
      <c r="J1329" s="54" t="s">
        <v>6052</v>
      </c>
      <c r="K1329" s="54">
        <v>0</v>
      </c>
      <c r="L1329" s="22" t="s">
        <v>104</v>
      </c>
      <c r="M1329" s="22" t="s">
        <v>37010</v>
      </c>
    </row>
    <row r="1330" spans="1:13" x14ac:dyDescent="0.75">
      <c r="A1330" t="s">
        <v>24525</v>
      </c>
      <c r="B1330" t="s">
        <v>9344</v>
      </c>
      <c r="C1330" t="s">
        <v>6318</v>
      </c>
      <c r="D1330" t="s">
        <v>9345</v>
      </c>
      <c r="E1330" t="s">
        <v>24526</v>
      </c>
      <c r="F1330">
        <v>9</v>
      </c>
      <c r="G1330">
        <v>1621745</v>
      </c>
      <c r="H1330" t="s">
        <v>24527</v>
      </c>
      <c r="J1330" s="54" t="s">
        <v>6052</v>
      </c>
      <c r="K1330" s="54">
        <v>0</v>
      </c>
      <c r="L1330" s="22" t="s">
        <v>36806</v>
      </c>
      <c r="M1330" s="22" t="s">
        <v>36925</v>
      </c>
    </row>
    <row r="1331" spans="1:13" x14ac:dyDescent="0.75">
      <c r="A1331" t="s">
        <v>24522</v>
      </c>
      <c r="B1331" t="s">
        <v>9344</v>
      </c>
      <c r="C1331" t="s">
        <v>6318</v>
      </c>
      <c r="D1331" t="s">
        <v>9345</v>
      </c>
      <c r="E1331" t="s">
        <v>24523</v>
      </c>
      <c r="F1331">
        <v>13</v>
      </c>
      <c r="G1331">
        <v>1561454</v>
      </c>
      <c r="H1331" t="s">
        <v>24524</v>
      </c>
      <c r="J1331" s="54" t="s">
        <v>6052</v>
      </c>
      <c r="K1331" s="54">
        <v>0</v>
      </c>
      <c r="L1331" s="22" t="s">
        <v>36806</v>
      </c>
      <c r="M1331" s="22" t="s">
        <v>36925</v>
      </c>
    </row>
    <row r="1332" spans="1:13" x14ac:dyDescent="0.75">
      <c r="A1332" t="s">
        <v>21907</v>
      </c>
      <c r="B1332" t="s">
        <v>13802</v>
      </c>
      <c r="C1332" t="s">
        <v>6318</v>
      </c>
      <c r="D1332" t="s">
        <v>8363</v>
      </c>
      <c r="E1332" t="s">
        <v>21908</v>
      </c>
      <c r="F1332">
        <v>31</v>
      </c>
      <c r="G1332">
        <v>1705795</v>
      </c>
      <c r="H1332" t="s">
        <v>21909</v>
      </c>
      <c r="J1332" s="54" t="s">
        <v>6052</v>
      </c>
      <c r="K1332" s="54">
        <v>0</v>
      </c>
      <c r="L1332" s="22" t="s">
        <v>144</v>
      </c>
      <c r="M1332" s="22" t="s">
        <v>36924</v>
      </c>
    </row>
    <row r="1333" spans="1:13" x14ac:dyDescent="0.75">
      <c r="A1333" t="s">
        <v>21910</v>
      </c>
      <c r="B1333" t="s">
        <v>13802</v>
      </c>
      <c r="C1333" t="s">
        <v>6318</v>
      </c>
      <c r="D1333" t="s">
        <v>8363</v>
      </c>
      <c r="E1333" t="s">
        <v>21911</v>
      </c>
      <c r="F1333">
        <v>30</v>
      </c>
      <c r="G1333">
        <v>1704821</v>
      </c>
      <c r="H1333" t="s">
        <v>21912</v>
      </c>
      <c r="J1333" s="54" t="s">
        <v>6052</v>
      </c>
      <c r="K1333" s="54">
        <v>0</v>
      </c>
      <c r="L1333" s="22" t="s">
        <v>144</v>
      </c>
      <c r="M1333" s="22" t="s">
        <v>36924</v>
      </c>
    </row>
    <row r="1334" spans="1:13" x14ac:dyDescent="0.75">
      <c r="A1334" t="s">
        <v>25544</v>
      </c>
      <c r="B1334" t="s">
        <v>6774</v>
      </c>
      <c r="C1334" t="s">
        <v>6107</v>
      </c>
      <c r="D1334" t="s">
        <v>6775</v>
      </c>
      <c r="E1334" t="s">
        <v>25545</v>
      </c>
      <c r="F1334">
        <v>25</v>
      </c>
      <c r="G1334">
        <v>2108786</v>
      </c>
      <c r="H1334" t="s">
        <v>25546</v>
      </c>
      <c r="J1334" s="54" t="s">
        <v>6052</v>
      </c>
      <c r="K1334" s="54">
        <v>0</v>
      </c>
      <c r="L1334" s="22" t="s">
        <v>104</v>
      </c>
      <c r="M1334" s="22" t="s">
        <v>37010</v>
      </c>
    </row>
    <row r="1335" spans="1:13" x14ac:dyDescent="0.75">
      <c r="A1335" t="s">
        <v>25604</v>
      </c>
      <c r="B1335" t="s">
        <v>6774</v>
      </c>
      <c r="C1335" t="s">
        <v>6107</v>
      </c>
      <c r="D1335" t="s">
        <v>6775</v>
      </c>
      <c r="E1335" t="s">
        <v>25605</v>
      </c>
      <c r="F1335">
        <v>73</v>
      </c>
      <c r="G1335">
        <v>2174870</v>
      </c>
      <c r="H1335" t="s">
        <v>25606</v>
      </c>
      <c r="J1335" s="54" t="s">
        <v>6052</v>
      </c>
      <c r="K1335" s="54">
        <v>0</v>
      </c>
      <c r="L1335" s="22" t="s">
        <v>104</v>
      </c>
      <c r="M1335" s="22" t="s">
        <v>37010</v>
      </c>
    </row>
    <row r="1336" spans="1:13" x14ac:dyDescent="0.75">
      <c r="A1336" t="s">
        <v>25607</v>
      </c>
      <c r="B1336" t="s">
        <v>6774</v>
      </c>
      <c r="C1336" t="s">
        <v>6107</v>
      </c>
      <c r="D1336" t="s">
        <v>6775</v>
      </c>
      <c r="E1336" t="s">
        <v>25608</v>
      </c>
      <c r="F1336">
        <v>74</v>
      </c>
      <c r="G1336">
        <v>2179695</v>
      </c>
      <c r="H1336" t="s">
        <v>25609</v>
      </c>
      <c r="J1336" s="54" t="s">
        <v>6052</v>
      </c>
      <c r="K1336" s="54">
        <v>0</v>
      </c>
      <c r="L1336" s="22" t="s">
        <v>104</v>
      </c>
      <c r="M1336" s="22" t="s">
        <v>37010</v>
      </c>
    </row>
    <row r="1337" spans="1:13" x14ac:dyDescent="0.75">
      <c r="A1337" t="s">
        <v>25601</v>
      </c>
      <c r="B1337" t="s">
        <v>6774</v>
      </c>
      <c r="C1337" t="s">
        <v>6107</v>
      </c>
      <c r="D1337" t="s">
        <v>6775</v>
      </c>
      <c r="E1337" t="s">
        <v>25602</v>
      </c>
      <c r="F1337">
        <v>38</v>
      </c>
      <c r="G1337">
        <v>2083725</v>
      </c>
      <c r="H1337" t="s">
        <v>25603</v>
      </c>
      <c r="J1337" s="54" t="s">
        <v>6052</v>
      </c>
      <c r="K1337" s="54">
        <v>0</v>
      </c>
      <c r="L1337" s="22" t="s">
        <v>104</v>
      </c>
      <c r="M1337" s="22" t="s">
        <v>37010</v>
      </c>
    </row>
    <row r="1338" spans="1:13" x14ac:dyDescent="0.75">
      <c r="A1338" t="s">
        <v>25598</v>
      </c>
      <c r="B1338" t="s">
        <v>6774</v>
      </c>
      <c r="C1338" t="s">
        <v>6107</v>
      </c>
      <c r="D1338" t="s">
        <v>6775</v>
      </c>
      <c r="E1338" t="s">
        <v>25599</v>
      </c>
      <c r="F1338">
        <v>51</v>
      </c>
      <c r="G1338">
        <v>2018695</v>
      </c>
      <c r="H1338" t="s">
        <v>25600</v>
      </c>
      <c r="J1338" s="54" t="s">
        <v>6052</v>
      </c>
      <c r="K1338" s="54">
        <v>0</v>
      </c>
      <c r="L1338" s="22" t="s">
        <v>104</v>
      </c>
      <c r="M1338" s="22" t="s">
        <v>37010</v>
      </c>
    </row>
    <row r="1339" spans="1:13" x14ac:dyDescent="0.75">
      <c r="A1339" t="s">
        <v>25595</v>
      </c>
      <c r="B1339" t="s">
        <v>6774</v>
      </c>
      <c r="C1339" t="s">
        <v>6107</v>
      </c>
      <c r="D1339" t="s">
        <v>6775</v>
      </c>
      <c r="E1339" t="s">
        <v>25596</v>
      </c>
      <c r="F1339">
        <v>84</v>
      </c>
      <c r="G1339">
        <v>2432335</v>
      </c>
      <c r="H1339" t="s">
        <v>25597</v>
      </c>
      <c r="J1339" s="54" t="s">
        <v>6052</v>
      </c>
      <c r="K1339" s="54">
        <v>0</v>
      </c>
      <c r="L1339" s="22" t="s">
        <v>104</v>
      </c>
      <c r="M1339" s="22" t="s">
        <v>37010</v>
      </c>
    </row>
    <row r="1340" spans="1:13" x14ac:dyDescent="0.75">
      <c r="A1340" t="s">
        <v>25613</v>
      </c>
      <c r="B1340" t="s">
        <v>6774</v>
      </c>
      <c r="C1340" t="s">
        <v>6107</v>
      </c>
      <c r="D1340" t="s">
        <v>6775</v>
      </c>
      <c r="E1340" t="s">
        <v>25614</v>
      </c>
      <c r="F1340">
        <v>113</v>
      </c>
      <c r="G1340">
        <v>2114472</v>
      </c>
      <c r="H1340" t="s">
        <v>25615</v>
      </c>
      <c r="J1340" s="54" t="s">
        <v>6052</v>
      </c>
      <c r="K1340" s="54">
        <v>0</v>
      </c>
      <c r="L1340" s="22" t="s">
        <v>104</v>
      </c>
      <c r="M1340" s="22" t="s">
        <v>37010</v>
      </c>
    </row>
    <row r="1341" spans="1:13" x14ac:dyDescent="0.75">
      <c r="A1341" t="s">
        <v>17465</v>
      </c>
      <c r="B1341" t="s">
        <v>6774</v>
      </c>
      <c r="C1341" t="s">
        <v>6107</v>
      </c>
      <c r="D1341" t="s">
        <v>6775</v>
      </c>
      <c r="E1341" t="s">
        <v>17466</v>
      </c>
      <c r="F1341">
        <v>26</v>
      </c>
      <c r="G1341">
        <v>2124940</v>
      </c>
      <c r="H1341" t="s">
        <v>17467</v>
      </c>
      <c r="J1341" s="54" t="s">
        <v>6052</v>
      </c>
      <c r="K1341" s="54">
        <v>0</v>
      </c>
      <c r="L1341" s="22" t="s">
        <v>104</v>
      </c>
      <c r="M1341" s="22" t="s">
        <v>37010</v>
      </c>
    </row>
    <row r="1342" spans="1:13" x14ac:dyDescent="0.75">
      <c r="A1342" t="s">
        <v>6773</v>
      </c>
      <c r="B1342" t="s">
        <v>6774</v>
      </c>
      <c r="C1342" t="s">
        <v>6107</v>
      </c>
      <c r="D1342" t="s">
        <v>6775</v>
      </c>
      <c r="E1342" t="s">
        <v>6776</v>
      </c>
      <c r="F1342">
        <v>118</v>
      </c>
      <c r="G1342">
        <v>1960925</v>
      </c>
      <c r="H1342" t="s">
        <v>6777</v>
      </c>
      <c r="J1342" s="54" t="s">
        <v>6052</v>
      </c>
      <c r="K1342" s="54">
        <v>0</v>
      </c>
      <c r="L1342" s="22" t="s">
        <v>104</v>
      </c>
      <c r="M1342" s="22" t="s">
        <v>37010</v>
      </c>
    </row>
    <row r="1343" spans="1:13" x14ac:dyDescent="0.75">
      <c r="A1343" t="s">
        <v>10397</v>
      </c>
      <c r="B1343" t="s">
        <v>6774</v>
      </c>
      <c r="C1343" t="s">
        <v>6107</v>
      </c>
      <c r="D1343" t="s">
        <v>6775</v>
      </c>
      <c r="E1343" t="s">
        <v>10398</v>
      </c>
      <c r="F1343">
        <v>254</v>
      </c>
      <c r="G1343">
        <v>2520035</v>
      </c>
      <c r="H1343" t="s">
        <v>10399</v>
      </c>
      <c r="J1343" s="54" t="s">
        <v>6052</v>
      </c>
      <c r="K1343" s="54">
        <v>0</v>
      </c>
      <c r="L1343" s="22" t="s">
        <v>104</v>
      </c>
      <c r="M1343" s="22" t="s">
        <v>37010</v>
      </c>
    </row>
    <row r="1344" spans="1:13" x14ac:dyDescent="0.75">
      <c r="A1344" t="s">
        <v>20709</v>
      </c>
      <c r="B1344" t="s">
        <v>6774</v>
      </c>
      <c r="C1344" t="s">
        <v>6107</v>
      </c>
      <c r="D1344" t="s">
        <v>6775</v>
      </c>
      <c r="E1344" t="s">
        <v>20710</v>
      </c>
      <c r="F1344">
        <v>198</v>
      </c>
      <c r="G1344">
        <v>2775091</v>
      </c>
      <c r="H1344" t="s">
        <v>20711</v>
      </c>
      <c r="J1344" s="54" t="s">
        <v>6052</v>
      </c>
      <c r="K1344" s="54">
        <v>0</v>
      </c>
      <c r="L1344" s="22" t="s">
        <v>104</v>
      </c>
      <c r="M1344" s="22" t="s">
        <v>37010</v>
      </c>
    </row>
    <row r="1345" spans="1:13" x14ac:dyDescent="0.75">
      <c r="A1345" t="s">
        <v>20716</v>
      </c>
      <c r="B1345" t="s">
        <v>6774</v>
      </c>
      <c r="C1345" t="s">
        <v>6107</v>
      </c>
      <c r="D1345" t="s">
        <v>6775</v>
      </c>
      <c r="E1345" t="s">
        <v>20717</v>
      </c>
      <c r="F1345">
        <v>35</v>
      </c>
      <c r="G1345">
        <v>2082099</v>
      </c>
      <c r="H1345" t="s">
        <v>20718</v>
      </c>
      <c r="J1345" s="54" t="s">
        <v>6052</v>
      </c>
      <c r="K1345" s="54">
        <v>0</v>
      </c>
      <c r="L1345" s="22" t="s">
        <v>104</v>
      </c>
      <c r="M1345" s="22" t="s">
        <v>37010</v>
      </c>
    </row>
    <row r="1346" spans="1:13" x14ac:dyDescent="0.75">
      <c r="A1346" t="s">
        <v>20719</v>
      </c>
      <c r="B1346" t="s">
        <v>6774</v>
      </c>
      <c r="C1346" t="s">
        <v>6107</v>
      </c>
      <c r="D1346" t="s">
        <v>6775</v>
      </c>
      <c r="E1346" t="s">
        <v>20720</v>
      </c>
      <c r="F1346">
        <v>195</v>
      </c>
      <c r="G1346">
        <v>2775010</v>
      </c>
      <c r="H1346" t="s">
        <v>20721</v>
      </c>
      <c r="J1346" s="54" t="s">
        <v>6052</v>
      </c>
      <c r="K1346" s="54">
        <v>0</v>
      </c>
      <c r="L1346" s="22" t="s">
        <v>104</v>
      </c>
      <c r="M1346" s="22" t="s">
        <v>37010</v>
      </c>
    </row>
    <row r="1347" spans="1:13" x14ac:dyDescent="0.75">
      <c r="A1347" t="s">
        <v>20706</v>
      </c>
      <c r="B1347" t="s">
        <v>6774</v>
      </c>
      <c r="C1347" t="s">
        <v>6107</v>
      </c>
      <c r="D1347" t="s">
        <v>6775</v>
      </c>
      <c r="E1347" t="s">
        <v>20707</v>
      </c>
      <c r="F1347">
        <v>181</v>
      </c>
      <c r="G1347">
        <v>2645633</v>
      </c>
      <c r="H1347" t="s">
        <v>20708</v>
      </c>
      <c r="J1347" s="54" t="s">
        <v>6052</v>
      </c>
      <c r="K1347" s="54">
        <v>0</v>
      </c>
      <c r="L1347" s="22" t="s">
        <v>104</v>
      </c>
      <c r="M1347" s="22" t="s">
        <v>37010</v>
      </c>
    </row>
    <row r="1348" spans="1:13" x14ac:dyDescent="0.75">
      <c r="A1348" t="s">
        <v>10400</v>
      </c>
      <c r="B1348" t="s">
        <v>6774</v>
      </c>
      <c r="C1348" t="s">
        <v>6107</v>
      </c>
      <c r="D1348" t="s">
        <v>6775</v>
      </c>
      <c r="E1348" t="s">
        <v>10401</v>
      </c>
      <c r="F1348">
        <v>226</v>
      </c>
      <c r="G1348">
        <v>2520807</v>
      </c>
      <c r="H1348" t="s">
        <v>10402</v>
      </c>
      <c r="J1348" s="54" t="s">
        <v>6052</v>
      </c>
      <c r="K1348" s="54">
        <v>0</v>
      </c>
      <c r="L1348" s="22" t="s">
        <v>104</v>
      </c>
      <c r="M1348" s="22" t="s">
        <v>37010</v>
      </c>
    </row>
    <row r="1349" spans="1:13" x14ac:dyDescent="0.75">
      <c r="A1349" t="s">
        <v>30131</v>
      </c>
      <c r="B1349" t="s">
        <v>6774</v>
      </c>
      <c r="C1349" t="s">
        <v>6107</v>
      </c>
      <c r="D1349" t="s">
        <v>6775</v>
      </c>
      <c r="E1349" t="s">
        <v>30132</v>
      </c>
      <c r="F1349">
        <v>235</v>
      </c>
      <c r="G1349">
        <v>1799296</v>
      </c>
      <c r="H1349" t="s">
        <v>30133</v>
      </c>
      <c r="J1349" s="54" t="s">
        <v>6052</v>
      </c>
      <c r="K1349" s="54">
        <v>0</v>
      </c>
      <c r="L1349" s="22" t="s">
        <v>104</v>
      </c>
      <c r="M1349" s="22" t="s">
        <v>37010</v>
      </c>
    </row>
    <row r="1350" spans="1:13" x14ac:dyDescent="0.75">
      <c r="A1350" t="s">
        <v>29858</v>
      </c>
      <c r="B1350" t="s">
        <v>6774</v>
      </c>
      <c r="C1350" t="s">
        <v>6107</v>
      </c>
      <c r="D1350" t="s">
        <v>6775</v>
      </c>
      <c r="E1350" t="s">
        <v>29859</v>
      </c>
      <c r="F1350">
        <v>41</v>
      </c>
      <c r="G1350">
        <v>1998281</v>
      </c>
      <c r="H1350" t="s">
        <v>29860</v>
      </c>
      <c r="J1350" s="54" t="s">
        <v>6052</v>
      </c>
      <c r="K1350" s="54">
        <v>0</v>
      </c>
      <c r="L1350" s="22" t="s">
        <v>104</v>
      </c>
      <c r="M1350" s="22" t="s">
        <v>37010</v>
      </c>
    </row>
    <row r="1351" spans="1:13" x14ac:dyDescent="0.75">
      <c r="A1351" t="s">
        <v>28734</v>
      </c>
      <c r="B1351" t="s">
        <v>6774</v>
      </c>
      <c r="C1351" t="s">
        <v>6107</v>
      </c>
      <c r="D1351" t="s">
        <v>6775</v>
      </c>
      <c r="E1351" t="s">
        <v>28735</v>
      </c>
      <c r="F1351">
        <v>41</v>
      </c>
      <c r="G1351">
        <v>2236072</v>
      </c>
      <c r="H1351" t="s">
        <v>28736</v>
      </c>
      <c r="J1351" s="54" t="s">
        <v>6052</v>
      </c>
      <c r="K1351" s="54">
        <v>0</v>
      </c>
      <c r="L1351" s="22" t="s">
        <v>104</v>
      </c>
      <c r="M1351" s="22" t="s">
        <v>37010</v>
      </c>
    </row>
    <row r="1352" spans="1:13" x14ac:dyDescent="0.75">
      <c r="A1352" t="s">
        <v>12134</v>
      </c>
      <c r="B1352" t="s">
        <v>6774</v>
      </c>
      <c r="C1352" t="s">
        <v>6107</v>
      </c>
      <c r="D1352" t="s">
        <v>6775</v>
      </c>
      <c r="E1352" t="s">
        <v>12135</v>
      </c>
      <c r="F1352">
        <v>49</v>
      </c>
      <c r="G1352">
        <v>2239285</v>
      </c>
      <c r="H1352" t="s">
        <v>12136</v>
      </c>
      <c r="J1352" s="54" t="s">
        <v>6052</v>
      </c>
      <c r="K1352" s="54">
        <v>0</v>
      </c>
      <c r="L1352" s="22" t="s">
        <v>104</v>
      </c>
      <c r="M1352" s="22" t="s">
        <v>37010</v>
      </c>
    </row>
    <row r="1353" spans="1:13" x14ac:dyDescent="0.75">
      <c r="A1353" t="s">
        <v>12140</v>
      </c>
      <c r="B1353" t="s">
        <v>6774</v>
      </c>
      <c r="C1353" t="s">
        <v>6107</v>
      </c>
      <c r="D1353" t="s">
        <v>6775</v>
      </c>
      <c r="E1353" t="s">
        <v>12141</v>
      </c>
      <c r="F1353">
        <v>46</v>
      </c>
      <c r="G1353">
        <v>2418865</v>
      </c>
      <c r="H1353" t="s">
        <v>12142</v>
      </c>
      <c r="J1353" s="54" t="s">
        <v>6052</v>
      </c>
      <c r="K1353" s="54">
        <v>0</v>
      </c>
      <c r="L1353" s="22" t="s">
        <v>104</v>
      </c>
      <c r="M1353" s="22" t="s">
        <v>37010</v>
      </c>
    </row>
    <row r="1354" spans="1:13" x14ac:dyDescent="0.75">
      <c r="A1354" t="s">
        <v>16017</v>
      </c>
      <c r="B1354" t="s">
        <v>6774</v>
      </c>
      <c r="C1354" t="s">
        <v>6107</v>
      </c>
      <c r="D1354" t="s">
        <v>6775</v>
      </c>
      <c r="E1354" t="s">
        <v>16018</v>
      </c>
      <c r="F1354">
        <v>1</v>
      </c>
      <c r="G1354">
        <v>2288480</v>
      </c>
      <c r="H1354" t="s">
        <v>16019</v>
      </c>
      <c r="J1354" s="54" t="s">
        <v>6052</v>
      </c>
      <c r="K1354" s="54">
        <v>0</v>
      </c>
      <c r="L1354" s="22" t="s">
        <v>104</v>
      </c>
      <c r="M1354" s="22" t="s">
        <v>37010</v>
      </c>
    </row>
    <row r="1355" spans="1:13" x14ac:dyDescent="0.75">
      <c r="A1355" t="s">
        <v>5145</v>
      </c>
      <c r="B1355" t="s">
        <v>1564</v>
      </c>
      <c r="C1355" t="s">
        <v>11980</v>
      </c>
      <c r="D1355" t="s">
        <v>11981</v>
      </c>
      <c r="E1355" t="s">
        <v>27227</v>
      </c>
      <c r="F1355">
        <v>14</v>
      </c>
      <c r="G1355">
        <v>4317712</v>
      </c>
      <c r="H1355" t="s">
        <v>27228</v>
      </c>
      <c r="J1355" s="54" t="s">
        <v>6052</v>
      </c>
      <c r="K1355" s="54">
        <v>0</v>
      </c>
      <c r="L1355" s="22" t="s">
        <v>1563</v>
      </c>
      <c r="M1355" s="22" t="s">
        <v>1565</v>
      </c>
    </row>
    <row r="1356" spans="1:13" x14ac:dyDescent="0.75">
      <c r="A1356" t="s">
        <v>2708</v>
      </c>
      <c r="B1356" t="s">
        <v>1564</v>
      </c>
      <c r="C1356" t="s">
        <v>11980</v>
      </c>
      <c r="D1356" t="s">
        <v>11981</v>
      </c>
      <c r="E1356" t="s">
        <v>18444</v>
      </c>
      <c r="F1356">
        <v>1</v>
      </c>
      <c r="G1356">
        <v>4220771</v>
      </c>
      <c r="H1356" t="s">
        <v>18445</v>
      </c>
      <c r="J1356" s="54" t="s">
        <v>6052</v>
      </c>
      <c r="K1356" s="54">
        <v>0</v>
      </c>
      <c r="L1356" s="22" t="s">
        <v>1563</v>
      </c>
      <c r="M1356" s="22" t="s">
        <v>1565</v>
      </c>
    </row>
    <row r="1357" spans="1:13" x14ac:dyDescent="0.75">
      <c r="A1357" t="s">
        <v>2283</v>
      </c>
      <c r="B1357" t="s">
        <v>1564</v>
      </c>
      <c r="C1357" t="s">
        <v>11980</v>
      </c>
      <c r="D1357" t="s">
        <v>11981</v>
      </c>
      <c r="E1357" t="s">
        <v>16648</v>
      </c>
      <c r="F1357">
        <v>19</v>
      </c>
      <c r="G1357">
        <v>4377803</v>
      </c>
      <c r="H1357" t="s">
        <v>16649</v>
      </c>
      <c r="J1357" s="54" t="s">
        <v>6052</v>
      </c>
      <c r="K1357" s="54">
        <v>0</v>
      </c>
      <c r="L1357" s="22" t="s">
        <v>1563</v>
      </c>
      <c r="M1357" s="22" t="s">
        <v>1565</v>
      </c>
    </row>
    <row r="1358" spans="1:13" x14ac:dyDescent="0.75">
      <c r="A1358" t="s">
        <v>2231</v>
      </c>
      <c r="B1358" t="s">
        <v>1564</v>
      </c>
      <c r="C1358" t="s">
        <v>11980</v>
      </c>
      <c r="D1358" t="s">
        <v>11981</v>
      </c>
      <c r="E1358" t="s">
        <v>16512</v>
      </c>
      <c r="F1358">
        <v>22</v>
      </c>
      <c r="G1358">
        <v>4379053</v>
      </c>
      <c r="H1358" t="s">
        <v>16513</v>
      </c>
      <c r="J1358" s="54" t="s">
        <v>6052</v>
      </c>
      <c r="K1358" s="54">
        <v>0</v>
      </c>
      <c r="L1358" s="22" t="s">
        <v>1563</v>
      </c>
      <c r="M1358" s="22" t="s">
        <v>1565</v>
      </c>
    </row>
    <row r="1359" spans="1:13" x14ac:dyDescent="0.75">
      <c r="A1359" t="s">
        <v>3070</v>
      </c>
      <c r="B1359" t="s">
        <v>1564</v>
      </c>
      <c r="C1359" t="s">
        <v>11980</v>
      </c>
      <c r="D1359" t="s">
        <v>11981</v>
      </c>
      <c r="E1359" t="s">
        <v>19712</v>
      </c>
      <c r="F1359">
        <v>1</v>
      </c>
      <c r="G1359">
        <v>4378193</v>
      </c>
      <c r="H1359" t="s">
        <v>19713</v>
      </c>
      <c r="J1359" s="54" t="s">
        <v>6052</v>
      </c>
      <c r="K1359" s="54">
        <v>0</v>
      </c>
      <c r="L1359" s="22" t="s">
        <v>1563</v>
      </c>
      <c r="M1359" s="22" t="s">
        <v>1565</v>
      </c>
    </row>
    <row r="1360" spans="1:13" x14ac:dyDescent="0.75">
      <c r="A1360" t="s">
        <v>1562</v>
      </c>
      <c r="B1360" t="s">
        <v>1564</v>
      </c>
      <c r="C1360" t="s">
        <v>11980</v>
      </c>
      <c r="D1360" t="s">
        <v>11981</v>
      </c>
      <c r="E1360" t="s">
        <v>11982</v>
      </c>
      <c r="F1360">
        <v>116</v>
      </c>
      <c r="G1360">
        <v>4370484</v>
      </c>
      <c r="H1360" t="s">
        <v>11983</v>
      </c>
      <c r="J1360" s="54" t="s">
        <v>6052</v>
      </c>
      <c r="K1360" s="54">
        <v>0</v>
      </c>
      <c r="L1360" s="22" t="s">
        <v>1563</v>
      </c>
      <c r="M1360" s="22" t="s">
        <v>1565</v>
      </c>
    </row>
    <row r="1361" spans="1:13" x14ac:dyDescent="0.75">
      <c r="A1361" t="s">
        <v>3464</v>
      </c>
      <c r="B1361" t="s">
        <v>1564</v>
      </c>
      <c r="C1361" t="s">
        <v>11980</v>
      </c>
      <c r="D1361" t="s">
        <v>11981</v>
      </c>
      <c r="E1361" t="s">
        <v>20672</v>
      </c>
      <c r="F1361">
        <v>2</v>
      </c>
      <c r="G1361">
        <v>4411608</v>
      </c>
      <c r="H1361" t="s">
        <v>20673</v>
      </c>
      <c r="J1361" s="54" t="s">
        <v>6052</v>
      </c>
      <c r="K1361" s="54">
        <v>0</v>
      </c>
      <c r="L1361" s="22" t="s">
        <v>1563</v>
      </c>
      <c r="M1361" s="22" t="s">
        <v>1565</v>
      </c>
    </row>
    <row r="1362" spans="1:13" x14ac:dyDescent="0.75">
      <c r="A1362" t="s">
        <v>12143</v>
      </c>
      <c r="B1362" t="s">
        <v>6774</v>
      </c>
      <c r="C1362" t="s">
        <v>6107</v>
      </c>
      <c r="D1362" t="s">
        <v>6775</v>
      </c>
      <c r="E1362" t="s">
        <v>12144</v>
      </c>
      <c r="F1362">
        <v>71</v>
      </c>
      <c r="G1362">
        <v>2285683</v>
      </c>
      <c r="H1362" t="s">
        <v>12145</v>
      </c>
      <c r="J1362" s="54" t="s">
        <v>6052</v>
      </c>
      <c r="K1362" s="54">
        <v>0</v>
      </c>
      <c r="L1362" s="22" t="s">
        <v>104</v>
      </c>
      <c r="M1362" s="22" t="s">
        <v>37010</v>
      </c>
    </row>
    <row r="1363" spans="1:13" x14ac:dyDescent="0.75">
      <c r="A1363" t="s">
        <v>12137</v>
      </c>
      <c r="B1363" t="s">
        <v>6774</v>
      </c>
      <c r="C1363" t="s">
        <v>6107</v>
      </c>
      <c r="D1363" t="s">
        <v>6775</v>
      </c>
      <c r="E1363" t="s">
        <v>12138</v>
      </c>
      <c r="F1363">
        <v>70</v>
      </c>
      <c r="G1363">
        <v>2339372</v>
      </c>
      <c r="H1363" t="s">
        <v>12139</v>
      </c>
      <c r="J1363" s="54" t="s">
        <v>6052</v>
      </c>
      <c r="K1363" s="54">
        <v>0</v>
      </c>
      <c r="L1363" s="22" t="s">
        <v>104</v>
      </c>
      <c r="M1363" s="22" t="s">
        <v>37010</v>
      </c>
    </row>
    <row r="1364" spans="1:13" x14ac:dyDescent="0.75">
      <c r="A1364" t="s">
        <v>6544</v>
      </c>
      <c r="B1364" t="s">
        <v>6101</v>
      </c>
      <c r="C1364" t="s">
        <v>6102</v>
      </c>
      <c r="D1364" t="s">
        <v>6094</v>
      </c>
      <c r="E1364" t="s">
        <v>6545</v>
      </c>
      <c r="F1364">
        <v>1</v>
      </c>
      <c r="G1364">
        <v>1229853</v>
      </c>
      <c r="H1364" t="s">
        <v>6546</v>
      </c>
      <c r="J1364" s="54" t="s">
        <v>6052</v>
      </c>
      <c r="K1364" s="54">
        <v>0</v>
      </c>
      <c r="L1364" s="22" t="s">
        <v>36804</v>
      </c>
      <c r="M1364" s="22" t="s">
        <v>36934</v>
      </c>
    </row>
    <row r="1365" spans="1:13" x14ac:dyDescent="0.75">
      <c r="A1365" t="s">
        <v>10874</v>
      </c>
      <c r="B1365" t="s">
        <v>6101</v>
      </c>
      <c r="C1365" t="s">
        <v>6102</v>
      </c>
      <c r="D1365" t="s">
        <v>6094</v>
      </c>
      <c r="E1365" t="s">
        <v>10875</v>
      </c>
      <c r="F1365">
        <v>1</v>
      </c>
      <c r="G1365">
        <v>1228579</v>
      </c>
      <c r="H1365" t="s">
        <v>10876</v>
      </c>
      <c r="J1365" s="54" t="s">
        <v>6052</v>
      </c>
      <c r="K1365" s="54">
        <v>0</v>
      </c>
      <c r="L1365" s="22" t="s">
        <v>36804</v>
      </c>
      <c r="M1365" s="22" t="s">
        <v>36934</v>
      </c>
    </row>
    <row r="1366" spans="1:13" x14ac:dyDescent="0.75">
      <c r="A1366" t="s">
        <v>6151</v>
      </c>
      <c r="B1366" t="s">
        <v>6101</v>
      </c>
      <c r="C1366" t="s">
        <v>6102</v>
      </c>
      <c r="D1366" t="s">
        <v>6094</v>
      </c>
      <c r="E1366" t="s">
        <v>6152</v>
      </c>
      <c r="F1366">
        <v>1</v>
      </c>
      <c r="G1366">
        <v>1230230</v>
      </c>
      <c r="H1366" t="s">
        <v>6153</v>
      </c>
      <c r="J1366" s="54" t="s">
        <v>6052</v>
      </c>
      <c r="K1366" s="54">
        <v>0</v>
      </c>
      <c r="L1366" s="22" t="s">
        <v>36804</v>
      </c>
      <c r="M1366" s="22" t="s">
        <v>36934</v>
      </c>
    </row>
    <row r="1367" spans="1:13" x14ac:dyDescent="0.75">
      <c r="A1367" t="s">
        <v>6231</v>
      </c>
      <c r="B1367" t="s">
        <v>6101</v>
      </c>
      <c r="C1367" t="s">
        <v>6102</v>
      </c>
      <c r="D1367" t="s">
        <v>6094</v>
      </c>
      <c r="E1367" t="s">
        <v>6232</v>
      </c>
      <c r="F1367">
        <v>1</v>
      </c>
      <c r="G1367">
        <v>1226565</v>
      </c>
      <c r="H1367" t="s">
        <v>6233</v>
      </c>
      <c r="J1367" s="54" t="s">
        <v>6052</v>
      </c>
      <c r="K1367" s="54">
        <v>0</v>
      </c>
      <c r="L1367" s="22" t="s">
        <v>36804</v>
      </c>
      <c r="M1367" s="22" t="s">
        <v>36934</v>
      </c>
    </row>
    <row r="1368" spans="1:13" x14ac:dyDescent="0.75">
      <c r="A1368" t="s">
        <v>10871</v>
      </c>
      <c r="B1368" t="s">
        <v>6101</v>
      </c>
      <c r="C1368" t="s">
        <v>6102</v>
      </c>
      <c r="D1368" t="s">
        <v>6094</v>
      </c>
      <c r="E1368" t="s">
        <v>10872</v>
      </c>
      <c r="F1368">
        <v>1</v>
      </c>
      <c r="G1368">
        <v>1228523</v>
      </c>
      <c r="H1368" t="s">
        <v>10873</v>
      </c>
      <c r="J1368" s="54" t="s">
        <v>6052</v>
      </c>
      <c r="K1368" s="54">
        <v>0</v>
      </c>
      <c r="L1368" s="22" t="s">
        <v>36804</v>
      </c>
      <c r="M1368" s="22" t="s">
        <v>36934</v>
      </c>
    </row>
    <row r="1369" spans="1:13" x14ac:dyDescent="0.75">
      <c r="A1369" t="s">
        <v>6439</v>
      </c>
      <c r="B1369" t="s">
        <v>6101</v>
      </c>
      <c r="C1369" t="s">
        <v>6102</v>
      </c>
      <c r="D1369" t="s">
        <v>6094</v>
      </c>
      <c r="E1369" t="s">
        <v>6440</v>
      </c>
      <c r="F1369">
        <v>2</v>
      </c>
      <c r="G1369">
        <v>1248550</v>
      </c>
      <c r="H1369" t="s">
        <v>6441</v>
      </c>
      <c r="J1369" s="54" t="s">
        <v>6052</v>
      </c>
      <c r="K1369" s="54">
        <v>0</v>
      </c>
      <c r="L1369" s="22" t="s">
        <v>36804</v>
      </c>
      <c r="M1369" s="22" t="s">
        <v>36934</v>
      </c>
    </row>
    <row r="1370" spans="1:13" x14ac:dyDescent="0.75">
      <c r="A1370" t="s">
        <v>10880</v>
      </c>
      <c r="B1370" t="s">
        <v>6101</v>
      </c>
      <c r="C1370" t="s">
        <v>6102</v>
      </c>
      <c r="D1370" t="s">
        <v>6094</v>
      </c>
      <c r="E1370" t="s">
        <v>10881</v>
      </c>
      <c r="F1370">
        <v>1</v>
      </c>
      <c r="G1370">
        <v>1228126</v>
      </c>
      <c r="H1370" t="s">
        <v>10882</v>
      </c>
      <c r="J1370" s="54" t="s">
        <v>6052</v>
      </c>
      <c r="K1370" s="54">
        <v>0</v>
      </c>
      <c r="L1370" s="22" t="s">
        <v>36804</v>
      </c>
      <c r="M1370" s="22" t="s">
        <v>36934</v>
      </c>
    </row>
    <row r="1371" spans="1:13" x14ac:dyDescent="0.75">
      <c r="A1371" t="s">
        <v>6100</v>
      </c>
      <c r="B1371" t="s">
        <v>6101</v>
      </c>
      <c r="C1371" t="s">
        <v>6102</v>
      </c>
      <c r="D1371" t="s">
        <v>6094</v>
      </c>
      <c r="E1371" t="s">
        <v>6103</v>
      </c>
      <c r="F1371">
        <v>1</v>
      </c>
      <c r="G1371">
        <v>1225935</v>
      </c>
      <c r="H1371" t="s">
        <v>6104</v>
      </c>
      <c r="J1371" s="54" t="s">
        <v>6052</v>
      </c>
      <c r="K1371" s="54">
        <v>0</v>
      </c>
      <c r="L1371" s="22" t="s">
        <v>36804</v>
      </c>
      <c r="M1371" s="22" t="s">
        <v>36934</v>
      </c>
    </row>
    <row r="1372" spans="1:13" x14ac:dyDescent="0.75">
      <c r="A1372" t="s">
        <v>10868</v>
      </c>
      <c r="B1372" t="s">
        <v>6101</v>
      </c>
      <c r="C1372" t="s">
        <v>6102</v>
      </c>
      <c r="D1372" t="s">
        <v>6094</v>
      </c>
      <c r="E1372" t="s">
        <v>10869</v>
      </c>
      <c r="F1372">
        <v>1</v>
      </c>
      <c r="G1372">
        <v>1228125</v>
      </c>
      <c r="H1372" t="s">
        <v>10870</v>
      </c>
      <c r="J1372" s="54" t="s">
        <v>6052</v>
      </c>
      <c r="K1372" s="54">
        <v>0</v>
      </c>
      <c r="L1372" s="22" t="s">
        <v>36804</v>
      </c>
      <c r="M1372" s="22" t="s">
        <v>36934</v>
      </c>
    </row>
    <row r="1373" spans="1:13" x14ac:dyDescent="0.75">
      <c r="A1373" t="s">
        <v>10877</v>
      </c>
      <c r="B1373" t="s">
        <v>6101</v>
      </c>
      <c r="C1373" t="s">
        <v>6102</v>
      </c>
      <c r="D1373" t="s">
        <v>6094</v>
      </c>
      <c r="E1373" t="s">
        <v>10878</v>
      </c>
      <c r="F1373">
        <v>1</v>
      </c>
      <c r="G1373">
        <v>1228576</v>
      </c>
      <c r="H1373" t="s">
        <v>10879</v>
      </c>
      <c r="J1373" s="54" t="s">
        <v>6052</v>
      </c>
      <c r="K1373" s="54">
        <v>0</v>
      </c>
      <c r="L1373" s="22" t="s">
        <v>36804</v>
      </c>
      <c r="M1373" s="22" t="s">
        <v>36934</v>
      </c>
    </row>
    <row r="1374" spans="1:13" x14ac:dyDescent="0.75">
      <c r="A1374" t="s">
        <v>6367</v>
      </c>
      <c r="B1374" t="s">
        <v>6368</v>
      </c>
      <c r="C1374" t="s">
        <v>6369</v>
      </c>
      <c r="D1374" t="s">
        <v>6370</v>
      </c>
      <c r="E1374" t="s">
        <v>6371</v>
      </c>
      <c r="F1374">
        <v>1</v>
      </c>
      <c r="G1374">
        <v>2763181</v>
      </c>
      <c r="H1374" t="s">
        <v>6372</v>
      </c>
      <c r="J1374" s="54" t="s">
        <v>6052</v>
      </c>
      <c r="K1374" s="54">
        <v>0</v>
      </c>
      <c r="L1374" s="22" t="s">
        <v>686</v>
      </c>
      <c r="M1374" s="22" t="s">
        <v>36935</v>
      </c>
    </row>
    <row r="1375" spans="1:13" x14ac:dyDescent="0.75">
      <c r="A1375" t="s">
        <v>27150</v>
      </c>
      <c r="B1375" t="s">
        <v>12570</v>
      </c>
      <c r="C1375" t="s">
        <v>12571</v>
      </c>
      <c r="D1375" t="s">
        <v>12572</v>
      </c>
      <c r="E1375" t="s">
        <v>27151</v>
      </c>
      <c r="F1375">
        <v>45</v>
      </c>
      <c r="G1375">
        <v>2736266</v>
      </c>
      <c r="H1375" t="s">
        <v>27152</v>
      </c>
      <c r="J1375" s="54" t="s">
        <v>6052</v>
      </c>
      <c r="K1375" s="54">
        <v>0</v>
      </c>
      <c r="L1375" s="22" t="s">
        <v>1563</v>
      </c>
      <c r="M1375" s="22" t="s">
        <v>36936</v>
      </c>
    </row>
    <row r="1376" spans="1:13" x14ac:dyDescent="0.75">
      <c r="A1376" t="s">
        <v>12569</v>
      </c>
      <c r="B1376" t="s">
        <v>12570</v>
      </c>
      <c r="C1376" t="s">
        <v>12571</v>
      </c>
      <c r="D1376" t="s">
        <v>12572</v>
      </c>
      <c r="E1376" t="s">
        <v>12573</v>
      </c>
      <c r="F1376">
        <v>82</v>
      </c>
      <c r="G1376">
        <v>2727353</v>
      </c>
      <c r="H1376" t="s">
        <v>12574</v>
      </c>
      <c r="J1376" s="54" t="s">
        <v>6052</v>
      </c>
      <c r="K1376" s="54">
        <v>0</v>
      </c>
      <c r="L1376" s="22" t="s">
        <v>1563</v>
      </c>
      <c r="M1376" s="22" t="s">
        <v>36936</v>
      </c>
    </row>
    <row r="1377" spans="1:13" x14ac:dyDescent="0.75">
      <c r="A1377" t="s">
        <v>16083</v>
      </c>
      <c r="B1377" t="s">
        <v>12570</v>
      </c>
      <c r="C1377" t="s">
        <v>12571</v>
      </c>
      <c r="D1377" t="s">
        <v>12572</v>
      </c>
      <c r="E1377" t="s">
        <v>12573</v>
      </c>
      <c r="F1377">
        <v>1</v>
      </c>
      <c r="G1377">
        <v>2759562</v>
      </c>
      <c r="H1377" t="s">
        <v>16084</v>
      </c>
      <c r="J1377" s="54" t="s">
        <v>6052</v>
      </c>
      <c r="K1377" s="54">
        <v>0</v>
      </c>
      <c r="L1377" s="22" t="s">
        <v>1563</v>
      </c>
      <c r="M1377" s="22" t="s">
        <v>36936</v>
      </c>
    </row>
    <row r="1378" spans="1:13" x14ac:dyDescent="0.75">
      <c r="A1378" t="s">
        <v>9734</v>
      </c>
      <c r="B1378" t="s">
        <v>9735</v>
      </c>
      <c r="C1378" t="s">
        <v>9736</v>
      </c>
      <c r="D1378" t="s">
        <v>9737</v>
      </c>
      <c r="E1378" t="s">
        <v>9738</v>
      </c>
      <c r="F1378">
        <v>87</v>
      </c>
      <c r="G1378">
        <v>4767532</v>
      </c>
      <c r="H1378" t="s">
        <v>9739</v>
      </c>
      <c r="J1378" s="54" t="s">
        <v>6052</v>
      </c>
      <c r="K1378" s="54">
        <v>0</v>
      </c>
      <c r="L1378" s="22" t="s">
        <v>1563</v>
      </c>
      <c r="M1378" s="22" t="s">
        <v>36937</v>
      </c>
    </row>
    <row r="1379" spans="1:13" x14ac:dyDescent="0.75">
      <c r="A1379" t="s">
        <v>28705</v>
      </c>
      <c r="B1379" t="s">
        <v>8403</v>
      </c>
      <c r="C1379" t="s">
        <v>8404</v>
      </c>
      <c r="D1379" t="s">
        <v>8405</v>
      </c>
      <c r="E1379">
        <v>4</v>
      </c>
      <c r="F1379">
        <v>82</v>
      </c>
      <c r="G1379">
        <v>5425203</v>
      </c>
      <c r="H1379" t="s">
        <v>28706</v>
      </c>
      <c r="J1379" s="54" t="s">
        <v>6052</v>
      </c>
      <c r="K1379" s="54">
        <v>0</v>
      </c>
      <c r="L1379" s="22" t="s">
        <v>144</v>
      </c>
      <c r="M1379" s="22" t="s">
        <v>36938</v>
      </c>
    </row>
    <row r="1380" spans="1:13" x14ac:dyDescent="0.75">
      <c r="A1380" t="s">
        <v>8402</v>
      </c>
      <c r="B1380" t="s">
        <v>8403</v>
      </c>
      <c r="C1380" t="s">
        <v>8404</v>
      </c>
      <c r="D1380" t="s">
        <v>8405</v>
      </c>
      <c r="E1380" t="s">
        <v>8406</v>
      </c>
      <c r="F1380">
        <v>63</v>
      </c>
      <c r="G1380">
        <v>5410155</v>
      </c>
      <c r="H1380" t="s">
        <v>8407</v>
      </c>
      <c r="J1380" s="54" t="s">
        <v>6052</v>
      </c>
      <c r="K1380" s="54">
        <v>0</v>
      </c>
      <c r="L1380" s="22" t="s">
        <v>144</v>
      </c>
      <c r="M1380" s="22" t="s">
        <v>36938</v>
      </c>
    </row>
    <row r="1381" spans="1:13" x14ac:dyDescent="0.75">
      <c r="A1381" t="s">
        <v>23758</v>
      </c>
      <c r="B1381" t="s">
        <v>8403</v>
      </c>
      <c r="C1381" t="s">
        <v>8404</v>
      </c>
      <c r="D1381" t="s">
        <v>8405</v>
      </c>
      <c r="E1381" t="s">
        <v>23759</v>
      </c>
      <c r="F1381">
        <v>7</v>
      </c>
      <c r="G1381">
        <v>6159340</v>
      </c>
      <c r="H1381" t="s">
        <v>23760</v>
      </c>
      <c r="J1381" s="54" t="s">
        <v>6052</v>
      </c>
      <c r="K1381" s="54">
        <v>0</v>
      </c>
      <c r="L1381" s="22" t="s">
        <v>144</v>
      </c>
      <c r="M1381" s="22" t="s">
        <v>36938</v>
      </c>
    </row>
    <row r="1382" spans="1:13" x14ac:dyDescent="0.75">
      <c r="A1382" t="s">
        <v>10526</v>
      </c>
      <c r="B1382" t="s">
        <v>8403</v>
      </c>
      <c r="C1382" t="s">
        <v>8404</v>
      </c>
      <c r="D1382" t="s">
        <v>8405</v>
      </c>
      <c r="E1382" t="s">
        <v>10527</v>
      </c>
      <c r="F1382">
        <v>65</v>
      </c>
      <c r="G1382">
        <v>5406468</v>
      </c>
      <c r="H1382" t="s">
        <v>10528</v>
      </c>
      <c r="J1382" s="54" t="s">
        <v>6052</v>
      </c>
      <c r="K1382" s="54">
        <v>0</v>
      </c>
      <c r="L1382" s="22" t="s">
        <v>144</v>
      </c>
      <c r="M1382" s="22" t="s">
        <v>36938</v>
      </c>
    </row>
    <row r="1383" spans="1:13" x14ac:dyDescent="0.75">
      <c r="A1383" t="s">
        <v>27654</v>
      </c>
      <c r="B1383" t="s">
        <v>8403</v>
      </c>
      <c r="C1383" t="s">
        <v>8404</v>
      </c>
      <c r="D1383" t="s">
        <v>8405</v>
      </c>
      <c r="E1383" t="s">
        <v>27655</v>
      </c>
      <c r="F1383">
        <v>7</v>
      </c>
      <c r="G1383">
        <v>5523746</v>
      </c>
      <c r="H1383" t="s">
        <v>27656</v>
      </c>
      <c r="J1383" s="54" t="s">
        <v>6052</v>
      </c>
      <c r="K1383" s="54">
        <v>0</v>
      </c>
      <c r="L1383" s="22" t="s">
        <v>144</v>
      </c>
      <c r="M1383" s="22" t="s">
        <v>36938</v>
      </c>
    </row>
    <row r="1384" spans="1:13" x14ac:dyDescent="0.75">
      <c r="A1384" t="s">
        <v>18827</v>
      </c>
      <c r="B1384" t="s">
        <v>8403</v>
      </c>
      <c r="C1384" t="s">
        <v>8404</v>
      </c>
      <c r="D1384" t="s">
        <v>8405</v>
      </c>
      <c r="E1384" t="s">
        <v>18828</v>
      </c>
      <c r="F1384">
        <v>2</v>
      </c>
      <c r="G1384">
        <v>5975089</v>
      </c>
      <c r="H1384" t="s">
        <v>18829</v>
      </c>
      <c r="J1384" s="54" t="s">
        <v>6052</v>
      </c>
      <c r="K1384" s="54">
        <v>0</v>
      </c>
      <c r="L1384" s="22" t="s">
        <v>144</v>
      </c>
      <c r="M1384" s="22" t="s">
        <v>36938</v>
      </c>
    </row>
    <row r="1385" spans="1:13" x14ac:dyDescent="0.75">
      <c r="A1385" t="s">
        <v>18824</v>
      </c>
      <c r="B1385" t="s">
        <v>8403</v>
      </c>
      <c r="C1385" t="s">
        <v>8404</v>
      </c>
      <c r="D1385" t="s">
        <v>8405</v>
      </c>
      <c r="E1385" t="s">
        <v>18825</v>
      </c>
      <c r="F1385">
        <v>2</v>
      </c>
      <c r="G1385">
        <v>5947116</v>
      </c>
      <c r="H1385" t="s">
        <v>18826</v>
      </c>
      <c r="J1385" s="54" t="s">
        <v>6052</v>
      </c>
      <c r="K1385" s="54">
        <v>0</v>
      </c>
      <c r="L1385" s="22" t="s">
        <v>144</v>
      </c>
      <c r="M1385" s="22" t="s">
        <v>36938</v>
      </c>
    </row>
    <row r="1386" spans="1:13" x14ac:dyDescent="0.75">
      <c r="A1386" t="s">
        <v>10520</v>
      </c>
      <c r="B1386" t="s">
        <v>8403</v>
      </c>
      <c r="C1386" t="s">
        <v>8404</v>
      </c>
      <c r="D1386" t="s">
        <v>8405</v>
      </c>
      <c r="E1386" t="s">
        <v>10521</v>
      </c>
      <c r="F1386">
        <v>1</v>
      </c>
      <c r="G1386">
        <v>6062703</v>
      </c>
      <c r="H1386" t="s">
        <v>10522</v>
      </c>
      <c r="J1386" s="54" t="s">
        <v>6052</v>
      </c>
      <c r="K1386" s="54">
        <v>0</v>
      </c>
      <c r="L1386" s="22" t="s">
        <v>144</v>
      </c>
      <c r="M1386" s="22" t="s">
        <v>36938</v>
      </c>
    </row>
    <row r="1387" spans="1:13" x14ac:dyDescent="0.75">
      <c r="A1387" t="s">
        <v>25021</v>
      </c>
      <c r="B1387" t="s">
        <v>8403</v>
      </c>
      <c r="C1387" t="s">
        <v>8404</v>
      </c>
      <c r="D1387" t="s">
        <v>8405</v>
      </c>
      <c r="E1387" t="s">
        <v>25022</v>
      </c>
      <c r="F1387">
        <v>1</v>
      </c>
      <c r="G1387">
        <v>5894614</v>
      </c>
      <c r="H1387" t="s">
        <v>25023</v>
      </c>
      <c r="J1387" s="54" t="s">
        <v>6052</v>
      </c>
      <c r="K1387" s="54">
        <v>0</v>
      </c>
      <c r="L1387" s="22" t="s">
        <v>144</v>
      </c>
      <c r="M1387" s="22" t="s">
        <v>36938</v>
      </c>
    </row>
    <row r="1388" spans="1:13" x14ac:dyDescent="0.75">
      <c r="A1388" t="s">
        <v>17768</v>
      </c>
      <c r="B1388" t="s">
        <v>12689</v>
      </c>
      <c r="C1388" t="s">
        <v>6081</v>
      </c>
      <c r="D1388" t="s">
        <v>12690</v>
      </c>
      <c r="E1388">
        <v>13</v>
      </c>
      <c r="F1388">
        <v>61</v>
      </c>
      <c r="G1388">
        <v>2637059</v>
      </c>
      <c r="H1388" t="s">
        <v>17769</v>
      </c>
      <c r="J1388" s="54" t="s">
        <v>6052</v>
      </c>
      <c r="K1388" s="54">
        <v>0</v>
      </c>
      <c r="L1388" s="22" t="s">
        <v>1563</v>
      </c>
      <c r="M1388" s="22" t="s">
        <v>36939</v>
      </c>
    </row>
    <row r="1389" spans="1:13" x14ac:dyDescent="0.75">
      <c r="A1389" t="s">
        <v>17766</v>
      </c>
      <c r="B1389" t="s">
        <v>12689</v>
      </c>
      <c r="C1389" t="s">
        <v>6081</v>
      </c>
      <c r="D1389" t="s">
        <v>12690</v>
      </c>
      <c r="E1389">
        <v>85</v>
      </c>
      <c r="F1389">
        <v>55</v>
      </c>
      <c r="G1389">
        <v>2669544</v>
      </c>
      <c r="H1389" t="s">
        <v>17767</v>
      </c>
      <c r="J1389" s="54" t="s">
        <v>6052</v>
      </c>
      <c r="K1389" s="54">
        <v>0</v>
      </c>
      <c r="L1389" s="22" t="s">
        <v>1563</v>
      </c>
      <c r="M1389" s="22" t="s">
        <v>36939</v>
      </c>
    </row>
    <row r="1390" spans="1:13" x14ac:dyDescent="0.75">
      <c r="A1390" t="s">
        <v>14251</v>
      </c>
      <c r="B1390" t="s">
        <v>6803</v>
      </c>
      <c r="C1390" t="s">
        <v>6081</v>
      </c>
      <c r="D1390" t="s">
        <v>6804</v>
      </c>
      <c r="E1390">
        <v>215</v>
      </c>
      <c r="F1390">
        <v>1</v>
      </c>
      <c r="G1390">
        <v>2993983</v>
      </c>
      <c r="H1390" t="s">
        <v>14252</v>
      </c>
      <c r="J1390" s="54" t="s">
        <v>6052</v>
      </c>
      <c r="K1390" s="54">
        <v>0</v>
      </c>
      <c r="L1390" s="22" t="s">
        <v>1563</v>
      </c>
      <c r="M1390" s="22" t="s">
        <v>36940</v>
      </c>
    </row>
    <row r="1391" spans="1:13" x14ac:dyDescent="0.75">
      <c r="A1391" t="s">
        <v>14253</v>
      </c>
      <c r="B1391" t="s">
        <v>6803</v>
      </c>
      <c r="C1391" t="s">
        <v>6081</v>
      </c>
      <c r="D1391" t="s">
        <v>6804</v>
      </c>
      <c r="E1391">
        <v>216</v>
      </c>
      <c r="F1391">
        <v>1</v>
      </c>
      <c r="G1391">
        <v>3031488</v>
      </c>
      <c r="H1391" t="s">
        <v>14254</v>
      </c>
      <c r="J1391" s="54" t="s">
        <v>6052</v>
      </c>
      <c r="K1391" s="54">
        <v>0</v>
      </c>
      <c r="L1391" s="22" t="s">
        <v>1563</v>
      </c>
      <c r="M1391" s="22" t="s">
        <v>36940</v>
      </c>
    </row>
    <row r="1392" spans="1:13" x14ac:dyDescent="0.75">
      <c r="A1392" t="s">
        <v>17770</v>
      </c>
      <c r="B1392" t="s">
        <v>11068</v>
      </c>
      <c r="C1392" t="s">
        <v>6081</v>
      </c>
      <c r="D1392" t="s">
        <v>11069</v>
      </c>
      <c r="E1392">
        <v>332</v>
      </c>
      <c r="F1392">
        <v>48</v>
      </c>
      <c r="G1392">
        <v>2744408</v>
      </c>
      <c r="H1392" t="s">
        <v>17771</v>
      </c>
      <c r="J1392" s="54" t="s">
        <v>6052</v>
      </c>
      <c r="K1392" s="54">
        <v>0</v>
      </c>
      <c r="L1392" s="22" t="s">
        <v>1563</v>
      </c>
      <c r="M1392" s="22" t="s">
        <v>36941</v>
      </c>
    </row>
    <row r="1393" spans="1:13" x14ac:dyDescent="0.75">
      <c r="A1393" t="s">
        <v>19000</v>
      </c>
      <c r="B1393" t="s">
        <v>6803</v>
      </c>
      <c r="C1393" t="s">
        <v>6081</v>
      </c>
      <c r="D1393" t="s">
        <v>6804</v>
      </c>
      <c r="E1393">
        <v>1954</v>
      </c>
      <c r="F1393">
        <v>14</v>
      </c>
      <c r="G1393">
        <v>2840792</v>
      </c>
      <c r="H1393" t="s">
        <v>19001</v>
      </c>
      <c r="J1393" s="54" t="s">
        <v>6052</v>
      </c>
      <c r="K1393" s="54">
        <v>0</v>
      </c>
      <c r="L1393" s="22" t="s">
        <v>1563</v>
      </c>
      <c r="M1393" s="22" t="s">
        <v>36940</v>
      </c>
    </row>
    <row r="1394" spans="1:13" x14ac:dyDescent="0.75">
      <c r="A1394" t="s">
        <v>14376</v>
      </c>
      <c r="B1394" t="s">
        <v>6803</v>
      </c>
      <c r="C1394" t="s">
        <v>6081</v>
      </c>
      <c r="D1394" t="s">
        <v>6804</v>
      </c>
      <c r="E1394">
        <v>2023</v>
      </c>
      <c r="F1394">
        <v>55</v>
      </c>
      <c r="G1394">
        <v>2820414</v>
      </c>
      <c r="H1394" t="s">
        <v>14377</v>
      </c>
      <c r="J1394" s="54" t="s">
        <v>6052</v>
      </c>
      <c r="K1394" s="54">
        <v>0</v>
      </c>
      <c r="L1394" s="22" t="s">
        <v>1563</v>
      </c>
      <c r="M1394" s="22" t="s">
        <v>36940</v>
      </c>
    </row>
    <row r="1395" spans="1:13" x14ac:dyDescent="0.75">
      <c r="A1395" t="s">
        <v>19002</v>
      </c>
      <c r="B1395" t="s">
        <v>6803</v>
      </c>
      <c r="C1395" t="s">
        <v>6081</v>
      </c>
      <c r="D1395" t="s">
        <v>6804</v>
      </c>
      <c r="E1395">
        <v>2038</v>
      </c>
      <c r="F1395">
        <v>20</v>
      </c>
      <c r="G1395">
        <v>2841405</v>
      </c>
      <c r="H1395" t="s">
        <v>19003</v>
      </c>
      <c r="J1395" s="54" t="s">
        <v>6052</v>
      </c>
      <c r="K1395" s="54">
        <v>0</v>
      </c>
      <c r="L1395" s="22" t="s">
        <v>1563</v>
      </c>
      <c r="M1395" s="22" t="s">
        <v>36940</v>
      </c>
    </row>
    <row r="1396" spans="1:13" x14ac:dyDescent="0.75">
      <c r="A1396" t="s">
        <v>15090</v>
      </c>
      <c r="B1396" t="s">
        <v>6803</v>
      </c>
      <c r="C1396" t="s">
        <v>6081</v>
      </c>
      <c r="D1396" t="s">
        <v>6804</v>
      </c>
      <c r="E1396">
        <v>2130</v>
      </c>
      <c r="F1396">
        <v>76</v>
      </c>
      <c r="G1396">
        <v>3052429</v>
      </c>
      <c r="H1396" t="s">
        <v>15091</v>
      </c>
      <c r="J1396" s="54" t="s">
        <v>6052</v>
      </c>
      <c r="K1396" s="54">
        <v>0</v>
      </c>
      <c r="L1396" s="22" t="s">
        <v>1563</v>
      </c>
      <c r="M1396" s="22" t="s">
        <v>36940</v>
      </c>
    </row>
    <row r="1397" spans="1:13" x14ac:dyDescent="0.75">
      <c r="A1397" t="s">
        <v>17073</v>
      </c>
      <c r="B1397" t="s">
        <v>12689</v>
      </c>
      <c r="C1397" t="s">
        <v>6081</v>
      </c>
      <c r="D1397" t="s">
        <v>12690</v>
      </c>
      <c r="E1397">
        <v>2218</v>
      </c>
      <c r="F1397">
        <v>52</v>
      </c>
      <c r="G1397">
        <v>2737922</v>
      </c>
      <c r="H1397" t="s">
        <v>17074</v>
      </c>
      <c r="J1397" s="54" t="s">
        <v>6052</v>
      </c>
      <c r="K1397" s="54">
        <v>0</v>
      </c>
      <c r="L1397" s="22" t="s">
        <v>1563</v>
      </c>
      <c r="M1397" s="22" t="s">
        <v>36939</v>
      </c>
    </row>
    <row r="1398" spans="1:13" x14ac:dyDescent="0.75">
      <c r="A1398" t="s">
        <v>17077</v>
      </c>
      <c r="B1398" t="s">
        <v>12689</v>
      </c>
      <c r="C1398" t="s">
        <v>6081</v>
      </c>
      <c r="D1398" t="s">
        <v>12690</v>
      </c>
      <c r="E1398">
        <v>2226</v>
      </c>
      <c r="F1398">
        <v>58</v>
      </c>
      <c r="G1398">
        <v>2742396</v>
      </c>
      <c r="H1398" t="s">
        <v>17078</v>
      </c>
      <c r="J1398" s="54" t="s">
        <v>6052</v>
      </c>
      <c r="K1398" s="54">
        <v>0</v>
      </c>
      <c r="L1398" s="22" t="s">
        <v>1563</v>
      </c>
      <c r="M1398" s="22" t="s">
        <v>36939</v>
      </c>
    </row>
    <row r="1399" spans="1:13" x14ac:dyDescent="0.75">
      <c r="A1399" t="s">
        <v>14227</v>
      </c>
      <c r="B1399" t="s">
        <v>6803</v>
      </c>
      <c r="C1399" t="s">
        <v>6081</v>
      </c>
      <c r="D1399" t="s">
        <v>6804</v>
      </c>
      <c r="E1399">
        <v>2230</v>
      </c>
      <c r="F1399">
        <v>37</v>
      </c>
      <c r="G1399">
        <v>2898882</v>
      </c>
      <c r="H1399" t="s">
        <v>14228</v>
      </c>
      <c r="J1399" s="54" t="s">
        <v>6052</v>
      </c>
      <c r="K1399" s="54">
        <v>0</v>
      </c>
      <c r="L1399" s="22" t="s">
        <v>1563</v>
      </c>
      <c r="M1399" s="22" t="s">
        <v>36940</v>
      </c>
    </row>
    <row r="1400" spans="1:13" x14ac:dyDescent="0.75">
      <c r="A1400" t="s">
        <v>14229</v>
      </c>
      <c r="B1400" t="s">
        <v>6803</v>
      </c>
      <c r="C1400" t="s">
        <v>6081</v>
      </c>
      <c r="D1400" t="s">
        <v>6804</v>
      </c>
      <c r="E1400">
        <v>2247</v>
      </c>
      <c r="F1400">
        <v>24</v>
      </c>
      <c r="G1400">
        <v>2875402</v>
      </c>
      <c r="H1400" t="s">
        <v>14230</v>
      </c>
      <c r="J1400" s="54" t="s">
        <v>6052</v>
      </c>
      <c r="K1400" s="54">
        <v>0</v>
      </c>
      <c r="L1400" s="22" t="s">
        <v>1563</v>
      </c>
      <c r="M1400" s="22" t="s">
        <v>36940</v>
      </c>
    </row>
    <row r="1401" spans="1:13" x14ac:dyDescent="0.75">
      <c r="A1401" t="s">
        <v>17075</v>
      </c>
      <c r="B1401" t="s">
        <v>12689</v>
      </c>
      <c r="C1401" t="s">
        <v>6081</v>
      </c>
      <c r="D1401" t="s">
        <v>12690</v>
      </c>
      <c r="E1401">
        <v>2271</v>
      </c>
      <c r="F1401">
        <v>41</v>
      </c>
      <c r="G1401">
        <v>2657049</v>
      </c>
      <c r="H1401" t="s">
        <v>17076</v>
      </c>
      <c r="J1401" s="54" t="s">
        <v>6052</v>
      </c>
      <c r="K1401" s="54">
        <v>0</v>
      </c>
      <c r="L1401" s="22" t="s">
        <v>1563</v>
      </c>
      <c r="M1401" s="22" t="s">
        <v>36939</v>
      </c>
    </row>
    <row r="1402" spans="1:13" x14ac:dyDescent="0.75">
      <c r="A1402" t="s">
        <v>17071</v>
      </c>
      <c r="B1402" t="s">
        <v>11068</v>
      </c>
      <c r="C1402" t="s">
        <v>6081</v>
      </c>
      <c r="D1402" t="s">
        <v>11069</v>
      </c>
      <c r="E1402">
        <v>2274</v>
      </c>
      <c r="F1402">
        <v>85</v>
      </c>
      <c r="G1402">
        <v>2865662</v>
      </c>
      <c r="H1402" t="s">
        <v>17072</v>
      </c>
      <c r="J1402" s="54" t="s">
        <v>6052</v>
      </c>
      <c r="K1402" s="54">
        <v>0</v>
      </c>
      <c r="L1402" s="22" t="s">
        <v>1563</v>
      </c>
      <c r="M1402" s="22" t="s">
        <v>36941</v>
      </c>
    </row>
    <row r="1403" spans="1:13" x14ac:dyDescent="0.75">
      <c r="A1403" t="s">
        <v>15092</v>
      </c>
      <c r="B1403" t="s">
        <v>6803</v>
      </c>
      <c r="C1403" t="s">
        <v>6081</v>
      </c>
      <c r="D1403" t="s">
        <v>6804</v>
      </c>
      <c r="E1403">
        <v>2296</v>
      </c>
      <c r="F1403">
        <v>71</v>
      </c>
      <c r="G1403">
        <v>2861961</v>
      </c>
      <c r="H1403" t="s">
        <v>15093</v>
      </c>
      <c r="J1403" s="54" t="s">
        <v>6052</v>
      </c>
      <c r="K1403" s="54">
        <v>0</v>
      </c>
      <c r="L1403" s="22" t="s">
        <v>1563</v>
      </c>
      <c r="M1403" s="22" t="s">
        <v>36940</v>
      </c>
    </row>
    <row r="1404" spans="1:13" x14ac:dyDescent="0.75">
      <c r="A1404" t="s">
        <v>17079</v>
      </c>
      <c r="B1404" t="s">
        <v>12689</v>
      </c>
      <c r="C1404" t="s">
        <v>6081</v>
      </c>
      <c r="D1404" t="s">
        <v>12690</v>
      </c>
      <c r="E1404">
        <v>2299</v>
      </c>
      <c r="F1404">
        <v>94</v>
      </c>
      <c r="G1404">
        <v>2720157</v>
      </c>
      <c r="H1404" t="s">
        <v>17080</v>
      </c>
      <c r="J1404" s="54" t="s">
        <v>6052</v>
      </c>
      <c r="K1404" s="54">
        <v>0</v>
      </c>
      <c r="L1404" s="22" t="s">
        <v>1563</v>
      </c>
      <c r="M1404" s="22" t="s">
        <v>36939</v>
      </c>
    </row>
    <row r="1405" spans="1:13" x14ac:dyDescent="0.75">
      <c r="A1405" t="s">
        <v>15094</v>
      </c>
      <c r="B1405" t="s">
        <v>6803</v>
      </c>
      <c r="C1405" t="s">
        <v>6081</v>
      </c>
      <c r="D1405" t="s">
        <v>6804</v>
      </c>
      <c r="E1405">
        <v>2425</v>
      </c>
      <c r="F1405">
        <v>50</v>
      </c>
      <c r="G1405">
        <v>2847990</v>
      </c>
      <c r="H1405" t="s">
        <v>15095</v>
      </c>
      <c r="J1405" s="54" t="s">
        <v>6052</v>
      </c>
      <c r="K1405" s="54">
        <v>0</v>
      </c>
      <c r="L1405" s="22" t="s">
        <v>1563</v>
      </c>
      <c r="M1405" s="22" t="s">
        <v>36940</v>
      </c>
    </row>
    <row r="1406" spans="1:13" x14ac:dyDescent="0.75">
      <c r="A1406" t="s">
        <v>16109</v>
      </c>
      <c r="B1406" t="s">
        <v>16103</v>
      </c>
      <c r="C1406" t="s">
        <v>6081</v>
      </c>
      <c r="D1406" t="s">
        <v>16104</v>
      </c>
      <c r="E1406">
        <v>4826</v>
      </c>
      <c r="F1406">
        <v>12</v>
      </c>
      <c r="G1406">
        <v>2666089</v>
      </c>
      <c r="H1406" t="s">
        <v>16110</v>
      </c>
      <c r="J1406" s="54" t="s">
        <v>6052</v>
      </c>
      <c r="K1406" s="54">
        <v>0</v>
      </c>
      <c r="L1406" s="22" t="s">
        <v>36807</v>
      </c>
      <c r="M1406" s="22" t="s">
        <v>36942</v>
      </c>
    </row>
    <row r="1407" spans="1:13" x14ac:dyDescent="0.75">
      <c r="A1407" t="s">
        <v>16114</v>
      </c>
      <c r="B1407" t="s">
        <v>16103</v>
      </c>
      <c r="C1407" t="s">
        <v>6081</v>
      </c>
      <c r="D1407" t="s">
        <v>16104</v>
      </c>
      <c r="E1407">
        <v>4828</v>
      </c>
      <c r="F1407">
        <v>16</v>
      </c>
      <c r="G1407">
        <v>2633176</v>
      </c>
      <c r="H1407" t="s">
        <v>16115</v>
      </c>
      <c r="J1407" s="54" t="s">
        <v>6052</v>
      </c>
      <c r="K1407" s="54">
        <v>0</v>
      </c>
      <c r="L1407" s="22" t="s">
        <v>36807</v>
      </c>
      <c r="M1407" s="22" t="s">
        <v>36942</v>
      </c>
    </row>
    <row r="1408" spans="1:13" x14ac:dyDescent="0.75">
      <c r="A1408" t="s">
        <v>25124</v>
      </c>
      <c r="B1408" t="s">
        <v>16103</v>
      </c>
      <c r="C1408" t="s">
        <v>6081</v>
      </c>
      <c r="D1408" t="s">
        <v>16104</v>
      </c>
      <c r="E1408">
        <v>24956</v>
      </c>
      <c r="F1408">
        <v>10</v>
      </c>
      <c r="G1408">
        <v>2586948</v>
      </c>
      <c r="H1408" t="s">
        <v>25125</v>
      </c>
      <c r="J1408" s="54" t="s">
        <v>6052</v>
      </c>
      <c r="K1408" s="54">
        <v>0</v>
      </c>
      <c r="L1408" s="22" t="s">
        <v>36807</v>
      </c>
      <c r="M1408" s="22" t="s">
        <v>36942</v>
      </c>
    </row>
    <row r="1409" spans="1:13" x14ac:dyDescent="0.75">
      <c r="A1409" t="s">
        <v>9759</v>
      </c>
      <c r="B1409" t="s">
        <v>9760</v>
      </c>
      <c r="C1409" t="s">
        <v>6081</v>
      </c>
      <c r="D1409" t="s">
        <v>9761</v>
      </c>
      <c r="E1409">
        <v>90104</v>
      </c>
      <c r="F1409">
        <v>48</v>
      </c>
      <c r="G1409">
        <v>2328061</v>
      </c>
      <c r="H1409" t="s">
        <v>9762</v>
      </c>
      <c r="J1409" s="54" t="s">
        <v>6052</v>
      </c>
      <c r="K1409" s="54">
        <v>0</v>
      </c>
      <c r="L1409" s="22" t="s">
        <v>36807</v>
      </c>
      <c r="M1409" s="22" t="s">
        <v>36943</v>
      </c>
    </row>
    <row r="1410" spans="1:13" x14ac:dyDescent="0.75">
      <c r="A1410" t="s">
        <v>20147</v>
      </c>
      <c r="B1410" t="s">
        <v>15977</v>
      </c>
      <c r="C1410" t="s">
        <v>6081</v>
      </c>
      <c r="D1410" t="s">
        <v>15978</v>
      </c>
      <c r="E1410">
        <v>150801</v>
      </c>
      <c r="F1410">
        <v>42</v>
      </c>
      <c r="G1410">
        <v>2436459</v>
      </c>
      <c r="H1410" t="s">
        <v>20148</v>
      </c>
      <c r="J1410" s="54" t="s">
        <v>6052</v>
      </c>
      <c r="K1410" s="54">
        <v>0</v>
      </c>
      <c r="L1410" s="22" t="s">
        <v>36807</v>
      </c>
      <c r="M1410" s="22" t="s">
        <v>36944</v>
      </c>
    </row>
    <row r="1411" spans="1:13" x14ac:dyDescent="0.75">
      <c r="A1411" t="s">
        <v>20145</v>
      </c>
      <c r="B1411" t="s">
        <v>15977</v>
      </c>
      <c r="C1411" t="s">
        <v>6081</v>
      </c>
      <c r="D1411" t="s">
        <v>15978</v>
      </c>
      <c r="E1411">
        <v>160811</v>
      </c>
      <c r="F1411">
        <v>1</v>
      </c>
      <c r="G1411">
        <v>2431961</v>
      </c>
      <c r="H1411" t="s">
        <v>20146</v>
      </c>
      <c r="J1411" s="54" t="s">
        <v>6052</v>
      </c>
      <c r="K1411" s="54">
        <v>0</v>
      </c>
      <c r="L1411" s="22" t="s">
        <v>36807</v>
      </c>
      <c r="M1411" s="22" t="s">
        <v>36944</v>
      </c>
    </row>
    <row r="1412" spans="1:13" x14ac:dyDescent="0.75">
      <c r="A1412" t="s">
        <v>20143</v>
      </c>
      <c r="B1412" t="s">
        <v>15977</v>
      </c>
      <c r="C1412" t="s">
        <v>6081</v>
      </c>
      <c r="D1412" t="s">
        <v>15978</v>
      </c>
      <c r="E1412">
        <v>180126</v>
      </c>
      <c r="F1412">
        <v>2</v>
      </c>
      <c r="G1412">
        <v>2405258</v>
      </c>
      <c r="H1412" t="s">
        <v>20144</v>
      </c>
      <c r="J1412" s="54" t="s">
        <v>6052</v>
      </c>
      <c r="K1412" s="54">
        <v>0</v>
      </c>
      <c r="L1412" s="22" t="s">
        <v>36807</v>
      </c>
      <c r="M1412" s="22" t="s">
        <v>36944</v>
      </c>
    </row>
    <row r="1413" spans="1:13" x14ac:dyDescent="0.75">
      <c r="A1413" t="s">
        <v>20139</v>
      </c>
      <c r="B1413" t="s">
        <v>15977</v>
      </c>
      <c r="C1413" t="s">
        <v>6081</v>
      </c>
      <c r="D1413" t="s">
        <v>15978</v>
      </c>
      <c r="E1413">
        <v>180208</v>
      </c>
      <c r="F1413">
        <v>1</v>
      </c>
      <c r="G1413">
        <v>2481998</v>
      </c>
      <c r="H1413" t="s">
        <v>20140</v>
      </c>
      <c r="J1413" s="54" t="s">
        <v>6052</v>
      </c>
      <c r="K1413" s="54">
        <v>0</v>
      </c>
      <c r="L1413" s="22" t="s">
        <v>36807</v>
      </c>
      <c r="M1413" s="22" t="s">
        <v>36944</v>
      </c>
    </row>
    <row r="1414" spans="1:13" x14ac:dyDescent="0.75">
      <c r="A1414" t="s">
        <v>20141</v>
      </c>
      <c r="B1414" t="s">
        <v>15977</v>
      </c>
      <c r="C1414" t="s">
        <v>6081</v>
      </c>
      <c r="D1414" t="s">
        <v>15978</v>
      </c>
      <c r="E1414">
        <v>180216</v>
      </c>
      <c r="F1414">
        <v>47</v>
      </c>
      <c r="G1414">
        <v>2390797</v>
      </c>
      <c r="H1414" t="s">
        <v>20142</v>
      </c>
      <c r="J1414" s="54" t="s">
        <v>6052</v>
      </c>
      <c r="K1414" s="54">
        <v>0</v>
      </c>
      <c r="L1414" s="22" t="s">
        <v>36807</v>
      </c>
      <c r="M1414" s="22" t="s">
        <v>36944</v>
      </c>
    </row>
    <row r="1415" spans="1:13" x14ac:dyDescent="0.75">
      <c r="A1415" t="s">
        <v>16107</v>
      </c>
      <c r="B1415" t="s">
        <v>16103</v>
      </c>
      <c r="C1415" t="s">
        <v>6081</v>
      </c>
      <c r="D1415" t="s">
        <v>16104</v>
      </c>
      <c r="E1415" s="6">
        <v>1258962</v>
      </c>
      <c r="F1415">
        <v>43</v>
      </c>
      <c r="G1415">
        <v>2673236</v>
      </c>
      <c r="H1415" t="s">
        <v>16108</v>
      </c>
      <c r="J1415" s="54" t="s">
        <v>6052</v>
      </c>
      <c r="K1415" s="54">
        <v>0</v>
      </c>
      <c r="L1415" s="22" t="s">
        <v>36807</v>
      </c>
      <c r="M1415" s="22" t="s">
        <v>36942</v>
      </c>
    </row>
    <row r="1416" spans="1:13" x14ac:dyDescent="0.75">
      <c r="A1416" t="s">
        <v>10997</v>
      </c>
      <c r="B1416" t="s">
        <v>9970</v>
      </c>
      <c r="C1416" t="s">
        <v>6081</v>
      </c>
      <c r="D1416" t="s">
        <v>9971</v>
      </c>
      <c r="E1416" t="s">
        <v>10998</v>
      </c>
      <c r="F1416">
        <v>49</v>
      </c>
      <c r="G1416">
        <v>2355597</v>
      </c>
      <c r="H1416" t="s">
        <v>10999</v>
      </c>
      <c r="J1416" s="54" t="s">
        <v>6052</v>
      </c>
      <c r="K1416" s="54">
        <v>0</v>
      </c>
      <c r="L1416" s="22" t="s">
        <v>36807</v>
      </c>
      <c r="M1416" s="22" t="s">
        <v>36945</v>
      </c>
    </row>
    <row r="1417" spans="1:13" x14ac:dyDescent="0.75">
      <c r="A1417" t="s">
        <v>23932</v>
      </c>
      <c r="B1417" t="s">
        <v>8409</v>
      </c>
      <c r="C1417" t="s">
        <v>6081</v>
      </c>
      <c r="D1417" t="s">
        <v>8410</v>
      </c>
      <c r="E1417" t="s">
        <v>23933</v>
      </c>
      <c r="F1417">
        <v>1</v>
      </c>
      <c r="G1417">
        <v>2437577</v>
      </c>
      <c r="H1417" t="s">
        <v>23934</v>
      </c>
      <c r="J1417" s="54" t="s">
        <v>6052</v>
      </c>
      <c r="K1417" s="54">
        <v>0</v>
      </c>
      <c r="L1417" s="22" t="s">
        <v>36804</v>
      </c>
      <c r="M1417" s="22" t="s">
        <v>36946</v>
      </c>
    </row>
    <row r="1418" spans="1:13" x14ac:dyDescent="0.75">
      <c r="A1418" t="s">
        <v>10970</v>
      </c>
      <c r="B1418" t="s">
        <v>9357</v>
      </c>
      <c r="C1418" t="s">
        <v>6081</v>
      </c>
      <c r="D1418" t="s">
        <v>9358</v>
      </c>
      <c r="E1418" t="s">
        <v>10971</v>
      </c>
      <c r="F1418">
        <v>68</v>
      </c>
      <c r="G1418">
        <v>2466773</v>
      </c>
      <c r="H1418" t="s">
        <v>10972</v>
      </c>
      <c r="J1418" s="54" t="s">
        <v>6052</v>
      </c>
      <c r="K1418" s="54">
        <v>0</v>
      </c>
      <c r="L1418" s="22" t="s">
        <v>36807</v>
      </c>
      <c r="M1418" s="22" t="s">
        <v>36947</v>
      </c>
    </row>
    <row r="1419" spans="1:13" x14ac:dyDescent="0.75">
      <c r="A1419" t="s">
        <v>20136</v>
      </c>
      <c r="B1419" t="s">
        <v>15977</v>
      </c>
      <c r="C1419" t="s">
        <v>6081</v>
      </c>
      <c r="D1419" t="s">
        <v>15978</v>
      </c>
      <c r="E1419" t="s">
        <v>20137</v>
      </c>
      <c r="F1419">
        <v>2</v>
      </c>
      <c r="G1419">
        <v>2497421</v>
      </c>
      <c r="H1419" t="s">
        <v>20138</v>
      </c>
      <c r="J1419" s="54" t="s">
        <v>6052</v>
      </c>
      <c r="K1419" s="54">
        <v>0</v>
      </c>
      <c r="L1419" s="22" t="s">
        <v>36807</v>
      </c>
      <c r="M1419" s="22" t="s">
        <v>36944</v>
      </c>
    </row>
    <row r="1420" spans="1:13" x14ac:dyDescent="0.75">
      <c r="A1420" t="s">
        <v>16111</v>
      </c>
      <c r="B1420" t="s">
        <v>16103</v>
      </c>
      <c r="C1420" t="s">
        <v>6081</v>
      </c>
      <c r="D1420" t="s">
        <v>16104</v>
      </c>
      <c r="E1420" t="s">
        <v>16112</v>
      </c>
      <c r="F1420">
        <v>38</v>
      </c>
      <c r="G1420">
        <v>2670676</v>
      </c>
      <c r="H1420" t="s">
        <v>16113</v>
      </c>
      <c r="J1420" s="54" t="s">
        <v>6052</v>
      </c>
      <c r="K1420" s="54">
        <v>0</v>
      </c>
      <c r="L1420" s="22" t="s">
        <v>36807</v>
      </c>
      <c r="M1420" s="22" t="s">
        <v>36942</v>
      </c>
    </row>
    <row r="1421" spans="1:13" x14ac:dyDescent="0.75">
      <c r="A1421" t="s">
        <v>10976</v>
      </c>
      <c r="B1421" t="s">
        <v>6803</v>
      </c>
      <c r="C1421" t="s">
        <v>6081</v>
      </c>
      <c r="D1421" t="s">
        <v>6804</v>
      </c>
      <c r="E1421" t="s">
        <v>10977</v>
      </c>
      <c r="F1421">
        <v>98</v>
      </c>
      <c r="G1421">
        <v>2914153</v>
      </c>
      <c r="H1421" t="s">
        <v>10978</v>
      </c>
      <c r="J1421" s="54" t="s">
        <v>6052</v>
      </c>
      <c r="K1421" s="54">
        <v>0</v>
      </c>
      <c r="L1421" s="22" t="s">
        <v>1563</v>
      </c>
      <c r="M1421" s="22" t="s">
        <v>36940</v>
      </c>
    </row>
    <row r="1422" spans="1:13" x14ac:dyDescent="0.75">
      <c r="A1422" t="s">
        <v>10979</v>
      </c>
      <c r="B1422" t="s">
        <v>6803</v>
      </c>
      <c r="C1422" t="s">
        <v>6081</v>
      </c>
      <c r="D1422" t="s">
        <v>6804</v>
      </c>
      <c r="E1422" t="s">
        <v>10980</v>
      </c>
      <c r="F1422">
        <v>96</v>
      </c>
      <c r="G1422">
        <v>2905202</v>
      </c>
      <c r="H1422" t="s">
        <v>10981</v>
      </c>
      <c r="J1422" s="54" t="s">
        <v>6052</v>
      </c>
      <c r="K1422" s="54">
        <v>0</v>
      </c>
      <c r="L1422" s="22" t="s">
        <v>1563</v>
      </c>
      <c r="M1422" s="22" t="s">
        <v>36940</v>
      </c>
    </row>
    <row r="1423" spans="1:13" x14ac:dyDescent="0.75">
      <c r="A1423" t="s">
        <v>17122</v>
      </c>
      <c r="B1423" t="s">
        <v>6394</v>
      </c>
      <c r="C1423" t="s">
        <v>6081</v>
      </c>
      <c r="D1423" t="s">
        <v>6395</v>
      </c>
      <c r="E1423" t="s">
        <v>17123</v>
      </c>
      <c r="F1423">
        <v>111</v>
      </c>
      <c r="G1423">
        <v>2632856</v>
      </c>
      <c r="H1423" t="s">
        <v>17124</v>
      </c>
      <c r="J1423" s="54" t="s">
        <v>6052</v>
      </c>
      <c r="K1423" s="54">
        <v>0</v>
      </c>
      <c r="L1423" s="22" t="s">
        <v>1563</v>
      </c>
      <c r="M1423" s="22" t="s">
        <v>36948</v>
      </c>
    </row>
    <row r="1424" spans="1:13" x14ac:dyDescent="0.75">
      <c r="A1424" t="s">
        <v>10985</v>
      </c>
      <c r="B1424" t="s">
        <v>9357</v>
      </c>
      <c r="C1424" t="s">
        <v>6081</v>
      </c>
      <c r="D1424" t="s">
        <v>9358</v>
      </c>
      <c r="E1424" t="s">
        <v>10986</v>
      </c>
      <c r="F1424">
        <v>82</v>
      </c>
      <c r="G1424">
        <v>2521392</v>
      </c>
      <c r="H1424" t="s">
        <v>10987</v>
      </c>
      <c r="J1424" s="54" t="s">
        <v>6052</v>
      </c>
      <c r="K1424" s="54">
        <v>0</v>
      </c>
      <c r="L1424" s="22" t="s">
        <v>36807</v>
      </c>
      <c r="M1424" s="22" t="s">
        <v>36947</v>
      </c>
    </row>
    <row r="1425" spans="1:13" x14ac:dyDescent="0.75">
      <c r="A1425" t="s">
        <v>11000</v>
      </c>
      <c r="B1425" t="s">
        <v>9357</v>
      </c>
      <c r="C1425" t="s">
        <v>6081</v>
      </c>
      <c r="D1425" t="s">
        <v>9358</v>
      </c>
      <c r="E1425" t="s">
        <v>11001</v>
      </c>
      <c r="F1425">
        <v>67</v>
      </c>
      <c r="G1425">
        <v>2553120</v>
      </c>
      <c r="H1425" t="s">
        <v>11002</v>
      </c>
      <c r="J1425" s="54" t="s">
        <v>6052</v>
      </c>
      <c r="K1425" s="54">
        <v>0</v>
      </c>
      <c r="L1425" s="22" t="s">
        <v>36807</v>
      </c>
      <c r="M1425" s="22" t="s">
        <v>36947</v>
      </c>
    </row>
    <row r="1426" spans="1:13" x14ac:dyDescent="0.75">
      <c r="A1426" t="s">
        <v>20133</v>
      </c>
      <c r="B1426" t="s">
        <v>15977</v>
      </c>
      <c r="C1426" t="s">
        <v>6081</v>
      </c>
      <c r="D1426" t="s">
        <v>15978</v>
      </c>
      <c r="E1426" t="s">
        <v>20134</v>
      </c>
      <c r="F1426">
        <v>45</v>
      </c>
      <c r="G1426">
        <v>2434378</v>
      </c>
      <c r="H1426" t="s">
        <v>20135</v>
      </c>
      <c r="J1426" s="54" t="s">
        <v>6052</v>
      </c>
      <c r="K1426" s="54">
        <v>0</v>
      </c>
      <c r="L1426" s="22" t="s">
        <v>36807</v>
      </c>
      <c r="M1426" s="22" t="s">
        <v>36944</v>
      </c>
    </row>
    <row r="1427" spans="1:13" x14ac:dyDescent="0.75">
      <c r="A1427" t="s">
        <v>17119</v>
      </c>
      <c r="B1427" t="s">
        <v>11068</v>
      </c>
      <c r="C1427" t="s">
        <v>6081</v>
      </c>
      <c r="D1427" t="s">
        <v>11069</v>
      </c>
      <c r="E1427" t="s">
        <v>17120</v>
      </c>
      <c r="F1427">
        <v>95</v>
      </c>
      <c r="G1427">
        <v>2875801</v>
      </c>
      <c r="H1427" t="s">
        <v>17121</v>
      </c>
      <c r="J1427" s="54" t="s">
        <v>6052</v>
      </c>
      <c r="K1427" s="54">
        <v>0</v>
      </c>
      <c r="L1427" s="22" t="s">
        <v>1563</v>
      </c>
      <c r="M1427" s="22" t="s">
        <v>36941</v>
      </c>
    </row>
    <row r="1428" spans="1:13" x14ac:dyDescent="0.75">
      <c r="A1428" t="s">
        <v>14258</v>
      </c>
      <c r="B1428" t="s">
        <v>9349</v>
      </c>
      <c r="C1428" t="s">
        <v>6081</v>
      </c>
      <c r="D1428" t="s">
        <v>9350</v>
      </c>
      <c r="E1428" t="s">
        <v>14259</v>
      </c>
      <c r="F1428">
        <v>65</v>
      </c>
      <c r="G1428">
        <v>2264319</v>
      </c>
      <c r="H1428" t="s">
        <v>14260</v>
      </c>
      <c r="J1428" s="54" t="s">
        <v>6052</v>
      </c>
      <c r="K1428" s="54">
        <v>0</v>
      </c>
      <c r="L1428" s="22" t="s">
        <v>36806</v>
      </c>
      <c r="M1428" s="22" t="s">
        <v>36949</v>
      </c>
    </row>
    <row r="1429" spans="1:13" x14ac:dyDescent="0.75">
      <c r="A1429" t="s">
        <v>12005</v>
      </c>
      <c r="B1429" t="s">
        <v>12006</v>
      </c>
      <c r="C1429" t="s">
        <v>6081</v>
      </c>
      <c r="D1429" t="s">
        <v>12007</v>
      </c>
      <c r="E1429" t="s">
        <v>12008</v>
      </c>
      <c r="F1429">
        <v>66</v>
      </c>
      <c r="G1429">
        <v>2653230</v>
      </c>
      <c r="H1429" t="s">
        <v>12009</v>
      </c>
      <c r="J1429" s="54" t="s">
        <v>6052</v>
      </c>
      <c r="K1429" s="54">
        <v>0</v>
      </c>
      <c r="L1429" s="22" t="s">
        <v>1563</v>
      </c>
      <c r="M1429" s="22" t="s">
        <v>36950</v>
      </c>
    </row>
    <row r="1430" spans="1:13" x14ac:dyDescent="0.75">
      <c r="A1430" t="s">
        <v>16014</v>
      </c>
      <c r="B1430" t="s">
        <v>6774</v>
      </c>
      <c r="C1430" t="s">
        <v>6107</v>
      </c>
      <c r="D1430" t="s">
        <v>6775</v>
      </c>
      <c r="E1430" t="s">
        <v>16015</v>
      </c>
      <c r="F1430">
        <v>1</v>
      </c>
      <c r="G1430">
        <v>2135983</v>
      </c>
      <c r="H1430" t="s">
        <v>16016</v>
      </c>
      <c r="J1430" s="54" t="s">
        <v>6052</v>
      </c>
      <c r="K1430" s="54">
        <v>0</v>
      </c>
      <c r="L1430" s="22" t="s">
        <v>104</v>
      </c>
      <c r="M1430" s="22" t="s">
        <v>37010</v>
      </c>
    </row>
    <row r="1431" spans="1:13" x14ac:dyDescent="0.75">
      <c r="A1431" t="s">
        <v>28060</v>
      </c>
      <c r="B1431" t="s">
        <v>6803</v>
      </c>
      <c r="C1431" t="s">
        <v>6081</v>
      </c>
      <c r="D1431" t="s">
        <v>6804</v>
      </c>
      <c r="E1431" t="s">
        <v>28061</v>
      </c>
      <c r="F1431">
        <v>7</v>
      </c>
      <c r="G1431">
        <v>2916518</v>
      </c>
      <c r="H1431" t="s">
        <v>28062</v>
      </c>
      <c r="J1431" s="54" t="s">
        <v>6052</v>
      </c>
      <c r="K1431" s="54">
        <v>0</v>
      </c>
      <c r="L1431" s="22" t="s">
        <v>1563</v>
      </c>
      <c r="M1431" s="22" t="s">
        <v>36940</v>
      </c>
    </row>
    <row r="1432" spans="1:13" x14ac:dyDescent="0.75">
      <c r="A1432" t="s">
        <v>26588</v>
      </c>
      <c r="B1432" t="s">
        <v>6803</v>
      </c>
      <c r="C1432" t="s">
        <v>6081</v>
      </c>
      <c r="D1432" t="s">
        <v>6804</v>
      </c>
      <c r="E1432" t="s">
        <v>26589</v>
      </c>
      <c r="F1432">
        <v>160</v>
      </c>
      <c r="G1432">
        <v>2998855</v>
      </c>
      <c r="H1432" t="s">
        <v>26590</v>
      </c>
      <c r="J1432" s="54" t="s">
        <v>6052</v>
      </c>
      <c r="K1432" s="54">
        <v>0</v>
      </c>
      <c r="L1432" s="22" t="s">
        <v>1563</v>
      </c>
      <c r="M1432" s="22" t="s">
        <v>36940</v>
      </c>
    </row>
    <row r="1433" spans="1:13" x14ac:dyDescent="0.75">
      <c r="A1433" t="s">
        <v>23935</v>
      </c>
      <c r="B1433" t="s">
        <v>8409</v>
      </c>
      <c r="C1433" t="s">
        <v>6081</v>
      </c>
      <c r="D1433" t="s">
        <v>8410</v>
      </c>
      <c r="E1433" t="s">
        <v>23936</v>
      </c>
      <c r="F1433">
        <v>1</v>
      </c>
      <c r="G1433">
        <v>2451330</v>
      </c>
      <c r="H1433" t="s">
        <v>23937</v>
      </c>
      <c r="J1433" s="54" t="s">
        <v>6052</v>
      </c>
      <c r="K1433" s="54">
        <v>0</v>
      </c>
      <c r="L1433" s="22" t="s">
        <v>36804</v>
      </c>
      <c r="M1433" s="22" t="s">
        <v>36946</v>
      </c>
    </row>
    <row r="1434" spans="1:13" x14ac:dyDescent="0.75">
      <c r="A1434" t="s">
        <v>11336</v>
      </c>
      <c r="B1434" t="s">
        <v>6803</v>
      </c>
      <c r="C1434" t="s">
        <v>6081</v>
      </c>
      <c r="D1434" t="s">
        <v>6804</v>
      </c>
      <c r="E1434" t="s">
        <v>11337</v>
      </c>
      <c r="F1434">
        <v>106</v>
      </c>
      <c r="G1434">
        <v>2829078</v>
      </c>
      <c r="H1434" t="s">
        <v>11338</v>
      </c>
      <c r="J1434" s="54" t="s">
        <v>6052</v>
      </c>
      <c r="K1434" s="54">
        <v>0</v>
      </c>
      <c r="L1434" s="22" t="s">
        <v>1563</v>
      </c>
      <c r="M1434" s="22" t="s">
        <v>36940</v>
      </c>
    </row>
    <row r="1435" spans="1:13" x14ac:dyDescent="0.75">
      <c r="A1435" t="s">
        <v>23941</v>
      </c>
      <c r="B1435" t="s">
        <v>8409</v>
      </c>
      <c r="C1435" t="s">
        <v>6081</v>
      </c>
      <c r="D1435" t="s">
        <v>8410</v>
      </c>
      <c r="E1435" t="s">
        <v>23942</v>
      </c>
      <c r="F1435">
        <v>1</v>
      </c>
      <c r="G1435">
        <v>2452932</v>
      </c>
      <c r="H1435" t="s">
        <v>23943</v>
      </c>
      <c r="J1435" s="54" t="s">
        <v>6052</v>
      </c>
      <c r="K1435" s="54">
        <v>0</v>
      </c>
      <c r="L1435" s="22" t="s">
        <v>36804</v>
      </c>
      <c r="M1435" s="22" t="s">
        <v>36946</v>
      </c>
    </row>
    <row r="1436" spans="1:13" x14ac:dyDescent="0.75">
      <c r="A1436" t="s">
        <v>11012</v>
      </c>
      <c r="B1436" t="s">
        <v>6803</v>
      </c>
      <c r="C1436" t="s">
        <v>6081</v>
      </c>
      <c r="D1436" t="s">
        <v>6804</v>
      </c>
      <c r="E1436" t="s">
        <v>11013</v>
      </c>
      <c r="F1436">
        <v>184</v>
      </c>
      <c r="G1436">
        <v>2784991</v>
      </c>
      <c r="H1436" t="s">
        <v>11014</v>
      </c>
      <c r="J1436" s="54" t="s">
        <v>6052</v>
      </c>
      <c r="K1436" s="54">
        <v>0</v>
      </c>
      <c r="L1436" s="22" t="s">
        <v>1563</v>
      </c>
      <c r="M1436" s="22" t="s">
        <v>36940</v>
      </c>
    </row>
    <row r="1437" spans="1:13" x14ac:dyDescent="0.75">
      <c r="A1437" t="s">
        <v>26594</v>
      </c>
      <c r="B1437" t="s">
        <v>6803</v>
      </c>
      <c r="C1437" t="s">
        <v>6081</v>
      </c>
      <c r="D1437" t="s">
        <v>6804</v>
      </c>
      <c r="E1437" t="s">
        <v>26595</v>
      </c>
      <c r="F1437">
        <v>111</v>
      </c>
      <c r="G1437">
        <v>2921682</v>
      </c>
      <c r="H1437" t="s">
        <v>26596</v>
      </c>
      <c r="J1437" s="54" t="s">
        <v>6052</v>
      </c>
      <c r="K1437" s="54">
        <v>0</v>
      </c>
      <c r="L1437" s="22" t="s">
        <v>1563</v>
      </c>
      <c r="M1437" s="22" t="s">
        <v>36940</v>
      </c>
    </row>
    <row r="1438" spans="1:13" x14ac:dyDescent="0.75">
      <c r="A1438" t="s">
        <v>26582</v>
      </c>
      <c r="B1438" t="s">
        <v>6803</v>
      </c>
      <c r="C1438" t="s">
        <v>6081</v>
      </c>
      <c r="D1438" t="s">
        <v>6804</v>
      </c>
      <c r="E1438" t="s">
        <v>26583</v>
      </c>
      <c r="F1438">
        <v>117</v>
      </c>
      <c r="G1438">
        <v>2868045</v>
      </c>
      <c r="H1438" t="s">
        <v>26584</v>
      </c>
      <c r="J1438" s="54" t="s">
        <v>6052</v>
      </c>
      <c r="K1438" s="54">
        <v>0</v>
      </c>
      <c r="L1438" s="22" t="s">
        <v>1563</v>
      </c>
      <c r="M1438" s="22" t="s">
        <v>36940</v>
      </c>
    </row>
    <row r="1439" spans="1:13" x14ac:dyDescent="0.75">
      <c r="A1439" t="s">
        <v>26597</v>
      </c>
      <c r="B1439" t="s">
        <v>6803</v>
      </c>
      <c r="C1439" t="s">
        <v>6081</v>
      </c>
      <c r="D1439" t="s">
        <v>6804</v>
      </c>
      <c r="E1439" t="s">
        <v>26598</v>
      </c>
      <c r="F1439">
        <v>126</v>
      </c>
      <c r="G1439">
        <v>2921848</v>
      </c>
      <c r="H1439" t="s">
        <v>26599</v>
      </c>
      <c r="J1439" s="54" t="s">
        <v>6052</v>
      </c>
      <c r="K1439" s="54">
        <v>0</v>
      </c>
      <c r="L1439" s="22" t="s">
        <v>1563</v>
      </c>
      <c r="M1439" s="22" t="s">
        <v>36940</v>
      </c>
    </row>
    <row r="1440" spans="1:13" x14ac:dyDescent="0.75">
      <c r="A1440" t="s">
        <v>26585</v>
      </c>
      <c r="B1440" t="s">
        <v>6803</v>
      </c>
      <c r="C1440" t="s">
        <v>6081</v>
      </c>
      <c r="D1440" t="s">
        <v>6804</v>
      </c>
      <c r="E1440" t="s">
        <v>26586</v>
      </c>
      <c r="F1440">
        <v>157</v>
      </c>
      <c r="G1440">
        <v>2980774</v>
      </c>
      <c r="H1440" t="s">
        <v>26587</v>
      </c>
      <c r="J1440" s="54" t="s">
        <v>6052</v>
      </c>
      <c r="K1440" s="54">
        <v>0</v>
      </c>
      <c r="L1440" s="22" t="s">
        <v>1563</v>
      </c>
      <c r="M1440" s="22" t="s">
        <v>36940</v>
      </c>
    </row>
    <row r="1441" spans="1:13" x14ac:dyDescent="0.75">
      <c r="A1441" t="s">
        <v>11045</v>
      </c>
      <c r="B1441" t="s">
        <v>6803</v>
      </c>
      <c r="C1441" t="s">
        <v>6081</v>
      </c>
      <c r="D1441" t="s">
        <v>6804</v>
      </c>
      <c r="E1441" t="s">
        <v>11046</v>
      </c>
      <c r="F1441">
        <v>116</v>
      </c>
      <c r="G1441">
        <v>2743259</v>
      </c>
      <c r="H1441" t="s">
        <v>11047</v>
      </c>
      <c r="J1441" s="54" t="s">
        <v>6052</v>
      </c>
      <c r="K1441" s="54">
        <v>0</v>
      </c>
      <c r="L1441" s="22" t="s">
        <v>1563</v>
      </c>
      <c r="M1441" s="22" t="s">
        <v>36940</v>
      </c>
    </row>
    <row r="1442" spans="1:13" x14ac:dyDescent="0.75">
      <c r="A1442" t="s">
        <v>11048</v>
      </c>
      <c r="B1442" t="s">
        <v>7112</v>
      </c>
      <c r="C1442" t="s">
        <v>6081</v>
      </c>
      <c r="D1442" t="s">
        <v>7113</v>
      </c>
      <c r="E1442" t="s">
        <v>11049</v>
      </c>
      <c r="F1442">
        <v>49</v>
      </c>
      <c r="G1442">
        <v>2516436</v>
      </c>
      <c r="H1442" t="s">
        <v>11050</v>
      </c>
      <c r="J1442" s="54" t="s">
        <v>6052</v>
      </c>
      <c r="K1442" s="54">
        <v>0</v>
      </c>
      <c r="L1442" s="22" t="s">
        <v>36807</v>
      </c>
      <c r="M1442" s="22" t="s">
        <v>36952</v>
      </c>
    </row>
    <row r="1443" spans="1:13" x14ac:dyDescent="0.75">
      <c r="A1443" t="s">
        <v>26579</v>
      </c>
      <c r="B1443" t="s">
        <v>6803</v>
      </c>
      <c r="C1443" t="s">
        <v>6081</v>
      </c>
      <c r="D1443" t="s">
        <v>6804</v>
      </c>
      <c r="E1443" t="s">
        <v>26580</v>
      </c>
      <c r="F1443">
        <v>147</v>
      </c>
      <c r="G1443">
        <v>2993035</v>
      </c>
      <c r="H1443" t="s">
        <v>26581</v>
      </c>
      <c r="J1443" s="54" t="s">
        <v>6052</v>
      </c>
      <c r="K1443" s="54">
        <v>0</v>
      </c>
      <c r="L1443" s="22" t="s">
        <v>1563</v>
      </c>
      <c r="M1443" s="22" t="s">
        <v>36940</v>
      </c>
    </row>
    <row r="1444" spans="1:13" x14ac:dyDescent="0.75">
      <c r="A1444" t="s">
        <v>26576</v>
      </c>
      <c r="B1444" t="s">
        <v>6803</v>
      </c>
      <c r="C1444" t="s">
        <v>6081</v>
      </c>
      <c r="D1444" t="s">
        <v>6804</v>
      </c>
      <c r="E1444" t="s">
        <v>26577</v>
      </c>
      <c r="F1444">
        <v>125</v>
      </c>
      <c r="G1444">
        <v>2808886</v>
      </c>
      <c r="H1444" t="s">
        <v>26578</v>
      </c>
      <c r="J1444" s="54" t="s">
        <v>6052</v>
      </c>
      <c r="K1444" s="54">
        <v>0</v>
      </c>
      <c r="L1444" s="22" t="s">
        <v>1563</v>
      </c>
      <c r="M1444" s="22" t="s">
        <v>36940</v>
      </c>
    </row>
    <row r="1445" spans="1:13" x14ac:dyDescent="0.75">
      <c r="A1445" t="s">
        <v>23938</v>
      </c>
      <c r="B1445" t="s">
        <v>8409</v>
      </c>
      <c r="C1445" t="s">
        <v>6081</v>
      </c>
      <c r="D1445" t="s">
        <v>8410</v>
      </c>
      <c r="E1445" t="s">
        <v>23939</v>
      </c>
      <c r="F1445">
        <v>1</v>
      </c>
      <c r="G1445">
        <v>2442362</v>
      </c>
      <c r="H1445" t="s">
        <v>23940</v>
      </c>
      <c r="J1445" s="54" t="s">
        <v>6052</v>
      </c>
      <c r="K1445" s="54">
        <v>0</v>
      </c>
      <c r="L1445" s="22" t="s">
        <v>36804</v>
      </c>
      <c r="M1445" s="22" t="s">
        <v>36946</v>
      </c>
    </row>
    <row r="1446" spans="1:13" x14ac:dyDescent="0.75">
      <c r="A1446" t="s">
        <v>26591</v>
      </c>
      <c r="B1446" t="s">
        <v>6803</v>
      </c>
      <c r="C1446" t="s">
        <v>6081</v>
      </c>
      <c r="D1446" t="s">
        <v>6804</v>
      </c>
      <c r="E1446" t="s">
        <v>26592</v>
      </c>
      <c r="F1446">
        <v>162</v>
      </c>
      <c r="G1446">
        <v>2933916</v>
      </c>
      <c r="H1446" t="s">
        <v>26593</v>
      </c>
      <c r="J1446" s="54" t="s">
        <v>6052</v>
      </c>
      <c r="K1446" s="54">
        <v>0</v>
      </c>
      <c r="L1446" s="22" t="s">
        <v>1563</v>
      </c>
      <c r="M1446" s="22" t="s">
        <v>36940</v>
      </c>
    </row>
    <row r="1447" spans="1:13" x14ac:dyDescent="0.75">
      <c r="A1447" t="s">
        <v>11067</v>
      </c>
      <c r="B1447" t="s">
        <v>11068</v>
      </c>
      <c r="C1447" t="s">
        <v>6081</v>
      </c>
      <c r="D1447" t="s">
        <v>11069</v>
      </c>
      <c r="E1447" t="s">
        <v>11070</v>
      </c>
      <c r="F1447">
        <v>139</v>
      </c>
      <c r="G1447">
        <v>2807048</v>
      </c>
      <c r="H1447" t="s">
        <v>11071</v>
      </c>
      <c r="J1447" s="54" t="s">
        <v>6052</v>
      </c>
      <c r="K1447" s="54">
        <v>0</v>
      </c>
      <c r="L1447" s="22" t="s">
        <v>1563</v>
      </c>
      <c r="M1447" s="22" t="s">
        <v>36941</v>
      </c>
    </row>
    <row r="1448" spans="1:13" x14ac:dyDescent="0.75">
      <c r="A1448" t="s">
        <v>11072</v>
      </c>
      <c r="B1448" t="s">
        <v>6803</v>
      </c>
      <c r="C1448" t="s">
        <v>6081</v>
      </c>
      <c r="D1448" t="s">
        <v>6804</v>
      </c>
      <c r="E1448" t="s">
        <v>11073</v>
      </c>
      <c r="F1448">
        <v>143</v>
      </c>
      <c r="G1448">
        <v>2834694</v>
      </c>
      <c r="H1448" t="s">
        <v>11074</v>
      </c>
      <c r="J1448" s="54" t="s">
        <v>6052</v>
      </c>
      <c r="K1448" s="54">
        <v>0</v>
      </c>
      <c r="L1448" s="22" t="s">
        <v>1563</v>
      </c>
      <c r="M1448" s="22" t="s">
        <v>36940</v>
      </c>
    </row>
    <row r="1449" spans="1:13" x14ac:dyDescent="0.75">
      <c r="A1449" t="s">
        <v>11078</v>
      </c>
      <c r="B1449" t="s">
        <v>6803</v>
      </c>
      <c r="C1449" t="s">
        <v>6081</v>
      </c>
      <c r="D1449" t="s">
        <v>6804</v>
      </c>
      <c r="E1449" t="s">
        <v>11079</v>
      </c>
      <c r="F1449">
        <v>151</v>
      </c>
      <c r="G1449">
        <v>2830184</v>
      </c>
      <c r="H1449" t="s">
        <v>11080</v>
      </c>
      <c r="J1449" s="54" t="s">
        <v>6052</v>
      </c>
      <c r="K1449" s="54">
        <v>0</v>
      </c>
      <c r="L1449" s="22" t="s">
        <v>1563</v>
      </c>
      <c r="M1449" s="22" t="s">
        <v>36940</v>
      </c>
    </row>
    <row r="1450" spans="1:13" x14ac:dyDescent="0.75">
      <c r="A1450" t="s">
        <v>22511</v>
      </c>
      <c r="B1450" t="s">
        <v>6738</v>
      </c>
      <c r="C1450" t="s">
        <v>6081</v>
      </c>
      <c r="D1450" t="s">
        <v>6739</v>
      </c>
      <c r="E1450" t="s">
        <v>22512</v>
      </c>
      <c r="F1450">
        <v>51</v>
      </c>
      <c r="G1450">
        <v>2344812</v>
      </c>
      <c r="H1450" t="s">
        <v>22513</v>
      </c>
      <c r="J1450" s="54" t="s">
        <v>6052</v>
      </c>
      <c r="K1450" s="54">
        <v>0</v>
      </c>
      <c r="L1450" s="22" t="s">
        <v>36807</v>
      </c>
      <c r="M1450" s="22" t="s">
        <v>36953</v>
      </c>
    </row>
    <row r="1451" spans="1:13" x14ac:dyDescent="0.75">
      <c r="A1451" t="s">
        <v>22505</v>
      </c>
      <c r="B1451" t="s">
        <v>6738</v>
      </c>
      <c r="C1451" t="s">
        <v>6081</v>
      </c>
      <c r="D1451" t="s">
        <v>6739</v>
      </c>
      <c r="E1451" t="s">
        <v>22506</v>
      </c>
      <c r="F1451">
        <v>49</v>
      </c>
      <c r="G1451">
        <v>2405762</v>
      </c>
      <c r="H1451" t="s">
        <v>22507</v>
      </c>
      <c r="J1451" s="54" t="s">
        <v>6052</v>
      </c>
      <c r="K1451" s="54">
        <v>0</v>
      </c>
      <c r="L1451" s="22" t="s">
        <v>36807</v>
      </c>
      <c r="M1451" s="22" t="s">
        <v>36953</v>
      </c>
    </row>
    <row r="1452" spans="1:13" x14ac:dyDescent="0.75">
      <c r="A1452" t="s">
        <v>22464</v>
      </c>
      <c r="B1452" t="s">
        <v>22465</v>
      </c>
      <c r="C1452" t="s">
        <v>6081</v>
      </c>
      <c r="D1452" t="s">
        <v>22466</v>
      </c>
      <c r="E1452" t="s">
        <v>22467</v>
      </c>
      <c r="F1452">
        <v>48</v>
      </c>
      <c r="G1452">
        <v>2359061</v>
      </c>
      <c r="H1452" t="s">
        <v>22468</v>
      </c>
      <c r="J1452" s="54" t="s">
        <v>6052</v>
      </c>
      <c r="K1452" s="54">
        <v>0</v>
      </c>
      <c r="L1452" s="22" t="s">
        <v>1563</v>
      </c>
      <c r="M1452" s="22" t="s">
        <v>36954</v>
      </c>
    </row>
    <row r="1453" spans="1:13" x14ac:dyDescent="0.75">
      <c r="A1453" t="s">
        <v>22461</v>
      </c>
      <c r="B1453" t="s">
        <v>9434</v>
      </c>
      <c r="C1453" t="s">
        <v>6081</v>
      </c>
      <c r="D1453" t="s">
        <v>9435</v>
      </c>
      <c r="E1453" t="s">
        <v>22462</v>
      </c>
      <c r="F1453">
        <v>69</v>
      </c>
      <c r="G1453">
        <v>2406062</v>
      </c>
      <c r="H1453" t="s">
        <v>22463</v>
      </c>
      <c r="J1453" s="54" t="s">
        <v>6052</v>
      </c>
      <c r="K1453" s="54">
        <v>0</v>
      </c>
      <c r="L1453" s="22" t="s">
        <v>1563</v>
      </c>
      <c r="M1453" s="22" t="s">
        <v>36955</v>
      </c>
    </row>
    <row r="1454" spans="1:13" x14ac:dyDescent="0.75">
      <c r="A1454" t="s">
        <v>22452</v>
      </c>
      <c r="B1454" t="s">
        <v>6080</v>
      </c>
      <c r="C1454" t="s">
        <v>6081</v>
      </c>
      <c r="D1454" t="s">
        <v>6082</v>
      </c>
      <c r="E1454" t="s">
        <v>22453</v>
      </c>
      <c r="F1454">
        <v>32</v>
      </c>
      <c r="G1454">
        <v>2426195</v>
      </c>
      <c r="H1454" t="s">
        <v>22454</v>
      </c>
      <c r="J1454" s="54" t="s">
        <v>6052</v>
      </c>
      <c r="K1454" s="54">
        <v>0</v>
      </c>
      <c r="L1454" s="22" t="s">
        <v>1563</v>
      </c>
      <c r="M1454" s="22" t="s">
        <v>36956</v>
      </c>
    </row>
    <row r="1455" spans="1:13" x14ac:dyDescent="0.75">
      <c r="A1455" t="s">
        <v>22449</v>
      </c>
      <c r="B1455" t="s">
        <v>7112</v>
      </c>
      <c r="C1455" t="s">
        <v>6081</v>
      </c>
      <c r="D1455" t="s">
        <v>7113</v>
      </c>
      <c r="E1455" t="s">
        <v>22450</v>
      </c>
      <c r="F1455">
        <v>36</v>
      </c>
      <c r="G1455">
        <v>2451943</v>
      </c>
      <c r="H1455" t="s">
        <v>22451</v>
      </c>
      <c r="J1455" s="54" t="s">
        <v>6052</v>
      </c>
      <c r="K1455" s="54">
        <v>0</v>
      </c>
      <c r="L1455" s="22" t="s">
        <v>36807</v>
      </c>
      <c r="M1455" s="22" t="s">
        <v>36952</v>
      </c>
    </row>
    <row r="1456" spans="1:13" x14ac:dyDescent="0.75">
      <c r="A1456" t="s">
        <v>22446</v>
      </c>
      <c r="B1456" t="s">
        <v>12689</v>
      </c>
      <c r="C1456" t="s">
        <v>6081</v>
      </c>
      <c r="D1456" t="s">
        <v>12690</v>
      </c>
      <c r="E1456" t="s">
        <v>22447</v>
      </c>
      <c r="F1456">
        <v>52</v>
      </c>
      <c r="G1456">
        <v>2688050</v>
      </c>
      <c r="H1456" t="s">
        <v>22448</v>
      </c>
      <c r="J1456" s="54" t="s">
        <v>6052</v>
      </c>
      <c r="K1456" s="54">
        <v>0</v>
      </c>
      <c r="L1456" s="22" t="s">
        <v>1563</v>
      </c>
      <c r="M1456" s="22" t="s">
        <v>36939</v>
      </c>
    </row>
    <row r="1457" spans="1:13" x14ac:dyDescent="0.75">
      <c r="A1457" t="s">
        <v>22440</v>
      </c>
      <c r="B1457" t="s">
        <v>13861</v>
      </c>
      <c r="C1457" t="s">
        <v>6081</v>
      </c>
      <c r="D1457" t="s">
        <v>13862</v>
      </c>
      <c r="E1457" t="s">
        <v>22441</v>
      </c>
      <c r="F1457">
        <v>74</v>
      </c>
      <c r="G1457">
        <v>2565541</v>
      </c>
      <c r="H1457" t="s">
        <v>22442</v>
      </c>
      <c r="J1457" s="54" t="s">
        <v>6052</v>
      </c>
      <c r="K1457" s="54">
        <v>0</v>
      </c>
      <c r="L1457" s="22" t="s">
        <v>1563</v>
      </c>
      <c r="M1457" s="22" t="s">
        <v>36957</v>
      </c>
    </row>
    <row r="1458" spans="1:13" x14ac:dyDescent="0.75">
      <c r="A1458" t="s">
        <v>22443</v>
      </c>
      <c r="B1458" t="s">
        <v>13861</v>
      </c>
      <c r="C1458" t="s">
        <v>6081</v>
      </c>
      <c r="D1458" t="s">
        <v>13862</v>
      </c>
      <c r="E1458" t="s">
        <v>22444</v>
      </c>
      <c r="F1458">
        <v>75</v>
      </c>
      <c r="G1458">
        <v>2566799</v>
      </c>
      <c r="H1458" t="s">
        <v>22445</v>
      </c>
      <c r="J1458" s="54" t="s">
        <v>6052</v>
      </c>
      <c r="K1458" s="54">
        <v>0</v>
      </c>
      <c r="L1458" s="22" t="s">
        <v>1563</v>
      </c>
      <c r="M1458" s="22" t="s">
        <v>36957</v>
      </c>
    </row>
    <row r="1459" spans="1:13" x14ac:dyDescent="0.75">
      <c r="A1459" t="s">
        <v>22437</v>
      </c>
      <c r="B1459" t="s">
        <v>13861</v>
      </c>
      <c r="C1459" t="s">
        <v>6081</v>
      </c>
      <c r="D1459" t="s">
        <v>13862</v>
      </c>
      <c r="E1459" t="s">
        <v>22438</v>
      </c>
      <c r="F1459">
        <v>72</v>
      </c>
      <c r="G1459">
        <v>2563029</v>
      </c>
      <c r="H1459" t="s">
        <v>22439</v>
      </c>
      <c r="J1459" s="54" t="s">
        <v>6052</v>
      </c>
      <c r="K1459" s="54">
        <v>0</v>
      </c>
      <c r="L1459" s="22" t="s">
        <v>1563</v>
      </c>
      <c r="M1459" s="22" t="s">
        <v>36957</v>
      </c>
    </row>
    <row r="1460" spans="1:13" x14ac:dyDescent="0.75">
      <c r="A1460" t="s">
        <v>22431</v>
      </c>
      <c r="B1460" t="s">
        <v>10705</v>
      </c>
      <c r="C1460" t="s">
        <v>6081</v>
      </c>
      <c r="D1460" t="s">
        <v>10706</v>
      </c>
      <c r="E1460" t="s">
        <v>22432</v>
      </c>
      <c r="F1460">
        <v>36</v>
      </c>
      <c r="G1460">
        <v>2588109</v>
      </c>
      <c r="H1460" t="s">
        <v>22433</v>
      </c>
      <c r="J1460" s="54" t="s">
        <v>6052</v>
      </c>
      <c r="K1460" s="54">
        <v>0</v>
      </c>
      <c r="L1460" s="22" t="s">
        <v>1563</v>
      </c>
      <c r="M1460" s="22" t="s">
        <v>36958</v>
      </c>
    </row>
    <row r="1461" spans="1:13" x14ac:dyDescent="0.75">
      <c r="A1461" t="s">
        <v>22458</v>
      </c>
      <c r="B1461" t="s">
        <v>9434</v>
      </c>
      <c r="C1461" t="s">
        <v>6081</v>
      </c>
      <c r="D1461" t="s">
        <v>9435</v>
      </c>
      <c r="E1461" t="s">
        <v>22459</v>
      </c>
      <c r="F1461">
        <v>44</v>
      </c>
      <c r="G1461">
        <v>2306864</v>
      </c>
      <c r="H1461" t="s">
        <v>22460</v>
      </c>
      <c r="J1461" s="54" t="s">
        <v>6052</v>
      </c>
      <c r="K1461" s="54">
        <v>0</v>
      </c>
      <c r="L1461" s="22" t="s">
        <v>1563</v>
      </c>
      <c r="M1461" s="22" t="s">
        <v>36955</v>
      </c>
    </row>
    <row r="1462" spans="1:13" x14ac:dyDescent="0.75">
      <c r="A1462" t="s">
        <v>22434</v>
      </c>
      <c r="B1462" t="s">
        <v>9357</v>
      </c>
      <c r="C1462" t="s">
        <v>6081</v>
      </c>
      <c r="D1462" t="s">
        <v>9358</v>
      </c>
      <c r="E1462" t="s">
        <v>22435</v>
      </c>
      <c r="F1462">
        <v>33</v>
      </c>
      <c r="G1462">
        <v>2525869</v>
      </c>
      <c r="H1462" t="s">
        <v>22436</v>
      </c>
      <c r="J1462" s="54" t="s">
        <v>6052</v>
      </c>
      <c r="K1462" s="54">
        <v>0</v>
      </c>
      <c r="L1462" s="22" t="s">
        <v>36807</v>
      </c>
      <c r="M1462" s="22" t="s">
        <v>36947</v>
      </c>
    </row>
    <row r="1463" spans="1:13" x14ac:dyDescent="0.75">
      <c r="A1463" t="s">
        <v>22428</v>
      </c>
      <c r="B1463" t="s">
        <v>9760</v>
      </c>
      <c r="C1463" t="s">
        <v>6081</v>
      </c>
      <c r="D1463" t="s">
        <v>9761</v>
      </c>
      <c r="E1463" t="s">
        <v>22429</v>
      </c>
      <c r="F1463">
        <v>23</v>
      </c>
      <c r="G1463">
        <v>2322325</v>
      </c>
      <c r="H1463" t="s">
        <v>22430</v>
      </c>
      <c r="J1463" s="54" t="s">
        <v>6052</v>
      </c>
      <c r="K1463" s="54">
        <v>0</v>
      </c>
      <c r="L1463" s="22" t="s">
        <v>36807</v>
      </c>
      <c r="M1463" s="22" t="s">
        <v>36943</v>
      </c>
    </row>
    <row r="1464" spans="1:13" x14ac:dyDescent="0.75">
      <c r="A1464" t="s">
        <v>22425</v>
      </c>
      <c r="B1464" t="s">
        <v>12006</v>
      </c>
      <c r="C1464" t="s">
        <v>6081</v>
      </c>
      <c r="D1464" t="s">
        <v>12007</v>
      </c>
      <c r="E1464" t="s">
        <v>22426</v>
      </c>
      <c r="F1464">
        <v>33</v>
      </c>
      <c r="G1464">
        <v>2639000</v>
      </c>
      <c r="H1464" t="s">
        <v>22427</v>
      </c>
      <c r="J1464" s="54" t="s">
        <v>6052</v>
      </c>
      <c r="K1464" s="54">
        <v>0</v>
      </c>
      <c r="L1464" s="22" t="s">
        <v>1563</v>
      </c>
      <c r="M1464" s="22" t="s">
        <v>36950</v>
      </c>
    </row>
    <row r="1465" spans="1:13" x14ac:dyDescent="0.75">
      <c r="A1465" t="s">
        <v>22455</v>
      </c>
      <c r="B1465" t="s">
        <v>10755</v>
      </c>
      <c r="C1465" t="s">
        <v>6081</v>
      </c>
      <c r="D1465" t="s">
        <v>10756</v>
      </c>
      <c r="E1465" t="s">
        <v>22456</v>
      </c>
      <c r="F1465">
        <v>54</v>
      </c>
      <c r="G1465">
        <v>2775595</v>
      </c>
      <c r="H1465" t="s">
        <v>22457</v>
      </c>
      <c r="J1465" s="54" t="s">
        <v>6052</v>
      </c>
      <c r="K1465" s="54">
        <v>0</v>
      </c>
      <c r="L1465" s="22" t="s">
        <v>1563</v>
      </c>
      <c r="M1465" s="22" t="s">
        <v>36959</v>
      </c>
    </row>
    <row r="1466" spans="1:13" x14ac:dyDescent="0.75">
      <c r="A1466" t="s">
        <v>22419</v>
      </c>
      <c r="B1466" t="s">
        <v>6803</v>
      </c>
      <c r="C1466" t="s">
        <v>6081</v>
      </c>
      <c r="D1466" t="s">
        <v>6804</v>
      </c>
      <c r="E1466" t="s">
        <v>22420</v>
      </c>
      <c r="F1466">
        <v>44</v>
      </c>
      <c r="G1466">
        <v>2735460</v>
      </c>
      <c r="H1466" t="s">
        <v>22421</v>
      </c>
      <c r="J1466" s="54" t="s">
        <v>6052</v>
      </c>
      <c r="K1466" s="54">
        <v>0</v>
      </c>
      <c r="L1466" s="22" t="s">
        <v>1563</v>
      </c>
      <c r="M1466" s="22" t="s">
        <v>36940</v>
      </c>
    </row>
    <row r="1467" spans="1:13" x14ac:dyDescent="0.75">
      <c r="A1467" t="s">
        <v>13916</v>
      </c>
      <c r="B1467" t="s">
        <v>12006</v>
      </c>
      <c r="C1467" t="s">
        <v>6081</v>
      </c>
      <c r="D1467" t="s">
        <v>12007</v>
      </c>
      <c r="E1467" t="s">
        <v>13917</v>
      </c>
      <c r="F1467">
        <v>41</v>
      </c>
      <c r="G1467">
        <v>2637705</v>
      </c>
      <c r="H1467" t="s">
        <v>13918</v>
      </c>
      <c r="J1467" s="54" t="s">
        <v>6052</v>
      </c>
      <c r="K1467" s="54">
        <v>0</v>
      </c>
      <c r="L1467" s="22" t="s">
        <v>1563</v>
      </c>
      <c r="M1467" s="22" t="s">
        <v>36950</v>
      </c>
    </row>
    <row r="1468" spans="1:13" x14ac:dyDescent="0.75">
      <c r="A1468" t="s">
        <v>12146</v>
      </c>
      <c r="B1468" t="s">
        <v>6774</v>
      </c>
      <c r="C1468" t="s">
        <v>6107</v>
      </c>
      <c r="D1468" t="s">
        <v>6775</v>
      </c>
      <c r="E1468" t="s">
        <v>12147</v>
      </c>
      <c r="F1468">
        <v>51</v>
      </c>
      <c r="G1468">
        <v>2139316</v>
      </c>
      <c r="H1468" t="s">
        <v>12148</v>
      </c>
      <c r="J1468" s="54" t="s">
        <v>6052</v>
      </c>
      <c r="K1468" s="54">
        <v>0</v>
      </c>
      <c r="L1468" s="22" t="s">
        <v>104</v>
      </c>
      <c r="M1468" s="22" t="s">
        <v>37010</v>
      </c>
    </row>
    <row r="1469" spans="1:13" x14ac:dyDescent="0.75">
      <c r="A1469" t="s">
        <v>12149</v>
      </c>
      <c r="B1469" t="s">
        <v>6774</v>
      </c>
      <c r="C1469" t="s">
        <v>6107</v>
      </c>
      <c r="D1469" t="s">
        <v>6775</v>
      </c>
      <c r="E1469" t="s">
        <v>12150</v>
      </c>
      <c r="F1469">
        <v>105</v>
      </c>
      <c r="G1469">
        <v>2084658</v>
      </c>
      <c r="H1469" t="s">
        <v>12151</v>
      </c>
      <c r="J1469" s="54" t="s">
        <v>6052</v>
      </c>
      <c r="K1469" s="54">
        <v>0</v>
      </c>
      <c r="L1469" s="22" t="s">
        <v>104</v>
      </c>
      <c r="M1469" s="22" t="s">
        <v>37010</v>
      </c>
    </row>
    <row r="1470" spans="1:13" x14ac:dyDescent="0.75">
      <c r="A1470" t="s">
        <v>12155</v>
      </c>
      <c r="B1470" t="s">
        <v>6774</v>
      </c>
      <c r="C1470" t="s">
        <v>6107</v>
      </c>
      <c r="D1470" t="s">
        <v>6775</v>
      </c>
      <c r="E1470" t="s">
        <v>12156</v>
      </c>
      <c r="F1470">
        <v>72</v>
      </c>
      <c r="G1470">
        <v>2110484</v>
      </c>
      <c r="H1470" t="s">
        <v>12157</v>
      </c>
      <c r="J1470" s="54" t="s">
        <v>6052</v>
      </c>
      <c r="K1470" s="54">
        <v>0</v>
      </c>
      <c r="L1470" s="22" t="s">
        <v>104</v>
      </c>
      <c r="M1470" s="22" t="s">
        <v>37010</v>
      </c>
    </row>
    <row r="1471" spans="1:13" x14ac:dyDescent="0.75">
      <c r="A1471" t="s">
        <v>10704</v>
      </c>
      <c r="B1471" t="s">
        <v>10705</v>
      </c>
      <c r="C1471" t="s">
        <v>6081</v>
      </c>
      <c r="D1471" t="s">
        <v>10706</v>
      </c>
      <c r="E1471" t="s">
        <v>10707</v>
      </c>
      <c r="F1471">
        <v>38</v>
      </c>
      <c r="G1471">
        <v>2663401</v>
      </c>
      <c r="H1471" t="s">
        <v>10708</v>
      </c>
      <c r="J1471" s="54" t="s">
        <v>6052</v>
      </c>
      <c r="K1471" s="54">
        <v>0</v>
      </c>
      <c r="L1471" s="22" t="s">
        <v>1563</v>
      </c>
      <c r="M1471" s="22" t="s">
        <v>36958</v>
      </c>
    </row>
    <row r="1472" spans="1:13" x14ac:dyDescent="0.75">
      <c r="A1472" t="s">
        <v>6737</v>
      </c>
      <c r="B1472" t="s">
        <v>6738</v>
      </c>
      <c r="C1472" t="s">
        <v>6081</v>
      </c>
      <c r="D1472" t="s">
        <v>6739</v>
      </c>
      <c r="E1472" t="s">
        <v>6740</v>
      </c>
      <c r="F1472">
        <v>16</v>
      </c>
      <c r="G1472">
        <v>2601426</v>
      </c>
      <c r="H1472" t="s">
        <v>6741</v>
      </c>
      <c r="J1472" s="54" t="s">
        <v>6052</v>
      </c>
      <c r="K1472" s="54">
        <v>0</v>
      </c>
      <c r="L1472" s="22" t="s">
        <v>36807</v>
      </c>
      <c r="M1472" s="22" t="s">
        <v>36953</v>
      </c>
    </row>
    <row r="1473" spans="1:13" x14ac:dyDescent="0.75">
      <c r="A1473" t="s">
        <v>12161</v>
      </c>
      <c r="B1473" t="s">
        <v>6774</v>
      </c>
      <c r="C1473" t="s">
        <v>6107</v>
      </c>
      <c r="D1473" t="s">
        <v>6775</v>
      </c>
      <c r="E1473" t="s">
        <v>12162</v>
      </c>
      <c r="F1473">
        <v>56</v>
      </c>
      <c r="G1473">
        <v>2201834</v>
      </c>
      <c r="H1473" t="s">
        <v>12163</v>
      </c>
      <c r="J1473" s="54" t="s">
        <v>6052</v>
      </c>
      <c r="K1473" s="54">
        <v>0</v>
      </c>
      <c r="L1473" s="22" t="s">
        <v>104</v>
      </c>
      <c r="M1473" s="22" t="s">
        <v>37010</v>
      </c>
    </row>
    <row r="1474" spans="1:13" x14ac:dyDescent="0.75">
      <c r="A1474" t="s">
        <v>7031</v>
      </c>
      <c r="B1474" t="s">
        <v>6080</v>
      </c>
      <c r="C1474" t="s">
        <v>6081</v>
      </c>
      <c r="D1474" t="s">
        <v>6082</v>
      </c>
      <c r="E1474" t="s">
        <v>7032</v>
      </c>
      <c r="F1474">
        <v>93</v>
      </c>
      <c r="G1474">
        <v>2492821</v>
      </c>
      <c r="H1474" t="s">
        <v>7033</v>
      </c>
      <c r="J1474" s="54" t="s">
        <v>6052</v>
      </c>
      <c r="K1474" s="54">
        <v>0</v>
      </c>
      <c r="L1474" s="22" t="s">
        <v>1563</v>
      </c>
      <c r="M1474" s="22" t="s">
        <v>36956</v>
      </c>
    </row>
    <row r="1475" spans="1:13" x14ac:dyDescent="0.75">
      <c r="A1475" t="s">
        <v>13329</v>
      </c>
      <c r="B1475" t="s">
        <v>6080</v>
      </c>
      <c r="C1475" t="s">
        <v>6081</v>
      </c>
      <c r="D1475" t="s">
        <v>6082</v>
      </c>
      <c r="E1475" t="s">
        <v>7032</v>
      </c>
      <c r="F1475">
        <v>112</v>
      </c>
      <c r="G1475">
        <v>2447019</v>
      </c>
      <c r="H1475" t="s">
        <v>13330</v>
      </c>
      <c r="J1475" s="54" t="s">
        <v>6052</v>
      </c>
      <c r="K1475" s="54">
        <v>0</v>
      </c>
      <c r="L1475" s="22" t="s">
        <v>1563</v>
      </c>
      <c r="M1475" s="22" t="s">
        <v>36956</v>
      </c>
    </row>
    <row r="1476" spans="1:13" x14ac:dyDescent="0.75">
      <c r="A1476" t="s">
        <v>6799</v>
      </c>
      <c r="B1476" t="s">
        <v>6628</v>
      </c>
      <c r="C1476" t="s">
        <v>6081</v>
      </c>
      <c r="D1476" t="s">
        <v>6629</v>
      </c>
      <c r="E1476" t="s">
        <v>6800</v>
      </c>
      <c r="F1476">
        <v>64</v>
      </c>
      <c r="G1476">
        <v>2437186</v>
      </c>
      <c r="H1476" t="s">
        <v>6801</v>
      </c>
      <c r="J1476" s="54" t="s">
        <v>6052</v>
      </c>
      <c r="K1476" s="54">
        <v>0</v>
      </c>
      <c r="L1476" s="22" t="s">
        <v>36807</v>
      </c>
      <c r="M1476" s="22" t="s">
        <v>36960</v>
      </c>
    </row>
    <row r="1477" spans="1:13" x14ac:dyDescent="0.75">
      <c r="A1477" t="s">
        <v>6627</v>
      </c>
      <c r="B1477" t="s">
        <v>6628</v>
      </c>
      <c r="C1477" t="s">
        <v>6081</v>
      </c>
      <c r="D1477" t="s">
        <v>6629</v>
      </c>
      <c r="E1477" t="s">
        <v>6630</v>
      </c>
      <c r="F1477">
        <v>165</v>
      </c>
      <c r="G1477">
        <v>2465636</v>
      </c>
      <c r="H1477" t="s">
        <v>6631</v>
      </c>
      <c r="J1477" s="54" t="s">
        <v>6052</v>
      </c>
      <c r="K1477" s="54">
        <v>0</v>
      </c>
      <c r="L1477" s="22" t="s">
        <v>36807</v>
      </c>
      <c r="M1477" s="22" t="s">
        <v>36960</v>
      </c>
    </row>
    <row r="1478" spans="1:13" x14ac:dyDescent="0.75">
      <c r="A1478" t="s">
        <v>8854</v>
      </c>
      <c r="B1478" t="s">
        <v>8855</v>
      </c>
      <c r="C1478" t="s">
        <v>6081</v>
      </c>
      <c r="D1478" t="s">
        <v>8856</v>
      </c>
      <c r="E1478" t="s">
        <v>8857</v>
      </c>
      <c r="F1478">
        <v>87</v>
      </c>
      <c r="G1478">
        <v>2118285</v>
      </c>
      <c r="H1478" t="s">
        <v>8858</v>
      </c>
      <c r="J1478" s="54" t="s">
        <v>6052</v>
      </c>
      <c r="K1478" s="54">
        <v>0</v>
      </c>
      <c r="L1478" s="22" t="s">
        <v>36805</v>
      </c>
      <c r="M1478" s="22" t="s">
        <v>36961</v>
      </c>
    </row>
    <row r="1479" spans="1:13" x14ac:dyDescent="0.75">
      <c r="A1479" t="s">
        <v>8867</v>
      </c>
      <c r="B1479" t="s">
        <v>8855</v>
      </c>
      <c r="C1479" t="s">
        <v>6081</v>
      </c>
      <c r="D1479" t="s">
        <v>8856</v>
      </c>
      <c r="E1479" t="s">
        <v>8857</v>
      </c>
      <c r="F1479">
        <v>250</v>
      </c>
      <c r="G1479">
        <v>2154859</v>
      </c>
      <c r="H1479" t="s">
        <v>8868</v>
      </c>
      <c r="J1479" s="54" t="s">
        <v>6052</v>
      </c>
      <c r="K1479" s="54">
        <v>0</v>
      </c>
      <c r="L1479" s="22" t="s">
        <v>36805</v>
      </c>
      <c r="M1479" s="22" t="s">
        <v>36961</v>
      </c>
    </row>
    <row r="1480" spans="1:13" x14ac:dyDescent="0.75">
      <c r="A1480" t="s">
        <v>10585</v>
      </c>
      <c r="B1480" t="s">
        <v>7112</v>
      </c>
      <c r="C1480" t="s">
        <v>6081</v>
      </c>
      <c r="D1480" t="s">
        <v>7113</v>
      </c>
      <c r="E1480" t="s">
        <v>10586</v>
      </c>
      <c r="F1480">
        <v>1</v>
      </c>
      <c r="G1480">
        <v>2471920</v>
      </c>
      <c r="H1480" t="s">
        <v>10587</v>
      </c>
      <c r="J1480" s="54" t="s">
        <v>6052</v>
      </c>
      <c r="K1480" s="54">
        <v>0</v>
      </c>
      <c r="L1480" s="22" t="s">
        <v>36807</v>
      </c>
      <c r="M1480" s="22" t="s">
        <v>36952</v>
      </c>
    </row>
    <row r="1481" spans="1:13" x14ac:dyDescent="0.75">
      <c r="A1481" t="s">
        <v>6802</v>
      </c>
      <c r="B1481" t="s">
        <v>6803</v>
      </c>
      <c r="C1481" t="s">
        <v>6081</v>
      </c>
      <c r="D1481" t="s">
        <v>6804</v>
      </c>
      <c r="E1481" t="s">
        <v>6805</v>
      </c>
      <c r="F1481">
        <v>176</v>
      </c>
      <c r="G1481">
        <v>2828991</v>
      </c>
      <c r="H1481" t="s">
        <v>6806</v>
      </c>
      <c r="J1481" s="54" t="s">
        <v>6052</v>
      </c>
      <c r="K1481" s="54">
        <v>0</v>
      </c>
      <c r="L1481" s="22" t="s">
        <v>1563</v>
      </c>
      <c r="M1481" s="22" t="s">
        <v>36940</v>
      </c>
    </row>
    <row r="1482" spans="1:13" x14ac:dyDescent="0.75">
      <c r="A1482" t="s">
        <v>18204</v>
      </c>
      <c r="B1482" t="s">
        <v>10569</v>
      </c>
      <c r="C1482" t="s">
        <v>6081</v>
      </c>
      <c r="D1482" t="s">
        <v>10570</v>
      </c>
      <c r="E1482" t="s">
        <v>18205</v>
      </c>
      <c r="F1482">
        <v>25</v>
      </c>
      <c r="G1482">
        <v>2185664</v>
      </c>
      <c r="H1482" t="s">
        <v>18206</v>
      </c>
      <c r="J1482" s="54" t="s">
        <v>6052</v>
      </c>
      <c r="K1482" s="54">
        <v>0</v>
      </c>
      <c r="L1482" s="22" t="s">
        <v>1563</v>
      </c>
      <c r="M1482" s="22" t="s">
        <v>36962</v>
      </c>
    </row>
    <row r="1483" spans="1:13" x14ac:dyDescent="0.75">
      <c r="A1483" t="s">
        <v>7169</v>
      </c>
      <c r="B1483" t="s">
        <v>6394</v>
      </c>
      <c r="C1483" t="s">
        <v>6081</v>
      </c>
      <c r="D1483" t="s">
        <v>6395</v>
      </c>
      <c r="E1483" t="s">
        <v>7170</v>
      </c>
      <c r="F1483">
        <v>101</v>
      </c>
      <c r="G1483">
        <v>2730325</v>
      </c>
      <c r="H1483" t="s">
        <v>7171</v>
      </c>
      <c r="J1483" s="54" t="s">
        <v>6052</v>
      </c>
      <c r="K1483" s="54">
        <v>0</v>
      </c>
      <c r="L1483" s="22" t="s">
        <v>1563</v>
      </c>
      <c r="M1483" s="22" t="s">
        <v>36948</v>
      </c>
    </row>
    <row r="1484" spans="1:13" x14ac:dyDescent="0.75">
      <c r="A1484" t="s">
        <v>20590</v>
      </c>
      <c r="B1484" t="s">
        <v>6628</v>
      </c>
      <c r="C1484" t="s">
        <v>6081</v>
      </c>
      <c r="D1484" t="s">
        <v>6629</v>
      </c>
      <c r="E1484" t="s">
        <v>20591</v>
      </c>
      <c r="F1484">
        <v>161</v>
      </c>
      <c r="G1484">
        <v>2278072</v>
      </c>
      <c r="H1484" t="s">
        <v>20592</v>
      </c>
      <c r="J1484" s="54" t="s">
        <v>6052</v>
      </c>
      <c r="K1484" s="54">
        <v>0</v>
      </c>
      <c r="L1484" s="22" t="s">
        <v>36807</v>
      </c>
      <c r="M1484" s="22" t="s">
        <v>36960</v>
      </c>
    </row>
    <row r="1485" spans="1:13" x14ac:dyDescent="0.75">
      <c r="A1485" t="s">
        <v>23790</v>
      </c>
      <c r="B1485" t="s">
        <v>10755</v>
      </c>
      <c r="C1485" t="s">
        <v>6081</v>
      </c>
      <c r="D1485" t="s">
        <v>10756</v>
      </c>
      <c r="E1485" t="s">
        <v>23791</v>
      </c>
      <c r="F1485">
        <v>40</v>
      </c>
      <c r="G1485">
        <v>2804100</v>
      </c>
      <c r="H1485" t="s">
        <v>23792</v>
      </c>
      <c r="J1485" s="54" t="s">
        <v>6052</v>
      </c>
      <c r="K1485" s="54">
        <v>0</v>
      </c>
      <c r="L1485" s="22" t="s">
        <v>1563</v>
      </c>
      <c r="M1485" s="22" t="s">
        <v>36959</v>
      </c>
    </row>
    <row r="1486" spans="1:13" x14ac:dyDescent="0.75">
      <c r="A1486" t="s">
        <v>25299</v>
      </c>
      <c r="B1486" t="s">
        <v>7112</v>
      </c>
      <c r="C1486" t="s">
        <v>6081</v>
      </c>
      <c r="D1486" t="s">
        <v>7113</v>
      </c>
      <c r="E1486" t="s">
        <v>25300</v>
      </c>
      <c r="F1486">
        <v>110</v>
      </c>
      <c r="G1486">
        <v>2811939</v>
      </c>
      <c r="H1486" t="s">
        <v>25301</v>
      </c>
      <c r="J1486" s="54" t="s">
        <v>6052</v>
      </c>
      <c r="K1486" s="54">
        <v>0</v>
      </c>
      <c r="L1486" s="22" t="s">
        <v>36807</v>
      </c>
      <c r="M1486" s="22" t="s">
        <v>36952</v>
      </c>
    </row>
    <row r="1487" spans="1:13" x14ac:dyDescent="0.75">
      <c r="A1487" t="s">
        <v>15084</v>
      </c>
      <c r="B1487" t="s">
        <v>8409</v>
      </c>
      <c r="C1487" t="s">
        <v>6081</v>
      </c>
      <c r="D1487" t="s">
        <v>8410</v>
      </c>
      <c r="E1487" t="s">
        <v>15085</v>
      </c>
      <c r="F1487">
        <v>1</v>
      </c>
      <c r="G1487">
        <v>2557381</v>
      </c>
      <c r="H1487" t="s">
        <v>15086</v>
      </c>
      <c r="J1487" s="54" t="s">
        <v>6052</v>
      </c>
      <c r="K1487" s="54">
        <v>0</v>
      </c>
      <c r="L1487" s="22" t="s">
        <v>36804</v>
      </c>
      <c r="M1487" s="22" t="s">
        <v>36946</v>
      </c>
    </row>
    <row r="1488" spans="1:13" x14ac:dyDescent="0.75">
      <c r="A1488" t="s">
        <v>30068</v>
      </c>
      <c r="B1488" t="s">
        <v>9434</v>
      </c>
      <c r="C1488" t="s">
        <v>6081</v>
      </c>
      <c r="D1488" t="s">
        <v>9435</v>
      </c>
      <c r="E1488" t="s">
        <v>30069</v>
      </c>
      <c r="F1488">
        <v>69</v>
      </c>
      <c r="G1488">
        <v>2282264</v>
      </c>
      <c r="H1488" t="s">
        <v>30070</v>
      </c>
      <c r="J1488" s="54" t="s">
        <v>6052</v>
      </c>
      <c r="K1488" s="54">
        <v>0</v>
      </c>
      <c r="L1488" s="22" t="s">
        <v>1563</v>
      </c>
      <c r="M1488" s="22" t="s">
        <v>36955</v>
      </c>
    </row>
    <row r="1489" spans="1:13" x14ac:dyDescent="0.75">
      <c r="A1489" t="s">
        <v>27144</v>
      </c>
      <c r="B1489" t="s">
        <v>6080</v>
      </c>
      <c r="C1489" t="s">
        <v>6081</v>
      </c>
      <c r="D1489" t="s">
        <v>6082</v>
      </c>
      <c r="E1489" t="s">
        <v>27145</v>
      </c>
      <c r="F1489">
        <v>23</v>
      </c>
      <c r="G1489">
        <v>2306230</v>
      </c>
      <c r="H1489" t="s">
        <v>27146</v>
      </c>
      <c r="J1489" s="54" t="s">
        <v>6052</v>
      </c>
      <c r="K1489" s="54">
        <v>0</v>
      </c>
      <c r="L1489" s="22" t="s">
        <v>1563</v>
      </c>
      <c r="M1489" s="22" t="s">
        <v>36956</v>
      </c>
    </row>
    <row r="1490" spans="1:13" x14ac:dyDescent="0.75">
      <c r="A1490" t="s">
        <v>22303</v>
      </c>
      <c r="B1490" t="s">
        <v>6628</v>
      </c>
      <c r="C1490" t="s">
        <v>6081</v>
      </c>
      <c r="D1490" t="s">
        <v>6629</v>
      </c>
      <c r="E1490" t="s">
        <v>22304</v>
      </c>
      <c r="F1490">
        <v>33</v>
      </c>
      <c r="G1490">
        <v>2490552</v>
      </c>
      <c r="H1490" t="s">
        <v>22305</v>
      </c>
      <c r="J1490" s="54" t="s">
        <v>6052</v>
      </c>
      <c r="K1490" s="54">
        <v>0</v>
      </c>
      <c r="L1490" s="22" t="s">
        <v>36807</v>
      </c>
      <c r="M1490" s="22" t="s">
        <v>36960</v>
      </c>
    </row>
    <row r="1491" spans="1:13" x14ac:dyDescent="0.75">
      <c r="A1491" t="s">
        <v>22297</v>
      </c>
      <c r="B1491" t="s">
        <v>6628</v>
      </c>
      <c r="C1491" t="s">
        <v>6081</v>
      </c>
      <c r="D1491" t="s">
        <v>6629</v>
      </c>
      <c r="E1491" t="s">
        <v>22298</v>
      </c>
      <c r="F1491">
        <v>36</v>
      </c>
      <c r="G1491">
        <v>2437042</v>
      </c>
      <c r="H1491" t="s">
        <v>22299</v>
      </c>
      <c r="J1491" s="54" t="s">
        <v>6052</v>
      </c>
      <c r="K1491" s="54">
        <v>0</v>
      </c>
      <c r="L1491" s="22" t="s">
        <v>36807</v>
      </c>
      <c r="M1491" s="22" t="s">
        <v>36960</v>
      </c>
    </row>
    <row r="1492" spans="1:13" x14ac:dyDescent="0.75">
      <c r="A1492" t="s">
        <v>22300</v>
      </c>
      <c r="B1492" t="s">
        <v>6628</v>
      </c>
      <c r="C1492" t="s">
        <v>6081</v>
      </c>
      <c r="D1492" t="s">
        <v>6629</v>
      </c>
      <c r="E1492" t="s">
        <v>22301</v>
      </c>
      <c r="F1492">
        <v>61</v>
      </c>
      <c r="G1492">
        <v>2511955</v>
      </c>
      <c r="H1492" t="s">
        <v>22302</v>
      </c>
      <c r="J1492" s="54" t="s">
        <v>6052</v>
      </c>
      <c r="K1492" s="54">
        <v>0</v>
      </c>
      <c r="L1492" s="22" t="s">
        <v>36807</v>
      </c>
      <c r="M1492" s="22" t="s">
        <v>36960</v>
      </c>
    </row>
    <row r="1493" spans="1:13" x14ac:dyDescent="0.75">
      <c r="A1493" t="s">
        <v>26401</v>
      </c>
      <c r="B1493" t="s">
        <v>6628</v>
      </c>
      <c r="C1493" t="s">
        <v>6081</v>
      </c>
      <c r="D1493" t="s">
        <v>6629</v>
      </c>
      <c r="E1493" t="s">
        <v>26402</v>
      </c>
      <c r="F1493">
        <v>5</v>
      </c>
      <c r="G1493">
        <v>2552168</v>
      </c>
      <c r="H1493" t="s">
        <v>26403</v>
      </c>
      <c r="J1493" s="54" t="s">
        <v>6052</v>
      </c>
      <c r="K1493" s="54">
        <v>0</v>
      </c>
      <c r="L1493" s="22" t="s">
        <v>36807</v>
      </c>
      <c r="M1493" s="22" t="s">
        <v>36960</v>
      </c>
    </row>
    <row r="1494" spans="1:13" x14ac:dyDescent="0.75">
      <c r="A1494" t="s">
        <v>26398</v>
      </c>
      <c r="B1494" t="s">
        <v>6628</v>
      </c>
      <c r="C1494" t="s">
        <v>6081</v>
      </c>
      <c r="D1494" t="s">
        <v>6629</v>
      </c>
      <c r="E1494" t="s">
        <v>26399</v>
      </c>
      <c r="F1494">
        <v>5</v>
      </c>
      <c r="G1494">
        <v>2552612</v>
      </c>
      <c r="H1494" t="s">
        <v>26400</v>
      </c>
      <c r="J1494" s="54" t="s">
        <v>6052</v>
      </c>
      <c r="K1494" s="54">
        <v>0</v>
      </c>
      <c r="L1494" s="22" t="s">
        <v>36807</v>
      </c>
      <c r="M1494" s="22" t="s">
        <v>36960</v>
      </c>
    </row>
    <row r="1495" spans="1:13" x14ac:dyDescent="0.75">
      <c r="A1495" t="s">
        <v>26395</v>
      </c>
      <c r="B1495" t="s">
        <v>6628</v>
      </c>
      <c r="C1495" t="s">
        <v>6081</v>
      </c>
      <c r="D1495" t="s">
        <v>6629</v>
      </c>
      <c r="E1495" t="s">
        <v>26396</v>
      </c>
      <c r="F1495">
        <v>26</v>
      </c>
      <c r="G1495">
        <v>2548138</v>
      </c>
      <c r="H1495" t="s">
        <v>26397</v>
      </c>
      <c r="J1495" s="54" t="s">
        <v>6052</v>
      </c>
      <c r="K1495" s="54">
        <v>0</v>
      </c>
      <c r="L1495" s="22" t="s">
        <v>36807</v>
      </c>
      <c r="M1495" s="22" t="s">
        <v>36960</v>
      </c>
    </row>
    <row r="1496" spans="1:13" x14ac:dyDescent="0.75">
      <c r="A1496" t="s">
        <v>26392</v>
      </c>
      <c r="B1496" t="s">
        <v>6628</v>
      </c>
      <c r="C1496" t="s">
        <v>6081</v>
      </c>
      <c r="D1496" t="s">
        <v>6629</v>
      </c>
      <c r="E1496" t="s">
        <v>26393</v>
      </c>
      <c r="F1496">
        <v>5</v>
      </c>
      <c r="G1496">
        <v>2501729</v>
      </c>
      <c r="H1496" t="s">
        <v>26394</v>
      </c>
      <c r="J1496" s="54" t="s">
        <v>6052</v>
      </c>
      <c r="K1496" s="54">
        <v>0</v>
      </c>
      <c r="L1496" s="22" t="s">
        <v>36807</v>
      </c>
      <c r="M1496" s="22" t="s">
        <v>36960</v>
      </c>
    </row>
    <row r="1497" spans="1:13" x14ac:dyDescent="0.75">
      <c r="A1497" t="s">
        <v>26389</v>
      </c>
      <c r="B1497" t="s">
        <v>6628</v>
      </c>
      <c r="C1497" t="s">
        <v>6081</v>
      </c>
      <c r="D1497" t="s">
        <v>6629</v>
      </c>
      <c r="E1497" t="s">
        <v>26390</v>
      </c>
      <c r="F1497">
        <v>2</v>
      </c>
      <c r="G1497">
        <v>2393717</v>
      </c>
      <c r="H1497" t="s">
        <v>26391</v>
      </c>
      <c r="J1497" s="54" t="s">
        <v>6052</v>
      </c>
      <c r="K1497" s="54">
        <v>0</v>
      </c>
      <c r="L1497" s="22" t="s">
        <v>36807</v>
      </c>
      <c r="M1497" s="22" t="s">
        <v>36960</v>
      </c>
    </row>
    <row r="1498" spans="1:13" x14ac:dyDescent="0.75">
      <c r="A1498" t="s">
        <v>26386</v>
      </c>
      <c r="B1498" t="s">
        <v>6628</v>
      </c>
      <c r="C1498" t="s">
        <v>6081</v>
      </c>
      <c r="D1498" t="s">
        <v>6629</v>
      </c>
      <c r="E1498" t="s">
        <v>26387</v>
      </c>
      <c r="F1498">
        <v>1</v>
      </c>
      <c r="G1498">
        <v>2479006</v>
      </c>
      <c r="H1498" t="s">
        <v>26388</v>
      </c>
      <c r="J1498" s="54" t="s">
        <v>6052</v>
      </c>
      <c r="K1498" s="54">
        <v>0</v>
      </c>
      <c r="L1498" s="22" t="s">
        <v>36807</v>
      </c>
      <c r="M1498" s="22" t="s">
        <v>36960</v>
      </c>
    </row>
    <row r="1499" spans="1:13" x14ac:dyDescent="0.75">
      <c r="A1499" t="s">
        <v>26383</v>
      </c>
      <c r="B1499" t="s">
        <v>6628</v>
      </c>
      <c r="C1499" t="s">
        <v>6081</v>
      </c>
      <c r="D1499" t="s">
        <v>6629</v>
      </c>
      <c r="E1499" t="s">
        <v>26384</v>
      </c>
      <c r="F1499">
        <v>6</v>
      </c>
      <c r="G1499">
        <v>2539699</v>
      </c>
      <c r="H1499" t="s">
        <v>26385</v>
      </c>
      <c r="J1499" s="54" t="s">
        <v>6052</v>
      </c>
      <c r="K1499" s="54">
        <v>0</v>
      </c>
      <c r="L1499" s="22" t="s">
        <v>36807</v>
      </c>
      <c r="M1499" s="22" t="s">
        <v>36960</v>
      </c>
    </row>
    <row r="1500" spans="1:13" x14ac:dyDescent="0.75">
      <c r="A1500" t="s">
        <v>26380</v>
      </c>
      <c r="B1500" t="s">
        <v>6628</v>
      </c>
      <c r="C1500" t="s">
        <v>6081</v>
      </c>
      <c r="D1500" t="s">
        <v>6629</v>
      </c>
      <c r="E1500" t="s">
        <v>26381</v>
      </c>
      <c r="F1500">
        <v>1</v>
      </c>
      <c r="G1500">
        <v>2552066</v>
      </c>
      <c r="H1500" t="s">
        <v>26382</v>
      </c>
      <c r="J1500" s="54" t="s">
        <v>6052</v>
      </c>
      <c r="K1500" s="54">
        <v>0</v>
      </c>
      <c r="L1500" s="22" t="s">
        <v>36807</v>
      </c>
      <c r="M1500" s="22" t="s">
        <v>36960</v>
      </c>
    </row>
    <row r="1501" spans="1:13" x14ac:dyDescent="0.75">
      <c r="A1501" t="s">
        <v>15976</v>
      </c>
      <c r="B1501" t="s">
        <v>15977</v>
      </c>
      <c r="C1501" t="s">
        <v>6081</v>
      </c>
      <c r="D1501" t="s">
        <v>15978</v>
      </c>
      <c r="E1501" t="s">
        <v>15979</v>
      </c>
      <c r="F1501">
        <v>56</v>
      </c>
      <c r="G1501">
        <v>2419073</v>
      </c>
      <c r="H1501" t="s">
        <v>15980</v>
      </c>
      <c r="J1501" s="54" t="s">
        <v>6052</v>
      </c>
      <c r="K1501" s="54">
        <v>0</v>
      </c>
      <c r="L1501" s="22" t="s">
        <v>36807</v>
      </c>
      <c r="M1501" s="22" t="s">
        <v>36944</v>
      </c>
    </row>
    <row r="1502" spans="1:13" x14ac:dyDescent="0.75">
      <c r="A1502" t="s">
        <v>17404</v>
      </c>
      <c r="B1502" t="s">
        <v>10595</v>
      </c>
      <c r="C1502" t="s">
        <v>6081</v>
      </c>
      <c r="D1502" t="s">
        <v>10596</v>
      </c>
      <c r="E1502" t="s">
        <v>17405</v>
      </c>
      <c r="F1502">
        <v>223</v>
      </c>
      <c r="G1502">
        <v>2263530</v>
      </c>
      <c r="H1502" t="s">
        <v>17406</v>
      </c>
      <c r="J1502" s="54" t="s">
        <v>6052</v>
      </c>
      <c r="K1502" s="54">
        <v>0</v>
      </c>
      <c r="L1502" s="22" t="s">
        <v>1563</v>
      </c>
      <c r="M1502" s="22" t="s">
        <v>36963</v>
      </c>
    </row>
    <row r="1503" spans="1:13" x14ac:dyDescent="0.75">
      <c r="A1503" t="s">
        <v>24504</v>
      </c>
      <c r="B1503" t="s">
        <v>22465</v>
      </c>
      <c r="C1503" t="s">
        <v>6081</v>
      </c>
      <c r="D1503" t="s">
        <v>22466</v>
      </c>
      <c r="E1503" t="s">
        <v>24505</v>
      </c>
      <c r="F1503">
        <v>161</v>
      </c>
      <c r="G1503">
        <v>2436250</v>
      </c>
      <c r="H1503" t="s">
        <v>24506</v>
      </c>
      <c r="J1503" s="54" t="s">
        <v>6052</v>
      </c>
      <c r="K1503" s="54">
        <v>0</v>
      </c>
      <c r="L1503" s="22" t="s">
        <v>1563</v>
      </c>
      <c r="M1503" s="22" t="s">
        <v>36954</v>
      </c>
    </row>
    <row r="1504" spans="1:13" x14ac:dyDescent="0.75">
      <c r="A1504" t="s">
        <v>23298</v>
      </c>
      <c r="B1504" t="s">
        <v>9760</v>
      </c>
      <c r="C1504" t="s">
        <v>6081</v>
      </c>
      <c r="D1504" t="s">
        <v>9761</v>
      </c>
      <c r="E1504" t="s">
        <v>23299</v>
      </c>
      <c r="F1504">
        <v>1</v>
      </c>
      <c r="G1504">
        <v>2374277</v>
      </c>
      <c r="H1504" t="s">
        <v>23300</v>
      </c>
      <c r="J1504" s="54" t="s">
        <v>6052</v>
      </c>
      <c r="K1504" s="54">
        <v>0</v>
      </c>
      <c r="L1504" s="22" t="s">
        <v>36807</v>
      </c>
      <c r="M1504" s="22" t="s">
        <v>36943</v>
      </c>
    </row>
    <row r="1505" spans="1:13" x14ac:dyDescent="0.75">
      <c r="A1505" t="s">
        <v>22949</v>
      </c>
      <c r="B1505" t="s">
        <v>6803</v>
      </c>
      <c r="C1505" t="s">
        <v>6081</v>
      </c>
      <c r="D1505" t="s">
        <v>6804</v>
      </c>
      <c r="E1505" t="s">
        <v>22950</v>
      </c>
      <c r="F1505">
        <v>2</v>
      </c>
      <c r="G1505">
        <v>2766266</v>
      </c>
      <c r="H1505" t="s">
        <v>22951</v>
      </c>
      <c r="J1505" s="54" t="s">
        <v>6052</v>
      </c>
      <c r="K1505" s="54">
        <v>0</v>
      </c>
      <c r="L1505" s="22" t="s">
        <v>1563</v>
      </c>
      <c r="M1505" s="22" t="s">
        <v>36940</v>
      </c>
    </row>
    <row r="1506" spans="1:13" x14ac:dyDescent="0.75">
      <c r="A1506" t="s">
        <v>20118</v>
      </c>
      <c r="B1506" t="s">
        <v>6738</v>
      </c>
      <c r="C1506" t="s">
        <v>6081</v>
      </c>
      <c r="D1506" t="s">
        <v>6739</v>
      </c>
      <c r="E1506" t="s">
        <v>20119</v>
      </c>
      <c r="F1506">
        <v>64</v>
      </c>
      <c r="G1506">
        <v>2488912</v>
      </c>
      <c r="H1506" t="s">
        <v>20120</v>
      </c>
      <c r="J1506" s="54" t="s">
        <v>6052</v>
      </c>
      <c r="K1506" s="54">
        <v>0</v>
      </c>
      <c r="L1506" s="22" t="s">
        <v>36807</v>
      </c>
      <c r="M1506" s="22" t="s">
        <v>36953</v>
      </c>
    </row>
    <row r="1507" spans="1:13" x14ac:dyDescent="0.75">
      <c r="A1507" t="s">
        <v>26221</v>
      </c>
      <c r="B1507" t="s">
        <v>23960</v>
      </c>
      <c r="C1507" t="s">
        <v>6081</v>
      </c>
      <c r="D1507" t="s">
        <v>23961</v>
      </c>
      <c r="E1507" t="s">
        <v>26222</v>
      </c>
      <c r="F1507">
        <v>1</v>
      </c>
      <c r="G1507">
        <v>2284440</v>
      </c>
      <c r="H1507" t="s">
        <v>26223</v>
      </c>
      <c r="J1507" s="54" t="s">
        <v>6052</v>
      </c>
      <c r="K1507" s="54">
        <v>0</v>
      </c>
      <c r="L1507" s="22" t="s">
        <v>1563</v>
      </c>
      <c r="M1507" s="22" t="s">
        <v>36964</v>
      </c>
    </row>
    <row r="1508" spans="1:13" x14ac:dyDescent="0.75">
      <c r="A1508" t="s">
        <v>10490</v>
      </c>
      <c r="B1508" t="s">
        <v>10483</v>
      </c>
      <c r="C1508" t="s">
        <v>6081</v>
      </c>
      <c r="D1508" t="s">
        <v>10484</v>
      </c>
      <c r="E1508" t="s">
        <v>10491</v>
      </c>
      <c r="F1508">
        <v>54</v>
      </c>
      <c r="G1508">
        <v>2331521</v>
      </c>
      <c r="H1508" t="s">
        <v>10492</v>
      </c>
      <c r="J1508" s="54" t="s">
        <v>6052</v>
      </c>
      <c r="K1508" s="54">
        <v>0</v>
      </c>
      <c r="L1508" s="22" t="s">
        <v>1563</v>
      </c>
      <c r="M1508" s="22" t="s">
        <v>36965</v>
      </c>
    </row>
    <row r="1509" spans="1:13" x14ac:dyDescent="0.75">
      <c r="A1509" t="s">
        <v>10493</v>
      </c>
      <c r="B1509" t="s">
        <v>10483</v>
      </c>
      <c r="C1509" t="s">
        <v>6081</v>
      </c>
      <c r="D1509" t="s">
        <v>10484</v>
      </c>
      <c r="E1509" t="s">
        <v>10494</v>
      </c>
      <c r="F1509">
        <v>51</v>
      </c>
      <c r="G1509">
        <v>2332166</v>
      </c>
      <c r="H1509" t="s">
        <v>10495</v>
      </c>
      <c r="J1509" s="54" t="s">
        <v>6052</v>
      </c>
      <c r="K1509" s="54">
        <v>0</v>
      </c>
      <c r="L1509" s="22" t="s">
        <v>1563</v>
      </c>
      <c r="M1509" s="22" t="s">
        <v>36965</v>
      </c>
    </row>
    <row r="1510" spans="1:13" x14ac:dyDescent="0.75">
      <c r="A1510" t="s">
        <v>10482</v>
      </c>
      <c r="B1510" t="s">
        <v>10483</v>
      </c>
      <c r="C1510" t="s">
        <v>6081</v>
      </c>
      <c r="D1510" t="s">
        <v>10484</v>
      </c>
      <c r="E1510" t="s">
        <v>10485</v>
      </c>
      <c r="F1510">
        <v>49</v>
      </c>
      <c r="G1510">
        <v>2356729</v>
      </c>
      <c r="H1510" t="s">
        <v>10486</v>
      </c>
      <c r="J1510" s="54" t="s">
        <v>6052</v>
      </c>
      <c r="K1510" s="54">
        <v>0</v>
      </c>
      <c r="L1510" s="22" t="s">
        <v>1563</v>
      </c>
      <c r="M1510" s="22" t="s">
        <v>36965</v>
      </c>
    </row>
    <row r="1511" spans="1:13" x14ac:dyDescent="0.75">
      <c r="A1511" t="s">
        <v>10499</v>
      </c>
      <c r="B1511" t="s">
        <v>10483</v>
      </c>
      <c r="C1511" t="s">
        <v>6081</v>
      </c>
      <c r="D1511" t="s">
        <v>10484</v>
      </c>
      <c r="E1511" t="s">
        <v>10500</v>
      </c>
      <c r="F1511">
        <v>86</v>
      </c>
      <c r="G1511">
        <v>2269861</v>
      </c>
      <c r="H1511" t="s">
        <v>10501</v>
      </c>
      <c r="J1511" s="54" t="s">
        <v>6052</v>
      </c>
      <c r="K1511" s="54">
        <v>0</v>
      </c>
      <c r="L1511" s="22" t="s">
        <v>1563</v>
      </c>
      <c r="M1511" s="22" t="s">
        <v>36965</v>
      </c>
    </row>
    <row r="1512" spans="1:13" x14ac:dyDescent="0.75">
      <c r="A1512" t="s">
        <v>10496</v>
      </c>
      <c r="B1512" t="s">
        <v>10483</v>
      </c>
      <c r="C1512" t="s">
        <v>6081</v>
      </c>
      <c r="D1512" t="s">
        <v>10484</v>
      </c>
      <c r="E1512" t="s">
        <v>10497</v>
      </c>
      <c r="F1512">
        <v>264</v>
      </c>
      <c r="G1512">
        <v>2411235</v>
      </c>
      <c r="H1512" t="s">
        <v>10498</v>
      </c>
      <c r="J1512" s="54" t="s">
        <v>6052</v>
      </c>
      <c r="K1512" s="54">
        <v>0</v>
      </c>
      <c r="L1512" s="22" t="s">
        <v>1563</v>
      </c>
      <c r="M1512" s="22" t="s">
        <v>36965</v>
      </c>
    </row>
    <row r="1513" spans="1:13" x14ac:dyDescent="0.75">
      <c r="A1513" t="s">
        <v>10502</v>
      </c>
      <c r="B1513" t="s">
        <v>10483</v>
      </c>
      <c r="C1513" t="s">
        <v>6081</v>
      </c>
      <c r="D1513" t="s">
        <v>10484</v>
      </c>
      <c r="E1513" t="s">
        <v>10503</v>
      </c>
      <c r="F1513">
        <v>31</v>
      </c>
      <c r="G1513">
        <v>2302511</v>
      </c>
      <c r="H1513" t="s">
        <v>10504</v>
      </c>
      <c r="J1513" s="54" t="s">
        <v>6052</v>
      </c>
      <c r="K1513" s="54">
        <v>0</v>
      </c>
      <c r="L1513" s="22" t="s">
        <v>1563</v>
      </c>
      <c r="M1513" s="22" t="s">
        <v>36965</v>
      </c>
    </row>
    <row r="1514" spans="1:13" x14ac:dyDescent="0.75">
      <c r="A1514" t="s">
        <v>10505</v>
      </c>
      <c r="B1514" t="s">
        <v>10483</v>
      </c>
      <c r="C1514" t="s">
        <v>6081</v>
      </c>
      <c r="D1514" t="s">
        <v>10484</v>
      </c>
      <c r="E1514" t="s">
        <v>10506</v>
      </c>
      <c r="F1514">
        <v>40</v>
      </c>
      <c r="G1514">
        <v>2305843</v>
      </c>
      <c r="H1514" t="s">
        <v>10507</v>
      </c>
      <c r="J1514" s="54" t="s">
        <v>6052</v>
      </c>
      <c r="K1514" s="54">
        <v>0</v>
      </c>
      <c r="L1514" s="22" t="s">
        <v>1563</v>
      </c>
      <c r="M1514" s="22" t="s">
        <v>36965</v>
      </c>
    </row>
    <row r="1515" spans="1:13" x14ac:dyDescent="0.75">
      <c r="A1515" t="s">
        <v>10487</v>
      </c>
      <c r="B1515" t="s">
        <v>6080</v>
      </c>
      <c r="C1515" t="s">
        <v>6081</v>
      </c>
      <c r="D1515" t="s">
        <v>6082</v>
      </c>
      <c r="E1515" t="s">
        <v>10488</v>
      </c>
      <c r="F1515">
        <v>64</v>
      </c>
      <c r="G1515">
        <v>2423808</v>
      </c>
      <c r="H1515" t="s">
        <v>10489</v>
      </c>
      <c r="J1515" s="54" t="s">
        <v>6052</v>
      </c>
      <c r="K1515" s="54">
        <v>0</v>
      </c>
      <c r="L1515" s="22" t="s">
        <v>1563</v>
      </c>
      <c r="M1515" s="22" t="s">
        <v>36956</v>
      </c>
    </row>
    <row r="1516" spans="1:13" x14ac:dyDescent="0.75">
      <c r="A1516" t="s">
        <v>10514</v>
      </c>
      <c r="B1516" t="s">
        <v>6080</v>
      </c>
      <c r="C1516" t="s">
        <v>6081</v>
      </c>
      <c r="D1516" t="s">
        <v>6082</v>
      </c>
      <c r="E1516" t="s">
        <v>10515</v>
      </c>
      <c r="F1516">
        <v>77</v>
      </c>
      <c r="G1516">
        <v>2503067</v>
      </c>
      <c r="H1516" t="s">
        <v>10516</v>
      </c>
      <c r="J1516" s="54" t="s">
        <v>6052</v>
      </c>
      <c r="K1516" s="54">
        <v>0</v>
      </c>
      <c r="L1516" s="22" t="s">
        <v>1563</v>
      </c>
      <c r="M1516" s="22" t="s">
        <v>36956</v>
      </c>
    </row>
    <row r="1517" spans="1:13" x14ac:dyDescent="0.75">
      <c r="A1517" t="s">
        <v>10508</v>
      </c>
      <c r="B1517" t="s">
        <v>10483</v>
      </c>
      <c r="C1517" t="s">
        <v>6081</v>
      </c>
      <c r="D1517" t="s">
        <v>10484</v>
      </c>
      <c r="E1517" t="s">
        <v>10509</v>
      </c>
      <c r="F1517">
        <v>67</v>
      </c>
      <c r="G1517">
        <v>2376707</v>
      </c>
      <c r="H1517" t="s">
        <v>10510</v>
      </c>
      <c r="J1517" s="54" t="s">
        <v>6052</v>
      </c>
      <c r="K1517" s="54">
        <v>0</v>
      </c>
      <c r="L1517" s="22" t="s">
        <v>1563</v>
      </c>
      <c r="M1517" s="22" t="s">
        <v>36965</v>
      </c>
    </row>
    <row r="1518" spans="1:13" x14ac:dyDescent="0.75">
      <c r="A1518" t="s">
        <v>10517</v>
      </c>
      <c r="B1518" t="s">
        <v>6080</v>
      </c>
      <c r="C1518" t="s">
        <v>6081</v>
      </c>
      <c r="D1518" t="s">
        <v>6082</v>
      </c>
      <c r="E1518" t="s">
        <v>10518</v>
      </c>
      <c r="F1518">
        <v>84</v>
      </c>
      <c r="G1518">
        <v>2411939</v>
      </c>
      <c r="H1518" t="s">
        <v>10519</v>
      </c>
      <c r="J1518" s="54" t="s">
        <v>6052</v>
      </c>
      <c r="K1518" s="54">
        <v>0</v>
      </c>
      <c r="L1518" s="22" t="s">
        <v>1563</v>
      </c>
      <c r="M1518" s="22" t="s">
        <v>36956</v>
      </c>
    </row>
    <row r="1519" spans="1:13" x14ac:dyDescent="0.75">
      <c r="A1519" t="s">
        <v>10511</v>
      </c>
      <c r="B1519" t="s">
        <v>10483</v>
      </c>
      <c r="C1519" t="s">
        <v>6081</v>
      </c>
      <c r="D1519" t="s">
        <v>10484</v>
      </c>
      <c r="E1519" t="s">
        <v>10512</v>
      </c>
      <c r="F1519">
        <v>44</v>
      </c>
      <c r="G1519">
        <v>2385811</v>
      </c>
      <c r="H1519" t="s">
        <v>10513</v>
      </c>
      <c r="J1519" s="54" t="s">
        <v>6052</v>
      </c>
      <c r="K1519" s="54">
        <v>0</v>
      </c>
      <c r="L1519" s="22" t="s">
        <v>1563</v>
      </c>
      <c r="M1519" s="22" t="s">
        <v>36965</v>
      </c>
    </row>
    <row r="1520" spans="1:13" x14ac:dyDescent="0.75">
      <c r="A1520" t="s">
        <v>26371</v>
      </c>
      <c r="B1520" t="s">
        <v>9357</v>
      </c>
      <c r="C1520" t="s">
        <v>6081</v>
      </c>
      <c r="D1520" t="s">
        <v>9358</v>
      </c>
      <c r="E1520" t="s">
        <v>26372</v>
      </c>
      <c r="F1520">
        <v>3</v>
      </c>
      <c r="G1520">
        <v>2592346</v>
      </c>
      <c r="H1520" t="s">
        <v>26373</v>
      </c>
      <c r="J1520" s="54" t="s">
        <v>6052</v>
      </c>
      <c r="K1520" s="54">
        <v>0</v>
      </c>
      <c r="L1520" s="22" t="s">
        <v>36807</v>
      </c>
      <c r="M1520" s="22" t="s">
        <v>36947</v>
      </c>
    </row>
    <row r="1521" spans="1:13" x14ac:dyDescent="0.75">
      <c r="A1521" t="s">
        <v>26345</v>
      </c>
      <c r="B1521" t="s">
        <v>9760</v>
      </c>
      <c r="C1521" t="s">
        <v>6081</v>
      </c>
      <c r="D1521" t="s">
        <v>9761</v>
      </c>
      <c r="E1521" t="s">
        <v>26346</v>
      </c>
      <c r="F1521">
        <v>2</v>
      </c>
      <c r="G1521">
        <v>2304546</v>
      </c>
      <c r="H1521" t="s">
        <v>26347</v>
      </c>
      <c r="J1521" s="54" t="s">
        <v>6052</v>
      </c>
      <c r="K1521" s="54">
        <v>0</v>
      </c>
      <c r="L1521" s="22" t="s">
        <v>36807</v>
      </c>
      <c r="M1521" s="22" t="s">
        <v>36943</v>
      </c>
    </row>
    <row r="1522" spans="1:13" x14ac:dyDescent="0.75">
      <c r="A1522" t="s">
        <v>26342</v>
      </c>
      <c r="B1522" t="s">
        <v>9357</v>
      </c>
      <c r="C1522" t="s">
        <v>6081</v>
      </c>
      <c r="D1522" t="s">
        <v>9358</v>
      </c>
      <c r="E1522" t="s">
        <v>26343</v>
      </c>
      <c r="F1522">
        <v>1</v>
      </c>
      <c r="G1522">
        <v>2487883</v>
      </c>
      <c r="H1522" t="s">
        <v>26344</v>
      </c>
      <c r="J1522" s="54" t="s">
        <v>6052</v>
      </c>
      <c r="K1522" s="54">
        <v>0</v>
      </c>
      <c r="L1522" s="22" t="s">
        <v>36807</v>
      </c>
      <c r="M1522" s="22" t="s">
        <v>36947</v>
      </c>
    </row>
    <row r="1523" spans="1:13" x14ac:dyDescent="0.75">
      <c r="A1523" t="s">
        <v>26368</v>
      </c>
      <c r="B1523" t="s">
        <v>9357</v>
      </c>
      <c r="C1523" t="s">
        <v>6081</v>
      </c>
      <c r="D1523" t="s">
        <v>9358</v>
      </c>
      <c r="E1523" t="s">
        <v>26369</v>
      </c>
      <c r="F1523">
        <v>6</v>
      </c>
      <c r="G1523">
        <v>2531501</v>
      </c>
      <c r="H1523" t="s">
        <v>26370</v>
      </c>
      <c r="J1523" s="54" t="s">
        <v>6052</v>
      </c>
      <c r="K1523" s="54">
        <v>0</v>
      </c>
      <c r="L1523" s="22" t="s">
        <v>36807</v>
      </c>
      <c r="M1523" s="22" t="s">
        <v>36947</v>
      </c>
    </row>
    <row r="1524" spans="1:13" x14ac:dyDescent="0.75">
      <c r="A1524" t="s">
        <v>26366</v>
      </c>
      <c r="B1524" t="s">
        <v>9357</v>
      </c>
      <c r="C1524" t="s">
        <v>6081</v>
      </c>
      <c r="D1524" t="s">
        <v>9358</v>
      </c>
      <c r="E1524" t="s">
        <v>16582</v>
      </c>
      <c r="F1524">
        <v>4</v>
      </c>
      <c r="G1524">
        <v>2504442</v>
      </c>
      <c r="H1524" t="s">
        <v>26367</v>
      </c>
      <c r="J1524" s="54" t="s">
        <v>6052</v>
      </c>
      <c r="K1524" s="54">
        <v>0</v>
      </c>
      <c r="L1524" s="22" t="s">
        <v>36807</v>
      </c>
      <c r="M1524" s="22" t="s">
        <v>36947</v>
      </c>
    </row>
    <row r="1525" spans="1:13" x14ac:dyDescent="0.75">
      <c r="A1525" t="s">
        <v>26363</v>
      </c>
      <c r="B1525" t="s">
        <v>9357</v>
      </c>
      <c r="C1525" t="s">
        <v>6081</v>
      </c>
      <c r="D1525" t="s">
        <v>9358</v>
      </c>
      <c r="E1525" t="s">
        <v>26364</v>
      </c>
      <c r="F1525">
        <v>4</v>
      </c>
      <c r="G1525">
        <v>2530919</v>
      </c>
      <c r="H1525" t="s">
        <v>26365</v>
      </c>
      <c r="J1525" s="54" t="s">
        <v>6052</v>
      </c>
      <c r="K1525" s="54">
        <v>0</v>
      </c>
      <c r="L1525" s="22" t="s">
        <v>36807</v>
      </c>
      <c r="M1525" s="22" t="s">
        <v>36947</v>
      </c>
    </row>
    <row r="1526" spans="1:13" x14ac:dyDescent="0.75">
      <c r="A1526" t="s">
        <v>26360</v>
      </c>
      <c r="B1526" t="s">
        <v>9357</v>
      </c>
      <c r="C1526" t="s">
        <v>6081</v>
      </c>
      <c r="D1526" t="s">
        <v>9358</v>
      </c>
      <c r="E1526" t="s">
        <v>26361</v>
      </c>
      <c r="F1526">
        <v>3</v>
      </c>
      <c r="G1526">
        <v>2526008</v>
      </c>
      <c r="H1526" t="s">
        <v>26362</v>
      </c>
      <c r="J1526" s="54" t="s">
        <v>6052</v>
      </c>
      <c r="K1526" s="54">
        <v>0</v>
      </c>
      <c r="L1526" s="22" t="s">
        <v>36807</v>
      </c>
      <c r="M1526" s="22" t="s">
        <v>36947</v>
      </c>
    </row>
    <row r="1527" spans="1:13" x14ac:dyDescent="0.75">
      <c r="A1527" t="s">
        <v>26357</v>
      </c>
      <c r="B1527" t="s">
        <v>9357</v>
      </c>
      <c r="C1527" t="s">
        <v>6081</v>
      </c>
      <c r="D1527" t="s">
        <v>9358</v>
      </c>
      <c r="E1527" t="s">
        <v>26358</v>
      </c>
      <c r="F1527">
        <v>1</v>
      </c>
      <c r="G1527">
        <v>2539107</v>
      </c>
      <c r="H1527" t="s">
        <v>26359</v>
      </c>
      <c r="J1527" s="54" t="s">
        <v>6052</v>
      </c>
      <c r="K1527" s="54">
        <v>0</v>
      </c>
      <c r="L1527" s="22" t="s">
        <v>36807</v>
      </c>
      <c r="M1527" s="22" t="s">
        <v>36947</v>
      </c>
    </row>
    <row r="1528" spans="1:13" x14ac:dyDescent="0.75">
      <c r="A1528" t="s">
        <v>26354</v>
      </c>
      <c r="B1528" t="s">
        <v>9357</v>
      </c>
      <c r="C1528" t="s">
        <v>6081</v>
      </c>
      <c r="D1528" t="s">
        <v>9358</v>
      </c>
      <c r="E1528" t="s">
        <v>26355</v>
      </c>
      <c r="F1528">
        <v>3</v>
      </c>
      <c r="G1528">
        <v>2538849</v>
      </c>
      <c r="H1528" t="s">
        <v>26356</v>
      </c>
      <c r="J1528" s="54" t="s">
        <v>6052</v>
      </c>
      <c r="K1528" s="54">
        <v>0</v>
      </c>
      <c r="L1528" s="22" t="s">
        <v>36807</v>
      </c>
      <c r="M1528" s="22" t="s">
        <v>36947</v>
      </c>
    </row>
    <row r="1529" spans="1:13" x14ac:dyDescent="0.75">
      <c r="A1529" t="s">
        <v>26351</v>
      </c>
      <c r="B1529" t="s">
        <v>9357</v>
      </c>
      <c r="C1529" t="s">
        <v>6081</v>
      </c>
      <c r="D1529" t="s">
        <v>9358</v>
      </c>
      <c r="E1529" t="s">
        <v>26352</v>
      </c>
      <c r="F1529">
        <v>4</v>
      </c>
      <c r="G1529">
        <v>2525881</v>
      </c>
      <c r="H1529" t="s">
        <v>26353</v>
      </c>
      <c r="J1529" s="54" t="s">
        <v>6052</v>
      </c>
      <c r="K1529" s="54">
        <v>0</v>
      </c>
      <c r="L1529" s="22" t="s">
        <v>36807</v>
      </c>
      <c r="M1529" s="22" t="s">
        <v>36947</v>
      </c>
    </row>
    <row r="1530" spans="1:13" x14ac:dyDescent="0.75">
      <c r="A1530" t="s">
        <v>26348</v>
      </c>
      <c r="B1530" t="s">
        <v>9357</v>
      </c>
      <c r="C1530" t="s">
        <v>6081</v>
      </c>
      <c r="D1530" t="s">
        <v>9358</v>
      </c>
      <c r="E1530" t="s">
        <v>26349</v>
      </c>
      <c r="F1530">
        <v>2</v>
      </c>
      <c r="G1530">
        <v>2538112</v>
      </c>
      <c r="H1530" t="s">
        <v>26350</v>
      </c>
      <c r="J1530" s="54" t="s">
        <v>6052</v>
      </c>
      <c r="K1530" s="54">
        <v>0</v>
      </c>
      <c r="L1530" s="22" t="s">
        <v>36807</v>
      </c>
      <c r="M1530" s="22" t="s">
        <v>36947</v>
      </c>
    </row>
    <row r="1531" spans="1:13" x14ac:dyDescent="0.75">
      <c r="A1531" t="s">
        <v>26374</v>
      </c>
      <c r="B1531" t="s">
        <v>9760</v>
      </c>
      <c r="C1531" t="s">
        <v>6081</v>
      </c>
      <c r="D1531" t="s">
        <v>9761</v>
      </c>
      <c r="E1531" t="s">
        <v>26375</v>
      </c>
      <c r="F1531">
        <v>1</v>
      </c>
      <c r="G1531">
        <v>2304556</v>
      </c>
      <c r="H1531" t="s">
        <v>26376</v>
      </c>
      <c r="J1531" s="54" t="s">
        <v>6052</v>
      </c>
      <c r="K1531" s="54">
        <v>0</v>
      </c>
      <c r="L1531" s="22" t="s">
        <v>36807</v>
      </c>
      <c r="M1531" s="22" t="s">
        <v>36943</v>
      </c>
    </row>
    <row r="1532" spans="1:13" x14ac:dyDescent="0.75">
      <c r="A1532" t="s">
        <v>18123</v>
      </c>
      <c r="B1532" t="s">
        <v>6803</v>
      </c>
      <c r="C1532" t="s">
        <v>6081</v>
      </c>
      <c r="D1532" t="s">
        <v>6804</v>
      </c>
      <c r="E1532" t="s">
        <v>18124</v>
      </c>
      <c r="F1532">
        <v>85</v>
      </c>
      <c r="G1532">
        <v>2981342</v>
      </c>
      <c r="H1532" t="s">
        <v>18125</v>
      </c>
      <c r="J1532" s="54" t="s">
        <v>6052</v>
      </c>
      <c r="K1532" s="54">
        <v>0</v>
      </c>
      <c r="L1532" s="22" t="s">
        <v>1563</v>
      </c>
      <c r="M1532" s="22" t="s">
        <v>36940</v>
      </c>
    </row>
    <row r="1533" spans="1:13" x14ac:dyDescent="0.75">
      <c r="A1533" t="s">
        <v>18129</v>
      </c>
      <c r="B1533" t="s">
        <v>6803</v>
      </c>
      <c r="C1533" t="s">
        <v>6081</v>
      </c>
      <c r="D1533" t="s">
        <v>6804</v>
      </c>
      <c r="E1533" t="s">
        <v>18130</v>
      </c>
      <c r="F1533">
        <v>81</v>
      </c>
      <c r="G1533">
        <v>2796099</v>
      </c>
      <c r="H1533" t="s">
        <v>18131</v>
      </c>
      <c r="J1533" s="54" t="s">
        <v>6052</v>
      </c>
      <c r="K1533" s="54">
        <v>0</v>
      </c>
      <c r="L1533" s="22" t="s">
        <v>1563</v>
      </c>
      <c r="M1533" s="22" t="s">
        <v>36940</v>
      </c>
    </row>
    <row r="1534" spans="1:13" x14ac:dyDescent="0.75">
      <c r="A1534" t="s">
        <v>26377</v>
      </c>
      <c r="B1534" t="s">
        <v>9970</v>
      </c>
      <c r="C1534" t="s">
        <v>6081</v>
      </c>
      <c r="D1534" t="s">
        <v>9971</v>
      </c>
      <c r="E1534" t="s">
        <v>26378</v>
      </c>
      <c r="F1534">
        <v>3</v>
      </c>
      <c r="G1534">
        <v>2482927</v>
      </c>
      <c r="H1534" t="s">
        <v>26379</v>
      </c>
      <c r="J1534" s="54" t="s">
        <v>6052</v>
      </c>
      <c r="K1534" s="54">
        <v>0</v>
      </c>
      <c r="L1534" s="22" t="s">
        <v>36807</v>
      </c>
      <c r="M1534" s="22" t="s">
        <v>36945</v>
      </c>
    </row>
    <row r="1535" spans="1:13" x14ac:dyDescent="0.75">
      <c r="A1535" t="s">
        <v>22502</v>
      </c>
      <c r="B1535" t="s">
        <v>6738</v>
      </c>
      <c r="C1535" t="s">
        <v>6081</v>
      </c>
      <c r="D1535" t="s">
        <v>6739</v>
      </c>
      <c r="E1535" t="s">
        <v>22503</v>
      </c>
      <c r="F1535">
        <v>59</v>
      </c>
      <c r="G1535">
        <v>2401840</v>
      </c>
      <c r="H1535" t="s">
        <v>22504</v>
      </c>
      <c r="J1535" s="54" t="s">
        <v>6052</v>
      </c>
      <c r="K1535" s="54">
        <v>0</v>
      </c>
      <c r="L1535" s="22" t="s">
        <v>36807</v>
      </c>
      <c r="M1535" s="22" t="s">
        <v>36953</v>
      </c>
    </row>
    <row r="1536" spans="1:13" x14ac:dyDescent="0.75">
      <c r="A1536" t="s">
        <v>26297</v>
      </c>
      <c r="B1536" t="s">
        <v>6738</v>
      </c>
      <c r="C1536" t="s">
        <v>6081</v>
      </c>
      <c r="D1536" t="s">
        <v>6739</v>
      </c>
      <c r="E1536" t="s">
        <v>26298</v>
      </c>
      <c r="F1536">
        <v>1</v>
      </c>
      <c r="G1536">
        <v>2448195</v>
      </c>
      <c r="H1536" t="s">
        <v>26299</v>
      </c>
      <c r="J1536" s="54" t="s">
        <v>6052</v>
      </c>
      <c r="K1536" s="54">
        <v>0</v>
      </c>
      <c r="L1536" s="22" t="s">
        <v>36807</v>
      </c>
      <c r="M1536" s="22" t="s">
        <v>36953</v>
      </c>
    </row>
    <row r="1537" spans="1:13" x14ac:dyDescent="0.75">
      <c r="A1537" t="s">
        <v>26333</v>
      </c>
      <c r="B1537" t="s">
        <v>6738</v>
      </c>
      <c r="C1537" t="s">
        <v>6081</v>
      </c>
      <c r="D1537" t="s">
        <v>6739</v>
      </c>
      <c r="E1537" t="s">
        <v>26334</v>
      </c>
      <c r="F1537">
        <v>2</v>
      </c>
      <c r="G1537">
        <v>2387299</v>
      </c>
      <c r="H1537" t="s">
        <v>26335</v>
      </c>
      <c r="J1537" s="54" t="s">
        <v>6052</v>
      </c>
      <c r="K1537" s="54">
        <v>0</v>
      </c>
      <c r="L1537" s="22" t="s">
        <v>36807</v>
      </c>
      <c r="M1537" s="22" t="s">
        <v>36953</v>
      </c>
    </row>
    <row r="1538" spans="1:13" x14ac:dyDescent="0.75">
      <c r="A1538" t="s">
        <v>22499</v>
      </c>
      <c r="B1538" t="s">
        <v>9970</v>
      </c>
      <c r="C1538" t="s">
        <v>6081</v>
      </c>
      <c r="D1538" t="s">
        <v>9971</v>
      </c>
      <c r="E1538" t="s">
        <v>22500</v>
      </c>
      <c r="F1538">
        <v>40</v>
      </c>
      <c r="G1538">
        <v>2454916</v>
      </c>
      <c r="H1538" t="s">
        <v>22501</v>
      </c>
      <c r="J1538" s="54" t="s">
        <v>6052</v>
      </c>
      <c r="K1538" s="54">
        <v>0</v>
      </c>
      <c r="L1538" s="22" t="s">
        <v>36807</v>
      </c>
      <c r="M1538" s="22" t="s">
        <v>36945</v>
      </c>
    </row>
    <row r="1539" spans="1:13" x14ac:dyDescent="0.75">
      <c r="A1539" t="s">
        <v>22496</v>
      </c>
      <c r="B1539" t="s">
        <v>9970</v>
      </c>
      <c r="C1539" t="s">
        <v>6081</v>
      </c>
      <c r="D1539" t="s">
        <v>9971</v>
      </c>
      <c r="E1539" t="s">
        <v>22497</v>
      </c>
      <c r="F1539">
        <v>40</v>
      </c>
      <c r="G1539">
        <v>2457496</v>
      </c>
      <c r="H1539" t="s">
        <v>22498</v>
      </c>
      <c r="J1539" s="54" t="s">
        <v>6052</v>
      </c>
      <c r="K1539" s="54">
        <v>0</v>
      </c>
      <c r="L1539" s="22" t="s">
        <v>36807</v>
      </c>
      <c r="M1539" s="22" t="s">
        <v>36945</v>
      </c>
    </row>
    <row r="1540" spans="1:13" x14ac:dyDescent="0.75">
      <c r="A1540" t="s">
        <v>22422</v>
      </c>
      <c r="B1540" t="s">
        <v>9970</v>
      </c>
      <c r="C1540" t="s">
        <v>6081</v>
      </c>
      <c r="D1540" t="s">
        <v>9971</v>
      </c>
      <c r="E1540" t="s">
        <v>22423</v>
      </c>
      <c r="F1540">
        <v>39</v>
      </c>
      <c r="G1540">
        <v>2528625</v>
      </c>
      <c r="H1540" t="s">
        <v>22424</v>
      </c>
      <c r="J1540" s="54" t="s">
        <v>6052</v>
      </c>
      <c r="K1540" s="54">
        <v>0</v>
      </c>
      <c r="L1540" s="22" t="s">
        <v>36807</v>
      </c>
      <c r="M1540" s="22" t="s">
        <v>36945</v>
      </c>
    </row>
    <row r="1541" spans="1:13" x14ac:dyDescent="0.75">
      <c r="A1541" t="s">
        <v>22493</v>
      </c>
      <c r="B1541" t="s">
        <v>6738</v>
      </c>
      <c r="C1541" t="s">
        <v>6081</v>
      </c>
      <c r="D1541" t="s">
        <v>6739</v>
      </c>
      <c r="E1541" t="s">
        <v>22494</v>
      </c>
      <c r="F1541">
        <v>60</v>
      </c>
      <c r="G1541">
        <v>2426471</v>
      </c>
      <c r="H1541" t="s">
        <v>22495</v>
      </c>
      <c r="J1541" s="54" t="s">
        <v>6052</v>
      </c>
      <c r="K1541" s="54">
        <v>0</v>
      </c>
      <c r="L1541" s="22" t="s">
        <v>36807</v>
      </c>
      <c r="M1541" s="22" t="s">
        <v>36953</v>
      </c>
    </row>
    <row r="1542" spans="1:13" x14ac:dyDescent="0.75">
      <c r="A1542" t="s">
        <v>22508</v>
      </c>
      <c r="B1542" t="s">
        <v>6738</v>
      </c>
      <c r="C1542" t="s">
        <v>6081</v>
      </c>
      <c r="D1542" t="s">
        <v>6739</v>
      </c>
      <c r="E1542" t="s">
        <v>22509</v>
      </c>
      <c r="F1542">
        <v>59</v>
      </c>
      <c r="G1542">
        <v>2435816</v>
      </c>
      <c r="H1542" t="s">
        <v>22510</v>
      </c>
      <c r="J1542" s="54" t="s">
        <v>6052</v>
      </c>
      <c r="K1542" s="54">
        <v>0</v>
      </c>
      <c r="L1542" s="22" t="s">
        <v>36807</v>
      </c>
      <c r="M1542" s="22" t="s">
        <v>36953</v>
      </c>
    </row>
    <row r="1543" spans="1:13" x14ac:dyDescent="0.75">
      <c r="A1543" t="s">
        <v>22514</v>
      </c>
      <c r="B1543" t="s">
        <v>6738</v>
      </c>
      <c r="C1543" t="s">
        <v>6081</v>
      </c>
      <c r="D1543" t="s">
        <v>6739</v>
      </c>
      <c r="E1543" t="s">
        <v>22515</v>
      </c>
      <c r="F1543">
        <v>71</v>
      </c>
      <c r="G1543">
        <v>2530226</v>
      </c>
      <c r="H1543" t="s">
        <v>22516</v>
      </c>
      <c r="J1543" s="54" t="s">
        <v>6052</v>
      </c>
      <c r="K1543" s="54">
        <v>0</v>
      </c>
      <c r="L1543" s="22" t="s">
        <v>36807</v>
      </c>
      <c r="M1543" s="22" t="s">
        <v>36953</v>
      </c>
    </row>
    <row r="1544" spans="1:13" x14ac:dyDescent="0.75">
      <c r="A1544" t="s">
        <v>22416</v>
      </c>
      <c r="B1544" t="s">
        <v>9970</v>
      </c>
      <c r="C1544" t="s">
        <v>6081</v>
      </c>
      <c r="D1544" t="s">
        <v>9971</v>
      </c>
      <c r="E1544" t="s">
        <v>22417</v>
      </c>
      <c r="F1544">
        <v>43</v>
      </c>
      <c r="G1544">
        <v>2528086</v>
      </c>
      <c r="H1544" t="s">
        <v>22418</v>
      </c>
      <c r="J1544" s="54" t="s">
        <v>6052</v>
      </c>
      <c r="K1544" s="54">
        <v>0</v>
      </c>
      <c r="L1544" s="22" t="s">
        <v>36807</v>
      </c>
      <c r="M1544" s="22" t="s">
        <v>36945</v>
      </c>
    </row>
    <row r="1545" spans="1:13" x14ac:dyDescent="0.75">
      <c r="A1545" t="s">
        <v>22490</v>
      </c>
      <c r="B1545" t="s">
        <v>6738</v>
      </c>
      <c r="C1545" t="s">
        <v>6081</v>
      </c>
      <c r="D1545" t="s">
        <v>6739</v>
      </c>
      <c r="E1545" t="s">
        <v>22491</v>
      </c>
      <c r="F1545">
        <v>51</v>
      </c>
      <c r="G1545">
        <v>2470047</v>
      </c>
      <c r="H1545" t="s">
        <v>22492</v>
      </c>
      <c r="J1545" s="54" t="s">
        <v>6052</v>
      </c>
      <c r="K1545" s="54">
        <v>0</v>
      </c>
      <c r="L1545" s="22" t="s">
        <v>36807</v>
      </c>
      <c r="M1545" s="22" t="s">
        <v>36953</v>
      </c>
    </row>
    <row r="1546" spans="1:13" x14ac:dyDescent="0.75">
      <c r="A1546" t="s">
        <v>18105</v>
      </c>
      <c r="B1546" t="s">
        <v>9970</v>
      </c>
      <c r="C1546" t="s">
        <v>6081</v>
      </c>
      <c r="D1546" t="s">
        <v>9971</v>
      </c>
      <c r="E1546" t="s">
        <v>18106</v>
      </c>
      <c r="F1546">
        <v>64</v>
      </c>
      <c r="G1546">
        <v>2415387</v>
      </c>
      <c r="H1546" t="s">
        <v>18107</v>
      </c>
      <c r="J1546" s="54" t="s">
        <v>6052</v>
      </c>
      <c r="K1546" s="54">
        <v>0</v>
      </c>
      <c r="L1546" s="22" t="s">
        <v>36807</v>
      </c>
      <c r="M1546" s="22" t="s">
        <v>36945</v>
      </c>
    </row>
    <row r="1547" spans="1:13" x14ac:dyDescent="0.75">
      <c r="A1547" t="s">
        <v>17116</v>
      </c>
      <c r="B1547" t="s">
        <v>12689</v>
      </c>
      <c r="C1547" t="s">
        <v>6081</v>
      </c>
      <c r="D1547" t="s">
        <v>12690</v>
      </c>
      <c r="E1547" t="s">
        <v>17117</v>
      </c>
      <c r="F1547">
        <v>75</v>
      </c>
      <c r="G1547">
        <v>2679379</v>
      </c>
      <c r="H1547" t="s">
        <v>17118</v>
      </c>
      <c r="J1547" s="54" t="s">
        <v>6052</v>
      </c>
      <c r="K1547" s="54">
        <v>0</v>
      </c>
      <c r="L1547" s="22" t="s">
        <v>1563</v>
      </c>
      <c r="M1547" s="22" t="s">
        <v>36939</v>
      </c>
    </row>
    <row r="1548" spans="1:13" x14ac:dyDescent="0.75">
      <c r="A1548" t="s">
        <v>17110</v>
      </c>
      <c r="B1548" t="s">
        <v>12689</v>
      </c>
      <c r="C1548" t="s">
        <v>6081</v>
      </c>
      <c r="D1548" t="s">
        <v>12690</v>
      </c>
      <c r="E1548" t="s">
        <v>17111</v>
      </c>
      <c r="F1548">
        <v>65</v>
      </c>
      <c r="G1548">
        <v>2675843</v>
      </c>
      <c r="H1548" t="s">
        <v>17112</v>
      </c>
      <c r="J1548" s="54" t="s">
        <v>6052</v>
      </c>
      <c r="K1548" s="54">
        <v>0</v>
      </c>
      <c r="L1548" s="22" t="s">
        <v>1563</v>
      </c>
      <c r="M1548" s="22" t="s">
        <v>36939</v>
      </c>
    </row>
    <row r="1549" spans="1:13" x14ac:dyDescent="0.75">
      <c r="A1549" t="s">
        <v>17107</v>
      </c>
      <c r="B1549" t="s">
        <v>12689</v>
      </c>
      <c r="C1549" t="s">
        <v>6081</v>
      </c>
      <c r="D1549" t="s">
        <v>12690</v>
      </c>
      <c r="E1549" t="s">
        <v>17108</v>
      </c>
      <c r="F1549">
        <v>36</v>
      </c>
      <c r="G1549">
        <v>2668890</v>
      </c>
      <c r="H1549" t="s">
        <v>17109</v>
      </c>
      <c r="J1549" s="54" t="s">
        <v>6052</v>
      </c>
      <c r="K1549" s="54">
        <v>0</v>
      </c>
      <c r="L1549" s="22" t="s">
        <v>1563</v>
      </c>
      <c r="M1549" s="22" t="s">
        <v>36939</v>
      </c>
    </row>
    <row r="1550" spans="1:13" x14ac:dyDescent="0.75">
      <c r="A1550" t="s">
        <v>17089</v>
      </c>
      <c r="B1550" t="s">
        <v>10755</v>
      </c>
      <c r="C1550" t="s">
        <v>6081</v>
      </c>
      <c r="D1550" t="s">
        <v>10756</v>
      </c>
      <c r="E1550" t="s">
        <v>17090</v>
      </c>
      <c r="F1550">
        <v>101</v>
      </c>
      <c r="G1550">
        <v>2888281</v>
      </c>
      <c r="H1550" t="s">
        <v>17091</v>
      </c>
      <c r="J1550" s="54" t="s">
        <v>6052</v>
      </c>
      <c r="K1550" s="54">
        <v>0</v>
      </c>
      <c r="L1550" s="22" t="s">
        <v>1563</v>
      </c>
      <c r="M1550" s="22" t="s">
        <v>36959</v>
      </c>
    </row>
    <row r="1551" spans="1:13" x14ac:dyDescent="0.75">
      <c r="A1551" t="s">
        <v>17104</v>
      </c>
      <c r="B1551" t="s">
        <v>9357</v>
      </c>
      <c r="C1551" t="s">
        <v>6081</v>
      </c>
      <c r="D1551" t="s">
        <v>9358</v>
      </c>
      <c r="E1551" t="s">
        <v>17105</v>
      </c>
      <c r="F1551">
        <v>60</v>
      </c>
      <c r="G1551">
        <v>2582419</v>
      </c>
      <c r="H1551" t="s">
        <v>17106</v>
      </c>
      <c r="J1551" s="54" t="s">
        <v>6052</v>
      </c>
      <c r="K1551" s="54">
        <v>0</v>
      </c>
      <c r="L1551" s="22" t="s">
        <v>36807</v>
      </c>
      <c r="M1551" s="22" t="s">
        <v>36947</v>
      </c>
    </row>
    <row r="1552" spans="1:13" x14ac:dyDescent="0.75">
      <c r="A1552" t="s">
        <v>17101</v>
      </c>
      <c r="B1552" t="s">
        <v>9357</v>
      </c>
      <c r="C1552" t="s">
        <v>6081</v>
      </c>
      <c r="D1552" t="s">
        <v>9358</v>
      </c>
      <c r="E1552" t="s">
        <v>17102</v>
      </c>
      <c r="F1552">
        <v>222</v>
      </c>
      <c r="G1552">
        <v>2628464</v>
      </c>
      <c r="H1552" t="s">
        <v>17103</v>
      </c>
      <c r="J1552" s="54" t="s">
        <v>6052</v>
      </c>
      <c r="K1552" s="54">
        <v>0</v>
      </c>
      <c r="L1552" s="22" t="s">
        <v>36807</v>
      </c>
      <c r="M1552" s="22" t="s">
        <v>36947</v>
      </c>
    </row>
    <row r="1553" spans="1:13" x14ac:dyDescent="0.75">
      <c r="A1553" t="s">
        <v>10594</v>
      </c>
      <c r="B1553" t="s">
        <v>10595</v>
      </c>
      <c r="C1553" t="s">
        <v>6081</v>
      </c>
      <c r="D1553" t="s">
        <v>10596</v>
      </c>
      <c r="E1553" t="s">
        <v>10597</v>
      </c>
      <c r="F1553">
        <v>82</v>
      </c>
      <c r="G1553">
        <v>2227780</v>
      </c>
      <c r="H1553" t="s">
        <v>10598</v>
      </c>
      <c r="J1553" s="54" t="s">
        <v>6052</v>
      </c>
      <c r="K1553" s="54">
        <v>0</v>
      </c>
      <c r="L1553" s="22" t="s">
        <v>1563</v>
      </c>
      <c r="M1553" s="22" t="s">
        <v>36963</v>
      </c>
    </row>
    <row r="1554" spans="1:13" x14ac:dyDescent="0.75">
      <c r="A1554" t="s">
        <v>11867</v>
      </c>
      <c r="B1554" t="s">
        <v>6405</v>
      </c>
      <c r="C1554" t="s">
        <v>6081</v>
      </c>
      <c r="D1554" t="s">
        <v>6406</v>
      </c>
      <c r="E1554" t="s">
        <v>11868</v>
      </c>
      <c r="F1554">
        <v>14</v>
      </c>
      <c r="G1554">
        <v>2535741</v>
      </c>
      <c r="H1554" t="s">
        <v>11869</v>
      </c>
      <c r="J1554" s="54" t="s">
        <v>6052</v>
      </c>
      <c r="K1554" s="54">
        <v>0</v>
      </c>
      <c r="L1554" s="22" t="s">
        <v>36806</v>
      </c>
      <c r="M1554" s="22" t="s">
        <v>36966</v>
      </c>
    </row>
    <row r="1555" spans="1:13" x14ac:dyDescent="0.75">
      <c r="A1555" t="s">
        <v>12152</v>
      </c>
      <c r="B1555" t="s">
        <v>6774</v>
      </c>
      <c r="C1555" t="s">
        <v>6107</v>
      </c>
      <c r="D1555" t="s">
        <v>6775</v>
      </c>
      <c r="E1555" t="s">
        <v>12153</v>
      </c>
      <c r="F1555">
        <v>45</v>
      </c>
      <c r="G1555">
        <v>2112695</v>
      </c>
      <c r="H1555" t="s">
        <v>12154</v>
      </c>
      <c r="J1555" s="54" t="s">
        <v>6052</v>
      </c>
      <c r="K1555" s="54">
        <v>0</v>
      </c>
      <c r="L1555" s="22" t="s">
        <v>104</v>
      </c>
      <c r="M1555" s="22" t="s">
        <v>37010</v>
      </c>
    </row>
    <row r="1556" spans="1:13" x14ac:dyDescent="0.75">
      <c r="A1556" t="s">
        <v>15999</v>
      </c>
      <c r="B1556" t="s">
        <v>13861</v>
      </c>
      <c r="C1556" t="s">
        <v>6081</v>
      </c>
      <c r="D1556" t="s">
        <v>13862</v>
      </c>
      <c r="E1556" t="s">
        <v>16000</v>
      </c>
      <c r="F1556">
        <v>164</v>
      </c>
      <c r="G1556">
        <v>2623280</v>
      </c>
      <c r="H1556" t="s">
        <v>16001</v>
      </c>
      <c r="J1556" s="54" t="s">
        <v>6052</v>
      </c>
      <c r="K1556" s="54">
        <v>0</v>
      </c>
      <c r="L1556" s="22" t="s">
        <v>1563</v>
      </c>
      <c r="M1556" s="22" t="s">
        <v>36957</v>
      </c>
    </row>
    <row r="1557" spans="1:13" x14ac:dyDescent="0.75">
      <c r="A1557" t="s">
        <v>26282</v>
      </c>
      <c r="B1557" t="s">
        <v>13861</v>
      </c>
      <c r="C1557" t="s">
        <v>6081</v>
      </c>
      <c r="D1557" t="s">
        <v>13862</v>
      </c>
      <c r="E1557" t="s">
        <v>26283</v>
      </c>
      <c r="F1557">
        <v>1</v>
      </c>
      <c r="G1557">
        <v>2736752</v>
      </c>
      <c r="H1557" t="s">
        <v>26284</v>
      </c>
      <c r="J1557" s="54" t="s">
        <v>6052</v>
      </c>
      <c r="K1557" s="54">
        <v>0</v>
      </c>
      <c r="L1557" s="22" t="s">
        <v>1563</v>
      </c>
      <c r="M1557" s="22" t="s">
        <v>36957</v>
      </c>
    </row>
    <row r="1558" spans="1:13" x14ac:dyDescent="0.75">
      <c r="A1558" t="s">
        <v>26238</v>
      </c>
      <c r="B1558" t="s">
        <v>13861</v>
      </c>
      <c r="C1558" t="s">
        <v>6081</v>
      </c>
      <c r="D1558" t="s">
        <v>13862</v>
      </c>
      <c r="E1558" t="s">
        <v>26239</v>
      </c>
      <c r="F1558">
        <v>1</v>
      </c>
      <c r="G1558">
        <v>2596253</v>
      </c>
      <c r="H1558" t="s">
        <v>26240</v>
      </c>
      <c r="J1558" s="54" t="s">
        <v>6052</v>
      </c>
      <c r="K1558" s="54">
        <v>0</v>
      </c>
      <c r="L1558" s="22" t="s">
        <v>1563</v>
      </c>
      <c r="M1558" s="22" t="s">
        <v>36957</v>
      </c>
    </row>
    <row r="1559" spans="1:13" x14ac:dyDescent="0.75">
      <c r="A1559" t="s">
        <v>26235</v>
      </c>
      <c r="B1559" t="s">
        <v>13861</v>
      </c>
      <c r="C1559" t="s">
        <v>6081</v>
      </c>
      <c r="D1559" t="s">
        <v>13862</v>
      </c>
      <c r="E1559" t="s">
        <v>26236</v>
      </c>
      <c r="F1559">
        <v>1</v>
      </c>
      <c r="G1559">
        <v>2612809</v>
      </c>
      <c r="H1559" t="s">
        <v>26237</v>
      </c>
      <c r="J1559" s="54" t="s">
        <v>6052</v>
      </c>
      <c r="K1559" s="54">
        <v>0</v>
      </c>
      <c r="L1559" s="22" t="s">
        <v>1563</v>
      </c>
      <c r="M1559" s="22" t="s">
        <v>36957</v>
      </c>
    </row>
    <row r="1560" spans="1:13" x14ac:dyDescent="0.75">
      <c r="A1560" t="s">
        <v>18853</v>
      </c>
      <c r="B1560" t="s">
        <v>16103</v>
      </c>
      <c r="C1560" t="s">
        <v>6081</v>
      </c>
      <c r="D1560" t="s">
        <v>16104</v>
      </c>
      <c r="E1560" t="s">
        <v>18854</v>
      </c>
      <c r="F1560">
        <v>15</v>
      </c>
      <c r="G1560">
        <v>2694851</v>
      </c>
      <c r="H1560" t="s">
        <v>18855</v>
      </c>
      <c r="J1560" s="54" t="s">
        <v>6052</v>
      </c>
      <c r="K1560" s="54">
        <v>0</v>
      </c>
      <c r="L1560" s="22" t="s">
        <v>36807</v>
      </c>
      <c r="M1560" s="22" t="s">
        <v>36942</v>
      </c>
    </row>
    <row r="1561" spans="1:13" x14ac:dyDescent="0.75">
      <c r="A1561" t="s">
        <v>26226</v>
      </c>
      <c r="B1561" t="s">
        <v>16103</v>
      </c>
      <c r="C1561" t="s">
        <v>6081</v>
      </c>
      <c r="D1561" t="s">
        <v>16104</v>
      </c>
      <c r="E1561" t="s">
        <v>18854</v>
      </c>
      <c r="F1561">
        <v>2</v>
      </c>
      <c r="G1561">
        <v>2652582</v>
      </c>
      <c r="H1561" t="s">
        <v>26227</v>
      </c>
      <c r="J1561" s="54" t="s">
        <v>6052</v>
      </c>
      <c r="K1561" s="54">
        <v>0</v>
      </c>
      <c r="L1561" s="22" t="s">
        <v>36807</v>
      </c>
      <c r="M1561" s="22" t="s">
        <v>36942</v>
      </c>
    </row>
    <row r="1562" spans="1:13" x14ac:dyDescent="0.75">
      <c r="A1562" t="s">
        <v>13168</v>
      </c>
      <c r="B1562" t="s">
        <v>8409</v>
      </c>
      <c r="C1562" t="s">
        <v>6081</v>
      </c>
      <c r="D1562" t="s">
        <v>8410</v>
      </c>
      <c r="E1562" t="s">
        <v>13169</v>
      </c>
      <c r="F1562">
        <v>28</v>
      </c>
      <c r="G1562">
        <v>2371600</v>
      </c>
      <c r="H1562" t="s">
        <v>13170</v>
      </c>
      <c r="J1562" s="54" t="s">
        <v>6052</v>
      </c>
      <c r="K1562" s="54">
        <v>0</v>
      </c>
      <c r="L1562" s="22" t="s">
        <v>36804</v>
      </c>
      <c r="M1562" s="22" t="s">
        <v>36946</v>
      </c>
    </row>
    <row r="1563" spans="1:13" x14ac:dyDescent="0.75">
      <c r="A1563" t="s">
        <v>26233</v>
      </c>
      <c r="B1563" t="s">
        <v>8409</v>
      </c>
      <c r="C1563" t="s">
        <v>6081</v>
      </c>
      <c r="D1563" t="s">
        <v>8410</v>
      </c>
      <c r="E1563" t="s">
        <v>13169</v>
      </c>
      <c r="F1563">
        <v>1</v>
      </c>
      <c r="G1563">
        <v>2405729</v>
      </c>
      <c r="H1563" t="s">
        <v>26234</v>
      </c>
      <c r="J1563" s="54" t="s">
        <v>6052</v>
      </c>
      <c r="K1563" s="54">
        <v>0</v>
      </c>
      <c r="L1563" s="22" t="s">
        <v>36804</v>
      </c>
      <c r="M1563" s="22" t="s">
        <v>36946</v>
      </c>
    </row>
    <row r="1564" spans="1:13" x14ac:dyDescent="0.75">
      <c r="A1564" t="s">
        <v>26228</v>
      </c>
      <c r="B1564" t="s">
        <v>14348</v>
      </c>
      <c r="C1564" t="s">
        <v>6081</v>
      </c>
      <c r="D1564" t="s">
        <v>14349</v>
      </c>
      <c r="E1564" t="s">
        <v>26229</v>
      </c>
      <c r="F1564">
        <v>1</v>
      </c>
      <c r="G1564">
        <v>2508772</v>
      </c>
      <c r="H1564" t="s">
        <v>26230</v>
      </c>
      <c r="J1564" s="54" t="s">
        <v>6052</v>
      </c>
      <c r="K1564" s="54">
        <v>0</v>
      </c>
      <c r="L1564" s="22" t="s">
        <v>1563</v>
      </c>
      <c r="M1564" s="22" t="s">
        <v>36968</v>
      </c>
    </row>
    <row r="1565" spans="1:13" x14ac:dyDescent="0.75">
      <c r="A1565" t="s">
        <v>27166</v>
      </c>
      <c r="B1565" t="s">
        <v>14348</v>
      </c>
      <c r="C1565" t="s">
        <v>6081</v>
      </c>
      <c r="D1565" t="s">
        <v>14349</v>
      </c>
      <c r="E1565" t="s">
        <v>26229</v>
      </c>
      <c r="F1565">
        <v>2</v>
      </c>
      <c r="G1565">
        <v>2568936</v>
      </c>
      <c r="H1565" t="s">
        <v>27167</v>
      </c>
      <c r="J1565" s="54" t="s">
        <v>6052</v>
      </c>
      <c r="K1565" s="54">
        <v>0</v>
      </c>
      <c r="L1565" s="22" t="s">
        <v>1563</v>
      </c>
      <c r="M1565" s="22" t="s">
        <v>36968</v>
      </c>
    </row>
    <row r="1566" spans="1:13" x14ac:dyDescent="0.75">
      <c r="A1566" t="s">
        <v>23337</v>
      </c>
      <c r="B1566" t="s">
        <v>6628</v>
      </c>
      <c r="C1566" t="s">
        <v>6081</v>
      </c>
      <c r="D1566" t="s">
        <v>6629</v>
      </c>
      <c r="E1566" t="s">
        <v>23338</v>
      </c>
      <c r="F1566">
        <v>1</v>
      </c>
      <c r="G1566">
        <v>2465625</v>
      </c>
      <c r="H1566" t="s">
        <v>23339</v>
      </c>
      <c r="J1566" s="54" t="s">
        <v>6052</v>
      </c>
      <c r="K1566" s="54">
        <v>0</v>
      </c>
      <c r="L1566" s="22" t="s">
        <v>36807</v>
      </c>
      <c r="M1566" s="22" t="s">
        <v>36960</v>
      </c>
    </row>
    <row r="1567" spans="1:13" x14ac:dyDescent="0.75">
      <c r="A1567" t="s">
        <v>26218</v>
      </c>
      <c r="B1567" t="s">
        <v>9434</v>
      </c>
      <c r="C1567" t="s">
        <v>6081</v>
      </c>
      <c r="D1567" t="s">
        <v>9435</v>
      </c>
      <c r="E1567" t="s">
        <v>26219</v>
      </c>
      <c r="F1567">
        <v>1</v>
      </c>
      <c r="G1567">
        <v>2375453</v>
      </c>
      <c r="H1567" t="s">
        <v>26220</v>
      </c>
      <c r="J1567" s="54" t="s">
        <v>6052</v>
      </c>
      <c r="K1567" s="54">
        <v>0</v>
      </c>
      <c r="L1567" s="22" t="s">
        <v>1563</v>
      </c>
      <c r="M1567" s="22" t="s">
        <v>36955</v>
      </c>
    </row>
    <row r="1568" spans="1:13" x14ac:dyDescent="0.75">
      <c r="A1568" t="s">
        <v>27229</v>
      </c>
      <c r="B1568" t="s">
        <v>9434</v>
      </c>
      <c r="C1568" t="s">
        <v>6081</v>
      </c>
      <c r="D1568" t="s">
        <v>9435</v>
      </c>
      <c r="E1568" t="s">
        <v>26219</v>
      </c>
      <c r="F1568">
        <v>45</v>
      </c>
      <c r="G1568">
        <v>2326687</v>
      </c>
      <c r="H1568" t="s">
        <v>27230</v>
      </c>
      <c r="J1568" s="54" t="s">
        <v>6052</v>
      </c>
      <c r="K1568" s="54">
        <v>0</v>
      </c>
      <c r="L1568" s="22" t="s">
        <v>1563</v>
      </c>
      <c r="M1568" s="22" t="s">
        <v>36955</v>
      </c>
    </row>
    <row r="1569" spans="1:13" x14ac:dyDescent="0.75">
      <c r="A1569" t="s">
        <v>9356</v>
      </c>
      <c r="B1569" t="s">
        <v>9357</v>
      </c>
      <c r="C1569" t="s">
        <v>6081</v>
      </c>
      <c r="D1569" t="s">
        <v>9358</v>
      </c>
      <c r="E1569" t="s">
        <v>9359</v>
      </c>
      <c r="F1569">
        <v>22</v>
      </c>
      <c r="G1569">
        <v>2458635</v>
      </c>
      <c r="H1569" t="s">
        <v>9360</v>
      </c>
      <c r="J1569" s="54" t="s">
        <v>6052</v>
      </c>
      <c r="K1569" s="54">
        <v>0</v>
      </c>
      <c r="L1569" s="22" t="s">
        <v>36807</v>
      </c>
      <c r="M1569" s="22" t="s">
        <v>36947</v>
      </c>
    </row>
    <row r="1570" spans="1:13" x14ac:dyDescent="0.75">
      <c r="A1570" t="s">
        <v>10386</v>
      </c>
      <c r="B1570" t="s">
        <v>9760</v>
      </c>
      <c r="C1570" t="s">
        <v>6081</v>
      </c>
      <c r="D1570" t="s">
        <v>9761</v>
      </c>
      <c r="E1570" t="s">
        <v>10387</v>
      </c>
      <c r="F1570">
        <v>13</v>
      </c>
      <c r="G1570">
        <v>2261008</v>
      </c>
      <c r="H1570" t="s">
        <v>10388</v>
      </c>
      <c r="J1570" s="54" t="s">
        <v>6052</v>
      </c>
      <c r="K1570" s="54">
        <v>0</v>
      </c>
      <c r="L1570" s="22" t="s">
        <v>36807</v>
      </c>
      <c r="M1570" s="22" t="s">
        <v>36943</v>
      </c>
    </row>
    <row r="1571" spans="1:13" x14ac:dyDescent="0.75">
      <c r="A1571" t="s">
        <v>9348</v>
      </c>
      <c r="B1571" t="s">
        <v>9349</v>
      </c>
      <c r="C1571" t="s">
        <v>6081</v>
      </c>
      <c r="D1571" t="s">
        <v>9350</v>
      </c>
      <c r="E1571" t="s">
        <v>9351</v>
      </c>
      <c r="F1571">
        <v>39</v>
      </c>
      <c r="G1571">
        <v>2370005</v>
      </c>
      <c r="H1571" t="s">
        <v>9352</v>
      </c>
      <c r="J1571" s="54" t="s">
        <v>6052</v>
      </c>
      <c r="K1571" s="54">
        <v>0</v>
      </c>
      <c r="L1571" s="22" t="s">
        <v>36806</v>
      </c>
      <c r="M1571" s="22" t="s">
        <v>36949</v>
      </c>
    </row>
    <row r="1572" spans="1:13" x14ac:dyDescent="0.75">
      <c r="A1572" t="s">
        <v>6404</v>
      </c>
      <c r="B1572" t="s">
        <v>6405</v>
      </c>
      <c r="C1572" t="s">
        <v>6081</v>
      </c>
      <c r="D1572" t="s">
        <v>6406</v>
      </c>
      <c r="E1572" t="s">
        <v>6407</v>
      </c>
      <c r="F1572">
        <v>1</v>
      </c>
      <c r="G1572">
        <v>2446804</v>
      </c>
      <c r="H1572" t="s">
        <v>6408</v>
      </c>
      <c r="J1572" s="54" t="s">
        <v>6052</v>
      </c>
      <c r="K1572" s="54">
        <v>0</v>
      </c>
      <c r="L1572" s="22" t="s">
        <v>36806</v>
      </c>
      <c r="M1572" s="22" t="s">
        <v>36966</v>
      </c>
    </row>
    <row r="1573" spans="1:13" x14ac:dyDescent="0.75">
      <c r="A1573" t="s">
        <v>27231</v>
      </c>
      <c r="B1573" t="s">
        <v>23960</v>
      </c>
      <c r="C1573" t="s">
        <v>6081</v>
      </c>
      <c r="D1573" t="s">
        <v>23961</v>
      </c>
      <c r="E1573" t="s">
        <v>27232</v>
      </c>
      <c r="F1573">
        <v>32</v>
      </c>
      <c r="G1573">
        <v>2248056</v>
      </c>
      <c r="H1573" t="s">
        <v>27233</v>
      </c>
      <c r="J1573" s="54" t="s">
        <v>6052</v>
      </c>
      <c r="K1573" s="54">
        <v>0</v>
      </c>
      <c r="L1573" s="22" t="s">
        <v>1563</v>
      </c>
      <c r="M1573" s="22" t="s">
        <v>36964</v>
      </c>
    </row>
    <row r="1574" spans="1:13" x14ac:dyDescent="0.75">
      <c r="A1574" t="s">
        <v>23505</v>
      </c>
      <c r="B1574" t="s">
        <v>6394</v>
      </c>
      <c r="C1574" t="s">
        <v>6081</v>
      </c>
      <c r="D1574" t="s">
        <v>6395</v>
      </c>
      <c r="E1574" t="s">
        <v>23506</v>
      </c>
      <c r="F1574">
        <v>58</v>
      </c>
      <c r="G1574">
        <v>2683765</v>
      </c>
      <c r="H1574" t="s">
        <v>23507</v>
      </c>
      <c r="J1574" s="54" t="s">
        <v>6052</v>
      </c>
      <c r="K1574" s="54">
        <v>0</v>
      </c>
      <c r="L1574" s="22" t="s">
        <v>1563</v>
      </c>
      <c r="M1574" s="22" t="s">
        <v>36948</v>
      </c>
    </row>
    <row r="1575" spans="1:13" x14ac:dyDescent="0.75">
      <c r="A1575" t="s">
        <v>26224</v>
      </c>
      <c r="B1575" t="s">
        <v>6394</v>
      </c>
      <c r="C1575" t="s">
        <v>6081</v>
      </c>
      <c r="D1575" t="s">
        <v>6395</v>
      </c>
      <c r="E1575" t="s">
        <v>23506</v>
      </c>
      <c r="F1575">
        <v>2</v>
      </c>
      <c r="G1575">
        <v>2740104</v>
      </c>
      <c r="H1575" t="s">
        <v>26225</v>
      </c>
      <c r="J1575" s="54" t="s">
        <v>6052</v>
      </c>
      <c r="K1575" s="54">
        <v>0</v>
      </c>
      <c r="L1575" s="22" t="s">
        <v>1563</v>
      </c>
      <c r="M1575" s="22" t="s">
        <v>36948</v>
      </c>
    </row>
    <row r="1576" spans="1:13" x14ac:dyDescent="0.75">
      <c r="A1576" t="s">
        <v>6393</v>
      </c>
      <c r="B1576" t="s">
        <v>6394</v>
      </c>
      <c r="C1576" t="s">
        <v>6081</v>
      </c>
      <c r="D1576" t="s">
        <v>6395</v>
      </c>
      <c r="E1576" t="s">
        <v>6396</v>
      </c>
      <c r="F1576">
        <v>2</v>
      </c>
      <c r="G1576">
        <v>2819226</v>
      </c>
      <c r="H1576" t="s">
        <v>6397</v>
      </c>
      <c r="J1576" s="54" t="s">
        <v>6052</v>
      </c>
      <c r="K1576" s="54">
        <v>0</v>
      </c>
      <c r="L1576" s="22" t="s">
        <v>1563</v>
      </c>
      <c r="M1576" s="22" t="s">
        <v>36948</v>
      </c>
    </row>
    <row r="1577" spans="1:13" x14ac:dyDescent="0.75">
      <c r="A1577" t="s">
        <v>18764</v>
      </c>
      <c r="B1577" t="s">
        <v>6738</v>
      </c>
      <c r="C1577" t="s">
        <v>6081</v>
      </c>
      <c r="D1577" t="s">
        <v>6739</v>
      </c>
      <c r="E1577" t="s">
        <v>18765</v>
      </c>
      <c r="F1577">
        <v>1</v>
      </c>
      <c r="G1577">
        <v>2453172</v>
      </c>
      <c r="H1577" t="s">
        <v>18766</v>
      </c>
      <c r="J1577" s="54" t="s">
        <v>6052</v>
      </c>
      <c r="K1577" s="54">
        <v>0</v>
      </c>
      <c r="L1577" s="22" t="s">
        <v>36807</v>
      </c>
      <c r="M1577" s="22" t="s">
        <v>36953</v>
      </c>
    </row>
    <row r="1578" spans="1:13" x14ac:dyDescent="0.75">
      <c r="A1578" t="s">
        <v>12158</v>
      </c>
      <c r="B1578" t="s">
        <v>6774</v>
      </c>
      <c r="C1578" t="s">
        <v>6107</v>
      </c>
      <c r="D1578" t="s">
        <v>6775</v>
      </c>
      <c r="E1578" t="s">
        <v>12159</v>
      </c>
      <c r="F1578">
        <v>47</v>
      </c>
      <c r="G1578">
        <v>2173839</v>
      </c>
      <c r="H1578" t="s">
        <v>12160</v>
      </c>
      <c r="J1578" s="54" t="s">
        <v>6052</v>
      </c>
      <c r="K1578" s="54">
        <v>0</v>
      </c>
      <c r="L1578" s="22" t="s">
        <v>104</v>
      </c>
      <c r="M1578" s="22" t="s">
        <v>37010</v>
      </c>
    </row>
    <row r="1579" spans="1:13" x14ac:dyDescent="0.75">
      <c r="A1579" t="s">
        <v>16047</v>
      </c>
      <c r="B1579" t="s">
        <v>6774</v>
      </c>
      <c r="C1579" t="s">
        <v>6107</v>
      </c>
      <c r="D1579" t="s">
        <v>6775</v>
      </c>
      <c r="E1579" t="s">
        <v>16048</v>
      </c>
      <c r="F1579">
        <v>1</v>
      </c>
      <c r="G1579">
        <v>2678402</v>
      </c>
      <c r="H1579" t="s">
        <v>16049</v>
      </c>
      <c r="J1579" s="54" t="s">
        <v>6052</v>
      </c>
      <c r="K1579" s="54">
        <v>0</v>
      </c>
      <c r="L1579" s="22" t="s">
        <v>104</v>
      </c>
      <c r="M1579" s="22" t="s">
        <v>37010</v>
      </c>
    </row>
    <row r="1580" spans="1:13" x14ac:dyDescent="0.75">
      <c r="A1580" t="s">
        <v>9541</v>
      </c>
      <c r="B1580" t="s">
        <v>9542</v>
      </c>
      <c r="C1580" t="s">
        <v>6081</v>
      </c>
      <c r="D1580" t="s">
        <v>9543</v>
      </c>
      <c r="E1580" t="s">
        <v>9544</v>
      </c>
      <c r="F1580">
        <v>27</v>
      </c>
      <c r="G1580">
        <v>2183019</v>
      </c>
      <c r="H1580" t="s">
        <v>9545</v>
      </c>
      <c r="J1580" s="54" t="s">
        <v>6052</v>
      </c>
      <c r="K1580" s="54">
        <v>0</v>
      </c>
      <c r="L1580" s="22" t="s">
        <v>1563</v>
      </c>
      <c r="M1580" s="22" t="s">
        <v>36969</v>
      </c>
    </row>
    <row r="1581" spans="1:13" x14ac:dyDescent="0.75">
      <c r="A1581" t="s">
        <v>24958</v>
      </c>
      <c r="B1581" t="s">
        <v>9542</v>
      </c>
      <c r="C1581" t="s">
        <v>6081</v>
      </c>
      <c r="D1581" t="s">
        <v>9543</v>
      </c>
      <c r="E1581" t="s">
        <v>9544</v>
      </c>
      <c r="F1581">
        <v>1</v>
      </c>
      <c r="G1581">
        <v>2237865</v>
      </c>
      <c r="H1581" t="s">
        <v>24959</v>
      </c>
      <c r="J1581" s="54" t="s">
        <v>6052</v>
      </c>
      <c r="K1581" s="54">
        <v>0</v>
      </c>
      <c r="L1581" s="22" t="s">
        <v>1563</v>
      </c>
      <c r="M1581" s="22" t="s">
        <v>36969</v>
      </c>
    </row>
    <row r="1582" spans="1:13" x14ac:dyDescent="0.75">
      <c r="A1582" t="s">
        <v>24960</v>
      </c>
      <c r="B1582" t="s">
        <v>9434</v>
      </c>
      <c r="C1582" t="s">
        <v>6081</v>
      </c>
      <c r="D1582" t="s">
        <v>9435</v>
      </c>
      <c r="E1582" t="s">
        <v>24961</v>
      </c>
      <c r="F1582">
        <v>1</v>
      </c>
      <c r="G1582">
        <v>2279521</v>
      </c>
      <c r="H1582" t="s">
        <v>24962</v>
      </c>
      <c r="J1582" s="54" t="s">
        <v>6052</v>
      </c>
      <c r="K1582" s="54">
        <v>0</v>
      </c>
      <c r="L1582" s="22" t="s">
        <v>1563</v>
      </c>
      <c r="M1582" s="22" t="s">
        <v>36955</v>
      </c>
    </row>
    <row r="1583" spans="1:13" x14ac:dyDescent="0.75">
      <c r="A1583" t="s">
        <v>6525</v>
      </c>
      <c r="B1583" t="s">
        <v>6526</v>
      </c>
      <c r="C1583" t="s">
        <v>6081</v>
      </c>
      <c r="D1583" t="s">
        <v>6527</v>
      </c>
      <c r="E1583" t="s">
        <v>6528</v>
      </c>
      <c r="F1583">
        <v>1</v>
      </c>
      <c r="G1583">
        <v>2369219</v>
      </c>
      <c r="H1583" t="s">
        <v>6529</v>
      </c>
      <c r="J1583" s="54" t="s">
        <v>6052</v>
      </c>
      <c r="K1583" s="54">
        <v>0</v>
      </c>
      <c r="L1583" s="22" t="s">
        <v>1563</v>
      </c>
      <c r="M1583" s="22" t="s">
        <v>36970</v>
      </c>
    </row>
    <row r="1584" spans="1:13" x14ac:dyDescent="0.75">
      <c r="A1584" t="s">
        <v>9029</v>
      </c>
      <c r="B1584" t="s">
        <v>6526</v>
      </c>
      <c r="C1584" t="s">
        <v>6081</v>
      </c>
      <c r="D1584" t="s">
        <v>6527</v>
      </c>
      <c r="E1584" t="s">
        <v>9030</v>
      </c>
      <c r="F1584">
        <v>1</v>
      </c>
      <c r="G1584">
        <v>2316065</v>
      </c>
      <c r="H1584" t="s">
        <v>9031</v>
      </c>
      <c r="J1584" s="54" t="s">
        <v>6052</v>
      </c>
      <c r="K1584" s="54">
        <v>0</v>
      </c>
      <c r="L1584" s="22" t="s">
        <v>1563</v>
      </c>
      <c r="M1584" s="22" t="s">
        <v>36970</v>
      </c>
    </row>
    <row r="1585" spans="1:13" x14ac:dyDescent="0.75">
      <c r="A1585" t="s">
        <v>24963</v>
      </c>
      <c r="B1585" t="s">
        <v>6080</v>
      </c>
      <c r="C1585" t="s">
        <v>6081</v>
      </c>
      <c r="D1585" t="s">
        <v>6082</v>
      </c>
      <c r="E1585" t="s">
        <v>24964</v>
      </c>
      <c r="F1585">
        <v>1</v>
      </c>
      <c r="G1585">
        <v>2524840</v>
      </c>
      <c r="H1585" t="s">
        <v>24965</v>
      </c>
      <c r="J1585" s="54" t="s">
        <v>6052</v>
      </c>
      <c r="K1585" s="54">
        <v>0</v>
      </c>
      <c r="L1585" s="22" t="s">
        <v>1563</v>
      </c>
      <c r="M1585" s="22" t="s">
        <v>36956</v>
      </c>
    </row>
    <row r="1586" spans="1:13" x14ac:dyDescent="0.75">
      <c r="A1586" t="s">
        <v>12294</v>
      </c>
      <c r="B1586" t="s">
        <v>9760</v>
      </c>
      <c r="C1586" t="s">
        <v>6081</v>
      </c>
      <c r="D1586" t="s">
        <v>9761</v>
      </c>
      <c r="E1586" t="s">
        <v>12295</v>
      </c>
      <c r="F1586">
        <v>85</v>
      </c>
      <c r="G1586">
        <v>2366960</v>
      </c>
      <c r="H1586" t="s">
        <v>12296</v>
      </c>
      <c r="J1586" s="54" t="s">
        <v>6052</v>
      </c>
      <c r="K1586" s="54">
        <v>0</v>
      </c>
      <c r="L1586" s="22" t="s">
        <v>36807</v>
      </c>
      <c r="M1586" s="22" t="s">
        <v>36943</v>
      </c>
    </row>
    <row r="1587" spans="1:13" x14ac:dyDescent="0.75">
      <c r="A1587" t="s">
        <v>30542</v>
      </c>
      <c r="B1587" t="s">
        <v>7112</v>
      </c>
      <c r="C1587" t="s">
        <v>6081</v>
      </c>
      <c r="D1587" t="s">
        <v>7113</v>
      </c>
      <c r="E1587" t="s">
        <v>30543</v>
      </c>
      <c r="F1587">
        <v>210</v>
      </c>
      <c r="G1587">
        <v>2141629</v>
      </c>
      <c r="H1587" t="s">
        <v>30544</v>
      </c>
      <c r="J1587" s="54" t="s">
        <v>6052</v>
      </c>
      <c r="K1587" s="54">
        <v>0</v>
      </c>
      <c r="L1587" s="22" t="s">
        <v>36807</v>
      </c>
      <c r="M1587" s="22" t="s">
        <v>36952</v>
      </c>
    </row>
    <row r="1588" spans="1:13" x14ac:dyDescent="0.75">
      <c r="A1588" t="s">
        <v>8818</v>
      </c>
      <c r="B1588" t="s">
        <v>6774</v>
      </c>
      <c r="C1588" t="s">
        <v>6107</v>
      </c>
      <c r="D1588" t="s">
        <v>6775</v>
      </c>
      <c r="E1588" t="s">
        <v>8819</v>
      </c>
      <c r="F1588">
        <v>87</v>
      </c>
      <c r="G1588">
        <v>2166823</v>
      </c>
      <c r="H1588" t="s">
        <v>8820</v>
      </c>
      <c r="J1588" s="54" t="s">
        <v>6052</v>
      </c>
      <c r="K1588" s="54">
        <v>0</v>
      </c>
      <c r="L1588" s="22" t="s">
        <v>104</v>
      </c>
      <c r="M1588" s="22" t="s">
        <v>37010</v>
      </c>
    </row>
    <row r="1589" spans="1:13" x14ac:dyDescent="0.75">
      <c r="A1589" t="s">
        <v>10359</v>
      </c>
      <c r="B1589" t="s">
        <v>6774</v>
      </c>
      <c r="C1589" t="s">
        <v>6107</v>
      </c>
      <c r="D1589" t="s">
        <v>6775</v>
      </c>
      <c r="E1589" t="s">
        <v>10360</v>
      </c>
      <c r="F1589">
        <v>21</v>
      </c>
      <c r="G1589">
        <v>2033981</v>
      </c>
      <c r="H1589" t="s">
        <v>10361</v>
      </c>
      <c r="J1589" s="54" t="s">
        <v>6052</v>
      </c>
      <c r="K1589" s="54">
        <v>0</v>
      </c>
      <c r="L1589" s="22" t="s">
        <v>104</v>
      </c>
      <c r="M1589" s="22" t="s">
        <v>37010</v>
      </c>
    </row>
    <row r="1590" spans="1:13" x14ac:dyDescent="0.75">
      <c r="A1590" t="s">
        <v>16529</v>
      </c>
      <c r="B1590" t="s">
        <v>6774</v>
      </c>
      <c r="C1590" t="s">
        <v>6107</v>
      </c>
      <c r="D1590" t="s">
        <v>6775</v>
      </c>
      <c r="E1590" t="s">
        <v>16530</v>
      </c>
      <c r="F1590">
        <v>112</v>
      </c>
      <c r="G1590">
        <v>2049610</v>
      </c>
      <c r="H1590" t="s">
        <v>16531</v>
      </c>
      <c r="J1590" s="54" t="s">
        <v>6052</v>
      </c>
      <c r="K1590" s="54">
        <v>0</v>
      </c>
      <c r="L1590" s="22" t="s">
        <v>104</v>
      </c>
      <c r="M1590" s="22" t="s">
        <v>37010</v>
      </c>
    </row>
    <row r="1591" spans="1:13" x14ac:dyDescent="0.75">
      <c r="A1591" t="s">
        <v>23156</v>
      </c>
      <c r="B1591" t="s">
        <v>9970</v>
      </c>
      <c r="C1591" t="s">
        <v>6081</v>
      </c>
      <c r="D1591" t="s">
        <v>9971</v>
      </c>
      <c r="E1591" t="s">
        <v>23157</v>
      </c>
      <c r="F1591">
        <v>12</v>
      </c>
      <c r="G1591">
        <v>2414960</v>
      </c>
      <c r="H1591" t="s">
        <v>23158</v>
      </c>
      <c r="J1591" s="54" t="s">
        <v>6052</v>
      </c>
      <c r="K1591" s="54">
        <v>0</v>
      </c>
      <c r="L1591" s="22" t="s">
        <v>36807</v>
      </c>
      <c r="M1591" s="22" t="s">
        <v>36945</v>
      </c>
    </row>
    <row r="1592" spans="1:13" x14ac:dyDescent="0.75">
      <c r="A1592" t="s">
        <v>23150</v>
      </c>
      <c r="B1592" t="s">
        <v>9970</v>
      </c>
      <c r="C1592" t="s">
        <v>6081</v>
      </c>
      <c r="D1592" t="s">
        <v>9971</v>
      </c>
      <c r="E1592" t="s">
        <v>23151</v>
      </c>
      <c r="F1592">
        <v>21</v>
      </c>
      <c r="G1592">
        <v>2561832</v>
      </c>
      <c r="H1592" t="s">
        <v>23152</v>
      </c>
      <c r="J1592" s="54" t="s">
        <v>6052</v>
      </c>
      <c r="K1592" s="54">
        <v>0</v>
      </c>
      <c r="L1592" s="22" t="s">
        <v>36807</v>
      </c>
      <c r="M1592" s="22" t="s">
        <v>36945</v>
      </c>
    </row>
    <row r="1593" spans="1:13" x14ac:dyDescent="0.75">
      <c r="A1593" t="s">
        <v>23177</v>
      </c>
      <c r="B1593" t="s">
        <v>12006</v>
      </c>
      <c r="C1593" t="s">
        <v>6081</v>
      </c>
      <c r="D1593" t="s">
        <v>12007</v>
      </c>
      <c r="E1593" t="s">
        <v>23178</v>
      </c>
      <c r="F1593">
        <v>24</v>
      </c>
      <c r="G1593">
        <v>2564029</v>
      </c>
      <c r="H1593" t="s">
        <v>23179</v>
      </c>
      <c r="J1593" s="54" t="s">
        <v>6052</v>
      </c>
      <c r="K1593" s="54">
        <v>0</v>
      </c>
      <c r="L1593" s="22" t="s">
        <v>1563</v>
      </c>
      <c r="M1593" s="22" t="s">
        <v>36950</v>
      </c>
    </row>
    <row r="1594" spans="1:13" x14ac:dyDescent="0.75">
      <c r="A1594" t="s">
        <v>16526</v>
      </c>
      <c r="B1594" t="s">
        <v>6774</v>
      </c>
      <c r="C1594" t="s">
        <v>6107</v>
      </c>
      <c r="D1594" t="s">
        <v>6775</v>
      </c>
      <c r="E1594" t="s">
        <v>16527</v>
      </c>
      <c r="F1594">
        <v>114</v>
      </c>
      <c r="G1594">
        <v>2078803</v>
      </c>
      <c r="H1594" t="s">
        <v>16528</v>
      </c>
      <c r="J1594" s="54" t="s">
        <v>6052</v>
      </c>
      <c r="K1594" s="54">
        <v>0</v>
      </c>
      <c r="L1594" s="22" t="s">
        <v>104</v>
      </c>
      <c r="M1594" s="22" t="s">
        <v>37010</v>
      </c>
    </row>
    <row r="1595" spans="1:13" x14ac:dyDescent="0.75">
      <c r="A1595" t="s">
        <v>16102</v>
      </c>
      <c r="B1595" t="s">
        <v>16103</v>
      </c>
      <c r="C1595" t="s">
        <v>6081</v>
      </c>
      <c r="D1595" t="s">
        <v>16104</v>
      </c>
      <c r="E1595" t="s">
        <v>16105</v>
      </c>
      <c r="F1595">
        <v>31</v>
      </c>
      <c r="G1595">
        <v>2628675</v>
      </c>
      <c r="H1595" t="s">
        <v>16106</v>
      </c>
      <c r="J1595" s="54" t="s">
        <v>6052</v>
      </c>
      <c r="K1595" s="54">
        <v>0</v>
      </c>
      <c r="L1595" s="22" t="s">
        <v>36807</v>
      </c>
      <c r="M1595" s="22" t="s">
        <v>36942</v>
      </c>
    </row>
    <row r="1596" spans="1:13" x14ac:dyDescent="0.75">
      <c r="A1596" t="s">
        <v>21122</v>
      </c>
      <c r="B1596" t="s">
        <v>14348</v>
      </c>
      <c r="C1596" t="s">
        <v>6081</v>
      </c>
      <c r="D1596" t="s">
        <v>14349</v>
      </c>
      <c r="E1596" t="s">
        <v>21123</v>
      </c>
      <c r="F1596">
        <v>1</v>
      </c>
      <c r="G1596">
        <v>2510261</v>
      </c>
      <c r="H1596" t="s">
        <v>21124</v>
      </c>
      <c r="J1596" s="54" t="s">
        <v>6052</v>
      </c>
      <c r="K1596" s="54">
        <v>0</v>
      </c>
      <c r="L1596" s="22" t="s">
        <v>1563</v>
      </c>
      <c r="M1596" s="22" t="s">
        <v>36968</v>
      </c>
    </row>
    <row r="1597" spans="1:13" x14ac:dyDescent="0.75">
      <c r="A1597" t="s">
        <v>20074</v>
      </c>
      <c r="B1597" t="s">
        <v>16103</v>
      </c>
      <c r="C1597" t="s">
        <v>6081</v>
      </c>
      <c r="D1597" t="s">
        <v>16104</v>
      </c>
      <c r="E1597" t="s">
        <v>20075</v>
      </c>
      <c r="F1597">
        <v>2</v>
      </c>
      <c r="G1597">
        <v>2652195</v>
      </c>
      <c r="H1597" t="s">
        <v>20076</v>
      </c>
      <c r="J1597" s="54" t="s">
        <v>6052</v>
      </c>
      <c r="K1597" s="54">
        <v>0</v>
      </c>
      <c r="L1597" s="22" t="s">
        <v>36807</v>
      </c>
      <c r="M1597" s="22" t="s">
        <v>36942</v>
      </c>
    </row>
    <row r="1598" spans="1:13" x14ac:dyDescent="0.75">
      <c r="A1598" t="s">
        <v>20088</v>
      </c>
      <c r="B1598" t="s">
        <v>6803</v>
      </c>
      <c r="C1598" t="s">
        <v>6081</v>
      </c>
      <c r="D1598" t="s">
        <v>6804</v>
      </c>
      <c r="E1598" t="s">
        <v>20089</v>
      </c>
      <c r="F1598">
        <v>1</v>
      </c>
      <c r="G1598">
        <v>2952500</v>
      </c>
      <c r="H1598" t="s">
        <v>20090</v>
      </c>
      <c r="J1598" s="54" t="s">
        <v>6052</v>
      </c>
      <c r="K1598" s="54">
        <v>0</v>
      </c>
      <c r="L1598" s="22" t="s">
        <v>1563</v>
      </c>
      <c r="M1598" s="22" t="s">
        <v>36940</v>
      </c>
    </row>
    <row r="1599" spans="1:13" x14ac:dyDescent="0.75">
      <c r="A1599" t="s">
        <v>20112</v>
      </c>
      <c r="B1599" t="s">
        <v>9970</v>
      </c>
      <c r="C1599" t="s">
        <v>6081</v>
      </c>
      <c r="D1599" t="s">
        <v>9971</v>
      </c>
      <c r="E1599" t="s">
        <v>20113</v>
      </c>
      <c r="F1599">
        <v>2</v>
      </c>
      <c r="G1599">
        <v>2523206</v>
      </c>
      <c r="H1599" t="s">
        <v>20114</v>
      </c>
      <c r="J1599" s="54" t="s">
        <v>6052</v>
      </c>
      <c r="K1599" s="54">
        <v>0</v>
      </c>
      <c r="L1599" s="22" t="s">
        <v>36807</v>
      </c>
      <c r="M1599" s="22" t="s">
        <v>36945</v>
      </c>
    </row>
    <row r="1600" spans="1:13" x14ac:dyDescent="0.75">
      <c r="A1600" t="s">
        <v>20233</v>
      </c>
      <c r="B1600" t="s">
        <v>7112</v>
      </c>
      <c r="C1600" t="s">
        <v>6081</v>
      </c>
      <c r="D1600" t="s">
        <v>7113</v>
      </c>
      <c r="E1600" t="s">
        <v>20234</v>
      </c>
      <c r="F1600">
        <v>1</v>
      </c>
      <c r="G1600">
        <v>2706528</v>
      </c>
      <c r="H1600" t="s">
        <v>20235</v>
      </c>
      <c r="J1600" s="54" t="s">
        <v>6052</v>
      </c>
      <c r="K1600" s="54">
        <v>0</v>
      </c>
      <c r="L1600" s="22" t="s">
        <v>36807</v>
      </c>
      <c r="M1600" s="22" t="s">
        <v>36952</v>
      </c>
    </row>
    <row r="1601" spans="1:13" x14ac:dyDescent="0.75">
      <c r="A1601" t="s">
        <v>20230</v>
      </c>
      <c r="B1601" t="s">
        <v>7112</v>
      </c>
      <c r="C1601" t="s">
        <v>6081</v>
      </c>
      <c r="D1601" t="s">
        <v>7113</v>
      </c>
      <c r="E1601" t="s">
        <v>20231</v>
      </c>
      <c r="F1601">
        <v>1</v>
      </c>
      <c r="G1601">
        <v>2476115</v>
      </c>
      <c r="H1601" t="s">
        <v>20232</v>
      </c>
      <c r="J1601" s="54" t="s">
        <v>6052</v>
      </c>
      <c r="K1601" s="54">
        <v>0</v>
      </c>
      <c r="L1601" s="22" t="s">
        <v>36807</v>
      </c>
      <c r="M1601" s="22" t="s">
        <v>36952</v>
      </c>
    </row>
    <row r="1602" spans="1:13" x14ac:dyDescent="0.75">
      <c r="A1602" t="s">
        <v>20227</v>
      </c>
      <c r="B1602" t="s">
        <v>6394</v>
      </c>
      <c r="C1602" t="s">
        <v>6081</v>
      </c>
      <c r="D1602" t="s">
        <v>6395</v>
      </c>
      <c r="E1602" t="s">
        <v>20228</v>
      </c>
      <c r="F1602">
        <v>2</v>
      </c>
      <c r="G1602">
        <v>2737787</v>
      </c>
      <c r="H1602" t="s">
        <v>20229</v>
      </c>
      <c r="J1602" s="54" t="s">
        <v>6052</v>
      </c>
      <c r="K1602" s="54">
        <v>0</v>
      </c>
      <c r="L1602" s="22" t="s">
        <v>1563</v>
      </c>
      <c r="M1602" s="22" t="s">
        <v>36948</v>
      </c>
    </row>
    <row r="1603" spans="1:13" x14ac:dyDescent="0.75">
      <c r="A1603" t="s">
        <v>20224</v>
      </c>
      <c r="B1603" t="s">
        <v>6394</v>
      </c>
      <c r="C1603" t="s">
        <v>6081</v>
      </c>
      <c r="D1603" t="s">
        <v>6395</v>
      </c>
      <c r="E1603" t="s">
        <v>20225</v>
      </c>
      <c r="F1603">
        <v>2</v>
      </c>
      <c r="G1603">
        <v>2829463</v>
      </c>
      <c r="H1603" t="s">
        <v>20226</v>
      </c>
      <c r="J1603" s="54" t="s">
        <v>6052</v>
      </c>
      <c r="K1603" s="54">
        <v>0</v>
      </c>
      <c r="L1603" s="22" t="s">
        <v>1563</v>
      </c>
      <c r="M1603" s="22" t="s">
        <v>36948</v>
      </c>
    </row>
    <row r="1604" spans="1:13" x14ac:dyDescent="0.75">
      <c r="A1604" t="s">
        <v>20221</v>
      </c>
      <c r="B1604" t="s">
        <v>9357</v>
      </c>
      <c r="C1604" t="s">
        <v>6081</v>
      </c>
      <c r="D1604" t="s">
        <v>9358</v>
      </c>
      <c r="E1604" t="s">
        <v>20222</v>
      </c>
      <c r="F1604">
        <v>1</v>
      </c>
      <c r="G1604">
        <v>2480127</v>
      </c>
      <c r="H1604" t="s">
        <v>20223</v>
      </c>
      <c r="J1604" s="54" t="s">
        <v>6052</v>
      </c>
      <c r="K1604" s="54">
        <v>0</v>
      </c>
      <c r="L1604" s="22" t="s">
        <v>36807</v>
      </c>
      <c r="M1604" s="22" t="s">
        <v>36947</v>
      </c>
    </row>
    <row r="1605" spans="1:13" x14ac:dyDescent="0.75">
      <c r="A1605" t="s">
        <v>20218</v>
      </c>
      <c r="B1605" t="s">
        <v>9357</v>
      </c>
      <c r="C1605" t="s">
        <v>6081</v>
      </c>
      <c r="D1605" t="s">
        <v>9358</v>
      </c>
      <c r="E1605" t="s">
        <v>20219</v>
      </c>
      <c r="F1605">
        <v>1</v>
      </c>
      <c r="G1605">
        <v>2461302</v>
      </c>
      <c r="H1605" t="s">
        <v>20220</v>
      </c>
      <c r="J1605" s="54" t="s">
        <v>6052</v>
      </c>
      <c r="K1605" s="54">
        <v>0</v>
      </c>
      <c r="L1605" s="22" t="s">
        <v>36807</v>
      </c>
      <c r="M1605" s="22" t="s">
        <v>36947</v>
      </c>
    </row>
    <row r="1606" spans="1:13" x14ac:dyDescent="0.75">
      <c r="A1606" t="s">
        <v>20209</v>
      </c>
      <c r="B1606" t="s">
        <v>6803</v>
      </c>
      <c r="C1606" t="s">
        <v>6081</v>
      </c>
      <c r="D1606" t="s">
        <v>6804</v>
      </c>
      <c r="E1606" t="s">
        <v>20210</v>
      </c>
      <c r="F1606">
        <v>1</v>
      </c>
      <c r="G1606">
        <v>2904831</v>
      </c>
      <c r="H1606" t="s">
        <v>20211</v>
      </c>
      <c r="J1606" s="54" t="s">
        <v>6052</v>
      </c>
      <c r="K1606" s="54">
        <v>0</v>
      </c>
      <c r="L1606" s="22" t="s">
        <v>1563</v>
      </c>
      <c r="M1606" s="22" t="s">
        <v>36940</v>
      </c>
    </row>
    <row r="1607" spans="1:13" x14ac:dyDescent="0.75">
      <c r="A1607" t="s">
        <v>20212</v>
      </c>
      <c r="B1607" t="s">
        <v>6803</v>
      </c>
      <c r="C1607" t="s">
        <v>6081</v>
      </c>
      <c r="D1607" t="s">
        <v>6804</v>
      </c>
      <c r="E1607" t="s">
        <v>20213</v>
      </c>
      <c r="F1607">
        <v>1</v>
      </c>
      <c r="G1607">
        <v>2665682</v>
      </c>
      <c r="H1607" t="s">
        <v>20214</v>
      </c>
      <c r="J1607" s="54" t="s">
        <v>6052</v>
      </c>
      <c r="K1607" s="54">
        <v>0</v>
      </c>
      <c r="L1607" s="22" t="s">
        <v>1563</v>
      </c>
      <c r="M1607" s="22" t="s">
        <v>36940</v>
      </c>
    </row>
    <row r="1608" spans="1:13" x14ac:dyDescent="0.75">
      <c r="A1608" t="s">
        <v>20215</v>
      </c>
      <c r="B1608" t="s">
        <v>6738</v>
      </c>
      <c r="C1608" t="s">
        <v>6081</v>
      </c>
      <c r="D1608" t="s">
        <v>6739</v>
      </c>
      <c r="E1608" t="s">
        <v>20216</v>
      </c>
      <c r="F1608">
        <v>1</v>
      </c>
      <c r="G1608">
        <v>2451854</v>
      </c>
      <c r="H1608" t="s">
        <v>20217</v>
      </c>
      <c r="J1608" s="54" t="s">
        <v>6052</v>
      </c>
      <c r="K1608" s="54">
        <v>0</v>
      </c>
      <c r="L1608" s="22" t="s">
        <v>36807</v>
      </c>
      <c r="M1608" s="22" t="s">
        <v>36953</v>
      </c>
    </row>
    <row r="1609" spans="1:13" x14ac:dyDescent="0.75">
      <c r="A1609" t="s">
        <v>20333</v>
      </c>
      <c r="B1609" t="s">
        <v>7112</v>
      </c>
      <c r="C1609" t="s">
        <v>6081</v>
      </c>
      <c r="D1609" t="s">
        <v>7113</v>
      </c>
      <c r="E1609" t="s">
        <v>20334</v>
      </c>
      <c r="F1609">
        <v>1</v>
      </c>
      <c r="G1609">
        <v>2474943</v>
      </c>
      <c r="H1609" t="s">
        <v>20335</v>
      </c>
      <c r="J1609" s="54" t="s">
        <v>6052</v>
      </c>
      <c r="K1609" s="54">
        <v>0</v>
      </c>
      <c r="L1609" s="22" t="s">
        <v>36807</v>
      </c>
      <c r="M1609" s="22" t="s">
        <v>36952</v>
      </c>
    </row>
    <row r="1610" spans="1:13" x14ac:dyDescent="0.75">
      <c r="A1610" t="s">
        <v>20324</v>
      </c>
      <c r="B1610" t="s">
        <v>6405</v>
      </c>
      <c r="C1610" t="s">
        <v>6081</v>
      </c>
      <c r="D1610" t="s">
        <v>6406</v>
      </c>
      <c r="E1610" t="s">
        <v>20325</v>
      </c>
      <c r="F1610">
        <v>1</v>
      </c>
      <c r="G1610">
        <v>2446807</v>
      </c>
      <c r="H1610" t="s">
        <v>20326</v>
      </c>
      <c r="J1610" s="54" t="s">
        <v>6052</v>
      </c>
      <c r="K1610" s="54">
        <v>0</v>
      </c>
      <c r="L1610" s="22" t="s">
        <v>36806</v>
      </c>
      <c r="M1610" s="22" t="s">
        <v>36966</v>
      </c>
    </row>
    <row r="1611" spans="1:13" x14ac:dyDescent="0.75">
      <c r="A1611" t="s">
        <v>20330</v>
      </c>
      <c r="B1611" t="s">
        <v>6405</v>
      </c>
      <c r="C1611" t="s">
        <v>6081</v>
      </c>
      <c r="D1611" t="s">
        <v>6406</v>
      </c>
      <c r="E1611" t="s">
        <v>20331</v>
      </c>
      <c r="F1611">
        <v>1</v>
      </c>
      <c r="G1611">
        <v>2511877</v>
      </c>
      <c r="H1611" t="s">
        <v>20332</v>
      </c>
      <c r="J1611" s="54" t="s">
        <v>6052</v>
      </c>
      <c r="K1611" s="54">
        <v>0</v>
      </c>
      <c r="L1611" s="22" t="s">
        <v>36806</v>
      </c>
      <c r="M1611" s="22" t="s">
        <v>36966</v>
      </c>
    </row>
    <row r="1612" spans="1:13" x14ac:dyDescent="0.75">
      <c r="A1612" t="s">
        <v>20339</v>
      </c>
      <c r="B1612" t="s">
        <v>15977</v>
      </c>
      <c r="C1612" t="s">
        <v>6081</v>
      </c>
      <c r="D1612" t="s">
        <v>15978</v>
      </c>
      <c r="E1612" t="s">
        <v>20340</v>
      </c>
      <c r="F1612">
        <v>1</v>
      </c>
      <c r="G1612">
        <v>2493537</v>
      </c>
      <c r="H1612" t="s">
        <v>20341</v>
      </c>
      <c r="J1612" s="54" t="s">
        <v>6052</v>
      </c>
      <c r="K1612" s="54">
        <v>0</v>
      </c>
      <c r="L1612" s="22" t="s">
        <v>36807</v>
      </c>
      <c r="M1612" s="22" t="s">
        <v>36944</v>
      </c>
    </row>
    <row r="1613" spans="1:13" x14ac:dyDescent="0.75">
      <c r="A1613" t="s">
        <v>20344</v>
      </c>
      <c r="B1613" t="s">
        <v>10705</v>
      </c>
      <c r="C1613" t="s">
        <v>6081</v>
      </c>
      <c r="D1613" t="s">
        <v>10706</v>
      </c>
      <c r="E1613" t="s">
        <v>20345</v>
      </c>
      <c r="F1613">
        <v>1</v>
      </c>
      <c r="G1613">
        <v>2725312</v>
      </c>
      <c r="H1613" t="s">
        <v>20346</v>
      </c>
      <c r="J1613" s="54" t="s">
        <v>6052</v>
      </c>
      <c r="K1613" s="54">
        <v>0</v>
      </c>
      <c r="L1613" s="22" t="s">
        <v>1563</v>
      </c>
      <c r="M1613" s="22" t="s">
        <v>36958</v>
      </c>
    </row>
    <row r="1614" spans="1:13" x14ac:dyDescent="0.75">
      <c r="A1614" t="s">
        <v>20336</v>
      </c>
      <c r="B1614" t="s">
        <v>6803</v>
      </c>
      <c r="C1614" t="s">
        <v>6081</v>
      </c>
      <c r="D1614" t="s">
        <v>6804</v>
      </c>
      <c r="E1614" t="s">
        <v>20337</v>
      </c>
      <c r="F1614">
        <v>2</v>
      </c>
      <c r="G1614">
        <v>3004754</v>
      </c>
      <c r="H1614" t="s">
        <v>20338</v>
      </c>
      <c r="J1614" s="54" t="s">
        <v>6052</v>
      </c>
      <c r="K1614" s="54">
        <v>0</v>
      </c>
      <c r="L1614" s="22" t="s">
        <v>1563</v>
      </c>
      <c r="M1614" s="22" t="s">
        <v>36940</v>
      </c>
    </row>
    <row r="1615" spans="1:13" x14ac:dyDescent="0.75">
      <c r="A1615" t="s">
        <v>20355</v>
      </c>
      <c r="B1615" t="s">
        <v>6738</v>
      </c>
      <c r="C1615" t="s">
        <v>6081</v>
      </c>
      <c r="D1615" t="s">
        <v>6739</v>
      </c>
      <c r="E1615" t="s">
        <v>20356</v>
      </c>
      <c r="F1615">
        <v>1</v>
      </c>
      <c r="G1615">
        <v>2433964</v>
      </c>
      <c r="H1615" t="s">
        <v>20357</v>
      </c>
      <c r="J1615" s="54" t="s">
        <v>6052</v>
      </c>
      <c r="K1615" s="54">
        <v>0</v>
      </c>
      <c r="L1615" s="22" t="s">
        <v>36807</v>
      </c>
      <c r="M1615" s="22" t="s">
        <v>36953</v>
      </c>
    </row>
    <row r="1616" spans="1:13" x14ac:dyDescent="0.75">
      <c r="A1616" t="s">
        <v>20350</v>
      </c>
      <c r="B1616" t="s">
        <v>10705</v>
      </c>
      <c r="C1616" t="s">
        <v>6081</v>
      </c>
      <c r="D1616" t="s">
        <v>10706</v>
      </c>
      <c r="E1616" t="s">
        <v>20351</v>
      </c>
      <c r="F1616">
        <v>2</v>
      </c>
      <c r="G1616">
        <v>2774993</v>
      </c>
      <c r="H1616" t="s">
        <v>20352</v>
      </c>
      <c r="J1616" s="54" t="s">
        <v>6052</v>
      </c>
      <c r="K1616" s="54">
        <v>0</v>
      </c>
      <c r="L1616" s="22" t="s">
        <v>1563</v>
      </c>
      <c r="M1616" s="22" t="s">
        <v>36958</v>
      </c>
    </row>
    <row r="1617" spans="1:13" x14ac:dyDescent="0.75">
      <c r="A1617" t="s">
        <v>21719</v>
      </c>
      <c r="B1617" t="s">
        <v>14348</v>
      </c>
      <c r="C1617" t="s">
        <v>6081</v>
      </c>
      <c r="D1617" t="s">
        <v>14349</v>
      </c>
      <c r="E1617" t="s">
        <v>21720</v>
      </c>
      <c r="F1617">
        <v>1</v>
      </c>
      <c r="G1617">
        <v>2582814</v>
      </c>
      <c r="H1617" t="s">
        <v>21721</v>
      </c>
      <c r="J1617" s="54" t="s">
        <v>6052</v>
      </c>
      <c r="K1617" s="54">
        <v>0</v>
      </c>
      <c r="L1617" s="22" t="s">
        <v>1563</v>
      </c>
      <c r="M1617" s="22" t="s">
        <v>36968</v>
      </c>
    </row>
    <row r="1618" spans="1:13" x14ac:dyDescent="0.75">
      <c r="A1618" t="s">
        <v>19980</v>
      </c>
      <c r="B1618" t="s">
        <v>10705</v>
      </c>
      <c r="C1618" t="s">
        <v>6081</v>
      </c>
      <c r="D1618" t="s">
        <v>10706</v>
      </c>
      <c r="E1618" t="s">
        <v>19981</v>
      </c>
      <c r="F1618">
        <v>1</v>
      </c>
      <c r="G1618">
        <v>2695961</v>
      </c>
      <c r="H1618" t="s">
        <v>19982</v>
      </c>
      <c r="J1618" s="54" t="s">
        <v>6052</v>
      </c>
      <c r="K1618" s="54">
        <v>0</v>
      </c>
      <c r="L1618" s="22" t="s">
        <v>1563</v>
      </c>
      <c r="M1618" s="22" t="s">
        <v>36958</v>
      </c>
    </row>
    <row r="1619" spans="1:13" x14ac:dyDescent="0.75">
      <c r="A1619" t="s">
        <v>19962</v>
      </c>
      <c r="B1619" t="s">
        <v>7112</v>
      </c>
      <c r="C1619" t="s">
        <v>6081</v>
      </c>
      <c r="D1619" t="s">
        <v>7113</v>
      </c>
      <c r="E1619" t="s">
        <v>19963</v>
      </c>
      <c r="F1619">
        <v>1</v>
      </c>
      <c r="G1619">
        <v>2802624</v>
      </c>
      <c r="H1619" t="s">
        <v>19964</v>
      </c>
      <c r="J1619" s="54" t="s">
        <v>6052</v>
      </c>
      <c r="K1619" s="54">
        <v>0</v>
      </c>
      <c r="L1619" s="22" t="s">
        <v>36807</v>
      </c>
      <c r="M1619" s="22" t="s">
        <v>36952</v>
      </c>
    </row>
    <row r="1620" spans="1:13" x14ac:dyDescent="0.75">
      <c r="A1620" t="s">
        <v>20035</v>
      </c>
      <c r="B1620" t="s">
        <v>7112</v>
      </c>
      <c r="C1620" t="s">
        <v>6081</v>
      </c>
      <c r="D1620" t="s">
        <v>7113</v>
      </c>
      <c r="E1620" t="s">
        <v>20036</v>
      </c>
      <c r="F1620">
        <v>1</v>
      </c>
      <c r="G1620">
        <v>2828947</v>
      </c>
      <c r="H1620" t="s">
        <v>20037</v>
      </c>
      <c r="J1620" s="54" t="s">
        <v>6052</v>
      </c>
      <c r="K1620" s="54">
        <v>0</v>
      </c>
      <c r="L1620" s="22" t="s">
        <v>36807</v>
      </c>
      <c r="M1620" s="22" t="s">
        <v>36952</v>
      </c>
    </row>
    <row r="1621" spans="1:13" x14ac:dyDescent="0.75">
      <c r="A1621" t="s">
        <v>20009</v>
      </c>
      <c r="B1621" t="s">
        <v>10705</v>
      </c>
      <c r="C1621" t="s">
        <v>6081</v>
      </c>
      <c r="D1621" t="s">
        <v>10706</v>
      </c>
      <c r="E1621" t="s">
        <v>20010</v>
      </c>
      <c r="F1621">
        <v>1</v>
      </c>
      <c r="G1621">
        <v>2696014</v>
      </c>
      <c r="H1621" t="s">
        <v>20011</v>
      </c>
      <c r="J1621" s="54" t="s">
        <v>6052</v>
      </c>
      <c r="K1621" s="54">
        <v>0</v>
      </c>
      <c r="L1621" s="22" t="s">
        <v>1563</v>
      </c>
      <c r="M1621" s="22" t="s">
        <v>36958</v>
      </c>
    </row>
    <row r="1622" spans="1:13" x14ac:dyDescent="0.75">
      <c r="A1622" t="s">
        <v>20068</v>
      </c>
      <c r="B1622" t="s">
        <v>6526</v>
      </c>
      <c r="C1622" t="s">
        <v>6081</v>
      </c>
      <c r="D1622" t="s">
        <v>6527</v>
      </c>
      <c r="E1622" t="s">
        <v>20069</v>
      </c>
      <c r="F1622">
        <v>1</v>
      </c>
      <c r="G1622">
        <v>2384218</v>
      </c>
      <c r="H1622" t="s">
        <v>20070</v>
      </c>
      <c r="J1622" s="54" t="s">
        <v>6052</v>
      </c>
      <c r="K1622" s="54">
        <v>0</v>
      </c>
      <c r="L1622" s="22" t="s">
        <v>1563</v>
      </c>
      <c r="M1622" s="22" t="s">
        <v>36970</v>
      </c>
    </row>
    <row r="1623" spans="1:13" x14ac:dyDescent="0.75">
      <c r="A1623" t="s">
        <v>20085</v>
      </c>
      <c r="B1623" t="s">
        <v>6526</v>
      </c>
      <c r="C1623" t="s">
        <v>6081</v>
      </c>
      <c r="D1623" t="s">
        <v>6527</v>
      </c>
      <c r="E1623" t="s">
        <v>20086</v>
      </c>
      <c r="F1623">
        <v>1</v>
      </c>
      <c r="G1623">
        <v>2397283</v>
      </c>
      <c r="H1623" t="s">
        <v>20087</v>
      </c>
      <c r="J1623" s="54" t="s">
        <v>6052</v>
      </c>
      <c r="K1623" s="54">
        <v>0</v>
      </c>
      <c r="L1623" s="22" t="s">
        <v>1563</v>
      </c>
      <c r="M1623" s="22" t="s">
        <v>36970</v>
      </c>
    </row>
    <row r="1624" spans="1:13" x14ac:dyDescent="0.75">
      <c r="A1624" t="s">
        <v>20012</v>
      </c>
      <c r="B1624" t="s">
        <v>6526</v>
      </c>
      <c r="C1624" t="s">
        <v>6081</v>
      </c>
      <c r="D1624" t="s">
        <v>6527</v>
      </c>
      <c r="E1624" t="s">
        <v>20013</v>
      </c>
      <c r="F1624">
        <v>1</v>
      </c>
      <c r="G1624">
        <v>2350935</v>
      </c>
      <c r="H1624" t="s">
        <v>20014</v>
      </c>
      <c r="J1624" s="54" t="s">
        <v>6052</v>
      </c>
      <c r="K1624" s="54">
        <v>0</v>
      </c>
      <c r="L1624" s="22" t="s">
        <v>1563</v>
      </c>
      <c r="M1624" s="22" t="s">
        <v>36970</v>
      </c>
    </row>
    <row r="1625" spans="1:13" x14ac:dyDescent="0.75">
      <c r="A1625" t="s">
        <v>30145</v>
      </c>
      <c r="B1625" t="s">
        <v>10569</v>
      </c>
      <c r="C1625" t="s">
        <v>6081</v>
      </c>
      <c r="D1625" t="s">
        <v>10570</v>
      </c>
      <c r="E1625" t="s">
        <v>30146</v>
      </c>
      <c r="F1625">
        <v>98</v>
      </c>
      <c r="G1625">
        <v>2118906</v>
      </c>
      <c r="H1625" t="s">
        <v>30147</v>
      </c>
      <c r="J1625" s="54" t="s">
        <v>6052</v>
      </c>
      <c r="K1625" s="54">
        <v>0</v>
      </c>
      <c r="L1625" s="22" t="s">
        <v>1563</v>
      </c>
      <c r="M1625" s="22" t="s">
        <v>36962</v>
      </c>
    </row>
    <row r="1626" spans="1:13" x14ac:dyDescent="0.75">
      <c r="A1626" t="s">
        <v>9433</v>
      </c>
      <c r="B1626" t="s">
        <v>9434</v>
      </c>
      <c r="C1626" t="s">
        <v>6081</v>
      </c>
      <c r="D1626" t="s">
        <v>9435</v>
      </c>
      <c r="E1626" t="s">
        <v>9436</v>
      </c>
      <c r="F1626">
        <v>50</v>
      </c>
      <c r="G1626">
        <v>2259786</v>
      </c>
      <c r="H1626" t="s">
        <v>9437</v>
      </c>
      <c r="J1626" s="54" t="s">
        <v>6052</v>
      </c>
      <c r="K1626" s="54">
        <v>0</v>
      </c>
      <c r="L1626" s="22" t="s">
        <v>1563</v>
      </c>
      <c r="M1626" s="22" t="s">
        <v>36955</v>
      </c>
    </row>
    <row r="1627" spans="1:13" x14ac:dyDescent="0.75">
      <c r="A1627" t="s">
        <v>19125</v>
      </c>
      <c r="B1627" t="s">
        <v>12689</v>
      </c>
      <c r="C1627" t="s">
        <v>6081</v>
      </c>
      <c r="D1627" t="s">
        <v>12690</v>
      </c>
      <c r="E1627" t="s">
        <v>19126</v>
      </c>
      <c r="F1627">
        <v>21</v>
      </c>
      <c r="G1627">
        <v>2629169</v>
      </c>
      <c r="H1627" t="s">
        <v>19127</v>
      </c>
      <c r="J1627" s="54" t="s">
        <v>6052</v>
      </c>
      <c r="K1627" s="54">
        <v>0</v>
      </c>
      <c r="L1627" s="22" t="s">
        <v>1563</v>
      </c>
      <c r="M1627" s="22" t="s">
        <v>36939</v>
      </c>
    </row>
    <row r="1628" spans="1:13" x14ac:dyDescent="0.75">
      <c r="A1628" t="s">
        <v>19131</v>
      </c>
      <c r="B1628" t="s">
        <v>12689</v>
      </c>
      <c r="C1628" t="s">
        <v>6081</v>
      </c>
      <c r="D1628" t="s">
        <v>12690</v>
      </c>
      <c r="E1628" t="s">
        <v>19132</v>
      </c>
      <c r="F1628">
        <v>17</v>
      </c>
      <c r="G1628">
        <v>2613953</v>
      </c>
      <c r="H1628" t="s">
        <v>19133</v>
      </c>
      <c r="J1628" s="54" t="s">
        <v>6052</v>
      </c>
      <c r="K1628" s="54">
        <v>0</v>
      </c>
      <c r="L1628" s="22" t="s">
        <v>1563</v>
      </c>
      <c r="M1628" s="22" t="s">
        <v>36939</v>
      </c>
    </row>
    <row r="1629" spans="1:13" x14ac:dyDescent="0.75">
      <c r="A1629" t="s">
        <v>9453</v>
      </c>
      <c r="B1629" t="s">
        <v>6080</v>
      </c>
      <c r="C1629" t="s">
        <v>6081</v>
      </c>
      <c r="D1629" t="s">
        <v>6082</v>
      </c>
      <c r="E1629" t="s">
        <v>9454</v>
      </c>
      <c r="F1629">
        <v>14</v>
      </c>
      <c r="G1629">
        <v>2493224</v>
      </c>
      <c r="H1629" t="s">
        <v>9455</v>
      </c>
      <c r="J1629" s="54" t="s">
        <v>6052</v>
      </c>
      <c r="K1629" s="54">
        <v>0</v>
      </c>
      <c r="L1629" s="22" t="s">
        <v>1563</v>
      </c>
      <c r="M1629" s="22" t="s">
        <v>36956</v>
      </c>
    </row>
    <row r="1630" spans="1:13" x14ac:dyDescent="0.75">
      <c r="A1630" t="s">
        <v>30166</v>
      </c>
      <c r="B1630" t="s">
        <v>10595</v>
      </c>
      <c r="C1630" t="s">
        <v>6081</v>
      </c>
      <c r="D1630" t="s">
        <v>10596</v>
      </c>
      <c r="E1630" t="s">
        <v>30167</v>
      </c>
      <c r="F1630">
        <v>293</v>
      </c>
      <c r="G1630">
        <v>1906260</v>
      </c>
      <c r="H1630" t="s">
        <v>30168</v>
      </c>
      <c r="J1630" s="54" t="s">
        <v>6052</v>
      </c>
      <c r="K1630" s="54">
        <v>0</v>
      </c>
      <c r="L1630" s="22" t="s">
        <v>1563</v>
      </c>
      <c r="M1630" s="22" t="s">
        <v>36963</v>
      </c>
    </row>
    <row r="1631" spans="1:13" x14ac:dyDescent="0.75">
      <c r="A1631" t="s">
        <v>13016</v>
      </c>
      <c r="B1631" t="s">
        <v>11068</v>
      </c>
      <c r="C1631" t="s">
        <v>6081</v>
      </c>
      <c r="D1631" t="s">
        <v>11069</v>
      </c>
      <c r="E1631" t="s">
        <v>13017</v>
      </c>
      <c r="F1631">
        <v>114</v>
      </c>
      <c r="G1631">
        <v>2767129</v>
      </c>
      <c r="H1631" t="s">
        <v>13018</v>
      </c>
      <c r="J1631" s="54" t="s">
        <v>6052</v>
      </c>
      <c r="K1631" s="54">
        <v>0</v>
      </c>
      <c r="L1631" s="22" t="s">
        <v>1563</v>
      </c>
      <c r="M1631" s="22" t="s">
        <v>36941</v>
      </c>
    </row>
    <row r="1632" spans="1:13" x14ac:dyDescent="0.75">
      <c r="A1632" t="s">
        <v>12688</v>
      </c>
      <c r="B1632" t="s">
        <v>12689</v>
      </c>
      <c r="C1632" t="s">
        <v>6081</v>
      </c>
      <c r="D1632" t="s">
        <v>12690</v>
      </c>
      <c r="E1632" t="s">
        <v>12691</v>
      </c>
      <c r="F1632">
        <v>115</v>
      </c>
      <c r="G1632">
        <v>2818382</v>
      </c>
      <c r="H1632" t="s">
        <v>12692</v>
      </c>
      <c r="J1632" s="54" t="s">
        <v>6052</v>
      </c>
      <c r="K1632" s="54">
        <v>0</v>
      </c>
      <c r="L1632" s="22" t="s">
        <v>1563</v>
      </c>
      <c r="M1632" s="22" t="s">
        <v>36939</v>
      </c>
    </row>
    <row r="1633" spans="1:13" x14ac:dyDescent="0.75">
      <c r="A1633" t="s">
        <v>12670</v>
      </c>
      <c r="B1633" t="s">
        <v>6080</v>
      </c>
      <c r="C1633" t="s">
        <v>6081</v>
      </c>
      <c r="D1633" t="s">
        <v>6082</v>
      </c>
      <c r="E1633" t="s">
        <v>12671</v>
      </c>
      <c r="F1633">
        <v>57</v>
      </c>
      <c r="G1633">
        <v>2410671</v>
      </c>
      <c r="H1633" t="s">
        <v>12672</v>
      </c>
      <c r="J1633" s="54" t="s">
        <v>6052</v>
      </c>
      <c r="K1633" s="54">
        <v>0</v>
      </c>
      <c r="L1633" s="22" t="s">
        <v>1563</v>
      </c>
      <c r="M1633" s="22" t="s">
        <v>36956</v>
      </c>
    </row>
    <row r="1634" spans="1:13" x14ac:dyDescent="0.75">
      <c r="A1634" t="s">
        <v>12888</v>
      </c>
      <c r="B1634" t="s">
        <v>12689</v>
      </c>
      <c r="C1634" t="s">
        <v>6081</v>
      </c>
      <c r="D1634" t="s">
        <v>12690</v>
      </c>
      <c r="E1634" t="s">
        <v>12889</v>
      </c>
      <c r="F1634">
        <v>74</v>
      </c>
      <c r="G1634">
        <v>2672238</v>
      </c>
      <c r="H1634" t="s">
        <v>12890</v>
      </c>
      <c r="J1634" s="54" t="s">
        <v>6052</v>
      </c>
      <c r="K1634" s="54">
        <v>0</v>
      </c>
      <c r="L1634" s="22" t="s">
        <v>1563</v>
      </c>
      <c r="M1634" s="22" t="s">
        <v>36939</v>
      </c>
    </row>
    <row r="1635" spans="1:13" x14ac:dyDescent="0.75">
      <c r="A1635" t="s">
        <v>13008</v>
      </c>
      <c r="B1635" t="s">
        <v>11068</v>
      </c>
      <c r="C1635" t="s">
        <v>6081</v>
      </c>
      <c r="D1635" t="s">
        <v>11069</v>
      </c>
      <c r="E1635" t="s">
        <v>13009</v>
      </c>
      <c r="F1635">
        <v>134</v>
      </c>
      <c r="G1635">
        <v>2758830</v>
      </c>
      <c r="H1635" t="s">
        <v>13010</v>
      </c>
      <c r="J1635" s="54" t="s">
        <v>6052</v>
      </c>
      <c r="K1635" s="54">
        <v>0</v>
      </c>
      <c r="L1635" s="22" t="s">
        <v>1563</v>
      </c>
      <c r="M1635" s="22" t="s">
        <v>36941</v>
      </c>
    </row>
    <row r="1636" spans="1:13" x14ac:dyDescent="0.75">
      <c r="A1636" t="s">
        <v>12714</v>
      </c>
      <c r="B1636" t="s">
        <v>10483</v>
      </c>
      <c r="C1636" t="s">
        <v>6081</v>
      </c>
      <c r="D1636" t="s">
        <v>10484</v>
      </c>
      <c r="E1636" t="s">
        <v>12715</v>
      </c>
      <c r="F1636">
        <v>93</v>
      </c>
      <c r="G1636">
        <v>2223736</v>
      </c>
      <c r="H1636" t="s">
        <v>12716</v>
      </c>
      <c r="J1636" s="54" t="s">
        <v>6052</v>
      </c>
      <c r="K1636" s="54">
        <v>0</v>
      </c>
      <c r="L1636" s="22" t="s">
        <v>1563</v>
      </c>
      <c r="M1636" s="22" t="s">
        <v>36965</v>
      </c>
    </row>
    <row r="1637" spans="1:13" x14ac:dyDescent="0.75">
      <c r="A1637" t="s">
        <v>12592</v>
      </c>
      <c r="B1637" t="s">
        <v>6394</v>
      </c>
      <c r="C1637" t="s">
        <v>6081</v>
      </c>
      <c r="D1637" t="s">
        <v>6395</v>
      </c>
      <c r="E1637" t="s">
        <v>12593</v>
      </c>
      <c r="F1637">
        <v>51</v>
      </c>
      <c r="G1637">
        <v>2642799</v>
      </c>
      <c r="H1637" t="s">
        <v>12594</v>
      </c>
      <c r="J1637" s="54" t="s">
        <v>6052</v>
      </c>
      <c r="K1637" s="54">
        <v>0</v>
      </c>
      <c r="L1637" s="22" t="s">
        <v>1563</v>
      </c>
      <c r="M1637" s="22" t="s">
        <v>36948</v>
      </c>
    </row>
    <row r="1638" spans="1:13" x14ac:dyDescent="0.75">
      <c r="A1638" t="s">
        <v>12595</v>
      </c>
      <c r="B1638" t="s">
        <v>6803</v>
      </c>
      <c r="C1638" t="s">
        <v>6081</v>
      </c>
      <c r="D1638" t="s">
        <v>6804</v>
      </c>
      <c r="E1638" t="s">
        <v>12596</v>
      </c>
      <c r="F1638">
        <v>105</v>
      </c>
      <c r="G1638">
        <v>2812770</v>
      </c>
      <c r="H1638" t="s">
        <v>12597</v>
      </c>
      <c r="J1638" s="54" t="s">
        <v>6052</v>
      </c>
      <c r="K1638" s="54">
        <v>0</v>
      </c>
      <c r="L1638" s="22" t="s">
        <v>1563</v>
      </c>
      <c r="M1638" s="22" t="s">
        <v>36940</v>
      </c>
    </row>
    <row r="1639" spans="1:13" x14ac:dyDescent="0.75">
      <c r="A1639" t="s">
        <v>12598</v>
      </c>
      <c r="B1639" t="s">
        <v>10755</v>
      </c>
      <c r="C1639" t="s">
        <v>6081</v>
      </c>
      <c r="D1639" t="s">
        <v>10756</v>
      </c>
      <c r="E1639" t="s">
        <v>12599</v>
      </c>
      <c r="F1639">
        <v>123</v>
      </c>
      <c r="G1639">
        <v>2797062</v>
      </c>
      <c r="H1639" t="s">
        <v>12600</v>
      </c>
      <c r="J1639" s="54" t="s">
        <v>6052</v>
      </c>
      <c r="K1639" s="54">
        <v>0</v>
      </c>
      <c r="L1639" s="22" t="s">
        <v>1563</v>
      </c>
      <c r="M1639" s="22" t="s">
        <v>36959</v>
      </c>
    </row>
    <row r="1640" spans="1:13" x14ac:dyDescent="0.75">
      <c r="A1640" t="s">
        <v>13076</v>
      </c>
      <c r="B1640" t="s">
        <v>6080</v>
      </c>
      <c r="C1640" t="s">
        <v>6081</v>
      </c>
      <c r="D1640" t="s">
        <v>6082</v>
      </c>
      <c r="E1640" t="s">
        <v>13077</v>
      </c>
      <c r="F1640">
        <v>65</v>
      </c>
      <c r="G1640">
        <v>2482958</v>
      </c>
      <c r="H1640" t="s">
        <v>13078</v>
      </c>
      <c r="J1640" s="54" t="s">
        <v>6052</v>
      </c>
      <c r="K1640" s="54">
        <v>0</v>
      </c>
      <c r="L1640" s="22" t="s">
        <v>1563</v>
      </c>
      <c r="M1640" s="22" t="s">
        <v>36956</v>
      </c>
    </row>
    <row r="1641" spans="1:13" x14ac:dyDescent="0.75">
      <c r="A1641" t="s">
        <v>12777</v>
      </c>
      <c r="B1641" t="s">
        <v>6394</v>
      </c>
      <c r="C1641" t="s">
        <v>6081</v>
      </c>
      <c r="D1641" t="s">
        <v>6395</v>
      </c>
      <c r="E1641" t="s">
        <v>12778</v>
      </c>
      <c r="F1641">
        <v>76</v>
      </c>
      <c r="G1641">
        <v>2606195</v>
      </c>
      <c r="H1641" t="s">
        <v>12779</v>
      </c>
      <c r="J1641" s="54" t="s">
        <v>6052</v>
      </c>
      <c r="K1641" s="54">
        <v>0</v>
      </c>
      <c r="L1641" s="22" t="s">
        <v>1563</v>
      </c>
      <c r="M1641" s="22" t="s">
        <v>36948</v>
      </c>
    </row>
    <row r="1642" spans="1:13" x14ac:dyDescent="0.75">
      <c r="A1642" t="s">
        <v>12711</v>
      </c>
      <c r="B1642" t="s">
        <v>7112</v>
      </c>
      <c r="C1642" t="s">
        <v>6081</v>
      </c>
      <c r="D1642" t="s">
        <v>7113</v>
      </c>
      <c r="E1642" t="s">
        <v>12712</v>
      </c>
      <c r="F1642">
        <v>31</v>
      </c>
      <c r="G1642">
        <v>2444943</v>
      </c>
      <c r="H1642" t="s">
        <v>12713</v>
      </c>
      <c r="J1642" s="54" t="s">
        <v>6052</v>
      </c>
      <c r="K1642" s="54">
        <v>0</v>
      </c>
      <c r="L1642" s="22" t="s">
        <v>36807</v>
      </c>
      <c r="M1642" s="22" t="s">
        <v>36952</v>
      </c>
    </row>
    <row r="1643" spans="1:13" x14ac:dyDescent="0.75">
      <c r="A1643" t="s">
        <v>12780</v>
      </c>
      <c r="B1643" t="s">
        <v>6080</v>
      </c>
      <c r="C1643" t="s">
        <v>6081</v>
      </c>
      <c r="D1643" t="s">
        <v>6082</v>
      </c>
      <c r="E1643" t="s">
        <v>12781</v>
      </c>
      <c r="F1643">
        <v>46</v>
      </c>
      <c r="G1643">
        <v>2425142</v>
      </c>
      <c r="H1643" t="s">
        <v>12782</v>
      </c>
      <c r="J1643" s="54" t="s">
        <v>6052</v>
      </c>
      <c r="K1643" s="54">
        <v>0</v>
      </c>
      <c r="L1643" s="22" t="s">
        <v>1563</v>
      </c>
      <c r="M1643" s="22" t="s">
        <v>36956</v>
      </c>
    </row>
    <row r="1644" spans="1:13" x14ac:dyDescent="0.75">
      <c r="A1644" t="s">
        <v>12747</v>
      </c>
      <c r="B1644" t="s">
        <v>6080</v>
      </c>
      <c r="C1644" t="s">
        <v>6081</v>
      </c>
      <c r="D1644" t="s">
        <v>6082</v>
      </c>
      <c r="E1644" t="s">
        <v>12748</v>
      </c>
      <c r="F1644">
        <v>44</v>
      </c>
      <c r="G1644">
        <v>2409263</v>
      </c>
      <c r="H1644" t="s">
        <v>12749</v>
      </c>
      <c r="J1644" s="54" t="s">
        <v>6052</v>
      </c>
      <c r="K1644" s="54">
        <v>0</v>
      </c>
      <c r="L1644" s="22" t="s">
        <v>1563</v>
      </c>
      <c r="M1644" s="22" t="s">
        <v>36956</v>
      </c>
    </row>
    <row r="1645" spans="1:13" x14ac:dyDescent="0.75">
      <c r="A1645" t="s">
        <v>13002</v>
      </c>
      <c r="B1645" t="s">
        <v>6080</v>
      </c>
      <c r="C1645" t="s">
        <v>6081</v>
      </c>
      <c r="D1645" t="s">
        <v>6082</v>
      </c>
      <c r="E1645" t="s">
        <v>13003</v>
      </c>
      <c r="F1645">
        <v>47</v>
      </c>
      <c r="G1645">
        <v>2450517</v>
      </c>
      <c r="H1645" t="s">
        <v>13004</v>
      </c>
      <c r="J1645" s="54" t="s">
        <v>6052</v>
      </c>
      <c r="K1645" s="54">
        <v>0</v>
      </c>
      <c r="L1645" s="22" t="s">
        <v>1563</v>
      </c>
      <c r="M1645" s="22" t="s">
        <v>36956</v>
      </c>
    </row>
    <row r="1646" spans="1:13" x14ac:dyDescent="0.75">
      <c r="A1646" t="s">
        <v>12801</v>
      </c>
      <c r="B1646" t="s">
        <v>6080</v>
      </c>
      <c r="C1646" t="s">
        <v>6081</v>
      </c>
      <c r="D1646" t="s">
        <v>6082</v>
      </c>
      <c r="E1646" t="s">
        <v>12802</v>
      </c>
      <c r="F1646">
        <v>25</v>
      </c>
      <c r="G1646">
        <v>2436100</v>
      </c>
      <c r="H1646" t="s">
        <v>12803</v>
      </c>
      <c r="J1646" s="54" t="s">
        <v>6052</v>
      </c>
      <c r="K1646" s="54">
        <v>0</v>
      </c>
      <c r="L1646" s="22" t="s">
        <v>1563</v>
      </c>
      <c r="M1646" s="22" t="s">
        <v>36956</v>
      </c>
    </row>
    <row r="1647" spans="1:13" x14ac:dyDescent="0.75">
      <c r="A1647" t="s">
        <v>12835</v>
      </c>
      <c r="B1647" t="s">
        <v>7112</v>
      </c>
      <c r="C1647" t="s">
        <v>6081</v>
      </c>
      <c r="D1647" t="s">
        <v>7113</v>
      </c>
      <c r="E1647" t="s">
        <v>12836</v>
      </c>
      <c r="F1647">
        <v>24</v>
      </c>
      <c r="G1647">
        <v>2460166</v>
      </c>
      <c r="H1647" t="s">
        <v>12837</v>
      </c>
      <c r="J1647" s="54" t="s">
        <v>6052</v>
      </c>
      <c r="K1647" s="54">
        <v>0</v>
      </c>
      <c r="L1647" s="22" t="s">
        <v>36807</v>
      </c>
      <c r="M1647" s="22" t="s">
        <v>36952</v>
      </c>
    </row>
    <row r="1648" spans="1:13" x14ac:dyDescent="0.75">
      <c r="A1648" t="s">
        <v>12717</v>
      </c>
      <c r="B1648" t="s">
        <v>6080</v>
      </c>
      <c r="C1648" t="s">
        <v>6081</v>
      </c>
      <c r="D1648" t="s">
        <v>6082</v>
      </c>
      <c r="E1648" t="s">
        <v>12718</v>
      </c>
      <c r="F1648">
        <v>53</v>
      </c>
      <c r="G1648">
        <v>2458128</v>
      </c>
      <c r="H1648" t="s">
        <v>12719</v>
      </c>
      <c r="J1648" s="54" t="s">
        <v>6052</v>
      </c>
      <c r="K1648" s="54">
        <v>0</v>
      </c>
      <c r="L1648" s="22" t="s">
        <v>1563</v>
      </c>
      <c r="M1648" s="22" t="s">
        <v>36956</v>
      </c>
    </row>
    <row r="1649" spans="1:13" x14ac:dyDescent="0.75">
      <c r="A1649" t="s">
        <v>12756</v>
      </c>
      <c r="B1649" t="s">
        <v>12689</v>
      </c>
      <c r="C1649" t="s">
        <v>6081</v>
      </c>
      <c r="D1649" t="s">
        <v>12690</v>
      </c>
      <c r="E1649" t="s">
        <v>12757</v>
      </c>
      <c r="F1649">
        <v>67</v>
      </c>
      <c r="G1649">
        <v>2658959</v>
      </c>
      <c r="H1649" t="s">
        <v>12758</v>
      </c>
      <c r="J1649" s="54" t="s">
        <v>6052</v>
      </c>
      <c r="K1649" s="54">
        <v>0</v>
      </c>
      <c r="L1649" s="22" t="s">
        <v>1563</v>
      </c>
      <c r="M1649" s="22" t="s">
        <v>36939</v>
      </c>
    </row>
    <row r="1650" spans="1:13" x14ac:dyDescent="0.75">
      <c r="A1650" t="s">
        <v>12850</v>
      </c>
      <c r="B1650" t="s">
        <v>6080</v>
      </c>
      <c r="C1650" t="s">
        <v>6081</v>
      </c>
      <c r="D1650" t="s">
        <v>6082</v>
      </c>
      <c r="E1650" t="s">
        <v>12851</v>
      </c>
      <c r="F1650">
        <v>42</v>
      </c>
      <c r="G1650">
        <v>2493204</v>
      </c>
      <c r="H1650" t="s">
        <v>12852</v>
      </c>
      <c r="J1650" s="54" t="s">
        <v>6052</v>
      </c>
      <c r="K1650" s="54">
        <v>0</v>
      </c>
      <c r="L1650" s="22" t="s">
        <v>1563</v>
      </c>
      <c r="M1650" s="22" t="s">
        <v>36956</v>
      </c>
    </row>
    <row r="1651" spans="1:13" x14ac:dyDescent="0.75">
      <c r="A1651" t="s">
        <v>12966</v>
      </c>
      <c r="B1651" t="s">
        <v>6394</v>
      </c>
      <c r="C1651" t="s">
        <v>6081</v>
      </c>
      <c r="D1651" t="s">
        <v>6395</v>
      </c>
      <c r="E1651" t="s">
        <v>12967</v>
      </c>
      <c r="F1651">
        <v>66</v>
      </c>
      <c r="G1651">
        <v>2631066</v>
      </c>
      <c r="H1651" t="s">
        <v>12968</v>
      </c>
      <c r="J1651" s="54" t="s">
        <v>6052</v>
      </c>
      <c r="K1651" s="54">
        <v>0</v>
      </c>
      <c r="L1651" s="22" t="s">
        <v>1563</v>
      </c>
      <c r="M1651" s="22" t="s">
        <v>36948</v>
      </c>
    </row>
    <row r="1652" spans="1:13" x14ac:dyDescent="0.75">
      <c r="A1652" t="s">
        <v>12963</v>
      </c>
      <c r="B1652" t="s">
        <v>11068</v>
      </c>
      <c r="C1652" t="s">
        <v>6081</v>
      </c>
      <c r="D1652" t="s">
        <v>11069</v>
      </c>
      <c r="E1652" t="s">
        <v>12964</v>
      </c>
      <c r="F1652">
        <v>116</v>
      </c>
      <c r="G1652">
        <v>2793519</v>
      </c>
      <c r="H1652" t="s">
        <v>12965</v>
      </c>
      <c r="J1652" s="54" t="s">
        <v>6052</v>
      </c>
      <c r="K1652" s="54">
        <v>0</v>
      </c>
      <c r="L1652" s="22" t="s">
        <v>1563</v>
      </c>
      <c r="M1652" s="22" t="s">
        <v>36941</v>
      </c>
    </row>
    <row r="1653" spans="1:13" x14ac:dyDescent="0.75">
      <c r="A1653" t="s">
        <v>12876</v>
      </c>
      <c r="B1653" t="s">
        <v>6394</v>
      </c>
      <c r="C1653" t="s">
        <v>6081</v>
      </c>
      <c r="D1653" t="s">
        <v>6395</v>
      </c>
      <c r="E1653" t="s">
        <v>12877</v>
      </c>
      <c r="F1653">
        <v>116</v>
      </c>
      <c r="G1653">
        <v>2642255</v>
      </c>
      <c r="H1653" t="s">
        <v>12878</v>
      </c>
      <c r="J1653" s="54" t="s">
        <v>6052</v>
      </c>
      <c r="K1653" s="54">
        <v>0</v>
      </c>
      <c r="L1653" s="22" t="s">
        <v>1563</v>
      </c>
      <c r="M1653" s="22" t="s">
        <v>36948</v>
      </c>
    </row>
    <row r="1654" spans="1:13" x14ac:dyDescent="0.75">
      <c r="A1654" t="s">
        <v>12601</v>
      </c>
      <c r="B1654" t="s">
        <v>6803</v>
      </c>
      <c r="C1654" t="s">
        <v>6081</v>
      </c>
      <c r="D1654" t="s">
        <v>6804</v>
      </c>
      <c r="E1654" t="s">
        <v>12602</v>
      </c>
      <c r="F1654">
        <v>82</v>
      </c>
      <c r="G1654">
        <v>2652216</v>
      </c>
      <c r="H1654" t="s">
        <v>12603</v>
      </c>
      <c r="J1654" s="54" t="s">
        <v>6052</v>
      </c>
      <c r="K1654" s="54">
        <v>0</v>
      </c>
      <c r="L1654" s="22" t="s">
        <v>1563</v>
      </c>
      <c r="M1654" s="22" t="s">
        <v>36940</v>
      </c>
    </row>
    <row r="1655" spans="1:13" x14ac:dyDescent="0.75">
      <c r="A1655" t="s">
        <v>12604</v>
      </c>
      <c r="B1655" t="s">
        <v>12006</v>
      </c>
      <c r="C1655" t="s">
        <v>6081</v>
      </c>
      <c r="D1655" t="s">
        <v>12007</v>
      </c>
      <c r="E1655" t="s">
        <v>12605</v>
      </c>
      <c r="F1655">
        <v>52</v>
      </c>
      <c r="G1655">
        <v>2672576</v>
      </c>
      <c r="H1655" t="s">
        <v>12606</v>
      </c>
      <c r="J1655" s="54" t="s">
        <v>6052</v>
      </c>
      <c r="K1655" s="54">
        <v>0</v>
      </c>
      <c r="L1655" s="22" t="s">
        <v>1563</v>
      </c>
      <c r="M1655" s="22" t="s">
        <v>36950</v>
      </c>
    </row>
    <row r="1656" spans="1:13" x14ac:dyDescent="0.75">
      <c r="A1656" t="s">
        <v>12610</v>
      </c>
      <c r="B1656" t="s">
        <v>12006</v>
      </c>
      <c r="C1656" t="s">
        <v>6081</v>
      </c>
      <c r="D1656" t="s">
        <v>12007</v>
      </c>
      <c r="E1656" t="s">
        <v>12611</v>
      </c>
      <c r="F1656">
        <v>45</v>
      </c>
      <c r="G1656">
        <v>2627043</v>
      </c>
      <c r="H1656" t="s">
        <v>12612</v>
      </c>
      <c r="J1656" s="54" t="s">
        <v>6052</v>
      </c>
      <c r="K1656" s="54">
        <v>0</v>
      </c>
      <c r="L1656" s="22" t="s">
        <v>1563</v>
      </c>
      <c r="M1656" s="22" t="s">
        <v>36950</v>
      </c>
    </row>
    <row r="1657" spans="1:13" x14ac:dyDescent="0.75">
      <c r="A1657" t="s">
        <v>12939</v>
      </c>
      <c r="B1657" t="s">
        <v>6080</v>
      </c>
      <c r="C1657" t="s">
        <v>6081</v>
      </c>
      <c r="D1657" t="s">
        <v>6082</v>
      </c>
      <c r="E1657" t="s">
        <v>12940</v>
      </c>
      <c r="F1657">
        <v>54</v>
      </c>
      <c r="G1657">
        <v>2417058</v>
      </c>
      <c r="H1657" t="s">
        <v>12941</v>
      </c>
      <c r="J1657" s="54" t="s">
        <v>6052</v>
      </c>
      <c r="K1657" s="54">
        <v>0</v>
      </c>
      <c r="L1657" s="22" t="s">
        <v>1563</v>
      </c>
      <c r="M1657" s="22" t="s">
        <v>36956</v>
      </c>
    </row>
    <row r="1658" spans="1:13" x14ac:dyDescent="0.75">
      <c r="A1658" t="s">
        <v>12655</v>
      </c>
      <c r="B1658" t="s">
        <v>11068</v>
      </c>
      <c r="C1658" t="s">
        <v>6081</v>
      </c>
      <c r="D1658" t="s">
        <v>11069</v>
      </c>
      <c r="E1658" t="s">
        <v>12656</v>
      </c>
      <c r="F1658">
        <v>98</v>
      </c>
      <c r="G1658">
        <v>2725857</v>
      </c>
      <c r="H1658" t="s">
        <v>12657</v>
      </c>
      <c r="J1658" s="54" t="s">
        <v>6052</v>
      </c>
      <c r="K1658" s="54">
        <v>0</v>
      </c>
      <c r="L1658" s="22" t="s">
        <v>1563</v>
      </c>
      <c r="M1658" s="22" t="s">
        <v>36941</v>
      </c>
    </row>
    <row r="1659" spans="1:13" x14ac:dyDescent="0.75">
      <c r="A1659" t="s">
        <v>12723</v>
      </c>
      <c r="B1659" t="s">
        <v>12689</v>
      </c>
      <c r="C1659" t="s">
        <v>6081</v>
      </c>
      <c r="D1659" t="s">
        <v>12690</v>
      </c>
      <c r="E1659" t="s">
        <v>12724</v>
      </c>
      <c r="F1659">
        <v>108</v>
      </c>
      <c r="G1659">
        <v>2753344</v>
      </c>
      <c r="H1659" t="s">
        <v>12725</v>
      </c>
      <c r="J1659" s="54" t="s">
        <v>6052</v>
      </c>
      <c r="K1659" s="54">
        <v>0</v>
      </c>
      <c r="L1659" s="22" t="s">
        <v>1563</v>
      </c>
      <c r="M1659" s="22" t="s">
        <v>36939</v>
      </c>
    </row>
    <row r="1660" spans="1:13" x14ac:dyDescent="0.75">
      <c r="A1660" t="s">
        <v>12679</v>
      </c>
      <c r="B1660" t="s">
        <v>11068</v>
      </c>
      <c r="C1660" t="s">
        <v>6081</v>
      </c>
      <c r="D1660" t="s">
        <v>11069</v>
      </c>
      <c r="E1660" t="s">
        <v>12680</v>
      </c>
      <c r="F1660">
        <v>121</v>
      </c>
      <c r="G1660">
        <v>2804419</v>
      </c>
      <c r="H1660" t="s">
        <v>12681</v>
      </c>
      <c r="J1660" s="54" t="s">
        <v>6052</v>
      </c>
      <c r="K1660" s="54">
        <v>0</v>
      </c>
      <c r="L1660" s="22" t="s">
        <v>1563</v>
      </c>
      <c r="M1660" s="22" t="s">
        <v>36941</v>
      </c>
    </row>
    <row r="1661" spans="1:13" x14ac:dyDescent="0.75">
      <c r="A1661" t="s">
        <v>13058</v>
      </c>
      <c r="B1661" t="s">
        <v>6080</v>
      </c>
      <c r="C1661" t="s">
        <v>6081</v>
      </c>
      <c r="D1661" t="s">
        <v>6082</v>
      </c>
      <c r="E1661" t="s">
        <v>13059</v>
      </c>
      <c r="F1661">
        <v>54</v>
      </c>
      <c r="G1661">
        <v>2489149</v>
      </c>
      <c r="H1661" t="s">
        <v>13060</v>
      </c>
      <c r="J1661" s="54" t="s">
        <v>6052</v>
      </c>
      <c r="K1661" s="54">
        <v>0</v>
      </c>
      <c r="L1661" s="22" t="s">
        <v>1563</v>
      </c>
      <c r="M1661" s="22" t="s">
        <v>36956</v>
      </c>
    </row>
    <row r="1662" spans="1:13" x14ac:dyDescent="0.75">
      <c r="A1662" t="s">
        <v>13073</v>
      </c>
      <c r="B1662" t="s">
        <v>6080</v>
      </c>
      <c r="C1662" t="s">
        <v>6081</v>
      </c>
      <c r="D1662" t="s">
        <v>6082</v>
      </c>
      <c r="E1662" t="s">
        <v>13074</v>
      </c>
      <c r="F1662">
        <v>81</v>
      </c>
      <c r="G1662">
        <v>2484283</v>
      </c>
      <c r="H1662" t="s">
        <v>13075</v>
      </c>
      <c r="J1662" s="54" t="s">
        <v>6052</v>
      </c>
      <c r="K1662" s="54">
        <v>0</v>
      </c>
      <c r="L1662" s="22" t="s">
        <v>1563</v>
      </c>
      <c r="M1662" s="22" t="s">
        <v>36956</v>
      </c>
    </row>
    <row r="1663" spans="1:13" x14ac:dyDescent="0.75">
      <c r="A1663" t="s">
        <v>12918</v>
      </c>
      <c r="B1663" t="s">
        <v>6394</v>
      </c>
      <c r="C1663" t="s">
        <v>6081</v>
      </c>
      <c r="D1663" t="s">
        <v>6395</v>
      </c>
      <c r="E1663" t="s">
        <v>12919</v>
      </c>
      <c r="F1663">
        <v>56</v>
      </c>
      <c r="G1663">
        <v>2566381</v>
      </c>
      <c r="H1663" t="s">
        <v>12920</v>
      </c>
      <c r="J1663" s="54" t="s">
        <v>6052</v>
      </c>
      <c r="K1663" s="54">
        <v>0</v>
      </c>
      <c r="L1663" s="22" t="s">
        <v>1563</v>
      </c>
      <c r="M1663" s="22" t="s">
        <v>36948</v>
      </c>
    </row>
    <row r="1664" spans="1:13" x14ac:dyDescent="0.75">
      <c r="A1664" t="s">
        <v>13061</v>
      </c>
      <c r="B1664" t="s">
        <v>7112</v>
      </c>
      <c r="C1664" t="s">
        <v>6081</v>
      </c>
      <c r="D1664" t="s">
        <v>7113</v>
      </c>
      <c r="E1664" t="s">
        <v>13062</v>
      </c>
      <c r="F1664">
        <v>33</v>
      </c>
      <c r="G1664">
        <v>2473368</v>
      </c>
      <c r="H1664" t="s">
        <v>13063</v>
      </c>
      <c r="J1664" s="54" t="s">
        <v>6052</v>
      </c>
      <c r="K1664" s="54">
        <v>0</v>
      </c>
      <c r="L1664" s="22" t="s">
        <v>36807</v>
      </c>
      <c r="M1664" s="22" t="s">
        <v>36952</v>
      </c>
    </row>
    <row r="1665" spans="1:13" x14ac:dyDescent="0.75">
      <c r="A1665" t="s">
        <v>13079</v>
      </c>
      <c r="B1665" t="s">
        <v>7112</v>
      </c>
      <c r="C1665" t="s">
        <v>6081</v>
      </c>
      <c r="D1665" t="s">
        <v>7113</v>
      </c>
      <c r="E1665" t="s">
        <v>13080</v>
      </c>
      <c r="F1665">
        <v>84</v>
      </c>
      <c r="G1665">
        <v>2540944</v>
      </c>
      <c r="H1665" t="s">
        <v>13081</v>
      </c>
      <c r="J1665" s="54" t="s">
        <v>6052</v>
      </c>
      <c r="K1665" s="54">
        <v>0</v>
      </c>
      <c r="L1665" s="22" t="s">
        <v>36807</v>
      </c>
      <c r="M1665" s="22" t="s">
        <v>36952</v>
      </c>
    </row>
    <row r="1666" spans="1:13" x14ac:dyDescent="0.75">
      <c r="A1666" t="s">
        <v>13082</v>
      </c>
      <c r="B1666" t="s">
        <v>7112</v>
      </c>
      <c r="C1666" t="s">
        <v>6081</v>
      </c>
      <c r="D1666" t="s">
        <v>7113</v>
      </c>
      <c r="E1666" t="s">
        <v>13083</v>
      </c>
      <c r="F1666">
        <v>120</v>
      </c>
      <c r="G1666">
        <v>2442160</v>
      </c>
      <c r="H1666" t="s">
        <v>13084</v>
      </c>
      <c r="J1666" s="54" t="s">
        <v>6052</v>
      </c>
      <c r="K1666" s="54">
        <v>0</v>
      </c>
      <c r="L1666" s="22" t="s">
        <v>36807</v>
      </c>
      <c r="M1666" s="22" t="s">
        <v>36952</v>
      </c>
    </row>
    <row r="1667" spans="1:13" x14ac:dyDescent="0.75">
      <c r="A1667" t="s">
        <v>13085</v>
      </c>
      <c r="B1667" t="s">
        <v>7112</v>
      </c>
      <c r="C1667" t="s">
        <v>6081</v>
      </c>
      <c r="D1667" t="s">
        <v>7113</v>
      </c>
      <c r="E1667" t="s">
        <v>13086</v>
      </c>
      <c r="F1667">
        <v>39</v>
      </c>
      <c r="G1667">
        <v>2409687</v>
      </c>
      <c r="H1667" t="s">
        <v>13087</v>
      </c>
      <c r="J1667" s="54" t="s">
        <v>6052</v>
      </c>
      <c r="K1667" s="54">
        <v>0</v>
      </c>
      <c r="L1667" s="22" t="s">
        <v>36807</v>
      </c>
      <c r="M1667" s="22" t="s">
        <v>36952</v>
      </c>
    </row>
    <row r="1668" spans="1:13" x14ac:dyDescent="0.75">
      <c r="A1668" t="s">
        <v>12696</v>
      </c>
      <c r="B1668" t="s">
        <v>7112</v>
      </c>
      <c r="C1668" t="s">
        <v>6081</v>
      </c>
      <c r="D1668" t="s">
        <v>7113</v>
      </c>
      <c r="E1668" t="s">
        <v>12697</v>
      </c>
      <c r="F1668">
        <v>34</v>
      </c>
      <c r="G1668">
        <v>2456959</v>
      </c>
      <c r="H1668" t="s">
        <v>12698</v>
      </c>
      <c r="J1668" s="54" t="s">
        <v>6052</v>
      </c>
      <c r="K1668" s="54">
        <v>0</v>
      </c>
      <c r="L1668" s="22" t="s">
        <v>36807</v>
      </c>
      <c r="M1668" s="22" t="s">
        <v>36952</v>
      </c>
    </row>
    <row r="1669" spans="1:13" x14ac:dyDescent="0.75">
      <c r="A1669" t="s">
        <v>12909</v>
      </c>
      <c r="B1669" t="s">
        <v>11068</v>
      </c>
      <c r="C1669" t="s">
        <v>6081</v>
      </c>
      <c r="D1669" t="s">
        <v>11069</v>
      </c>
      <c r="E1669" t="s">
        <v>12910</v>
      </c>
      <c r="F1669">
        <v>100</v>
      </c>
      <c r="G1669">
        <v>2810041</v>
      </c>
      <c r="H1669" t="s">
        <v>12911</v>
      </c>
      <c r="J1669" s="54" t="s">
        <v>6052</v>
      </c>
      <c r="K1669" s="54">
        <v>0</v>
      </c>
      <c r="L1669" s="22" t="s">
        <v>1563</v>
      </c>
      <c r="M1669" s="22" t="s">
        <v>36941</v>
      </c>
    </row>
    <row r="1670" spans="1:13" x14ac:dyDescent="0.75">
      <c r="A1670" t="s">
        <v>12750</v>
      </c>
      <c r="B1670" t="s">
        <v>6080</v>
      </c>
      <c r="C1670" t="s">
        <v>6081</v>
      </c>
      <c r="D1670" t="s">
        <v>6082</v>
      </c>
      <c r="E1670" t="s">
        <v>12751</v>
      </c>
      <c r="F1670">
        <v>138</v>
      </c>
      <c r="G1670">
        <v>2436086</v>
      </c>
      <c r="H1670" t="s">
        <v>12752</v>
      </c>
      <c r="J1670" s="54" t="s">
        <v>6052</v>
      </c>
      <c r="K1670" s="54">
        <v>0</v>
      </c>
      <c r="L1670" s="22" t="s">
        <v>1563</v>
      </c>
      <c r="M1670" s="22" t="s">
        <v>36956</v>
      </c>
    </row>
    <row r="1671" spans="1:13" x14ac:dyDescent="0.75">
      <c r="A1671" t="s">
        <v>12735</v>
      </c>
      <c r="B1671" t="s">
        <v>6080</v>
      </c>
      <c r="C1671" t="s">
        <v>6081</v>
      </c>
      <c r="D1671" t="s">
        <v>6082</v>
      </c>
      <c r="E1671" t="s">
        <v>12736</v>
      </c>
      <c r="F1671">
        <v>67</v>
      </c>
      <c r="G1671">
        <v>2461778</v>
      </c>
      <c r="H1671" t="s">
        <v>12737</v>
      </c>
      <c r="J1671" s="54" t="s">
        <v>6052</v>
      </c>
      <c r="K1671" s="54">
        <v>0</v>
      </c>
      <c r="L1671" s="22" t="s">
        <v>1563</v>
      </c>
      <c r="M1671" s="22" t="s">
        <v>36956</v>
      </c>
    </row>
    <row r="1672" spans="1:13" x14ac:dyDescent="0.75">
      <c r="A1672" t="s">
        <v>12676</v>
      </c>
      <c r="B1672" t="s">
        <v>6080</v>
      </c>
      <c r="C1672" t="s">
        <v>6081</v>
      </c>
      <c r="D1672" t="s">
        <v>6082</v>
      </c>
      <c r="E1672" t="s">
        <v>12677</v>
      </c>
      <c r="F1672">
        <v>49</v>
      </c>
      <c r="G1672">
        <v>2430573</v>
      </c>
      <c r="H1672" t="s">
        <v>12678</v>
      </c>
      <c r="J1672" s="54" t="s">
        <v>6052</v>
      </c>
      <c r="K1672" s="54">
        <v>0</v>
      </c>
      <c r="L1672" s="22" t="s">
        <v>1563</v>
      </c>
      <c r="M1672" s="22" t="s">
        <v>36956</v>
      </c>
    </row>
    <row r="1673" spans="1:13" x14ac:dyDescent="0.75">
      <c r="A1673" t="s">
        <v>12798</v>
      </c>
      <c r="B1673" t="s">
        <v>12689</v>
      </c>
      <c r="C1673" t="s">
        <v>6081</v>
      </c>
      <c r="D1673" t="s">
        <v>12690</v>
      </c>
      <c r="E1673" t="s">
        <v>12799</v>
      </c>
      <c r="F1673">
        <v>91</v>
      </c>
      <c r="G1673">
        <v>2761821</v>
      </c>
      <c r="H1673" t="s">
        <v>12800</v>
      </c>
      <c r="J1673" s="54" t="s">
        <v>6052</v>
      </c>
      <c r="K1673" s="54">
        <v>0</v>
      </c>
      <c r="L1673" s="22" t="s">
        <v>1563</v>
      </c>
      <c r="M1673" s="22" t="s">
        <v>36939</v>
      </c>
    </row>
    <row r="1674" spans="1:13" x14ac:dyDescent="0.75">
      <c r="A1674" t="s">
        <v>12951</v>
      </c>
      <c r="B1674" t="s">
        <v>12689</v>
      </c>
      <c r="C1674" t="s">
        <v>6081</v>
      </c>
      <c r="D1674" t="s">
        <v>12690</v>
      </c>
      <c r="E1674" t="s">
        <v>12952</v>
      </c>
      <c r="F1674">
        <v>97</v>
      </c>
      <c r="G1674">
        <v>2669014</v>
      </c>
      <c r="H1674" t="s">
        <v>12953</v>
      </c>
      <c r="J1674" s="54" t="s">
        <v>6052</v>
      </c>
      <c r="K1674" s="54">
        <v>0</v>
      </c>
      <c r="L1674" s="22" t="s">
        <v>1563</v>
      </c>
      <c r="M1674" s="22" t="s">
        <v>36939</v>
      </c>
    </row>
    <row r="1675" spans="1:13" x14ac:dyDescent="0.75">
      <c r="A1675" t="s">
        <v>12616</v>
      </c>
      <c r="B1675" t="s">
        <v>12006</v>
      </c>
      <c r="C1675" t="s">
        <v>6081</v>
      </c>
      <c r="D1675" t="s">
        <v>12007</v>
      </c>
      <c r="E1675" t="s">
        <v>12617</v>
      </c>
      <c r="F1675">
        <v>53</v>
      </c>
      <c r="G1675">
        <v>2657712</v>
      </c>
      <c r="H1675" t="s">
        <v>12618</v>
      </c>
      <c r="J1675" s="54" t="s">
        <v>6052</v>
      </c>
      <c r="K1675" s="54">
        <v>0</v>
      </c>
      <c r="L1675" s="22" t="s">
        <v>1563</v>
      </c>
      <c r="M1675" s="22" t="s">
        <v>36950</v>
      </c>
    </row>
    <row r="1676" spans="1:13" x14ac:dyDescent="0.75">
      <c r="A1676" t="s">
        <v>12583</v>
      </c>
      <c r="B1676" t="s">
        <v>7112</v>
      </c>
      <c r="C1676" t="s">
        <v>6081</v>
      </c>
      <c r="D1676" t="s">
        <v>7113</v>
      </c>
      <c r="E1676" t="s">
        <v>12584</v>
      </c>
      <c r="F1676">
        <v>45</v>
      </c>
      <c r="G1676">
        <v>2433278</v>
      </c>
      <c r="H1676" t="s">
        <v>12585</v>
      </c>
      <c r="J1676" s="54" t="s">
        <v>6052</v>
      </c>
      <c r="K1676" s="54">
        <v>0</v>
      </c>
      <c r="L1676" s="22" t="s">
        <v>36807</v>
      </c>
      <c r="M1676" s="22" t="s">
        <v>36952</v>
      </c>
    </row>
    <row r="1677" spans="1:13" x14ac:dyDescent="0.75">
      <c r="A1677" t="s">
        <v>12586</v>
      </c>
      <c r="B1677" t="s">
        <v>6080</v>
      </c>
      <c r="C1677" t="s">
        <v>6081</v>
      </c>
      <c r="D1677" t="s">
        <v>6082</v>
      </c>
      <c r="E1677" t="s">
        <v>12587</v>
      </c>
      <c r="F1677">
        <v>76</v>
      </c>
      <c r="G1677">
        <v>2562236</v>
      </c>
      <c r="H1677" t="s">
        <v>12588</v>
      </c>
      <c r="J1677" s="54" t="s">
        <v>6052</v>
      </c>
      <c r="K1677" s="54">
        <v>0</v>
      </c>
      <c r="L1677" s="22" t="s">
        <v>1563</v>
      </c>
      <c r="M1677" s="22" t="s">
        <v>36956</v>
      </c>
    </row>
    <row r="1678" spans="1:13" x14ac:dyDescent="0.75">
      <c r="A1678" t="s">
        <v>12589</v>
      </c>
      <c r="B1678" t="s">
        <v>6080</v>
      </c>
      <c r="C1678" t="s">
        <v>6081</v>
      </c>
      <c r="D1678" t="s">
        <v>6082</v>
      </c>
      <c r="E1678" t="s">
        <v>12590</v>
      </c>
      <c r="F1678">
        <v>62</v>
      </c>
      <c r="G1678">
        <v>2490969</v>
      </c>
      <c r="H1678" t="s">
        <v>12591</v>
      </c>
      <c r="J1678" s="54" t="s">
        <v>6052</v>
      </c>
      <c r="K1678" s="54">
        <v>0</v>
      </c>
      <c r="L1678" s="22" t="s">
        <v>1563</v>
      </c>
      <c r="M1678" s="22" t="s">
        <v>36956</v>
      </c>
    </row>
    <row r="1679" spans="1:13" x14ac:dyDescent="0.75">
      <c r="A1679" t="s">
        <v>16444</v>
      </c>
      <c r="B1679" t="s">
        <v>9434</v>
      </c>
      <c r="C1679" t="s">
        <v>6081</v>
      </c>
      <c r="D1679" t="s">
        <v>9435</v>
      </c>
      <c r="E1679" t="s">
        <v>16445</v>
      </c>
      <c r="F1679">
        <v>31</v>
      </c>
      <c r="G1679">
        <v>2317331</v>
      </c>
      <c r="H1679" t="s">
        <v>16446</v>
      </c>
      <c r="J1679" s="54" t="s">
        <v>6052</v>
      </c>
      <c r="K1679" s="54">
        <v>0</v>
      </c>
      <c r="L1679" s="22" t="s">
        <v>1563</v>
      </c>
      <c r="M1679" s="22" t="s">
        <v>36955</v>
      </c>
    </row>
    <row r="1680" spans="1:13" x14ac:dyDescent="0.75">
      <c r="A1680" t="s">
        <v>16432</v>
      </c>
      <c r="B1680" t="s">
        <v>9760</v>
      </c>
      <c r="C1680" t="s">
        <v>6081</v>
      </c>
      <c r="D1680" t="s">
        <v>9761</v>
      </c>
      <c r="E1680" t="s">
        <v>16433</v>
      </c>
      <c r="F1680">
        <v>39</v>
      </c>
      <c r="G1680">
        <v>2314806</v>
      </c>
      <c r="H1680" t="s">
        <v>16434</v>
      </c>
      <c r="J1680" s="54" t="s">
        <v>6052</v>
      </c>
      <c r="K1680" s="54">
        <v>0</v>
      </c>
      <c r="L1680" s="22" t="s">
        <v>36807</v>
      </c>
      <c r="M1680" s="22" t="s">
        <v>36943</v>
      </c>
    </row>
    <row r="1681" spans="1:13" x14ac:dyDescent="0.75">
      <c r="A1681" t="s">
        <v>16429</v>
      </c>
      <c r="B1681" t="s">
        <v>9760</v>
      </c>
      <c r="C1681" t="s">
        <v>6081</v>
      </c>
      <c r="D1681" t="s">
        <v>9761</v>
      </c>
      <c r="E1681" t="s">
        <v>16430</v>
      </c>
      <c r="F1681">
        <v>54</v>
      </c>
      <c r="G1681">
        <v>2328440</v>
      </c>
      <c r="H1681" t="s">
        <v>16431</v>
      </c>
      <c r="J1681" s="54" t="s">
        <v>6052</v>
      </c>
      <c r="K1681" s="54">
        <v>0</v>
      </c>
      <c r="L1681" s="22" t="s">
        <v>36807</v>
      </c>
      <c r="M1681" s="22" t="s">
        <v>36943</v>
      </c>
    </row>
    <row r="1682" spans="1:13" x14ac:dyDescent="0.75">
      <c r="A1682" t="s">
        <v>16426</v>
      </c>
      <c r="B1682" t="s">
        <v>9760</v>
      </c>
      <c r="C1682" t="s">
        <v>6081</v>
      </c>
      <c r="D1682" t="s">
        <v>9761</v>
      </c>
      <c r="E1682" t="s">
        <v>16427</v>
      </c>
      <c r="F1682">
        <v>66</v>
      </c>
      <c r="G1682">
        <v>2320839</v>
      </c>
      <c r="H1682" t="s">
        <v>16428</v>
      </c>
      <c r="J1682" s="54" t="s">
        <v>6052</v>
      </c>
      <c r="K1682" s="54">
        <v>0</v>
      </c>
      <c r="L1682" s="22" t="s">
        <v>36807</v>
      </c>
      <c r="M1682" s="22" t="s">
        <v>36943</v>
      </c>
    </row>
    <row r="1683" spans="1:13" x14ac:dyDescent="0.75">
      <c r="A1683" t="s">
        <v>16441</v>
      </c>
      <c r="B1683" t="s">
        <v>9760</v>
      </c>
      <c r="C1683" t="s">
        <v>6081</v>
      </c>
      <c r="D1683" t="s">
        <v>9761</v>
      </c>
      <c r="E1683" t="s">
        <v>16442</v>
      </c>
      <c r="F1683">
        <v>29</v>
      </c>
      <c r="G1683">
        <v>2351912</v>
      </c>
      <c r="H1683" t="s">
        <v>16443</v>
      </c>
      <c r="J1683" s="54" t="s">
        <v>6052</v>
      </c>
      <c r="K1683" s="54">
        <v>0</v>
      </c>
      <c r="L1683" s="22" t="s">
        <v>36807</v>
      </c>
      <c r="M1683" s="22" t="s">
        <v>36943</v>
      </c>
    </row>
    <row r="1684" spans="1:13" x14ac:dyDescent="0.75">
      <c r="A1684" t="s">
        <v>16423</v>
      </c>
      <c r="B1684" t="s">
        <v>9760</v>
      </c>
      <c r="C1684" t="s">
        <v>6081</v>
      </c>
      <c r="D1684" t="s">
        <v>9761</v>
      </c>
      <c r="E1684" t="s">
        <v>16424</v>
      </c>
      <c r="F1684">
        <v>28</v>
      </c>
      <c r="G1684">
        <v>2305392</v>
      </c>
      <c r="H1684" t="s">
        <v>16425</v>
      </c>
      <c r="J1684" s="54" t="s">
        <v>6052</v>
      </c>
      <c r="K1684" s="54">
        <v>0</v>
      </c>
      <c r="L1684" s="22" t="s">
        <v>36807</v>
      </c>
      <c r="M1684" s="22" t="s">
        <v>36943</v>
      </c>
    </row>
    <row r="1685" spans="1:13" x14ac:dyDescent="0.75">
      <c r="A1685" t="s">
        <v>16438</v>
      </c>
      <c r="B1685" t="s">
        <v>9357</v>
      </c>
      <c r="C1685" t="s">
        <v>6081</v>
      </c>
      <c r="D1685" t="s">
        <v>9358</v>
      </c>
      <c r="E1685" t="s">
        <v>16439</v>
      </c>
      <c r="F1685">
        <v>78</v>
      </c>
      <c r="G1685">
        <v>2548974</v>
      </c>
      <c r="H1685" t="s">
        <v>16440</v>
      </c>
      <c r="J1685" s="54" t="s">
        <v>6052</v>
      </c>
      <c r="K1685" s="54">
        <v>0</v>
      </c>
      <c r="L1685" s="22" t="s">
        <v>36807</v>
      </c>
      <c r="M1685" s="22" t="s">
        <v>36947</v>
      </c>
    </row>
    <row r="1686" spans="1:13" x14ac:dyDescent="0.75">
      <c r="A1686" t="s">
        <v>16420</v>
      </c>
      <c r="B1686" t="s">
        <v>9357</v>
      </c>
      <c r="C1686" t="s">
        <v>6081</v>
      </c>
      <c r="D1686" t="s">
        <v>9358</v>
      </c>
      <c r="E1686" t="s">
        <v>16421</v>
      </c>
      <c r="F1686">
        <v>245</v>
      </c>
      <c r="G1686">
        <v>2702312</v>
      </c>
      <c r="H1686" t="s">
        <v>16422</v>
      </c>
      <c r="J1686" s="54" t="s">
        <v>6052</v>
      </c>
      <c r="K1686" s="54">
        <v>0</v>
      </c>
      <c r="L1686" s="22" t="s">
        <v>36807</v>
      </c>
      <c r="M1686" s="22" t="s">
        <v>36947</v>
      </c>
    </row>
    <row r="1687" spans="1:13" x14ac:dyDescent="0.75">
      <c r="A1687" t="s">
        <v>10754</v>
      </c>
      <c r="B1687" t="s">
        <v>10755</v>
      </c>
      <c r="C1687" t="s">
        <v>6081</v>
      </c>
      <c r="D1687" t="s">
        <v>10756</v>
      </c>
      <c r="E1687" t="s">
        <v>10757</v>
      </c>
      <c r="F1687">
        <v>1</v>
      </c>
      <c r="G1687">
        <v>2830519</v>
      </c>
      <c r="H1687" t="s">
        <v>10758</v>
      </c>
      <c r="J1687" s="54" t="s">
        <v>6052</v>
      </c>
      <c r="K1687" s="54">
        <v>0</v>
      </c>
      <c r="L1687" s="22" t="s">
        <v>1563</v>
      </c>
      <c r="M1687" s="22" t="s">
        <v>36959</v>
      </c>
    </row>
    <row r="1688" spans="1:13" x14ac:dyDescent="0.75">
      <c r="A1688" t="s">
        <v>17342</v>
      </c>
      <c r="B1688" t="s">
        <v>6080</v>
      </c>
      <c r="C1688" t="s">
        <v>6081</v>
      </c>
      <c r="D1688" t="s">
        <v>6082</v>
      </c>
      <c r="E1688" t="s">
        <v>17343</v>
      </c>
      <c r="F1688">
        <v>115</v>
      </c>
      <c r="G1688">
        <v>2474151</v>
      </c>
      <c r="H1688" t="s">
        <v>17344</v>
      </c>
      <c r="J1688" s="54" t="s">
        <v>6052</v>
      </c>
      <c r="K1688" s="54">
        <v>0</v>
      </c>
      <c r="L1688" s="22" t="s">
        <v>1563</v>
      </c>
      <c r="M1688" s="22" t="s">
        <v>36956</v>
      </c>
    </row>
    <row r="1689" spans="1:13" x14ac:dyDescent="0.75">
      <c r="A1689" t="s">
        <v>12558</v>
      </c>
      <c r="B1689" t="s">
        <v>6080</v>
      </c>
      <c r="C1689" t="s">
        <v>6081</v>
      </c>
      <c r="D1689" t="s">
        <v>6082</v>
      </c>
      <c r="E1689" t="s">
        <v>12559</v>
      </c>
      <c r="F1689">
        <v>41</v>
      </c>
      <c r="G1689">
        <v>2460257</v>
      </c>
      <c r="H1689" t="s">
        <v>12560</v>
      </c>
      <c r="J1689" s="54" t="s">
        <v>6052</v>
      </c>
      <c r="K1689" s="54">
        <v>0</v>
      </c>
      <c r="L1689" s="22" t="s">
        <v>1563</v>
      </c>
      <c r="M1689" s="22" t="s">
        <v>36956</v>
      </c>
    </row>
    <row r="1690" spans="1:13" x14ac:dyDescent="0.75">
      <c r="A1690" t="s">
        <v>13308</v>
      </c>
      <c r="B1690" t="s">
        <v>6080</v>
      </c>
      <c r="C1690" t="s">
        <v>6081</v>
      </c>
      <c r="D1690" t="s">
        <v>6082</v>
      </c>
      <c r="E1690" t="s">
        <v>13309</v>
      </c>
      <c r="F1690">
        <v>181</v>
      </c>
      <c r="G1690">
        <v>2587830</v>
      </c>
      <c r="H1690" t="s">
        <v>13310</v>
      </c>
      <c r="J1690" s="54" t="s">
        <v>6052</v>
      </c>
      <c r="K1690" s="54">
        <v>0</v>
      </c>
      <c r="L1690" s="22" t="s">
        <v>1563</v>
      </c>
      <c r="M1690" s="22" t="s">
        <v>36956</v>
      </c>
    </row>
    <row r="1691" spans="1:13" x14ac:dyDescent="0.75">
      <c r="A1691" t="s">
        <v>21724</v>
      </c>
      <c r="B1691" t="s">
        <v>6080</v>
      </c>
      <c r="C1691" t="s">
        <v>6081</v>
      </c>
      <c r="D1691" t="s">
        <v>6082</v>
      </c>
      <c r="E1691" t="s">
        <v>21725</v>
      </c>
      <c r="F1691">
        <v>41</v>
      </c>
      <c r="G1691">
        <v>2532503</v>
      </c>
      <c r="H1691" t="s">
        <v>21726</v>
      </c>
      <c r="J1691" s="54" t="s">
        <v>6052</v>
      </c>
      <c r="K1691" s="54">
        <v>0</v>
      </c>
      <c r="L1691" s="22" t="s">
        <v>1563</v>
      </c>
      <c r="M1691" s="22" t="s">
        <v>36956</v>
      </c>
    </row>
    <row r="1692" spans="1:13" x14ac:dyDescent="0.75">
      <c r="A1692" t="s">
        <v>10568</v>
      </c>
      <c r="B1692" t="s">
        <v>10569</v>
      </c>
      <c r="C1692" t="s">
        <v>6081</v>
      </c>
      <c r="D1692" t="s">
        <v>10570</v>
      </c>
      <c r="E1692" t="s">
        <v>10571</v>
      </c>
      <c r="F1692">
        <v>2</v>
      </c>
      <c r="G1692">
        <v>2328278</v>
      </c>
      <c r="H1692" t="s">
        <v>10572</v>
      </c>
      <c r="J1692" s="54" t="s">
        <v>6052</v>
      </c>
      <c r="K1692" s="54">
        <v>0</v>
      </c>
      <c r="L1692" s="22" t="s">
        <v>1563</v>
      </c>
      <c r="M1692" s="22" t="s">
        <v>36962</v>
      </c>
    </row>
    <row r="1693" spans="1:13" x14ac:dyDescent="0.75">
      <c r="A1693" t="s">
        <v>8408</v>
      </c>
      <c r="B1693" t="s">
        <v>8409</v>
      </c>
      <c r="C1693" t="s">
        <v>6081</v>
      </c>
      <c r="D1693" t="s">
        <v>8410</v>
      </c>
      <c r="E1693" t="s">
        <v>8411</v>
      </c>
      <c r="F1693">
        <v>1</v>
      </c>
      <c r="G1693">
        <v>2449071</v>
      </c>
      <c r="H1693" t="s">
        <v>8412</v>
      </c>
      <c r="J1693" s="54" t="s">
        <v>6052</v>
      </c>
      <c r="K1693" s="54">
        <v>0</v>
      </c>
      <c r="L1693" s="22" t="s">
        <v>36804</v>
      </c>
      <c r="M1693" s="22" t="s">
        <v>36946</v>
      </c>
    </row>
    <row r="1694" spans="1:13" x14ac:dyDescent="0.75">
      <c r="A1694" t="s">
        <v>10842</v>
      </c>
      <c r="B1694" t="s">
        <v>6405</v>
      </c>
      <c r="C1694" t="s">
        <v>6081</v>
      </c>
      <c r="D1694" t="s">
        <v>6406</v>
      </c>
      <c r="E1694" t="s">
        <v>10843</v>
      </c>
      <c r="F1694">
        <v>33</v>
      </c>
      <c r="G1694">
        <v>2574614</v>
      </c>
      <c r="H1694" t="s">
        <v>10844</v>
      </c>
      <c r="J1694" s="54" t="s">
        <v>6052</v>
      </c>
      <c r="K1694" s="54">
        <v>0</v>
      </c>
      <c r="L1694" s="22" t="s">
        <v>36806</v>
      </c>
      <c r="M1694" s="22" t="s">
        <v>36966</v>
      </c>
    </row>
    <row r="1695" spans="1:13" x14ac:dyDescent="0.75">
      <c r="A1695" t="s">
        <v>10845</v>
      </c>
      <c r="B1695" t="s">
        <v>6405</v>
      </c>
      <c r="C1695" t="s">
        <v>6081</v>
      </c>
      <c r="D1695" t="s">
        <v>6406</v>
      </c>
      <c r="E1695" t="s">
        <v>10846</v>
      </c>
      <c r="F1695">
        <v>14</v>
      </c>
      <c r="G1695">
        <v>2514376</v>
      </c>
      <c r="H1695" t="s">
        <v>10847</v>
      </c>
      <c r="J1695" s="54" t="s">
        <v>6052</v>
      </c>
      <c r="K1695" s="54">
        <v>0</v>
      </c>
      <c r="L1695" s="22" t="s">
        <v>36806</v>
      </c>
      <c r="M1695" s="22" t="s">
        <v>36966</v>
      </c>
    </row>
    <row r="1696" spans="1:13" x14ac:dyDescent="0.75">
      <c r="A1696" t="s">
        <v>30109</v>
      </c>
      <c r="B1696" t="s">
        <v>23960</v>
      </c>
      <c r="C1696" t="s">
        <v>6081</v>
      </c>
      <c r="D1696" t="s">
        <v>23961</v>
      </c>
      <c r="E1696" t="s">
        <v>30110</v>
      </c>
      <c r="F1696">
        <v>94</v>
      </c>
      <c r="G1696">
        <v>2186552</v>
      </c>
      <c r="H1696" t="s">
        <v>30111</v>
      </c>
      <c r="J1696" s="54" t="s">
        <v>6052</v>
      </c>
      <c r="K1696" s="54">
        <v>0</v>
      </c>
      <c r="L1696" s="22" t="s">
        <v>1563</v>
      </c>
      <c r="M1696" s="22" t="s">
        <v>36964</v>
      </c>
    </row>
    <row r="1697" spans="1:13" x14ac:dyDescent="0.75">
      <c r="A1697" t="s">
        <v>6079</v>
      </c>
      <c r="B1697" t="s">
        <v>6080</v>
      </c>
      <c r="C1697" t="s">
        <v>6081</v>
      </c>
      <c r="D1697" t="s">
        <v>6082</v>
      </c>
      <c r="E1697" t="s">
        <v>6083</v>
      </c>
      <c r="F1697">
        <v>2</v>
      </c>
      <c r="G1697">
        <v>2476822</v>
      </c>
      <c r="H1697" t="s">
        <v>6084</v>
      </c>
      <c r="J1697" s="54" t="s">
        <v>6052</v>
      </c>
      <c r="K1697" s="54">
        <v>0</v>
      </c>
      <c r="L1697" s="22" t="s">
        <v>1563</v>
      </c>
      <c r="M1697" s="22" t="s">
        <v>36956</v>
      </c>
    </row>
    <row r="1698" spans="1:13" x14ac:dyDescent="0.75">
      <c r="A1698" t="s">
        <v>13633</v>
      </c>
      <c r="B1698" t="s">
        <v>6803</v>
      </c>
      <c r="C1698" t="s">
        <v>6081</v>
      </c>
      <c r="D1698" t="s">
        <v>6804</v>
      </c>
      <c r="E1698" t="s">
        <v>13634</v>
      </c>
      <c r="F1698">
        <v>3</v>
      </c>
      <c r="G1698">
        <v>2797692</v>
      </c>
      <c r="H1698" t="s">
        <v>13635</v>
      </c>
      <c r="J1698" s="54" t="s">
        <v>6052</v>
      </c>
      <c r="K1698" s="54">
        <v>0</v>
      </c>
      <c r="L1698" s="22" t="s">
        <v>1563</v>
      </c>
      <c r="M1698" s="22" t="s">
        <v>36940</v>
      </c>
    </row>
    <row r="1699" spans="1:13" x14ac:dyDescent="0.75">
      <c r="A1699" t="s">
        <v>9989</v>
      </c>
      <c r="B1699" t="s">
        <v>9970</v>
      </c>
      <c r="C1699" t="s">
        <v>6081</v>
      </c>
      <c r="D1699" t="s">
        <v>9971</v>
      </c>
      <c r="E1699" t="s">
        <v>9990</v>
      </c>
      <c r="F1699">
        <v>15</v>
      </c>
      <c r="G1699">
        <v>2453143</v>
      </c>
      <c r="H1699" t="s">
        <v>9991</v>
      </c>
      <c r="J1699" s="54" t="s">
        <v>6052</v>
      </c>
      <c r="K1699" s="54">
        <v>0</v>
      </c>
      <c r="L1699" s="22" t="s">
        <v>36807</v>
      </c>
      <c r="M1699" s="22" t="s">
        <v>36945</v>
      </c>
    </row>
    <row r="1700" spans="1:13" x14ac:dyDescent="0.75">
      <c r="A1700" t="s">
        <v>9986</v>
      </c>
      <c r="B1700" t="s">
        <v>6628</v>
      </c>
      <c r="C1700" t="s">
        <v>6081</v>
      </c>
      <c r="D1700" t="s">
        <v>6629</v>
      </c>
      <c r="E1700" t="s">
        <v>9987</v>
      </c>
      <c r="F1700">
        <v>15</v>
      </c>
      <c r="G1700">
        <v>2588539</v>
      </c>
      <c r="H1700" t="s">
        <v>9988</v>
      </c>
      <c r="J1700" s="54" t="s">
        <v>6052</v>
      </c>
      <c r="K1700" s="54">
        <v>0</v>
      </c>
      <c r="L1700" s="22" t="s">
        <v>36807</v>
      </c>
      <c r="M1700" s="22" t="s">
        <v>36960</v>
      </c>
    </row>
    <row r="1701" spans="1:13" x14ac:dyDescent="0.75">
      <c r="A1701" t="s">
        <v>9983</v>
      </c>
      <c r="B1701" t="s">
        <v>9970</v>
      </c>
      <c r="C1701" t="s">
        <v>6081</v>
      </c>
      <c r="D1701" t="s">
        <v>9971</v>
      </c>
      <c r="E1701" t="s">
        <v>9984</v>
      </c>
      <c r="F1701">
        <v>18</v>
      </c>
      <c r="G1701">
        <v>2470873</v>
      </c>
      <c r="H1701" t="s">
        <v>9985</v>
      </c>
      <c r="J1701" s="54" t="s">
        <v>6052</v>
      </c>
      <c r="K1701" s="54">
        <v>0</v>
      </c>
      <c r="L1701" s="22" t="s">
        <v>36807</v>
      </c>
      <c r="M1701" s="22" t="s">
        <v>36945</v>
      </c>
    </row>
    <row r="1702" spans="1:13" x14ac:dyDescent="0.75">
      <c r="A1702" t="s">
        <v>9980</v>
      </c>
      <c r="B1702" t="s">
        <v>6628</v>
      </c>
      <c r="C1702" t="s">
        <v>6081</v>
      </c>
      <c r="D1702" t="s">
        <v>6629</v>
      </c>
      <c r="E1702" t="s">
        <v>9981</v>
      </c>
      <c r="F1702">
        <v>10</v>
      </c>
      <c r="G1702">
        <v>2638979</v>
      </c>
      <c r="H1702" t="s">
        <v>9982</v>
      </c>
      <c r="J1702" s="54" t="s">
        <v>6052</v>
      </c>
      <c r="K1702" s="54">
        <v>0</v>
      </c>
      <c r="L1702" s="22" t="s">
        <v>36807</v>
      </c>
      <c r="M1702" s="22" t="s">
        <v>36960</v>
      </c>
    </row>
    <row r="1703" spans="1:13" x14ac:dyDescent="0.75">
      <c r="A1703" t="s">
        <v>9977</v>
      </c>
      <c r="B1703" t="s">
        <v>9970</v>
      </c>
      <c r="C1703" t="s">
        <v>6081</v>
      </c>
      <c r="D1703" t="s">
        <v>9971</v>
      </c>
      <c r="E1703" t="s">
        <v>9978</v>
      </c>
      <c r="F1703">
        <v>13</v>
      </c>
      <c r="G1703">
        <v>2465753</v>
      </c>
      <c r="H1703" t="s">
        <v>9979</v>
      </c>
      <c r="J1703" s="54" t="s">
        <v>6052</v>
      </c>
      <c r="K1703" s="54">
        <v>0</v>
      </c>
      <c r="L1703" s="22" t="s">
        <v>36807</v>
      </c>
      <c r="M1703" s="22" t="s">
        <v>36945</v>
      </c>
    </row>
    <row r="1704" spans="1:13" x14ac:dyDescent="0.75">
      <c r="A1704" t="s">
        <v>9974</v>
      </c>
      <c r="B1704" t="s">
        <v>9970</v>
      </c>
      <c r="C1704" t="s">
        <v>6081</v>
      </c>
      <c r="D1704" t="s">
        <v>9971</v>
      </c>
      <c r="E1704" t="s">
        <v>9975</v>
      </c>
      <c r="F1704">
        <v>8</v>
      </c>
      <c r="G1704">
        <v>2489851</v>
      </c>
      <c r="H1704" t="s">
        <v>9976</v>
      </c>
      <c r="J1704" s="54" t="s">
        <v>6052</v>
      </c>
      <c r="K1704" s="54">
        <v>0</v>
      </c>
      <c r="L1704" s="22" t="s">
        <v>36807</v>
      </c>
      <c r="M1704" s="22" t="s">
        <v>36945</v>
      </c>
    </row>
    <row r="1705" spans="1:13" x14ac:dyDescent="0.75">
      <c r="A1705" t="s">
        <v>9969</v>
      </c>
      <c r="B1705" t="s">
        <v>9970</v>
      </c>
      <c r="C1705" t="s">
        <v>6081</v>
      </c>
      <c r="D1705" t="s">
        <v>9971</v>
      </c>
      <c r="E1705" t="s">
        <v>9972</v>
      </c>
      <c r="F1705">
        <v>12</v>
      </c>
      <c r="G1705">
        <v>2484887</v>
      </c>
      <c r="H1705" t="s">
        <v>9973</v>
      </c>
      <c r="J1705" s="54" t="s">
        <v>6052</v>
      </c>
      <c r="K1705" s="54">
        <v>0</v>
      </c>
      <c r="L1705" s="22" t="s">
        <v>36807</v>
      </c>
      <c r="M1705" s="22" t="s">
        <v>36945</v>
      </c>
    </row>
    <row r="1706" spans="1:13" x14ac:dyDescent="0.75">
      <c r="A1706" t="s">
        <v>9966</v>
      </c>
      <c r="B1706" t="s">
        <v>6628</v>
      </c>
      <c r="C1706" t="s">
        <v>6081</v>
      </c>
      <c r="D1706" t="s">
        <v>6629</v>
      </c>
      <c r="E1706" t="s">
        <v>9967</v>
      </c>
      <c r="F1706">
        <v>3</v>
      </c>
      <c r="G1706">
        <v>2568149</v>
      </c>
      <c r="H1706" t="s">
        <v>9968</v>
      </c>
      <c r="J1706" s="54" t="s">
        <v>6052</v>
      </c>
      <c r="K1706" s="54">
        <v>0</v>
      </c>
      <c r="L1706" s="22" t="s">
        <v>36807</v>
      </c>
      <c r="M1706" s="22" t="s">
        <v>36960</v>
      </c>
    </row>
    <row r="1707" spans="1:13" x14ac:dyDescent="0.75">
      <c r="A1707" t="s">
        <v>9963</v>
      </c>
      <c r="B1707" t="s">
        <v>9760</v>
      </c>
      <c r="C1707" t="s">
        <v>6081</v>
      </c>
      <c r="D1707" t="s">
        <v>9761</v>
      </c>
      <c r="E1707" t="s">
        <v>9964</v>
      </c>
      <c r="F1707">
        <v>6</v>
      </c>
      <c r="G1707">
        <v>2317860</v>
      </c>
      <c r="H1707" t="s">
        <v>9965</v>
      </c>
      <c r="J1707" s="54" t="s">
        <v>6052</v>
      </c>
      <c r="K1707" s="54">
        <v>0</v>
      </c>
      <c r="L1707" s="22" t="s">
        <v>36807</v>
      </c>
      <c r="M1707" s="22" t="s">
        <v>36943</v>
      </c>
    </row>
    <row r="1708" spans="1:13" x14ac:dyDescent="0.75">
      <c r="A1708" t="s">
        <v>9960</v>
      </c>
      <c r="B1708" t="s">
        <v>9760</v>
      </c>
      <c r="C1708" t="s">
        <v>6081</v>
      </c>
      <c r="D1708" t="s">
        <v>9761</v>
      </c>
      <c r="E1708" t="s">
        <v>9961</v>
      </c>
      <c r="F1708">
        <v>4</v>
      </c>
      <c r="G1708">
        <v>2313371</v>
      </c>
      <c r="H1708" t="s">
        <v>9962</v>
      </c>
      <c r="J1708" s="54" t="s">
        <v>6052</v>
      </c>
      <c r="K1708" s="54">
        <v>0</v>
      </c>
      <c r="L1708" s="22" t="s">
        <v>36807</v>
      </c>
      <c r="M1708" s="22" t="s">
        <v>36943</v>
      </c>
    </row>
    <row r="1709" spans="1:13" x14ac:dyDescent="0.75">
      <c r="A1709" t="s">
        <v>9957</v>
      </c>
      <c r="B1709" t="s">
        <v>6628</v>
      </c>
      <c r="C1709" t="s">
        <v>6081</v>
      </c>
      <c r="D1709" t="s">
        <v>6629</v>
      </c>
      <c r="E1709" t="s">
        <v>9958</v>
      </c>
      <c r="F1709">
        <v>4</v>
      </c>
      <c r="G1709">
        <v>2576022</v>
      </c>
      <c r="H1709" t="s">
        <v>9959</v>
      </c>
      <c r="J1709" s="54" t="s">
        <v>6052</v>
      </c>
      <c r="K1709" s="54">
        <v>0</v>
      </c>
      <c r="L1709" s="22" t="s">
        <v>36807</v>
      </c>
      <c r="M1709" s="22" t="s">
        <v>36960</v>
      </c>
    </row>
    <row r="1710" spans="1:13" x14ac:dyDescent="0.75">
      <c r="A1710" t="s">
        <v>9954</v>
      </c>
      <c r="B1710" t="s">
        <v>6628</v>
      </c>
      <c r="C1710" t="s">
        <v>6081</v>
      </c>
      <c r="D1710" t="s">
        <v>6629</v>
      </c>
      <c r="E1710" t="s">
        <v>9955</v>
      </c>
      <c r="F1710">
        <v>6</v>
      </c>
      <c r="G1710">
        <v>2568130</v>
      </c>
      <c r="H1710" t="s">
        <v>9956</v>
      </c>
      <c r="J1710" s="54" t="s">
        <v>6052</v>
      </c>
      <c r="K1710" s="54">
        <v>0</v>
      </c>
      <c r="L1710" s="22" t="s">
        <v>36807</v>
      </c>
      <c r="M1710" s="22" t="s">
        <v>36960</v>
      </c>
    </row>
    <row r="1711" spans="1:13" x14ac:dyDescent="0.75">
      <c r="A1711" t="s">
        <v>9951</v>
      </c>
      <c r="B1711" t="s">
        <v>6628</v>
      </c>
      <c r="C1711" t="s">
        <v>6081</v>
      </c>
      <c r="D1711" t="s">
        <v>6629</v>
      </c>
      <c r="E1711" t="s">
        <v>9952</v>
      </c>
      <c r="F1711">
        <v>13</v>
      </c>
      <c r="G1711">
        <v>2575948</v>
      </c>
      <c r="H1711" t="s">
        <v>9953</v>
      </c>
      <c r="J1711" s="54" t="s">
        <v>6052</v>
      </c>
      <c r="K1711" s="54">
        <v>0</v>
      </c>
      <c r="L1711" s="22" t="s">
        <v>36807</v>
      </c>
      <c r="M1711" s="22" t="s">
        <v>36960</v>
      </c>
    </row>
    <row r="1712" spans="1:13" x14ac:dyDescent="0.75">
      <c r="A1712" t="s">
        <v>25484</v>
      </c>
      <c r="B1712" t="s">
        <v>6628</v>
      </c>
      <c r="C1712" t="s">
        <v>6081</v>
      </c>
      <c r="D1712" t="s">
        <v>6629</v>
      </c>
      <c r="E1712" t="s">
        <v>25485</v>
      </c>
      <c r="F1712">
        <v>34</v>
      </c>
      <c r="G1712">
        <v>2560709</v>
      </c>
      <c r="H1712" t="s">
        <v>25486</v>
      </c>
      <c r="J1712" s="54" t="s">
        <v>6052</v>
      </c>
      <c r="K1712" s="54">
        <v>0</v>
      </c>
      <c r="L1712" s="22" t="s">
        <v>36807</v>
      </c>
      <c r="M1712" s="22" t="s">
        <v>36960</v>
      </c>
    </row>
    <row r="1713" spans="1:13" x14ac:dyDescent="0.75">
      <c r="A1713" t="s">
        <v>25505</v>
      </c>
      <c r="B1713" t="s">
        <v>6628</v>
      </c>
      <c r="C1713" t="s">
        <v>6081</v>
      </c>
      <c r="D1713" t="s">
        <v>6629</v>
      </c>
      <c r="E1713" t="s">
        <v>25506</v>
      </c>
      <c r="F1713">
        <v>30</v>
      </c>
      <c r="G1713">
        <v>2442367</v>
      </c>
      <c r="H1713" t="s">
        <v>25507</v>
      </c>
      <c r="J1713" s="54" t="s">
        <v>6052</v>
      </c>
      <c r="K1713" s="54">
        <v>0</v>
      </c>
      <c r="L1713" s="22" t="s">
        <v>36807</v>
      </c>
      <c r="M1713" s="22" t="s">
        <v>36960</v>
      </c>
    </row>
    <row r="1714" spans="1:13" x14ac:dyDescent="0.75">
      <c r="A1714" t="s">
        <v>25481</v>
      </c>
      <c r="B1714" t="s">
        <v>9760</v>
      </c>
      <c r="C1714" t="s">
        <v>6081</v>
      </c>
      <c r="D1714" t="s">
        <v>9761</v>
      </c>
      <c r="E1714" t="s">
        <v>25482</v>
      </c>
      <c r="F1714">
        <v>28</v>
      </c>
      <c r="G1714">
        <v>2316762</v>
      </c>
      <c r="H1714" t="s">
        <v>25483</v>
      </c>
      <c r="J1714" s="54" t="s">
        <v>6052</v>
      </c>
      <c r="K1714" s="54">
        <v>0</v>
      </c>
      <c r="L1714" s="22" t="s">
        <v>36807</v>
      </c>
      <c r="M1714" s="22" t="s">
        <v>36943</v>
      </c>
    </row>
    <row r="1715" spans="1:13" x14ac:dyDescent="0.75">
      <c r="A1715" t="s">
        <v>25394</v>
      </c>
      <c r="B1715" t="s">
        <v>9760</v>
      </c>
      <c r="C1715" t="s">
        <v>6081</v>
      </c>
      <c r="D1715" t="s">
        <v>9761</v>
      </c>
      <c r="E1715" t="s">
        <v>25395</v>
      </c>
      <c r="F1715">
        <v>31</v>
      </c>
      <c r="G1715">
        <v>2386815</v>
      </c>
      <c r="H1715" t="s">
        <v>25396</v>
      </c>
      <c r="J1715" s="54" t="s">
        <v>6052</v>
      </c>
      <c r="K1715" s="54">
        <v>0</v>
      </c>
      <c r="L1715" s="22" t="s">
        <v>36807</v>
      </c>
      <c r="M1715" s="22" t="s">
        <v>36943</v>
      </c>
    </row>
    <row r="1716" spans="1:13" x14ac:dyDescent="0.75">
      <c r="A1716" t="s">
        <v>25502</v>
      </c>
      <c r="B1716" t="s">
        <v>6628</v>
      </c>
      <c r="C1716" t="s">
        <v>6081</v>
      </c>
      <c r="D1716" t="s">
        <v>6629</v>
      </c>
      <c r="E1716" t="s">
        <v>25503</v>
      </c>
      <c r="F1716">
        <v>44</v>
      </c>
      <c r="G1716">
        <v>2498624</v>
      </c>
      <c r="H1716" t="s">
        <v>25504</v>
      </c>
      <c r="J1716" s="54" t="s">
        <v>6052</v>
      </c>
      <c r="K1716" s="54">
        <v>0</v>
      </c>
      <c r="L1716" s="22" t="s">
        <v>36807</v>
      </c>
      <c r="M1716" s="22" t="s">
        <v>36960</v>
      </c>
    </row>
    <row r="1717" spans="1:13" x14ac:dyDescent="0.75">
      <c r="A1717" t="s">
        <v>25508</v>
      </c>
      <c r="B1717" t="s">
        <v>6628</v>
      </c>
      <c r="C1717" t="s">
        <v>6081</v>
      </c>
      <c r="D1717" t="s">
        <v>6629</v>
      </c>
      <c r="E1717" t="s">
        <v>25509</v>
      </c>
      <c r="F1717">
        <v>43</v>
      </c>
      <c r="G1717">
        <v>2492158</v>
      </c>
      <c r="H1717" t="s">
        <v>25510</v>
      </c>
      <c r="J1717" s="54" t="s">
        <v>6052</v>
      </c>
      <c r="K1717" s="54">
        <v>0</v>
      </c>
      <c r="L1717" s="22" t="s">
        <v>36807</v>
      </c>
      <c r="M1717" s="22" t="s">
        <v>36960</v>
      </c>
    </row>
    <row r="1718" spans="1:13" x14ac:dyDescent="0.75">
      <c r="A1718" t="s">
        <v>25499</v>
      </c>
      <c r="B1718" t="s">
        <v>9357</v>
      </c>
      <c r="C1718" t="s">
        <v>6081</v>
      </c>
      <c r="D1718" t="s">
        <v>9358</v>
      </c>
      <c r="E1718" t="s">
        <v>25500</v>
      </c>
      <c r="F1718">
        <v>34</v>
      </c>
      <c r="G1718">
        <v>2539341</v>
      </c>
      <c r="H1718" t="s">
        <v>25501</v>
      </c>
      <c r="J1718" s="54" t="s">
        <v>6052</v>
      </c>
      <c r="K1718" s="54">
        <v>0</v>
      </c>
      <c r="L1718" s="22" t="s">
        <v>36807</v>
      </c>
      <c r="M1718" s="22" t="s">
        <v>36947</v>
      </c>
    </row>
    <row r="1719" spans="1:13" x14ac:dyDescent="0.75">
      <c r="A1719" t="s">
        <v>25487</v>
      </c>
      <c r="B1719" t="s">
        <v>9357</v>
      </c>
      <c r="C1719" t="s">
        <v>6081</v>
      </c>
      <c r="D1719" t="s">
        <v>9358</v>
      </c>
      <c r="E1719" t="s">
        <v>25488</v>
      </c>
      <c r="F1719">
        <v>22</v>
      </c>
      <c r="G1719">
        <v>2455295</v>
      </c>
      <c r="H1719" t="s">
        <v>25489</v>
      </c>
      <c r="J1719" s="54" t="s">
        <v>6052</v>
      </c>
      <c r="K1719" s="54">
        <v>0</v>
      </c>
      <c r="L1719" s="22" t="s">
        <v>36807</v>
      </c>
      <c r="M1719" s="22" t="s">
        <v>36947</v>
      </c>
    </row>
    <row r="1720" spans="1:13" x14ac:dyDescent="0.75">
      <c r="A1720" t="s">
        <v>25373</v>
      </c>
      <c r="B1720" t="s">
        <v>6628</v>
      </c>
      <c r="C1720" t="s">
        <v>6081</v>
      </c>
      <c r="D1720" t="s">
        <v>6629</v>
      </c>
      <c r="E1720" t="s">
        <v>25374</v>
      </c>
      <c r="F1720">
        <v>46</v>
      </c>
      <c r="G1720">
        <v>2518536</v>
      </c>
      <c r="H1720" t="s">
        <v>25375</v>
      </c>
      <c r="J1720" s="54" t="s">
        <v>6052</v>
      </c>
      <c r="K1720" s="54">
        <v>0</v>
      </c>
      <c r="L1720" s="22" t="s">
        <v>36807</v>
      </c>
      <c r="M1720" s="22" t="s">
        <v>36960</v>
      </c>
    </row>
    <row r="1721" spans="1:13" x14ac:dyDescent="0.75">
      <c r="A1721" t="s">
        <v>25466</v>
      </c>
      <c r="B1721" t="s">
        <v>9760</v>
      </c>
      <c r="C1721" t="s">
        <v>6081</v>
      </c>
      <c r="D1721" t="s">
        <v>9761</v>
      </c>
      <c r="E1721" t="s">
        <v>25467</v>
      </c>
      <c r="F1721">
        <v>24</v>
      </c>
      <c r="G1721">
        <v>2294966</v>
      </c>
      <c r="H1721" t="s">
        <v>25468</v>
      </c>
      <c r="J1721" s="54" t="s">
        <v>6052</v>
      </c>
      <c r="K1721" s="54">
        <v>0</v>
      </c>
      <c r="L1721" s="22" t="s">
        <v>36807</v>
      </c>
      <c r="M1721" s="22" t="s">
        <v>36943</v>
      </c>
    </row>
    <row r="1722" spans="1:13" x14ac:dyDescent="0.75">
      <c r="A1722" t="s">
        <v>25478</v>
      </c>
      <c r="B1722" t="s">
        <v>9760</v>
      </c>
      <c r="C1722" t="s">
        <v>6081</v>
      </c>
      <c r="D1722" t="s">
        <v>9761</v>
      </c>
      <c r="E1722" t="s">
        <v>25479</v>
      </c>
      <c r="F1722">
        <v>30</v>
      </c>
      <c r="G1722">
        <v>2294956</v>
      </c>
      <c r="H1722" t="s">
        <v>25480</v>
      </c>
      <c r="J1722" s="54" t="s">
        <v>6052</v>
      </c>
      <c r="K1722" s="54">
        <v>0</v>
      </c>
      <c r="L1722" s="22" t="s">
        <v>36807</v>
      </c>
      <c r="M1722" s="22" t="s">
        <v>36943</v>
      </c>
    </row>
    <row r="1723" spans="1:13" x14ac:dyDescent="0.75">
      <c r="A1723" t="s">
        <v>25496</v>
      </c>
      <c r="B1723" t="s">
        <v>9357</v>
      </c>
      <c r="C1723" t="s">
        <v>6081</v>
      </c>
      <c r="D1723" t="s">
        <v>9358</v>
      </c>
      <c r="E1723" t="s">
        <v>25497</v>
      </c>
      <c r="F1723">
        <v>33</v>
      </c>
      <c r="G1723">
        <v>2526072</v>
      </c>
      <c r="H1723" t="s">
        <v>25498</v>
      </c>
      <c r="J1723" s="54" t="s">
        <v>6052</v>
      </c>
      <c r="K1723" s="54">
        <v>0</v>
      </c>
      <c r="L1723" s="22" t="s">
        <v>36807</v>
      </c>
      <c r="M1723" s="22" t="s">
        <v>36947</v>
      </c>
    </row>
    <row r="1724" spans="1:13" x14ac:dyDescent="0.75">
      <c r="A1724" t="s">
        <v>25493</v>
      </c>
      <c r="B1724" t="s">
        <v>9760</v>
      </c>
      <c r="C1724" t="s">
        <v>6081</v>
      </c>
      <c r="D1724" t="s">
        <v>9761</v>
      </c>
      <c r="E1724" t="s">
        <v>25494</v>
      </c>
      <c r="F1724">
        <v>33</v>
      </c>
      <c r="G1724">
        <v>2295525</v>
      </c>
      <c r="H1724" t="s">
        <v>25495</v>
      </c>
      <c r="J1724" s="54" t="s">
        <v>6052</v>
      </c>
      <c r="K1724" s="54">
        <v>0</v>
      </c>
      <c r="L1724" s="22" t="s">
        <v>36807</v>
      </c>
      <c r="M1724" s="22" t="s">
        <v>36943</v>
      </c>
    </row>
    <row r="1725" spans="1:13" x14ac:dyDescent="0.75">
      <c r="A1725" t="s">
        <v>25490</v>
      </c>
      <c r="B1725" t="s">
        <v>6628</v>
      </c>
      <c r="C1725" t="s">
        <v>6081</v>
      </c>
      <c r="D1725" t="s">
        <v>6629</v>
      </c>
      <c r="E1725" t="s">
        <v>25491</v>
      </c>
      <c r="F1725">
        <v>47</v>
      </c>
      <c r="G1725">
        <v>2483845</v>
      </c>
      <c r="H1725" t="s">
        <v>25492</v>
      </c>
      <c r="J1725" s="54" t="s">
        <v>6052</v>
      </c>
      <c r="K1725" s="54">
        <v>0</v>
      </c>
      <c r="L1725" s="22" t="s">
        <v>36807</v>
      </c>
      <c r="M1725" s="22" t="s">
        <v>36960</v>
      </c>
    </row>
    <row r="1726" spans="1:13" x14ac:dyDescent="0.75">
      <c r="A1726" t="s">
        <v>25379</v>
      </c>
      <c r="B1726" t="s">
        <v>9357</v>
      </c>
      <c r="C1726" t="s">
        <v>6081</v>
      </c>
      <c r="D1726" t="s">
        <v>9358</v>
      </c>
      <c r="E1726" t="s">
        <v>25380</v>
      </c>
      <c r="F1726">
        <v>51</v>
      </c>
      <c r="G1726">
        <v>2462070</v>
      </c>
      <c r="H1726" t="s">
        <v>25381</v>
      </c>
      <c r="J1726" s="54" t="s">
        <v>6052</v>
      </c>
      <c r="K1726" s="54">
        <v>0</v>
      </c>
      <c r="L1726" s="22" t="s">
        <v>36807</v>
      </c>
      <c r="M1726" s="22" t="s">
        <v>36947</v>
      </c>
    </row>
    <row r="1727" spans="1:13" x14ac:dyDescent="0.75">
      <c r="A1727" t="s">
        <v>25388</v>
      </c>
      <c r="B1727" t="s">
        <v>9760</v>
      </c>
      <c r="C1727" t="s">
        <v>6081</v>
      </c>
      <c r="D1727" t="s">
        <v>9761</v>
      </c>
      <c r="E1727" t="s">
        <v>25389</v>
      </c>
      <c r="F1727">
        <v>23</v>
      </c>
      <c r="G1727">
        <v>2277387</v>
      </c>
      <c r="H1727" t="s">
        <v>25390</v>
      </c>
      <c r="J1727" s="54" t="s">
        <v>6052</v>
      </c>
      <c r="K1727" s="54">
        <v>0</v>
      </c>
      <c r="L1727" s="22" t="s">
        <v>36807</v>
      </c>
      <c r="M1727" s="22" t="s">
        <v>36943</v>
      </c>
    </row>
    <row r="1728" spans="1:13" x14ac:dyDescent="0.75">
      <c r="A1728" t="s">
        <v>25400</v>
      </c>
      <c r="B1728" t="s">
        <v>9357</v>
      </c>
      <c r="C1728" t="s">
        <v>6081</v>
      </c>
      <c r="D1728" t="s">
        <v>9358</v>
      </c>
      <c r="E1728" t="s">
        <v>25401</v>
      </c>
      <c r="F1728">
        <v>39</v>
      </c>
      <c r="G1728">
        <v>2486847</v>
      </c>
      <c r="H1728" t="s">
        <v>25402</v>
      </c>
      <c r="J1728" s="54" t="s">
        <v>6052</v>
      </c>
      <c r="K1728" s="54">
        <v>0</v>
      </c>
      <c r="L1728" s="22" t="s">
        <v>36807</v>
      </c>
      <c r="M1728" s="22" t="s">
        <v>36947</v>
      </c>
    </row>
    <row r="1729" spans="1:13" x14ac:dyDescent="0.75">
      <c r="A1729" t="s">
        <v>25376</v>
      </c>
      <c r="B1729" t="s">
        <v>9357</v>
      </c>
      <c r="C1729" t="s">
        <v>6081</v>
      </c>
      <c r="D1729" t="s">
        <v>9358</v>
      </c>
      <c r="E1729" t="s">
        <v>25377</v>
      </c>
      <c r="F1729">
        <v>51</v>
      </c>
      <c r="G1729">
        <v>2543444</v>
      </c>
      <c r="H1729" t="s">
        <v>25378</v>
      </c>
      <c r="J1729" s="54" t="s">
        <v>6052</v>
      </c>
      <c r="K1729" s="54">
        <v>0</v>
      </c>
      <c r="L1729" s="22" t="s">
        <v>36807</v>
      </c>
      <c r="M1729" s="22" t="s">
        <v>36947</v>
      </c>
    </row>
    <row r="1730" spans="1:13" x14ac:dyDescent="0.75">
      <c r="A1730" t="s">
        <v>25472</v>
      </c>
      <c r="B1730" t="s">
        <v>9760</v>
      </c>
      <c r="C1730" t="s">
        <v>6081</v>
      </c>
      <c r="D1730" t="s">
        <v>9761</v>
      </c>
      <c r="E1730" t="s">
        <v>25473</v>
      </c>
      <c r="F1730">
        <v>20</v>
      </c>
      <c r="G1730">
        <v>2294246</v>
      </c>
      <c r="H1730" t="s">
        <v>25474</v>
      </c>
      <c r="J1730" s="54" t="s">
        <v>6052</v>
      </c>
      <c r="K1730" s="54">
        <v>0</v>
      </c>
      <c r="L1730" s="22" t="s">
        <v>36807</v>
      </c>
      <c r="M1730" s="22" t="s">
        <v>36943</v>
      </c>
    </row>
    <row r="1731" spans="1:13" x14ac:dyDescent="0.75">
      <c r="A1731" t="s">
        <v>25403</v>
      </c>
      <c r="B1731" t="s">
        <v>9760</v>
      </c>
      <c r="C1731" t="s">
        <v>6081</v>
      </c>
      <c r="D1731" t="s">
        <v>9761</v>
      </c>
      <c r="E1731" t="s">
        <v>25404</v>
      </c>
      <c r="F1731">
        <v>30</v>
      </c>
      <c r="G1731">
        <v>2347199</v>
      </c>
      <c r="H1731" t="s">
        <v>25405</v>
      </c>
      <c r="J1731" s="54" t="s">
        <v>6052</v>
      </c>
      <c r="K1731" s="54">
        <v>0</v>
      </c>
      <c r="L1731" s="22" t="s">
        <v>36807</v>
      </c>
      <c r="M1731" s="22" t="s">
        <v>36943</v>
      </c>
    </row>
    <row r="1732" spans="1:13" x14ac:dyDescent="0.75">
      <c r="A1732" t="s">
        <v>25397</v>
      </c>
      <c r="B1732" t="s">
        <v>6628</v>
      </c>
      <c r="C1732" t="s">
        <v>6081</v>
      </c>
      <c r="D1732" t="s">
        <v>6629</v>
      </c>
      <c r="E1732" t="s">
        <v>25398</v>
      </c>
      <c r="F1732">
        <v>38</v>
      </c>
      <c r="G1732">
        <v>2423448</v>
      </c>
      <c r="H1732" t="s">
        <v>25399</v>
      </c>
      <c r="J1732" s="54" t="s">
        <v>6052</v>
      </c>
      <c r="K1732" s="54">
        <v>0</v>
      </c>
      <c r="L1732" s="22" t="s">
        <v>36807</v>
      </c>
      <c r="M1732" s="22" t="s">
        <v>36960</v>
      </c>
    </row>
    <row r="1733" spans="1:13" x14ac:dyDescent="0.75">
      <c r="A1733" t="s">
        <v>25391</v>
      </c>
      <c r="B1733" t="s">
        <v>9760</v>
      </c>
      <c r="C1733" t="s">
        <v>6081</v>
      </c>
      <c r="D1733" t="s">
        <v>9761</v>
      </c>
      <c r="E1733" t="s">
        <v>25392</v>
      </c>
      <c r="F1733">
        <v>29</v>
      </c>
      <c r="G1733">
        <v>2292906</v>
      </c>
      <c r="H1733" t="s">
        <v>25393</v>
      </c>
      <c r="J1733" s="54" t="s">
        <v>6052</v>
      </c>
      <c r="K1733" s="54">
        <v>0</v>
      </c>
      <c r="L1733" s="22" t="s">
        <v>36807</v>
      </c>
      <c r="M1733" s="22" t="s">
        <v>36943</v>
      </c>
    </row>
    <row r="1734" spans="1:13" x14ac:dyDescent="0.75">
      <c r="A1734" t="s">
        <v>25385</v>
      </c>
      <c r="B1734" t="s">
        <v>9760</v>
      </c>
      <c r="C1734" t="s">
        <v>6081</v>
      </c>
      <c r="D1734" t="s">
        <v>9761</v>
      </c>
      <c r="E1734" t="s">
        <v>25386</v>
      </c>
      <c r="F1734">
        <v>40</v>
      </c>
      <c r="G1734">
        <v>2303459</v>
      </c>
      <c r="H1734" t="s">
        <v>25387</v>
      </c>
      <c r="J1734" s="54" t="s">
        <v>6052</v>
      </c>
      <c r="K1734" s="54">
        <v>0</v>
      </c>
      <c r="L1734" s="22" t="s">
        <v>36807</v>
      </c>
      <c r="M1734" s="22" t="s">
        <v>36943</v>
      </c>
    </row>
    <row r="1735" spans="1:13" x14ac:dyDescent="0.75">
      <c r="A1735" t="s">
        <v>25367</v>
      </c>
      <c r="B1735" t="s">
        <v>6628</v>
      </c>
      <c r="C1735" t="s">
        <v>6081</v>
      </c>
      <c r="D1735" t="s">
        <v>6629</v>
      </c>
      <c r="E1735" t="s">
        <v>25368</v>
      </c>
      <c r="F1735">
        <v>28</v>
      </c>
      <c r="G1735">
        <v>2490467</v>
      </c>
      <c r="H1735" t="s">
        <v>25369</v>
      </c>
      <c r="J1735" s="54" t="s">
        <v>6052</v>
      </c>
      <c r="K1735" s="54">
        <v>0</v>
      </c>
      <c r="L1735" s="22" t="s">
        <v>36807</v>
      </c>
      <c r="M1735" s="22" t="s">
        <v>36960</v>
      </c>
    </row>
    <row r="1736" spans="1:13" x14ac:dyDescent="0.75">
      <c r="A1736" t="s">
        <v>25463</v>
      </c>
      <c r="B1736" t="s">
        <v>9760</v>
      </c>
      <c r="C1736" t="s">
        <v>6081</v>
      </c>
      <c r="D1736" t="s">
        <v>9761</v>
      </c>
      <c r="E1736" t="s">
        <v>25464</v>
      </c>
      <c r="F1736">
        <v>29</v>
      </c>
      <c r="G1736">
        <v>2264130</v>
      </c>
      <c r="H1736" t="s">
        <v>25465</v>
      </c>
      <c r="J1736" s="54" t="s">
        <v>6052</v>
      </c>
      <c r="K1736" s="54">
        <v>0</v>
      </c>
      <c r="L1736" s="22" t="s">
        <v>36807</v>
      </c>
      <c r="M1736" s="22" t="s">
        <v>36943</v>
      </c>
    </row>
    <row r="1737" spans="1:13" x14ac:dyDescent="0.75">
      <c r="A1737" t="s">
        <v>25382</v>
      </c>
      <c r="B1737" t="s">
        <v>9357</v>
      </c>
      <c r="C1737" t="s">
        <v>6081</v>
      </c>
      <c r="D1737" t="s">
        <v>9358</v>
      </c>
      <c r="E1737" t="s">
        <v>25383</v>
      </c>
      <c r="F1737">
        <v>35</v>
      </c>
      <c r="G1737">
        <v>2443153</v>
      </c>
      <c r="H1737" t="s">
        <v>25384</v>
      </c>
      <c r="J1737" s="54" t="s">
        <v>6052</v>
      </c>
      <c r="K1737" s="54">
        <v>0</v>
      </c>
      <c r="L1737" s="22" t="s">
        <v>36807</v>
      </c>
      <c r="M1737" s="22" t="s">
        <v>36947</v>
      </c>
    </row>
    <row r="1738" spans="1:13" x14ac:dyDescent="0.75">
      <c r="A1738" t="s">
        <v>25364</v>
      </c>
      <c r="B1738" t="s">
        <v>6628</v>
      </c>
      <c r="C1738" t="s">
        <v>6081</v>
      </c>
      <c r="D1738" t="s">
        <v>6629</v>
      </c>
      <c r="E1738" t="s">
        <v>25365</v>
      </c>
      <c r="F1738">
        <v>24</v>
      </c>
      <c r="G1738">
        <v>2458679</v>
      </c>
      <c r="H1738" t="s">
        <v>25366</v>
      </c>
      <c r="J1738" s="54" t="s">
        <v>6052</v>
      </c>
      <c r="K1738" s="54">
        <v>0</v>
      </c>
      <c r="L1738" s="22" t="s">
        <v>36807</v>
      </c>
      <c r="M1738" s="22" t="s">
        <v>36960</v>
      </c>
    </row>
    <row r="1739" spans="1:13" x14ac:dyDescent="0.75">
      <c r="A1739" t="s">
        <v>25370</v>
      </c>
      <c r="B1739" t="s">
        <v>9357</v>
      </c>
      <c r="C1739" t="s">
        <v>6081</v>
      </c>
      <c r="D1739" t="s">
        <v>9358</v>
      </c>
      <c r="E1739" t="s">
        <v>25371</v>
      </c>
      <c r="F1739">
        <v>41</v>
      </c>
      <c r="G1739">
        <v>2512839</v>
      </c>
      <c r="H1739" t="s">
        <v>25372</v>
      </c>
      <c r="J1739" s="54" t="s">
        <v>6052</v>
      </c>
      <c r="K1739" s="54">
        <v>0</v>
      </c>
      <c r="L1739" s="22" t="s">
        <v>36807</v>
      </c>
      <c r="M1739" s="22" t="s">
        <v>36947</v>
      </c>
    </row>
    <row r="1740" spans="1:13" x14ac:dyDescent="0.75">
      <c r="A1740" t="s">
        <v>25451</v>
      </c>
      <c r="B1740" t="s">
        <v>9760</v>
      </c>
      <c r="C1740" t="s">
        <v>6081</v>
      </c>
      <c r="D1740" t="s">
        <v>9761</v>
      </c>
      <c r="E1740" t="s">
        <v>25452</v>
      </c>
      <c r="F1740">
        <v>24</v>
      </c>
      <c r="G1740">
        <v>2278091</v>
      </c>
      <c r="H1740" t="s">
        <v>25453</v>
      </c>
      <c r="J1740" s="54" t="s">
        <v>6052</v>
      </c>
      <c r="K1740" s="54">
        <v>0</v>
      </c>
      <c r="L1740" s="22" t="s">
        <v>36807</v>
      </c>
      <c r="M1740" s="22" t="s">
        <v>36943</v>
      </c>
    </row>
    <row r="1741" spans="1:13" x14ac:dyDescent="0.75">
      <c r="A1741" t="s">
        <v>25442</v>
      </c>
      <c r="B1741" t="s">
        <v>6628</v>
      </c>
      <c r="C1741" t="s">
        <v>6081</v>
      </c>
      <c r="D1741" t="s">
        <v>6629</v>
      </c>
      <c r="E1741" t="s">
        <v>25443</v>
      </c>
      <c r="F1741">
        <v>64</v>
      </c>
      <c r="G1741">
        <v>2450873</v>
      </c>
      <c r="H1741" t="s">
        <v>25444</v>
      </c>
      <c r="J1741" s="54" t="s">
        <v>6052</v>
      </c>
      <c r="K1741" s="54">
        <v>0</v>
      </c>
      <c r="L1741" s="22" t="s">
        <v>36807</v>
      </c>
      <c r="M1741" s="22" t="s">
        <v>36960</v>
      </c>
    </row>
    <row r="1742" spans="1:13" x14ac:dyDescent="0.75">
      <c r="A1742" t="s">
        <v>25460</v>
      </c>
      <c r="B1742" t="s">
        <v>9760</v>
      </c>
      <c r="C1742" t="s">
        <v>6081</v>
      </c>
      <c r="D1742" t="s">
        <v>9761</v>
      </c>
      <c r="E1742" t="s">
        <v>25461</v>
      </c>
      <c r="F1742">
        <v>34</v>
      </c>
      <c r="G1742">
        <v>2277291</v>
      </c>
      <c r="H1742" t="s">
        <v>25462</v>
      </c>
      <c r="J1742" s="54" t="s">
        <v>6052</v>
      </c>
      <c r="K1742" s="54">
        <v>0</v>
      </c>
      <c r="L1742" s="22" t="s">
        <v>36807</v>
      </c>
      <c r="M1742" s="22" t="s">
        <v>36943</v>
      </c>
    </row>
    <row r="1743" spans="1:13" x14ac:dyDescent="0.75">
      <c r="A1743" t="s">
        <v>25406</v>
      </c>
      <c r="B1743" t="s">
        <v>9760</v>
      </c>
      <c r="C1743" t="s">
        <v>6081</v>
      </c>
      <c r="D1743" t="s">
        <v>9761</v>
      </c>
      <c r="E1743" t="s">
        <v>25407</v>
      </c>
      <c r="F1743">
        <v>42</v>
      </c>
      <c r="G1743">
        <v>2361786</v>
      </c>
      <c r="H1743" t="s">
        <v>25408</v>
      </c>
      <c r="J1743" s="54" t="s">
        <v>6052</v>
      </c>
      <c r="K1743" s="54">
        <v>0</v>
      </c>
      <c r="L1743" s="22" t="s">
        <v>36807</v>
      </c>
      <c r="M1743" s="22" t="s">
        <v>36943</v>
      </c>
    </row>
    <row r="1744" spans="1:13" x14ac:dyDescent="0.75">
      <c r="A1744" t="s">
        <v>25454</v>
      </c>
      <c r="B1744" t="s">
        <v>6628</v>
      </c>
      <c r="C1744" t="s">
        <v>6081</v>
      </c>
      <c r="D1744" t="s">
        <v>6629</v>
      </c>
      <c r="E1744" t="s">
        <v>25455</v>
      </c>
      <c r="F1744">
        <v>30</v>
      </c>
      <c r="G1744">
        <v>2490377</v>
      </c>
      <c r="H1744" t="s">
        <v>25456</v>
      </c>
      <c r="J1744" s="54" t="s">
        <v>6052</v>
      </c>
      <c r="K1744" s="54">
        <v>0</v>
      </c>
      <c r="L1744" s="22" t="s">
        <v>36807</v>
      </c>
      <c r="M1744" s="22" t="s">
        <v>36960</v>
      </c>
    </row>
    <row r="1745" spans="1:13" x14ac:dyDescent="0.75">
      <c r="A1745" t="s">
        <v>25448</v>
      </c>
      <c r="B1745" t="s">
        <v>6628</v>
      </c>
      <c r="C1745" t="s">
        <v>6081</v>
      </c>
      <c r="D1745" t="s">
        <v>6629</v>
      </c>
      <c r="E1745" t="s">
        <v>25449</v>
      </c>
      <c r="F1745">
        <v>34</v>
      </c>
      <c r="G1745">
        <v>2583058</v>
      </c>
      <c r="H1745" t="s">
        <v>25450</v>
      </c>
      <c r="J1745" s="54" t="s">
        <v>6052</v>
      </c>
      <c r="K1745" s="54">
        <v>0</v>
      </c>
      <c r="L1745" s="22" t="s">
        <v>36807</v>
      </c>
      <c r="M1745" s="22" t="s">
        <v>36960</v>
      </c>
    </row>
    <row r="1746" spans="1:13" x14ac:dyDescent="0.75">
      <c r="A1746" t="s">
        <v>25445</v>
      </c>
      <c r="B1746" t="s">
        <v>6738</v>
      </c>
      <c r="C1746" t="s">
        <v>6081</v>
      </c>
      <c r="D1746" t="s">
        <v>6739</v>
      </c>
      <c r="E1746" t="s">
        <v>25446</v>
      </c>
      <c r="F1746">
        <v>42</v>
      </c>
      <c r="G1746">
        <v>2323810</v>
      </c>
      <c r="H1746" t="s">
        <v>25447</v>
      </c>
      <c r="J1746" s="54" t="s">
        <v>6052</v>
      </c>
      <c r="K1746" s="54">
        <v>0</v>
      </c>
      <c r="L1746" s="22" t="s">
        <v>36807</v>
      </c>
      <c r="M1746" s="22" t="s">
        <v>36953</v>
      </c>
    </row>
    <row r="1747" spans="1:13" x14ac:dyDescent="0.75">
      <c r="A1747" t="s">
        <v>25457</v>
      </c>
      <c r="B1747" t="s">
        <v>6628</v>
      </c>
      <c r="C1747" t="s">
        <v>6081</v>
      </c>
      <c r="D1747" t="s">
        <v>6629</v>
      </c>
      <c r="E1747" t="s">
        <v>25458</v>
      </c>
      <c r="F1747">
        <v>37</v>
      </c>
      <c r="G1747">
        <v>2377419</v>
      </c>
      <c r="H1747" t="s">
        <v>25459</v>
      </c>
      <c r="J1747" s="54" t="s">
        <v>6052</v>
      </c>
      <c r="K1747" s="54">
        <v>0</v>
      </c>
      <c r="L1747" s="22" t="s">
        <v>36807</v>
      </c>
      <c r="M1747" s="22" t="s">
        <v>36960</v>
      </c>
    </row>
    <row r="1748" spans="1:13" x14ac:dyDescent="0.75">
      <c r="A1748" t="s">
        <v>25424</v>
      </c>
      <c r="B1748" t="s">
        <v>9760</v>
      </c>
      <c r="C1748" t="s">
        <v>6081</v>
      </c>
      <c r="D1748" t="s">
        <v>9761</v>
      </c>
      <c r="E1748" t="s">
        <v>25425</v>
      </c>
      <c r="F1748">
        <v>37</v>
      </c>
      <c r="G1748">
        <v>2285471</v>
      </c>
      <c r="H1748" t="s">
        <v>25426</v>
      </c>
      <c r="J1748" s="54" t="s">
        <v>6052</v>
      </c>
      <c r="K1748" s="54">
        <v>0</v>
      </c>
      <c r="L1748" s="22" t="s">
        <v>36807</v>
      </c>
      <c r="M1748" s="22" t="s">
        <v>36943</v>
      </c>
    </row>
    <row r="1749" spans="1:13" x14ac:dyDescent="0.75">
      <c r="A1749" t="s">
        <v>25436</v>
      </c>
      <c r="B1749" t="s">
        <v>9357</v>
      </c>
      <c r="C1749" t="s">
        <v>6081</v>
      </c>
      <c r="D1749" t="s">
        <v>9358</v>
      </c>
      <c r="E1749" t="s">
        <v>25437</v>
      </c>
      <c r="F1749">
        <v>36</v>
      </c>
      <c r="G1749">
        <v>2540168</v>
      </c>
      <c r="H1749" t="s">
        <v>25438</v>
      </c>
      <c r="J1749" s="54" t="s">
        <v>6052</v>
      </c>
      <c r="K1749" s="54">
        <v>0</v>
      </c>
      <c r="L1749" s="22" t="s">
        <v>36807</v>
      </c>
      <c r="M1749" s="22" t="s">
        <v>36947</v>
      </c>
    </row>
    <row r="1750" spans="1:13" x14ac:dyDescent="0.75">
      <c r="A1750" t="s">
        <v>25427</v>
      </c>
      <c r="B1750" t="s">
        <v>6628</v>
      </c>
      <c r="C1750" t="s">
        <v>6081</v>
      </c>
      <c r="D1750" t="s">
        <v>6629</v>
      </c>
      <c r="E1750" t="s">
        <v>25428</v>
      </c>
      <c r="F1750">
        <v>33</v>
      </c>
      <c r="G1750">
        <v>2437262</v>
      </c>
      <c r="H1750" t="s">
        <v>25429</v>
      </c>
      <c r="J1750" s="54" t="s">
        <v>6052</v>
      </c>
      <c r="K1750" s="54">
        <v>0</v>
      </c>
      <c r="L1750" s="22" t="s">
        <v>36807</v>
      </c>
      <c r="M1750" s="22" t="s">
        <v>36960</v>
      </c>
    </row>
    <row r="1751" spans="1:13" x14ac:dyDescent="0.75">
      <c r="A1751" t="s">
        <v>25421</v>
      </c>
      <c r="B1751" t="s">
        <v>6628</v>
      </c>
      <c r="C1751" t="s">
        <v>6081</v>
      </c>
      <c r="D1751" t="s">
        <v>6629</v>
      </c>
      <c r="E1751" t="s">
        <v>25422</v>
      </c>
      <c r="F1751">
        <v>48</v>
      </c>
      <c r="G1751">
        <v>2538983</v>
      </c>
      <c r="H1751" t="s">
        <v>25423</v>
      </c>
      <c r="J1751" s="54" t="s">
        <v>6052</v>
      </c>
      <c r="K1751" s="54">
        <v>0</v>
      </c>
      <c r="L1751" s="22" t="s">
        <v>36807</v>
      </c>
      <c r="M1751" s="22" t="s">
        <v>36960</v>
      </c>
    </row>
    <row r="1752" spans="1:13" x14ac:dyDescent="0.75">
      <c r="A1752" t="s">
        <v>25433</v>
      </c>
      <c r="B1752" t="s">
        <v>9357</v>
      </c>
      <c r="C1752" t="s">
        <v>6081</v>
      </c>
      <c r="D1752" t="s">
        <v>9358</v>
      </c>
      <c r="E1752" t="s">
        <v>25434</v>
      </c>
      <c r="F1752">
        <v>30</v>
      </c>
      <c r="G1752">
        <v>2507113</v>
      </c>
      <c r="H1752" t="s">
        <v>25435</v>
      </c>
      <c r="J1752" s="54" t="s">
        <v>6052</v>
      </c>
      <c r="K1752" s="54">
        <v>0</v>
      </c>
      <c r="L1752" s="22" t="s">
        <v>36807</v>
      </c>
      <c r="M1752" s="22" t="s">
        <v>36947</v>
      </c>
    </row>
    <row r="1753" spans="1:13" x14ac:dyDescent="0.75">
      <c r="A1753" t="s">
        <v>25430</v>
      </c>
      <c r="B1753" t="s">
        <v>9760</v>
      </c>
      <c r="C1753" t="s">
        <v>6081</v>
      </c>
      <c r="D1753" t="s">
        <v>9761</v>
      </c>
      <c r="E1753" t="s">
        <v>25431</v>
      </c>
      <c r="F1753">
        <v>17</v>
      </c>
      <c r="G1753">
        <v>2388561</v>
      </c>
      <c r="H1753" t="s">
        <v>25432</v>
      </c>
      <c r="J1753" s="54" t="s">
        <v>6052</v>
      </c>
      <c r="K1753" s="54">
        <v>0</v>
      </c>
      <c r="L1753" s="22" t="s">
        <v>36807</v>
      </c>
      <c r="M1753" s="22" t="s">
        <v>36943</v>
      </c>
    </row>
    <row r="1754" spans="1:13" x14ac:dyDescent="0.75">
      <c r="A1754" t="s">
        <v>25418</v>
      </c>
      <c r="B1754" t="s">
        <v>9357</v>
      </c>
      <c r="C1754" t="s">
        <v>6081</v>
      </c>
      <c r="D1754" t="s">
        <v>9358</v>
      </c>
      <c r="E1754" t="s">
        <v>25419</v>
      </c>
      <c r="F1754">
        <v>45</v>
      </c>
      <c r="G1754">
        <v>2510206</v>
      </c>
      <c r="H1754" t="s">
        <v>25420</v>
      </c>
      <c r="J1754" s="54" t="s">
        <v>6052</v>
      </c>
      <c r="K1754" s="54">
        <v>0</v>
      </c>
      <c r="L1754" s="22" t="s">
        <v>36807</v>
      </c>
      <c r="M1754" s="22" t="s">
        <v>36947</v>
      </c>
    </row>
    <row r="1755" spans="1:13" x14ac:dyDescent="0.75">
      <c r="A1755" t="s">
        <v>25439</v>
      </c>
      <c r="B1755" t="s">
        <v>6628</v>
      </c>
      <c r="C1755" t="s">
        <v>6081</v>
      </c>
      <c r="D1755" t="s">
        <v>6629</v>
      </c>
      <c r="E1755" t="s">
        <v>25440</v>
      </c>
      <c r="F1755">
        <v>37</v>
      </c>
      <c r="G1755">
        <v>2484787</v>
      </c>
      <c r="H1755" t="s">
        <v>25441</v>
      </c>
      <c r="J1755" s="54" t="s">
        <v>6052</v>
      </c>
      <c r="K1755" s="54">
        <v>0</v>
      </c>
      <c r="L1755" s="22" t="s">
        <v>36807</v>
      </c>
      <c r="M1755" s="22" t="s">
        <v>36960</v>
      </c>
    </row>
    <row r="1756" spans="1:13" x14ac:dyDescent="0.75">
      <c r="A1756" t="s">
        <v>25469</v>
      </c>
      <c r="B1756" t="s">
        <v>9760</v>
      </c>
      <c r="C1756" t="s">
        <v>6081</v>
      </c>
      <c r="D1756" t="s">
        <v>9761</v>
      </c>
      <c r="E1756" t="s">
        <v>25470</v>
      </c>
      <c r="F1756">
        <v>31</v>
      </c>
      <c r="G1756">
        <v>2281882</v>
      </c>
      <c r="H1756" t="s">
        <v>25471</v>
      </c>
      <c r="J1756" s="54" t="s">
        <v>6052</v>
      </c>
      <c r="K1756" s="54">
        <v>0</v>
      </c>
      <c r="L1756" s="22" t="s">
        <v>36807</v>
      </c>
      <c r="M1756" s="22" t="s">
        <v>36943</v>
      </c>
    </row>
    <row r="1757" spans="1:13" x14ac:dyDescent="0.75">
      <c r="A1757" t="s">
        <v>25415</v>
      </c>
      <c r="B1757" t="s">
        <v>9760</v>
      </c>
      <c r="C1757" t="s">
        <v>6081</v>
      </c>
      <c r="D1757" t="s">
        <v>9761</v>
      </c>
      <c r="E1757" t="s">
        <v>25416</v>
      </c>
      <c r="F1757">
        <v>19</v>
      </c>
      <c r="G1757">
        <v>2257563</v>
      </c>
      <c r="H1757" t="s">
        <v>25417</v>
      </c>
      <c r="J1757" s="54" t="s">
        <v>6052</v>
      </c>
      <c r="K1757" s="54">
        <v>0</v>
      </c>
      <c r="L1757" s="22" t="s">
        <v>36807</v>
      </c>
      <c r="M1757" s="22" t="s">
        <v>36943</v>
      </c>
    </row>
    <row r="1758" spans="1:13" x14ac:dyDescent="0.75">
      <c r="A1758" t="s">
        <v>25475</v>
      </c>
      <c r="B1758" t="s">
        <v>6628</v>
      </c>
      <c r="C1758" t="s">
        <v>6081</v>
      </c>
      <c r="D1758" t="s">
        <v>6629</v>
      </c>
      <c r="E1758" t="s">
        <v>25476</v>
      </c>
      <c r="F1758">
        <v>56</v>
      </c>
      <c r="G1758">
        <v>2456752</v>
      </c>
      <c r="H1758" t="s">
        <v>25477</v>
      </c>
      <c r="J1758" s="54" t="s">
        <v>6052</v>
      </c>
      <c r="K1758" s="54">
        <v>0</v>
      </c>
      <c r="L1758" s="22" t="s">
        <v>36807</v>
      </c>
      <c r="M1758" s="22" t="s">
        <v>36960</v>
      </c>
    </row>
    <row r="1759" spans="1:13" x14ac:dyDescent="0.75">
      <c r="A1759" t="s">
        <v>25358</v>
      </c>
      <c r="B1759" t="s">
        <v>9357</v>
      </c>
      <c r="C1759" t="s">
        <v>6081</v>
      </c>
      <c r="D1759" t="s">
        <v>9358</v>
      </c>
      <c r="E1759" t="s">
        <v>25359</v>
      </c>
      <c r="F1759">
        <v>48</v>
      </c>
      <c r="G1759">
        <v>2535081</v>
      </c>
      <c r="H1759" t="s">
        <v>25360</v>
      </c>
      <c r="J1759" s="54" t="s">
        <v>6052</v>
      </c>
      <c r="K1759" s="54">
        <v>0</v>
      </c>
      <c r="L1759" s="22" t="s">
        <v>36807</v>
      </c>
      <c r="M1759" s="22" t="s">
        <v>36947</v>
      </c>
    </row>
    <row r="1760" spans="1:13" x14ac:dyDescent="0.75">
      <c r="A1760" t="s">
        <v>25412</v>
      </c>
      <c r="B1760" t="s">
        <v>9760</v>
      </c>
      <c r="C1760" t="s">
        <v>6081</v>
      </c>
      <c r="D1760" t="s">
        <v>9761</v>
      </c>
      <c r="E1760" t="s">
        <v>25413</v>
      </c>
      <c r="F1760">
        <v>24</v>
      </c>
      <c r="G1760">
        <v>2333586</v>
      </c>
      <c r="H1760" t="s">
        <v>25414</v>
      </c>
      <c r="J1760" s="54" t="s">
        <v>6052</v>
      </c>
      <c r="K1760" s="54">
        <v>0</v>
      </c>
      <c r="L1760" s="22" t="s">
        <v>36807</v>
      </c>
      <c r="M1760" s="22" t="s">
        <v>36943</v>
      </c>
    </row>
    <row r="1761" spans="1:13" x14ac:dyDescent="0.75">
      <c r="A1761" t="s">
        <v>25361</v>
      </c>
      <c r="B1761" t="s">
        <v>6628</v>
      </c>
      <c r="C1761" t="s">
        <v>6081</v>
      </c>
      <c r="D1761" t="s">
        <v>6629</v>
      </c>
      <c r="E1761" t="s">
        <v>25362</v>
      </c>
      <c r="F1761">
        <v>43</v>
      </c>
      <c r="G1761">
        <v>2476050</v>
      </c>
      <c r="H1761" t="s">
        <v>25363</v>
      </c>
      <c r="J1761" s="54" t="s">
        <v>6052</v>
      </c>
      <c r="K1761" s="54">
        <v>0</v>
      </c>
      <c r="L1761" s="22" t="s">
        <v>36807</v>
      </c>
      <c r="M1761" s="22" t="s">
        <v>36960</v>
      </c>
    </row>
    <row r="1762" spans="1:13" x14ac:dyDescent="0.75">
      <c r="A1762" t="s">
        <v>25355</v>
      </c>
      <c r="B1762" t="s">
        <v>9760</v>
      </c>
      <c r="C1762" t="s">
        <v>6081</v>
      </c>
      <c r="D1762" t="s">
        <v>9761</v>
      </c>
      <c r="E1762" t="s">
        <v>25356</v>
      </c>
      <c r="F1762">
        <v>23</v>
      </c>
      <c r="G1762">
        <v>2321312</v>
      </c>
      <c r="H1762" t="s">
        <v>25357</v>
      </c>
      <c r="J1762" s="54" t="s">
        <v>6052</v>
      </c>
      <c r="K1762" s="54">
        <v>0</v>
      </c>
      <c r="L1762" s="22" t="s">
        <v>36807</v>
      </c>
      <c r="M1762" s="22" t="s">
        <v>36943</v>
      </c>
    </row>
    <row r="1763" spans="1:13" x14ac:dyDescent="0.75">
      <c r="A1763" t="s">
        <v>25409</v>
      </c>
      <c r="B1763" t="s">
        <v>6628</v>
      </c>
      <c r="C1763" t="s">
        <v>6081</v>
      </c>
      <c r="D1763" t="s">
        <v>6629</v>
      </c>
      <c r="E1763" t="s">
        <v>25410</v>
      </c>
      <c r="F1763">
        <v>28</v>
      </c>
      <c r="G1763">
        <v>2476830</v>
      </c>
      <c r="H1763" t="s">
        <v>25411</v>
      </c>
      <c r="J1763" s="54" t="s">
        <v>6052</v>
      </c>
      <c r="K1763" s="54">
        <v>0</v>
      </c>
      <c r="L1763" s="22" t="s">
        <v>36807</v>
      </c>
      <c r="M1763" s="22" t="s">
        <v>36960</v>
      </c>
    </row>
    <row r="1764" spans="1:13" x14ac:dyDescent="0.75">
      <c r="A1764" t="s">
        <v>30136</v>
      </c>
      <c r="B1764" t="s">
        <v>7112</v>
      </c>
      <c r="C1764" t="s">
        <v>6081</v>
      </c>
      <c r="D1764" t="s">
        <v>7113</v>
      </c>
      <c r="E1764" t="s">
        <v>30137</v>
      </c>
      <c r="F1764">
        <v>101</v>
      </c>
      <c r="G1764">
        <v>2617116</v>
      </c>
      <c r="H1764" t="s">
        <v>30138</v>
      </c>
      <c r="J1764" s="54" t="s">
        <v>6052</v>
      </c>
      <c r="K1764" s="54">
        <v>0</v>
      </c>
      <c r="L1764" s="22" t="s">
        <v>36807</v>
      </c>
      <c r="M1764" s="22" t="s">
        <v>36952</v>
      </c>
    </row>
    <row r="1765" spans="1:13" x14ac:dyDescent="0.75">
      <c r="A1765" t="s">
        <v>12209</v>
      </c>
      <c r="B1765" t="s">
        <v>9434</v>
      </c>
      <c r="C1765" t="s">
        <v>6081</v>
      </c>
      <c r="D1765" t="s">
        <v>9435</v>
      </c>
      <c r="E1765" t="s">
        <v>12210</v>
      </c>
      <c r="F1765">
        <v>24</v>
      </c>
      <c r="G1765">
        <v>2345615</v>
      </c>
      <c r="H1765" t="s">
        <v>12211</v>
      </c>
      <c r="J1765" s="54" t="s">
        <v>6052</v>
      </c>
      <c r="K1765" s="54">
        <v>0</v>
      </c>
      <c r="L1765" s="22" t="s">
        <v>1563</v>
      </c>
      <c r="M1765" s="22" t="s">
        <v>36955</v>
      </c>
    </row>
    <row r="1766" spans="1:13" x14ac:dyDescent="0.75">
      <c r="A1766" t="s">
        <v>17229</v>
      </c>
      <c r="B1766" t="s">
        <v>6803</v>
      </c>
      <c r="C1766" t="s">
        <v>6081</v>
      </c>
      <c r="D1766" t="s">
        <v>6804</v>
      </c>
      <c r="E1766" t="s">
        <v>17230</v>
      </c>
      <c r="F1766">
        <v>36</v>
      </c>
      <c r="G1766">
        <v>2714795</v>
      </c>
      <c r="H1766" t="s">
        <v>17231</v>
      </c>
      <c r="J1766" s="54" t="s">
        <v>6052</v>
      </c>
      <c r="K1766" s="54">
        <v>0</v>
      </c>
      <c r="L1766" s="22" t="s">
        <v>1563</v>
      </c>
      <c r="M1766" s="22" t="s">
        <v>36940</v>
      </c>
    </row>
    <row r="1767" spans="1:13" x14ac:dyDescent="0.75">
      <c r="A1767" t="s">
        <v>18966</v>
      </c>
      <c r="B1767" t="s">
        <v>7112</v>
      </c>
      <c r="C1767" t="s">
        <v>6081</v>
      </c>
      <c r="D1767" t="s">
        <v>7113</v>
      </c>
      <c r="E1767" t="s">
        <v>18967</v>
      </c>
      <c r="F1767">
        <v>10</v>
      </c>
      <c r="G1767">
        <v>2451386</v>
      </c>
      <c r="H1767" t="s">
        <v>18968</v>
      </c>
      <c r="J1767" s="54" t="s">
        <v>6052</v>
      </c>
      <c r="K1767" s="54">
        <v>0</v>
      </c>
      <c r="L1767" s="22" t="s">
        <v>36807</v>
      </c>
      <c r="M1767" s="22" t="s">
        <v>36952</v>
      </c>
    </row>
    <row r="1768" spans="1:13" x14ac:dyDescent="0.75">
      <c r="A1768" t="s">
        <v>18969</v>
      </c>
      <c r="B1768" t="s">
        <v>7112</v>
      </c>
      <c r="C1768" t="s">
        <v>6081</v>
      </c>
      <c r="D1768" t="s">
        <v>7113</v>
      </c>
      <c r="E1768" t="s">
        <v>18970</v>
      </c>
      <c r="F1768">
        <v>9</v>
      </c>
      <c r="G1768">
        <v>2414890</v>
      </c>
      <c r="H1768" t="s">
        <v>18971</v>
      </c>
      <c r="J1768" s="54" t="s">
        <v>6052</v>
      </c>
      <c r="K1768" s="54">
        <v>0</v>
      </c>
      <c r="L1768" s="22" t="s">
        <v>36807</v>
      </c>
      <c r="M1768" s="22" t="s">
        <v>36952</v>
      </c>
    </row>
    <row r="1769" spans="1:13" x14ac:dyDescent="0.75">
      <c r="A1769" t="s">
        <v>18963</v>
      </c>
      <c r="B1769" t="s">
        <v>7112</v>
      </c>
      <c r="C1769" t="s">
        <v>6081</v>
      </c>
      <c r="D1769" t="s">
        <v>7113</v>
      </c>
      <c r="E1769" t="s">
        <v>18964</v>
      </c>
      <c r="F1769">
        <v>60</v>
      </c>
      <c r="G1769">
        <v>2587291</v>
      </c>
      <c r="H1769" t="s">
        <v>18965</v>
      </c>
      <c r="J1769" s="54" t="s">
        <v>6052</v>
      </c>
      <c r="K1769" s="54">
        <v>0</v>
      </c>
      <c r="L1769" s="22" t="s">
        <v>36807</v>
      </c>
      <c r="M1769" s="22" t="s">
        <v>36952</v>
      </c>
    </row>
    <row r="1770" spans="1:13" x14ac:dyDescent="0.75">
      <c r="A1770" t="s">
        <v>17351</v>
      </c>
      <c r="B1770" t="s">
        <v>6803</v>
      </c>
      <c r="C1770" t="s">
        <v>6081</v>
      </c>
      <c r="D1770" t="s">
        <v>6804</v>
      </c>
      <c r="E1770" t="s">
        <v>17352</v>
      </c>
      <c r="F1770">
        <v>100</v>
      </c>
      <c r="G1770">
        <v>2824107</v>
      </c>
      <c r="H1770" t="s">
        <v>17353</v>
      </c>
      <c r="J1770" s="54" t="s">
        <v>6052</v>
      </c>
      <c r="K1770" s="54">
        <v>0</v>
      </c>
      <c r="L1770" s="22" t="s">
        <v>1563</v>
      </c>
      <c r="M1770" s="22" t="s">
        <v>36940</v>
      </c>
    </row>
    <row r="1771" spans="1:13" x14ac:dyDescent="0.75">
      <c r="A1771" t="s">
        <v>17086</v>
      </c>
      <c r="B1771" t="s">
        <v>13861</v>
      </c>
      <c r="C1771" t="s">
        <v>6081</v>
      </c>
      <c r="D1771" t="s">
        <v>13862</v>
      </c>
      <c r="E1771" t="s">
        <v>17087</v>
      </c>
      <c r="F1771">
        <v>23</v>
      </c>
      <c r="G1771">
        <v>2529719</v>
      </c>
      <c r="H1771" t="s">
        <v>17088</v>
      </c>
      <c r="J1771" s="54" t="s">
        <v>6052</v>
      </c>
      <c r="K1771" s="54">
        <v>0</v>
      </c>
      <c r="L1771" s="22" t="s">
        <v>1563</v>
      </c>
      <c r="M1771" s="22" t="s">
        <v>36957</v>
      </c>
    </row>
    <row r="1772" spans="1:13" x14ac:dyDescent="0.75">
      <c r="A1772" t="s">
        <v>30235</v>
      </c>
      <c r="B1772" t="s">
        <v>13861</v>
      </c>
      <c r="C1772" t="s">
        <v>6081</v>
      </c>
      <c r="D1772" t="s">
        <v>13862</v>
      </c>
      <c r="E1772" t="s">
        <v>30236</v>
      </c>
      <c r="F1772">
        <v>39</v>
      </c>
      <c r="G1772">
        <v>2641074</v>
      </c>
      <c r="H1772" t="s">
        <v>30237</v>
      </c>
      <c r="J1772" s="54" t="s">
        <v>6052</v>
      </c>
      <c r="K1772" s="54">
        <v>0</v>
      </c>
      <c r="L1772" s="22" t="s">
        <v>1563</v>
      </c>
      <c r="M1772" s="22" t="s">
        <v>36957</v>
      </c>
    </row>
    <row r="1773" spans="1:13" x14ac:dyDescent="0.75">
      <c r="A1773" t="s">
        <v>28188</v>
      </c>
      <c r="B1773" t="s">
        <v>9357</v>
      </c>
      <c r="C1773" t="s">
        <v>6081</v>
      </c>
      <c r="D1773" t="s">
        <v>9358</v>
      </c>
      <c r="E1773" t="s">
        <v>28189</v>
      </c>
      <c r="F1773">
        <v>24</v>
      </c>
      <c r="G1773">
        <v>2504704</v>
      </c>
      <c r="H1773" t="s">
        <v>28190</v>
      </c>
      <c r="J1773" s="54" t="s">
        <v>6052</v>
      </c>
      <c r="K1773" s="54">
        <v>0</v>
      </c>
      <c r="L1773" s="22" t="s">
        <v>36807</v>
      </c>
      <c r="M1773" s="22" t="s">
        <v>36947</v>
      </c>
    </row>
    <row r="1774" spans="1:13" x14ac:dyDescent="0.75">
      <c r="A1774" t="s">
        <v>28310</v>
      </c>
      <c r="B1774" t="s">
        <v>9434</v>
      </c>
      <c r="C1774" t="s">
        <v>6081</v>
      </c>
      <c r="D1774" t="s">
        <v>9435</v>
      </c>
      <c r="E1774" t="s">
        <v>28311</v>
      </c>
      <c r="F1774">
        <v>50</v>
      </c>
      <c r="G1774">
        <v>2240769</v>
      </c>
      <c r="H1774" t="s">
        <v>28312</v>
      </c>
      <c r="J1774" s="54" t="s">
        <v>6052</v>
      </c>
      <c r="K1774" s="54">
        <v>0</v>
      </c>
      <c r="L1774" s="22" t="s">
        <v>1563</v>
      </c>
      <c r="M1774" s="22" t="s">
        <v>36955</v>
      </c>
    </row>
    <row r="1775" spans="1:13" x14ac:dyDescent="0.75">
      <c r="A1775" t="s">
        <v>28538</v>
      </c>
      <c r="B1775" t="s">
        <v>9970</v>
      </c>
      <c r="C1775" t="s">
        <v>6081</v>
      </c>
      <c r="D1775" t="s">
        <v>9971</v>
      </c>
      <c r="E1775" t="s">
        <v>28539</v>
      </c>
      <c r="F1775">
        <v>56</v>
      </c>
      <c r="G1775">
        <v>2294743</v>
      </c>
      <c r="H1775" t="s">
        <v>28540</v>
      </c>
      <c r="J1775" s="54" t="s">
        <v>6052</v>
      </c>
      <c r="K1775" s="54">
        <v>0</v>
      </c>
      <c r="L1775" s="22" t="s">
        <v>36807</v>
      </c>
      <c r="M1775" s="22" t="s">
        <v>36945</v>
      </c>
    </row>
    <row r="1776" spans="1:13" x14ac:dyDescent="0.75">
      <c r="A1776" t="s">
        <v>28572</v>
      </c>
      <c r="B1776" t="s">
        <v>6803</v>
      </c>
      <c r="C1776" t="s">
        <v>6081</v>
      </c>
      <c r="D1776" t="s">
        <v>6804</v>
      </c>
      <c r="E1776" t="s">
        <v>28573</v>
      </c>
      <c r="F1776">
        <v>57</v>
      </c>
      <c r="G1776">
        <v>2788808</v>
      </c>
      <c r="H1776" t="s">
        <v>28574</v>
      </c>
      <c r="J1776" s="54" t="s">
        <v>6052</v>
      </c>
      <c r="K1776" s="54">
        <v>0</v>
      </c>
      <c r="L1776" s="22" t="s">
        <v>1563</v>
      </c>
      <c r="M1776" s="22" t="s">
        <v>36940</v>
      </c>
    </row>
    <row r="1777" spans="1:13" x14ac:dyDescent="0.75">
      <c r="A1777" t="s">
        <v>28602</v>
      </c>
      <c r="B1777" t="s">
        <v>7112</v>
      </c>
      <c r="C1777" t="s">
        <v>6081</v>
      </c>
      <c r="D1777" t="s">
        <v>7113</v>
      </c>
      <c r="E1777" t="s">
        <v>28603</v>
      </c>
      <c r="F1777">
        <v>220</v>
      </c>
      <c r="G1777">
        <v>2349574</v>
      </c>
      <c r="H1777" t="s">
        <v>28604</v>
      </c>
      <c r="J1777" s="54" t="s">
        <v>6052</v>
      </c>
      <c r="K1777" s="54">
        <v>0</v>
      </c>
      <c r="L1777" s="22" t="s">
        <v>36807</v>
      </c>
      <c r="M1777" s="22" t="s">
        <v>36952</v>
      </c>
    </row>
    <row r="1778" spans="1:13" x14ac:dyDescent="0.75">
      <c r="A1778" t="s">
        <v>26085</v>
      </c>
      <c r="B1778" t="s">
        <v>6803</v>
      </c>
      <c r="C1778" t="s">
        <v>6081</v>
      </c>
      <c r="D1778" t="s">
        <v>6804</v>
      </c>
      <c r="E1778" t="s">
        <v>26086</v>
      </c>
      <c r="F1778">
        <v>144</v>
      </c>
      <c r="G1778">
        <v>2934008</v>
      </c>
      <c r="H1778" t="s">
        <v>26087</v>
      </c>
      <c r="J1778" s="54" t="s">
        <v>6052</v>
      </c>
      <c r="K1778" s="54">
        <v>0</v>
      </c>
      <c r="L1778" s="22" t="s">
        <v>1563</v>
      </c>
      <c r="M1778" s="22" t="s">
        <v>36940</v>
      </c>
    </row>
    <row r="1779" spans="1:13" x14ac:dyDescent="0.75">
      <c r="A1779" t="s">
        <v>26121</v>
      </c>
      <c r="B1779" t="s">
        <v>6803</v>
      </c>
      <c r="C1779" t="s">
        <v>6081</v>
      </c>
      <c r="D1779" t="s">
        <v>6804</v>
      </c>
      <c r="E1779" t="s">
        <v>26122</v>
      </c>
      <c r="F1779">
        <v>156</v>
      </c>
      <c r="G1779">
        <v>2818014</v>
      </c>
      <c r="H1779" t="s">
        <v>26123</v>
      </c>
      <c r="J1779" s="54" t="s">
        <v>6052</v>
      </c>
      <c r="K1779" s="54">
        <v>0</v>
      </c>
      <c r="L1779" s="22" t="s">
        <v>1563</v>
      </c>
      <c r="M1779" s="22" t="s">
        <v>36940</v>
      </c>
    </row>
    <row r="1780" spans="1:13" x14ac:dyDescent="0.75">
      <c r="A1780" t="s">
        <v>26118</v>
      </c>
      <c r="B1780" t="s">
        <v>14348</v>
      </c>
      <c r="C1780" t="s">
        <v>6081</v>
      </c>
      <c r="D1780" t="s">
        <v>14349</v>
      </c>
      <c r="E1780" t="s">
        <v>26119</v>
      </c>
      <c r="F1780">
        <v>74</v>
      </c>
      <c r="G1780">
        <v>2404989</v>
      </c>
      <c r="H1780" t="s">
        <v>26120</v>
      </c>
      <c r="J1780" s="54" t="s">
        <v>6052</v>
      </c>
      <c r="K1780" s="54">
        <v>0</v>
      </c>
      <c r="L1780" s="22" t="s">
        <v>1563</v>
      </c>
      <c r="M1780" s="22" t="s">
        <v>36968</v>
      </c>
    </row>
    <row r="1781" spans="1:13" x14ac:dyDescent="0.75">
      <c r="A1781" t="s">
        <v>26112</v>
      </c>
      <c r="B1781" t="s">
        <v>14348</v>
      </c>
      <c r="C1781" t="s">
        <v>6081</v>
      </c>
      <c r="D1781" t="s">
        <v>14349</v>
      </c>
      <c r="E1781" t="s">
        <v>26113</v>
      </c>
      <c r="F1781">
        <v>78</v>
      </c>
      <c r="G1781">
        <v>2452523</v>
      </c>
      <c r="H1781" t="s">
        <v>26114</v>
      </c>
      <c r="J1781" s="54" t="s">
        <v>6052</v>
      </c>
      <c r="K1781" s="54">
        <v>0</v>
      </c>
      <c r="L1781" s="22" t="s">
        <v>1563</v>
      </c>
      <c r="M1781" s="22" t="s">
        <v>36968</v>
      </c>
    </row>
    <row r="1782" spans="1:13" x14ac:dyDescent="0.75">
      <c r="A1782" t="s">
        <v>26124</v>
      </c>
      <c r="B1782" t="s">
        <v>9760</v>
      </c>
      <c r="C1782" t="s">
        <v>6081</v>
      </c>
      <c r="D1782" t="s">
        <v>9761</v>
      </c>
      <c r="E1782" t="s">
        <v>26125</v>
      </c>
      <c r="F1782">
        <v>37</v>
      </c>
      <c r="G1782">
        <v>2272229</v>
      </c>
      <c r="H1782" t="s">
        <v>26126</v>
      </c>
      <c r="J1782" s="54" t="s">
        <v>6052</v>
      </c>
      <c r="K1782" s="54">
        <v>0</v>
      </c>
      <c r="L1782" s="22" t="s">
        <v>36807</v>
      </c>
      <c r="M1782" s="22" t="s">
        <v>36943</v>
      </c>
    </row>
    <row r="1783" spans="1:13" x14ac:dyDescent="0.75">
      <c r="A1783" t="s">
        <v>26115</v>
      </c>
      <c r="B1783" t="s">
        <v>7112</v>
      </c>
      <c r="C1783" t="s">
        <v>6081</v>
      </c>
      <c r="D1783" t="s">
        <v>7113</v>
      </c>
      <c r="E1783" t="s">
        <v>26116</v>
      </c>
      <c r="F1783">
        <v>25</v>
      </c>
      <c r="G1783">
        <v>2520567</v>
      </c>
      <c r="H1783" t="s">
        <v>26117</v>
      </c>
      <c r="J1783" s="54" t="s">
        <v>6052</v>
      </c>
      <c r="K1783" s="54">
        <v>0</v>
      </c>
      <c r="L1783" s="22" t="s">
        <v>36807</v>
      </c>
      <c r="M1783" s="22" t="s">
        <v>36952</v>
      </c>
    </row>
    <row r="1784" spans="1:13" x14ac:dyDescent="0.75">
      <c r="A1784" t="s">
        <v>26109</v>
      </c>
      <c r="B1784" t="s">
        <v>6803</v>
      </c>
      <c r="C1784" t="s">
        <v>6081</v>
      </c>
      <c r="D1784" t="s">
        <v>6804</v>
      </c>
      <c r="E1784" t="s">
        <v>26110</v>
      </c>
      <c r="F1784">
        <v>87</v>
      </c>
      <c r="G1784">
        <v>2686098</v>
      </c>
      <c r="H1784" t="s">
        <v>26111</v>
      </c>
      <c r="J1784" s="54" t="s">
        <v>6052</v>
      </c>
      <c r="K1784" s="54">
        <v>0</v>
      </c>
      <c r="L1784" s="22" t="s">
        <v>1563</v>
      </c>
      <c r="M1784" s="22" t="s">
        <v>36940</v>
      </c>
    </row>
    <row r="1785" spans="1:13" x14ac:dyDescent="0.75">
      <c r="A1785" t="s">
        <v>26106</v>
      </c>
      <c r="B1785" t="s">
        <v>6803</v>
      </c>
      <c r="C1785" t="s">
        <v>6081</v>
      </c>
      <c r="D1785" t="s">
        <v>6804</v>
      </c>
      <c r="E1785" t="s">
        <v>26107</v>
      </c>
      <c r="F1785">
        <v>88</v>
      </c>
      <c r="G1785">
        <v>2636129</v>
      </c>
      <c r="H1785" t="s">
        <v>26108</v>
      </c>
      <c r="J1785" s="54" t="s">
        <v>6052</v>
      </c>
      <c r="K1785" s="54">
        <v>0</v>
      </c>
      <c r="L1785" s="22" t="s">
        <v>1563</v>
      </c>
      <c r="M1785" s="22" t="s">
        <v>36940</v>
      </c>
    </row>
    <row r="1786" spans="1:13" x14ac:dyDescent="0.75">
      <c r="A1786" t="s">
        <v>26100</v>
      </c>
      <c r="B1786" t="s">
        <v>6803</v>
      </c>
      <c r="C1786" t="s">
        <v>6081</v>
      </c>
      <c r="D1786" t="s">
        <v>6804</v>
      </c>
      <c r="E1786" t="s">
        <v>26101</v>
      </c>
      <c r="F1786">
        <v>174</v>
      </c>
      <c r="G1786">
        <v>2913468</v>
      </c>
      <c r="H1786" t="s">
        <v>26102</v>
      </c>
      <c r="J1786" s="54" t="s">
        <v>6052</v>
      </c>
      <c r="K1786" s="54">
        <v>0</v>
      </c>
      <c r="L1786" s="22" t="s">
        <v>1563</v>
      </c>
      <c r="M1786" s="22" t="s">
        <v>36940</v>
      </c>
    </row>
    <row r="1787" spans="1:13" x14ac:dyDescent="0.75">
      <c r="A1787" t="s">
        <v>26103</v>
      </c>
      <c r="B1787" t="s">
        <v>6803</v>
      </c>
      <c r="C1787" t="s">
        <v>6081</v>
      </c>
      <c r="D1787" t="s">
        <v>6804</v>
      </c>
      <c r="E1787" t="s">
        <v>26104</v>
      </c>
      <c r="F1787">
        <v>141</v>
      </c>
      <c r="G1787">
        <v>2893056</v>
      </c>
      <c r="H1787" t="s">
        <v>26105</v>
      </c>
      <c r="J1787" s="54" t="s">
        <v>6052</v>
      </c>
      <c r="K1787" s="54">
        <v>0</v>
      </c>
      <c r="L1787" s="22" t="s">
        <v>1563</v>
      </c>
      <c r="M1787" s="22" t="s">
        <v>36940</v>
      </c>
    </row>
    <row r="1788" spans="1:13" x14ac:dyDescent="0.75">
      <c r="A1788" t="s">
        <v>26091</v>
      </c>
      <c r="B1788" t="s">
        <v>6803</v>
      </c>
      <c r="C1788" t="s">
        <v>6081</v>
      </c>
      <c r="D1788" t="s">
        <v>6804</v>
      </c>
      <c r="E1788" t="s">
        <v>26092</v>
      </c>
      <c r="F1788">
        <v>157</v>
      </c>
      <c r="G1788">
        <v>2977329</v>
      </c>
      <c r="H1788" t="s">
        <v>26093</v>
      </c>
      <c r="J1788" s="54" t="s">
        <v>6052</v>
      </c>
      <c r="K1788" s="54">
        <v>0</v>
      </c>
      <c r="L1788" s="22" t="s">
        <v>1563</v>
      </c>
      <c r="M1788" s="22" t="s">
        <v>36940</v>
      </c>
    </row>
    <row r="1789" spans="1:13" x14ac:dyDescent="0.75">
      <c r="A1789" t="s">
        <v>26139</v>
      </c>
      <c r="B1789" t="s">
        <v>6803</v>
      </c>
      <c r="C1789" t="s">
        <v>6081</v>
      </c>
      <c r="D1789" t="s">
        <v>6804</v>
      </c>
      <c r="E1789" t="s">
        <v>26140</v>
      </c>
      <c r="F1789">
        <v>149</v>
      </c>
      <c r="G1789">
        <v>2837292</v>
      </c>
      <c r="H1789" t="s">
        <v>26141</v>
      </c>
      <c r="J1789" s="54" t="s">
        <v>6052</v>
      </c>
      <c r="K1789" s="54">
        <v>0</v>
      </c>
      <c r="L1789" s="22" t="s">
        <v>1563</v>
      </c>
      <c r="M1789" s="22" t="s">
        <v>36940</v>
      </c>
    </row>
    <row r="1790" spans="1:13" x14ac:dyDescent="0.75">
      <c r="A1790" t="s">
        <v>26097</v>
      </c>
      <c r="B1790" t="s">
        <v>6628</v>
      </c>
      <c r="C1790" t="s">
        <v>6081</v>
      </c>
      <c r="D1790" t="s">
        <v>6629</v>
      </c>
      <c r="E1790" t="s">
        <v>26098</v>
      </c>
      <c r="F1790">
        <v>30</v>
      </c>
      <c r="G1790">
        <v>2451769</v>
      </c>
      <c r="H1790" t="s">
        <v>26099</v>
      </c>
      <c r="J1790" s="54" t="s">
        <v>6052</v>
      </c>
      <c r="K1790" s="54">
        <v>0</v>
      </c>
      <c r="L1790" s="22" t="s">
        <v>36807</v>
      </c>
      <c r="M1790" s="22" t="s">
        <v>36960</v>
      </c>
    </row>
    <row r="1791" spans="1:13" x14ac:dyDescent="0.75">
      <c r="A1791" t="s">
        <v>26094</v>
      </c>
      <c r="B1791" t="s">
        <v>9970</v>
      </c>
      <c r="C1791" t="s">
        <v>6081</v>
      </c>
      <c r="D1791" t="s">
        <v>9971</v>
      </c>
      <c r="E1791" t="s">
        <v>26095</v>
      </c>
      <c r="F1791">
        <v>87</v>
      </c>
      <c r="G1791">
        <v>2509550</v>
      </c>
      <c r="H1791" t="s">
        <v>26096</v>
      </c>
      <c r="J1791" s="54" t="s">
        <v>6052</v>
      </c>
      <c r="K1791" s="54">
        <v>0</v>
      </c>
      <c r="L1791" s="22" t="s">
        <v>36807</v>
      </c>
      <c r="M1791" s="22" t="s">
        <v>36945</v>
      </c>
    </row>
    <row r="1792" spans="1:13" x14ac:dyDescent="0.75">
      <c r="A1792" t="s">
        <v>25950</v>
      </c>
      <c r="B1792" t="s">
        <v>6628</v>
      </c>
      <c r="C1792" t="s">
        <v>6081</v>
      </c>
      <c r="D1792" t="s">
        <v>6629</v>
      </c>
      <c r="E1792" t="s">
        <v>25951</v>
      </c>
      <c r="F1792">
        <v>30</v>
      </c>
      <c r="G1792">
        <v>2510014</v>
      </c>
      <c r="H1792" t="s">
        <v>25952</v>
      </c>
      <c r="J1792" s="54" t="s">
        <v>6052</v>
      </c>
      <c r="K1792" s="54">
        <v>0</v>
      </c>
      <c r="L1792" s="22" t="s">
        <v>36807</v>
      </c>
      <c r="M1792" s="22" t="s">
        <v>36960</v>
      </c>
    </row>
    <row r="1793" spans="1:13" x14ac:dyDescent="0.75">
      <c r="A1793" t="s">
        <v>25983</v>
      </c>
      <c r="B1793" t="s">
        <v>6628</v>
      </c>
      <c r="C1793" t="s">
        <v>6081</v>
      </c>
      <c r="D1793" t="s">
        <v>6629</v>
      </c>
      <c r="E1793" t="s">
        <v>25984</v>
      </c>
      <c r="F1793">
        <v>44</v>
      </c>
      <c r="G1793">
        <v>2462267</v>
      </c>
      <c r="H1793" t="s">
        <v>25985</v>
      </c>
      <c r="J1793" s="54" t="s">
        <v>6052</v>
      </c>
      <c r="K1793" s="54">
        <v>0</v>
      </c>
      <c r="L1793" s="22" t="s">
        <v>36807</v>
      </c>
      <c r="M1793" s="22" t="s">
        <v>36960</v>
      </c>
    </row>
    <row r="1794" spans="1:13" x14ac:dyDescent="0.75">
      <c r="A1794" t="s">
        <v>25941</v>
      </c>
      <c r="B1794" t="s">
        <v>6628</v>
      </c>
      <c r="C1794" t="s">
        <v>6081</v>
      </c>
      <c r="D1794" t="s">
        <v>6629</v>
      </c>
      <c r="E1794" t="s">
        <v>25942</v>
      </c>
      <c r="F1794">
        <v>52</v>
      </c>
      <c r="G1794">
        <v>2463636</v>
      </c>
      <c r="H1794" t="s">
        <v>25943</v>
      </c>
      <c r="J1794" s="54" t="s">
        <v>6052</v>
      </c>
      <c r="K1794" s="54">
        <v>0</v>
      </c>
      <c r="L1794" s="22" t="s">
        <v>36807</v>
      </c>
      <c r="M1794" s="22" t="s">
        <v>36960</v>
      </c>
    </row>
    <row r="1795" spans="1:13" x14ac:dyDescent="0.75">
      <c r="A1795" t="s">
        <v>25980</v>
      </c>
      <c r="B1795" t="s">
        <v>6628</v>
      </c>
      <c r="C1795" t="s">
        <v>6081</v>
      </c>
      <c r="D1795" t="s">
        <v>6629</v>
      </c>
      <c r="E1795" t="s">
        <v>25981</v>
      </c>
      <c r="F1795">
        <v>65</v>
      </c>
      <c r="G1795">
        <v>2526505</v>
      </c>
      <c r="H1795" t="s">
        <v>25982</v>
      </c>
      <c r="J1795" s="54" t="s">
        <v>6052</v>
      </c>
      <c r="K1795" s="54">
        <v>0</v>
      </c>
      <c r="L1795" s="22" t="s">
        <v>36807</v>
      </c>
      <c r="M1795" s="22" t="s">
        <v>36960</v>
      </c>
    </row>
    <row r="1796" spans="1:13" x14ac:dyDescent="0.75">
      <c r="A1796" t="s">
        <v>25953</v>
      </c>
      <c r="B1796" t="s">
        <v>9760</v>
      </c>
      <c r="C1796" t="s">
        <v>6081</v>
      </c>
      <c r="D1796" t="s">
        <v>9761</v>
      </c>
      <c r="E1796" t="s">
        <v>25954</v>
      </c>
      <c r="F1796">
        <v>40</v>
      </c>
      <c r="G1796">
        <v>2255576</v>
      </c>
      <c r="H1796" t="s">
        <v>25955</v>
      </c>
      <c r="J1796" s="54" t="s">
        <v>6052</v>
      </c>
      <c r="K1796" s="54">
        <v>0</v>
      </c>
      <c r="L1796" s="22" t="s">
        <v>36807</v>
      </c>
      <c r="M1796" s="22" t="s">
        <v>36943</v>
      </c>
    </row>
    <row r="1797" spans="1:13" x14ac:dyDescent="0.75">
      <c r="A1797" t="s">
        <v>25947</v>
      </c>
      <c r="B1797" t="s">
        <v>9349</v>
      </c>
      <c r="C1797" t="s">
        <v>6081</v>
      </c>
      <c r="D1797" t="s">
        <v>9350</v>
      </c>
      <c r="E1797" t="s">
        <v>25948</v>
      </c>
      <c r="F1797">
        <v>21</v>
      </c>
      <c r="G1797">
        <v>2368744</v>
      </c>
      <c r="H1797" t="s">
        <v>25949</v>
      </c>
      <c r="J1797" s="54" t="s">
        <v>6052</v>
      </c>
      <c r="K1797" s="54">
        <v>0</v>
      </c>
      <c r="L1797" s="22" t="s">
        <v>36806</v>
      </c>
      <c r="M1797" s="22" t="s">
        <v>36949</v>
      </c>
    </row>
    <row r="1798" spans="1:13" x14ac:dyDescent="0.75">
      <c r="A1798" t="s">
        <v>25992</v>
      </c>
      <c r="B1798" t="s">
        <v>6628</v>
      </c>
      <c r="C1798" t="s">
        <v>6081</v>
      </c>
      <c r="D1798" t="s">
        <v>6629</v>
      </c>
      <c r="E1798" t="s">
        <v>25993</v>
      </c>
      <c r="F1798">
        <v>44</v>
      </c>
      <c r="G1798">
        <v>2484696</v>
      </c>
      <c r="H1798" t="s">
        <v>25994</v>
      </c>
      <c r="J1798" s="54" t="s">
        <v>6052</v>
      </c>
      <c r="K1798" s="54">
        <v>0</v>
      </c>
      <c r="L1798" s="22" t="s">
        <v>36807</v>
      </c>
      <c r="M1798" s="22" t="s">
        <v>36960</v>
      </c>
    </row>
    <row r="1799" spans="1:13" x14ac:dyDescent="0.75">
      <c r="A1799" t="s">
        <v>26025</v>
      </c>
      <c r="B1799" t="s">
        <v>9760</v>
      </c>
      <c r="C1799" t="s">
        <v>6081</v>
      </c>
      <c r="D1799" t="s">
        <v>9761</v>
      </c>
      <c r="E1799" t="s">
        <v>26026</v>
      </c>
      <c r="F1799">
        <v>33</v>
      </c>
      <c r="G1799">
        <v>2278645</v>
      </c>
      <c r="H1799" t="s">
        <v>26027</v>
      </c>
      <c r="J1799" s="54" t="s">
        <v>6052</v>
      </c>
      <c r="K1799" s="54">
        <v>0</v>
      </c>
      <c r="L1799" s="22" t="s">
        <v>36807</v>
      </c>
      <c r="M1799" s="22" t="s">
        <v>36943</v>
      </c>
    </row>
    <row r="1800" spans="1:13" x14ac:dyDescent="0.75">
      <c r="A1800" t="s">
        <v>26043</v>
      </c>
      <c r="B1800" t="s">
        <v>23960</v>
      </c>
      <c r="C1800" t="s">
        <v>6081</v>
      </c>
      <c r="D1800" t="s">
        <v>23961</v>
      </c>
      <c r="E1800" t="s">
        <v>26044</v>
      </c>
      <c r="F1800">
        <v>56</v>
      </c>
      <c r="G1800">
        <v>2155492</v>
      </c>
      <c r="H1800" t="s">
        <v>26045</v>
      </c>
      <c r="J1800" s="54" t="s">
        <v>6052</v>
      </c>
      <c r="K1800" s="54">
        <v>0</v>
      </c>
      <c r="L1800" s="22" t="s">
        <v>1563</v>
      </c>
      <c r="M1800" s="22" t="s">
        <v>36964</v>
      </c>
    </row>
    <row r="1801" spans="1:13" x14ac:dyDescent="0.75">
      <c r="A1801" t="s">
        <v>26133</v>
      </c>
      <c r="B1801" t="s">
        <v>6628</v>
      </c>
      <c r="C1801" t="s">
        <v>6081</v>
      </c>
      <c r="D1801" t="s">
        <v>6629</v>
      </c>
      <c r="E1801" t="s">
        <v>26134</v>
      </c>
      <c r="F1801">
        <v>43</v>
      </c>
      <c r="G1801">
        <v>2485091</v>
      </c>
      <c r="H1801" t="s">
        <v>26135</v>
      </c>
      <c r="J1801" s="54" t="s">
        <v>6052</v>
      </c>
      <c r="K1801" s="54">
        <v>0</v>
      </c>
      <c r="L1801" s="22" t="s">
        <v>36807</v>
      </c>
      <c r="M1801" s="22" t="s">
        <v>36960</v>
      </c>
    </row>
    <row r="1802" spans="1:13" x14ac:dyDescent="0.75">
      <c r="A1802" t="s">
        <v>26049</v>
      </c>
      <c r="B1802" t="s">
        <v>6628</v>
      </c>
      <c r="C1802" t="s">
        <v>6081</v>
      </c>
      <c r="D1802" t="s">
        <v>6629</v>
      </c>
      <c r="E1802" t="s">
        <v>26050</v>
      </c>
      <c r="F1802">
        <v>92</v>
      </c>
      <c r="G1802">
        <v>2544134</v>
      </c>
      <c r="H1802" t="s">
        <v>26051</v>
      </c>
      <c r="J1802" s="54" t="s">
        <v>6052</v>
      </c>
      <c r="K1802" s="54">
        <v>0</v>
      </c>
      <c r="L1802" s="22" t="s">
        <v>36807</v>
      </c>
      <c r="M1802" s="22" t="s">
        <v>36960</v>
      </c>
    </row>
    <row r="1803" spans="1:13" x14ac:dyDescent="0.75">
      <c r="A1803" t="s">
        <v>25995</v>
      </c>
      <c r="B1803" t="s">
        <v>14348</v>
      </c>
      <c r="C1803" t="s">
        <v>6081</v>
      </c>
      <c r="D1803" t="s">
        <v>14349</v>
      </c>
      <c r="E1803" t="s">
        <v>25996</v>
      </c>
      <c r="F1803">
        <v>73</v>
      </c>
      <c r="G1803">
        <v>2405598</v>
      </c>
      <c r="H1803" t="s">
        <v>25997</v>
      </c>
      <c r="J1803" s="54" t="s">
        <v>6052</v>
      </c>
      <c r="K1803" s="54">
        <v>0</v>
      </c>
      <c r="L1803" s="22" t="s">
        <v>1563</v>
      </c>
      <c r="M1803" s="22" t="s">
        <v>36968</v>
      </c>
    </row>
    <row r="1804" spans="1:13" x14ac:dyDescent="0.75">
      <c r="A1804" t="s">
        <v>26055</v>
      </c>
      <c r="B1804" t="s">
        <v>6628</v>
      </c>
      <c r="C1804" t="s">
        <v>6081</v>
      </c>
      <c r="D1804" t="s">
        <v>6629</v>
      </c>
      <c r="E1804" t="s">
        <v>26056</v>
      </c>
      <c r="F1804">
        <v>61</v>
      </c>
      <c r="G1804">
        <v>2406417</v>
      </c>
      <c r="H1804" t="s">
        <v>26057</v>
      </c>
      <c r="J1804" s="54" t="s">
        <v>6052</v>
      </c>
      <c r="K1804" s="54">
        <v>0</v>
      </c>
      <c r="L1804" s="22" t="s">
        <v>36807</v>
      </c>
      <c r="M1804" s="22" t="s">
        <v>36960</v>
      </c>
    </row>
    <row r="1805" spans="1:13" x14ac:dyDescent="0.75">
      <c r="A1805" t="s">
        <v>26052</v>
      </c>
      <c r="B1805" t="s">
        <v>9760</v>
      </c>
      <c r="C1805" t="s">
        <v>6081</v>
      </c>
      <c r="D1805" t="s">
        <v>9761</v>
      </c>
      <c r="E1805" t="s">
        <v>26053</v>
      </c>
      <c r="F1805">
        <v>30</v>
      </c>
      <c r="G1805">
        <v>2331903</v>
      </c>
      <c r="H1805" t="s">
        <v>26054</v>
      </c>
      <c r="J1805" s="54" t="s">
        <v>6052</v>
      </c>
      <c r="K1805" s="54">
        <v>0</v>
      </c>
      <c r="L1805" s="22" t="s">
        <v>36807</v>
      </c>
      <c r="M1805" s="22" t="s">
        <v>36943</v>
      </c>
    </row>
    <row r="1806" spans="1:13" x14ac:dyDescent="0.75">
      <c r="A1806" t="s">
        <v>26136</v>
      </c>
      <c r="B1806" t="s">
        <v>9760</v>
      </c>
      <c r="C1806" t="s">
        <v>6081</v>
      </c>
      <c r="D1806" t="s">
        <v>9761</v>
      </c>
      <c r="E1806" t="s">
        <v>26137</v>
      </c>
      <c r="F1806">
        <v>16</v>
      </c>
      <c r="G1806">
        <v>2307282</v>
      </c>
      <c r="H1806" t="s">
        <v>26138</v>
      </c>
      <c r="J1806" s="54" t="s">
        <v>6052</v>
      </c>
      <c r="K1806" s="54">
        <v>0</v>
      </c>
      <c r="L1806" s="22" t="s">
        <v>36807</v>
      </c>
      <c r="M1806" s="22" t="s">
        <v>36943</v>
      </c>
    </row>
    <row r="1807" spans="1:13" x14ac:dyDescent="0.75">
      <c r="A1807" t="s">
        <v>25998</v>
      </c>
      <c r="B1807" t="s">
        <v>6628</v>
      </c>
      <c r="C1807" t="s">
        <v>6081</v>
      </c>
      <c r="D1807" t="s">
        <v>6629</v>
      </c>
      <c r="E1807" t="s">
        <v>25999</v>
      </c>
      <c r="F1807">
        <v>41</v>
      </c>
      <c r="G1807">
        <v>2506669</v>
      </c>
      <c r="H1807" t="s">
        <v>26000</v>
      </c>
      <c r="J1807" s="54" t="s">
        <v>6052</v>
      </c>
      <c r="K1807" s="54">
        <v>0</v>
      </c>
      <c r="L1807" s="22" t="s">
        <v>36807</v>
      </c>
      <c r="M1807" s="22" t="s">
        <v>36960</v>
      </c>
    </row>
    <row r="1808" spans="1:13" x14ac:dyDescent="0.75">
      <c r="A1808" t="s">
        <v>25989</v>
      </c>
      <c r="B1808" t="s">
        <v>9357</v>
      </c>
      <c r="C1808" t="s">
        <v>6081</v>
      </c>
      <c r="D1808" t="s">
        <v>9358</v>
      </c>
      <c r="E1808" t="s">
        <v>25990</v>
      </c>
      <c r="F1808">
        <v>37</v>
      </c>
      <c r="G1808">
        <v>2442739</v>
      </c>
      <c r="H1808" t="s">
        <v>25991</v>
      </c>
      <c r="J1808" s="54" t="s">
        <v>6052</v>
      </c>
      <c r="K1808" s="54">
        <v>0</v>
      </c>
      <c r="L1808" s="22" t="s">
        <v>36807</v>
      </c>
      <c r="M1808" s="22" t="s">
        <v>36947</v>
      </c>
    </row>
    <row r="1809" spans="1:13" x14ac:dyDescent="0.75">
      <c r="A1809" t="s">
        <v>26046</v>
      </c>
      <c r="B1809" t="s">
        <v>6628</v>
      </c>
      <c r="C1809" t="s">
        <v>6081</v>
      </c>
      <c r="D1809" t="s">
        <v>6629</v>
      </c>
      <c r="E1809" t="s">
        <v>26047</v>
      </c>
      <c r="F1809">
        <v>90</v>
      </c>
      <c r="G1809">
        <v>2539945</v>
      </c>
      <c r="H1809" t="s">
        <v>26048</v>
      </c>
      <c r="J1809" s="54" t="s">
        <v>6052</v>
      </c>
      <c r="K1809" s="54">
        <v>0</v>
      </c>
      <c r="L1809" s="22" t="s">
        <v>36807</v>
      </c>
      <c r="M1809" s="22" t="s">
        <v>36960</v>
      </c>
    </row>
    <row r="1810" spans="1:13" x14ac:dyDescent="0.75">
      <c r="A1810" t="s">
        <v>25944</v>
      </c>
      <c r="B1810" t="s">
        <v>9760</v>
      </c>
      <c r="C1810" t="s">
        <v>6081</v>
      </c>
      <c r="D1810" t="s">
        <v>9761</v>
      </c>
      <c r="E1810" t="s">
        <v>25945</v>
      </c>
      <c r="F1810">
        <v>16</v>
      </c>
      <c r="G1810">
        <v>2384363</v>
      </c>
      <c r="H1810" t="s">
        <v>25946</v>
      </c>
      <c r="J1810" s="54" t="s">
        <v>6052</v>
      </c>
      <c r="K1810" s="54">
        <v>0</v>
      </c>
      <c r="L1810" s="22" t="s">
        <v>36807</v>
      </c>
      <c r="M1810" s="22" t="s">
        <v>36943</v>
      </c>
    </row>
    <row r="1811" spans="1:13" x14ac:dyDescent="0.75">
      <c r="A1811" t="s">
        <v>26037</v>
      </c>
      <c r="B1811" t="s">
        <v>9760</v>
      </c>
      <c r="C1811" t="s">
        <v>6081</v>
      </c>
      <c r="D1811" t="s">
        <v>9761</v>
      </c>
      <c r="E1811" t="s">
        <v>26038</v>
      </c>
      <c r="F1811">
        <v>21</v>
      </c>
      <c r="G1811">
        <v>2343838</v>
      </c>
      <c r="H1811" t="s">
        <v>26039</v>
      </c>
      <c r="J1811" s="54" t="s">
        <v>6052</v>
      </c>
      <c r="K1811" s="54">
        <v>0</v>
      </c>
      <c r="L1811" s="22" t="s">
        <v>36807</v>
      </c>
      <c r="M1811" s="22" t="s">
        <v>36943</v>
      </c>
    </row>
    <row r="1812" spans="1:13" x14ac:dyDescent="0.75">
      <c r="A1812" t="s">
        <v>26007</v>
      </c>
      <c r="B1812" t="s">
        <v>9357</v>
      </c>
      <c r="C1812" t="s">
        <v>6081</v>
      </c>
      <c r="D1812" t="s">
        <v>9358</v>
      </c>
      <c r="E1812" t="s">
        <v>26008</v>
      </c>
      <c r="F1812">
        <v>33</v>
      </c>
      <c r="G1812">
        <v>2429658</v>
      </c>
      <c r="H1812" t="s">
        <v>26009</v>
      </c>
      <c r="J1812" s="54" t="s">
        <v>6052</v>
      </c>
      <c r="K1812" s="54">
        <v>0</v>
      </c>
      <c r="L1812" s="22" t="s">
        <v>36807</v>
      </c>
      <c r="M1812" s="22" t="s">
        <v>36947</v>
      </c>
    </row>
    <row r="1813" spans="1:13" x14ac:dyDescent="0.75">
      <c r="A1813" t="s">
        <v>26004</v>
      </c>
      <c r="B1813" t="s">
        <v>6628</v>
      </c>
      <c r="C1813" t="s">
        <v>6081</v>
      </c>
      <c r="D1813" t="s">
        <v>6629</v>
      </c>
      <c r="E1813" t="s">
        <v>26005</v>
      </c>
      <c r="F1813">
        <v>30</v>
      </c>
      <c r="G1813">
        <v>2482201</v>
      </c>
      <c r="H1813" t="s">
        <v>26006</v>
      </c>
      <c r="J1813" s="54" t="s">
        <v>6052</v>
      </c>
      <c r="K1813" s="54">
        <v>0</v>
      </c>
      <c r="L1813" s="22" t="s">
        <v>36807</v>
      </c>
      <c r="M1813" s="22" t="s">
        <v>36960</v>
      </c>
    </row>
    <row r="1814" spans="1:13" x14ac:dyDescent="0.75">
      <c r="A1814" t="s">
        <v>26028</v>
      </c>
      <c r="B1814" t="s">
        <v>9970</v>
      </c>
      <c r="C1814" t="s">
        <v>6081</v>
      </c>
      <c r="D1814" t="s">
        <v>9971</v>
      </c>
      <c r="E1814" t="s">
        <v>26029</v>
      </c>
      <c r="F1814">
        <v>26</v>
      </c>
      <c r="G1814">
        <v>2445630</v>
      </c>
      <c r="H1814" t="s">
        <v>26030</v>
      </c>
      <c r="J1814" s="54" t="s">
        <v>6052</v>
      </c>
      <c r="K1814" s="54">
        <v>0</v>
      </c>
      <c r="L1814" s="22" t="s">
        <v>36807</v>
      </c>
      <c r="M1814" s="22" t="s">
        <v>36945</v>
      </c>
    </row>
    <row r="1815" spans="1:13" x14ac:dyDescent="0.75">
      <c r="A1815" t="s">
        <v>26130</v>
      </c>
      <c r="B1815" t="s">
        <v>9760</v>
      </c>
      <c r="C1815" t="s">
        <v>6081</v>
      </c>
      <c r="D1815" t="s">
        <v>9761</v>
      </c>
      <c r="E1815" t="s">
        <v>26131</v>
      </c>
      <c r="F1815">
        <v>18</v>
      </c>
      <c r="G1815">
        <v>2364133</v>
      </c>
      <c r="H1815" t="s">
        <v>26132</v>
      </c>
      <c r="J1815" s="54" t="s">
        <v>6052</v>
      </c>
      <c r="K1815" s="54">
        <v>0</v>
      </c>
      <c r="L1815" s="22" t="s">
        <v>36807</v>
      </c>
      <c r="M1815" s="22" t="s">
        <v>36943</v>
      </c>
    </row>
    <row r="1816" spans="1:13" x14ac:dyDescent="0.75">
      <c r="A1816" t="s">
        <v>26142</v>
      </c>
      <c r="B1816" t="s">
        <v>9760</v>
      </c>
      <c r="C1816" t="s">
        <v>6081</v>
      </c>
      <c r="D1816" t="s">
        <v>9761</v>
      </c>
      <c r="E1816" t="s">
        <v>26143</v>
      </c>
      <c r="F1816">
        <v>34</v>
      </c>
      <c r="G1816">
        <v>2360727</v>
      </c>
      <c r="H1816" t="s">
        <v>26144</v>
      </c>
      <c r="J1816" s="54" t="s">
        <v>6052</v>
      </c>
      <c r="K1816" s="54">
        <v>0</v>
      </c>
      <c r="L1816" s="22" t="s">
        <v>36807</v>
      </c>
      <c r="M1816" s="22" t="s">
        <v>36943</v>
      </c>
    </row>
    <row r="1817" spans="1:13" x14ac:dyDescent="0.75">
      <c r="A1817" t="s">
        <v>26031</v>
      </c>
      <c r="B1817" t="s">
        <v>9760</v>
      </c>
      <c r="C1817" t="s">
        <v>6081</v>
      </c>
      <c r="D1817" t="s">
        <v>9761</v>
      </c>
      <c r="E1817" t="s">
        <v>26032</v>
      </c>
      <c r="F1817">
        <v>35</v>
      </c>
      <c r="G1817">
        <v>2348004</v>
      </c>
      <c r="H1817" t="s">
        <v>26033</v>
      </c>
      <c r="J1817" s="54" t="s">
        <v>6052</v>
      </c>
      <c r="K1817" s="54">
        <v>0</v>
      </c>
      <c r="L1817" s="22" t="s">
        <v>36807</v>
      </c>
      <c r="M1817" s="22" t="s">
        <v>36943</v>
      </c>
    </row>
    <row r="1818" spans="1:13" x14ac:dyDescent="0.75">
      <c r="A1818" t="s">
        <v>26019</v>
      </c>
      <c r="B1818" t="s">
        <v>9760</v>
      </c>
      <c r="C1818" t="s">
        <v>6081</v>
      </c>
      <c r="D1818" t="s">
        <v>9761</v>
      </c>
      <c r="E1818" t="s">
        <v>26020</v>
      </c>
      <c r="F1818">
        <v>33</v>
      </c>
      <c r="G1818">
        <v>2405178</v>
      </c>
      <c r="H1818" t="s">
        <v>26021</v>
      </c>
      <c r="J1818" s="54" t="s">
        <v>6052</v>
      </c>
      <c r="K1818" s="54">
        <v>0</v>
      </c>
      <c r="L1818" s="22" t="s">
        <v>36807</v>
      </c>
      <c r="M1818" s="22" t="s">
        <v>36943</v>
      </c>
    </row>
    <row r="1819" spans="1:13" x14ac:dyDescent="0.75">
      <c r="A1819" t="s">
        <v>26040</v>
      </c>
      <c r="B1819" t="s">
        <v>9760</v>
      </c>
      <c r="C1819" t="s">
        <v>6081</v>
      </c>
      <c r="D1819" t="s">
        <v>9761</v>
      </c>
      <c r="E1819" t="s">
        <v>26041</v>
      </c>
      <c r="F1819">
        <v>21</v>
      </c>
      <c r="G1819">
        <v>2390091</v>
      </c>
      <c r="H1819" t="s">
        <v>26042</v>
      </c>
      <c r="J1819" s="54" t="s">
        <v>6052</v>
      </c>
      <c r="K1819" s="54">
        <v>0</v>
      </c>
      <c r="L1819" s="22" t="s">
        <v>36807</v>
      </c>
      <c r="M1819" s="22" t="s">
        <v>36943</v>
      </c>
    </row>
    <row r="1820" spans="1:13" x14ac:dyDescent="0.75">
      <c r="A1820" t="s">
        <v>26058</v>
      </c>
      <c r="B1820" t="s">
        <v>9970</v>
      </c>
      <c r="C1820" t="s">
        <v>6081</v>
      </c>
      <c r="D1820" t="s">
        <v>9971</v>
      </c>
      <c r="E1820" t="s">
        <v>26059</v>
      </c>
      <c r="F1820">
        <v>32</v>
      </c>
      <c r="G1820">
        <v>2426866</v>
      </c>
      <c r="H1820" t="s">
        <v>26060</v>
      </c>
      <c r="J1820" s="54" t="s">
        <v>6052</v>
      </c>
      <c r="K1820" s="54">
        <v>0</v>
      </c>
      <c r="L1820" s="22" t="s">
        <v>36807</v>
      </c>
      <c r="M1820" s="22" t="s">
        <v>36945</v>
      </c>
    </row>
    <row r="1821" spans="1:13" x14ac:dyDescent="0.75">
      <c r="A1821" t="s">
        <v>26034</v>
      </c>
      <c r="B1821" t="s">
        <v>9760</v>
      </c>
      <c r="C1821" t="s">
        <v>6081</v>
      </c>
      <c r="D1821" t="s">
        <v>9761</v>
      </c>
      <c r="E1821" t="s">
        <v>26035</v>
      </c>
      <c r="F1821">
        <v>18</v>
      </c>
      <c r="G1821">
        <v>2447609</v>
      </c>
      <c r="H1821" t="s">
        <v>26036</v>
      </c>
      <c r="J1821" s="54" t="s">
        <v>6052</v>
      </c>
      <c r="K1821" s="54">
        <v>0</v>
      </c>
      <c r="L1821" s="22" t="s">
        <v>36807</v>
      </c>
      <c r="M1821" s="22" t="s">
        <v>36943</v>
      </c>
    </row>
    <row r="1822" spans="1:13" x14ac:dyDescent="0.75">
      <c r="A1822" t="s">
        <v>25986</v>
      </c>
      <c r="B1822" t="s">
        <v>9970</v>
      </c>
      <c r="C1822" t="s">
        <v>6081</v>
      </c>
      <c r="D1822" t="s">
        <v>9971</v>
      </c>
      <c r="E1822" t="s">
        <v>25987</v>
      </c>
      <c r="F1822">
        <v>19</v>
      </c>
      <c r="G1822">
        <v>2438596</v>
      </c>
      <c r="H1822" t="s">
        <v>25988</v>
      </c>
      <c r="J1822" s="54" t="s">
        <v>6052</v>
      </c>
      <c r="K1822" s="54">
        <v>0</v>
      </c>
      <c r="L1822" s="22" t="s">
        <v>36807</v>
      </c>
      <c r="M1822" s="22" t="s">
        <v>36945</v>
      </c>
    </row>
    <row r="1823" spans="1:13" x14ac:dyDescent="0.75">
      <c r="A1823" t="s">
        <v>26067</v>
      </c>
      <c r="B1823" t="s">
        <v>9760</v>
      </c>
      <c r="C1823" t="s">
        <v>6081</v>
      </c>
      <c r="D1823" t="s">
        <v>9761</v>
      </c>
      <c r="E1823" t="s">
        <v>26068</v>
      </c>
      <c r="F1823">
        <v>22</v>
      </c>
      <c r="G1823">
        <v>2373608</v>
      </c>
      <c r="H1823" t="s">
        <v>26069</v>
      </c>
      <c r="J1823" s="54" t="s">
        <v>6052</v>
      </c>
      <c r="K1823" s="54">
        <v>0</v>
      </c>
      <c r="L1823" s="22" t="s">
        <v>36807</v>
      </c>
      <c r="M1823" s="22" t="s">
        <v>36943</v>
      </c>
    </row>
    <row r="1824" spans="1:13" x14ac:dyDescent="0.75">
      <c r="A1824" t="s">
        <v>26061</v>
      </c>
      <c r="B1824" t="s">
        <v>9760</v>
      </c>
      <c r="C1824" t="s">
        <v>6081</v>
      </c>
      <c r="D1824" t="s">
        <v>9761</v>
      </c>
      <c r="E1824" t="s">
        <v>26062</v>
      </c>
      <c r="F1824">
        <v>16</v>
      </c>
      <c r="G1824">
        <v>2308373</v>
      </c>
      <c r="H1824" t="s">
        <v>26063</v>
      </c>
      <c r="J1824" s="54" t="s">
        <v>6052</v>
      </c>
      <c r="K1824" s="54">
        <v>0</v>
      </c>
      <c r="L1824" s="22" t="s">
        <v>36807</v>
      </c>
      <c r="M1824" s="22" t="s">
        <v>36943</v>
      </c>
    </row>
    <row r="1825" spans="1:13" x14ac:dyDescent="0.75">
      <c r="A1825" t="s">
        <v>26013</v>
      </c>
      <c r="B1825" t="s">
        <v>9760</v>
      </c>
      <c r="C1825" t="s">
        <v>6081</v>
      </c>
      <c r="D1825" t="s">
        <v>9761</v>
      </c>
      <c r="E1825" t="s">
        <v>26014</v>
      </c>
      <c r="F1825">
        <v>16</v>
      </c>
      <c r="G1825">
        <v>2343960</v>
      </c>
      <c r="H1825" t="s">
        <v>26015</v>
      </c>
      <c r="J1825" s="54" t="s">
        <v>6052</v>
      </c>
      <c r="K1825" s="54">
        <v>0</v>
      </c>
      <c r="L1825" s="22" t="s">
        <v>36807</v>
      </c>
      <c r="M1825" s="22" t="s">
        <v>36943</v>
      </c>
    </row>
    <row r="1826" spans="1:13" x14ac:dyDescent="0.75">
      <c r="A1826" t="s">
        <v>26016</v>
      </c>
      <c r="B1826" t="s">
        <v>9760</v>
      </c>
      <c r="C1826" t="s">
        <v>6081</v>
      </c>
      <c r="D1826" t="s">
        <v>9761</v>
      </c>
      <c r="E1826" t="s">
        <v>26017</v>
      </c>
      <c r="F1826">
        <v>29</v>
      </c>
      <c r="G1826">
        <v>2346921</v>
      </c>
      <c r="H1826" t="s">
        <v>26018</v>
      </c>
      <c r="J1826" s="54" t="s">
        <v>6052</v>
      </c>
      <c r="K1826" s="54">
        <v>0</v>
      </c>
      <c r="L1826" s="22" t="s">
        <v>36807</v>
      </c>
      <c r="M1826" s="22" t="s">
        <v>36943</v>
      </c>
    </row>
    <row r="1827" spans="1:13" x14ac:dyDescent="0.75">
      <c r="A1827" t="s">
        <v>26022</v>
      </c>
      <c r="B1827" t="s">
        <v>6628</v>
      </c>
      <c r="C1827" t="s">
        <v>6081</v>
      </c>
      <c r="D1827" t="s">
        <v>6629</v>
      </c>
      <c r="E1827" t="s">
        <v>26023</v>
      </c>
      <c r="F1827">
        <v>27</v>
      </c>
      <c r="G1827">
        <v>2509738</v>
      </c>
      <c r="H1827" t="s">
        <v>26024</v>
      </c>
      <c r="J1827" s="54" t="s">
        <v>6052</v>
      </c>
      <c r="K1827" s="54">
        <v>0</v>
      </c>
      <c r="L1827" s="22" t="s">
        <v>36807</v>
      </c>
      <c r="M1827" s="22" t="s">
        <v>36960</v>
      </c>
    </row>
    <row r="1828" spans="1:13" x14ac:dyDescent="0.75">
      <c r="A1828" t="s">
        <v>26064</v>
      </c>
      <c r="B1828" t="s">
        <v>6628</v>
      </c>
      <c r="C1828" t="s">
        <v>6081</v>
      </c>
      <c r="D1828" t="s">
        <v>6629</v>
      </c>
      <c r="E1828" t="s">
        <v>26065</v>
      </c>
      <c r="F1828">
        <v>41</v>
      </c>
      <c r="G1828">
        <v>2479472</v>
      </c>
      <c r="H1828" t="s">
        <v>26066</v>
      </c>
      <c r="J1828" s="54" t="s">
        <v>6052</v>
      </c>
      <c r="K1828" s="54">
        <v>0</v>
      </c>
      <c r="L1828" s="22" t="s">
        <v>36807</v>
      </c>
      <c r="M1828" s="22" t="s">
        <v>36960</v>
      </c>
    </row>
    <row r="1829" spans="1:13" x14ac:dyDescent="0.75">
      <c r="A1829" t="s">
        <v>25977</v>
      </c>
      <c r="B1829" t="s">
        <v>9760</v>
      </c>
      <c r="C1829" t="s">
        <v>6081</v>
      </c>
      <c r="D1829" t="s">
        <v>9761</v>
      </c>
      <c r="E1829" t="s">
        <v>25978</v>
      </c>
      <c r="F1829">
        <v>27</v>
      </c>
      <c r="G1829">
        <v>2334058</v>
      </c>
      <c r="H1829" t="s">
        <v>25979</v>
      </c>
      <c r="J1829" s="54" t="s">
        <v>6052</v>
      </c>
      <c r="K1829" s="54">
        <v>0</v>
      </c>
      <c r="L1829" s="22" t="s">
        <v>36807</v>
      </c>
      <c r="M1829" s="22" t="s">
        <v>36943</v>
      </c>
    </row>
    <row r="1830" spans="1:13" x14ac:dyDescent="0.75">
      <c r="A1830" t="s">
        <v>26070</v>
      </c>
      <c r="B1830" t="s">
        <v>9357</v>
      </c>
      <c r="C1830" t="s">
        <v>6081</v>
      </c>
      <c r="D1830" t="s">
        <v>9358</v>
      </c>
      <c r="E1830" t="s">
        <v>26071</v>
      </c>
      <c r="F1830">
        <v>25</v>
      </c>
      <c r="G1830">
        <v>2444083</v>
      </c>
      <c r="H1830" t="s">
        <v>26072</v>
      </c>
      <c r="J1830" s="54" t="s">
        <v>6052</v>
      </c>
      <c r="K1830" s="54">
        <v>0</v>
      </c>
      <c r="L1830" s="22" t="s">
        <v>36807</v>
      </c>
      <c r="M1830" s="22" t="s">
        <v>36947</v>
      </c>
    </row>
    <row r="1831" spans="1:13" x14ac:dyDescent="0.75">
      <c r="A1831" t="s">
        <v>26010</v>
      </c>
      <c r="B1831" t="s">
        <v>9760</v>
      </c>
      <c r="C1831" t="s">
        <v>6081</v>
      </c>
      <c r="D1831" t="s">
        <v>9761</v>
      </c>
      <c r="E1831" t="s">
        <v>26011</v>
      </c>
      <c r="F1831">
        <v>25</v>
      </c>
      <c r="G1831">
        <v>2425046</v>
      </c>
      <c r="H1831" t="s">
        <v>26012</v>
      </c>
      <c r="J1831" s="54" t="s">
        <v>6052</v>
      </c>
      <c r="K1831" s="54">
        <v>0</v>
      </c>
      <c r="L1831" s="22" t="s">
        <v>36807</v>
      </c>
      <c r="M1831" s="22" t="s">
        <v>36943</v>
      </c>
    </row>
    <row r="1832" spans="1:13" x14ac:dyDescent="0.75">
      <c r="A1832" t="s">
        <v>26001</v>
      </c>
      <c r="B1832" t="s">
        <v>9760</v>
      </c>
      <c r="C1832" t="s">
        <v>6081</v>
      </c>
      <c r="D1832" t="s">
        <v>9761</v>
      </c>
      <c r="E1832" t="s">
        <v>26002</v>
      </c>
      <c r="F1832">
        <v>31</v>
      </c>
      <c r="G1832">
        <v>2297976</v>
      </c>
      <c r="H1832" t="s">
        <v>26003</v>
      </c>
      <c r="J1832" s="54" t="s">
        <v>6052</v>
      </c>
      <c r="K1832" s="54">
        <v>0</v>
      </c>
      <c r="L1832" s="22" t="s">
        <v>36807</v>
      </c>
      <c r="M1832" s="22" t="s">
        <v>36943</v>
      </c>
    </row>
    <row r="1833" spans="1:13" x14ac:dyDescent="0.75">
      <c r="A1833" t="s">
        <v>26088</v>
      </c>
      <c r="B1833" t="s">
        <v>9760</v>
      </c>
      <c r="C1833" t="s">
        <v>6081</v>
      </c>
      <c r="D1833" t="s">
        <v>9761</v>
      </c>
      <c r="E1833" t="s">
        <v>26089</v>
      </c>
      <c r="F1833">
        <v>13</v>
      </c>
      <c r="G1833">
        <v>2307781</v>
      </c>
      <c r="H1833" t="s">
        <v>26090</v>
      </c>
      <c r="J1833" s="54" t="s">
        <v>6052</v>
      </c>
      <c r="K1833" s="54">
        <v>0</v>
      </c>
      <c r="L1833" s="22" t="s">
        <v>36807</v>
      </c>
      <c r="M1833" s="22" t="s">
        <v>36943</v>
      </c>
    </row>
    <row r="1834" spans="1:13" x14ac:dyDescent="0.75">
      <c r="A1834" t="s">
        <v>26127</v>
      </c>
      <c r="B1834" t="s">
        <v>9760</v>
      </c>
      <c r="C1834" t="s">
        <v>6081</v>
      </c>
      <c r="D1834" t="s">
        <v>9761</v>
      </c>
      <c r="E1834" t="s">
        <v>26128</v>
      </c>
      <c r="F1834">
        <v>24</v>
      </c>
      <c r="G1834">
        <v>2344324</v>
      </c>
      <c r="H1834" t="s">
        <v>26129</v>
      </c>
      <c r="J1834" s="54" t="s">
        <v>6052</v>
      </c>
      <c r="K1834" s="54">
        <v>0</v>
      </c>
      <c r="L1834" s="22" t="s">
        <v>36807</v>
      </c>
      <c r="M1834" s="22" t="s">
        <v>36943</v>
      </c>
    </row>
    <row r="1835" spans="1:13" x14ac:dyDescent="0.75">
      <c r="A1835" t="s">
        <v>30071</v>
      </c>
      <c r="B1835" t="s">
        <v>6628</v>
      </c>
      <c r="C1835" t="s">
        <v>6081</v>
      </c>
      <c r="D1835" t="s">
        <v>6629</v>
      </c>
      <c r="E1835" t="s">
        <v>30072</v>
      </c>
      <c r="F1835">
        <v>163</v>
      </c>
      <c r="G1835">
        <v>2234268</v>
      </c>
      <c r="H1835" t="s">
        <v>30073</v>
      </c>
      <c r="J1835" s="54" t="s">
        <v>6052</v>
      </c>
      <c r="K1835" s="54">
        <v>0</v>
      </c>
      <c r="L1835" s="22" t="s">
        <v>36807</v>
      </c>
      <c r="M1835" s="22" t="s">
        <v>36960</v>
      </c>
    </row>
    <row r="1836" spans="1:13" x14ac:dyDescent="0.75">
      <c r="A1836" t="s">
        <v>11864</v>
      </c>
      <c r="B1836" t="s">
        <v>10705</v>
      </c>
      <c r="C1836" t="s">
        <v>6081</v>
      </c>
      <c r="D1836" t="s">
        <v>10706</v>
      </c>
      <c r="E1836" t="s">
        <v>11865</v>
      </c>
      <c r="F1836">
        <v>42</v>
      </c>
      <c r="G1836">
        <v>2663455</v>
      </c>
      <c r="H1836" t="s">
        <v>11866</v>
      </c>
      <c r="J1836" s="54" t="s">
        <v>6052</v>
      </c>
      <c r="K1836" s="54">
        <v>0</v>
      </c>
      <c r="L1836" s="22" t="s">
        <v>1563</v>
      </c>
      <c r="M1836" s="22" t="s">
        <v>36958</v>
      </c>
    </row>
    <row r="1837" spans="1:13" x14ac:dyDescent="0.75">
      <c r="A1837" t="s">
        <v>13860</v>
      </c>
      <c r="B1837" t="s">
        <v>13861</v>
      </c>
      <c r="C1837" t="s">
        <v>6081</v>
      </c>
      <c r="D1837" t="s">
        <v>13862</v>
      </c>
      <c r="E1837" t="s">
        <v>13863</v>
      </c>
      <c r="F1837">
        <v>76</v>
      </c>
      <c r="G1837">
        <v>2689254</v>
      </c>
      <c r="H1837" t="s">
        <v>13864</v>
      </c>
      <c r="J1837" s="54" t="s">
        <v>6052</v>
      </c>
      <c r="K1837" s="54">
        <v>0</v>
      </c>
      <c r="L1837" s="22" t="s">
        <v>1563</v>
      </c>
      <c r="M1837" s="22" t="s">
        <v>36957</v>
      </c>
    </row>
    <row r="1838" spans="1:13" x14ac:dyDescent="0.75">
      <c r="A1838" t="s">
        <v>12119</v>
      </c>
      <c r="B1838" t="s">
        <v>6774</v>
      </c>
      <c r="C1838" t="s">
        <v>6107</v>
      </c>
      <c r="D1838" t="s">
        <v>6775</v>
      </c>
      <c r="E1838" t="s">
        <v>12120</v>
      </c>
      <c r="F1838">
        <v>36</v>
      </c>
      <c r="G1838">
        <v>2231951</v>
      </c>
      <c r="H1838" t="s">
        <v>12121</v>
      </c>
      <c r="J1838" s="54" t="s">
        <v>6052</v>
      </c>
      <c r="K1838" s="54">
        <v>0</v>
      </c>
      <c r="L1838" s="22" t="s">
        <v>104</v>
      </c>
      <c r="M1838" s="22" t="s">
        <v>37010</v>
      </c>
    </row>
    <row r="1839" spans="1:13" x14ac:dyDescent="0.75">
      <c r="A1839" t="s">
        <v>12116</v>
      </c>
      <c r="B1839" t="s">
        <v>6774</v>
      </c>
      <c r="C1839" t="s">
        <v>6107</v>
      </c>
      <c r="D1839" t="s">
        <v>6775</v>
      </c>
      <c r="E1839" t="s">
        <v>12117</v>
      </c>
      <c r="F1839">
        <v>38</v>
      </c>
      <c r="G1839">
        <v>1981459</v>
      </c>
      <c r="H1839" t="s">
        <v>12118</v>
      </c>
      <c r="J1839" s="54" t="s">
        <v>6052</v>
      </c>
      <c r="K1839" s="54">
        <v>0</v>
      </c>
      <c r="L1839" s="22" t="s">
        <v>104</v>
      </c>
      <c r="M1839" s="22" t="s">
        <v>37010</v>
      </c>
    </row>
    <row r="1840" spans="1:13" x14ac:dyDescent="0.75">
      <c r="A1840" t="s">
        <v>27960</v>
      </c>
      <c r="B1840" t="s">
        <v>10705</v>
      </c>
      <c r="C1840" t="s">
        <v>6081</v>
      </c>
      <c r="D1840" t="s">
        <v>10706</v>
      </c>
      <c r="E1840" t="s">
        <v>27961</v>
      </c>
      <c r="F1840">
        <v>1</v>
      </c>
      <c r="G1840">
        <v>2696013</v>
      </c>
      <c r="H1840" t="s">
        <v>27962</v>
      </c>
      <c r="J1840" s="54" t="s">
        <v>6052</v>
      </c>
      <c r="K1840" s="54">
        <v>0</v>
      </c>
      <c r="L1840" s="22" t="s">
        <v>1563</v>
      </c>
      <c r="M1840" s="22" t="s">
        <v>36958</v>
      </c>
    </row>
    <row r="1841" spans="1:13" x14ac:dyDescent="0.75">
      <c r="A1841" t="s">
        <v>27765</v>
      </c>
      <c r="B1841" t="s">
        <v>10705</v>
      </c>
      <c r="C1841" t="s">
        <v>6081</v>
      </c>
      <c r="D1841" t="s">
        <v>10706</v>
      </c>
      <c r="E1841" t="s">
        <v>27766</v>
      </c>
      <c r="F1841">
        <v>1</v>
      </c>
      <c r="G1841">
        <v>2695970</v>
      </c>
      <c r="H1841" t="s">
        <v>27767</v>
      </c>
      <c r="J1841" s="54" t="s">
        <v>6052</v>
      </c>
      <c r="K1841" s="54">
        <v>0</v>
      </c>
      <c r="L1841" s="22" t="s">
        <v>1563</v>
      </c>
      <c r="M1841" s="22" t="s">
        <v>36958</v>
      </c>
    </row>
    <row r="1842" spans="1:13" x14ac:dyDescent="0.75">
      <c r="A1842" t="s">
        <v>27439</v>
      </c>
      <c r="B1842" t="s">
        <v>10705</v>
      </c>
      <c r="C1842" t="s">
        <v>6081</v>
      </c>
      <c r="D1842" t="s">
        <v>10706</v>
      </c>
      <c r="E1842" t="s">
        <v>27440</v>
      </c>
      <c r="F1842">
        <v>2</v>
      </c>
      <c r="G1842">
        <v>2736326</v>
      </c>
      <c r="H1842" t="s">
        <v>27441</v>
      </c>
      <c r="J1842" s="54" t="s">
        <v>6052</v>
      </c>
      <c r="K1842" s="54">
        <v>0</v>
      </c>
      <c r="L1842" s="22" t="s">
        <v>1563</v>
      </c>
      <c r="M1842" s="22" t="s">
        <v>36958</v>
      </c>
    </row>
    <row r="1843" spans="1:13" x14ac:dyDescent="0.75">
      <c r="A1843" t="s">
        <v>11714</v>
      </c>
      <c r="B1843" t="s">
        <v>8409</v>
      </c>
      <c r="C1843" t="s">
        <v>6081</v>
      </c>
      <c r="D1843" t="s">
        <v>8410</v>
      </c>
      <c r="E1843" t="s">
        <v>11715</v>
      </c>
      <c r="F1843">
        <v>1</v>
      </c>
      <c r="G1843">
        <v>2463666</v>
      </c>
      <c r="H1843" t="s">
        <v>11716</v>
      </c>
      <c r="J1843" s="54" t="s">
        <v>6052</v>
      </c>
      <c r="K1843" s="54">
        <v>0</v>
      </c>
      <c r="L1843" s="22" t="s">
        <v>36804</v>
      </c>
      <c r="M1843" s="22" t="s">
        <v>36946</v>
      </c>
    </row>
    <row r="1844" spans="1:13" x14ac:dyDescent="0.75">
      <c r="A1844" t="s">
        <v>28656</v>
      </c>
      <c r="B1844" t="s">
        <v>8409</v>
      </c>
      <c r="C1844" t="s">
        <v>6081</v>
      </c>
      <c r="D1844" t="s">
        <v>8410</v>
      </c>
      <c r="E1844" t="s">
        <v>11715</v>
      </c>
      <c r="F1844">
        <v>1</v>
      </c>
      <c r="G1844">
        <v>2463666</v>
      </c>
      <c r="H1844" t="s">
        <v>28657</v>
      </c>
      <c r="J1844" s="54" t="s">
        <v>6052</v>
      </c>
      <c r="K1844" s="54">
        <v>0</v>
      </c>
      <c r="L1844" s="22" t="s">
        <v>36804</v>
      </c>
      <c r="M1844" s="22" t="s">
        <v>36946</v>
      </c>
    </row>
    <row r="1845" spans="1:13" x14ac:dyDescent="0.75">
      <c r="A1845" t="s">
        <v>27651</v>
      </c>
      <c r="B1845" t="s">
        <v>6080</v>
      </c>
      <c r="C1845" t="s">
        <v>6081</v>
      </c>
      <c r="D1845" t="s">
        <v>6082</v>
      </c>
      <c r="E1845" t="s">
        <v>27652</v>
      </c>
      <c r="F1845">
        <v>2</v>
      </c>
      <c r="G1845">
        <v>2526027</v>
      </c>
      <c r="H1845" t="s">
        <v>27653</v>
      </c>
      <c r="J1845" s="54" t="s">
        <v>6052</v>
      </c>
      <c r="K1845" s="54">
        <v>0</v>
      </c>
      <c r="L1845" s="22" t="s">
        <v>1563</v>
      </c>
      <c r="M1845" s="22" t="s">
        <v>36956</v>
      </c>
    </row>
    <row r="1846" spans="1:13" x14ac:dyDescent="0.75">
      <c r="A1846" t="s">
        <v>27762</v>
      </c>
      <c r="B1846" t="s">
        <v>6080</v>
      </c>
      <c r="C1846" t="s">
        <v>6081</v>
      </c>
      <c r="D1846" t="s">
        <v>6082</v>
      </c>
      <c r="E1846" t="s">
        <v>27763</v>
      </c>
      <c r="F1846">
        <v>1</v>
      </c>
      <c r="G1846">
        <v>2414649</v>
      </c>
      <c r="H1846" t="s">
        <v>27764</v>
      </c>
      <c r="J1846" s="54" t="s">
        <v>6052</v>
      </c>
      <c r="K1846" s="54">
        <v>0</v>
      </c>
      <c r="L1846" s="22" t="s">
        <v>1563</v>
      </c>
      <c r="M1846" s="22" t="s">
        <v>36956</v>
      </c>
    </row>
    <row r="1847" spans="1:13" x14ac:dyDescent="0.75">
      <c r="A1847" t="s">
        <v>27657</v>
      </c>
      <c r="B1847" t="s">
        <v>6080</v>
      </c>
      <c r="C1847" t="s">
        <v>6081</v>
      </c>
      <c r="D1847" t="s">
        <v>6082</v>
      </c>
      <c r="E1847" t="s">
        <v>27658</v>
      </c>
      <c r="F1847">
        <v>2</v>
      </c>
      <c r="G1847">
        <v>2500328</v>
      </c>
      <c r="H1847" t="s">
        <v>27659</v>
      </c>
      <c r="J1847" s="54" t="s">
        <v>6052</v>
      </c>
      <c r="K1847" s="54">
        <v>0</v>
      </c>
      <c r="L1847" s="22" t="s">
        <v>1563</v>
      </c>
      <c r="M1847" s="22" t="s">
        <v>36956</v>
      </c>
    </row>
    <row r="1848" spans="1:13" x14ac:dyDescent="0.75">
      <c r="A1848" t="s">
        <v>27313</v>
      </c>
      <c r="B1848" t="s">
        <v>6526</v>
      </c>
      <c r="C1848" t="s">
        <v>6081</v>
      </c>
      <c r="D1848" t="s">
        <v>6527</v>
      </c>
      <c r="E1848" t="s">
        <v>27314</v>
      </c>
      <c r="F1848">
        <v>1</v>
      </c>
      <c r="G1848">
        <v>2377532</v>
      </c>
      <c r="H1848" t="s">
        <v>27315</v>
      </c>
      <c r="J1848" s="54" t="s">
        <v>6052</v>
      </c>
      <c r="K1848" s="54">
        <v>0</v>
      </c>
      <c r="L1848" s="22" t="s">
        <v>1563</v>
      </c>
      <c r="M1848" s="22" t="s">
        <v>36970</v>
      </c>
    </row>
    <row r="1849" spans="1:13" x14ac:dyDescent="0.75">
      <c r="A1849" t="s">
        <v>27660</v>
      </c>
      <c r="B1849" t="s">
        <v>7112</v>
      </c>
      <c r="C1849" t="s">
        <v>6081</v>
      </c>
      <c r="D1849" t="s">
        <v>7113</v>
      </c>
      <c r="E1849" t="s">
        <v>27661</v>
      </c>
      <c r="F1849">
        <v>6</v>
      </c>
      <c r="G1849">
        <v>2638280</v>
      </c>
      <c r="H1849" t="s">
        <v>27662</v>
      </c>
      <c r="J1849" s="54" t="s">
        <v>6052</v>
      </c>
      <c r="K1849" s="54">
        <v>0</v>
      </c>
      <c r="L1849" s="22" t="s">
        <v>36807</v>
      </c>
      <c r="M1849" s="22" t="s">
        <v>36952</v>
      </c>
    </row>
    <row r="1850" spans="1:13" x14ac:dyDescent="0.75">
      <c r="A1850" t="s">
        <v>27451</v>
      </c>
      <c r="B1850" t="s">
        <v>6803</v>
      </c>
      <c r="C1850" t="s">
        <v>6081</v>
      </c>
      <c r="D1850" t="s">
        <v>6804</v>
      </c>
      <c r="E1850" t="s">
        <v>27452</v>
      </c>
      <c r="F1850">
        <v>3</v>
      </c>
      <c r="G1850">
        <v>2924414</v>
      </c>
      <c r="H1850" t="s">
        <v>27453</v>
      </c>
      <c r="J1850" s="54" t="s">
        <v>6052</v>
      </c>
      <c r="K1850" s="54">
        <v>0</v>
      </c>
      <c r="L1850" s="22" t="s">
        <v>1563</v>
      </c>
      <c r="M1850" s="22" t="s">
        <v>36940</v>
      </c>
    </row>
    <row r="1851" spans="1:13" x14ac:dyDescent="0.75">
      <c r="A1851" t="s">
        <v>27998</v>
      </c>
      <c r="B1851" t="s">
        <v>6628</v>
      </c>
      <c r="C1851" t="s">
        <v>6081</v>
      </c>
      <c r="D1851" t="s">
        <v>6629</v>
      </c>
      <c r="E1851" t="s">
        <v>27999</v>
      </c>
      <c r="F1851">
        <v>1</v>
      </c>
      <c r="G1851">
        <v>2373440</v>
      </c>
      <c r="H1851" t="s">
        <v>28000</v>
      </c>
      <c r="J1851" s="54" t="s">
        <v>6052</v>
      </c>
      <c r="K1851" s="54">
        <v>0</v>
      </c>
      <c r="L1851" s="22" t="s">
        <v>36807</v>
      </c>
      <c r="M1851" s="22" t="s">
        <v>36960</v>
      </c>
    </row>
    <row r="1852" spans="1:13" x14ac:dyDescent="0.75">
      <c r="A1852" t="s">
        <v>27445</v>
      </c>
      <c r="B1852" t="s">
        <v>6803</v>
      </c>
      <c r="C1852" t="s">
        <v>6081</v>
      </c>
      <c r="D1852" t="s">
        <v>6804</v>
      </c>
      <c r="E1852" t="s">
        <v>27446</v>
      </c>
      <c r="F1852">
        <v>2</v>
      </c>
      <c r="G1852">
        <v>2784006</v>
      </c>
      <c r="H1852" t="s">
        <v>27447</v>
      </c>
      <c r="J1852" s="54" t="s">
        <v>6052</v>
      </c>
      <c r="K1852" s="54">
        <v>0</v>
      </c>
      <c r="L1852" s="22" t="s">
        <v>1563</v>
      </c>
      <c r="M1852" s="22" t="s">
        <v>36940</v>
      </c>
    </row>
    <row r="1853" spans="1:13" x14ac:dyDescent="0.75">
      <c r="A1853" t="s">
        <v>15981</v>
      </c>
      <c r="B1853" t="s">
        <v>15977</v>
      </c>
      <c r="C1853" t="s">
        <v>6081</v>
      </c>
      <c r="D1853" t="s">
        <v>15978</v>
      </c>
      <c r="E1853" t="s">
        <v>15982</v>
      </c>
      <c r="F1853">
        <v>40</v>
      </c>
      <c r="G1853">
        <v>2349818</v>
      </c>
      <c r="H1853" t="s">
        <v>15983</v>
      </c>
      <c r="J1853" s="54" t="s">
        <v>6052</v>
      </c>
      <c r="K1853" s="54">
        <v>0</v>
      </c>
      <c r="L1853" s="22" t="s">
        <v>36807</v>
      </c>
      <c r="M1853" s="22" t="s">
        <v>36944</v>
      </c>
    </row>
    <row r="1854" spans="1:13" x14ac:dyDescent="0.75">
      <c r="A1854" t="s">
        <v>13886</v>
      </c>
      <c r="B1854" t="s">
        <v>13861</v>
      </c>
      <c r="C1854" t="s">
        <v>6081</v>
      </c>
      <c r="D1854" t="s">
        <v>13862</v>
      </c>
      <c r="E1854" t="s">
        <v>13887</v>
      </c>
      <c r="F1854">
        <v>20</v>
      </c>
      <c r="G1854">
        <v>2597765</v>
      </c>
      <c r="H1854" t="s">
        <v>13888</v>
      </c>
      <c r="J1854" s="54" t="s">
        <v>6052</v>
      </c>
      <c r="K1854" s="54">
        <v>0</v>
      </c>
      <c r="L1854" s="22" t="s">
        <v>1563</v>
      </c>
      <c r="M1854" s="22" t="s">
        <v>36957</v>
      </c>
    </row>
    <row r="1855" spans="1:13" x14ac:dyDescent="0.75">
      <c r="A1855" t="s">
        <v>13877</v>
      </c>
      <c r="B1855" t="s">
        <v>13861</v>
      </c>
      <c r="C1855" t="s">
        <v>6081</v>
      </c>
      <c r="D1855" t="s">
        <v>13862</v>
      </c>
      <c r="E1855" t="s">
        <v>13878</v>
      </c>
      <c r="F1855">
        <v>22</v>
      </c>
      <c r="G1855">
        <v>2527537</v>
      </c>
      <c r="H1855" t="s">
        <v>13879</v>
      </c>
      <c r="J1855" s="54" t="s">
        <v>6052</v>
      </c>
      <c r="K1855" s="54">
        <v>0</v>
      </c>
      <c r="L1855" s="22" t="s">
        <v>1563</v>
      </c>
      <c r="M1855" s="22" t="s">
        <v>36957</v>
      </c>
    </row>
    <row r="1856" spans="1:13" x14ac:dyDescent="0.75">
      <c r="A1856" t="s">
        <v>13889</v>
      </c>
      <c r="B1856" t="s">
        <v>13861</v>
      </c>
      <c r="C1856" t="s">
        <v>6081</v>
      </c>
      <c r="D1856" t="s">
        <v>13862</v>
      </c>
      <c r="E1856" t="s">
        <v>13890</v>
      </c>
      <c r="F1856">
        <v>23</v>
      </c>
      <c r="G1856">
        <v>2516585</v>
      </c>
      <c r="H1856" t="s">
        <v>13891</v>
      </c>
      <c r="J1856" s="54" t="s">
        <v>6052</v>
      </c>
      <c r="K1856" s="54">
        <v>0</v>
      </c>
      <c r="L1856" s="22" t="s">
        <v>1563</v>
      </c>
      <c r="M1856" s="22" t="s">
        <v>36957</v>
      </c>
    </row>
    <row r="1857" spans="1:13" x14ac:dyDescent="0.75">
      <c r="A1857" t="s">
        <v>17125</v>
      </c>
      <c r="B1857" t="s">
        <v>13861</v>
      </c>
      <c r="C1857" t="s">
        <v>6081</v>
      </c>
      <c r="D1857" t="s">
        <v>13862</v>
      </c>
      <c r="E1857" t="s">
        <v>17126</v>
      </c>
      <c r="F1857">
        <v>30</v>
      </c>
      <c r="G1857">
        <v>2584921</v>
      </c>
      <c r="H1857" t="s">
        <v>17127</v>
      </c>
      <c r="J1857" s="54" t="s">
        <v>6052</v>
      </c>
      <c r="K1857" s="54">
        <v>0</v>
      </c>
      <c r="L1857" s="22" t="s">
        <v>1563</v>
      </c>
      <c r="M1857" s="22" t="s">
        <v>36957</v>
      </c>
    </row>
    <row r="1858" spans="1:13" x14ac:dyDescent="0.75">
      <c r="A1858" t="s">
        <v>13880</v>
      </c>
      <c r="B1858" t="s">
        <v>13861</v>
      </c>
      <c r="C1858" t="s">
        <v>6081</v>
      </c>
      <c r="D1858" t="s">
        <v>13862</v>
      </c>
      <c r="E1858" t="s">
        <v>13881</v>
      </c>
      <c r="F1858">
        <v>33</v>
      </c>
      <c r="G1858">
        <v>2543156</v>
      </c>
      <c r="H1858" t="s">
        <v>13882</v>
      </c>
      <c r="J1858" s="54" t="s">
        <v>6052</v>
      </c>
      <c r="K1858" s="54">
        <v>0</v>
      </c>
      <c r="L1858" s="22" t="s">
        <v>1563</v>
      </c>
      <c r="M1858" s="22" t="s">
        <v>36957</v>
      </c>
    </row>
    <row r="1859" spans="1:13" x14ac:dyDescent="0.75">
      <c r="A1859" t="s">
        <v>13874</v>
      </c>
      <c r="B1859" t="s">
        <v>13861</v>
      </c>
      <c r="C1859" t="s">
        <v>6081</v>
      </c>
      <c r="D1859" t="s">
        <v>13862</v>
      </c>
      <c r="E1859" t="s">
        <v>13875</v>
      </c>
      <c r="F1859">
        <v>20</v>
      </c>
      <c r="G1859">
        <v>2571247</v>
      </c>
      <c r="H1859" t="s">
        <v>13876</v>
      </c>
      <c r="J1859" s="54" t="s">
        <v>6052</v>
      </c>
      <c r="K1859" s="54">
        <v>0</v>
      </c>
      <c r="L1859" s="22" t="s">
        <v>1563</v>
      </c>
      <c r="M1859" s="22" t="s">
        <v>36957</v>
      </c>
    </row>
    <row r="1860" spans="1:13" x14ac:dyDescent="0.75">
      <c r="A1860" t="s">
        <v>13883</v>
      </c>
      <c r="B1860" t="s">
        <v>13861</v>
      </c>
      <c r="C1860" t="s">
        <v>6081</v>
      </c>
      <c r="D1860" t="s">
        <v>13862</v>
      </c>
      <c r="E1860" t="s">
        <v>13884</v>
      </c>
      <c r="F1860">
        <v>19</v>
      </c>
      <c r="G1860">
        <v>2483065</v>
      </c>
      <c r="H1860" t="s">
        <v>13885</v>
      </c>
      <c r="J1860" s="54" t="s">
        <v>6052</v>
      </c>
      <c r="K1860" s="54">
        <v>0</v>
      </c>
      <c r="L1860" s="22" t="s">
        <v>1563</v>
      </c>
      <c r="M1860" s="22" t="s">
        <v>36957</v>
      </c>
    </row>
    <row r="1861" spans="1:13" x14ac:dyDescent="0.75">
      <c r="A1861" t="s">
        <v>18126</v>
      </c>
      <c r="B1861" t="s">
        <v>6803</v>
      </c>
      <c r="C1861" t="s">
        <v>6081</v>
      </c>
      <c r="D1861" t="s">
        <v>6804</v>
      </c>
      <c r="E1861" t="s">
        <v>18127</v>
      </c>
      <c r="F1861">
        <v>78</v>
      </c>
      <c r="G1861">
        <v>2937252</v>
      </c>
      <c r="H1861" t="s">
        <v>18128</v>
      </c>
      <c r="J1861" s="54" t="s">
        <v>6052</v>
      </c>
      <c r="K1861" s="54">
        <v>0</v>
      </c>
      <c r="L1861" s="22" t="s">
        <v>1563</v>
      </c>
      <c r="M1861" s="22" t="s">
        <v>36940</v>
      </c>
    </row>
    <row r="1862" spans="1:13" x14ac:dyDescent="0.75">
      <c r="A1862" t="s">
        <v>18132</v>
      </c>
      <c r="B1862" t="s">
        <v>6803</v>
      </c>
      <c r="C1862" t="s">
        <v>6081</v>
      </c>
      <c r="D1862" t="s">
        <v>6804</v>
      </c>
      <c r="E1862" t="s">
        <v>18133</v>
      </c>
      <c r="F1862">
        <v>70</v>
      </c>
      <c r="G1862">
        <v>2788964</v>
      </c>
      <c r="H1862" t="s">
        <v>18134</v>
      </c>
      <c r="J1862" s="54" t="s">
        <v>6052</v>
      </c>
      <c r="K1862" s="54">
        <v>0</v>
      </c>
      <c r="L1862" s="22" t="s">
        <v>1563</v>
      </c>
      <c r="M1862" s="22" t="s">
        <v>36940</v>
      </c>
    </row>
    <row r="1863" spans="1:13" x14ac:dyDescent="0.75">
      <c r="A1863" t="s">
        <v>26306</v>
      </c>
      <c r="B1863" t="s">
        <v>10569</v>
      </c>
      <c r="C1863" t="s">
        <v>6081</v>
      </c>
      <c r="D1863" t="s">
        <v>10570</v>
      </c>
      <c r="E1863" t="s">
        <v>26307</v>
      </c>
      <c r="F1863">
        <v>29</v>
      </c>
      <c r="G1863">
        <v>2114939</v>
      </c>
      <c r="H1863" t="s">
        <v>26308</v>
      </c>
      <c r="J1863" s="54" t="s">
        <v>6052</v>
      </c>
      <c r="K1863" s="54">
        <v>0</v>
      </c>
      <c r="L1863" s="22" t="s">
        <v>1563</v>
      </c>
      <c r="M1863" s="22" t="s">
        <v>36962</v>
      </c>
    </row>
    <row r="1864" spans="1:13" x14ac:dyDescent="0.75">
      <c r="A1864" t="s">
        <v>23956</v>
      </c>
      <c r="B1864" t="s">
        <v>6628</v>
      </c>
      <c r="C1864" t="s">
        <v>6081</v>
      </c>
      <c r="D1864" t="s">
        <v>6629</v>
      </c>
      <c r="E1864" t="s">
        <v>23957</v>
      </c>
      <c r="F1864">
        <v>36</v>
      </c>
      <c r="G1864">
        <v>2510621</v>
      </c>
      <c r="H1864" t="s">
        <v>23958</v>
      </c>
      <c r="J1864" s="54" t="s">
        <v>6052</v>
      </c>
      <c r="K1864" s="54">
        <v>0</v>
      </c>
      <c r="L1864" s="22" t="s">
        <v>36807</v>
      </c>
      <c r="M1864" s="22" t="s">
        <v>36960</v>
      </c>
    </row>
    <row r="1865" spans="1:13" x14ac:dyDescent="0.75">
      <c r="A1865" t="s">
        <v>23953</v>
      </c>
      <c r="B1865" t="s">
        <v>10569</v>
      </c>
      <c r="C1865" t="s">
        <v>6081</v>
      </c>
      <c r="D1865" t="s">
        <v>10570</v>
      </c>
      <c r="E1865" t="s">
        <v>23954</v>
      </c>
      <c r="F1865">
        <v>30</v>
      </c>
      <c r="G1865">
        <v>2067591</v>
      </c>
      <c r="H1865" t="s">
        <v>23955</v>
      </c>
      <c r="J1865" s="54" t="s">
        <v>6052</v>
      </c>
      <c r="K1865" s="54">
        <v>0</v>
      </c>
      <c r="L1865" s="22" t="s">
        <v>1563</v>
      </c>
      <c r="M1865" s="22" t="s">
        <v>36962</v>
      </c>
    </row>
    <row r="1866" spans="1:13" x14ac:dyDescent="0.75">
      <c r="A1866" t="s">
        <v>24092</v>
      </c>
      <c r="B1866" t="s">
        <v>9970</v>
      </c>
      <c r="C1866" t="s">
        <v>6081</v>
      </c>
      <c r="D1866" t="s">
        <v>9971</v>
      </c>
      <c r="E1866" t="s">
        <v>24093</v>
      </c>
      <c r="F1866">
        <v>19</v>
      </c>
      <c r="G1866">
        <v>2417892</v>
      </c>
      <c r="H1866" t="s">
        <v>24094</v>
      </c>
      <c r="J1866" s="54" t="s">
        <v>6052</v>
      </c>
      <c r="K1866" s="54">
        <v>0</v>
      </c>
      <c r="L1866" s="22" t="s">
        <v>36807</v>
      </c>
      <c r="M1866" s="22" t="s">
        <v>36945</v>
      </c>
    </row>
    <row r="1867" spans="1:13" x14ac:dyDescent="0.75">
      <c r="A1867" t="s">
        <v>24006</v>
      </c>
      <c r="B1867" t="s">
        <v>9357</v>
      </c>
      <c r="C1867" t="s">
        <v>6081</v>
      </c>
      <c r="D1867" t="s">
        <v>9358</v>
      </c>
      <c r="E1867" t="s">
        <v>24007</v>
      </c>
      <c r="F1867">
        <v>50</v>
      </c>
      <c r="G1867">
        <v>2509082</v>
      </c>
      <c r="H1867" t="s">
        <v>24008</v>
      </c>
      <c r="J1867" s="54" t="s">
        <v>6052</v>
      </c>
      <c r="K1867" s="54">
        <v>0</v>
      </c>
      <c r="L1867" s="22" t="s">
        <v>36807</v>
      </c>
      <c r="M1867" s="22" t="s">
        <v>36947</v>
      </c>
    </row>
    <row r="1868" spans="1:13" x14ac:dyDescent="0.75">
      <c r="A1868" t="s">
        <v>23998</v>
      </c>
      <c r="B1868" t="s">
        <v>9760</v>
      </c>
      <c r="C1868" t="s">
        <v>6081</v>
      </c>
      <c r="D1868" t="s">
        <v>9761</v>
      </c>
      <c r="E1868" t="s">
        <v>23999</v>
      </c>
      <c r="F1868">
        <v>29</v>
      </c>
      <c r="G1868">
        <v>2303143</v>
      </c>
      <c r="H1868" t="s">
        <v>24000</v>
      </c>
      <c r="J1868" s="54" t="s">
        <v>6052</v>
      </c>
      <c r="K1868" s="54">
        <v>0</v>
      </c>
      <c r="L1868" s="22" t="s">
        <v>36807</v>
      </c>
      <c r="M1868" s="22" t="s">
        <v>36943</v>
      </c>
    </row>
    <row r="1869" spans="1:13" x14ac:dyDescent="0.75">
      <c r="A1869" t="s">
        <v>23994</v>
      </c>
      <c r="B1869" t="s">
        <v>9760</v>
      </c>
      <c r="C1869" t="s">
        <v>6081</v>
      </c>
      <c r="D1869" t="s">
        <v>9761</v>
      </c>
      <c r="E1869" t="s">
        <v>23995</v>
      </c>
      <c r="F1869">
        <v>26</v>
      </c>
      <c r="G1869">
        <v>2300099</v>
      </c>
      <c r="H1869" t="s">
        <v>23996</v>
      </c>
      <c r="J1869" s="54" t="s">
        <v>6052</v>
      </c>
      <c r="K1869" s="54">
        <v>0</v>
      </c>
      <c r="L1869" s="22" t="s">
        <v>36807</v>
      </c>
      <c r="M1869" s="22" t="s">
        <v>36943</v>
      </c>
    </row>
    <row r="1870" spans="1:13" x14ac:dyDescent="0.75">
      <c r="A1870" t="s">
        <v>23970</v>
      </c>
      <c r="B1870" t="s">
        <v>7112</v>
      </c>
      <c r="C1870" t="s">
        <v>6081</v>
      </c>
      <c r="D1870" t="s">
        <v>7113</v>
      </c>
      <c r="E1870" t="s">
        <v>23971</v>
      </c>
      <c r="F1870">
        <v>6</v>
      </c>
      <c r="G1870">
        <v>2496688</v>
      </c>
      <c r="H1870" t="s">
        <v>23972</v>
      </c>
      <c r="J1870" s="54" t="s">
        <v>6052</v>
      </c>
      <c r="K1870" s="54">
        <v>0</v>
      </c>
      <c r="L1870" s="22" t="s">
        <v>36807</v>
      </c>
      <c r="M1870" s="22" t="s">
        <v>36952</v>
      </c>
    </row>
    <row r="1871" spans="1:13" x14ac:dyDescent="0.75">
      <c r="A1871" t="s">
        <v>23959</v>
      </c>
      <c r="B1871" t="s">
        <v>23960</v>
      </c>
      <c r="C1871" t="s">
        <v>6081</v>
      </c>
      <c r="D1871" t="s">
        <v>23961</v>
      </c>
      <c r="E1871" t="s">
        <v>23962</v>
      </c>
      <c r="F1871">
        <v>54</v>
      </c>
      <c r="G1871">
        <v>2211941</v>
      </c>
      <c r="H1871" t="s">
        <v>23963</v>
      </c>
      <c r="J1871" s="54" t="s">
        <v>6052</v>
      </c>
      <c r="K1871" s="54">
        <v>0</v>
      </c>
      <c r="L1871" s="22" t="s">
        <v>1563</v>
      </c>
      <c r="M1871" s="22" t="s">
        <v>36964</v>
      </c>
    </row>
    <row r="1872" spans="1:13" x14ac:dyDescent="0.75">
      <c r="A1872" t="s">
        <v>26315</v>
      </c>
      <c r="B1872" t="s">
        <v>10569</v>
      </c>
      <c r="C1872" t="s">
        <v>6081</v>
      </c>
      <c r="D1872" t="s">
        <v>10570</v>
      </c>
      <c r="E1872" t="s">
        <v>26316</v>
      </c>
      <c r="F1872">
        <v>16</v>
      </c>
      <c r="G1872">
        <v>2037780</v>
      </c>
      <c r="H1872" t="s">
        <v>26317</v>
      </c>
      <c r="J1872" s="54" t="s">
        <v>6052</v>
      </c>
      <c r="K1872" s="54">
        <v>0</v>
      </c>
      <c r="L1872" s="22" t="s">
        <v>1563</v>
      </c>
      <c r="M1872" s="22" t="s">
        <v>36962</v>
      </c>
    </row>
    <row r="1873" spans="1:13" x14ac:dyDescent="0.75">
      <c r="A1873" t="s">
        <v>26312</v>
      </c>
      <c r="B1873" t="s">
        <v>9970</v>
      </c>
      <c r="C1873" t="s">
        <v>6081</v>
      </c>
      <c r="D1873" t="s">
        <v>9971</v>
      </c>
      <c r="E1873" t="s">
        <v>26313</v>
      </c>
      <c r="F1873">
        <v>35</v>
      </c>
      <c r="G1873">
        <v>2509220</v>
      </c>
      <c r="H1873" t="s">
        <v>26314</v>
      </c>
      <c r="J1873" s="54" t="s">
        <v>6052</v>
      </c>
      <c r="K1873" s="54">
        <v>0</v>
      </c>
      <c r="L1873" s="22" t="s">
        <v>36807</v>
      </c>
      <c r="M1873" s="22" t="s">
        <v>36945</v>
      </c>
    </row>
    <row r="1874" spans="1:13" x14ac:dyDescent="0.75">
      <c r="A1874" t="s">
        <v>26309</v>
      </c>
      <c r="B1874" t="s">
        <v>6738</v>
      </c>
      <c r="C1874" t="s">
        <v>6081</v>
      </c>
      <c r="D1874" t="s">
        <v>6739</v>
      </c>
      <c r="E1874" t="s">
        <v>26310</v>
      </c>
      <c r="F1874">
        <v>30</v>
      </c>
      <c r="G1874">
        <v>2303461</v>
      </c>
      <c r="H1874" t="s">
        <v>26311</v>
      </c>
      <c r="J1874" s="54" t="s">
        <v>6052</v>
      </c>
      <c r="K1874" s="54">
        <v>0</v>
      </c>
      <c r="L1874" s="22" t="s">
        <v>36807</v>
      </c>
      <c r="M1874" s="22" t="s">
        <v>36953</v>
      </c>
    </row>
    <row r="1875" spans="1:13" x14ac:dyDescent="0.75">
      <c r="A1875" t="s">
        <v>26321</v>
      </c>
      <c r="B1875" t="s">
        <v>9970</v>
      </c>
      <c r="C1875" t="s">
        <v>6081</v>
      </c>
      <c r="D1875" t="s">
        <v>9971</v>
      </c>
      <c r="E1875" t="s">
        <v>26322</v>
      </c>
      <c r="F1875">
        <v>104</v>
      </c>
      <c r="G1875">
        <v>2402275</v>
      </c>
      <c r="H1875" t="s">
        <v>26323</v>
      </c>
      <c r="J1875" s="54" t="s">
        <v>6052</v>
      </c>
      <c r="K1875" s="54">
        <v>0</v>
      </c>
      <c r="L1875" s="22" t="s">
        <v>36807</v>
      </c>
      <c r="M1875" s="22" t="s">
        <v>36945</v>
      </c>
    </row>
    <row r="1876" spans="1:13" x14ac:dyDescent="0.75">
      <c r="A1876" t="s">
        <v>26318</v>
      </c>
      <c r="B1876" t="s">
        <v>9970</v>
      </c>
      <c r="C1876" t="s">
        <v>6081</v>
      </c>
      <c r="D1876" t="s">
        <v>9971</v>
      </c>
      <c r="E1876" t="s">
        <v>26319</v>
      </c>
      <c r="F1876">
        <v>14</v>
      </c>
      <c r="G1876">
        <v>2409602</v>
      </c>
      <c r="H1876" t="s">
        <v>26320</v>
      </c>
      <c r="J1876" s="54" t="s">
        <v>6052</v>
      </c>
      <c r="K1876" s="54">
        <v>0</v>
      </c>
      <c r="L1876" s="22" t="s">
        <v>36807</v>
      </c>
      <c r="M1876" s="22" t="s">
        <v>36945</v>
      </c>
    </row>
    <row r="1877" spans="1:13" x14ac:dyDescent="0.75">
      <c r="A1877" t="s">
        <v>23307</v>
      </c>
      <c r="B1877" t="s">
        <v>9357</v>
      </c>
      <c r="C1877" t="s">
        <v>6081</v>
      </c>
      <c r="D1877" t="s">
        <v>9358</v>
      </c>
      <c r="E1877" t="s">
        <v>23308</v>
      </c>
      <c r="F1877">
        <v>1</v>
      </c>
      <c r="G1877">
        <v>2514362</v>
      </c>
      <c r="H1877" t="s">
        <v>23309</v>
      </c>
      <c r="J1877" s="54" t="s">
        <v>6052</v>
      </c>
      <c r="K1877" s="54">
        <v>0</v>
      </c>
      <c r="L1877" s="22" t="s">
        <v>36807</v>
      </c>
      <c r="M1877" s="22" t="s">
        <v>36947</v>
      </c>
    </row>
    <row r="1878" spans="1:13" x14ac:dyDescent="0.75">
      <c r="A1878" t="s">
        <v>23304</v>
      </c>
      <c r="B1878" t="s">
        <v>9760</v>
      </c>
      <c r="C1878" t="s">
        <v>6081</v>
      </c>
      <c r="D1878" t="s">
        <v>9761</v>
      </c>
      <c r="E1878" t="s">
        <v>23305</v>
      </c>
      <c r="F1878">
        <v>1</v>
      </c>
      <c r="G1878">
        <v>2362766</v>
      </c>
      <c r="H1878" t="s">
        <v>23306</v>
      </c>
      <c r="J1878" s="54" t="s">
        <v>6052</v>
      </c>
      <c r="K1878" s="54">
        <v>0</v>
      </c>
      <c r="L1878" s="22" t="s">
        <v>36807</v>
      </c>
      <c r="M1878" s="22" t="s">
        <v>36943</v>
      </c>
    </row>
    <row r="1879" spans="1:13" x14ac:dyDescent="0.75">
      <c r="A1879" t="s">
        <v>23301</v>
      </c>
      <c r="B1879" t="s">
        <v>9760</v>
      </c>
      <c r="C1879" t="s">
        <v>6081</v>
      </c>
      <c r="D1879" t="s">
        <v>9761</v>
      </c>
      <c r="E1879" t="s">
        <v>23302</v>
      </c>
      <c r="F1879">
        <v>1</v>
      </c>
      <c r="G1879">
        <v>2402479</v>
      </c>
      <c r="H1879" t="s">
        <v>23303</v>
      </c>
      <c r="J1879" s="54" t="s">
        <v>6052</v>
      </c>
      <c r="K1879" s="54">
        <v>0</v>
      </c>
      <c r="L1879" s="22" t="s">
        <v>36807</v>
      </c>
      <c r="M1879" s="22" t="s">
        <v>36943</v>
      </c>
    </row>
    <row r="1880" spans="1:13" x14ac:dyDescent="0.75">
      <c r="A1880" t="s">
        <v>12015</v>
      </c>
      <c r="B1880" t="s">
        <v>12006</v>
      </c>
      <c r="C1880" t="s">
        <v>6081</v>
      </c>
      <c r="D1880" t="s">
        <v>12007</v>
      </c>
      <c r="E1880" t="s">
        <v>12016</v>
      </c>
      <c r="F1880">
        <v>1</v>
      </c>
      <c r="G1880">
        <v>2737971</v>
      </c>
      <c r="H1880" t="s">
        <v>12017</v>
      </c>
      <c r="J1880" s="54" t="s">
        <v>6052</v>
      </c>
      <c r="K1880" s="54">
        <v>0</v>
      </c>
      <c r="L1880" s="22" t="s">
        <v>1563</v>
      </c>
      <c r="M1880" s="22" t="s">
        <v>36950</v>
      </c>
    </row>
    <row r="1881" spans="1:13" x14ac:dyDescent="0.75">
      <c r="A1881" t="s">
        <v>30077</v>
      </c>
      <c r="B1881" t="s">
        <v>9542</v>
      </c>
      <c r="C1881" t="s">
        <v>6081</v>
      </c>
      <c r="D1881" t="s">
        <v>9543</v>
      </c>
      <c r="E1881" t="s">
        <v>30078</v>
      </c>
      <c r="F1881">
        <v>22</v>
      </c>
      <c r="G1881">
        <v>2195980</v>
      </c>
      <c r="H1881" t="s">
        <v>30079</v>
      </c>
      <c r="J1881" s="54" t="s">
        <v>6052</v>
      </c>
      <c r="K1881" s="54">
        <v>0</v>
      </c>
      <c r="L1881" s="22" t="s">
        <v>1563</v>
      </c>
      <c r="M1881" s="22" t="s">
        <v>36969</v>
      </c>
    </row>
    <row r="1882" spans="1:13" x14ac:dyDescent="0.75">
      <c r="A1882" t="s">
        <v>20264</v>
      </c>
      <c r="B1882" t="s">
        <v>13861</v>
      </c>
      <c r="C1882" t="s">
        <v>6081</v>
      </c>
      <c r="D1882" t="s">
        <v>13862</v>
      </c>
      <c r="E1882" t="s">
        <v>20265</v>
      </c>
      <c r="F1882">
        <v>12</v>
      </c>
      <c r="G1882">
        <v>2539775</v>
      </c>
      <c r="H1882" t="s">
        <v>20266</v>
      </c>
      <c r="J1882" s="54" t="s">
        <v>6052</v>
      </c>
      <c r="K1882" s="54">
        <v>0</v>
      </c>
      <c r="L1882" s="22" t="s">
        <v>1563</v>
      </c>
      <c r="M1882" s="22" t="s">
        <v>36957</v>
      </c>
    </row>
    <row r="1883" spans="1:13" x14ac:dyDescent="0.75">
      <c r="A1883" t="s">
        <v>22600</v>
      </c>
      <c r="B1883" t="s">
        <v>9349</v>
      </c>
      <c r="C1883" t="s">
        <v>6081</v>
      </c>
      <c r="D1883" t="s">
        <v>9350</v>
      </c>
      <c r="E1883" t="s">
        <v>22601</v>
      </c>
      <c r="F1883">
        <v>42</v>
      </c>
      <c r="G1883">
        <v>2153054</v>
      </c>
      <c r="H1883" t="s">
        <v>22602</v>
      </c>
      <c r="J1883" s="54" t="s">
        <v>6052</v>
      </c>
      <c r="K1883" s="54">
        <v>0</v>
      </c>
      <c r="L1883" s="22" t="s">
        <v>36806</v>
      </c>
      <c r="M1883" s="22" t="s">
        <v>36949</v>
      </c>
    </row>
    <row r="1884" spans="1:13" x14ac:dyDescent="0.75">
      <c r="A1884" t="s">
        <v>12110</v>
      </c>
      <c r="B1884" t="s">
        <v>6774</v>
      </c>
      <c r="C1884" t="s">
        <v>6107</v>
      </c>
      <c r="D1884" t="s">
        <v>6775</v>
      </c>
      <c r="E1884" t="s">
        <v>12111</v>
      </c>
      <c r="F1884">
        <v>62</v>
      </c>
      <c r="G1884">
        <v>2244163</v>
      </c>
      <c r="H1884" t="s">
        <v>12112</v>
      </c>
      <c r="J1884" s="54" t="s">
        <v>6052</v>
      </c>
      <c r="K1884" s="54">
        <v>0</v>
      </c>
      <c r="L1884" s="22" t="s">
        <v>104</v>
      </c>
      <c r="M1884" s="22" t="s">
        <v>37010</v>
      </c>
    </row>
    <row r="1885" spans="1:13" x14ac:dyDescent="0.75">
      <c r="A1885" t="s">
        <v>25041</v>
      </c>
      <c r="B1885" t="s">
        <v>7112</v>
      </c>
      <c r="C1885" t="s">
        <v>6081</v>
      </c>
      <c r="D1885" t="s">
        <v>7113</v>
      </c>
      <c r="E1885" t="s">
        <v>25042</v>
      </c>
      <c r="F1885">
        <v>1</v>
      </c>
      <c r="G1885">
        <v>2474928</v>
      </c>
      <c r="H1885" t="s">
        <v>25043</v>
      </c>
      <c r="J1885" s="54" t="s">
        <v>6052</v>
      </c>
      <c r="K1885" s="54">
        <v>0</v>
      </c>
      <c r="L1885" s="22" t="s">
        <v>36807</v>
      </c>
      <c r="M1885" s="22" t="s">
        <v>36952</v>
      </c>
    </row>
    <row r="1886" spans="1:13" x14ac:dyDescent="0.75">
      <c r="A1886" t="s">
        <v>24937</v>
      </c>
      <c r="B1886" t="s">
        <v>9760</v>
      </c>
      <c r="C1886" t="s">
        <v>6081</v>
      </c>
      <c r="D1886" t="s">
        <v>9761</v>
      </c>
      <c r="E1886" t="s">
        <v>24938</v>
      </c>
      <c r="F1886">
        <v>19</v>
      </c>
      <c r="G1886">
        <v>2314591</v>
      </c>
      <c r="H1886" t="s">
        <v>24939</v>
      </c>
      <c r="J1886" s="54" t="s">
        <v>6052</v>
      </c>
      <c r="K1886" s="54">
        <v>0</v>
      </c>
      <c r="L1886" s="22" t="s">
        <v>36807</v>
      </c>
      <c r="M1886" s="22" t="s">
        <v>36943</v>
      </c>
    </row>
    <row r="1887" spans="1:13" x14ac:dyDescent="0.75">
      <c r="A1887" t="s">
        <v>24934</v>
      </c>
      <c r="B1887" t="s">
        <v>9760</v>
      </c>
      <c r="C1887" t="s">
        <v>6081</v>
      </c>
      <c r="D1887" t="s">
        <v>9761</v>
      </c>
      <c r="E1887" t="s">
        <v>24935</v>
      </c>
      <c r="F1887">
        <v>33</v>
      </c>
      <c r="G1887">
        <v>2270638</v>
      </c>
      <c r="H1887" t="s">
        <v>24936</v>
      </c>
      <c r="J1887" s="54" t="s">
        <v>6052</v>
      </c>
      <c r="K1887" s="54">
        <v>0</v>
      </c>
      <c r="L1887" s="22" t="s">
        <v>36807</v>
      </c>
      <c r="M1887" s="22" t="s">
        <v>36943</v>
      </c>
    </row>
    <row r="1888" spans="1:13" x14ac:dyDescent="0.75">
      <c r="A1888" t="s">
        <v>24931</v>
      </c>
      <c r="B1888" t="s">
        <v>9760</v>
      </c>
      <c r="C1888" t="s">
        <v>6081</v>
      </c>
      <c r="D1888" t="s">
        <v>9761</v>
      </c>
      <c r="E1888" t="s">
        <v>24932</v>
      </c>
      <c r="F1888">
        <v>18</v>
      </c>
      <c r="G1888">
        <v>2315239</v>
      </c>
      <c r="H1888" t="s">
        <v>24933</v>
      </c>
      <c r="J1888" s="54" t="s">
        <v>6052</v>
      </c>
      <c r="K1888" s="54">
        <v>0</v>
      </c>
      <c r="L1888" s="22" t="s">
        <v>36807</v>
      </c>
      <c r="M1888" s="22" t="s">
        <v>36943</v>
      </c>
    </row>
    <row r="1889" spans="1:13" x14ac:dyDescent="0.75">
      <c r="A1889" t="s">
        <v>24940</v>
      </c>
      <c r="B1889" t="s">
        <v>9434</v>
      </c>
      <c r="C1889" t="s">
        <v>6081</v>
      </c>
      <c r="D1889" t="s">
        <v>9435</v>
      </c>
      <c r="E1889" t="s">
        <v>24941</v>
      </c>
      <c r="F1889">
        <v>57</v>
      </c>
      <c r="G1889">
        <v>2335091</v>
      </c>
      <c r="H1889" t="s">
        <v>24942</v>
      </c>
      <c r="J1889" s="54" t="s">
        <v>6052</v>
      </c>
      <c r="K1889" s="54">
        <v>0</v>
      </c>
      <c r="L1889" s="22" t="s">
        <v>1563</v>
      </c>
      <c r="M1889" s="22" t="s">
        <v>36955</v>
      </c>
    </row>
    <row r="1890" spans="1:13" x14ac:dyDescent="0.75">
      <c r="A1890" t="s">
        <v>24928</v>
      </c>
      <c r="B1890" t="s">
        <v>6803</v>
      </c>
      <c r="C1890" t="s">
        <v>6081</v>
      </c>
      <c r="D1890" t="s">
        <v>6804</v>
      </c>
      <c r="E1890" t="s">
        <v>24929</v>
      </c>
      <c r="F1890">
        <v>99</v>
      </c>
      <c r="G1890">
        <v>2801090</v>
      </c>
      <c r="H1890" t="s">
        <v>24930</v>
      </c>
      <c r="J1890" s="54" t="s">
        <v>6052</v>
      </c>
      <c r="K1890" s="54">
        <v>0</v>
      </c>
      <c r="L1890" s="22" t="s">
        <v>1563</v>
      </c>
      <c r="M1890" s="22" t="s">
        <v>36940</v>
      </c>
    </row>
    <row r="1891" spans="1:13" x14ac:dyDescent="0.75">
      <c r="A1891" t="s">
        <v>24925</v>
      </c>
      <c r="B1891" t="s">
        <v>9760</v>
      </c>
      <c r="C1891" t="s">
        <v>6081</v>
      </c>
      <c r="D1891" t="s">
        <v>9761</v>
      </c>
      <c r="E1891" t="s">
        <v>24926</v>
      </c>
      <c r="F1891">
        <v>31</v>
      </c>
      <c r="G1891">
        <v>2336943</v>
      </c>
      <c r="H1891" t="s">
        <v>24927</v>
      </c>
      <c r="J1891" s="54" t="s">
        <v>6052</v>
      </c>
      <c r="K1891" s="54">
        <v>0</v>
      </c>
      <c r="L1891" s="22" t="s">
        <v>36807</v>
      </c>
      <c r="M1891" s="22" t="s">
        <v>36943</v>
      </c>
    </row>
    <row r="1892" spans="1:13" x14ac:dyDescent="0.75">
      <c r="A1892" t="s">
        <v>24922</v>
      </c>
      <c r="B1892" t="s">
        <v>9760</v>
      </c>
      <c r="C1892" t="s">
        <v>6081</v>
      </c>
      <c r="D1892" t="s">
        <v>9761</v>
      </c>
      <c r="E1892" t="s">
        <v>24923</v>
      </c>
      <c r="F1892">
        <v>13</v>
      </c>
      <c r="G1892">
        <v>2338775</v>
      </c>
      <c r="H1892" t="s">
        <v>24924</v>
      </c>
      <c r="J1892" s="54" t="s">
        <v>6052</v>
      </c>
      <c r="K1892" s="54">
        <v>0</v>
      </c>
      <c r="L1892" s="22" t="s">
        <v>36807</v>
      </c>
      <c r="M1892" s="22" t="s">
        <v>36943</v>
      </c>
    </row>
    <row r="1893" spans="1:13" x14ac:dyDescent="0.75">
      <c r="A1893" t="s">
        <v>24919</v>
      </c>
      <c r="B1893" t="s">
        <v>9760</v>
      </c>
      <c r="C1893" t="s">
        <v>6081</v>
      </c>
      <c r="D1893" t="s">
        <v>9761</v>
      </c>
      <c r="E1893" t="s">
        <v>24920</v>
      </c>
      <c r="F1893">
        <v>30</v>
      </c>
      <c r="G1893">
        <v>2289230</v>
      </c>
      <c r="H1893" t="s">
        <v>24921</v>
      </c>
      <c r="J1893" s="54" t="s">
        <v>6052</v>
      </c>
      <c r="K1893" s="54">
        <v>0</v>
      </c>
      <c r="L1893" s="22" t="s">
        <v>36807</v>
      </c>
      <c r="M1893" s="22" t="s">
        <v>36943</v>
      </c>
    </row>
    <row r="1894" spans="1:13" x14ac:dyDescent="0.75">
      <c r="A1894" t="s">
        <v>24916</v>
      </c>
      <c r="B1894" t="s">
        <v>9760</v>
      </c>
      <c r="C1894" t="s">
        <v>6081</v>
      </c>
      <c r="D1894" t="s">
        <v>9761</v>
      </c>
      <c r="E1894" t="s">
        <v>24917</v>
      </c>
      <c r="F1894">
        <v>30</v>
      </c>
      <c r="G1894">
        <v>2288602</v>
      </c>
      <c r="H1894" t="s">
        <v>24918</v>
      </c>
      <c r="J1894" s="54" t="s">
        <v>6052</v>
      </c>
      <c r="K1894" s="54">
        <v>0</v>
      </c>
      <c r="L1894" s="22" t="s">
        <v>36807</v>
      </c>
      <c r="M1894" s="22" t="s">
        <v>36943</v>
      </c>
    </row>
    <row r="1895" spans="1:13" x14ac:dyDescent="0.75">
      <c r="A1895" t="s">
        <v>7206</v>
      </c>
      <c r="B1895" t="s">
        <v>6738</v>
      </c>
      <c r="C1895" t="s">
        <v>6081</v>
      </c>
      <c r="D1895" t="s">
        <v>6739</v>
      </c>
      <c r="E1895" t="s">
        <v>7207</v>
      </c>
      <c r="F1895">
        <v>37</v>
      </c>
      <c r="G1895">
        <v>2372261</v>
      </c>
      <c r="H1895" t="s">
        <v>7208</v>
      </c>
      <c r="J1895" s="54" t="s">
        <v>6052</v>
      </c>
      <c r="K1895" s="54">
        <v>0</v>
      </c>
      <c r="L1895" s="22" t="s">
        <v>36807</v>
      </c>
      <c r="M1895" s="22" t="s">
        <v>36953</v>
      </c>
    </row>
    <row r="1896" spans="1:13" x14ac:dyDescent="0.75">
      <c r="A1896" t="s">
        <v>7111</v>
      </c>
      <c r="B1896" t="s">
        <v>7112</v>
      </c>
      <c r="C1896" t="s">
        <v>6081</v>
      </c>
      <c r="D1896" t="s">
        <v>7113</v>
      </c>
      <c r="E1896" t="s">
        <v>7114</v>
      </c>
      <c r="F1896">
        <v>48</v>
      </c>
      <c r="G1896">
        <v>2513912</v>
      </c>
      <c r="H1896" t="s">
        <v>7115</v>
      </c>
      <c r="J1896" s="54" t="s">
        <v>6052</v>
      </c>
      <c r="K1896" s="54">
        <v>0</v>
      </c>
      <c r="L1896" s="22" t="s">
        <v>36807</v>
      </c>
      <c r="M1896" s="22" t="s">
        <v>36952</v>
      </c>
    </row>
    <row r="1897" spans="1:13" x14ac:dyDescent="0.75">
      <c r="A1897" t="s">
        <v>12113</v>
      </c>
      <c r="B1897" t="s">
        <v>6774</v>
      </c>
      <c r="C1897" t="s">
        <v>6107</v>
      </c>
      <c r="D1897" t="s">
        <v>6775</v>
      </c>
      <c r="E1897" t="s">
        <v>12114</v>
      </c>
      <c r="F1897">
        <v>117</v>
      </c>
      <c r="G1897">
        <v>2334503</v>
      </c>
      <c r="H1897" t="s">
        <v>12115</v>
      </c>
      <c r="J1897" s="54" t="s">
        <v>6052</v>
      </c>
      <c r="K1897" s="54">
        <v>0</v>
      </c>
      <c r="L1897" s="22" t="s">
        <v>104</v>
      </c>
      <c r="M1897" s="22" t="s">
        <v>37010</v>
      </c>
    </row>
    <row r="1898" spans="1:13" x14ac:dyDescent="0.75">
      <c r="A1898" t="s">
        <v>30308</v>
      </c>
      <c r="B1898" t="s">
        <v>9349</v>
      </c>
      <c r="C1898" t="s">
        <v>6081</v>
      </c>
      <c r="D1898" t="s">
        <v>9350</v>
      </c>
      <c r="E1898" t="s">
        <v>30309</v>
      </c>
      <c r="F1898">
        <v>235</v>
      </c>
      <c r="G1898">
        <v>1870788</v>
      </c>
      <c r="H1898" t="s">
        <v>30310</v>
      </c>
      <c r="J1898" s="54" t="s">
        <v>6052</v>
      </c>
      <c r="K1898" s="54">
        <v>0</v>
      </c>
      <c r="L1898" s="22" t="s">
        <v>36806</v>
      </c>
      <c r="M1898" s="22" t="s">
        <v>36949</v>
      </c>
    </row>
    <row r="1899" spans="1:13" x14ac:dyDescent="0.75">
      <c r="A1899" t="s">
        <v>12122</v>
      </c>
      <c r="B1899" t="s">
        <v>6774</v>
      </c>
      <c r="C1899" t="s">
        <v>6107</v>
      </c>
      <c r="D1899" t="s">
        <v>6775</v>
      </c>
      <c r="E1899" t="s">
        <v>12123</v>
      </c>
      <c r="F1899">
        <v>83</v>
      </c>
      <c r="G1899">
        <v>2099301</v>
      </c>
      <c r="H1899" t="s">
        <v>12124</v>
      </c>
      <c r="J1899" s="54" t="s">
        <v>6052</v>
      </c>
      <c r="K1899" s="54">
        <v>0</v>
      </c>
      <c r="L1899" s="22" t="s">
        <v>104</v>
      </c>
      <c r="M1899" s="22" t="s">
        <v>37010</v>
      </c>
    </row>
    <row r="1900" spans="1:13" x14ac:dyDescent="0.75">
      <c r="A1900" t="s">
        <v>30386</v>
      </c>
      <c r="B1900" t="s">
        <v>10595</v>
      </c>
      <c r="C1900" t="s">
        <v>6081</v>
      </c>
      <c r="D1900" t="s">
        <v>10596</v>
      </c>
      <c r="E1900" t="s">
        <v>30387</v>
      </c>
      <c r="F1900">
        <v>100</v>
      </c>
      <c r="G1900">
        <v>2101137</v>
      </c>
      <c r="H1900" t="s">
        <v>30388</v>
      </c>
      <c r="J1900" s="54" t="s">
        <v>6052</v>
      </c>
      <c r="K1900" s="54">
        <v>0</v>
      </c>
      <c r="L1900" s="22" t="s">
        <v>1563</v>
      </c>
      <c r="M1900" s="22" t="s">
        <v>36963</v>
      </c>
    </row>
    <row r="1901" spans="1:13" x14ac:dyDescent="0.75">
      <c r="A1901" t="s">
        <v>30462</v>
      </c>
      <c r="B1901" t="s">
        <v>7112</v>
      </c>
      <c r="C1901" t="s">
        <v>6081</v>
      </c>
      <c r="D1901" t="s">
        <v>7113</v>
      </c>
      <c r="E1901" t="s">
        <v>30463</v>
      </c>
      <c r="F1901">
        <v>40</v>
      </c>
      <c r="G1901">
        <v>2463088</v>
      </c>
      <c r="H1901" t="s">
        <v>30464</v>
      </c>
      <c r="J1901" s="54" t="s">
        <v>6052</v>
      </c>
      <c r="K1901" s="54">
        <v>0</v>
      </c>
      <c r="L1901" s="22" t="s">
        <v>36807</v>
      </c>
      <c r="M1901" s="22" t="s">
        <v>36952</v>
      </c>
    </row>
    <row r="1902" spans="1:13" x14ac:dyDescent="0.75">
      <c r="A1902" t="s">
        <v>30430</v>
      </c>
      <c r="B1902" t="s">
        <v>6803</v>
      </c>
      <c r="C1902" t="s">
        <v>6081</v>
      </c>
      <c r="D1902" t="s">
        <v>6804</v>
      </c>
      <c r="E1902" t="s">
        <v>30431</v>
      </c>
      <c r="F1902">
        <v>168</v>
      </c>
      <c r="G1902">
        <v>2660032</v>
      </c>
      <c r="H1902" t="s">
        <v>30432</v>
      </c>
      <c r="J1902" s="54" t="s">
        <v>6052</v>
      </c>
      <c r="K1902" s="54">
        <v>0</v>
      </c>
      <c r="L1902" s="22" t="s">
        <v>1563</v>
      </c>
      <c r="M1902" s="22" t="s">
        <v>36940</v>
      </c>
    </row>
    <row r="1903" spans="1:13" x14ac:dyDescent="0.75">
      <c r="A1903" t="s">
        <v>29532</v>
      </c>
      <c r="B1903" t="s">
        <v>10569</v>
      </c>
      <c r="C1903" t="s">
        <v>6081</v>
      </c>
      <c r="D1903" t="s">
        <v>10570</v>
      </c>
      <c r="E1903" t="s">
        <v>29533</v>
      </c>
      <c r="F1903">
        <v>66</v>
      </c>
      <c r="G1903">
        <v>2160475</v>
      </c>
      <c r="H1903" t="s">
        <v>29534</v>
      </c>
      <c r="J1903" s="54" t="s">
        <v>6052</v>
      </c>
      <c r="K1903" s="54">
        <v>0</v>
      </c>
      <c r="L1903" s="22" t="s">
        <v>1563</v>
      </c>
      <c r="M1903" s="22" t="s">
        <v>36962</v>
      </c>
    </row>
    <row r="1904" spans="1:13" x14ac:dyDescent="0.75">
      <c r="A1904" t="s">
        <v>29544</v>
      </c>
      <c r="B1904" t="s">
        <v>9970</v>
      </c>
      <c r="C1904" t="s">
        <v>6081</v>
      </c>
      <c r="D1904" t="s">
        <v>9971</v>
      </c>
      <c r="E1904" t="s">
        <v>29545</v>
      </c>
      <c r="F1904">
        <v>35</v>
      </c>
      <c r="G1904">
        <v>2401179</v>
      </c>
      <c r="H1904" t="s">
        <v>29546</v>
      </c>
      <c r="J1904" s="54" t="s">
        <v>6052</v>
      </c>
      <c r="K1904" s="54">
        <v>0</v>
      </c>
      <c r="L1904" s="22" t="s">
        <v>36807</v>
      </c>
      <c r="M1904" s="22" t="s">
        <v>36945</v>
      </c>
    </row>
    <row r="1905" spans="1:13" x14ac:dyDescent="0.75">
      <c r="A1905" t="s">
        <v>29553</v>
      </c>
      <c r="B1905" t="s">
        <v>9760</v>
      </c>
      <c r="C1905" t="s">
        <v>6081</v>
      </c>
      <c r="D1905" t="s">
        <v>9761</v>
      </c>
      <c r="E1905" t="s">
        <v>29554</v>
      </c>
      <c r="F1905">
        <v>51</v>
      </c>
      <c r="G1905">
        <v>2235438</v>
      </c>
      <c r="H1905" t="s">
        <v>29555</v>
      </c>
      <c r="J1905" s="54" t="s">
        <v>6052</v>
      </c>
      <c r="K1905" s="54">
        <v>0</v>
      </c>
      <c r="L1905" s="22" t="s">
        <v>36807</v>
      </c>
      <c r="M1905" s="22" t="s">
        <v>36943</v>
      </c>
    </row>
    <row r="1906" spans="1:13" x14ac:dyDescent="0.75">
      <c r="A1906" t="s">
        <v>29612</v>
      </c>
      <c r="B1906" t="s">
        <v>6628</v>
      </c>
      <c r="C1906" t="s">
        <v>6081</v>
      </c>
      <c r="D1906" t="s">
        <v>6629</v>
      </c>
      <c r="E1906" t="s">
        <v>29613</v>
      </c>
      <c r="F1906">
        <v>279</v>
      </c>
      <c r="G1906">
        <v>2192490</v>
      </c>
      <c r="H1906" t="s">
        <v>29614</v>
      </c>
      <c r="J1906" s="54" t="s">
        <v>6052</v>
      </c>
      <c r="K1906" s="54">
        <v>0</v>
      </c>
      <c r="L1906" s="22" t="s">
        <v>36807</v>
      </c>
      <c r="M1906" s="22" t="s">
        <v>36960</v>
      </c>
    </row>
    <row r="1907" spans="1:13" x14ac:dyDescent="0.75">
      <c r="A1907" t="s">
        <v>29535</v>
      </c>
      <c r="B1907" t="s">
        <v>8855</v>
      </c>
      <c r="C1907" t="s">
        <v>6081</v>
      </c>
      <c r="D1907" t="s">
        <v>8856</v>
      </c>
      <c r="E1907" t="s">
        <v>29536</v>
      </c>
      <c r="F1907">
        <v>225</v>
      </c>
      <c r="G1907">
        <v>2128438</v>
      </c>
      <c r="H1907" t="s">
        <v>29537</v>
      </c>
      <c r="J1907" s="54" t="s">
        <v>6052</v>
      </c>
      <c r="K1907" s="54">
        <v>0</v>
      </c>
      <c r="L1907" s="22" t="s">
        <v>36805</v>
      </c>
      <c r="M1907" s="22" t="s">
        <v>36961</v>
      </c>
    </row>
    <row r="1908" spans="1:13" x14ac:dyDescent="0.75">
      <c r="A1908" t="s">
        <v>12128</v>
      </c>
      <c r="B1908" t="s">
        <v>6774</v>
      </c>
      <c r="C1908" t="s">
        <v>6107</v>
      </c>
      <c r="D1908" t="s">
        <v>6775</v>
      </c>
      <c r="E1908" t="s">
        <v>12129</v>
      </c>
      <c r="F1908">
        <v>32</v>
      </c>
      <c r="G1908">
        <v>2137371</v>
      </c>
      <c r="H1908" t="s">
        <v>12130</v>
      </c>
      <c r="J1908" s="54" t="s">
        <v>6052</v>
      </c>
      <c r="K1908" s="54">
        <v>0</v>
      </c>
      <c r="L1908" s="22" t="s">
        <v>104</v>
      </c>
      <c r="M1908" s="22" t="s">
        <v>37010</v>
      </c>
    </row>
    <row r="1909" spans="1:13" x14ac:dyDescent="0.75">
      <c r="A1909" t="s">
        <v>12125</v>
      </c>
      <c r="B1909" t="s">
        <v>6774</v>
      </c>
      <c r="C1909" t="s">
        <v>6107</v>
      </c>
      <c r="D1909" t="s">
        <v>6775</v>
      </c>
      <c r="E1909" t="s">
        <v>12126</v>
      </c>
      <c r="F1909">
        <v>56</v>
      </c>
      <c r="G1909">
        <v>2098951</v>
      </c>
      <c r="H1909" t="s">
        <v>12127</v>
      </c>
      <c r="J1909" s="54" t="s">
        <v>6052</v>
      </c>
      <c r="K1909" s="54">
        <v>0</v>
      </c>
      <c r="L1909" s="22" t="s">
        <v>104</v>
      </c>
      <c r="M1909" s="22" t="s">
        <v>37010</v>
      </c>
    </row>
    <row r="1910" spans="1:13" x14ac:dyDescent="0.75">
      <c r="A1910" t="s">
        <v>10859</v>
      </c>
      <c r="B1910" t="s">
        <v>8855</v>
      </c>
      <c r="C1910" t="s">
        <v>6081</v>
      </c>
      <c r="D1910" t="s">
        <v>8856</v>
      </c>
      <c r="E1910" t="s">
        <v>10860</v>
      </c>
      <c r="F1910">
        <v>148</v>
      </c>
      <c r="G1910">
        <v>2144430</v>
      </c>
      <c r="H1910" t="s">
        <v>10861</v>
      </c>
      <c r="J1910" s="54" t="s">
        <v>6052</v>
      </c>
      <c r="K1910" s="54">
        <v>0</v>
      </c>
      <c r="L1910" s="22" t="s">
        <v>36805</v>
      </c>
      <c r="M1910" s="22" t="s">
        <v>36961</v>
      </c>
    </row>
    <row r="1911" spans="1:13" x14ac:dyDescent="0.75">
      <c r="A1911" t="s">
        <v>14289</v>
      </c>
      <c r="B1911" t="s">
        <v>6080</v>
      </c>
      <c r="C1911" t="s">
        <v>6081</v>
      </c>
      <c r="D1911" t="s">
        <v>6082</v>
      </c>
      <c r="E1911" t="s">
        <v>14290</v>
      </c>
      <c r="F1911">
        <v>23</v>
      </c>
      <c r="G1911">
        <v>2481374</v>
      </c>
      <c r="H1911" t="s">
        <v>14291</v>
      </c>
      <c r="J1911" s="54" t="s">
        <v>6052</v>
      </c>
      <c r="K1911" s="54">
        <v>0</v>
      </c>
      <c r="L1911" s="22" t="s">
        <v>1563</v>
      </c>
      <c r="M1911" s="22" t="s">
        <v>36956</v>
      </c>
    </row>
    <row r="1912" spans="1:13" x14ac:dyDescent="0.75">
      <c r="A1912" t="s">
        <v>14355</v>
      </c>
      <c r="B1912" t="s">
        <v>12689</v>
      </c>
      <c r="C1912" t="s">
        <v>6081</v>
      </c>
      <c r="D1912" t="s">
        <v>12690</v>
      </c>
      <c r="E1912" t="s">
        <v>14356</v>
      </c>
      <c r="F1912">
        <v>22</v>
      </c>
      <c r="G1912">
        <v>2645301</v>
      </c>
      <c r="H1912" t="s">
        <v>14357</v>
      </c>
      <c r="J1912" s="54" t="s">
        <v>6052</v>
      </c>
      <c r="K1912" s="54">
        <v>0</v>
      </c>
      <c r="L1912" s="22" t="s">
        <v>1563</v>
      </c>
      <c r="M1912" s="22" t="s">
        <v>36939</v>
      </c>
    </row>
    <row r="1913" spans="1:13" x14ac:dyDescent="0.75">
      <c r="A1913" t="s">
        <v>14352</v>
      </c>
      <c r="B1913" t="s">
        <v>14348</v>
      </c>
      <c r="C1913" t="s">
        <v>6081</v>
      </c>
      <c r="D1913" t="s">
        <v>14349</v>
      </c>
      <c r="E1913" t="s">
        <v>14353</v>
      </c>
      <c r="F1913">
        <v>44</v>
      </c>
      <c r="G1913">
        <v>2436985</v>
      </c>
      <c r="H1913" t="s">
        <v>14354</v>
      </c>
      <c r="J1913" s="54" t="s">
        <v>6052</v>
      </c>
      <c r="K1913" s="54">
        <v>0</v>
      </c>
      <c r="L1913" s="22" t="s">
        <v>1563</v>
      </c>
      <c r="M1913" s="22" t="s">
        <v>36968</v>
      </c>
    </row>
    <row r="1914" spans="1:13" x14ac:dyDescent="0.75">
      <c r="A1914" t="s">
        <v>14358</v>
      </c>
      <c r="B1914" t="s">
        <v>6080</v>
      </c>
      <c r="C1914" t="s">
        <v>6081</v>
      </c>
      <c r="D1914" t="s">
        <v>6082</v>
      </c>
      <c r="E1914" t="s">
        <v>14359</v>
      </c>
      <c r="F1914">
        <v>42</v>
      </c>
      <c r="G1914">
        <v>2465364</v>
      </c>
      <c r="H1914" t="s">
        <v>14360</v>
      </c>
      <c r="J1914" s="54" t="s">
        <v>6052</v>
      </c>
      <c r="K1914" s="54">
        <v>0</v>
      </c>
      <c r="L1914" s="22" t="s">
        <v>1563</v>
      </c>
      <c r="M1914" s="22" t="s">
        <v>36956</v>
      </c>
    </row>
    <row r="1915" spans="1:13" x14ac:dyDescent="0.75">
      <c r="A1915" t="s">
        <v>14430</v>
      </c>
      <c r="B1915" t="s">
        <v>10595</v>
      </c>
      <c r="C1915" t="s">
        <v>6081</v>
      </c>
      <c r="D1915" t="s">
        <v>10596</v>
      </c>
      <c r="E1915" t="s">
        <v>14431</v>
      </c>
      <c r="F1915">
        <v>46</v>
      </c>
      <c r="G1915">
        <v>2254903</v>
      </c>
      <c r="H1915" t="s">
        <v>14432</v>
      </c>
      <c r="J1915" s="54" t="s">
        <v>6052</v>
      </c>
      <c r="K1915" s="54">
        <v>0</v>
      </c>
      <c r="L1915" s="22" t="s">
        <v>1563</v>
      </c>
      <c r="M1915" s="22" t="s">
        <v>36963</v>
      </c>
    </row>
    <row r="1916" spans="1:13" x14ac:dyDescent="0.75">
      <c r="A1916" t="s">
        <v>14387</v>
      </c>
      <c r="B1916" t="s">
        <v>6405</v>
      </c>
      <c r="C1916" t="s">
        <v>6081</v>
      </c>
      <c r="D1916" t="s">
        <v>6406</v>
      </c>
      <c r="E1916" t="s">
        <v>14388</v>
      </c>
      <c r="F1916">
        <v>23</v>
      </c>
      <c r="G1916">
        <v>2516257</v>
      </c>
      <c r="H1916" t="s">
        <v>14389</v>
      </c>
      <c r="J1916" s="54" t="s">
        <v>6052</v>
      </c>
      <c r="K1916" s="54">
        <v>0</v>
      </c>
      <c r="L1916" s="22" t="s">
        <v>36806</v>
      </c>
      <c r="M1916" s="22" t="s">
        <v>36966</v>
      </c>
    </row>
    <row r="1917" spans="1:13" x14ac:dyDescent="0.75">
      <c r="A1917" t="s">
        <v>14347</v>
      </c>
      <c r="B1917" t="s">
        <v>14348</v>
      </c>
      <c r="C1917" t="s">
        <v>6081</v>
      </c>
      <c r="D1917" t="s">
        <v>14349</v>
      </c>
      <c r="E1917" t="s">
        <v>14350</v>
      </c>
      <c r="F1917">
        <v>38</v>
      </c>
      <c r="G1917">
        <v>2481760</v>
      </c>
      <c r="H1917" t="s">
        <v>14351</v>
      </c>
      <c r="J1917" s="54" t="s">
        <v>6052</v>
      </c>
      <c r="K1917" s="54">
        <v>0</v>
      </c>
      <c r="L1917" s="22" t="s">
        <v>1563</v>
      </c>
      <c r="M1917" s="22" t="s">
        <v>36968</v>
      </c>
    </row>
    <row r="1918" spans="1:13" x14ac:dyDescent="0.75">
      <c r="A1918" t="s">
        <v>25851</v>
      </c>
      <c r="B1918" t="s">
        <v>7112</v>
      </c>
      <c r="C1918" t="s">
        <v>6081</v>
      </c>
      <c r="D1918" t="s">
        <v>7113</v>
      </c>
      <c r="E1918" t="s">
        <v>25852</v>
      </c>
      <c r="F1918">
        <v>42</v>
      </c>
      <c r="G1918">
        <v>2544380</v>
      </c>
      <c r="H1918" t="s">
        <v>25853</v>
      </c>
      <c r="J1918" s="54" t="s">
        <v>6052</v>
      </c>
      <c r="K1918" s="54">
        <v>0</v>
      </c>
      <c r="L1918" s="22" t="s">
        <v>36807</v>
      </c>
      <c r="M1918" s="22" t="s">
        <v>36952</v>
      </c>
    </row>
    <row r="1919" spans="1:13" x14ac:dyDescent="0.75">
      <c r="A1919" t="s">
        <v>17434</v>
      </c>
      <c r="B1919" t="s">
        <v>7112</v>
      </c>
      <c r="C1919" t="s">
        <v>6081</v>
      </c>
      <c r="D1919" t="s">
        <v>7113</v>
      </c>
      <c r="E1919" t="s">
        <v>17435</v>
      </c>
      <c r="F1919">
        <v>41</v>
      </c>
      <c r="G1919">
        <v>2425544</v>
      </c>
      <c r="H1919" t="s">
        <v>17436</v>
      </c>
      <c r="J1919" s="54" t="s">
        <v>6052</v>
      </c>
      <c r="K1919" s="54">
        <v>0</v>
      </c>
      <c r="L1919" s="22" t="s">
        <v>36807</v>
      </c>
      <c r="M1919" s="22" t="s">
        <v>36952</v>
      </c>
    </row>
    <row r="1920" spans="1:13" x14ac:dyDescent="0.75">
      <c r="A1920" t="s">
        <v>14384</v>
      </c>
      <c r="B1920" t="s">
        <v>11068</v>
      </c>
      <c r="C1920" t="s">
        <v>6081</v>
      </c>
      <c r="D1920" t="s">
        <v>11069</v>
      </c>
      <c r="E1920" t="s">
        <v>14385</v>
      </c>
      <c r="F1920">
        <v>81</v>
      </c>
      <c r="G1920">
        <v>2815167</v>
      </c>
      <c r="H1920" t="s">
        <v>14386</v>
      </c>
      <c r="J1920" s="54" t="s">
        <v>6052</v>
      </c>
      <c r="K1920" s="54">
        <v>0</v>
      </c>
      <c r="L1920" s="22" t="s">
        <v>1563</v>
      </c>
      <c r="M1920" s="22" t="s">
        <v>36941</v>
      </c>
    </row>
    <row r="1921" spans="1:13" x14ac:dyDescent="0.75">
      <c r="A1921" t="s">
        <v>17431</v>
      </c>
      <c r="B1921" t="s">
        <v>7112</v>
      </c>
      <c r="C1921" t="s">
        <v>6081</v>
      </c>
      <c r="D1921" t="s">
        <v>7113</v>
      </c>
      <c r="E1921" t="s">
        <v>17432</v>
      </c>
      <c r="F1921">
        <v>54</v>
      </c>
      <c r="G1921">
        <v>2492575</v>
      </c>
      <c r="H1921" t="s">
        <v>17433</v>
      </c>
      <c r="J1921" s="54" t="s">
        <v>6052</v>
      </c>
      <c r="K1921" s="54">
        <v>0</v>
      </c>
      <c r="L1921" s="22" t="s">
        <v>36807</v>
      </c>
      <c r="M1921" s="22" t="s">
        <v>36952</v>
      </c>
    </row>
    <row r="1922" spans="1:13" x14ac:dyDescent="0.75">
      <c r="A1922" t="s">
        <v>21094</v>
      </c>
      <c r="B1922" t="s">
        <v>7112</v>
      </c>
      <c r="C1922" t="s">
        <v>6081</v>
      </c>
      <c r="D1922" t="s">
        <v>7113</v>
      </c>
      <c r="E1922" t="s">
        <v>21095</v>
      </c>
      <c r="F1922">
        <v>30</v>
      </c>
      <c r="G1922">
        <v>2493542</v>
      </c>
      <c r="H1922" t="s">
        <v>21096</v>
      </c>
      <c r="J1922" s="54" t="s">
        <v>6052</v>
      </c>
      <c r="K1922" s="54">
        <v>0</v>
      </c>
      <c r="L1922" s="22" t="s">
        <v>36807</v>
      </c>
      <c r="M1922" s="22" t="s">
        <v>36952</v>
      </c>
    </row>
    <row r="1923" spans="1:13" x14ac:dyDescent="0.75">
      <c r="A1923" t="s">
        <v>25845</v>
      </c>
      <c r="B1923" t="s">
        <v>7112</v>
      </c>
      <c r="C1923" t="s">
        <v>6081</v>
      </c>
      <c r="D1923" t="s">
        <v>7113</v>
      </c>
      <c r="E1923" t="s">
        <v>25846</v>
      </c>
      <c r="F1923">
        <v>136</v>
      </c>
      <c r="G1923">
        <v>2658637</v>
      </c>
      <c r="H1923" t="s">
        <v>25847</v>
      </c>
      <c r="J1923" s="54" t="s">
        <v>6052</v>
      </c>
      <c r="K1923" s="54">
        <v>0</v>
      </c>
      <c r="L1923" s="22" t="s">
        <v>36807</v>
      </c>
      <c r="M1923" s="22" t="s">
        <v>36952</v>
      </c>
    </row>
    <row r="1924" spans="1:13" x14ac:dyDescent="0.75">
      <c r="A1924" t="s">
        <v>25839</v>
      </c>
      <c r="B1924" t="s">
        <v>12006</v>
      </c>
      <c r="C1924" t="s">
        <v>6081</v>
      </c>
      <c r="D1924" t="s">
        <v>12007</v>
      </c>
      <c r="E1924" t="s">
        <v>25840</v>
      </c>
      <c r="F1924">
        <v>43</v>
      </c>
      <c r="G1924">
        <v>2646359</v>
      </c>
      <c r="H1924" t="s">
        <v>25841</v>
      </c>
      <c r="J1924" s="54" t="s">
        <v>6052</v>
      </c>
      <c r="K1924" s="54">
        <v>0</v>
      </c>
      <c r="L1924" s="22" t="s">
        <v>1563</v>
      </c>
      <c r="M1924" s="22" t="s">
        <v>36950</v>
      </c>
    </row>
    <row r="1925" spans="1:13" x14ac:dyDescent="0.75">
      <c r="A1925" t="s">
        <v>25914</v>
      </c>
      <c r="B1925" t="s">
        <v>6803</v>
      </c>
      <c r="C1925" t="s">
        <v>6081</v>
      </c>
      <c r="D1925" t="s">
        <v>6804</v>
      </c>
      <c r="E1925" t="s">
        <v>25915</v>
      </c>
      <c r="F1925">
        <v>61</v>
      </c>
      <c r="G1925">
        <v>2596233</v>
      </c>
      <c r="H1925" t="s">
        <v>25916</v>
      </c>
      <c r="J1925" s="54" t="s">
        <v>6052</v>
      </c>
      <c r="K1925" s="54">
        <v>0</v>
      </c>
      <c r="L1925" s="22" t="s">
        <v>1563</v>
      </c>
      <c r="M1925" s="22" t="s">
        <v>36940</v>
      </c>
    </row>
    <row r="1926" spans="1:13" x14ac:dyDescent="0.75">
      <c r="A1926" t="s">
        <v>25836</v>
      </c>
      <c r="B1926" t="s">
        <v>7112</v>
      </c>
      <c r="C1926" t="s">
        <v>6081</v>
      </c>
      <c r="D1926" t="s">
        <v>7113</v>
      </c>
      <c r="E1926" t="s">
        <v>25837</v>
      </c>
      <c r="F1926">
        <v>164</v>
      </c>
      <c r="G1926">
        <v>2533841</v>
      </c>
      <c r="H1926" t="s">
        <v>25838</v>
      </c>
      <c r="J1926" s="54" t="s">
        <v>6052</v>
      </c>
      <c r="K1926" s="54">
        <v>0</v>
      </c>
      <c r="L1926" s="22" t="s">
        <v>36807</v>
      </c>
      <c r="M1926" s="22" t="s">
        <v>36952</v>
      </c>
    </row>
    <row r="1927" spans="1:13" x14ac:dyDescent="0.75">
      <c r="A1927" t="s">
        <v>17428</v>
      </c>
      <c r="B1927" t="s">
        <v>6080</v>
      </c>
      <c r="C1927" t="s">
        <v>6081</v>
      </c>
      <c r="D1927" t="s">
        <v>6082</v>
      </c>
      <c r="E1927" t="s">
        <v>17429</v>
      </c>
      <c r="F1927">
        <v>65</v>
      </c>
      <c r="G1927">
        <v>2422276</v>
      </c>
      <c r="H1927" t="s">
        <v>17430</v>
      </c>
      <c r="J1927" s="54" t="s">
        <v>6052</v>
      </c>
      <c r="K1927" s="54">
        <v>0</v>
      </c>
      <c r="L1927" s="22" t="s">
        <v>1563</v>
      </c>
      <c r="M1927" s="22" t="s">
        <v>36956</v>
      </c>
    </row>
    <row r="1928" spans="1:13" x14ac:dyDescent="0.75">
      <c r="A1928" t="s">
        <v>18189</v>
      </c>
      <c r="B1928" t="s">
        <v>14348</v>
      </c>
      <c r="C1928" t="s">
        <v>6081</v>
      </c>
      <c r="D1928" t="s">
        <v>14349</v>
      </c>
      <c r="E1928" t="s">
        <v>18190</v>
      </c>
      <c r="F1928">
        <v>62</v>
      </c>
      <c r="G1928">
        <v>2483223</v>
      </c>
      <c r="H1928" t="s">
        <v>18191</v>
      </c>
      <c r="J1928" s="54" t="s">
        <v>6052</v>
      </c>
      <c r="K1928" s="54">
        <v>0</v>
      </c>
      <c r="L1928" s="22" t="s">
        <v>1563</v>
      </c>
      <c r="M1928" s="22" t="s">
        <v>36968</v>
      </c>
    </row>
    <row r="1929" spans="1:13" x14ac:dyDescent="0.75">
      <c r="A1929" t="s">
        <v>21091</v>
      </c>
      <c r="B1929" t="s">
        <v>6394</v>
      </c>
      <c r="C1929" t="s">
        <v>6081</v>
      </c>
      <c r="D1929" t="s">
        <v>6395</v>
      </c>
      <c r="E1929" t="s">
        <v>21092</v>
      </c>
      <c r="F1929">
        <v>44</v>
      </c>
      <c r="G1929">
        <v>2683029</v>
      </c>
      <c r="H1929" t="s">
        <v>21093</v>
      </c>
      <c r="J1929" s="54" t="s">
        <v>6052</v>
      </c>
      <c r="K1929" s="54">
        <v>0</v>
      </c>
      <c r="L1929" s="22" t="s">
        <v>1563</v>
      </c>
      <c r="M1929" s="22" t="s">
        <v>36948</v>
      </c>
    </row>
    <row r="1930" spans="1:13" x14ac:dyDescent="0.75">
      <c r="A1930" t="s">
        <v>17422</v>
      </c>
      <c r="B1930" t="s">
        <v>6080</v>
      </c>
      <c r="C1930" t="s">
        <v>6081</v>
      </c>
      <c r="D1930" t="s">
        <v>6082</v>
      </c>
      <c r="E1930" t="s">
        <v>17423</v>
      </c>
      <c r="F1930">
        <v>61</v>
      </c>
      <c r="G1930">
        <v>2494409</v>
      </c>
      <c r="H1930" t="s">
        <v>17424</v>
      </c>
      <c r="J1930" s="54" t="s">
        <v>6052</v>
      </c>
      <c r="K1930" s="54">
        <v>0</v>
      </c>
      <c r="L1930" s="22" t="s">
        <v>1563</v>
      </c>
      <c r="M1930" s="22" t="s">
        <v>36956</v>
      </c>
    </row>
    <row r="1931" spans="1:13" x14ac:dyDescent="0.75">
      <c r="A1931" t="s">
        <v>17419</v>
      </c>
      <c r="B1931" t="s">
        <v>6080</v>
      </c>
      <c r="C1931" t="s">
        <v>6081</v>
      </c>
      <c r="D1931" t="s">
        <v>6082</v>
      </c>
      <c r="E1931" t="s">
        <v>17420</v>
      </c>
      <c r="F1931">
        <v>65</v>
      </c>
      <c r="G1931">
        <v>2565104</v>
      </c>
      <c r="H1931" t="s">
        <v>17421</v>
      </c>
      <c r="J1931" s="54" t="s">
        <v>6052</v>
      </c>
      <c r="K1931" s="54">
        <v>0</v>
      </c>
      <c r="L1931" s="22" t="s">
        <v>1563</v>
      </c>
      <c r="M1931" s="22" t="s">
        <v>36956</v>
      </c>
    </row>
    <row r="1932" spans="1:13" x14ac:dyDescent="0.75">
      <c r="A1932" t="s">
        <v>23775</v>
      </c>
      <c r="B1932" t="s">
        <v>7112</v>
      </c>
      <c r="C1932" t="s">
        <v>6081</v>
      </c>
      <c r="D1932" t="s">
        <v>7113</v>
      </c>
      <c r="E1932" t="s">
        <v>23776</v>
      </c>
      <c r="F1932">
        <v>103</v>
      </c>
      <c r="G1932">
        <v>2641344</v>
      </c>
      <c r="H1932" t="s">
        <v>23777</v>
      </c>
      <c r="J1932" s="54" t="s">
        <v>6052</v>
      </c>
      <c r="K1932" s="54">
        <v>0</v>
      </c>
      <c r="L1932" s="22" t="s">
        <v>36807</v>
      </c>
      <c r="M1932" s="22" t="s">
        <v>36952</v>
      </c>
    </row>
    <row r="1933" spans="1:13" x14ac:dyDescent="0.75">
      <c r="A1933" t="s">
        <v>23772</v>
      </c>
      <c r="B1933" t="s">
        <v>7112</v>
      </c>
      <c r="C1933" t="s">
        <v>6081</v>
      </c>
      <c r="D1933" t="s">
        <v>7113</v>
      </c>
      <c r="E1933" t="s">
        <v>23773</v>
      </c>
      <c r="F1933">
        <v>133</v>
      </c>
      <c r="G1933">
        <v>2640866</v>
      </c>
      <c r="H1933" t="s">
        <v>23774</v>
      </c>
      <c r="J1933" s="54" t="s">
        <v>6052</v>
      </c>
      <c r="K1933" s="54">
        <v>0</v>
      </c>
      <c r="L1933" s="22" t="s">
        <v>36807</v>
      </c>
      <c r="M1933" s="22" t="s">
        <v>36952</v>
      </c>
    </row>
    <row r="1934" spans="1:13" x14ac:dyDescent="0.75">
      <c r="A1934" t="s">
        <v>23778</v>
      </c>
      <c r="B1934" t="s">
        <v>7112</v>
      </c>
      <c r="C1934" t="s">
        <v>6081</v>
      </c>
      <c r="D1934" t="s">
        <v>7113</v>
      </c>
      <c r="E1934" t="s">
        <v>23779</v>
      </c>
      <c r="F1934">
        <v>130</v>
      </c>
      <c r="G1934">
        <v>2632447</v>
      </c>
      <c r="H1934" t="s">
        <v>23780</v>
      </c>
      <c r="J1934" s="54" t="s">
        <v>6052</v>
      </c>
      <c r="K1934" s="54">
        <v>0</v>
      </c>
      <c r="L1934" s="22" t="s">
        <v>36807</v>
      </c>
      <c r="M1934" s="22" t="s">
        <v>36952</v>
      </c>
    </row>
    <row r="1935" spans="1:13" x14ac:dyDescent="0.75">
      <c r="A1935" t="s">
        <v>17297</v>
      </c>
      <c r="B1935" t="s">
        <v>6526</v>
      </c>
      <c r="C1935" t="s">
        <v>6081</v>
      </c>
      <c r="D1935" t="s">
        <v>6527</v>
      </c>
      <c r="E1935" t="s">
        <v>17298</v>
      </c>
      <c r="F1935">
        <v>65</v>
      </c>
      <c r="G1935">
        <v>2303392</v>
      </c>
      <c r="H1935" t="s">
        <v>17299</v>
      </c>
      <c r="J1935" s="54" t="s">
        <v>6052</v>
      </c>
      <c r="K1935" s="54">
        <v>0</v>
      </c>
      <c r="L1935" s="22" t="s">
        <v>1563</v>
      </c>
      <c r="M1935" s="22" t="s">
        <v>36970</v>
      </c>
    </row>
    <row r="1936" spans="1:13" x14ac:dyDescent="0.75">
      <c r="A1936" t="s">
        <v>23769</v>
      </c>
      <c r="B1936" t="s">
        <v>7112</v>
      </c>
      <c r="C1936" t="s">
        <v>6081</v>
      </c>
      <c r="D1936" t="s">
        <v>7113</v>
      </c>
      <c r="E1936" t="s">
        <v>23770</v>
      </c>
      <c r="F1936">
        <v>144</v>
      </c>
      <c r="G1936">
        <v>2663586</v>
      </c>
      <c r="H1936" t="s">
        <v>23771</v>
      </c>
      <c r="J1936" s="54" t="s">
        <v>6052</v>
      </c>
      <c r="K1936" s="54">
        <v>0</v>
      </c>
      <c r="L1936" s="22" t="s">
        <v>36807</v>
      </c>
      <c r="M1936" s="22" t="s">
        <v>36952</v>
      </c>
    </row>
    <row r="1937" spans="1:13" x14ac:dyDescent="0.75">
      <c r="A1937" t="s">
        <v>23766</v>
      </c>
      <c r="B1937" t="s">
        <v>7112</v>
      </c>
      <c r="C1937" t="s">
        <v>6081</v>
      </c>
      <c r="D1937" t="s">
        <v>7113</v>
      </c>
      <c r="E1937" t="s">
        <v>23767</v>
      </c>
      <c r="F1937">
        <v>142</v>
      </c>
      <c r="G1937">
        <v>2639734</v>
      </c>
      <c r="H1937" t="s">
        <v>23768</v>
      </c>
      <c r="J1937" s="54" t="s">
        <v>6052</v>
      </c>
      <c r="K1937" s="54">
        <v>0</v>
      </c>
      <c r="L1937" s="22" t="s">
        <v>36807</v>
      </c>
      <c r="M1937" s="22" t="s">
        <v>36952</v>
      </c>
    </row>
    <row r="1938" spans="1:13" x14ac:dyDescent="0.75">
      <c r="A1938" t="s">
        <v>17288</v>
      </c>
      <c r="B1938" t="s">
        <v>6526</v>
      </c>
      <c r="C1938" t="s">
        <v>6081</v>
      </c>
      <c r="D1938" t="s">
        <v>6527</v>
      </c>
      <c r="E1938" t="s">
        <v>17289</v>
      </c>
      <c r="F1938">
        <v>53</v>
      </c>
      <c r="G1938">
        <v>2402972</v>
      </c>
      <c r="H1938" t="s">
        <v>17290</v>
      </c>
      <c r="J1938" s="54" t="s">
        <v>6052</v>
      </c>
      <c r="K1938" s="54">
        <v>0</v>
      </c>
      <c r="L1938" s="22" t="s">
        <v>1563</v>
      </c>
      <c r="M1938" s="22" t="s">
        <v>36970</v>
      </c>
    </row>
    <row r="1939" spans="1:13" x14ac:dyDescent="0.75">
      <c r="A1939" t="s">
        <v>17291</v>
      </c>
      <c r="B1939" t="s">
        <v>6526</v>
      </c>
      <c r="C1939" t="s">
        <v>6081</v>
      </c>
      <c r="D1939" t="s">
        <v>6527</v>
      </c>
      <c r="E1939" t="s">
        <v>17292</v>
      </c>
      <c r="F1939">
        <v>59</v>
      </c>
      <c r="G1939">
        <v>2315346</v>
      </c>
      <c r="H1939" t="s">
        <v>17293</v>
      </c>
      <c r="J1939" s="54" t="s">
        <v>6052</v>
      </c>
      <c r="K1939" s="54">
        <v>0</v>
      </c>
      <c r="L1939" s="22" t="s">
        <v>1563</v>
      </c>
      <c r="M1939" s="22" t="s">
        <v>36970</v>
      </c>
    </row>
    <row r="1940" spans="1:13" x14ac:dyDescent="0.75">
      <c r="A1940" t="s">
        <v>23763</v>
      </c>
      <c r="B1940" t="s">
        <v>7112</v>
      </c>
      <c r="C1940" t="s">
        <v>6081</v>
      </c>
      <c r="D1940" t="s">
        <v>7113</v>
      </c>
      <c r="E1940" t="s">
        <v>23764</v>
      </c>
      <c r="F1940">
        <v>93</v>
      </c>
      <c r="G1940">
        <v>2589448</v>
      </c>
      <c r="H1940" t="s">
        <v>23765</v>
      </c>
      <c r="J1940" s="54" t="s">
        <v>6052</v>
      </c>
      <c r="K1940" s="54">
        <v>0</v>
      </c>
      <c r="L1940" s="22" t="s">
        <v>36807</v>
      </c>
      <c r="M1940" s="22" t="s">
        <v>36952</v>
      </c>
    </row>
    <row r="1941" spans="1:13" x14ac:dyDescent="0.75">
      <c r="A1941" t="s">
        <v>12018</v>
      </c>
      <c r="B1941" t="s">
        <v>12006</v>
      </c>
      <c r="C1941" t="s">
        <v>6081</v>
      </c>
      <c r="D1941" t="s">
        <v>12007</v>
      </c>
      <c r="E1941" t="s">
        <v>12019</v>
      </c>
      <c r="F1941">
        <v>1</v>
      </c>
      <c r="G1941">
        <v>2598702</v>
      </c>
      <c r="H1941" t="s">
        <v>12020</v>
      </c>
      <c r="J1941" s="54" t="s">
        <v>6052</v>
      </c>
      <c r="K1941" s="54">
        <v>0</v>
      </c>
      <c r="L1941" s="22" t="s">
        <v>1563</v>
      </c>
      <c r="M1941" s="22" t="s">
        <v>36950</v>
      </c>
    </row>
    <row r="1942" spans="1:13" x14ac:dyDescent="0.75">
      <c r="A1942" t="s">
        <v>16536</v>
      </c>
      <c r="B1942" t="s">
        <v>6803</v>
      </c>
      <c r="C1942" t="s">
        <v>6081</v>
      </c>
      <c r="D1942" t="s">
        <v>6804</v>
      </c>
      <c r="E1942" t="s">
        <v>16537</v>
      </c>
      <c r="F1942">
        <v>99</v>
      </c>
      <c r="G1942">
        <v>2824576</v>
      </c>
      <c r="H1942" t="s">
        <v>16538</v>
      </c>
      <c r="J1942" s="54" t="s">
        <v>6052</v>
      </c>
      <c r="K1942" s="54">
        <v>0</v>
      </c>
      <c r="L1942" s="22" t="s">
        <v>1563</v>
      </c>
      <c r="M1942" s="22" t="s">
        <v>36940</v>
      </c>
    </row>
    <row r="1943" spans="1:13" x14ac:dyDescent="0.75">
      <c r="A1943" t="s">
        <v>30148</v>
      </c>
      <c r="B1943" t="s">
        <v>9970</v>
      </c>
      <c r="C1943" t="s">
        <v>6081</v>
      </c>
      <c r="D1943" t="s">
        <v>9971</v>
      </c>
      <c r="E1943" t="s">
        <v>30149</v>
      </c>
      <c r="F1943">
        <v>24</v>
      </c>
      <c r="G1943">
        <v>2337165</v>
      </c>
      <c r="H1943" t="s">
        <v>30150</v>
      </c>
      <c r="J1943" s="54" t="s">
        <v>6052</v>
      </c>
      <c r="K1943" s="54">
        <v>0</v>
      </c>
      <c r="L1943" s="22" t="s">
        <v>36807</v>
      </c>
      <c r="M1943" s="22" t="s">
        <v>36945</v>
      </c>
    </row>
    <row r="1944" spans="1:13" x14ac:dyDescent="0.75">
      <c r="A1944" t="s">
        <v>30065</v>
      </c>
      <c r="B1944" t="s">
        <v>8855</v>
      </c>
      <c r="C1944" t="s">
        <v>6081</v>
      </c>
      <c r="D1944" t="s">
        <v>8856</v>
      </c>
      <c r="E1944" t="s">
        <v>30066</v>
      </c>
      <c r="F1944">
        <v>35</v>
      </c>
      <c r="G1944">
        <v>2138777</v>
      </c>
      <c r="H1944" t="s">
        <v>30067</v>
      </c>
      <c r="J1944" s="54" t="s">
        <v>6052</v>
      </c>
      <c r="K1944" s="54">
        <v>0</v>
      </c>
      <c r="L1944" s="22" t="s">
        <v>36805</v>
      </c>
      <c r="M1944" s="22" t="s">
        <v>36961</v>
      </c>
    </row>
    <row r="1945" spans="1:13" x14ac:dyDescent="0.75">
      <c r="A1945" t="s">
        <v>18779</v>
      </c>
      <c r="B1945" t="s">
        <v>8621</v>
      </c>
      <c r="C1945" t="s">
        <v>8622</v>
      </c>
      <c r="D1945" t="s">
        <v>8623</v>
      </c>
      <c r="E1945" t="s">
        <v>18780</v>
      </c>
      <c r="F1945">
        <v>1</v>
      </c>
      <c r="G1945">
        <v>4315383</v>
      </c>
      <c r="H1945" t="s">
        <v>18781</v>
      </c>
      <c r="J1945" s="54" t="s">
        <v>6052</v>
      </c>
      <c r="K1945" s="54">
        <v>0</v>
      </c>
      <c r="L1945" s="22" t="s">
        <v>144</v>
      </c>
      <c r="M1945" s="22" t="s">
        <v>36971</v>
      </c>
    </row>
    <row r="1946" spans="1:13" x14ac:dyDescent="0.75">
      <c r="A1946" t="s">
        <v>10856</v>
      </c>
      <c r="B1946" t="s">
        <v>8621</v>
      </c>
      <c r="C1946" t="s">
        <v>8622</v>
      </c>
      <c r="D1946" t="s">
        <v>8623</v>
      </c>
      <c r="E1946" t="s">
        <v>10857</v>
      </c>
      <c r="F1946">
        <v>4</v>
      </c>
      <c r="G1946">
        <v>4663565</v>
      </c>
      <c r="H1946" t="s">
        <v>10858</v>
      </c>
      <c r="J1946" s="54" t="s">
        <v>6052</v>
      </c>
      <c r="K1946" s="54">
        <v>0</v>
      </c>
      <c r="L1946" s="22" t="s">
        <v>144</v>
      </c>
      <c r="M1946" s="22" t="s">
        <v>36971</v>
      </c>
    </row>
    <row r="1947" spans="1:13" x14ac:dyDescent="0.75">
      <c r="A1947" t="s">
        <v>21076</v>
      </c>
      <c r="B1947" t="s">
        <v>8621</v>
      </c>
      <c r="C1947" t="s">
        <v>8622</v>
      </c>
      <c r="D1947" t="s">
        <v>8623</v>
      </c>
      <c r="E1947" t="s">
        <v>21077</v>
      </c>
      <c r="F1947">
        <v>3</v>
      </c>
      <c r="G1947">
        <v>4585350</v>
      </c>
      <c r="H1947" t="s">
        <v>21078</v>
      </c>
      <c r="J1947" s="54" t="s">
        <v>6052</v>
      </c>
      <c r="K1947" s="54">
        <v>0</v>
      </c>
      <c r="L1947" s="22" t="s">
        <v>144</v>
      </c>
      <c r="M1947" s="22" t="s">
        <v>36971</v>
      </c>
    </row>
    <row r="1948" spans="1:13" x14ac:dyDescent="0.75">
      <c r="A1948" t="s">
        <v>21079</v>
      </c>
      <c r="B1948" t="s">
        <v>8621</v>
      </c>
      <c r="C1948" t="s">
        <v>8622</v>
      </c>
      <c r="D1948" t="s">
        <v>8623</v>
      </c>
      <c r="E1948" t="s">
        <v>21080</v>
      </c>
      <c r="F1948">
        <v>3</v>
      </c>
      <c r="G1948">
        <v>4501378</v>
      </c>
      <c r="H1948" t="s">
        <v>21081</v>
      </c>
      <c r="J1948" s="54" t="s">
        <v>6052</v>
      </c>
      <c r="K1948" s="54">
        <v>0</v>
      </c>
      <c r="L1948" s="22" t="s">
        <v>144</v>
      </c>
      <c r="M1948" s="22" t="s">
        <v>36971</v>
      </c>
    </row>
    <row r="1949" spans="1:13" x14ac:dyDescent="0.75">
      <c r="A1949" t="s">
        <v>17719</v>
      </c>
      <c r="B1949" t="s">
        <v>8621</v>
      </c>
      <c r="C1949" t="s">
        <v>8622</v>
      </c>
      <c r="D1949" t="s">
        <v>8623</v>
      </c>
      <c r="E1949" t="s">
        <v>17720</v>
      </c>
      <c r="F1949">
        <v>4</v>
      </c>
      <c r="G1949">
        <v>4581781</v>
      </c>
      <c r="H1949" t="s">
        <v>17721</v>
      </c>
      <c r="J1949" s="54" t="s">
        <v>6052</v>
      </c>
      <c r="K1949" s="54">
        <v>0</v>
      </c>
      <c r="L1949" s="22" t="s">
        <v>144</v>
      </c>
      <c r="M1949" s="22" t="s">
        <v>36971</v>
      </c>
    </row>
    <row r="1950" spans="1:13" x14ac:dyDescent="0.75">
      <c r="A1950" t="s">
        <v>15800</v>
      </c>
      <c r="B1950" t="s">
        <v>8621</v>
      </c>
      <c r="C1950" t="s">
        <v>8622</v>
      </c>
      <c r="D1950" t="s">
        <v>8623</v>
      </c>
      <c r="E1950" t="s">
        <v>15801</v>
      </c>
      <c r="F1950">
        <v>3</v>
      </c>
      <c r="G1950">
        <v>4437993</v>
      </c>
      <c r="H1950" t="s">
        <v>15802</v>
      </c>
      <c r="J1950" s="54" t="s">
        <v>6052</v>
      </c>
      <c r="K1950" s="54">
        <v>0</v>
      </c>
      <c r="L1950" s="22" t="s">
        <v>144</v>
      </c>
      <c r="M1950" s="22" t="s">
        <v>36971</v>
      </c>
    </row>
    <row r="1951" spans="1:13" x14ac:dyDescent="0.75">
      <c r="A1951" t="s">
        <v>8620</v>
      </c>
      <c r="B1951" t="s">
        <v>8621</v>
      </c>
      <c r="C1951" t="s">
        <v>8622</v>
      </c>
      <c r="D1951" t="s">
        <v>8623</v>
      </c>
      <c r="E1951" t="s">
        <v>8624</v>
      </c>
      <c r="F1951">
        <v>1</v>
      </c>
      <c r="G1951">
        <v>4268675</v>
      </c>
      <c r="H1951" t="s">
        <v>8625</v>
      </c>
      <c r="J1951" s="54" t="s">
        <v>6052</v>
      </c>
      <c r="K1951" s="54">
        <v>0</v>
      </c>
      <c r="L1951" s="22" t="s">
        <v>144</v>
      </c>
      <c r="M1951" s="22" t="s">
        <v>36971</v>
      </c>
    </row>
    <row r="1952" spans="1:13" x14ac:dyDescent="0.75">
      <c r="A1952" t="s">
        <v>10381</v>
      </c>
      <c r="B1952" t="s">
        <v>8621</v>
      </c>
      <c r="C1952" t="s">
        <v>8622</v>
      </c>
      <c r="D1952" t="s">
        <v>8623</v>
      </c>
      <c r="E1952" t="s">
        <v>10382</v>
      </c>
      <c r="F1952">
        <v>100</v>
      </c>
      <c r="G1952">
        <v>4548307</v>
      </c>
      <c r="H1952" t="s">
        <v>10383</v>
      </c>
      <c r="J1952" s="54" t="s">
        <v>6052</v>
      </c>
      <c r="K1952" s="54">
        <v>0</v>
      </c>
      <c r="L1952" s="22" t="s">
        <v>144</v>
      </c>
      <c r="M1952" s="22" t="s">
        <v>36971</v>
      </c>
    </row>
    <row r="1953" spans="1:13" x14ac:dyDescent="0.75">
      <c r="A1953" t="s">
        <v>27436</v>
      </c>
      <c r="B1953" t="s">
        <v>8621</v>
      </c>
      <c r="C1953" t="s">
        <v>8622</v>
      </c>
      <c r="D1953" t="s">
        <v>8623</v>
      </c>
      <c r="E1953" t="s">
        <v>27437</v>
      </c>
      <c r="F1953">
        <v>11</v>
      </c>
      <c r="G1953">
        <v>4691673</v>
      </c>
      <c r="H1953" t="s">
        <v>27438</v>
      </c>
      <c r="J1953" s="54" t="s">
        <v>6052</v>
      </c>
      <c r="K1953" s="54">
        <v>0</v>
      </c>
      <c r="L1953" s="22" t="s">
        <v>144</v>
      </c>
      <c r="M1953" s="22" t="s">
        <v>36971</v>
      </c>
    </row>
    <row r="1954" spans="1:13" x14ac:dyDescent="0.75">
      <c r="A1954" t="s">
        <v>12131</v>
      </c>
      <c r="B1954" t="s">
        <v>6774</v>
      </c>
      <c r="C1954" t="s">
        <v>6107</v>
      </c>
      <c r="D1954" t="s">
        <v>6775</v>
      </c>
      <c r="E1954" t="s">
        <v>12132</v>
      </c>
      <c r="F1954">
        <v>37</v>
      </c>
      <c r="G1954">
        <v>2100099</v>
      </c>
      <c r="H1954" t="s">
        <v>12133</v>
      </c>
      <c r="J1954" s="54" t="s">
        <v>6052</v>
      </c>
      <c r="K1954" s="54">
        <v>0</v>
      </c>
      <c r="L1954" s="22" t="s">
        <v>104</v>
      </c>
      <c r="M1954" s="22" t="s">
        <v>37010</v>
      </c>
    </row>
    <row r="1955" spans="1:13" x14ac:dyDescent="0.75">
      <c r="A1955" t="s">
        <v>22201</v>
      </c>
      <c r="B1955" t="s">
        <v>6774</v>
      </c>
      <c r="C1955" t="s">
        <v>6107</v>
      </c>
      <c r="D1955" t="s">
        <v>6775</v>
      </c>
      <c r="E1955" t="s">
        <v>22202</v>
      </c>
      <c r="F1955">
        <v>149</v>
      </c>
      <c r="G1955">
        <v>2954775</v>
      </c>
      <c r="H1955" t="s">
        <v>22203</v>
      </c>
      <c r="J1955" s="54" t="s">
        <v>6052</v>
      </c>
      <c r="K1955" s="54">
        <v>0</v>
      </c>
      <c r="L1955" s="22" t="s">
        <v>104</v>
      </c>
      <c r="M1955" s="22" t="s">
        <v>37010</v>
      </c>
    </row>
    <row r="1956" spans="1:13" x14ac:dyDescent="0.75">
      <c r="A1956" t="s">
        <v>28343</v>
      </c>
      <c r="B1956" t="s">
        <v>6774</v>
      </c>
      <c r="C1956" t="s">
        <v>6107</v>
      </c>
      <c r="D1956" t="s">
        <v>6775</v>
      </c>
      <c r="E1956" t="s">
        <v>28344</v>
      </c>
      <c r="F1956">
        <v>34</v>
      </c>
      <c r="G1956">
        <v>2094695</v>
      </c>
      <c r="H1956" t="s">
        <v>28345</v>
      </c>
      <c r="J1956" s="54" t="s">
        <v>6052</v>
      </c>
      <c r="K1956" s="54">
        <v>0</v>
      </c>
      <c r="L1956" s="22" t="s">
        <v>104</v>
      </c>
      <c r="M1956" s="22" t="s">
        <v>37010</v>
      </c>
    </row>
    <row r="1957" spans="1:13" x14ac:dyDescent="0.75">
      <c r="A1957" t="s">
        <v>18400</v>
      </c>
      <c r="B1957" t="s">
        <v>11500</v>
      </c>
      <c r="C1957" t="s">
        <v>11501</v>
      </c>
      <c r="D1957" t="s">
        <v>11502</v>
      </c>
      <c r="E1957" t="s">
        <v>18401</v>
      </c>
      <c r="F1957">
        <v>123</v>
      </c>
      <c r="G1957">
        <v>5761323</v>
      </c>
      <c r="H1957" t="s">
        <v>18402</v>
      </c>
      <c r="J1957" s="54" t="s">
        <v>6052</v>
      </c>
      <c r="K1957" s="54">
        <v>0</v>
      </c>
      <c r="L1957" s="22" t="s">
        <v>144</v>
      </c>
      <c r="M1957" s="22" t="s">
        <v>36973</v>
      </c>
    </row>
    <row r="1958" spans="1:13" x14ac:dyDescent="0.75">
      <c r="A1958" t="s">
        <v>17468</v>
      </c>
      <c r="B1958" t="s">
        <v>11500</v>
      </c>
      <c r="C1958" t="s">
        <v>11501</v>
      </c>
      <c r="D1958" t="s">
        <v>11502</v>
      </c>
      <c r="E1958" t="s">
        <v>17469</v>
      </c>
      <c r="F1958">
        <v>115</v>
      </c>
      <c r="G1958">
        <v>5792089</v>
      </c>
      <c r="H1958" t="s">
        <v>17470</v>
      </c>
      <c r="J1958" s="54" t="s">
        <v>6052</v>
      </c>
      <c r="K1958" s="54">
        <v>0</v>
      </c>
      <c r="L1958" s="22" t="s">
        <v>144</v>
      </c>
      <c r="M1958" s="22" t="s">
        <v>36973</v>
      </c>
    </row>
    <row r="1959" spans="1:13" x14ac:dyDescent="0.75">
      <c r="A1959" t="s">
        <v>11499</v>
      </c>
      <c r="B1959" t="s">
        <v>11500</v>
      </c>
      <c r="C1959" t="s">
        <v>11501</v>
      </c>
      <c r="D1959" t="s">
        <v>11502</v>
      </c>
      <c r="E1959" t="s">
        <v>10793</v>
      </c>
      <c r="F1959">
        <v>2</v>
      </c>
      <c r="G1959">
        <v>5578743</v>
      </c>
      <c r="H1959" t="s">
        <v>11503</v>
      </c>
      <c r="J1959" s="54" t="s">
        <v>6052</v>
      </c>
      <c r="K1959" s="54">
        <v>0</v>
      </c>
      <c r="L1959" s="22" t="s">
        <v>144</v>
      </c>
      <c r="M1959" s="22" t="s">
        <v>36973</v>
      </c>
    </row>
    <row r="1960" spans="1:13" x14ac:dyDescent="0.75">
      <c r="A1960" t="s">
        <v>24158</v>
      </c>
      <c r="B1960" t="s">
        <v>11500</v>
      </c>
      <c r="C1960" t="s">
        <v>11501</v>
      </c>
      <c r="D1960" t="s">
        <v>11502</v>
      </c>
      <c r="E1960" t="s">
        <v>24159</v>
      </c>
      <c r="F1960">
        <v>19</v>
      </c>
      <c r="G1960">
        <v>5544442</v>
      </c>
      <c r="H1960" t="s">
        <v>24160</v>
      </c>
      <c r="J1960" s="54" t="s">
        <v>6052</v>
      </c>
      <c r="K1960" s="54">
        <v>0</v>
      </c>
      <c r="L1960" s="22" t="s">
        <v>144</v>
      </c>
      <c r="M1960" s="22" t="s">
        <v>36973</v>
      </c>
    </row>
    <row r="1961" spans="1:13" x14ac:dyDescent="0.75">
      <c r="A1961" t="s">
        <v>24161</v>
      </c>
      <c r="B1961" t="s">
        <v>11500</v>
      </c>
      <c r="C1961" t="s">
        <v>11501</v>
      </c>
      <c r="D1961" t="s">
        <v>11502</v>
      </c>
      <c r="E1961" t="s">
        <v>24162</v>
      </c>
      <c r="F1961">
        <v>20</v>
      </c>
      <c r="G1961">
        <v>5437722</v>
      </c>
      <c r="H1961" t="s">
        <v>24163</v>
      </c>
      <c r="J1961" s="54" t="s">
        <v>6052</v>
      </c>
      <c r="K1961" s="54">
        <v>0</v>
      </c>
      <c r="L1961" s="22" t="s">
        <v>144</v>
      </c>
      <c r="M1961" s="22" t="s">
        <v>36973</v>
      </c>
    </row>
    <row r="1962" spans="1:13" x14ac:dyDescent="0.75">
      <c r="A1962" t="s">
        <v>18689</v>
      </c>
      <c r="B1962" t="s">
        <v>11500</v>
      </c>
      <c r="C1962" t="s">
        <v>11501</v>
      </c>
      <c r="D1962" t="s">
        <v>11502</v>
      </c>
      <c r="E1962" t="s">
        <v>18690</v>
      </c>
      <c r="F1962">
        <v>3</v>
      </c>
      <c r="G1962">
        <v>5760010</v>
      </c>
      <c r="H1962" t="s">
        <v>18691</v>
      </c>
      <c r="J1962" s="54" t="s">
        <v>6052</v>
      </c>
      <c r="K1962" s="54">
        <v>0</v>
      </c>
      <c r="L1962" s="22" t="s">
        <v>144</v>
      </c>
      <c r="M1962" s="22" t="s">
        <v>36973</v>
      </c>
    </row>
    <row r="1963" spans="1:13" x14ac:dyDescent="0.75">
      <c r="A1963" t="s">
        <v>23410</v>
      </c>
      <c r="B1963" t="s">
        <v>11500</v>
      </c>
      <c r="C1963" t="s">
        <v>11501</v>
      </c>
      <c r="D1963" t="s">
        <v>11502</v>
      </c>
      <c r="E1963" t="s">
        <v>23411</v>
      </c>
      <c r="F1963">
        <v>3</v>
      </c>
      <c r="G1963">
        <v>5835791</v>
      </c>
      <c r="H1963" t="s">
        <v>23412</v>
      </c>
      <c r="J1963" s="54" t="s">
        <v>6052</v>
      </c>
      <c r="K1963" s="54">
        <v>0</v>
      </c>
      <c r="L1963" s="22" t="s">
        <v>144</v>
      </c>
      <c r="M1963" s="22" t="s">
        <v>36973</v>
      </c>
    </row>
    <row r="1964" spans="1:13" x14ac:dyDescent="0.75">
      <c r="A1964" t="s">
        <v>24137</v>
      </c>
      <c r="B1964" t="s">
        <v>11500</v>
      </c>
      <c r="C1964" t="s">
        <v>11501</v>
      </c>
      <c r="D1964" t="s">
        <v>11502</v>
      </c>
      <c r="E1964" t="s">
        <v>24138</v>
      </c>
      <c r="F1964">
        <v>2</v>
      </c>
      <c r="G1964">
        <v>5687891</v>
      </c>
      <c r="H1964" t="s">
        <v>24139</v>
      </c>
      <c r="J1964" s="54" t="s">
        <v>6052</v>
      </c>
      <c r="K1964" s="54">
        <v>0</v>
      </c>
      <c r="L1964" s="22" t="s">
        <v>144</v>
      </c>
      <c r="M1964" s="22" t="s">
        <v>36973</v>
      </c>
    </row>
    <row r="1965" spans="1:13" x14ac:dyDescent="0.75">
      <c r="A1965" t="s">
        <v>7752</v>
      </c>
      <c r="B1965" t="s">
        <v>6141</v>
      </c>
      <c r="C1965" t="s">
        <v>6142</v>
      </c>
      <c r="D1965" t="s">
        <v>6143</v>
      </c>
      <c r="E1965">
        <v>266</v>
      </c>
      <c r="F1965">
        <v>1</v>
      </c>
      <c r="G1965">
        <v>2494578</v>
      </c>
      <c r="H1965" t="s">
        <v>7753</v>
      </c>
      <c r="J1965" s="54" t="s">
        <v>6052</v>
      </c>
      <c r="K1965" s="54">
        <v>0</v>
      </c>
      <c r="L1965" s="22" t="s">
        <v>36807</v>
      </c>
      <c r="M1965" s="22" t="s">
        <v>36974</v>
      </c>
    </row>
    <row r="1966" spans="1:13" x14ac:dyDescent="0.75">
      <c r="A1966" t="s">
        <v>7810</v>
      </c>
      <c r="B1966" t="s">
        <v>6141</v>
      </c>
      <c r="C1966" t="s">
        <v>6142</v>
      </c>
      <c r="D1966" t="s">
        <v>6143</v>
      </c>
      <c r="E1966">
        <v>6609</v>
      </c>
      <c r="F1966">
        <v>1</v>
      </c>
      <c r="G1966">
        <v>2560282</v>
      </c>
      <c r="H1966" t="s">
        <v>7811</v>
      </c>
      <c r="J1966" s="54" t="s">
        <v>6052</v>
      </c>
      <c r="K1966" s="54">
        <v>0</v>
      </c>
      <c r="L1966" s="22" t="s">
        <v>36807</v>
      </c>
      <c r="M1966" s="22" t="s">
        <v>36974</v>
      </c>
    </row>
    <row r="1967" spans="1:13" x14ac:dyDescent="0.75">
      <c r="A1967" t="s">
        <v>9297</v>
      </c>
      <c r="B1967" t="s">
        <v>7985</v>
      </c>
      <c r="C1967" t="s">
        <v>6142</v>
      </c>
      <c r="D1967" t="s">
        <v>7986</v>
      </c>
      <c r="E1967">
        <v>44067</v>
      </c>
      <c r="F1967">
        <v>1</v>
      </c>
      <c r="G1967">
        <v>2526138</v>
      </c>
      <c r="H1967" t="s">
        <v>9298</v>
      </c>
      <c r="J1967" s="54" t="s">
        <v>6052</v>
      </c>
      <c r="K1967" s="54">
        <v>0</v>
      </c>
      <c r="L1967" s="22" t="s">
        <v>36806</v>
      </c>
      <c r="M1967" s="22" t="s">
        <v>36975</v>
      </c>
    </row>
    <row r="1968" spans="1:13" x14ac:dyDescent="0.75">
      <c r="A1968" t="s">
        <v>23516</v>
      </c>
      <c r="B1968" t="s">
        <v>6590</v>
      </c>
      <c r="C1968" t="s">
        <v>6142</v>
      </c>
      <c r="D1968" t="s">
        <v>6591</v>
      </c>
      <c r="E1968" t="s">
        <v>23517</v>
      </c>
      <c r="F1968">
        <v>29</v>
      </c>
      <c r="G1968">
        <v>2631115</v>
      </c>
      <c r="H1968" t="s">
        <v>23518</v>
      </c>
      <c r="J1968" s="54" t="s">
        <v>6052</v>
      </c>
      <c r="K1968" s="54">
        <v>0</v>
      </c>
      <c r="L1968" s="22" t="s">
        <v>36806</v>
      </c>
      <c r="M1968" s="22" t="s">
        <v>36976</v>
      </c>
    </row>
    <row r="1969" spans="1:13" x14ac:dyDescent="0.75">
      <c r="A1969" t="s">
        <v>23522</v>
      </c>
      <c r="B1969" t="s">
        <v>6590</v>
      </c>
      <c r="C1969" t="s">
        <v>6142</v>
      </c>
      <c r="D1969" t="s">
        <v>6591</v>
      </c>
      <c r="E1969" t="s">
        <v>23523</v>
      </c>
      <c r="F1969">
        <v>26</v>
      </c>
      <c r="G1969">
        <v>2627068</v>
      </c>
      <c r="H1969" t="s">
        <v>23524</v>
      </c>
      <c r="J1969" s="54" t="s">
        <v>6052</v>
      </c>
      <c r="K1969" s="54">
        <v>0</v>
      </c>
      <c r="L1969" s="22" t="s">
        <v>36806</v>
      </c>
      <c r="M1969" s="22" t="s">
        <v>36976</v>
      </c>
    </row>
    <row r="1970" spans="1:13" x14ac:dyDescent="0.75">
      <c r="A1970" t="s">
        <v>23519</v>
      </c>
      <c r="B1970" t="s">
        <v>6590</v>
      </c>
      <c r="C1970" t="s">
        <v>6142</v>
      </c>
      <c r="D1970" t="s">
        <v>6591</v>
      </c>
      <c r="E1970" t="s">
        <v>23520</v>
      </c>
      <c r="F1970">
        <v>24</v>
      </c>
      <c r="G1970">
        <v>2609057</v>
      </c>
      <c r="H1970" t="s">
        <v>23521</v>
      </c>
      <c r="J1970" s="54" t="s">
        <v>6052</v>
      </c>
      <c r="K1970" s="54">
        <v>0</v>
      </c>
      <c r="L1970" s="22" t="s">
        <v>36806</v>
      </c>
      <c r="M1970" s="22" t="s">
        <v>36976</v>
      </c>
    </row>
    <row r="1971" spans="1:13" x14ac:dyDescent="0.75">
      <c r="A1971" t="s">
        <v>22484</v>
      </c>
      <c r="B1971" t="s">
        <v>7985</v>
      </c>
      <c r="C1971" t="s">
        <v>6142</v>
      </c>
      <c r="D1971" t="s">
        <v>7986</v>
      </c>
      <c r="E1971" t="s">
        <v>22485</v>
      </c>
      <c r="F1971">
        <v>20</v>
      </c>
      <c r="G1971">
        <v>2563643</v>
      </c>
      <c r="H1971" t="s">
        <v>22486</v>
      </c>
      <c r="J1971" s="54" t="s">
        <v>6052</v>
      </c>
      <c r="K1971" s="54">
        <v>0</v>
      </c>
      <c r="L1971" s="22" t="s">
        <v>36806</v>
      </c>
      <c r="M1971" s="22" t="s">
        <v>36975</v>
      </c>
    </row>
    <row r="1972" spans="1:13" x14ac:dyDescent="0.75">
      <c r="A1972" t="s">
        <v>24595</v>
      </c>
      <c r="B1972" t="s">
        <v>7985</v>
      </c>
      <c r="C1972" t="s">
        <v>6142</v>
      </c>
      <c r="D1972" t="s">
        <v>7986</v>
      </c>
      <c r="E1972" t="s">
        <v>24596</v>
      </c>
      <c r="F1972">
        <v>30</v>
      </c>
      <c r="G1972">
        <v>2579474</v>
      </c>
      <c r="H1972" t="s">
        <v>24597</v>
      </c>
      <c r="J1972" s="54" t="s">
        <v>6052</v>
      </c>
      <c r="K1972" s="54">
        <v>0</v>
      </c>
      <c r="L1972" s="22" t="s">
        <v>36806</v>
      </c>
      <c r="M1972" s="22" t="s">
        <v>36975</v>
      </c>
    </row>
    <row r="1973" spans="1:13" x14ac:dyDescent="0.75">
      <c r="A1973" t="s">
        <v>15104</v>
      </c>
      <c r="B1973" t="s">
        <v>6141</v>
      </c>
      <c r="C1973" t="s">
        <v>6142</v>
      </c>
      <c r="D1973" t="s">
        <v>6143</v>
      </c>
      <c r="E1973" t="s">
        <v>15105</v>
      </c>
      <c r="F1973">
        <v>2</v>
      </c>
      <c r="G1973">
        <v>2484878</v>
      </c>
      <c r="H1973" t="s">
        <v>15106</v>
      </c>
      <c r="J1973" s="54" t="s">
        <v>6052</v>
      </c>
      <c r="K1973" s="54">
        <v>0</v>
      </c>
      <c r="L1973" s="22" t="s">
        <v>36807</v>
      </c>
      <c r="M1973" s="22" t="s">
        <v>36974</v>
      </c>
    </row>
    <row r="1974" spans="1:13" x14ac:dyDescent="0.75">
      <c r="A1974" t="s">
        <v>8249</v>
      </c>
      <c r="B1974" t="s">
        <v>6141</v>
      </c>
      <c r="C1974" t="s">
        <v>6142</v>
      </c>
      <c r="D1974" t="s">
        <v>6143</v>
      </c>
      <c r="E1974" t="s">
        <v>8250</v>
      </c>
      <c r="F1974">
        <v>1</v>
      </c>
      <c r="G1974">
        <v>2488626</v>
      </c>
      <c r="H1974" t="s">
        <v>8251</v>
      </c>
      <c r="J1974" s="54" t="s">
        <v>6052</v>
      </c>
      <c r="K1974" s="54">
        <v>0</v>
      </c>
      <c r="L1974" s="22" t="s">
        <v>36807</v>
      </c>
      <c r="M1974" s="22" t="s">
        <v>36974</v>
      </c>
    </row>
    <row r="1975" spans="1:13" x14ac:dyDescent="0.75">
      <c r="A1975" t="s">
        <v>7984</v>
      </c>
      <c r="B1975" t="s">
        <v>7985</v>
      </c>
      <c r="C1975" t="s">
        <v>6142</v>
      </c>
      <c r="D1975" t="s">
        <v>7986</v>
      </c>
      <c r="E1975" t="s">
        <v>7987</v>
      </c>
      <c r="F1975">
        <v>24</v>
      </c>
      <c r="G1975">
        <v>2553960</v>
      </c>
      <c r="H1975" t="s">
        <v>7988</v>
      </c>
      <c r="J1975" s="54" t="s">
        <v>6052</v>
      </c>
      <c r="K1975" s="54">
        <v>0</v>
      </c>
      <c r="L1975" s="22" t="s">
        <v>36806</v>
      </c>
      <c r="M1975" s="22" t="s">
        <v>36975</v>
      </c>
    </row>
    <row r="1976" spans="1:13" x14ac:dyDescent="0.75">
      <c r="A1976" t="s">
        <v>10468</v>
      </c>
      <c r="B1976" t="s">
        <v>6141</v>
      </c>
      <c r="C1976" t="s">
        <v>6142</v>
      </c>
      <c r="D1976" t="s">
        <v>6143</v>
      </c>
      <c r="E1976" t="s">
        <v>10469</v>
      </c>
      <c r="F1976">
        <v>260</v>
      </c>
      <c r="G1976">
        <v>2602215</v>
      </c>
      <c r="H1976" t="s">
        <v>10470</v>
      </c>
      <c r="J1976" s="54" t="s">
        <v>6052</v>
      </c>
      <c r="K1976" s="54">
        <v>0</v>
      </c>
      <c r="L1976" s="22" t="s">
        <v>36807</v>
      </c>
      <c r="M1976" s="22" t="s">
        <v>36974</v>
      </c>
    </row>
    <row r="1977" spans="1:13" x14ac:dyDescent="0.75">
      <c r="A1977" t="s">
        <v>14773</v>
      </c>
      <c r="B1977" t="s">
        <v>6141</v>
      </c>
      <c r="C1977" t="s">
        <v>6142</v>
      </c>
      <c r="D1977" t="s">
        <v>6143</v>
      </c>
      <c r="E1977" t="s">
        <v>10469</v>
      </c>
      <c r="F1977">
        <v>1</v>
      </c>
      <c r="G1977">
        <v>2495001</v>
      </c>
      <c r="H1977" t="s">
        <v>14774</v>
      </c>
      <c r="J1977" s="54" t="s">
        <v>6052</v>
      </c>
      <c r="K1977" s="54">
        <v>0</v>
      </c>
      <c r="L1977" s="22" t="s">
        <v>36807</v>
      </c>
      <c r="M1977" s="22" t="s">
        <v>36974</v>
      </c>
    </row>
    <row r="1978" spans="1:13" x14ac:dyDescent="0.75">
      <c r="A1978" t="s">
        <v>17445</v>
      </c>
      <c r="B1978" t="s">
        <v>6141</v>
      </c>
      <c r="C1978" t="s">
        <v>6142</v>
      </c>
      <c r="D1978" t="s">
        <v>6143</v>
      </c>
      <c r="E1978" t="s">
        <v>10469</v>
      </c>
      <c r="F1978">
        <v>1</v>
      </c>
      <c r="G1978">
        <v>2494216</v>
      </c>
      <c r="H1978" t="s">
        <v>17446</v>
      </c>
      <c r="J1978" s="54" t="s">
        <v>6052</v>
      </c>
      <c r="K1978" s="54">
        <v>0</v>
      </c>
      <c r="L1978" s="22" t="s">
        <v>36807</v>
      </c>
      <c r="M1978" s="22" t="s">
        <v>36974</v>
      </c>
    </row>
    <row r="1979" spans="1:13" x14ac:dyDescent="0.75">
      <c r="A1979" t="s">
        <v>8878</v>
      </c>
      <c r="B1979" t="s">
        <v>6141</v>
      </c>
      <c r="C1979" t="s">
        <v>6142</v>
      </c>
      <c r="D1979" t="s">
        <v>6143</v>
      </c>
      <c r="E1979" t="s">
        <v>8879</v>
      </c>
      <c r="F1979">
        <v>1</v>
      </c>
      <c r="G1979">
        <v>2519002</v>
      </c>
      <c r="H1979" t="s">
        <v>8880</v>
      </c>
      <c r="J1979" s="54" t="s">
        <v>6052</v>
      </c>
      <c r="K1979" s="54">
        <v>0</v>
      </c>
      <c r="L1979" s="22" t="s">
        <v>36807</v>
      </c>
      <c r="M1979" s="22" t="s">
        <v>36974</v>
      </c>
    </row>
    <row r="1980" spans="1:13" x14ac:dyDescent="0.75">
      <c r="A1980" t="s">
        <v>25150</v>
      </c>
      <c r="B1980" t="s">
        <v>6141</v>
      </c>
      <c r="C1980" t="s">
        <v>6142</v>
      </c>
      <c r="D1980" t="s">
        <v>6143</v>
      </c>
      <c r="E1980" t="s">
        <v>25151</v>
      </c>
      <c r="F1980">
        <v>1</v>
      </c>
      <c r="G1980">
        <v>2550536</v>
      </c>
      <c r="H1980" t="s">
        <v>25152</v>
      </c>
      <c r="J1980" s="54" t="s">
        <v>6052</v>
      </c>
      <c r="K1980" s="54">
        <v>0</v>
      </c>
      <c r="L1980" s="22" t="s">
        <v>36807</v>
      </c>
      <c r="M1980" s="22" t="s">
        <v>36974</v>
      </c>
    </row>
    <row r="1981" spans="1:13" x14ac:dyDescent="0.75">
      <c r="A1981" t="s">
        <v>25162</v>
      </c>
      <c r="B1981" t="s">
        <v>6141</v>
      </c>
      <c r="C1981" t="s">
        <v>6142</v>
      </c>
      <c r="D1981" t="s">
        <v>6143</v>
      </c>
      <c r="E1981" t="s">
        <v>25163</v>
      </c>
      <c r="F1981">
        <v>1</v>
      </c>
      <c r="G1981">
        <v>2560088</v>
      </c>
      <c r="H1981" t="s">
        <v>25164</v>
      </c>
      <c r="J1981" s="54" t="s">
        <v>6052</v>
      </c>
      <c r="K1981" s="54">
        <v>0</v>
      </c>
      <c r="L1981" s="22" t="s">
        <v>36807</v>
      </c>
      <c r="M1981" s="22" t="s">
        <v>36974</v>
      </c>
    </row>
    <row r="1982" spans="1:13" x14ac:dyDescent="0.75">
      <c r="A1982" t="s">
        <v>25156</v>
      </c>
      <c r="B1982" t="s">
        <v>6141</v>
      </c>
      <c r="C1982" t="s">
        <v>6142</v>
      </c>
      <c r="D1982" t="s">
        <v>6143</v>
      </c>
      <c r="E1982" t="s">
        <v>25157</v>
      </c>
      <c r="F1982">
        <v>1</v>
      </c>
      <c r="G1982">
        <v>2578943</v>
      </c>
      <c r="H1982" t="s">
        <v>25158</v>
      </c>
      <c r="J1982" s="54" t="s">
        <v>6052</v>
      </c>
      <c r="K1982" s="54">
        <v>0</v>
      </c>
      <c r="L1982" s="22" t="s">
        <v>36807</v>
      </c>
      <c r="M1982" s="22" t="s">
        <v>36974</v>
      </c>
    </row>
    <row r="1983" spans="1:13" x14ac:dyDescent="0.75">
      <c r="A1983" t="s">
        <v>25153</v>
      </c>
      <c r="B1983" t="s">
        <v>6141</v>
      </c>
      <c r="C1983" t="s">
        <v>6142</v>
      </c>
      <c r="D1983" t="s">
        <v>6143</v>
      </c>
      <c r="E1983" t="s">
        <v>25154</v>
      </c>
      <c r="F1983">
        <v>1</v>
      </c>
      <c r="G1983">
        <v>2594562</v>
      </c>
      <c r="H1983" t="s">
        <v>25155</v>
      </c>
      <c r="J1983" s="54" t="s">
        <v>6052</v>
      </c>
      <c r="K1983" s="54">
        <v>0</v>
      </c>
      <c r="L1983" s="22" t="s">
        <v>36807</v>
      </c>
      <c r="M1983" s="22" t="s">
        <v>36974</v>
      </c>
    </row>
    <row r="1984" spans="1:13" x14ac:dyDescent="0.75">
      <c r="A1984" t="s">
        <v>25165</v>
      </c>
      <c r="B1984" t="s">
        <v>6141</v>
      </c>
      <c r="C1984" t="s">
        <v>6142</v>
      </c>
      <c r="D1984" t="s">
        <v>6143</v>
      </c>
      <c r="E1984" t="s">
        <v>25166</v>
      </c>
      <c r="F1984">
        <v>1</v>
      </c>
      <c r="G1984">
        <v>2547251</v>
      </c>
      <c r="H1984" t="s">
        <v>25167</v>
      </c>
      <c r="J1984" s="54" t="s">
        <v>6052</v>
      </c>
      <c r="K1984" s="54">
        <v>0</v>
      </c>
      <c r="L1984" s="22" t="s">
        <v>36807</v>
      </c>
      <c r="M1984" s="22" t="s">
        <v>36974</v>
      </c>
    </row>
    <row r="1985" spans="1:13" x14ac:dyDescent="0.75">
      <c r="A1985" t="s">
        <v>25159</v>
      </c>
      <c r="B1985" t="s">
        <v>6141</v>
      </c>
      <c r="C1985" t="s">
        <v>6142</v>
      </c>
      <c r="D1985" t="s">
        <v>6143</v>
      </c>
      <c r="E1985" t="s">
        <v>25160</v>
      </c>
      <c r="F1985">
        <v>1</v>
      </c>
      <c r="G1985">
        <v>2492467</v>
      </c>
      <c r="H1985" t="s">
        <v>25161</v>
      </c>
      <c r="J1985" s="54" t="s">
        <v>6052</v>
      </c>
      <c r="K1985" s="54">
        <v>0</v>
      </c>
      <c r="L1985" s="22" t="s">
        <v>36807</v>
      </c>
      <c r="M1985" s="22" t="s">
        <v>36974</v>
      </c>
    </row>
    <row r="1986" spans="1:13" x14ac:dyDescent="0.75">
      <c r="A1986" t="s">
        <v>7875</v>
      </c>
      <c r="B1986" t="s">
        <v>6141</v>
      </c>
      <c r="C1986" t="s">
        <v>6142</v>
      </c>
      <c r="D1986" t="s">
        <v>6143</v>
      </c>
      <c r="E1986" t="s">
        <v>7876</v>
      </c>
      <c r="F1986">
        <v>1</v>
      </c>
      <c r="G1986">
        <v>2550549</v>
      </c>
      <c r="H1986" t="s">
        <v>7877</v>
      </c>
      <c r="J1986" s="54" t="s">
        <v>6052</v>
      </c>
      <c r="K1986" s="54">
        <v>0</v>
      </c>
      <c r="L1986" s="22" t="s">
        <v>36807</v>
      </c>
      <c r="M1986" s="22" t="s">
        <v>36974</v>
      </c>
    </row>
    <row r="1987" spans="1:13" x14ac:dyDescent="0.75">
      <c r="A1987" t="s">
        <v>24510</v>
      </c>
      <c r="B1987" t="s">
        <v>6141</v>
      </c>
      <c r="C1987" t="s">
        <v>6142</v>
      </c>
      <c r="D1987" t="s">
        <v>6143</v>
      </c>
      <c r="E1987" t="s">
        <v>24511</v>
      </c>
      <c r="F1987">
        <v>1</v>
      </c>
      <c r="G1987">
        <v>2496923</v>
      </c>
      <c r="H1987" t="s">
        <v>24512</v>
      </c>
      <c r="J1987" s="54" t="s">
        <v>6052</v>
      </c>
      <c r="K1987" s="54">
        <v>0</v>
      </c>
      <c r="L1987" s="22" t="s">
        <v>36807</v>
      </c>
      <c r="M1987" s="22" t="s">
        <v>36974</v>
      </c>
    </row>
    <row r="1988" spans="1:13" x14ac:dyDescent="0.75">
      <c r="A1988" t="s">
        <v>14048</v>
      </c>
      <c r="B1988" t="s">
        <v>7985</v>
      </c>
      <c r="C1988" t="s">
        <v>6142</v>
      </c>
      <c r="D1988" t="s">
        <v>7986</v>
      </c>
      <c r="E1988" t="s">
        <v>14049</v>
      </c>
      <c r="F1988">
        <v>30</v>
      </c>
      <c r="G1988">
        <v>2476142</v>
      </c>
      <c r="H1988" t="s">
        <v>14050</v>
      </c>
      <c r="J1988" s="54" t="s">
        <v>6052</v>
      </c>
      <c r="K1988" s="54">
        <v>0</v>
      </c>
      <c r="L1988" s="22" t="s">
        <v>36806</v>
      </c>
      <c r="M1988" s="22" t="s">
        <v>36975</v>
      </c>
    </row>
    <row r="1989" spans="1:13" x14ac:dyDescent="0.75">
      <c r="A1989" t="s">
        <v>14042</v>
      </c>
      <c r="B1989" t="s">
        <v>7985</v>
      </c>
      <c r="C1989" t="s">
        <v>6142</v>
      </c>
      <c r="D1989" t="s">
        <v>7986</v>
      </c>
      <c r="E1989" t="s">
        <v>14043</v>
      </c>
      <c r="F1989">
        <v>41</v>
      </c>
      <c r="G1989">
        <v>2532456</v>
      </c>
      <c r="H1989" t="s">
        <v>14044</v>
      </c>
      <c r="J1989" s="54" t="s">
        <v>6052</v>
      </c>
      <c r="K1989" s="54">
        <v>0</v>
      </c>
      <c r="L1989" s="22" t="s">
        <v>36806</v>
      </c>
      <c r="M1989" s="22" t="s">
        <v>36975</v>
      </c>
    </row>
    <row r="1990" spans="1:13" x14ac:dyDescent="0.75">
      <c r="A1990" t="s">
        <v>14039</v>
      </c>
      <c r="B1990" t="s">
        <v>7985</v>
      </c>
      <c r="C1990" t="s">
        <v>6142</v>
      </c>
      <c r="D1990" t="s">
        <v>7986</v>
      </c>
      <c r="E1990" t="s">
        <v>14040</v>
      </c>
      <c r="F1990">
        <v>51</v>
      </c>
      <c r="G1990">
        <v>2541663</v>
      </c>
      <c r="H1990" t="s">
        <v>14041</v>
      </c>
      <c r="J1990" s="54" t="s">
        <v>6052</v>
      </c>
      <c r="K1990" s="54">
        <v>0</v>
      </c>
      <c r="L1990" s="22" t="s">
        <v>36806</v>
      </c>
      <c r="M1990" s="22" t="s">
        <v>36975</v>
      </c>
    </row>
    <row r="1991" spans="1:13" x14ac:dyDescent="0.75">
      <c r="A1991" t="s">
        <v>14036</v>
      </c>
      <c r="B1991" t="s">
        <v>7985</v>
      </c>
      <c r="C1991" t="s">
        <v>6142</v>
      </c>
      <c r="D1991" t="s">
        <v>7986</v>
      </c>
      <c r="E1991" t="s">
        <v>14037</v>
      </c>
      <c r="F1991">
        <v>73</v>
      </c>
      <c r="G1991">
        <v>2541539</v>
      </c>
      <c r="H1991" t="s">
        <v>14038</v>
      </c>
      <c r="J1991" s="54" t="s">
        <v>6052</v>
      </c>
      <c r="K1991" s="54">
        <v>0</v>
      </c>
      <c r="L1991" s="22" t="s">
        <v>36806</v>
      </c>
      <c r="M1991" s="22" t="s">
        <v>36975</v>
      </c>
    </row>
    <row r="1992" spans="1:13" x14ac:dyDescent="0.75">
      <c r="A1992" t="s">
        <v>14045</v>
      </c>
      <c r="B1992" t="s">
        <v>7985</v>
      </c>
      <c r="C1992" t="s">
        <v>6142</v>
      </c>
      <c r="D1992" t="s">
        <v>7986</v>
      </c>
      <c r="E1992" t="s">
        <v>14046</v>
      </c>
      <c r="F1992">
        <v>66</v>
      </c>
      <c r="G1992">
        <v>2497070</v>
      </c>
      <c r="H1992" t="s">
        <v>14047</v>
      </c>
      <c r="J1992" s="54" t="s">
        <v>6052</v>
      </c>
      <c r="K1992" s="54">
        <v>0</v>
      </c>
      <c r="L1992" s="22" t="s">
        <v>36806</v>
      </c>
      <c r="M1992" s="22" t="s">
        <v>36975</v>
      </c>
    </row>
    <row r="1993" spans="1:13" x14ac:dyDescent="0.75">
      <c r="A1993" t="s">
        <v>24731</v>
      </c>
      <c r="B1993" t="s">
        <v>7985</v>
      </c>
      <c r="C1993" t="s">
        <v>6142</v>
      </c>
      <c r="D1993" t="s">
        <v>7986</v>
      </c>
      <c r="E1993" t="s">
        <v>24732</v>
      </c>
      <c r="F1993">
        <v>33</v>
      </c>
      <c r="G1993">
        <v>2578013</v>
      </c>
      <c r="H1993" t="s">
        <v>24733</v>
      </c>
      <c r="J1993" s="54" t="s">
        <v>6052</v>
      </c>
      <c r="K1993" s="54">
        <v>0</v>
      </c>
      <c r="L1993" s="22" t="s">
        <v>36806</v>
      </c>
      <c r="M1993" s="22" t="s">
        <v>36975</v>
      </c>
    </row>
    <row r="1994" spans="1:13" x14ac:dyDescent="0.75">
      <c r="A1994" t="s">
        <v>12523</v>
      </c>
      <c r="B1994" t="s">
        <v>7985</v>
      </c>
      <c r="C1994" t="s">
        <v>6142</v>
      </c>
      <c r="D1994" t="s">
        <v>7986</v>
      </c>
      <c r="E1994" t="s">
        <v>12524</v>
      </c>
      <c r="F1994">
        <v>1</v>
      </c>
      <c r="G1994">
        <v>2729848</v>
      </c>
      <c r="H1994" t="s">
        <v>12525</v>
      </c>
      <c r="J1994" s="54" t="s">
        <v>6052</v>
      </c>
      <c r="K1994" s="54">
        <v>0</v>
      </c>
      <c r="L1994" s="22" t="s">
        <v>36806</v>
      </c>
      <c r="M1994" s="22" t="s">
        <v>36975</v>
      </c>
    </row>
    <row r="1995" spans="1:13" x14ac:dyDescent="0.75">
      <c r="A1995" t="s">
        <v>9900</v>
      </c>
      <c r="B1995" t="s">
        <v>6141</v>
      </c>
      <c r="C1995" t="s">
        <v>6142</v>
      </c>
      <c r="D1995" t="s">
        <v>6143</v>
      </c>
      <c r="E1995" t="s">
        <v>9901</v>
      </c>
      <c r="F1995">
        <v>10</v>
      </c>
      <c r="G1995">
        <v>2478994</v>
      </c>
      <c r="H1995" t="s">
        <v>9902</v>
      </c>
      <c r="J1995" s="54" t="s">
        <v>6052</v>
      </c>
      <c r="K1995" s="54">
        <v>0</v>
      </c>
      <c r="L1995" s="22" t="s">
        <v>36807</v>
      </c>
      <c r="M1995" s="22" t="s">
        <v>36974</v>
      </c>
    </row>
    <row r="1996" spans="1:13" x14ac:dyDescent="0.75">
      <c r="A1996" t="s">
        <v>16532</v>
      </c>
      <c r="B1996" t="s">
        <v>6141</v>
      </c>
      <c r="C1996" t="s">
        <v>6142</v>
      </c>
      <c r="D1996" t="s">
        <v>6143</v>
      </c>
      <c r="E1996" t="s">
        <v>9901</v>
      </c>
      <c r="F1996">
        <v>1</v>
      </c>
      <c r="G1996">
        <v>2495002</v>
      </c>
      <c r="H1996" t="s">
        <v>16533</v>
      </c>
      <c r="J1996" s="54" t="s">
        <v>6052</v>
      </c>
      <c r="K1996" s="54">
        <v>0</v>
      </c>
      <c r="L1996" s="22" t="s">
        <v>36807</v>
      </c>
      <c r="M1996" s="22" t="s">
        <v>36974</v>
      </c>
    </row>
    <row r="1997" spans="1:13" x14ac:dyDescent="0.75">
      <c r="A1997" t="s">
        <v>12506</v>
      </c>
      <c r="B1997" t="s">
        <v>9703</v>
      </c>
      <c r="C1997" t="s">
        <v>6142</v>
      </c>
      <c r="D1997" t="s">
        <v>9704</v>
      </c>
      <c r="E1997" t="s">
        <v>12507</v>
      </c>
      <c r="F1997">
        <v>53</v>
      </c>
      <c r="G1997">
        <v>2165334</v>
      </c>
      <c r="H1997" t="s">
        <v>12508</v>
      </c>
      <c r="J1997" s="54" t="s">
        <v>6052</v>
      </c>
      <c r="K1997" s="54">
        <v>0</v>
      </c>
      <c r="L1997" s="22" t="s">
        <v>36806</v>
      </c>
      <c r="M1997" s="22" t="s">
        <v>36977</v>
      </c>
    </row>
    <row r="1998" spans="1:13" x14ac:dyDescent="0.75">
      <c r="A1998" t="s">
        <v>21931</v>
      </c>
      <c r="B1998" t="s">
        <v>6141</v>
      </c>
      <c r="C1998" t="s">
        <v>6142</v>
      </c>
      <c r="D1998" t="s">
        <v>6143</v>
      </c>
      <c r="E1998" t="s">
        <v>21932</v>
      </c>
      <c r="F1998">
        <v>1</v>
      </c>
      <c r="G1998">
        <v>2560652</v>
      </c>
      <c r="H1998" t="s">
        <v>21933</v>
      </c>
      <c r="J1998" s="54" t="s">
        <v>6052</v>
      </c>
      <c r="K1998" s="54">
        <v>0</v>
      </c>
      <c r="L1998" s="22" t="s">
        <v>36807</v>
      </c>
      <c r="M1998" s="22" t="s">
        <v>36974</v>
      </c>
    </row>
    <row r="1999" spans="1:13" x14ac:dyDescent="0.75">
      <c r="A1999" t="s">
        <v>21928</v>
      </c>
      <c r="B1999" t="s">
        <v>6141</v>
      </c>
      <c r="C1999" t="s">
        <v>6142</v>
      </c>
      <c r="D1999" t="s">
        <v>6143</v>
      </c>
      <c r="E1999" t="s">
        <v>21929</v>
      </c>
      <c r="F1999">
        <v>1</v>
      </c>
      <c r="G1999">
        <v>2497202</v>
      </c>
      <c r="H1999" t="s">
        <v>21930</v>
      </c>
      <c r="J1999" s="54" t="s">
        <v>6052</v>
      </c>
      <c r="K1999" s="54">
        <v>0</v>
      </c>
      <c r="L1999" s="22" t="s">
        <v>36807</v>
      </c>
      <c r="M1999" s="22" t="s">
        <v>36974</v>
      </c>
    </row>
    <row r="2000" spans="1:13" x14ac:dyDescent="0.75">
      <c r="A2000" t="s">
        <v>26630</v>
      </c>
      <c r="B2000" t="s">
        <v>7985</v>
      </c>
      <c r="C2000" t="s">
        <v>6142</v>
      </c>
      <c r="D2000" t="s">
        <v>7986</v>
      </c>
      <c r="E2000" t="s">
        <v>26631</v>
      </c>
      <c r="F2000">
        <v>61</v>
      </c>
      <c r="G2000">
        <v>2547762</v>
      </c>
      <c r="H2000" t="s">
        <v>26632</v>
      </c>
      <c r="J2000" s="54" t="s">
        <v>6052</v>
      </c>
      <c r="K2000" s="54">
        <v>0</v>
      </c>
      <c r="L2000" s="22" t="s">
        <v>36806</v>
      </c>
      <c r="M2000" s="22" t="s">
        <v>36975</v>
      </c>
    </row>
    <row r="2001" spans="1:13" x14ac:dyDescent="0.75">
      <c r="A2001" t="s">
        <v>30607</v>
      </c>
      <c r="B2001" t="s">
        <v>7985</v>
      </c>
      <c r="C2001" t="s">
        <v>6142</v>
      </c>
      <c r="D2001" t="s">
        <v>7986</v>
      </c>
      <c r="E2001" t="s">
        <v>30608</v>
      </c>
      <c r="F2001">
        <v>27</v>
      </c>
      <c r="G2001">
        <v>2572699</v>
      </c>
      <c r="H2001" t="s">
        <v>30609</v>
      </c>
      <c r="J2001" s="54" t="s">
        <v>6052</v>
      </c>
      <c r="K2001" s="54">
        <v>0</v>
      </c>
      <c r="L2001" s="22" t="s">
        <v>36806</v>
      </c>
      <c r="M2001" s="22" t="s">
        <v>36975</v>
      </c>
    </row>
    <row r="2002" spans="1:13" x14ac:dyDescent="0.75">
      <c r="A2002" t="s">
        <v>23452</v>
      </c>
      <c r="B2002" t="s">
        <v>7985</v>
      </c>
      <c r="C2002" t="s">
        <v>6142</v>
      </c>
      <c r="D2002" t="s">
        <v>7986</v>
      </c>
      <c r="E2002" t="s">
        <v>23453</v>
      </c>
      <c r="F2002">
        <v>20</v>
      </c>
      <c r="G2002">
        <v>2501297</v>
      </c>
      <c r="H2002" t="s">
        <v>23454</v>
      </c>
      <c r="J2002" s="54" t="s">
        <v>6052</v>
      </c>
      <c r="K2002" s="54">
        <v>0</v>
      </c>
      <c r="L2002" s="22" t="s">
        <v>36806</v>
      </c>
      <c r="M2002" s="22" t="s">
        <v>36975</v>
      </c>
    </row>
    <row r="2003" spans="1:13" x14ac:dyDescent="0.75">
      <c r="A2003" t="s">
        <v>23458</v>
      </c>
      <c r="B2003" t="s">
        <v>7985</v>
      </c>
      <c r="C2003" t="s">
        <v>6142</v>
      </c>
      <c r="D2003" t="s">
        <v>7986</v>
      </c>
      <c r="E2003" t="s">
        <v>23459</v>
      </c>
      <c r="F2003">
        <v>17</v>
      </c>
      <c r="G2003">
        <v>2512404</v>
      </c>
      <c r="H2003" t="s">
        <v>23460</v>
      </c>
      <c r="J2003" s="54" t="s">
        <v>6052</v>
      </c>
      <c r="K2003" s="54">
        <v>0</v>
      </c>
      <c r="L2003" s="22" t="s">
        <v>36806</v>
      </c>
      <c r="M2003" s="22" t="s">
        <v>36975</v>
      </c>
    </row>
    <row r="2004" spans="1:13" x14ac:dyDescent="0.75">
      <c r="A2004" t="s">
        <v>23455</v>
      </c>
      <c r="B2004" t="s">
        <v>7985</v>
      </c>
      <c r="C2004" t="s">
        <v>6142</v>
      </c>
      <c r="D2004" t="s">
        <v>7986</v>
      </c>
      <c r="E2004" t="s">
        <v>23456</v>
      </c>
      <c r="F2004">
        <v>20</v>
      </c>
      <c r="G2004">
        <v>2506714</v>
      </c>
      <c r="H2004" t="s">
        <v>23457</v>
      </c>
      <c r="J2004" s="54" t="s">
        <v>6052</v>
      </c>
      <c r="K2004" s="54">
        <v>0</v>
      </c>
      <c r="L2004" s="22" t="s">
        <v>36806</v>
      </c>
      <c r="M2004" s="22" t="s">
        <v>36975</v>
      </c>
    </row>
    <row r="2005" spans="1:13" x14ac:dyDescent="0.75">
      <c r="A2005" t="s">
        <v>23449</v>
      </c>
      <c r="B2005" t="s">
        <v>7985</v>
      </c>
      <c r="C2005" t="s">
        <v>6142</v>
      </c>
      <c r="D2005" t="s">
        <v>7986</v>
      </c>
      <c r="E2005" t="s">
        <v>23450</v>
      </c>
      <c r="F2005">
        <v>31</v>
      </c>
      <c r="G2005">
        <v>2572090</v>
      </c>
      <c r="H2005" t="s">
        <v>23451</v>
      </c>
      <c r="J2005" s="54" t="s">
        <v>6052</v>
      </c>
      <c r="K2005" s="54">
        <v>0</v>
      </c>
      <c r="L2005" s="22" t="s">
        <v>36806</v>
      </c>
      <c r="M2005" s="22" t="s">
        <v>36975</v>
      </c>
    </row>
    <row r="2006" spans="1:13" x14ac:dyDescent="0.75">
      <c r="A2006" t="s">
        <v>12544</v>
      </c>
      <c r="B2006" t="s">
        <v>6590</v>
      </c>
      <c r="C2006" t="s">
        <v>6142</v>
      </c>
      <c r="D2006" t="s">
        <v>6591</v>
      </c>
      <c r="E2006" t="s">
        <v>12545</v>
      </c>
      <c r="F2006">
        <v>2</v>
      </c>
      <c r="G2006">
        <v>2649207</v>
      </c>
      <c r="H2006" t="s">
        <v>12546</v>
      </c>
      <c r="J2006" s="54" t="s">
        <v>6052</v>
      </c>
      <c r="K2006" s="54">
        <v>0</v>
      </c>
      <c r="L2006" s="22" t="s">
        <v>36806</v>
      </c>
      <c r="M2006" s="22" t="s">
        <v>36976</v>
      </c>
    </row>
    <row r="2007" spans="1:13" x14ac:dyDescent="0.75">
      <c r="A2007" t="s">
        <v>16044</v>
      </c>
      <c r="B2007" t="s">
        <v>6141</v>
      </c>
      <c r="C2007" t="s">
        <v>6142</v>
      </c>
      <c r="D2007" t="s">
        <v>6143</v>
      </c>
      <c r="E2007" t="s">
        <v>16045</v>
      </c>
      <c r="F2007">
        <v>1</v>
      </c>
      <c r="G2007">
        <v>2494539</v>
      </c>
      <c r="H2007" t="s">
        <v>16046</v>
      </c>
      <c r="J2007" s="54" t="s">
        <v>6052</v>
      </c>
      <c r="K2007" s="54">
        <v>0</v>
      </c>
      <c r="L2007" s="22" t="s">
        <v>36807</v>
      </c>
      <c r="M2007" s="22" t="s">
        <v>36974</v>
      </c>
    </row>
    <row r="2008" spans="1:13" x14ac:dyDescent="0.75">
      <c r="A2008" t="s">
        <v>16035</v>
      </c>
      <c r="B2008" t="s">
        <v>6141</v>
      </c>
      <c r="C2008" t="s">
        <v>6142</v>
      </c>
      <c r="D2008" t="s">
        <v>6143</v>
      </c>
      <c r="E2008" t="s">
        <v>16036</v>
      </c>
      <c r="F2008">
        <v>1</v>
      </c>
      <c r="G2008">
        <v>2495332</v>
      </c>
      <c r="H2008" t="s">
        <v>16037</v>
      </c>
      <c r="J2008" s="54" t="s">
        <v>6052</v>
      </c>
      <c r="K2008" s="54">
        <v>0</v>
      </c>
      <c r="L2008" s="22" t="s">
        <v>36807</v>
      </c>
      <c r="M2008" s="22" t="s">
        <v>36974</v>
      </c>
    </row>
    <row r="2009" spans="1:13" x14ac:dyDescent="0.75">
      <c r="A2009" t="s">
        <v>23473</v>
      </c>
      <c r="B2009" t="s">
        <v>7985</v>
      </c>
      <c r="C2009" t="s">
        <v>6142</v>
      </c>
      <c r="D2009" t="s">
        <v>7986</v>
      </c>
      <c r="E2009" t="s">
        <v>23474</v>
      </c>
      <c r="F2009">
        <v>39</v>
      </c>
      <c r="G2009">
        <v>2576103</v>
      </c>
      <c r="H2009" t="s">
        <v>23475</v>
      </c>
      <c r="J2009" s="54" t="s">
        <v>6052</v>
      </c>
      <c r="K2009" s="54">
        <v>0</v>
      </c>
      <c r="L2009" s="22" t="s">
        <v>36806</v>
      </c>
      <c r="M2009" s="22" t="s">
        <v>36975</v>
      </c>
    </row>
    <row r="2010" spans="1:13" x14ac:dyDescent="0.75">
      <c r="A2010" t="s">
        <v>24312</v>
      </c>
      <c r="B2010" t="s">
        <v>7985</v>
      </c>
      <c r="C2010" t="s">
        <v>6142</v>
      </c>
      <c r="D2010" t="s">
        <v>7986</v>
      </c>
      <c r="E2010" t="s">
        <v>24313</v>
      </c>
      <c r="F2010">
        <v>36</v>
      </c>
      <c r="G2010">
        <v>2460213</v>
      </c>
      <c r="H2010" t="s">
        <v>24314</v>
      </c>
      <c r="J2010" s="54" t="s">
        <v>6052</v>
      </c>
      <c r="K2010" s="54">
        <v>0</v>
      </c>
      <c r="L2010" s="22" t="s">
        <v>36806</v>
      </c>
      <c r="M2010" s="22" t="s">
        <v>36975</v>
      </c>
    </row>
    <row r="2011" spans="1:13" x14ac:dyDescent="0.75">
      <c r="A2011" t="s">
        <v>24309</v>
      </c>
      <c r="B2011" t="s">
        <v>7985</v>
      </c>
      <c r="C2011" t="s">
        <v>6142</v>
      </c>
      <c r="D2011" t="s">
        <v>7986</v>
      </c>
      <c r="E2011" t="s">
        <v>24310</v>
      </c>
      <c r="F2011">
        <v>42</v>
      </c>
      <c r="G2011">
        <v>2461377</v>
      </c>
      <c r="H2011" t="s">
        <v>24311</v>
      </c>
      <c r="J2011" s="54" t="s">
        <v>6052</v>
      </c>
      <c r="K2011" s="54">
        <v>0</v>
      </c>
      <c r="L2011" s="22" t="s">
        <v>36806</v>
      </c>
      <c r="M2011" s="22" t="s">
        <v>36975</v>
      </c>
    </row>
    <row r="2012" spans="1:13" x14ac:dyDescent="0.75">
      <c r="A2012" t="s">
        <v>10417</v>
      </c>
      <c r="B2012" t="s">
        <v>6141</v>
      </c>
      <c r="C2012" t="s">
        <v>6142</v>
      </c>
      <c r="D2012" t="s">
        <v>6143</v>
      </c>
      <c r="E2012" t="s">
        <v>10418</v>
      </c>
      <c r="F2012">
        <v>1</v>
      </c>
      <c r="G2012">
        <v>2494562</v>
      </c>
      <c r="H2012" t="s">
        <v>10419</v>
      </c>
      <c r="J2012" s="54" t="s">
        <v>6052</v>
      </c>
      <c r="K2012" s="54">
        <v>0</v>
      </c>
      <c r="L2012" s="22" t="s">
        <v>36807</v>
      </c>
      <c r="M2012" s="22" t="s">
        <v>36974</v>
      </c>
    </row>
    <row r="2013" spans="1:13" x14ac:dyDescent="0.75">
      <c r="A2013" t="s">
        <v>9508</v>
      </c>
      <c r="B2013" t="s">
        <v>7985</v>
      </c>
      <c r="C2013" t="s">
        <v>6142</v>
      </c>
      <c r="D2013" t="s">
        <v>7986</v>
      </c>
      <c r="E2013" t="s">
        <v>9509</v>
      </c>
      <c r="F2013">
        <v>7</v>
      </c>
      <c r="G2013">
        <v>2741290</v>
      </c>
      <c r="H2013" t="s">
        <v>9510</v>
      </c>
      <c r="J2013" s="54" t="s">
        <v>6052</v>
      </c>
      <c r="K2013" s="54">
        <v>0</v>
      </c>
      <c r="L2013" s="22" t="s">
        <v>36806</v>
      </c>
      <c r="M2013" s="22" t="s">
        <v>36975</v>
      </c>
    </row>
    <row r="2014" spans="1:13" x14ac:dyDescent="0.75">
      <c r="A2014" t="s">
        <v>22233</v>
      </c>
      <c r="B2014" t="s">
        <v>6141</v>
      </c>
      <c r="C2014" t="s">
        <v>6142</v>
      </c>
      <c r="D2014" t="s">
        <v>6143</v>
      </c>
      <c r="E2014" t="s">
        <v>22234</v>
      </c>
      <c r="F2014">
        <v>5</v>
      </c>
      <c r="G2014">
        <v>2477993</v>
      </c>
      <c r="H2014" t="s">
        <v>22235</v>
      </c>
      <c r="J2014" s="54" t="s">
        <v>6052</v>
      </c>
      <c r="K2014" s="54">
        <v>0</v>
      </c>
      <c r="L2014" s="22" t="s">
        <v>36807</v>
      </c>
      <c r="M2014" s="22" t="s">
        <v>36974</v>
      </c>
    </row>
    <row r="2015" spans="1:13" x14ac:dyDescent="0.75">
      <c r="A2015" t="s">
        <v>22230</v>
      </c>
      <c r="B2015" t="s">
        <v>6141</v>
      </c>
      <c r="C2015" t="s">
        <v>6142</v>
      </c>
      <c r="D2015" t="s">
        <v>6143</v>
      </c>
      <c r="E2015" t="s">
        <v>22231</v>
      </c>
      <c r="F2015">
        <v>5</v>
      </c>
      <c r="G2015">
        <v>2478156</v>
      </c>
      <c r="H2015" t="s">
        <v>22232</v>
      </c>
      <c r="J2015" s="54" t="s">
        <v>6052</v>
      </c>
      <c r="K2015" s="54">
        <v>0</v>
      </c>
      <c r="L2015" s="22" t="s">
        <v>36807</v>
      </c>
      <c r="M2015" s="22" t="s">
        <v>36974</v>
      </c>
    </row>
    <row r="2016" spans="1:13" x14ac:dyDescent="0.75">
      <c r="A2016" t="s">
        <v>22227</v>
      </c>
      <c r="B2016" t="s">
        <v>6141</v>
      </c>
      <c r="C2016" t="s">
        <v>6142</v>
      </c>
      <c r="D2016" t="s">
        <v>6143</v>
      </c>
      <c r="E2016" t="s">
        <v>22228</v>
      </c>
      <c r="F2016">
        <v>6</v>
      </c>
      <c r="G2016">
        <v>2452489</v>
      </c>
      <c r="H2016" t="s">
        <v>22229</v>
      </c>
      <c r="J2016" s="54" t="s">
        <v>6052</v>
      </c>
      <c r="K2016" s="54">
        <v>0</v>
      </c>
      <c r="L2016" s="22" t="s">
        <v>36807</v>
      </c>
      <c r="M2016" s="22" t="s">
        <v>36974</v>
      </c>
    </row>
    <row r="2017" spans="1:13" x14ac:dyDescent="0.75">
      <c r="A2017" t="s">
        <v>6601</v>
      </c>
      <c r="B2017" t="s">
        <v>6590</v>
      </c>
      <c r="C2017" t="s">
        <v>6142</v>
      </c>
      <c r="D2017" t="s">
        <v>6591</v>
      </c>
      <c r="E2017" t="s">
        <v>6602</v>
      </c>
      <c r="F2017">
        <v>57</v>
      </c>
      <c r="G2017">
        <v>2614131</v>
      </c>
      <c r="H2017" t="s">
        <v>6603</v>
      </c>
      <c r="J2017" s="54" t="s">
        <v>6052</v>
      </c>
      <c r="K2017" s="54">
        <v>0</v>
      </c>
      <c r="L2017" s="22" t="s">
        <v>36806</v>
      </c>
      <c r="M2017" s="22" t="s">
        <v>36976</v>
      </c>
    </row>
    <row r="2018" spans="1:13" x14ac:dyDescent="0.75">
      <c r="A2018" t="s">
        <v>6610</v>
      </c>
      <c r="B2018" t="s">
        <v>6590</v>
      </c>
      <c r="C2018" t="s">
        <v>6142</v>
      </c>
      <c r="D2018" t="s">
        <v>6591</v>
      </c>
      <c r="E2018" t="s">
        <v>6611</v>
      </c>
      <c r="F2018">
        <v>69</v>
      </c>
      <c r="G2018">
        <v>2621672</v>
      </c>
      <c r="H2018" t="s">
        <v>6612</v>
      </c>
      <c r="J2018" s="54" t="s">
        <v>6052</v>
      </c>
      <c r="K2018" s="54">
        <v>0</v>
      </c>
      <c r="L2018" s="22" t="s">
        <v>36806</v>
      </c>
      <c r="M2018" s="22" t="s">
        <v>36976</v>
      </c>
    </row>
    <row r="2019" spans="1:13" x14ac:dyDescent="0.75">
      <c r="A2019" t="s">
        <v>6589</v>
      </c>
      <c r="B2019" t="s">
        <v>6590</v>
      </c>
      <c r="C2019" t="s">
        <v>6142</v>
      </c>
      <c r="D2019" t="s">
        <v>6591</v>
      </c>
      <c r="E2019" t="s">
        <v>6592</v>
      </c>
      <c r="F2019">
        <v>44</v>
      </c>
      <c r="G2019">
        <v>2643856</v>
      </c>
      <c r="H2019" t="s">
        <v>6593</v>
      </c>
      <c r="J2019" s="54" t="s">
        <v>6052</v>
      </c>
      <c r="K2019" s="54">
        <v>0</v>
      </c>
      <c r="L2019" s="22" t="s">
        <v>36806</v>
      </c>
      <c r="M2019" s="22" t="s">
        <v>36976</v>
      </c>
    </row>
    <row r="2020" spans="1:13" x14ac:dyDescent="0.75">
      <c r="A2020" t="s">
        <v>9364</v>
      </c>
      <c r="B2020" t="s">
        <v>6141</v>
      </c>
      <c r="C2020" t="s">
        <v>6142</v>
      </c>
      <c r="D2020" t="s">
        <v>6143</v>
      </c>
      <c r="E2020" t="s">
        <v>9365</v>
      </c>
      <c r="F2020">
        <v>2</v>
      </c>
      <c r="G2020">
        <v>2549775</v>
      </c>
      <c r="H2020" t="s">
        <v>9366</v>
      </c>
      <c r="J2020" s="54" t="s">
        <v>6052</v>
      </c>
      <c r="K2020" s="54">
        <v>0</v>
      </c>
      <c r="L2020" s="22" t="s">
        <v>36807</v>
      </c>
      <c r="M2020" s="22" t="s">
        <v>36974</v>
      </c>
    </row>
    <row r="2021" spans="1:13" x14ac:dyDescent="0.75">
      <c r="A2021" t="s">
        <v>23467</v>
      </c>
      <c r="B2021" t="s">
        <v>7985</v>
      </c>
      <c r="C2021" t="s">
        <v>6142</v>
      </c>
      <c r="D2021" t="s">
        <v>7986</v>
      </c>
      <c r="E2021" t="s">
        <v>23468</v>
      </c>
      <c r="F2021">
        <v>22</v>
      </c>
      <c r="G2021">
        <v>2605641</v>
      </c>
      <c r="H2021" t="s">
        <v>23469</v>
      </c>
      <c r="J2021" s="54" t="s">
        <v>6052</v>
      </c>
      <c r="K2021" s="54">
        <v>0</v>
      </c>
      <c r="L2021" s="22" t="s">
        <v>36806</v>
      </c>
      <c r="M2021" s="22" t="s">
        <v>36975</v>
      </c>
    </row>
    <row r="2022" spans="1:13" x14ac:dyDescent="0.75">
      <c r="A2022" t="s">
        <v>23461</v>
      </c>
      <c r="B2022" t="s">
        <v>7985</v>
      </c>
      <c r="C2022" t="s">
        <v>6142</v>
      </c>
      <c r="D2022" t="s">
        <v>7986</v>
      </c>
      <c r="E2022" t="s">
        <v>23462</v>
      </c>
      <c r="F2022">
        <v>16</v>
      </c>
      <c r="G2022">
        <v>2471868</v>
      </c>
      <c r="H2022" t="s">
        <v>23463</v>
      </c>
      <c r="J2022" s="54" t="s">
        <v>6052</v>
      </c>
      <c r="K2022" s="54">
        <v>0</v>
      </c>
      <c r="L2022" s="22" t="s">
        <v>36806</v>
      </c>
      <c r="M2022" s="22" t="s">
        <v>36975</v>
      </c>
    </row>
    <row r="2023" spans="1:13" x14ac:dyDescent="0.75">
      <c r="A2023" t="s">
        <v>23494</v>
      </c>
      <c r="B2023" t="s">
        <v>7985</v>
      </c>
      <c r="C2023" t="s">
        <v>6142</v>
      </c>
      <c r="D2023" t="s">
        <v>7986</v>
      </c>
      <c r="E2023" t="s">
        <v>23495</v>
      </c>
      <c r="F2023">
        <v>26</v>
      </c>
      <c r="G2023">
        <v>2646334</v>
      </c>
      <c r="H2023" t="s">
        <v>23496</v>
      </c>
      <c r="J2023" s="54" t="s">
        <v>6052</v>
      </c>
      <c r="K2023" s="54">
        <v>0</v>
      </c>
      <c r="L2023" s="22" t="s">
        <v>36806</v>
      </c>
      <c r="M2023" s="22" t="s">
        <v>36975</v>
      </c>
    </row>
    <row r="2024" spans="1:13" x14ac:dyDescent="0.75">
      <c r="A2024" t="s">
        <v>23491</v>
      </c>
      <c r="B2024" t="s">
        <v>7985</v>
      </c>
      <c r="C2024" t="s">
        <v>6142</v>
      </c>
      <c r="D2024" t="s">
        <v>7986</v>
      </c>
      <c r="E2024" t="s">
        <v>23492</v>
      </c>
      <c r="F2024">
        <v>22</v>
      </c>
      <c r="G2024">
        <v>2580831</v>
      </c>
      <c r="H2024" t="s">
        <v>23493</v>
      </c>
      <c r="J2024" s="54" t="s">
        <v>6052</v>
      </c>
      <c r="K2024" s="54">
        <v>0</v>
      </c>
      <c r="L2024" s="22" t="s">
        <v>36806</v>
      </c>
      <c r="M2024" s="22" t="s">
        <v>36975</v>
      </c>
    </row>
    <row r="2025" spans="1:13" x14ac:dyDescent="0.75">
      <c r="A2025" t="s">
        <v>23488</v>
      </c>
      <c r="B2025" t="s">
        <v>7985</v>
      </c>
      <c r="C2025" t="s">
        <v>6142</v>
      </c>
      <c r="D2025" t="s">
        <v>7986</v>
      </c>
      <c r="E2025" t="s">
        <v>23489</v>
      </c>
      <c r="F2025">
        <v>49</v>
      </c>
      <c r="G2025">
        <v>2728527</v>
      </c>
      <c r="H2025" t="s">
        <v>23490</v>
      </c>
      <c r="J2025" s="54" t="s">
        <v>6052</v>
      </c>
      <c r="K2025" s="54">
        <v>0</v>
      </c>
      <c r="L2025" s="22" t="s">
        <v>36806</v>
      </c>
      <c r="M2025" s="22" t="s">
        <v>36975</v>
      </c>
    </row>
    <row r="2026" spans="1:13" x14ac:dyDescent="0.75">
      <c r="A2026" t="s">
        <v>23485</v>
      </c>
      <c r="B2026" t="s">
        <v>7985</v>
      </c>
      <c r="C2026" t="s">
        <v>6142</v>
      </c>
      <c r="D2026" t="s">
        <v>7986</v>
      </c>
      <c r="E2026" t="s">
        <v>23486</v>
      </c>
      <c r="F2026">
        <v>19</v>
      </c>
      <c r="G2026">
        <v>2643900</v>
      </c>
      <c r="H2026" t="s">
        <v>23487</v>
      </c>
      <c r="J2026" s="54" t="s">
        <v>6052</v>
      </c>
      <c r="K2026" s="54">
        <v>0</v>
      </c>
      <c r="L2026" s="22" t="s">
        <v>36806</v>
      </c>
      <c r="M2026" s="22" t="s">
        <v>36975</v>
      </c>
    </row>
    <row r="2027" spans="1:13" x14ac:dyDescent="0.75">
      <c r="A2027" t="s">
        <v>23482</v>
      </c>
      <c r="B2027" t="s">
        <v>7985</v>
      </c>
      <c r="C2027" t="s">
        <v>6142</v>
      </c>
      <c r="D2027" t="s">
        <v>7986</v>
      </c>
      <c r="E2027" t="s">
        <v>23483</v>
      </c>
      <c r="F2027">
        <v>42</v>
      </c>
      <c r="G2027">
        <v>2691232</v>
      </c>
      <c r="H2027" t="s">
        <v>23484</v>
      </c>
      <c r="J2027" s="54" t="s">
        <v>6052</v>
      </c>
      <c r="K2027" s="54">
        <v>0</v>
      </c>
      <c r="L2027" s="22" t="s">
        <v>36806</v>
      </c>
      <c r="M2027" s="22" t="s">
        <v>36975</v>
      </c>
    </row>
    <row r="2028" spans="1:13" x14ac:dyDescent="0.75">
      <c r="A2028" t="s">
        <v>23479</v>
      </c>
      <c r="B2028" t="s">
        <v>7985</v>
      </c>
      <c r="C2028" t="s">
        <v>6142</v>
      </c>
      <c r="D2028" t="s">
        <v>7986</v>
      </c>
      <c r="E2028" t="s">
        <v>23480</v>
      </c>
      <c r="F2028">
        <v>26</v>
      </c>
      <c r="G2028">
        <v>2628607</v>
      </c>
      <c r="H2028" t="s">
        <v>23481</v>
      </c>
      <c r="J2028" s="54" t="s">
        <v>6052</v>
      </c>
      <c r="K2028" s="54">
        <v>0</v>
      </c>
      <c r="L2028" s="22" t="s">
        <v>36806</v>
      </c>
      <c r="M2028" s="22" t="s">
        <v>36975</v>
      </c>
    </row>
    <row r="2029" spans="1:13" x14ac:dyDescent="0.75">
      <c r="A2029" t="s">
        <v>23476</v>
      </c>
      <c r="B2029" t="s">
        <v>7985</v>
      </c>
      <c r="C2029" t="s">
        <v>6142</v>
      </c>
      <c r="D2029" t="s">
        <v>7986</v>
      </c>
      <c r="E2029" t="s">
        <v>23477</v>
      </c>
      <c r="F2029">
        <v>37</v>
      </c>
      <c r="G2029">
        <v>2686855</v>
      </c>
      <c r="H2029" t="s">
        <v>23478</v>
      </c>
      <c r="J2029" s="54" t="s">
        <v>6052</v>
      </c>
      <c r="K2029" s="54">
        <v>0</v>
      </c>
      <c r="L2029" s="22" t="s">
        <v>36806</v>
      </c>
      <c r="M2029" s="22" t="s">
        <v>36975</v>
      </c>
    </row>
    <row r="2030" spans="1:13" x14ac:dyDescent="0.75">
      <c r="A2030" t="s">
        <v>30080</v>
      </c>
      <c r="B2030" t="s">
        <v>6590</v>
      </c>
      <c r="C2030" t="s">
        <v>6142</v>
      </c>
      <c r="D2030" t="s">
        <v>6591</v>
      </c>
      <c r="E2030" t="s">
        <v>30081</v>
      </c>
      <c r="F2030">
        <v>16</v>
      </c>
      <c r="G2030">
        <v>2532977</v>
      </c>
      <c r="H2030" t="s">
        <v>30082</v>
      </c>
      <c r="J2030" s="54" t="s">
        <v>6052</v>
      </c>
      <c r="K2030" s="54">
        <v>0</v>
      </c>
      <c r="L2030" s="22" t="s">
        <v>36806</v>
      </c>
      <c r="M2030" s="22" t="s">
        <v>36976</v>
      </c>
    </row>
    <row r="2031" spans="1:13" x14ac:dyDescent="0.75">
      <c r="A2031" t="s">
        <v>30086</v>
      </c>
      <c r="B2031" t="s">
        <v>9703</v>
      </c>
      <c r="C2031" t="s">
        <v>6142</v>
      </c>
      <c r="D2031" t="s">
        <v>9704</v>
      </c>
      <c r="E2031" t="s">
        <v>30087</v>
      </c>
      <c r="F2031">
        <v>21</v>
      </c>
      <c r="G2031">
        <v>2205195</v>
      </c>
      <c r="H2031" t="s">
        <v>30088</v>
      </c>
      <c r="J2031" s="54" t="s">
        <v>6052</v>
      </c>
      <c r="K2031" s="54">
        <v>0</v>
      </c>
      <c r="L2031" s="22" t="s">
        <v>36806</v>
      </c>
      <c r="M2031" s="22" t="s">
        <v>36977</v>
      </c>
    </row>
    <row r="2032" spans="1:13" x14ac:dyDescent="0.75">
      <c r="A2032" t="s">
        <v>21472</v>
      </c>
      <c r="B2032" t="s">
        <v>6590</v>
      </c>
      <c r="C2032" t="s">
        <v>6142</v>
      </c>
      <c r="D2032" t="s">
        <v>6591</v>
      </c>
      <c r="E2032" t="s">
        <v>21473</v>
      </c>
      <c r="F2032">
        <v>2</v>
      </c>
      <c r="G2032">
        <v>2632705</v>
      </c>
      <c r="H2032" t="s">
        <v>21474</v>
      </c>
      <c r="J2032" s="54" t="s">
        <v>6052</v>
      </c>
      <c r="K2032" s="54">
        <v>0</v>
      </c>
      <c r="L2032" s="22" t="s">
        <v>36806</v>
      </c>
      <c r="M2032" s="22" t="s">
        <v>36976</v>
      </c>
    </row>
    <row r="2033" spans="1:13" x14ac:dyDescent="0.75">
      <c r="A2033" t="s">
        <v>15430</v>
      </c>
      <c r="B2033" t="s">
        <v>6141</v>
      </c>
      <c r="C2033" t="s">
        <v>6142</v>
      </c>
      <c r="D2033" t="s">
        <v>6143</v>
      </c>
      <c r="E2033" t="s">
        <v>15431</v>
      </c>
      <c r="F2033">
        <v>1</v>
      </c>
      <c r="G2033">
        <v>2560321</v>
      </c>
      <c r="H2033" t="s">
        <v>15432</v>
      </c>
      <c r="J2033" s="54" t="s">
        <v>6052</v>
      </c>
      <c r="K2033" s="54">
        <v>0</v>
      </c>
      <c r="L2033" s="22" t="s">
        <v>36807</v>
      </c>
      <c r="M2033" s="22" t="s">
        <v>36974</v>
      </c>
    </row>
    <row r="2034" spans="1:13" x14ac:dyDescent="0.75">
      <c r="A2034" t="s">
        <v>11493</v>
      </c>
      <c r="B2034" t="s">
        <v>6141</v>
      </c>
      <c r="C2034" t="s">
        <v>6142</v>
      </c>
      <c r="D2034" t="s">
        <v>6143</v>
      </c>
      <c r="E2034" t="s">
        <v>11494</v>
      </c>
      <c r="F2034">
        <v>1</v>
      </c>
      <c r="G2034">
        <v>2522438</v>
      </c>
      <c r="H2034" t="s">
        <v>11495</v>
      </c>
      <c r="J2034" s="54" t="s">
        <v>6052</v>
      </c>
      <c r="K2034" s="54">
        <v>0</v>
      </c>
      <c r="L2034" s="22" t="s">
        <v>36807</v>
      </c>
      <c r="M2034" s="22" t="s">
        <v>36974</v>
      </c>
    </row>
    <row r="2035" spans="1:13" x14ac:dyDescent="0.75">
      <c r="A2035" t="s">
        <v>20306</v>
      </c>
      <c r="B2035" t="s">
        <v>7985</v>
      </c>
      <c r="C2035" t="s">
        <v>6142</v>
      </c>
      <c r="D2035" t="s">
        <v>7986</v>
      </c>
      <c r="E2035" t="s">
        <v>20307</v>
      </c>
      <c r="F2035">
        <v>1</v>
      </c>
      <c r="G2035">
        <v>2554716</v>
      </c>
      <c r="H2035" t="s">
        <v>20308</v>
      </c>
      <c r="J2035" s="54" t="s">
        <v>6052</v>
      </c>
      <c r="K2035" s="54">
        <v>0</v>
      </c>
      <c r="L2035" s="22" t="s">
        <v>36806</v>
      </c>
      <c r="M2035" s="22" t="s">
        <v>36975</v>
      </c>
    </row>
    <row r="2036" spans="1:13" x14ac:dyDescent="0.75">
      <c r="A2036" t="s">
        <v>20248</v>
      </c>
      <c r="B2036" t="s">
        <v>7985</v>
      </c>
      <c r="C2036" t="s">
        <v>6142</v>
      </c>
      <c r="D2036" t="s">
        <v>7986</v>
      </c>
      <c r="E2036" t="s">
        <v>20249</v>
      </c>
      <c r="F2036">
        <v>1</v>
      </c>
      <c r="G2036">
        <v>2609136</v>
      </c>
      <c r="H2036" t="s">
        <v>20250</v>
      </c>
      <c r="J2036" s="54" t="s">
        <v>6052</v>
      </c>
      <c r="K2036" s="54">
        <v>0</v>
      </c>
      <c r="L2036" s="22" t="s">
        <v>36806</v>
      </c>
      <c r="M2036" s="22" t="s">
        <v>36975</v>
      </c>
    </row>
    <row r="2037" spans="1:13" x14ac:dyDescent="0.75">
      <c r="A2037" t="s">
        <v>20251</v>
      </c>
      <c r="B2037" t="s">
        <v>7985</v>
      </c>
      <c r="C2037" t="s">
        <v>6142</v>
      </c>
      <c r="D2037" t="s">
        <v>7986</v>
      </c>
      <c r="E2037" t="s">
        <v>20252</v>
      </c>
      <c r="F2037">
        <v>1</v>
      </c>
      <c r="G2037">
        <v>2812988</v>
      </c>
      <c r="H2037" t="s">
        <v>20253</v>
      </c>
      <c r="J2037" s="54" t="s">
        <v>6052</v>
      </c>
      <c r="K2037" s="54">
        <v>0</v>
      </c>
      <c r="L2037" s="22" t="s">
        <v>36806</v>
      </c>
      <c r="M2037" s="22" t="s">
        <v>36975</v>
      </c>
    </row>
    <row r="2038" spans="1:13" x14ac:dyDescent="0.75">
      <c r="A2038" t="s">
        <v>6140</v>
      </c>
      <c r="B2038" t="s">
        <v>6141</v>
      </c>
      <c r="C2038" t="s">
        <v>6142</v>
      </c>
      <c r="D2038" t="s">
        <v>6143</v>
      </c>
      <c r="E2038" t="s">
        <v>6144</v>
      </c>
      <c r="F2038">
        <v>1</v>
      </c>
      <c r="G2038">
        <v>2560265</v>
      </c>
      <c r="H2038" t="s">
        <v>6145</v>
      </c>
      <c r="J2038" s="54" t="s">
        <v>6052</v>
      </c>
      <c r="K2038" s="54">
        <v>0</v>
      </c>
      <c r="L2038" s="22" t="s">
        <v>36807</v>
      </c>
      <c r="M2038" s="22" t="s">
        <v>36974</v>
      </c>
    </row>
    <row r="2039" spans="1:13" x14ac:dyDescent="0.75">
      <c r="A2039" t="s">
        <v>16534</v>
      </c>
      <c r="B2039" t="s">
        <v>6141</v>
      </c>
      <c r="C2039" t="s">
        <v>6142</v>
      </c>
      <c r="D2039" t="s">
        <v>6143</v>
      </c>
      <c r="E2039" t="s">
        <v>6144</v>
      </c>
      <c r="F2039">
        <v>1</v>
      </c>
      <c r="G2039">
        <v>2560634</v>
      </c>
      <c r="H2039" t="s">
        <v>16535</v>
      </c>
      <c r="J2039" s="54" t="s">
        <v>6052</v>
      </c>
      <c r="K2039" s="54">
        <v>0</v>
      </c>
      <c r="L2039" s="22" t="s">
        <v>36807</v>
      </c>
      <c r="M2039" s="22" t="s">
        <v>36974</v>
      </c>
    </row>
    <row r="2040" spans="1:13" x14ac:dyDescent="0.75">
      <c r="A2040" t="s">
        <v>9933</v>
      </c>
      <c r="B2040" t="s">
        <v>7985</v>
      </c>
      <c r="C2040" t="s">
        <v>6142</v>
      </c>
      <c r="D2040" t="s">
        <v>7986</v>
      </c>
      <c r="E2040" t="s">
        <v>9934</v>
      </c>
      <c r="F2040">
        <v>6</v>
      </c>
      <c r="G2040">
        <v>2533889</v>
      </c>
      <c r="H2040" t="s">
        <v>9935</v>
      </c>
      <c r="J2040" s="54" t="s">
        <v>6052</v>
      </c>
      <c r="K2040" s="54">
        <v>0</v>
      </c>
      <c r="L2040" s="22" t="s">
        <v>36806</v>
      </c>
      <c r="M2040" s="22" t="s">
        <v>36975</v>
      </c>
    </row>
    <row r="2041" spans="1:13" x14ac:dyDescent="0.75">
      <c r="A2041" t="s">
        <v>9930</v>
      </c>
      <c r="B2041" t="s">
        <v>9703</v>
      </c>
      <c r="C2041" t="s">
        <v>6142</v>
      </c>
      <c r="D2041" t="s">
        <v>9704</v>
      </c>
      <c r="E2041" t="s">
        <v>9931</v>
      </c>
      <c r="F2041">
        <v>8</v>
      </c>
      <c r="G2041">
        <v>2127845</v>
      </c>
      <c r="H2041" t="s">
        <v>9932</v>
      </c>
      <c r="J2041" s="54" t="s">
        <v>6052</v>
      </c>
      <c r="K2041" s="54">
        <v>0</v>
      </c>
      <c r="L2041" s="22" t="s">
        <v>36806</v>
      </c>
      <c r="M2041" s="22" t="s">
        <v>36977</v>
      </c>
    </row>
    <row r="2042" spans="1:13" x14ac:dyDescent="0.75">
      <c r="A2042" t="s">
        <v>9948</v>
      </c>
      <c r="B2042" t="s">
        <v>6141</v>
      </c>
      <c r="C2042" t="s">
        <v>6142</v>
      </c>
      <c r="D2042" t="s">
        <v>6143</v>
      </c>
      <c r="E2042" t="s">
        <v>9949</v>
      </c>
      <c r="F2042">
        <v>4</v>
      </c>
      <c r="G2042">
        <v>2483868</v>
      </c>
      <c r="H2042" t="s">
        <v>9950</v>
      </c>
      <c r="J2042" s="54" t="s">
        <v>6052</v>
      </c>
      <c r="K2042" s="54">
        <v>0</v>
      </c>
      <c r="L2042" s="22" t="s">
        <v>36807</v>
      </c>
      <c r="M2042" s="22" t="s">
        <v>36974</v>
      </c>
    </row>
    <row r="2043" spans="1:13" x14ac:dyDescent="0.75">
      <c r="A2043" t="s">
        <v>9945</v>
      </c>
      <c r="B2043" t="s">
        <v>6141</v>
      </c>
      <c r="C2043" t="s">
        <v>6142</v>
      </c>
      <c r="D2043" t="s">
        <v>6143</v>
      </c>
      <c r="E2043" t="s">
        <v>9946</v>
      </c>
      <c r="F2043">
        <v>2</v>
      </c>
      <c r="G2043">
        <v>2472171</v>
      </c>
      <c r="H2043" t="s">
        <v>9947</v>
      </c>
      <c r="J2043" s="54" t="s">
        <v>6052</v>
      </c>
      <c r="K2043" s="54">
        <v>0</v>
      </c>
      <c r="L2043" s="22" t="s">
        <v>36807</v>
      </c>
      <c r="M2043" s="22" t="s">
        <v>36974</v>
      </c>
    </row>
    <row r="2044" spans="1:13" x14ac:dyDescent="0.75">
      <c r="A2044" t="s">
        <v>9927</v>
      </c>
      <c r="B2044" t="s">
        <v>7985</v>
      </c>
      <c r="C2044" t="s">
        <v>6142</v>
      </c>
      <c r="D2044" t="s">
        <v>7986</v>
      </c>
      <c r="E2044" t="s">
        <v>9928</v>
      </c>
      <c r="F2044">
        <v>7</v>
      </c>
      <c r="G2044">
        <v>2527710</v>
      </c>
      <c r="H2044" t="s">
        <v>9929</v>
      </c>
      <c r="J2044" s="54" t="s">
        <v>6052</v>
      </c>
      <c r="K2044" s="54">
        <v>0</v>
      </c>
      <c r="L2044" s="22" t="s">
        <v>36806</v>
      </c>
      <c r="M2044" s="22" t="s">
        <v>36975</v>
      </c>
    </row>
    <row r="2045" spans="1:13" x14ac:dyDescent="0.75">
      <c r="A2045" t="s">
        <v>9942</v>
      </c>
      <c r="B2045" t="s">
        <v>7985</v>
      </c>
      <c r="C2045" t="s">
        <v>6142</v>
      </c>
      <c r="D2045" t="s">
        <v>7986</v>
      </c>
      <c r="E2045" t="s">
        <v>9943</v>
      </c>
      <c r="F2045">
        <v>3</v>
      </c>
      <c r="G2045">
        <v>2562188</v>
      </c>
      <c r="H2045" t="s">
        <v>9944</v>
      </c>
      <c r="J2045" s="54" t="s">
        <v>6052</v>
      </c>
      <c r="K2045" s="54">
        <v>0</v>
      </c>
      <c r="L2045" s="22" t="s">
        <v>36806</v>
      </c>
      <c r="M2045" s="22" t="s">
        <v>36975</v>
      </c>
    </row>
    <row r="2046" spans="1:13" x14ac:dyDescent="0.75">
      <c r="A2046" t="s">
        <v>9939</v>
      </c>
      <c r="B2046" t="s">
        <v>6141</v>
      </c>
      <c r="C2046" t="s">
        <v>6142</v>
      </c>
      <c r="D2046" t="s">
        <v>6143</v>
      </c>
      <c r="E2046" t="s">
        <v>9940</v>
      </c>
      <c r="F2046">
        <v>2</v>
      </c>
      <c r="G2046">
        <v>2493425</v>
      </c>
      <c r="H2046" t="s">
        <v>9941</v>
      </c>
      <c r="J2046" s="54" t="s">
        <v>6052</v>
      </c>
      <c r="K2046" s="54">
        <v>0</v>
      </c>
      <c r="L2046" s="22" t="s">
        <v>36807</v>
      </c>
      <c r="M2046" s="22" t="s">
        <v>36974</v>
      </c>
    </row>
    <row r="2047" spans="1:13" x14ac:dyDescent="0.75">
      <c r="A2047" t="s">
        <v>9924</v>
      </c>
      <c r="B2047" t="s">
        <v>7985</v>
      </c>
      <c r="C2047" t="s">
        <v>6142</v>
      </c>
      <c r="D2047" t="s">
        <v>7986</v>
      </c>
      <c r="E2047" t="s">
        <v>9925</v>
      </c>
      <c r="F2047">
        <v>8</v>
      </c>
      <c r="G2047">
        <v>2569252</v>
      </c>
      <c r="H2047" t="s">
        <v>9926</v>
      </c>
      <c r="J2047" s="54" t="s">
        <v>6052</v>
      </c>
      <c r="K2047" s="54">
        <v>0</v>
      </c>
      <c r="L2047" s="22" t="s">
        <v>36806</v>
      </c>
      <c r="M2047" s="22" t="s">
        <v>36975</v>
      </c>
    </row>
    <row r="2048" spans="1:13" x14ac:dyDescent="0.75">
      <c r="A2048" t="s">
        <v>9936</v>
      </c>
      <c r="B2048" t="s">
        <v>6141</v>
      </c>
      <c r="C2048" t="s">
        <v>6142</v>
      </c>
      <c r="D2048" t="s">
        <v>6143</v>
      </c>
      <c r="E2048" t="s">
        <v>9937</v>
      </c>
      <c r="F2048">
        <v>2</v>
      </c>
      <c r="G2048">
        <v>2560551</v>
      </c>
      <c r="H2048" t="s">
        <v>9938</v>
      </c>
      <c r="J2048" s="54" t="s">
        <v>6052</v>
      </c>
      <c r="K2048" s="54">
        <v>0</v>
      </c>
      <c r="L2048" s="22" t="s">
        <v>36807</v>
      </c>
      <c r="M2048" s="22" t="s">
        <v>36974</v>
      </c>
    </row>
    <row r="2049" spans="1:13" x14ac:dyDescent="0.75">
      <c r="A2049" t="s">
        <v>9921</v>
      </c>
      <c r="B2049" t="s">
        <v>6141</v>
      </c>
      <c r="C2049" t="s">
        <v>6142</v>
      </c>
      <c r="D2049" t="s">
        <v>6143</v>
      </c>
      <c r="E2049" t="s">
        <v>9922</v>
      </c>
      <c r="F2049">
        <v>5</v>
      </c>
      <c r="G2049">
        <v>2491109</v>
      </c>
      <c r="H2049" t="s">
        <v>9923</v>
      </c>
      <c r="J2049" s="54" t="s">
        <v>6052</v>
      </c>
      <c r="K2049" s="54">
        <v>0</v>
      </c>
      <c r="L2049" s="22" t="s">
        <v>36807</v>
      </c>
      <c r="M2049" s="22" t="s">
        <v>36974</v>
      </c>
    </row>
    <row r="2050" spans="1:13" x14ac:dyDescent="0.75">
      <c r="A2050" t="s">
        <v>20914</v>
      </c>
      <c r="B2050" t="s">
        <v>7985</v>
      </c>
      <c r="C2050" t="s">
        <v>6142</v>
      </c>
      <c r="D2050" t="s">
        <v>7986</v>
      </c>
      <c r="E2050" t="s">
        <v>20915</v>
      </c>
      <c r="F2050">
        <v>44</v>
      </c>
      <c r="G2050">
        <v>2593286</v>
      </c>
      <c r="H2050" t="s">
        <v>20916</v>
      </c>
      <c r="J2050" s="54" t="s">
        <v>6052</v>
      </c>
      <c r="K2050" s="54">
        <v>0</v>
      </c>
      <c r="L2050" s="22" t="s">
        <v>36806</v>
      </c>
      <c r="M2050" s="22" t="s">
        <v>36975</v>
      </c>
    </row>
    <row r="2051" spans="1:13" x14ac:dyDescent="0.75">
      <c r="A2051" t="s">
        <v>20920</v>
      </c>
      <c r="B2051" t="s">
        <v>7985</v>
      </c>
      <c r="C2051" t="s">
        <v>6142</v>
      </c>
      <c r="D2051" t="s">
        <v>7986</v>
      </c>
      <c r="E2051" t="s">
        <v>20921</v>
      </c>
      <c r="F2051">
        <v>160</v>
      </c>
      <c r="G2051">
        <v>2673190</v>
      </c>
      <c r="H2051" t="s">
        <v>20922</v>
      </c>
      <c r="J2051" s="54" t="s">
        <v>6052</v>
      </c>
      <c r="K2051" s="54">
        <v>0</v>
      </c>
      <c r="L2051" s="22" t="s">
        <v>36806</v>
      </c>
      <c r="M2051" s="22" t="s">
        <v>36975</v>
      </c>
    </row>
    <row r="2052" spans="1:13" x14ac:dyDescent="0.75">
      <c r="A2052" t="s">
        <v>20842</v>
      </c>
      <c r="B2052" t="s">
        <v>7985</v>
      </c>
      <c r="C2052" t="s">
        <v>6142</v>
      </c>
      <c r="D2052" t="s">
        <v>7986</v>
      </c>
      <c r="E2052" t="s">
        <v>20843</v>
      </c>
      <c r="F2052">
        <v>28</v>
      </c>
      <c r="G2052">
        <v>2695360</v>
      </c>
      <c r="H2052" t="s">
        <v>20844</v>
      </c>
      <c r="J2052" s="54" t="s">
        <v>6052</v>
      </c>
      <c r="K2052" s="54">
        <v>0</v>
      </c>
      <c r="L2052" s="22" t="s">
        <v>36806</v>
      </c>
      <c r="M2052" s="22" t="s">
        <v>36975</v>
      </c>
    </row>
    <row r="2053" spans="1:13" x14ac:dyDescent="0.75">
      <c r="A2053" t="s">
        <v>17309</v>
      </c>
      <c r="B2053" t="s">
        <v>6590</v>
      </c>
      <c r="C2053" t="s">
        <v>6142</v>
      </c>
      <c r="D2053" t="s">
        <v>6591</v>
      </c>
      <c r="E2053" t="s">
        <v>17310</v>
      </c>
      <c r="F2053">
        <v>9</v>
      </c>
      <c r="G2053">
        <v>2626218</v>
      </c>
      <c r="H2053" t="s">
        <v>17311</v>
      </c>
      <c r="J2053" s="54" t="s">
        <v>6052</v>
      </c>
      <c r="K2053" s="54">
        <v>0</v>
      </c>
      <c r="L2053" s="22" t="s">
        <v>36806</v>
      </c>
      <c r="M2053" s="22" t="s">
        <v>36976</v>
      </c>
    </row>
    <row r="2054" spans="1:13" x14ac:dyDescent="0.75">
      <c r="A2054" t="s">
        <v>15391</v>
      </c>
      <c r="B2054" t="s">
        <v>6141</v>
      </c>
      <c r="C2054" t="s">
        <v>6142</v>
      </c>
      <c r="D2054" t="s">
        <v>6143</v>
      </c>
      <c r="E2054" t="s">
        <v>15392</v>
      </c>
      <c r="F2054">
        <v>6</v>
      </c>
      <c r="G2054">
        <v>2535330</v>
      </c>
      <c r="H2054" t="s">
        <v>15393</v>
      </c>
      <c r="J2054" s="54" t="s">
        <v>6052</v>
      </c>
      <c r="K2054" s="54">
        <v>0</v>
      </c>
      <c r="L2054" s="22" t="s">
        <v>36807</v>
      </c>
      <c r="M2054" s="22" t="s">
        <v>36974</v>
      </c>
    </row>
    <row r="2055" spans="1:13" x14ac:dyDescent="0.75">
      <c r="A2055" t="s">
        <v>27354</v>
      </c>
      <c r="B2055" t="s">
        <v>7879</v>
      </c>
      <c r="C2055" t="s">
        <v>6142</v>
      </c>
      <c r="D2055" t="s">
        <v>7880</v>
      </c>
      <c r="E2055" t="s">
        <v>27355</v>
      </c>
      <c r="F2055">
        <v>41</v>
      </c>
      <c r="G2055">
        <v>2373264</v>
      </c>
      <c r="H2055" t="s">
        <v>27356</v>
      </c>
      <c r="J2055" s="54" t="s">
        <v>6052</v>
      </c>
      <c r="K2055" s="54">
        <v>0</v>
      </c>
      <c r="L2055" s="22" t="s">
        <v>36806</v>
      </c>
      <c r="M2055" s="22" t="s">
        <v>36978</v>
      </c>
    </row>
    <row r="2056" spans="1:13" x14ac:dyDescent="0.75">
      <c r="A2056" t="s">
        <v>27890</v>
      </c>
      <c r="B2056" t="s">
        <v>6590</v>
      </c>
      <c r="C2056" t="s">
        <v>6142</v>
      </c>
      <c r="D2056" t="s">
        <v>6591</v>
      </c>
      <c r="E2056" t="s">
        <v>27891</v>
      </c>
      <c r="F2056">
        <v>12</v>
      </c>
      <c r="G2056">
        <v>2619414</v>
      </c>
      <c r="H2056" t="s">
        <v>27892</v>
      </c>
      <c r="J2056" s="54" t="s">
        <v>6052</v>
      </c>
      <c r="K2056" s="54">
        <v>0</v>
      </c>
      <c r="L2056" s="22" t="s">
        <v>36806</v>
      </c>
      <c r="M2056" s="22" t="s">
        <v>36976</v>
      </c>
    </row>
    <row r="2057" spans="1:13" x14ac:dyDescent="0.75">
      <c r="A2057" t="s">
        <v>28284</v>
      </c>
      <c r="B2057" t="s">
        <v>7985</v>
      </c>
      <c r="C2057" t="s">
        <v>6142</v>
      </c>
      <c r="D2057" t="s">
        <v>7986</v>
      </c>
      <c r="E2057" t="s">
        <v>28285</v>
      </c>
      <c r="F2057">
        <v>7</v>
      </c>
      <c r="G2057">
        <v>2741290</v>
      </c>
      <c r="H2057" t="s">
        <v>28286</v>
      </c>
      <c r="J2057" s="54" t="s">
        <v>6052</v>
      </c>
      <c r="K2057" s="54">
        <v>0</v>
      </c>
      <c r="L2057" s="22" t="s">
        <v>36806</v>
      </c>
      <c r="M2057" s="22" t="s">
        <v>36975</v>
      </c>
    </row>
    <row r="2058" spans="1:13" x14ac:dyDescent="0.75">
      <c r="A2058" t="s">
        <v>28547</v>
      </c>
      <c r="B2058" t="s">
        <v>9703</v>
      </c>
      <c r="C2058" t="s">
        <v>6142</v>
      </c>
      <c r="D2058" t="s">
        <v>9704</v>
      </c>
      <c r="E2058" t="s">
        <v>28548</v>
      </c>
      <c r="F2058">
        <v>16</v>
      </c>
      <c r="G2058">
        <v>2072889</v>
      </c>
      <c r="H2058" t="s">
        <v>28549</v>
      </c>
      <c r="J2058" s="54" t="s">
        <v>6052</v>
      </c>
      <c r="K2058" s="54">
        <v>0</v>
      </c>
      <c r="L2058" s="22" t="s">
        <v>36806</v>
      </c>
      <c r="M2058" s="22" t="s">
        <v>36977</v>
      </c>
    </row>
    <row r="2059" spans="1:13" x14ac:dyDescent="0.75">
      <c r="A2059" t="s">
        <v>11846</v>
      </c>
      <c r="B2059" t="s">
        <v>7985</v>
      </c>
      <c r="C2059" t="s">
        <v>6142</v>
      </c>
      <c r="D2059" t="s">
        <v>7986</v>
      </c>
      <c r="E2059" t="s">
        <v>11847</v>
      </c>
      <c r="F2059">
        <v>23</v>
      </c>
      <c r="G2059">
        <v>2467154</v>
      </c>
      <c r="H2059" t="s">
        <v>11848</v>
      </c>
      <c r="J2059" s="54" t="s">
        <v>6052</v>
      </c>
      <c r="K2059" s="54">
        <v>0</v>
      </c>
      <c r="L2059" s="22" t="s">
        <v>36806</v>
      </c>
      <c r="M2059" s="22" t="s">
        <v>36975</v>
      </c>
    </row>
    <row r="2060" spans="1:13" x14ac:dyDescent="0.75">
      <c r="A2060" t="s">
        <v>17035</v>
      </c>
      <c r="B2060" t="s">
        <v>6141</v>
      </c>
      <c r="C2060" t="s">
        <v>6142</v>
      </c>
      <c r="D2060" t="s">
        <v>6143</v>
      </c>
      <c r="E2060" t="s">
        <v>17036</v>
      </c>
      <c r="F2060">
        <v>1</v>
      </c>
      <c r="G2060">
        <v>2494738</v>
      </c>
      <c r="H2060" t="s">
        <v>17037</v>
      </c>
      <c r="J2060" s="54" t="s">
        <v>6052</v>
      </c>
      <c r="K2060" s="54">
        <v>0</v>
      </c>
      <c r="L2060" s="22" t="s">
        <v>36807</v>
      </c>
      <c r="M2060" s="22" t="s">
        <v>36974</v>
      </c>
    </row>
    <row r="2061" spans="1:13" x14ac:dyDescent="0.75">
      <c r="A2061" t="s">
        <v>21733</v>
      </c>
      <c r="B2061" t="s">
        <v>6141</v>
      </c>
      <c r="C2061" t="s">
        <v>6142</v>
      </c>
      <c r="D2061" t="s">
        <v>6143</v>
      </c>
      <c r="E2061" t="s">
        <v>21734</v>
      </c>
      <c r="F2061">
        <v>1</v>
      </c>
      <c r="G2061">
        <v>2560907</v>
      </c>
      <c r="H2061" t="s">
        <v>21735</v>
      </c>
      <c r="J2061" s="54" t="s">
        <v>6052</v>
      </c>
      <c r="K2061" s="54">
        <v>0</v>
      </c>
      <c r="L2061" s="22" t="s">
        <v>36807</v>
      </c>
      <c r="M2061" s="22" t="s">
        <v>36974</v>
      </c>
    </row>
    <row r="2062" spans="1:13" x14ac:dyDescent="0.75">
      <c r="A2062" t="s">
        <v>27301</v>
      </c>
      <c r="B2062" t="s">
        <v>9703</v>
      </c>
      <c r="C2062" t="s">
        <v>6142</v>
      </c>
      <c r="D2062" t="s">
        <v>9704</v>
      </c>
      <c r="E2062" t="s">
        <v>27302</v>
      </c>
      <c r="F2062">
        <v>1</v>
      </c>
      <c r="G2062">
        <v>2175244</v>
      </c>
      <c r="H2062" t="s">
        <v>27303</v>
      </c>
      <c r="J2062" s="54" t="s">
        <v>6052</v>
      </c>
      <c r="K2062" s="54">
        <v>0</v>
      </c>
      <c r="L2062" s="22" t="s">
        <v>36806</v>
      </c>
      <c r="M2062" s="22" t="s">
        <v>36977</v>
      </c>
    </row>
    <row r="2063" spans="1:13" x14ac:dyDescent="0.75">
      <c r="A2063" t="s">
        <v>16678</v>
      </c>
      <c r="B2063" t="s">
        <v>6590</v>
      </c>
      <c r="C2063" t="s">
        <v>6142</v>
      </c>
      <c r="D2063" t="s">
        <v>6591</v>
      </c>
      <c r="E2063" t="s">
        <v>16679</v>
      </c>
      <c r="F2063">
        <v>12</v>
      </c>
      <c r="G2063">
        <v>2643072</v>
      </c>
      <c r="H2063" t="s">
        <v>16680</v>
      </c>
      <c r="J2063" s="54" t="s">
        <v>6052</v>
      </c>
      <c r="K2063" s="54">
        <v>0</v>
      </c>
      <c r="L2063" s="22" t="s">
        <v>36806</v>
      </c>
      <c r="M2063" s="22" t="s">
        <v>36976</v>
      </c>
    </row>
    <row r="2064" spans="1:13" x14ac:dyDescent="0.75">
      <c r="A2064" t="s">
        <v>12221</v>
      </c>
      <c r="B2064" t="s">
        <v>7879</v>
      </c>
      <c r="C2064" t="s">
        <v>6142</v>
      </c>
      <c r="D2064" t="s">
        <v>7880</v>
      </c>
      <c r="E2064" t="s">
        <v>12222</v>
      </c>
      <c r="F2064">
        <v>29</v>
      </c>
      <c r="G2064">
        <v>2369714</v>
      </c>
      <c r="H2064" t="s">
        <v>12223</v>
      </c>
      <c r="J2064" s="54" t="s">
        <v>6052</v>
      </c>
      <c r="K2064" s="54">
        <v>0</v>
      </c>
      <c r="L2064" s="22" t="s">
        <v>36806</v>
      </c>
      <c r="M2064" s="22" t="s">
        <v>36978</v>
      </c>
    </row>
    <row r="2065" spans="1:13" x14ac:dyDescent="0.75">
      <c r="A2065" t="s">
        <v>26151</v>
      </c>
      <c r="B2065" t="s">
        <v>7879</v>
      </c>
      <c r="C2065" t="s">
        <v>6142</v>
      </c>
      <c r="D2065" t="s">
        <v>7880</v>
      </c>
      <c r="E2065" t="s">
        <v>26152</v>
      </c>
      <c r="F2065">
        <v>13</v>
      </c>
      <c r="G2065">
        <v>2374308</v>
      </c>
      <c r="H2065" t="s">
        <v>26153</v>
      </c>
      <c r="J2065" s="54" t="s">
        <v>6052</v>
      </c>
      <c r="K2065" s="54">
        <v>0</v>
      </c>
      <c r="L2065" s="22" t="s">
        <v>36806</v>
      </c>
      <c r="M2065" s="22" t="s">
        <v>36978</v>
      </c>
    </row>
    <row r="2066" spans="1:13" x14ac:dyDescent="0.75">
      <c r="A2066" t="s">
        <v>26163</v>
      </c>
      <c r="B2066" t="s">
        <v>7879</v>
      </c>
      <c r="C2066" t="s">
        <v>6142</v>
      </c>
      <c r="D2066" t="s">
        <v>7880</v>
      </c>
      <c r="E2066" t="s">
        <v>26164</v>
      </c>
      <c r="F2066">
        <v>21</v>
      </c>
      <c r="G2066">
        <v>2399123</v>
      </c>
      <c r="H2066" t="s">
        <v>26165</v>
      </c>
      <c r="J2066" s="54" t="s">
        <v>6052</v>
      </c>
      <c r="K2066" s="54">
        <v>0</v>
      </c>
      <c r="L2066" s="22" t="s">
        <v>36806</v>
      </c>
      <c r="M2066" s="22" t="s">
        <v>36978</v>
      </c>
    </row>
    <row r="2067" spans="1:13" x14ac:dyDescent="0.75">
      <c r="A2067" t="s">
        <v>26160</v>
      </c>
      <c r="B2067" t="s">
        <v>7879</v>
      </c>
      <c r="C2067" t="s">
        <v>6142</v>
      </c>
      <c r="D2067" t="s">
        <v>7880</v>
      </c>
      <c r="E2067" t="s">
        <v>26161</v>
      </c>
      <c r="F2067">
        <v>20</v>
      </c>
      <c r="G2067">
        <v>2397796</v>
      </c>
      <c r="H2067" t="s">
        <v>26162</v>
      </c>
      <c r="J2067" s="54" t="s">
        <v>6052</v>
      </c>
      <c r="K2067" s="54">
        <v>0</v>
      </c>
      <c r="L2067" s="22" t="s">
        <v>36806</v>
      </c>
      <c r="M2067" s="22" t="s">
        <v>36978</v>
      </c>
    </row>
    <row r="2068" spans="1:13" x14ac:dyDescent="0.75">
      <c r="A2068" t="s">
        <v>26627</v>
      </c>
      <c r="B2068" t="s">
        <v>7985</v>
      </c>
      <c r="C2068" t="s">
        <v>6142</v>
      </c>
      <c r="D2068" t="s">
        <v>7986</v>
      </c>
      <c r="E2068" t="s">
        <v>26628</v>
      </c>
      <c r="F2068">
        <v>159</v>
      </c>
      <c r="G2068">
        <v>2485617</v>
      </c>
      <c r="H2068" t="s">
        <v>26629</v>
      </c>
      <c r="J2068" s="54" t="s">
        <v>6052</v>
      </c>
      <c r="K2068" s="54">
        <v>0</v>
      </c>
      <c r="L2068" s="22" t="s">
        <v>36806</v>
      </c>
      <c r="M2068" s="22" t="s">
        <v>36975</v>
      </c>
    </row>
    <row r="2069" spans="1:13" x14ac:dyDescent="0.75">
      <c r="A2069" t="s">
        <v>26621</v>
      </c>
      <c r="B2069" t="s">
        <v>7985</v>
      </c>
      <c r="C2069" t="s">
        <v>6142</v>
      </c>
      <c r="D2069" t="s">
        <v>7986</v>
      </c>
      <c r="E2069" t="s">
        <v>26622</v>
      </c>
      <c r="F2069">
        <v>185</v>
      </c>
      <c r="G2069">
        <v>2525795</v>
      </c>
      <c r="H2069" t="s">
        <v>26623</v>
      </c>
      <c r="J2069" s="54" t="s">
        <v>6052</v>
      </c>
      <c r="K2069" s="54">
        <v>0</v>
      </c>
      <c r="L2069" s="22" t="s">
        <v>36806</v>
      </c>
      <c r="M2069" s="22" t="s">
        <v>36975</v>
      </c>
    </row>
    <row r="2070" spans="1:13" x14ac:dyDescent="0.75">
      <c r="A2070" t="s">
        <v>26624</v>
      </c>
      <c r="B2070" t="s">
        <v>7985</v>
      </c>
      <c r="C2070" t="s">
        <v>6142</v>
      </c>
      <c r="D2070" t="s">
        <v>7986</v>
      </c>
      <c r="E2070" t="s">
        <v>26625</v>
      </c>
      <c r="F2070">
        <v>173</v>
      </c>
      <c r="G2070">
        <v>2481605</v>
      </c>
      <c r="H2070" t="s">
        <v>26626</v>
      </c>
      <c r="J2070" s="54" t="s">
        <v>6052</v>
      </c>
      <c r="K2070" s="54">
        <v>0</v>
      </c>
      <c r="L2070" s="22" t="s">
        <v>36806</v>
      </c>
      <c r="M2070" s="22" t="s">
        <v>36975</v>
      </c>
    </row>
    <row r="2071" spans="1:13" x14ac:dyDescent="0.75">
      <c r="A2071" t="s">
        <v>8393</v>
      </c>
      <c r="B2071" t="s">
        <v>6141</v>
      </c>
      <c r="C2071" t="s">
        <v>6142</v>
      </c>
      <c r="D2071" t="s">
        <v>6143</v>
      </c>
      <c r="E2071" t="s">
        <v>8394</v>
      </c>
      <c r="F2071">
        <v>1</v>
      </c>
      <c r="G2071">
        <v>2522885</v>
      </c>
      <c r="H2071" t="s">
        <v>8395</v>
      </c>
      <c r="J2071" s="54" t="s">
        <v>6052</v>
      </c>
      <c r="K2071" s="54">
        <v>0</v>
      </c>
      <c r="L2071" s="22" t="s">
        <v>36807</v>
      </c>
      <c r="M2071" s="22" t="s">
        <v>36974</v>
      </c>
    </row>
    <row r="2072" spans="1:13" x14ac:dyDescent="0.75">
      <c r="A2072" t="s">
        <v>8396</v>
      </c>
      <c r="B2072" t="s">
        <v>6141</v>
      </c>
      <c r="C2072" t="s">
        <v>6142</v>
      </c>
      <c r="D2072" t="s">
        <v>6143</v>
      </c>
      <c r="E2072" t="s">
        <v>8397</v>
      </c>
      <c r="F2072">
        <v>1</v>
      </c>
      <c r="G2072">
        <v>2498766</v>
      </c>
      <c r="H2072" t="s">
        <v>8398</v>
      </c>
      <c r="J2072" s="54" t="s">
        <v>6052</v>
      </c>
      <c r="K2072" s="54">
        <v>0</v>
      </c>
      <c r="L2072" s="22" t="s">
        <v>36807</v>
      </c>
      <c r="M2072" s="22" t="s">
        <v>36974</v>
      </c>
    </row>
    <row r="2073" spans="1:13" x14ac:dyDescent="0.75">
      <c r="A2073" t="s">
        <v>8390</v>
      </c>
      <c r="B2073" t="s">
        <v>6141</v>
      </c>
      <c r="C2073" t="s">
        <v>6142</v>
      </c>
      <c r="D2073" t="s">
        <v>6143</v>
      </c>
      <c r="E2073" t="s">
        <v>8391</v>
      </c>
      <c r="F2073">
        <v>1</v>
      </c>
      <c r="G2073">
        <v>2489623</v>
      </c>
      <c r="H2073" t="s">
        <v>8392</v>
      </c>
      <c r="J2073" s="54" t="s">
        <v>6052</v>
      </c>
      <c r="K2073" s="54">
        <v>0</v>
      </c>
      <c r="L2073" s="22" t="s">
        <v>36807</v>
      </c>
      <c r="M2073" s="22" t="s">
        <v>36974</v>
      </c>
    </row>
    <row r="2074" spans="1:13" x14ac:dyDescent="0.75">
      <c r="A2074" t="s">
        <v>7644</v>
      </c>
      <c r="B2074" t="s">
        <v>6590</v>
      </c>
      <c r="C2074" t="s">
        <v>6142</v>
      </c>
      <c r="D2074" t="s">
        <v>6591</v>
      </c>
      <c r="E2074" t="s">
        <v>7645</v>
      </c>
      <c r="F2074">
        <v>22</v>
      </c>
      <c r="G2074">
        <v>2623290</v>
      </c>
      <c r="H2074" t="s">
        <v>7646</v>
      </c>
      <c r="J2074" s="54" t="s">
        <v>6052</v>
      </c>
      <c r="K2074" s="54">
        <v>0</v>
      </c>
      <c r="L2074" s="22" t="s">
        <v>36806</v>
      </c>
      <c r="M2074" s="22" t="s">
        <v>36976</v>
      </c>
    </row>
    <row r="2075" spans="1:13" x14ac:dyDescent="0.75">
      <c r="A2075" t="s">
        <v>15509</v>
      </c>
      <c r="B2075" t="s">
        <v>6141</v>
      </c>
      <c r="C2075" t="s">
        <v>6142</v>
      </c>
      <c r="D2075" t="s">
        <v>6143</v>
      </c>
      <c r="E2075" t="s">
        <v>15510</v>
      </c>
      <c r="F2075">
        <v>5</v>
      </c>
      <c r="G2075">
        <v>2546045</v>
      </c>
      <c r="H2075" t="s">
        <v>15511</v>
      </c>
      <c r="J2075" s="54" t="s">
        <v>6052</v>
      </c>
      <c r="K2075" s="54">
        <v>0</v>
      </c>
      <c r="L2075" s="22" t="s">
        <v>36807</v>
      </c>
      <c r="M2075" s="22" t="s">
        <v>36974</v>
      </c>
    </row>
    <row r="2076" spans="1:13" x14ac:dyDescent="0.75">
      <c r="A2076" t="s">
        <v>16787</v>
      </c>
      <c r="B2076" t="s">
        <v>6141</v>
      </c>
      <c r="C2076" t="s">
        <v>6142</v>
      </c>
      <c r="D2076" t="s">
        <v>6143</v>
      </c>
      <c r="E2076" t="s">
        <v>15510</v>
      </c>
      <c r="F2076">
        <v>5</v>
      </c>
      <c r="G2076">
        <v>2546045</v>
      </c>
      <c r="H2076" t="s">
        <v>16788</v>
      </c>
      <c r="J2076" s="54" t="s">
        <v>6052</v>
      </c>
      <c r="K2076" s="54">
        <v>0</v>
      </c>
      <c r="L2076" s="22" t="s">
        <v>36807</v>
      </c>
      <c r="M2076" s="22" t="s">
        <v>36974</v>
      </c>
    </row>
    <row r="2077" spans="1:13" x14ac:dyDescent="0.75">
      <c r="A2077" t="s">
        <v>15512</v>
      </c>
      <c r="B2077" t="s">
        <v>6141</v>
      </c>
      <c r="C2077" t="s">
        <v>6142</v>
      </c>
      <c r="D2077" t="s">
        <v>6143</v>
      </c>
      <c r="E2077" t="s">
        <v>15513</v>
      </c>
      <c r="F2077">
        <v>5</v>
      </c>
      <c r="G2077">
        <v>2477474</v>
      </c>
      <c r="H2077" t="s">
        <v>15514</v>
      </c>
      <c r="J2077" s="54" t="s">
        <v>6052</v>
      </c>
      <c r="K2077" s="54">
        <v>0</v>
      </c>
      <c r="L2077" s="22" t="s">
        <v>36807</v>
      </c>
      <c r="M2077" s="22" t="s">
        <v>36974</v>
      </c>
    </row>
    <row r="2078" spans="1:13" x14ac:dyDescent="0.75">
      <c r="A2078" t="s">
        <v>16785</v>
      </c>
      <c r="B2078" t="s">
        <v>6141</v>
      </c>
      <c r="C2078" t="s">
        <v>6142</v>
      </c>
      <c r="D2078" t="s">
        <v>6143</v>
      </c>
      <c r="E2078" t="s">
        <v>15513</v>
      </c>
      <c r="F2078">
        <v>5</v>
      </c>
      <c r="G2078">
        <v>2477459</v>
      </c>
      <c r="H2078" t="s">
        <v>16786</v>
      </c>
      <c r="J2078" s="54" t="s">
        <v>6052</v>
      </c>
      <c r="K2078" s="54">
        <v>0</v>
      </c>
      <c r="L2078" s="22" t="s">
        <v>36807</v>
      </c>
      <c r="M2078" s="22" t="s">
        <v>36974</v>
      </c>
    </row>
    <row r="2079" spans="1:13" x14ac:dyDescent="0.75">
      <c r="A2079" t="s">
        <v>15500</v>
      </c>
      <c r="B2079" t="s">
        <v>6141</v>
      </c>
      <c r="C2079" t="s">
        <v>6142</v>
      </c>
      <c r="D2079" t="s">
        <v>6143</v>
      </c>
      <c r="E2079" t="s">
        <v>15501</v>
      </c>
      <c r="F2079">
        <v>6</v>
      </c>
      <c r="G2079">
        <v>2517904</v>
      </c>
      <c r="H2079" t="s">
        <v>15502</v>
      </c>
      <c r="J2079" s="54" t="s">
        <v>6052</v>
      </c>
      <c r="K2079" s="54">
        <v>0</v>
      </c>
      <c r="L2079" s="22" t="s">
        <v>36807</v>
      </c>
      <c r="M2079" s="22" t="s">
        <v>36974</v>
      </c>
    </row>
    <row r="2080" spans="1:13" x14ac:dyDescent="0.75">
      <c r="A2080" t="s">
        <v>15494</v>
      </c>
      <c r="B2080" t="s">
        <v>6141</v>
      </c>
      <c r="C2080" t="s">
        <v>6142</v>
      </c>
      <c r="D2080" t="s">
        <v>6143</v>
      </c>
      <c r="E2080" t="s">
        <v>15495</v>
      </c>
      <c r="F2080">
        <v>5</v>
      </c>
      <c r="G2080">
        <v>2479049</v>
      </c>
      <c r="H2080" t="s">
        <v>15496</v>
      </c>
      <c r="J2080" s="54" t="s">
        <v>6052</v>
      </c>
      <c r="K2080" s="54">
        <v>0</v>
      </c>
      <c r="L2080" s="22" t="s">
        <v>36807</v>
      </c>
      <c r="M2080" s="22" t="s">
        <v>36974</v>
      </c>
    </row>
    <row r="2081" spans="1:13" x14ac:dyDescent="0.75">
      <c r="A2081" t="s">
        <v>16783</v>
      </c>
      <c r="B2081" t="s">
        <v>6141</v>
      </c>
      <c r="C2081" t="s">
        <v>6142</v>
      </c>
      <c r="D2081" t="s">
        <v>6143</v>
      </c>
      <c r="E2081" t="s">
        <v>15495</v>
      </c>
      <c r="F2081">
        <v>5</v>
      </c>
      <c r="G2081">
        <v>2478893</v>
      </c>
      <c r="H2081" t="s">
        <v>16784</v>
      </c>
      <c r="J2081" s="54" t="s">
        <v>6052</v>
      </c>
      <c r="K2081" s="54">
        <v>0</v>
      </c>
      <c r="L2081" s="22" t="s">
        <v>36807</v>
      </c>
      <c r="M2081" s="22" t="s">
        <v>36974</v>
      </c>
    </row>
    <row r="2082" spans="1:13" x14ac:dyDescent="0.75">
      <c r="A2082" t="s">
        <v>15518</v>
      </c>
      <c r="B2082" t="s">
        <v>6141</v>
      </c>
      <c r="C2082" t="s">
        <v>6142</v>
      </c>
      <c r="D2082" t="s">
        <v>6143</v>
      </c>
      <c r="E2082" t="s">
        <v>15519</v>
      </c>
      <c r="F2082">
        <v>5</v>
      </c>
      <c r="G2082">
        <v>2535498</v>
      </c>
      <c r="H2082" t="s">
        <v>15520</v>
      </c>
      <c r="J2082" s="54" t="s">
        <v>6052</v>
      </c>
      <c r="K2082" s="54">
        <v>0</v>
      </c>
      <c r="L2082" s="22" t="s">
        <v>36807</v>
      </c>
      <c r="M2082" s="22" t="s">
        <v>36974</v>
      </c>
    </row>
    <row r="2083" spans="1:13" x14ac:dyDescent="0.75">
      <c r="A2083" t="s">
        <v>16781</v>
      </c>
      <c r="B2083" t="s">
        <v>6141</v>
      </c>
      <c r="C2083" t="s">
        <v>6142</v>
      </c>
      <c r="D2083" t="s">
        <v>6143</v>
      </c>
      <c r="E2083" t="s">
        <v>15519</v>
      </c>
      <c r="F2083">
        <v>5</v>
      </c>
      <c r="G2083">
        <v>2535403</v>
      </c>
      <c r="H2083" t="s">
        <v>16782</v>
      </c>
      <c r="J2083" s="54" t="s">
        <v>6052</v>
      </c>
      <c r="K2083" s="54">
        <v>0</v>
      </c>
      <c r="L2083" s="22" t="s">
        <v>36807</v>
      </c>
      <c r="M2083" s="22" t="s">
        <v>36974</v>
      </c>
    </row>
    <row r="2084" spans="1:13" x14ac:dyDescent="0.75">
      <c r="A2084" t="s">
        <v>15388</v>
      </c>
      <c r="B2084" t="s">
        <v>6141</v>
      </c>
      <c r="C2084" t="s">
        <v>6142</v>
      </c>
      <c r="D2084" t="s">
        <v>6143</v>
      </c>
      <c r="E2084" t="s">
        <v>15389</v>
      </c>
      <c r="F2084">
        <v>5</v>
      </c>
      <c r="G2084">
        <v>2536713</v>
      </c>
      <c r="H2084" t="s">
        <v>15390</v>
      </c>
      <c r="J2084" s="54" t="s">
        <v>6052</v>
      </c>
      <c r="K2084" s="54">
        <v>0</v>
      </c>
      <c r="L2084" s="22" t="s">
        <v>36807</v>
      </c>
      <c r="M2084" s="22" t="s">
        <v>36974</v>
      </c>
    </row>
    <row r="2085" spans="1:13" x14ac:dyDescent="0.75">
      <c r="A2085" t="s">
        <v>16779</v>
      </c>
      <c r="B2085" t="s">
        <v>6141</v>
      </c>
      <c r="C2085" t="s">
        <v>6142</v>
      </c>
      <c r="D2085" t="s">
        <v>6143</v>
      </c>
      <c r="E2085" t="s">
        <v>15389</v>
      </c>
      <c r="F2085">
        <v>5</v>
      </c>
      <c r="G2085">
        <v>2536546</v>
      </c>
      <c r="H2085" t="s">
        <v>16780</v>
      </c>
      <c r="J2085" s="54" t="s">
        <v>6052</v>
      </c>
      <c r="K2085" s="54">
        <v>0</v>
      </c>
      <c r="L2085" s="22" t="s">
        <v>36807</v>
      </c>
      <c r="M2085" s="22" t="s">
        <v>36974</v>
      </c>
    </row>
    <row r="2086" spans="1:13" x14ac:dyDescent="0.75">
      <c r="A2086" t="s">
        <v>15385</v>
      </c>
      <c r="B2086" t="s">
        <v>6141</v>
      </c>
      <c r="C2086" t="s">
        <v>6142</v>
      </c>
      <c r="D2086" t="s">
        <v>6143</v>
      </c>
      <c r="E2086" t="s">
        <v>15386</v>
      </c>
      <c r="F2086">
        <v>6</v>
      </c>
      <c r="G2086">
        <v>2537015</v>
      </c>
      <c r="H2086" t="s">
        <v>15387</v>
      </c>
      <c r="J2086" s="54" t="s">
        <v>6052</v>
      </c>
      <c r="K2086" s="54">
        <v>0</v>
      </c>
      <c r="L2086" s="22" t="s">
        <v>36807</v>
      </c>
      <c r="M2086" s="22" t="s">
        <v>36974</v>
      </c>
    </row>
    <row r="2087" spans="1:13" x14ac:dyDescent="0.75">
      <c r="A2087" t="s">
        <v>15394</v>
      </c>
      <c r="B2087" t="s">
        <v>6141</v>
      </c>
      <c r="C2087" t="s">
        <v>6142</v>
      </c>
      <c r="D2087" t="s">
        <v>6143</v>
      </c>
      <c r="E2087" t="s">
        <v>15395</v>
      </c>
      <c r="F2087">
        <v>5</v>
      </c>
      <c r="G2087">
        <v>2479017</v>
      </c>
      <c r="H2087" t="s">
        <v>15396</v>
      </c>
      <c r="J2087" s="54" t="s">
        <v>6052</v>
      </c>
      <c r="K2087" s="54">
        <v>0</v>
      </c>
      <c r="L2087" s="22" t="s">
        <v>36807</v>
      </c>
      <c r="M2087" s="22" t="s">
        <v>36974</v>
      </c>
    </row>
    <row r="2088" spans="1:13" x14ac:dyDescent="0.75">
      <c r="A2088" t="s">
        <v>16777</v>
      </c>
      <c r="B2088" t="s">
        <v>6141</v>
      </c>
      <c r="C2088" t="s">
        <v>6142</v>
      </c>
      <c r="D2088" t="s">
        <v>6143</v>
      </c>
      <c r="E2088" t="s">
        <v>15395</v>
      </c>
      <c r="F2088">
        <v>5</v>
      </c>
      <c r="G2088">
        <v>2479017</v>
      </c>
      <c r="H2088" t="s">
        <v>16778</v>
      </c>
      <c r="J2088" s="54" t="s">
        <v>6052</v>
      </c>
      <c r="K2088" s="54">
        <v>0</v>
      </c>
      <c r="L2088" s="22" t="s">
        <v>36807</v>
      </c>
      <c r="M2088" s="22" t="s">
        <v>36974</v>
      </c>
    </row>
    <row r="2089" spans="1:13" x14ac:dyDescent="0.75">
      <c r="A2089" t="s">
        <v>16774</v>
      </c>
      <c r="B2089" t="s">
        <v>6141</v>
      </c>
      <c r="C2089" t="s">
        <v>6142</v>
      </c>
      <c r="D2089" t="s">
        <v>6143</v>
      </c>
      <c r="E2089" t="s">
        <v>16775</v>
      </c>
      <c r="F2089">
        <v>6</v>
      </c>
      <c r="G2089">
        <v>2465382</v>
      </c>
      <c r="H2089" t="s">
        <v>16776</v>
      </c>
      <c r="J2089" s="54" t="s">
        <v>6052</v>
      </c>
      <c r="K2089" s="54">
        <v>0</v>
      </c>
      <c r="L2089" s="22" t="s">
        <v>36807</v>
      </c>
      <c r="M2089" s="22" t="s">
        <v>36974</v>
      </c>
    </row>
    <row r="2090" spans="1:13" x14ac:dyDescent="0.75">
      <c r="A2090" t="s">
        <v>15515</v>
      </c>
      <c r="B2090" t="s">
        <v>7985</v>
      </c>
      <c r="C2090" t="s">
        <v>6142</v>
      </c>
      <c r="D2090" t="s">
        <v>7986</v>
      </c>
      <c r="E2090" t="s">
        <v>15516</v>
      </c>
      <c r="F2090">
        <v>20</v>
      </c>
      <c r="G2090">
        <v>2693320</v>
      </c>
      <c r="H2090" t="s">
        <v>15517</v>
      </c>
      <c r="J2090" s="54" t="s">
        <v>6052</v>
      </c>
      <c r="K2090" s="54">
        <v>0</v>
      </c>
      <c r="L2090" s="22" t="s">
        <v>36806</v>
      </c>
      <c r="M2090" s="22" t="s">
        <v>36975</v>
      </c>
    </row>
    <row r="2091" spans="1:13" x14ac:dyDescent="0.75">
      <c r="A2091" t="s">
        <v>16789</v>
      </c>
      <c r="B2091" t="s">
        <v>7985</v>
      </c>
      <c r="C2091" t="s">
        <v>6142</v>
      </c>
      <c r="D2091" t="s">
        <v>7986</v>
      </c>
      <c r="E2091" t="s">
        <v>16790</v>
      </c>
      <c r="F2091">
        <v>49</v>
      </c>
      <c r="G2091">
        <v>2630617</v>
      </c>
      <c r="H2091" t="s">
        <v>16791</v>
      </c>
      <c r="J2091" s="54" t="s">
        <v>6052</v>
      </c>
      <c r="K2091" s="54">
        <v>0</v>
      </c>
      <c r="L2091" s="22" t="s">
        <v>36806</v>
      </c>
      <c r="M2091" s="22" t="s">
        <v>36975</v>
      </c>
    </row>
    <row r="2092" spans="1:13" x14ac:dyDescent="0.75">
      <c r="A2092" t="s">
        <v>23950</v>
      </c>
      <c r="B2092" t="s">
        <v>7985</v>
      </c>
      <c r="C2092" t="s">
        <v>6142</v>
      </c>
      <c r="D2092" t="s">
        <v>7986</v>
      </c>
      <c r="E2092" t="s">
        <v>23951</v>
      </c>
      <c r="F2092">
        <v>39</v>
      </c>
      <c r="G2092">
        <v>2436173</v>
      </c>
      <c r="H2092" t="s">
        <v>23952</v>
      </c>
      <c r="J2092" s="54" t="s">
        <v>6052</v>
      </c>
      <c r="K2092" s="54">
        <v>0</v>
      </c>
      <c r="L2092" s="22" t="s">
        <v>36806</v>
      </c>
      <c r="M2092" s="22" t="s">
        <v>36975</v>
      </c>
    </row>
    <row r="2093" spans="1:13" x14ac:dyDescent="0.75">
      <c r="A2093" t="s">
        <v>11762</v>
      </c>
      <c r="B2093" t="s">
        <v>6141</v>
      </c>
      <c r="C2093" t="s">
        <v>6142</v>
      </c>
      <c r="D2093" t="s">
        <v>6143</v>
      </c>
      <c r="E2093" t="s">
        <v>11763</v>
      </c>
      <c r="F2093">
        <v>1</v>
      </c>
      <c r="G2093">
        <v>2491961</v>
      </c>
      <c r="H2093" t="s">
        <v>11764</v>
      </c>
      <c r="J2093" s="54" t="s">
        <v>6052</v>
      </c>
      <c r="K2093" s="54">
        <v>0</v>
      </c>
      <c r="L2093" s="22" t="s">
        <v>36807</v>
      </c>
      <c r="M2093" s="22" t="s">
        <v>36974</v>
      </c>
    </row>
    <row r="2094" spans="1:13" x14ac:dyDescent="0.75">
      <c r="A2094" t="s">
        <v>11759</v>
      </c>
      <c r="B2094" t="s">
        <v>6141</v>
      </c>
      <c r="C2094" t="s">
        <v>6142</v>
      </c>
      <c r="D2094" t="s">
        <v>6143</v>
      </c>
      <c r="E2094" t="s">
        <v>11760</v>
      </c>
      <c r="F2094">
        <v>2</v>
      </c>
      <c r="G2094">
        <v>2470017</v>
      </c>
      <c r="H2094" t="s">
        <v>11761</v>
      </c>
      <c r="J2094" s="54" t="s">
        <v>6052</v>
      </c>
      <c r="K2094" s="54">
        <v>0</v>
      </c>
      <c r="L2094" s="22" t="s">
        <v>36807</v>
      </c>
      <c r="M2094" s="22" t="s">
        <v>36974</v>
      </c>
    </row>
    <row r="2095" spans="1:13" x14ac:dyDescent="0.75">
      <c r="A2095" t="s">
        <v>11750</v>
      </c>
      <c r="B2095" t="s">
        <v>6141</v>
      </c>
      <c r="C2095" t="s">
        <v>6142</v>
      </c>
      <c r="D2095" t="s">
        <v>6143</v>
      </c>
      <c r="E2095" t="s">
        <v>11751</v>
      </c>
      <c r="F2095">
        <v>2</v>
      </c>
      <c r="G2095">
        <v>2547961</v>
      </c>
      <c r="H2095" t="s">
        <v>11752</v>
      </c>
      <c r="J2095" s="54" t="s">
        <v>6052</v>
      </c>
      <c r="K2095" s="54">
        <v>0</v>
      </c>
      <c r="L2095" s="22" t="s">
        <v>36807</v>
      </c>
      <c r="M2095" s="22" t="s">
        <v>36974</v>
      </c>
    </row>
    <row r="2096" spans="1:13" x14ac:dyDescent="0.75">
      <c r="A2096" t="s">
        <v>11756</v>
      </c>
      <c r="B2096" t="s">
        <v>6141</v>
      </c>
      <c r="C2096" t="s">
        <v>6142</v>
      </c>
      <c r="D2096" t="s">
        <v>6143</v>
      </c>
      <c r="E2096" t="s">
        <v>11757</v>
      </c>
      <c r="F2096">
        <v>1</v>
      </c>
      <c r="G2096">
        <v>2540008</v>
      </c>
      <c r="H2096" t="s">
        <v>11758</v>
      </c>
      <c r="J2096" s="54" t="s">
        <v>6052</v>
      </c>
      <c r="K2096" s="54">
        <v>0</v>
      </c>
      <c r="L2096" s="22" t="s">
        <v>36807</v>
      </c>
      <c r="M2096" s="22" t="s">
        <v>36974</v>
      </c>
    </row>
    <row r="2097" spans="1:13" x14ac:dyDescent="0.75">
      <c r="A2097" t="s">
        <v>11753</v>
      </c>
      <c r="B2097" t="s">
        <v>6141</v>
      </c>
      <c r="C2097" t="s">
        <v>6142</v>
      </c>
      <c r="D2097" t="s">
        <v>6143</v>
      </c>
      <c r="E2097" t="s">
        <v>11754</v>
      </c>
      <c r="F2097">
        <v>1</v>
      </c>
      <c r="G2097">
        <v>2560354</v>
      </c>
      <c r="H2097" t="s">
        <v>11755</v>
      </c>
      <c r="J2097" s="54" t="s">
        <v>6052</v>
      </c>
      <c r="K2097" s="54">
        <v>0</v>
      </c>
      <c r="L2097" s="22" t="s">
        <v>36807</v>
      </c>
      <c r="M2097" s="22" t="s">
        <v>36974</v>
      </c>
    </row>
    <row r="2098" spans="1:13" x14ac:dyDescent="0.75">
      <c r="A2098" t="s">
        <v>11747</v>
      </c>
      <c r="B2098" t="s">
        <v>6141</v>
      </c>
      <c r="C2098" t="s">
        <v>6142</v>
      </c>
      <c r="D2098" t="s">
        <v>6143</v>
      </c>
      <c r="E2098" t="s">
        <v>11748</v>
      </c>
      <c r="F2098">
        <v>3</v>
      </c>
      <c r="G2098">
        <v>2530708</v>
      </c>
      <c r="H2098" t="s">
        <v>11749</v>
      </c>
      <c r="J2098" s="54" t="s">
        <v>6052</v>
      </c>
      <c r="K2098" s="54">
        <v>0</v>
      </c>
      <c r="L2098" s="22" t="s">
        <v>36807</v>
      </c>
      <c r="M2098" s="22" t="s">
        <v>36974</v>
      </c>
    </row>
    <row r="2099" spans="1:13" x14ac:dyDescent="0.75">
      <c r="A2099" t="s">
        <v>26556</v>
      </c>
      <c r="B2099" t="s">
        <v>9703</v>
      </c>
      <c r="C2099" t="s">
        <v>6142</v>
      </c>
      <c r="D2099" t="s">
        <v>9704</v>
      </c>
      <c r="E2099" t="s">
        <v>26557</v>
      </c>
      <c r="F2099">
        <v>53</v>
      </c>
      <c r="G2099">
        <v>2090058</v>
      </c>
      <c r="H2099" t="s">
        <v>26558</v>
      </c>
      <c r="J2099" s="54" t="s">
        <v>6052</v>
      </c>
      <c r="K2099" s="54">
        <v>0</v>
      </c>
      <c r="L2099" s="22" t="s">
        <v>36806</v>
      </c>
      <c r="M2099" s="22" t="s">
        <v>36977</v>
      </c>
    </row>
    <row r="2100" spans="1:13" x14ac:dyDescent="0.75">
      <c r="A2100" t="s">
        <v>6488</v>
      </c>
      <c r="B2100" t="s">
        <v>6141</v>
      </c>
      <c r="C2100" t="s">
        <v>6142</v>
      </c>
      <c r="D2100" t="s">
        <v>6143</v>
      </c>
      <c r="E2100" t="s">
        <v>6489</v>
      </c>
      <c r="F2100">
        <v>1</v>
      </c>
      <c r="G2100">
        <v>2495334</v>
      </c>
      <c r="H2100" t="s">
        <v>6490</v>
      </c>
      <c r="J2100" s="54" t="s">
        <v>6052</v>
      </c>
      <c r="K2100" s="54">
        <v>0</v>
      </c>
      <c r="L2100" s="22" t="s">
        <v>36807</v>
      </c>
      <c r="M2100" s="22" t="s">
        <v>36974</v>
      </c>
    </row>
    <row r="2101" spans="1:13" x14ac:dyDescent="0.75">
      <c r="A2101" t="s">
        <v>7878</v>
      </c>
      <c r="B2101" t="s">
        <v>7879</v>
      </c>
      <c r="C2101" t="s">
        <v>6142</v>
      </c>
      <c r="D2101" t="s">
        <v>7880</v>
      </c>
      <c r="E2101" t="s">
        <v>7881</v>
      </c>
      <c r="F2101">
        <v>50</v>
      </c>
      <c r="G2101">
        <v>2430672</v>
      </c>
      <c r="H2101" t="s">
        <v>7882</v>
      </c>
      <c r="J2101" s="54" t="s">
        <v>6052</v>
      </c>
      <c r="K2101" s="54">
        <v>0</v>
      </c>
      <c r="L2101" s="22" t="s">
        <v>36806</v>
      </c>
      <c r="M2101" s="22" t="s">
        <v>36978</v>
      </c>
    </row>
    <row r="2102" spans="1:13" x14ac:dyDescent="0.75">
      <c r="A2102" t="s">
        <v>30436</v>
      </c>
      <c r="B2102" t="s">
        <v>7985</v>
      </c>
      <c r="C2102" t="s">
        <v>6142</v>
      </c>
      <c r="D2102" t="s">
        <v>7986</v>
      </c>
      <c r="E2102" t="s">
        <v>30437</v>
      </c>
      <c r="F2102">
        <v>200</v>
      </c>
      <c r="G2102">
        <v>2454944</v>
      </c>
      <c r="H2102" t="s">
        <v>30438</v>
      </c>
      <c r="J2102" s="54" t="s">
        <v>6052</v>
      </c>
      <c r="K2102" s="54">
        <v>0</v>
      </c>
      <c r="L2102" s="22" t="s">
        <v>36806</v>
      </c>
      <c r="M2102" s="22" t="s">
        <v>36975</v>
      </c>
    </row>
    <row r="2103" spans="1:13" x14ac:dyDescent="0.75">
      <c r="A2103" t="s">
        <v>29541</v>
      </c>
      <c r="B2103" t="s">
        <v>9703</v>
      </c>
      <c r="C2103" t="s">
        <v>6142</v>
      </c>
      <c r="D2103" t="s">
        <v>9704</v>
      </c>
      <c r="E2103" t="s">
        <v>29542</v>
      </c>
      <c r="F2103">
        <v>39</v>
      </c>
      <c r="G2103">
        <v>2239306</v>
      </c>
      <c r="H2103" t="s">
        <v>29543</v>
      </c>
      <c r="J2103" s="54" t="s">
        <v>6052</v>
      </c>
      <c r="K2103" s="54">
        <v>0</v>
      </c>
      <c r="L2103" s="22" t="s">
        <v>36806</v>
      </c>
      <c r="M2103" s="22" t="s">
        <v>36977</v>
      </c>
    </row>
    <row r="2104" spans="1:13" x14ac:dyDescent="0.75">
      <c r="A2104" t="s">
        <v>29622</v>
      </c>
      <c r="B2104" t="s">
        <v>7985</v>
      </c>
      <c r="C2104" t="s">
        <v>6142</v>
      </c>
      <c r="D2104" t="s">
        <v>7986</v>
      </c>
      <c r="E2104" t="s">
        <v>29623</v>
      </c>
      <c r="F2104">
        <v>29</v>
      </c>
      <c r="G2104">
        <v>2618718</v>
      </c>
      <c r="H2104" t="s">
        <v>29624</v>
      </c>
      <c r="J2104" s="54" t="s">
        <v>6052</v>
      </c>
      <c r="K2104" s="54">
        <v>0</v>
      </c>
      <c r="L2104" s="22" t="s">
        <v>36806</v>
      </c>
      <c r="M2104" s="22" t="s">
        <v>36975</v>
      </c>
    </row>
    <row r="2105" spans="1:13" x14ac:dyDescent="0.75">
      <c r="A2105" t="s">
        <v>29538</v>
      </c>
      <c r="B2105" t="s">
        <v>6590</v>
      </c>
      <c r="C2105" t="s">
        <v>6142</v>
      </c>
      <c r="D2105" t="s">
        <v>6591</v>
      </c>
      <c r="E2105" t="s">
        <v>29539</v>
      </c>
      <c r="F2105">
        <v>198</v>
      </c>
      <c r="G2105">
        <v>2879652</v>
      </c>
      <c r="H2105" t="s">
        <v>29540</v>
      </c>
      <c r="J2105" s="54" t="s">
        <v>6052</v>
      </c>
      <c r="K2105" s="54">
        <v>0</v>
      </c>
      <c r="L2105" s="22" t="s">
        <v>36806</v>
      </c>
      <c r="M2105" s="22" t="s">
        <v>36976</v>
      </c>
    </row>
    <row r="2106" spans="1:13" x14ac:dyDescent="0.75">
      <c r="A2106" t="s">
        <v>18096</v>
      </c>
      <c r="B2106" t="s">
        <v>6141</v>
      </c>
      <c r="C2106" t="s">
        <v>6142</v>
      </c>
      <c r="D2106" t="s">
        <v>6143</v>
      </c>
      <c r="E2106" t="s">
        <v>18097</v>
      </c>
      <c r="F2106">
        <v>1</v>
      </c>
      <c r="G2106">
        <v>2494525</v>
      </c>
      <c r="H2106" t="s">
        <v>18098</v>
      </c>
      <c r="J2106" s="54" t="s">
        <v>6052</v>
      </c>
      <c r="K2106" s="54">
        <v>0</v>
      </c>
      <c r="L2106" s="22" t="s">
        <v>36807</v>
      </c>
      <c r="M2106" s="22" t="s">
        <v>36974</v>
      </c>
    </row>
    <row r="2107" spans="1:13" x14ac:dyDescent="0.75">
      <c r="A2107" t="s">
        <v>18099</v>
      </c>
      <c r="B2107" t="s">
        <v>6141</v>
      </c>
      <c r="C2107" t="s">
        <v>6142</v>
      </c>
      <c r="D2107" t="s">
        <v>6143</v>
      </c>
      <c r="E2107" t="s">
        <v>18100</v>
      </c>
      <c r="F2107">
        <v>1</v>
      </c>
      <c r="G2107">
        <v>2504552</v>
      </c>
      <c r="H2107" t="s">
        <v>18101</v>
      </c>
      <c r="J2107" s="54" t="s">
        <v>6052</v>
      </c>
      <c r="K2107" s="54">
        <v>0</v>
      </c>
      <c r="L2107" s="22" t="s">
        <v>36807</v>
      </c>
      <c r="M2107" s="22" t="s">
        <v>36974</v>
      </c>
    </row>
    <row r="2108" spans="1:13" x14ac:dyDescent="0.75">
      <c r="A2108" t="s">
        <v>13118</v>
      </c>
      <c r="B2108" t="s">
        <v>7985</v>
      </c>
      <c r="C2108" t="s">
        <v>6142</v>
      </c>
      <c r="D2108" t="s">
        <v>7986</v>
      </c>
      <c r="E2108" t="s">
        <v>13119</v>
      </c>
      <c r="F2108">
        <v>15</v>
      </c>
      <c r="G2108">
        <v>2463971</v>
      </c>
      <c r="H2108" t="s">
        <v>13120</v>
      </c>
      <c r="J2108" s="54" t="s">
        <v>6052</v>
      </c>
      <c r="K2108" s="54">
        <v>0</v>
      </c>
      <c r="L2108" s="22" t="s">
        <v>36806</v>
      </c>
      <c r="M2108" s="22" t="s">
        <v>36975</v>
      </c>
    </row>
    <row r="2109" spans="1:13" x14ac:dyDescent="0.75">
      <c r="A2109" t="s">
        <v>13124</v>
      </c>
      <c r="B2109" t="s">
        <v>7985</v>
      </c>
      <c r="C2109" t="s">
        <v>6142</v>
      </c>
      <c r="D2109" t="s">
        <v>7986</v>
      </c>
      <c r="E2109" t="s">
        <v>13125</v>
      </c>
      <c r="F2109">
        <v>9</v>
      </c>
      <c r="G2109">
        <v>2522071</v>
      </c>
      <c r="H2109" t="s">
        <v>13126</v>
      </c>
      <c r="J2109" s="54" t="s">
        <v>6052</v>
      </c>
      <c r="K2109" s="54">
        <v>0</v>
      </c>
      <c r="L2109" s="22" t="s">
        <v>36806</v>
      </c>
      <c r="M2109" s="22" t="s">
        <v>36975</v>
      </c>
    </row>
    <row r="2110" spans="1:13" x14ac:dyDescent="0.75">
      <c r="A2110" t="s">
        <v>13121</v>
      </c>
      <c r="B2110" t="s">
        <v>7985</v>
      </c>
      <c r="C2110" t="s">
        <v>6142</v>
      </c>
      <c r="D2110" t="s">
        <v>7986</v>
      </c>
      <c r="E2110" t="s">
        <v>13122</v>
      </c>
      <c r="F2110">
        <v>14</v>
      </c>
      <c r="G2110">
        <v>2462788</v>
      </c>
      <c r="H2110" t="s">
        <v>13123</v>
      </c>
      <c r="J2110" s="54" t="s">
        <v>6052</v>
      </c>
      <c r="K2110" s="54">
        <v>0</v>
      </c>
      <c r="L2110" s="22" t="s">
        <v>36806</v>
      </c>
      <c r="M2110" s="22" t="s">
        <v>36975</v>
      </c>
    </row>
    <row r="2111" spans="1:13" x14ac:dyDescent="0.75">
      <c r="A2111" t="s">
        <v>16899</v>
      </c>
      <c r="B2111" t="s">
        <v>6141</v>
      </c>
      <c r="C2111" t="s">
        <v>6142</v>
      </c>
      <c r="D2111" t="s">
        <v>6143</v>
      </c>
      <c r="E2111" t="s">
        <v>16900</v>
      </c>
      <c r="F2111">
        <v>5</v>
      </c>
      <c r="G2111">
        <v>2536713</v>
      </c>
      <c r="H2111" t="s">
        <v>16901</v>
      </c>
      <c r="J2111" s="54" t="s">
        <v>6052</v>
      </c>
      <c r="K2111" s="54">
        <v>0</v>
      </c>
      <c r="L2111" s="22" t="s">
        <v>36807</v>
      </c>
      <c r="M2111" s="22" t="s">
        <v>36974</v>
      </c>
    </row>
    <row r="2112" spans="1:13" x14ac:dyDescent="0.75">
      <c r="A2112" t="s">
        <v>16890</v>
      </c>
      <c r="B2112" t="s">
        <v>6141</v>
      </c>
      <c r="C2112" t="s">
        <v>6142</v>
      </c>
      <c r="D2112" t="s">
        <v>6143</v>
      </c>
      <c r="E2112" t="s">
        <v>16891</v>
      </c>
      <c r="F2112">
        <v>5</v>
      </c>
      <c r="G2112">
        <v>2484307</v>
      </c>
      <c r="H2112" t="s">
        <v>16892</v>
      </c>
      <c r="J2112" s="54" t="s">
        <v>6052</v>
      </c>
      <c r="K2112" s="54">
        <v>0</v>
      </c>
      <c r="L2112" s="22" t="s">
        <v>36807</v>
      </c>
      <c r="M2112" s="22" t="s">
        <v>36974</v>
      </c>
    </row>
    <row r="2113" spans="1:13" x14ac:dyDescent="0.75">
      <c r="A2113" t="s">
        <v>16910</v>
      </c>
      <c r="B2113" t="s">
        <v>7985</v>
      </c>
      <c r="C2113" t="s">
        <v>6142</v>
      </c>
      <c r="D2113" t="s">
        <v>7986</v>
      </c>
      <c r="E2113" t="s">
        <v>16911</v>
      </c>
      <c r="F2113">
        <v>15</v>
      </c>
      <c r="G2113">
        <v>2667416</v>
      </c>
      <c r="H2113" t="s">
        <v>16912</v>
      </c>
      <c r="J2113" s="54" t="s">
        <v>6052</v>
      </c>
      <c r="K2113" s="54">
        <v>0</v>
      </c>
      <c r="L2113" s="22" t="s">
        <v>36806</v>
      </c>
      <c r="M2113" s="22" t="s">
        <v>36975</v>
      </c>
    </row>
    <row r="2114" spans="1:13" x14ac:dyDescent="0.75">
      <c r="A2114" t="s">
        <v>15397</v>
      </c>
      <c r="B2114" t="s">
        <v>6141</v>
      </c>
      <c r="C2114" t="s">
        <v>6142</v>
      </c>
      <c r="D2114" t="s">
        <v>6143</v>
      </c>
      <c r="E2114" t="s">
        <v>15398</v>
      </c>
      <c r="F2114">
        <v>4</v>
      </c>
      <c r="G2114">
        <v>2480333</v>
      </c>
      <c r="H2114" t="s">
        <v>15399</v>
      </c>
      <c r="J2114" s="54" t="s">
        <v>6052</v>
      </c>
      <c r="K2114" s="54">
        <v>0</v>
      </c>
      <c r="L2114" s="22" t="s">
        <v>36807</v>
      </c>
      <c r="M2114" s="22" t="s">
        <v>36974</v>
      </c>
    </row>
    <row r="2115" spans="1:13" x14ac:dyDescent="0.75">
      <c r="A2115" t="s">
        <v>15400</v>
      </c>
      <c r="B2115" t="s">
        <v>6141</v>
      </c>
      <c r="C2115" t="s">
        <v>6142</v>
      </c>
      <c r="D2115" t="s">
        <v>6143</v>
      </c>
      <c r="E2115" t="s">
        <v>15401</v>
      </c>
      <c r="F2115">
        <v>4</v>
      </c>
      <c r="G2115">
        <v>2480132</v>
      </c>
      <c r="H2115" t="s">
        <v>15402</v>
      </c>
      <c r="J2115" s="54" t="s">
        <v>6052</v>
      </c>
      <c r="K2115" s="54">
        <v>0</v>
      </c>
      <c r="L2115" s="22" t="s">
        <v>36807</v>
      </c>
      <c r="M2115" s="22" t="s">
        <v>36974</v>
      </c>
    </row>
    <row r="2116" spans="1:13" x14ac:dyDescent="0.75">
      <c r="A2116" t="s">
        <v>15403</v>
      </c>
      <c r="B2116" t="s">
        <v>6141</v>
      </c>
      <c r="C2116" t="s">
        <v>6142</v>
      </c>
      <c r="D2116" t="s">
        <v>6143</v>
      </c>
      <c r="E2116" t="s">
        <v>15404</v>
      </c>
      <c r="F2116">
        <v>4</v>
      </c>
      <c r="G2116">
        <v>2480243</v>
      </c>
      <c r="H2116" t="s">
        <v>15405</v>
      </c>
      <c r="J2116" s="54" t="s">
        <v>6052</v>
      </c>
      <c r="K2116" s="54">
        <v>0</v>
      </c>
      <c r="L2116" s="22" t="s">
        <v>36807</v>
      </c>
      <c r="M2116" s="22" t="s">
        <v>36974</v>
      </c>
    </row>
    <row r="2117" spans="1:13" x14ac:dyDescent="0.75">
      <c r="A2117" t="s">
        <v>15406</v>
      </c>
      <c r="B2117" t="s">
        <v>6141</v>
      </c>
      <c r="C2117" t="s">
        <v>6142</v>
      </c>
      <c r="D2117" t="s">
        <v>6143</v>
      </c>
      <c r="E2117" t="s">
        <v>15407</v>
      </c>
      <c r="F2117">
        <v>5</v>
      </c>
      <c r="G2117">
        <v>2480536</v>
      </c>
      <c r="H2117" t="s">
        <v>15408</v>
      </c>
      <c r="J2117" s="54" t="s">
        <v>6052</v>
      </c>
      <c r="K2117" s="54">
        <v>0</v>
      </c>
      <c r="L2117" s="22" t="s">
        <v>36807</v>
      </c>
      <c r="M2117" s="22" t="s">
        <v>36974</v>
      </c>
    </row>
    <row r="2118" spans="1:13" x14ac:dyDescent="0.75">
      <c r="A2118" t="s">
        <v>15409</v>
      </c>
      <c r="B2118" t="s">
        <v>6141</v>
      </c>
      <c r="C2118" t="s">
        <v>6142</v>
      </c>
      <c r="D2118" t="s">
        <v>6143</v>
      </c>
      <c r="E2118" t="s">
        <v>15410</v>
      </c>
      <c r="F2118">
        <v>4</v>
      </c>
      <c r="G2118">
        <v>2480225</v>
      </c>
      <c r="H2118" t="s">
        <v>15411</v>
      </c>
      <c r="J2118" s="54" t="s">
        <v>6052</v>
      </c>
      <c r="K2118" s="54">
        <v>0</v>
      </c>
      <c r="L2118" s="22" t="s">
        <v>36807</v>
      </c>
      <c r="M2118" s="22" t="s">
        <v>36974</v>
      </c>
    </row>
    <row r="2119" spans="1:13" x14ac:dyDescent="0.75">
      <c r="A2119" t="s">
        <v>16963</v>
      </c>
      <c r="B2119" t="s">
        <v>6141</v>
      </c>
      <c r="C2119" t="s">
        <v>6142</v>
      </c>
      <c r="D2119" t="s">
        <v>6143</v>
      </c>
      <c r="E2119" t="s">
        <v>16964</v>
      </c>
      <c r="F2119">
        <v>5</v>
      </c>
      <c r="G2119">
        <v>2534886</v>
      </c>
      <c r="H2119" t="s">
        <v>16965</v>
      </c>
      <c r="J2119" s="54" t="s">
        <v>6052</v>
      </c>
      <c r="K2119" s="54">
        <v>0</v>
      </c>
      <c r="L2119" s="22" t="s">
        <v>36807</v>
      </c>
      <c r="M2119" s="22" t="s">
        <v>36974</v>
      </c>
    </row>
    <row r="2120" spans="1:13" x14ac:dyDescent="0.75">
      <c r="A2120" t="s">
        <v>16893</v>
      </c>
      <c r="B2120" t="s">
        <v>6141</v>
      </c>
      <c r="C2120" t="s">
        <v>6142</v>
      </c>
      <c r="D2120" t="s">
        <v>6143</v>
      </c>
      <c r="E2120" t="s">
        <v>16894</v>
      </c>
      <c r="F2120">
        <v>4</v>
      </c>
      <c r="G2120">
        <v>2484004</v>
      </c>
      <c r="H2120" t="s">
        <v>16895</v>
      </c>
      <c r="J2120" s="54" t="s">
        <v>6052</v>
      </c>
      <c r="K2120" s="54">
        <v>0</v>
      </c>
      <c r="L2120" s="22" t="s">
        <v>36807</v>
      </c>
      <c r="M2120" s="22" t="s">
        <v>36974</v>
      </c>
    </row>
    <row r="2121" spans="1:13" x14ac:dyDescent="0.75">
      <c r="A2121" t="s">
        <v>16771</v>
      </c>
      <c r="B2121" t="s">
        <v>6141</v>
      </c>
      <c r="C2121" t="s">
        <v>6142</v>
      </c>
      <c r="D2121" t="s">
        <v>6143</v>
      </c>
      <c r="E2121" t="s">
        <v>16772</v>
      </c>
      <c r="F2121">
        <v>4</v>
      </c>
      <c r="G2121">
        <v>2484004</v>
      </c>
      <c r="H2121" t="s">
        <v>16773</v>
      </c>
      <c r="J2121" s="54" t="s">
        <v>6052</v>
      </c>
      <c r="K2121" s="54">
        <v>0</v>
      </c>
      <c r="L2121" s="22" t="s">
        <v>36807</v>
      </c>
      <c r="M2121" s="22" t="s">
        <v>36974</v>
      </c>
    </row>
    <row r="2122" spans="1:13" x14ac:dyDescent="0.75">
      <c r="A2122" t="s">
        <v>16768</v>
      </c>
      <c r="B2122" t="s">
        <v>6141</v>
      </c>
      <c r="C2122" t="s">
        <v>6142</v>
      </c>
      <c r="D2122" t="s">
        <v>6143</v>
      </c>
      <c r="E2122" t="s">
        <v>16769</v>
      </c>
      <c r="F2122">
        <v>6</v>
      </c>
      <c r="G2122">
        <v>2483688</v>
      </c>
      <c r="H2122" t="s">
        <v>16770</v>
      </c>
      <c r="J2122" s="54" t="s">
        <v>6052</v>
      </c>
      <c r="K2122" s="54">
        <v>0</v>
      </c>
      <c r="L2122" s="22" t="s">
        <v>36807</v>
      </c>
      <c r="M2122" s="22" t="s">
        <v>36974</v>
      </c>
    </row>
    <row r="2123" spans="1:13" x14ac:dyDescent="0.75">
      <c r="A2123" t="s">
        <v>16908</v>
      </c>
      <c r="B2123" t="s">
        <v>6141</v>
      </c>
      <c r="C2123" t="s">
        <v>6142</v>
      </c>
      <c r="D2123" t="s">
        <v>6143</v>
      </c>
      <c r="E2123" t="s">
        <v>16769</v>
      </c>
      <c r="F2123">
        <v>6</v>
      </c>
      <c r="G2123">
        <v>2483851</v>
      </c>
      <c r="H2123" t="s">
        <v>16909</v>
      </c>
      <c r="J2123" s="54" t="s">
        <v>6052</v>
      </c>
      <c r="K2123" s="54">
        <v>0</v>
      </c>
      <c r="L2123" s="22" t="s">
        <v>36807</v>
      </c>
      <c r="M2123" s="22" t="s">
        <v>36974</v>
      </c>
    </row>
    <row r="2124" spans="1:13" x14ac:dyDescent="0.75">
      <c r="A2124" t="s">
        <v>15412</v>
      </c>
      <c r="B2124" t="s">
        <v>6141</v>
      </c>
      <c r="C2124" t="s">
        <v>6142</v>
      </c>
      <c r="D2124" t="s">
        <v>6143</v>
      </c>
      <c r="E2124" t="s">
        <v>15413</v>
      </c>
      <c r="F2124">
        <v>6</v>
      </c>
      <c r="G2124">
        <v>2479249</v>
      </c>
      <c r="H2124" t="s">
        <v>15414</v>
      </c>
      <c r="J2124" s="54" t="s">
        <v>6052</v>
      </c>
      <c r="K2124" s="54">
        <v>0</v>
      </c>
      <c r="L2124" s="22" t="s">
        <v>36807</v>
      </c>
      <c r="M2124" s="22" t="s">
        <v>36974</v>
      </c>
    </row>
    <row r="2125" spans="1:13" x14ac:dyDescent="0.75">
      <c r="A2125" t="s">
        <v>16766</v>
      </c>
      <c r="B2125" t="s">
        <v>6141</v>
      </c>
      <c r="C2125" t="s">
        <v>6142</v>
      </c>
      <c r="D2125" t="s">
        <v>6143</v>
      </c>
      <c r="E2125" t="s">
        <v>15413</v>
      </c>
      <c r="F2125">
        <v>6</v>
      </c>
      <c r="G2125">
        <v>2479249</v>
      </c>
      <c r="H2125" t="s">
        <v>16767</v>
      </c>
      <c r="J2125" s="54" t="s">
        <v>6052</v>
      </c>
      <c r="K2125" s="54">
        <v>0</v>
      </c>
      <c r="L2125" s="22" t="s">
        <v>36807</v>
      </c>
      <c r="M2125" s="22" t="s">
        <v>36974</v>
      </c>
    </row>
    <row r="2126" spans="1:13" x14ac:dyDescent="0.75">
      <c r="A2126" t="s">
        <v>15415</v>
      </c>
      <c r="B2126" t="s">
        <v>6141</v>
      </c>
      <c r="C2126" t="s">
        <v>6142</v>
      </c>
      <c r="D2126" t="s">
        <v>6143</v>
      </c>
      <c r="E2126" t="s">
        <v>15416</v>
      </c>
      <c r="F2126">
        <v>6</v>
      </c>
      <c r="G2126">
        <v>2479242</v>
      </c>
      <c r="H2126" t="s">
        <v>15417</v>
      </c>
      <c r="J2126" s="54" t="s">
        <v>6052</v>
      </c>
      <c r="K2126" s="54">
        <v>0</v>
      </c>
      <c r="L2126" s="22" t="s">
        <v>36807</v>
      </c>
      <c r="M2126" s="22" t="s">
        <v>36974</v>
      </c>
    </row>
    <row r="2127" spans="1:13" x14ac:dyDescent="0.75">
      <c r="A2127" t="s">
        <v>15418</v>
      </c>
      <c r="B2127" t="s">
        <v>6141</v>
      </c>
      <c r="C2127" t="s">
        <v>6142</v>
      </c>
      <c r="D2127" t="s">
        <v>6143</v>
      </c>
      <c r="E2127" t="s">
        <v>15419</v>
      </c>
      <c r="F2127">
        <v>4</v>
      </c>
      <c r="G2127">
        <v>2478671</v>
      </c>
      <c r="H2127" t="s">
        <v>15420</v>
      </c>
      <c r="J2127" s="54" t="s">
        <v>6052</v>
      </c>
      <c r="K2127" s="54">
        <v>0</v>
      </c>
      <c r="L2127" s="22" t="s">
        <v>36807</v>
      </c>
      <c r="M2127" s="22" t="s">
        <v>36974</v>
      </c>
    </row>
    <row r="2128" spans="1:13" x14ac:dyDescent="0.75">
      <c r="A2128" t="s">
        <v>15424</v>
      </c>
      <c r="B2128" t="s">
        <v>6590</v>
      </c>
      <c r="C2128" t="s">
        <v>6142</v>
      </c>
      <c r="D2128" t="s">
        <v>6591</v>
      </c>
      <c r="E2128" t="s">
        <v>15425</v>
      </c>
      <c r="F2128">
        <v>5</v>
      </c>
      <c r="G2128">
        <v>2641556</v>
      </c>
      <c r="H2128" t="s">
        <v>15426</v>
      </c>
      <c r="J2128" s="54" t="s">
        <v>6052</v>
      </c>
      <c r="K2128" s="54">
        <v>0</v>
      </c>
      <c r="L2128" s="22" t="s">
        <v>36806</v>
      </c>
      <c r="M2128" s="22" t="s">
        <v>36976</v>
      </c>
    </row>
    <row r="2129" spans="1:13" x14ac:dyDescent="0.75">
      <c r="A2129" t="s">
        <v>15421</v>
      </c>
      <c r="B2129" t="s">
        <v>7879</v>
      </c>
      <c r="C2129" t="s">
        <v>6142</v>
      </c>
      <c r="D2129" t="s">
        <v>7880</v>
      </c>
      <c r="E2129" t="s">
        <v>15422</v>
      </c>
      <c r="F2129">
        <v>6</v>
      </c>
      <c r="G2129">
        <v>2399850</v>
      </c>
      <c r="H2129" t="s">
        <v>15423</v>
      </c>
      <c r="J2129" s="54" t="s">
        <v>6052</v>
      </c>
      <c r="K2129" s="54">
        <v>0</v>
      </c>
      <c r="L2129" s="22" t="s">
        <v>36806</v>
      </c>
      <c r="M2129" s="22" t="s">
        <v>36978</v>
      </c>
    </row>
    <row r="2130" spans="1:13" x14ac:dyDescent="0.75">
      <c r="A2130" t="s">
        <v>16954</v>
      </c>
      <c r="B2130" t="s">
        <v>6141</v>
      </c>
      <c r="C2130" t="s">
        <v>6142</v>
      </c>
      <c r="D2130" t="s">
        <v>6143</v>
      </c>
      <c r="E2130" t="s">
        <v>16955</v>
      </c>
      <c r="F2130">
        <v>6</v>
      </c>
      <c r="G2130">
        <v>2517904</v>
      </c>
      <c r="H2130" t="s">
        <v>16956</v>
      </c>
      <c r="J2130" s="54" t="s">
        <v>6052</v>
      </c>
      <c r="K2130" s="54">
        <v>0</v>
      </c>
      <c r="L2130" s="22" t="s">
        <v>36807</v>
      </c>
      <c r="M2130" s="22" t="s">
        <v>36974</v>
      </c>
    </row>
    <row r="2131" spans="1:13" x14ac:dyDescent="0.75">
      <c r="A2131" t="s">
        <v>16905</v>
      </c>
      <c r="B2131" t="s">
        <v>6141</v>
      </c>
      <c r="C2131" t="s">
        <v>6142</v>
      </c>
      <c r="D2131" t="s">
        <v>6143</v>
      </c>
      <c r="E2131" t="s">
        <v>16906</v>
      </c>
      <c r="F2131">
        <v>5</v>
      </c>
      <c r="G2131">
        <v>2483928</v>
      </c>
      <c r="H2131" t="s">
        <v>16907</v>
      </c>
      <c r="J2131" s="54" t="s">
        <v>6052</v>
      </c>
      <c r="K2131" s="54">
        <v>0</v>
      </c>
      <c r="L2131" s="22" t="s">
        <v>36807</v>
      </c>
      <c r="M2131" s="22" t="s">
        <v>36974</v>
      </c>
    </row>
    <row r="2132" spans="1:13" x14ac:dyDescent="0.75">
      <c r="A2132" t="s">
        <v>16760</v>
      </c>
      <c r="B2132" t="s">
        <v>6141</v>
      </c>
      <c r="C2132" t="s">
        <v>6142</v>
      </c>
      <c r="D2132" t="s">
        <v>6143</v>
      </c>
      <c r="E2132" t="s">
        <v>16761</v>
      </c>
      <c r="F2132">
        <v>5</v>
      </c>
      <c r="G2132">
        <v>2483928</v>
      </c>
      <c r="H2132" t="s">
        <v>16762</v>
      </c>
      <c r="J2132" s="54" t="s">
        <v>6052</v>
      </c>
      <c r="K2132" s="54">
        <v>0</v>
      </c>
      <c r="L2132" s="22" t="s">
        <v>36807</v>
      </c>
      <c r="M2132" s="22" t="s">
        <v>36974</v>
      </c>
    </row>
    <row r="2133" spans="1:13" x14ac:dyDescent="0.75">
      <c r="A2133" t="s">
        <v>16887</v>
      </c>
      <c r="B2133" t="s">
        <v>6141</v>
      </c>
      <c r="C2133" t="s">
        <v>6142</v>
      </c>
      <c r="D2133" t="s">
        <v>6143</v>
      </c>
      <c r="E2133" t="s">
        <v>16888</v>
      </c>
      <c r="F2133">
        <v>5</v>
      </c>
      <c r="G2133">
        <v>2484758</v>
      </c>
      <c r="H2133" t="s">
        <v>16889</v>
      </c>
      <c r="J2133" s="54" t="s">
        <v>6052</v>
      </c>
      <c r="K2133" s="54">
        <v>0</v>
      </c>
      <c r="L2133" s="22" t="s">
        <v>36807</v>
      </c>
      <c r="M2133" s="22" t="s">
        <v>36974</v>
      </c>
    </row>
    <row r="2134" spans="1:13" x14ac:dyDescent="0.75">
      <c r="A2134" t="s">
        <v>16763</v>
      </c>
      <c r="B2134" t="s">
        <v>6141</v>
      </c>
      <c r="C2134" t="s">
        <v>6142</v>
      </c>
      <c r="D2134" t="s">
        <v>6143</v>
      </c>
      <c r="E2134" t="s">
        <v>16764</v>
      </c>
      <c r="F2134">
        <v>5</v>
      </c>
      <c r="G2134">
        <v>2484120</v>
      </c>
      <c r="H2134" t="s">
        <v>16765</v>
      </c>
      <c r="J2134" s="54" t="s">
        <v>6052</v>
      </c>
      <c r="K2134" s="54">
        <v>0</v>
      </c>
      <c r="L2134" s="22" t="s">
        <v>36807</v>
      </c>
      <c r="M2134" s="22" t="s">
        <v>36974</v>
      </c>
    </row>
    <row r="2135" spans="1:13" x14ac:dyDescent="0.75">
      <c r="A2135" t="s">
        <v>16896</v>
      </c>
      <c r="B2135" t="s">
        <v>6141</v>
      </c>
      <c r="C2135" t="s">
        <v>6142</v>
      </c>
      <c r="D2135" t="s">
        <v>6143</v>
      </c>
      <c r="E2135" t="s">
        <v>16897</v>
      </c>
      <c r="F2135">
        <v>6</v>
      </c>
      <c r="G2135">
        <v>2465584</v>
      </c>
      <c r="H2135" t="s">
        <v>16898</v>
      </c>
      <c r="J2135" s="54" t="s">
        <v>6052</v>
      </c>
      <c r="K2135" s="54">
        <v>0</v>
      </c>
      <c r="L2135" s="22" t="s">
        <v>36807</v>
      </c>
      <c r="M2135" s="22" t="s">
        <v>36974</v>
      </c>
    </row>
    <row r="2136" spans="1:13" x14ac:dyDescent="0.75">
      <c r="A2136" t="s">
        <v>16902</v>
      </c>
      <c r="B2136" t="s">
        <v>6141</v>
      </c>
      <c r="C2136" t="s">
        <v>6142</v>
      </c>
      <c r="D2136" t="s">
        <v>6143</v>
      </c>
      <c r="E2136" t="s">
        <v>16903</v>
      </c>
      <c r="F2136">
        <v>6</v>
      </c>
      <c r="G2136">
        <v>2495791</v>
      </c>
      <c r="H2136" t="s">
        <v>16904</v>
      </c>
      <c r="J2136" s="54" t="s">
        <v>6052</v>
      </c>
      <c r="K2136" s="54">
        <v>0</v>
      </c>
      <c r="L2136" s="22" t="s">
        <v>36807</v>
      </c>
      <c r="M2136" s="22" t="s">
        <v>36974</v>
      </c>
    </row>
    <row r="2137" spans="1:13" x14ac:dyDescent="0.75">
      <c r="A2137" t="s">
        <v>16948</v>
      </c>
      <c r="B2137" t="s">
        <v>6141</v>
      </c>
      <c r="C2137" t="s">
        <v>6142</v>
      </c>
      <c r="D2137" t="s">
        <v>6143</v>
      </c>
      <c r="E2137" t="s">
        <v>16949</v>
      </c>
      <c r="F2137">
        <v>5</v>
      </c>
      <c r="G2137">
        <v>2479049</v>
      </c>
      <c r="H2137" t="s">
        <v>16950</v>
      </c>
      <c r="J2137" s="54" t="s">
        <v>6052</v>
      </c>
      <c r="K2137" s="54">
        <v>0</v>
      </c>
      <c r="L2137" s="22" t="s">
        <v>36807</v>
      </c>
      <c r="M2137" s="22" t="s">
        <v>36974</v>
      </c>
    </row>
    <row r="2138" spans="1:13" x14ac:dyDescent="0.75">
      <c r="A2138" t="s">
        <v>16951</v>
      </c>
      <c r="B2138" t="s">
        <v>6141</v>
      </c>
      <c r="C2138" t="s">
        <v>6142</v>
      </c>
      <c r="D2138" t="s">
        <v>6143</v>
      </c>
      <c r="E2138" t="s">
        <v>16952</v>
      </c>
      <c r="F2138">
        <v>6</v>
      </c>
      <c r="G2138">
        <v>2535399</v>
      </c>
      <c r="H2138" t="s">
        <v>16953</v>
      </c>
      <c r="J2138" s="54" t="s">
        <v>6052</v>
      </c>
      <c r="K2138" s="54">
        <v>0</v>
      </c>
      <c r="L2138" s="22" t="s">
        <v>36807</v>
      </c>
      <c r="M2138" s="22" t="s">
        <v>36974</v>
      </c>
    </row>
    <row r="2139" spans="1:13" x14ac:dyDescent="0.75">
      <c r="A2139" t="s">
        <v>16913</v>
      </c>
      <c r="B2139" t="s">
        <v>6141</v>
      </c>
      <c r="C2139" t="s">
        <v>6142</v>
      </c>
      <c r="D2139" t="s">
        <v>6143</v>
      </c>
      <c r="E2139" t="s">
        <v>16914</v>
      </c>
      <c r="F2139">
        <v>5</v>
      </c>
      <c r="G2139">
        <v>2479017</v>
      </c>
      <c r="H2139" t="s">
        <v>16915</v>
      </c>
      <c r="J2139" s="54" t="s">
        <v>6052</v>
      </c>
      <c r="K2139" s="54">
        <v>0</v>
      </c>
      <c r="L2139" s="22" t="s">
        <v>36807</v>
      </c>
      <c r="M2139" s="22" t="s">
        <v>36974</v>
      </c>
    </row>
    <row r="2140" spans="1:13" x14ac:dyDescent="0.75">
      <c r="A2140" t="s">
        <v>16957</v>
      </c>
      <c r="B2140" t="s">
        <v>6141</v>
      </c>
      <c r="C2140" t="s">
        <v>6142</v>
      </c>
      <c r="D2140" t="s">
        <v>6143</v>
      </c>
      <c r="E2140" t="s">
        <v>16958</v>
      </c>
      <c r="F2140">
        <v>5</v>
      </c>
      <c r="G2140">
        <v>2477474</v>
      </c>
      <c r="H2140" t="s">
        <v>16959</v>
      </c>
      <c r="J2140" s="54" t="s">
        <v>6052</v>
      </c>
      <c r="K2140" s="54">
        <v>0</v>
      </c>
      <c r="L2140" s="22" t="s">
        <v>36807</v>
      </c>
      <c r="M2140" s="22" t="s">
        <v>36974</v>
      </c>
    </row>
    <row r="2141" spans="1:13" x14ac:dyDescent="0.75">
      <c r="A2141" t="s">
        <v>16960</v>
      </c>
      <c r="B2141" t="s">
        <v>6141</v>
      </c>
      <c r="C2141" t="s">
        <v>6142</v>
      </c>
      <c r="D2141" t="s">
        <v>6143</v>
      </c>
      <c r="E2141" t="s">
        <v>16961</v>
      </c>
      <c r="F2141">
        <v>5</v>
      </c>
      <c r="G2141">
        <v>2546045</v>
      </c>
      <c r="H2141" t="s">
        <v>16962</v>
      </c>
      <c r="J2141" s="54" t="s">
        <v>6052</v>
      </c>
      <c r="K2141" s="54">
        <v>0</v>
      </c>
      <c r="L2141" s="22" t="s">
        <v>36807</v>
      </c>
      <c r="M2141" s="22" t="s">
        <v>36974</v>
      </c>
    </row>
    <row r="2142" spans="1:13" x14ac:dyDescent="0.75">
      <c r="A2142" t="s">
        <v>24713</v>
      </c>
      <c r="B2142" t="s">
        <v>7985</v>
      </c>
      <c r="C2142" t="s">
        <v>6142</v>
      </c>
      <c r="D2142" t="s">
        <v>7986</v>
      </c>
      <c r="E2142" t="s">
        <v>24714</v>
      </c>
      <c r="F2142">
        <v>31</v>
      </c>
      <c r="G2142">
        <v>2576590</v>
      </c>
      <c r="H2142" t="s">
        <v>24715</v>
      </c>
      <c r="J2142" s="54" t="s">
        <v>6052</v>
      </c>
      <c r="K2142" s="54">
        <v>0</v>
      </c>
      <c r="L2142" s="22" t="s">
        <v>36806</v>
      </c>
      <c r="M2142" s="22" t="s">
        <v>36975</v>
      </c>
    </row>
    <row r="2143" spans="1:13" x14ac:dyDescent="0.75">
      <c r="A2143" t="s">
        <v>9702</v>
      </c>
      <c r="B2143" t="s">
        <v>9703</v>
      </c>
      <c r="C2143" t="s">
        <v>6142</v>
      </c>
      <c r="D2143" t="s">
        <v>9704</v>
      </c>
      <c r="E2143" t="s">
        <v>9705</v>
      </c>
      <c r="F2143">
        <v>98</v>
      </c>
      <c r="G2143">
        <v>2140355</v>
      </c>
      <c r="H2143" t="s">
        <v>9706</v>
      </c>
      <c r="J2143" s="54" t="s">
        <v>6052</v>
      </c>
      <c r="K2143" s="54">
        <v>0</v>
      </c>
      <c r="L2143" s="22" t="s">
        <v>36806</v>
      </c>
      <c r="M2143" s="22" t="s">
        <v>36977</v>
      </c>
    </row>
    <row r="2144" spans="1:13" x14ac:dyDescent="0.75">
      <c r="A2144" t="s">
        <v>26189</v>
      </c>
      <c r="B2144" t="s">
        <v>9703</v>
      </c>
      <c r="C2144" t="s">
        <v>6142</v>
      </c>
      <c r="D2144" t="s">
        <v>9704</v>
      </c>
      <c r="E2144" t="s">
        <v>26190</v>
      </c>
      <c r="F2144">
        <v>2</v>
      </c>
      <c r="G2144">
        <v>2179712</v>
      </c>
      <c r="H2144" t="s">
        <v>26191</v>
      </c>
      <c r="J2144" s="54" t="s">
        <v>6052</v>
      </c>
      <c r="K2144" s="54">
        <v>0</v>
      </c>
      <c r="L2144" s="22" t="s">
        <v>36806</v>
      </c>
      <c r="M2144" s="22" t="s">
        <v>36977</v>
      </c>
    </row>
    <row r="2145" spans="1:13" x14ac:dyDescent="0.75">
      <c r="A2145" t="s">
        <v>17503</v>
      </c>
      <c r="B2145" t="s">
        <v>6141</v>
      </c>
      <c r="C2145" t="s">
        <v>6142</v>
      </c>
      <c r="D2145" t="s">
        <v>6143</v>
      </c>
      <c r="E2145" t="s">
        <v>17504</v>
      </c>
      <c r="F2145">
        <v>1</v>
      </c>
      <c r="G2145">
        <v>2494387</v>
      </c>
      <c r="H2145" t="s">
        <v>17505</v>
      </c>
      <c r="J2145" s="54" t="s">
        <v>6052</v>
      </c>
      <c r="K2145" s="54">
        <v>0</v>
      </c>
      <c r="L2145" s="22" t="s">
        <v>36807</v>
      </c>
      <c r="M2145" s="22" t="s">
        <v>36974</v>
      </c>
    </row>
    <row r="2146" spans="1:13" x14ac:dyDescent="0.75">
      <c r="A2146" t="s">
        <v>22966</v>
      </c>
      <c r="B2146" t="s">
        <v>6141</v>
      </c>
      <c r="C2146" t="s">
        <v>6142</v>
      </c>
      <c r="D2146" t="s">
        <v>6143</v>
      </c>
      <c r="E2146" t="s">
        <v>22967</v>
      </c>
      <c r="F2146">
        <v>2</v>
      </c>
      <c r="G2146">
        <v>2548394</v>
      </c>
      <c r="H2146" t="s">
        <v>22968</v>
      </c>
      <c r="J2146" s="54" t="s">
        <v>6052</v>
      </c>
      <c r="K2146" s="54">
        <v>0</v>
      </c>
      <c r="L2146" s="22" t="s">
        <v>36807</v>
      </c>
      <c r="M2146" s="22" t="s">
        <v>36974</v>
      </c>
    </row>
    <row r="2147" spans="1:13" x14ac:dyDescent="0.75">
      <c r="A2147" t="s">
        <v>26192</v>
      </c>
      <c r="B2147" t="s">
        <v>6141</v>
      </c>
      <c r="C2147" t="s">
        <v>6142</v>
      </c>
      <c r="D2147" t="s">
        <v>6143</v>
      </c>
      <c r="E2147" t="s">
        <v>26193</v>
      </c>
      <c r="F2147">
        <v>2</v>
      </c>
      <c r="G2147">
        <v>2526071</v>
      </c>
      <c r="H2147" t="s">
        <v>26194</v>
      </c>
      <c r="J2147" s="54" t="s">
        <v>6052</v>
      </c>
      <c r="K2147" s="54">
        <v>0</v>
      </c>
      <c r="L2147" s="22" t="s">
        <v>36807</v>
      </c>
      <c r="M2147" s="22" t="s">
        <v>36974</v>
      </c>
    </row>
    <row r="2148" spans="1:13" x14ac:dyDescent="0.75">
      <c r="A2148" t="s">
        <v>21469</v>
      </c>
      <c r="B2148" t="s">
        <v>7985</v>
      </c>
      <c r="C2148" t="s">
        <v>6142</v>
      </c>
      <c r="D2148" t="s">
        <v>7986</v>
      </c>
      <c r="E2148" t="s">
        <v>21470</v>
      </c>
      <c r="F2148">
        <v>1</v>
      </c>
      <c r="G2148">
        <v>2618726</v>
      </c>
      <c r="H2148" t="s">
        <v>21471</v>
      </c>
      <c r="J2148" s="54" t="s">
        <v>6052</v>
      </c>
      <c r="K2148" s="54">
        <v>0</v>
      </c>
      <c r="L2148" s="22" t="s">
        <v>36806</v>
      </c>
      <c r="M2148" s="22" t="s">
        <v>36975</v>
      </c>
    </row>
    <row r="2149" spans="1:13" x14ac:dyDescent="0.75">
      <c r="A2149" t="s">
        <v>26195</v>
      </c>
      <c r="B2149" t="s">
        <v>7985</v>
      </c>
      <c r="C2149" t="s">
        <v>6142</v>
      </c>
      <c r="D2149" t="s">
        <v>7986</v>
      </c>
      <c r="E2149" t="s">
        <v>26196</v>
      </c>
      <c r="F2149">
        <v>1</v>
      </c>
      <c r="G2149">
        <v>2575722</v>
      </c>
      <c r="H2149" t="s">
        <v>26197</v>
      </c>
      <c r="J2149" s="54" t="s">
        <v>6052</v>
      </c>
      <c r="K2149" s="54">
        <v>0</v>
      </c>
      <c r="L2149" s="22" t="s">
        <v>36806</v>
      </c>
      <c r="M2149" s="22" t="s">
        <v>36975</v>
      </c>
    </row>
    <row r="2150" spans="1:13" x14ac:dyDescent="0.75">
      <c r="A2150" t="s">
        <v>21466</v>
      </c>
      <c r="B2150" t="s">
        <v>7985</v>
      </c>
      <c r="C2150" t="s">
        <v>6142</v>
      </c>
      <c r="D2150" t="s">
        <v>7986</v>
      </c>
      <c r="E2150" t="s">
        <v>21467</v>
      </c>
      <c r="F2150">
        <v>1</v>
      </c>
      <c r="G2150">
        <v>2616193</v>
      </c>
      <c r="H2150" t="s">
        <v>21468</v>
      </c>
      <c r="J2150" s="54" t="s">
        <v>6052</v>
      </c>
      <c r="K2150" s="54">
        <v>0</v>
      </c>
      <c r="L2150" s="22" t="s">
        <v>36806</v>
      </c>
      <c r="M2150" s="22" t="s">
        <v>36975</v>
      </c>
    </row>
    <row r="2151" spans="1:13" x14ac:dyDescent="0.75">
      <c r="A2151" t="s">
        <v>30154</v>
      </c>
      <c r="B2151" t="s">
        <v>7879</v>
      </c>
      <c r="C2151" t="s">
        <v>6142</v>
      </c>
      <c r="D2151" t="s">
        <v>7880</v>
      </c>
      <c r="E2151" t="s">
        <v>30155</v>
      </c>
      <c r="F2151">
        <v>35</v>
      </c>
      <c r="G2151">
        <v>2359221</v>
      </c>
      <c r="H2151" t="s">
        <v>30156</v>
      </c>
      <c r="J2151" s="54" t="s">
        <v>6052</v>
      </c>
      <c r="K2151" s="54">
        <v>0</v>
      </c>
      <c r="L2151" s="22" t="s">
        <v>36806</v>
      </c>
      <c r="M2151" s="22" t="s">
        <v>36978</v>
      </c>
    </row>
    <row r="2152" spans="1:13" x14ac:dyDescent="0.75">
      <c r="A2152" t="s">
        <v>12386</v>
      </c>
      <c r="B2152" t="s">
        <v>7985</v>
      </c>
      <c r="C2152" t="s">
        <v>6142</v>
      </c>
      <c r="D2152" t="s">
        <v>7986</v>
      </c>
      <c r="E2152" t="s">
        <v>12387</v>
      </c>
      <c r="F2152">
        <v>51</v>
      </c>
      <c r="G2152">
        <v>2667287</v>
      </c>
      <c r="H2152" t="s">
        <v>12388</v>
      </c>
      <c r="J2152" s="54" t="s">
        <v>6052</v>
      </c>
      <c r="K2152" s="54">
        <v>0</v>
      </c>
      <c r="L2152" s="22" t="s">
        <v>36806</v>
      </c>
      <c r="M2152" s="22" t="s">
        <v>36975</v>
      </c>
    </row>
    <row r="2153" spans="1:13" x14ac:dyDescent="0.75">
      <c r="A2153" t="s">
        <v>25890</v>
      </c>
      <c r="B2153" t="s">
        <v>7985</v>
      </c>
      <c r="C2153" t="s">
        <v>6142</v>
      </c>
      <c r="D2153" t="s">
        <v>7986</v>
      </c>
      <c r="E2153" t="s">
        <v>25891</v>
      </c>
      <c r="F2153">
        <v>35</v>
      </c>
      <c r="G2153">
        <v>2469693</v>
      </c>
      <c r="H2153" t="s">
        <v>25892</v>
      </c>
      <c r="J2153" s="54" t="s">
        <v>6052</v>
      </c>
      <c r="K2153" s="54">
        <v>0</v>
      </c>
      <c r="L2153" s="22" t="s">
        <v>36806</v>
      </c>
      <c r="M2153" s="22" t="s">
        <v>36975</v>
      </c>
    </row>
    <row r="2154" spans="1:13" x14ac:dyDescent="0.75">
      <c r="A2154" t="s">
        <v>25866</v>
      </c>
      <c r="B2154" t="s">
        <v>7985</v>
      </c>
      <c r="C2154" t="s">
        <v>6142</v>
      </c>
      <c r="D2154" t="s">
        <v>7986</v>
      </c>
      <c r="E2154" t="s">
        <v>25867</v>
      </c>
      <c r="F2154">
        <v>58</v>
      </c>
      <c r="G2154">
        <v>2609401</v>
      </c>
      <c r="H2154" t="s">
        <v>25868</v>
      </c>
      <c r="J2154" s="54" t="s">
        <v>6052</v>
      </c>
      <c r="K2154" s="54">
        <v>0</v>
      </c>
      <c r="L2154" s="22" t="s">
        <v>36806</v>
      </c>
      <c r="M2154" s="22" t="s">
        <v>36975</v>
      </c>
    </row>
    <row r="2155" spans="1:13" x14ac:dyDescent="0.75">
      <c r="A2155" t="s">
        <v>25875</v>
      </c>
      <c r="B2155" t="s">
        <v>7985</v>
      </c>
      <c r="C2155" t="s">
        <v>6142</v>
      </c>
      <c r="D2155" t="s">
        <v>7986</v>
      </c>
      <c r="E2155" t="s">
        <v>25876</v>
      </c>
      <c r="F2155">
        <v>65</v>
      </c>
      <c r="G2155">
        <v>2625503</v>
      </c>
      <c r="H2155" t="s">
        <v>25877</v>
      </c>
      <c r="J2155" s="54" t="s">
        <v>6052</v>
      </c>
      <c r="K2155" s="54">
        <v>0</v>
      </c>
      <c r="L2155" s="22" t="s">
        <v>36806</v>
      </c>
      <c r="M2155" s="22" t="s">
        <v>36975</v>
      </c>
    </row>
    <row r="2156" spans="1:13" x14ac:dyDescent="0.75">
      <c r="A2156" t="s">
        <v>25878</v>
      </c>
      <c r="B2156" t="s">
        <v>7985</v>
      </c>
      <c r="C2156" t="s">
        <v>6142</v>
      </c>
      <c r="D2156" t="s">
        <v>7986</v>
      </c>
      <c r="E2156" t="s">
        <v>25879</v>
      </c>
      <c r="F2156">
        <v>69</v>
      </c>
      <c r="G2156">
        <v>2623717</v>
      </c>
      <c r="H2156" t="s">
        <v>25880</v>
      </c>
      <c r="J2156" s="54" t="s">
        <v>6052</v>
      </c>
      <c r="K2156" s="54">
        <v>0</v>
      </c>
      <c r="L2156" s="22" t="s">
        <v>36806</v>
      </c>
      <c r="M2156" s="22" t="s">
        <v>36975</v>
      </c>
    </row>
    <row r="2157" spans="1:13" x14ac:dyDescent="0.75">
      <c r="A2157" t="s">
        <v>25349</v>
      </c>
      <c r="B2157" t="s">
        <v>6141</v>
      </c>
      <c r="C2157" t="s">
        <v>6142</v>
      </c>
      <c r="D2157" t="s">
        <v>6143</v>
      </c>
      <c r="E2157" t="s">
        <v>25350</v>
      </c>
      <c r="F2157">
        <v>1</v>
      </c>
      <c r="G2157">
        <v>2560578</v>
      </c>
      <c r="H2157" t="s">
        <v>25351</v>
      </c>
      <c r="J2157" s="54" t="s">
        <v>6052</v>
      </c>
      <c r="K2157" s="54">
        <v>0</v>
      </c>
      <c r="L2157" s="22" t="s">
        <v>36807</v>
      </c>
      <c r="M2157" s="22" t="s">
        <v>36974</v>
      </c>
    </row>
    <row r="2158" spans="1:13" x14ac:dyDescent="0.75">
      <c r="A2158" t="s">
        <v>25352</v>
      </c>
      <c r="B2158" t="s">
        <v>6141</v>
      </c>
      <c r="C2158" t="s">
        <v>6142</v>
      </c>
      <c r="D2158" t="s">
        <v>6143</v>
      </c>
      <c r="E2158" t="s">
        <v>25353</v>
      </c>
      <c r="F2158">
        <v>1</v>
      </c>
      <c r="G2158">
        <v>2560819</v>
      </c>
      <c r="H2158" t="s">
        <v>25354</v>
      </c>
      <c r="J2158" s="54" t="s">
        <v>6052</v>
      </c>
      <c r="K2158" s="54">
        <v>0</v>
      </c>
      <c r="L2158" s="22" t="s">
        <v>36807</v>
      </c>
      <c r="M2158" s="22" t="s">
        <v>36974</v>
      </c>
    </row>
    <row r="2159" spans="1:13" x14ac:dyDescent="0.75">
      <c r="A2159" t="s">
        <v>25044</v>
      </c>
      <c r="B2159" t="s">
        <v>6141</v>
      </c>
      <c r="C2159" t="s">
        <v>6142</v>
      </c>
      <c r="D2159" t="s">
        <v>6143</v>
      </c>
      <c r="E2159" t="s">
        <v>25045</v>
      </c>
      <c r="F2159">
        <v>1</v>
      </c>
      <c r="G2159">
        <v>2494935</v>
      </c>
      <c r="H2159" t="s">
        <v>25046</v>
      </c>
      <c r="J2159" s="54" t="s">
        <v>6052</v>
      </c>
      <c r="K2159" s="54">
        <v>0</v>
      </c>
      <c r="L2159" s="22" t="s">
        <v>36807</v>
      </c>
      <c r="M2159" s="22" t="s">
        <v>36974</v>
      </c>
    </row>
    <row r="2160" spans="1:13" x14ac:dyDescent="0.75">
      <c r="A2160" t="s">
        <v>23464</v>
      </c>
      <c r="B2160" t="s">
        <v>7985</v>
      </c>
      <c r="C2160" t="s">
        <v>6142</v>
      </c>
      <c r="D2160" t="s">
        <v>7986</v>
      </c>
      <c r="E2160" t="s">
        <v>23465</v>
      </c>
      <c r="F2160">
        <v>29</v>
      </c>
      <c r="G2160">
        <v>2595783</v>
      </c>
      <c r="H2160" t="s">
        <v>23466</v>
      </c>
      <c r="J2160" s="54" t="s">
        <v>6052</v>
      </c>
      <c r="K2160" s="54">
        <v>0</v>
      </c>
      <c r="L2160" s="22" t="s">
        <v>36806</v>
      </c>
      <c r="M2160" s="22" t="s">
        <v>36975</v>
      </c>
    </row>
    <row r="2161" spans="1:13" x14ac:dyDescent="0.75">
      <c r="A2161" t="s">
        <v>23470</v>
      </c>
      <c r="B2161" t="s">
        <v>7985</v>
      </c>
      <c r="C2161" t="s">
        <v>6142</v>
      </c>
      <c r="D2161" t="s">
        <v>7986</v>
      </c>
      <c r="E2161" t="s">
        <v>23471</v>
      </c>
      <c r="F2161">
        <v>23</v>
      </c>
      <c r="G2161">
        <v>2512250</v>
      </c>
      <c r="H2161" t="s">
        <v>23472</v>
      </c>
      <c r="J2161" s="54" t="s">
        <v>6052</v>
      </c>
      <c r="K2161" s="54">
        <v>0</v>
      </c>
      <c r="L2161" s="22" t="s">
        <v>36806</v>
      </c>
      <c r="M2161" s="22" t="s">
        <v>36975</v>
      </c>
    </row>
    <row r="2162" spans="1:13" x14ac:dyDescent="0.75">
      <c r="A2162" t="s">
        <v>10549</v>
      </c>
      <c r="B2162" t="s">
        <v>6326</v>
      </c>
      <c r="C2162" t="s">
        <v>6327</v>
      </c>
      <c r="D2162" t="s">
        <v>6328</v>
      </c>
      <c r="E2162">
        <v>2167</v>
      </c>
      <c r="F2162">
        <v>6</v>
      </c>
      <c r="G2162">
        <v>6777958</v>
      </c>
      <c r="H2162" t="s">
        <v>10550</v>
      </c>
      <c r="J2162" s="54" t="s">
        <v>6052</v>
      </c>
      <c r="K2162" s="54">
        <v>0</v>
      </c>
      <c r="L2162" s="22" t="s">
        <v>144</v>
      </c>
      <c r="M2162" s="22" t="s">
        <v>36979</v>
      </c>
    </row>
    <row r="2163" spans="1:13" x14ac:dyDescent="0.75">
      <c r="A2163" t="s">
        <v>18776</v>
      </c>
      <c r="B2163" t="s">
        <v>6326</v>
      </c>
      <c r="C2163" t="s">
        <v>6327</v>
      </c>
      <c r="D2163" t="s">
        <v>6328</v>
      </c>
      <c r="E2163" t="s">
        <v>18777</v>
      </c>
      <c r="F2163">
        <v>1</v>
      </c>
      <c r="G2163">
        <v>6661314</v>
      </c>
      <c r="H2163" t="s">
        <v>18778</v>
      </c>
      <c r="J2163" s="54" t="s">
        <v>6052</v>
      </c>
      <c r="K2163" s="54">
        <v>0</v>
      </c>
      <c r="L2163" s="22" t="s">
        <v>144</v>
      </c>
      <c r="M2163" s="22" t="s">
        <v>36979</v>
      </c>
    </row>
    <row r="2164" spans="1:13" x14ac:dyDescent="0.75">
      <c r="A2164" t="s">
        <v>24513</v>
      </c>
      <c r="B2164" t="s">
        <v>6326</v>
      </c>
      <c r="C2164" t="s">
        <v>6327</v>
      </c>
      <c r="D2164" t="s">
        <v>6328</v>
      </c>
      <c r="E2164" t="s">
        <v>24514</v>
      </c>
      <c r="F2164">
        <v>1</v>
      </c>
      <c r="G2164">
        <v>6670817</v>
      </c>
      <c r="H2164" t="s">
        <v>24515</v>
      </c>
      <c r="J2164" s="54" t="s">
        <v>6052</v>
      </c>
      <c r="K2164" s="54">
        <v>0</v>
      </c>
      <c r="L2164" s="22" t="s">
        <v>144</v>
      </c>
      <c r="M2164" s="22" t="s">
        <v>36979</v>
      </c>
    </row>
    <row r="2165" spans="1:13" x14ac:dyDescent="0.75">
      <c r="A2165" t="s">
        <v>7777</v>
      </c>
      <c r="B2165" t="s">
        <v>6326</v>
      </c>
      <c r="C2165" t="s">
        <v>6327</v>
      </c>
      <c r="D2165" t="s">
        <v>6328</v>
      </c>
      <c r="E2165" t="s">
        <v>7778</v>
      </c>
      <c r="F2165">
        <v>1</v>
      </c>
      <c r="G2165">
        <v>6685842</v>
      </c>
      <c r="H2165" t="s">
        <v>7779</v>
      </c>
      <c r="J2165" s="54" t="s">
        <v>6052</v>
      </c>
      <c r="K2165" s="54">
        <v>0</v>
      </c>
      <c r="L2165" s="22" t="s">
        <v>144</v>
      </c>
      <c r="M2165" s="22" t="s">
        <v>36979</v>
      </c>
    </row>
    <row r="2166" spans="1:13" x14ac:dyDescent="0.75">
      <c r="A2166" t="s">
        <v>19983</v>
      </c>
      <c r="B2166" t="s">
        <v>6326</v>
      </c>
      <c r="C2166" t="s">
        <v>6327</v>
      </c>
      <c r="D2166" t="s">
        <v>6328</v>
      </c>
      <c r="E2166" t="s">
        <v>19984</v>
      </c>
      <c r="F2166">
        <v>4</v>
      </c>
      <c r="G2166">
        <v>7150486</v>
      </c>
      <c r="H2166" t="s">
        <v>19985</v>
      </c>
      <c r="J2166" s="54" t="s">
        <v>6052</v>
      </c>
      <c r="K2166" s="54">
        <v>0</v>
      </c>
      <c r="L2166" s="22" t="s">
        <v>144</v>
      </c>
      <c r="M2166" s="22" t="s">
        <v>36979</v>
      </c>
    </row>
    <row r="2167" spans="1:13" x14ac:dyDescent="0.75">
      <c r="A2167" t="s">
        <v>19977</v>
      </c>
      <c r="B2167" t="s">
        <v>6326</v>
      </c>
      <c r="C2167" t="s">
        <v>6327</v>
      </c>
      <c r="D2167" t="s">
        <v>6328</v>
      </c>
      <c r="E2167" t="s">
        <v>19978</v>
      </c>
      <c r="F2167">
        <v>2</v>
      </c>
      <c r="G2167">
        <v>6708547</v>
      </c>
      <c r="H2167" t="s">
        <v>19979</v>
      </c>
      <c r="J2167" s="54" t="s">
        <v>6052</v>
      </c>
      <c r="K2167" s="54">
        <v>0</v>
      </c>
      <c r="L2167" s="22" t="s">
        <v>144</v>
      </c>
      <c r="M2167" s="22" t="s">
        <v>36979</v>
      </c>
    </row>
    <row r="2168" spans="1:13" x14ac:dyDescent="0.75">
      <c r="A2168" t="s">
        <v>19965</v>
      </c>
      <c r="B2168" t="s">
        <v>6326</v>
      </c>
      <c r="C2168" t="s">
        <v>6327</v>
      </c>
      <c r="D2168" t="s">
        <v>6328</v>
      </c>
      <c r="E2168" t="s">
        <v>19966</v>
      </c>
      <c r="F2168">
        <v>1</v>
      </c>
      <c r="G2168">
        <v>6351170</v>
      </c>
      <c r="H2168" t="s">
        <v>19967</v>
      </c>
      <c r="J2168" s="54" t="s">
        <v>6052</v>
      </c>
      <c r="K2168" s="54">
        <v>0</v>
      </c>
      <c r="L2168" s="22" t="s">
        <v>144</v>
      </c>
      <c r="M2168" s="22" t="s">
        <v>36979</v>
      </c>
    </row>
    <row r="2169" spans="1:13" x14ac:dyDescent="0.75">
      <c r="A2169" t="s">
        <v>13140</v>
      </c>
      <c r="B2169" t="s">
        <v>6326</v>
      </c>
      <c r="C2169" t="s">
        <v>6327</v>
      </c>
      <c r="D2169" t="s">
        <v>6328</v>
      </c>
      <c r="E2169" t="s">
        <v>13141</v>
      </c>
      <c r="F2169">
        <v>1</v>
      </c>
      <c r="G2169">
        <v>6430384</v>
      </c>
      <c r="H2169" t="s">
        <v>13142</v>
      </c>
      <c r="J2169" s="54" t="s">
        <v>6052</v>
      </c>
      <c r="K2169" s="54">
        <v>0</v>
      </c>
      <c r="L2169" s="22" t="s">
        <v>144</v>
      </c>
      <c r="M2169" s="22" t="s">
        <v>36979</v>
      </c>
    </row>
    <row r="2170" spans="1:13" x14ac:dyDescent="0.75">
      <c r="A2170" t="s">
        <v>12170</v>
      </c>
      <c r="B2170" t="s">
        <v>6326</v>
      </c>
      <c r="C2170" t="s">
        <v>6327</v>
      </c>
      <c r="D2170" t="s">
        <v>6328</v>
      </c>
      <c r="E2170" t="s">
        <v>12171</v>
      </c>
      <c r="F2170">
        <v>91</v>
      </c>
      <c r="G2170">
        <v>6630389</v>
      </c>
      <c r="H2170" t="s">
        <v>12172</v>
      </c>
      <c r="J2170" s="54" t="s">
        <v>6052</v>
      </c>
      <c r="K2170" s="54">
        <v>0</v>
      </c>
      <c r="L2170" s="22" t="s">
        <v>144</v>
      </c>
      <c r="M2170" s="22" t="s">
        <v>36979</v>
      </c>
    </row>
    <row r="2171" spans="1:13" x14ac:dyDescent="0.75">
      <c r="A2171" t="s">
        <v>6325</v>
      </c>
      <c r="B2171" t="s">
        <v>6326</v>
      </c>
      <c r="C2171" t="s">
        <v>6327</v>
      </c>
      <c r="D2171" t="s">
        <v>6328</v>
      </c>
      <c r="E2171" t="s">
        <v>6329</v>
      </c>
      <c r="F2171">
        <v>1</v>
      </c>
      <c r="G2171">
        <v>6767514</v>
      </c>
      <c r="H2171" t="s">
        <v>6330</v>
      </c>
      <c r="J2171" s="54" t="s">
        <v>6052</v>
      </c>
      <c r="K2171" s="54">
        <v>0</v>
      </c>
      <c r="L2171" s="22" t="s">
        <v>144</v>
      </c>
      <c r="M2171" s="22" t="s">
        <v>36979</v>
      </c>
    </row>
    <row r="2172" spans="1:13" x14ac:dyDescent="0.75">
      <c r="A2172" t="s">
        <v>10661</v>
      </c>
      <c r="B2172" t="s">
        <v>9515</v>
      </c>
      <c r="C2172" t="s">
        <v>9516</v>
      </c>
      <c r="D2172" t="s">
        <v>6928</v>
      </c>
      <c r="E2172">
        <v>1368</v>
      </c>
      <c r="F2172">
        <v>56</v>
      </c>
      <c r="G2172">
        <v>2510630</v>
      </c>
      <c r="H2172" t="s">
        <v>10662</v>
      </c>
      <c r="J2172" s="54" t="s">
        <v>6052</v>
      </c>
      <c r="K2172" s="54">
        <v>0</v>
      </c>
      <c r="L2172" s="22" t="s">
        <v>1563</v>
      </c>
      <c r="M2172" s="22" t="s">
        <v>36980</v>
      </c>
    </row>
    <row r="2173" spans="1:13" x14ac:dyDescent="0.75">
      <c r="A2173" t="s">
        <v>13976</v>
      </c>
      <c r="B2173" t="s">
        <v>9515</v>
      </c>
      <c r="C2173" t="s">
        <v>9516</v>
      </c>
      <c r="D2173" t="s">
        <v>6928</v>
      </c>
      <c r="E2173" t="s">
        <v>13977</v>
      </c>
      <c r="F2173">
        <v>1</v>
      </c>
      <c r="G2173">
        <v>2398786</v>
      </c>
      <c r="H2173" t="s">
        <v>13978</v>
      </c>
      <c r="J2173" s="54" t="s">
        <v>6052</v>
      </c>
      <c r="K2173" s="54">
        <v>0</v>
      </c>
      <c r="L2173" s="22" t="s">
        <v>1563</v>
      </c>
      <c r="M2173" s="22" t="s">
        <v>36980</v>
      </c>
    </row>
    <row r="2174" spans="1:13" x14ac:dyDescent="0.75">
      <c r="A2174" t="s">
        <v>30157</v>
      </c>
      <c r="B2174" t="s">
        <v>9515</v>
      </c>
      <c r="C2174" t="s">
        <v>9516</v>
      </c>
      <c r="D2174" t="s">
        <v>6928</v>
      </c>
      <c r="E2174" t="s">
        <v>30158</v>
      </c>
      <c r="F2174">
        <v>39</v>
      </c>
      <c r="G2174">
        <v>2145908</v>
      </c>
      <c r="H2174" t="s">
        <v>30159</v>
      </c>
      <c r="J2174" s="54" t="s">
        <v>6052</v>
      </c>
      <c r="K2174" s="54">
        <v>0</v>
      </c>
      <c r="L2174" s="22" t="s">
        <v>1563</v>
      </c>
      <c r="M2174" s="22" t="s">
        <v>36980</v>
      </c>
    </row>
    <row r="2175" spans="1:13" x14ac:dyDescent="0.75">
      <c r="A2175" t="s">
        <v>21883</v>
      </c>
      <c r="B2175" t="s">
        <v>9515</v>
      </c>
      <c r="C2175" t="s">
        <v>9516</v>
      </c>
      <c r="D2175" t="s">
        <v>6928</v>
      </c>
      <c r="E2175" t="s">
        <v>21884</v>
      </c>
      <c r="F2175">
        <v>1</v>
      </c>
      <c r="G2175">
        <v>2374337</v>
      </c>
      <c r="H2175" t="s">
        <v>21885</v>
      </c>
      <c r="J2175" s="54" t="s">
        <v>6052</v>
      </c>
      <c r="K2175" s="54">
        <v>0</v>
      </c>
      <c r="L2175" s="22" t="s">
        <v>1563</v>
      </c>
      <c r="M2175" s="22" t="s">
        <v>36980</v>
      </c>
    </row>
    <row r="2176" spans="1:13" x14ac:dyDescent="0.75">
      <c r="A2176" t="s">
        <v>9514</v>
      </c>
      <c r="B2176" t="s">
        <v>9515</v>
      </c>
      <c r="C2176" t="s">
        <v>9516</v>
      </c>
      <c r="D2176" t="s">
        <v>6928</v>
      </c>
      <c r="E2176" t="s">
        <v>9517</v>
      </c>
      <c r="F2176">
        <v>8</v>
      </c>
      <c r="G2176">
        <v>2377736</v>
      </c>
      <c r="H2176" t="s">
        <v>9518</v>
      </c>
      <c r="J2176" s="54" t="s">
        <v>6052</v>
      </c>
      <c r="K2176" s="54">
        <v>0</v>
      </c>
      <c r="L2176" s="22" t="s">
        <v>1563</v>
      </c>
      <c r="M2176" s="22" t="s">
        <v>36980</v>
      </c>
    </row>
    <row r="2177" spans="1:13" x14ac:dyDescent="0.75">
      <c r="A2177" t="s">
        <v>12607</v>
      </c>
      <c r="B2177" t="s">
        <v>9515</v>
      </c>
      <c r="C2177" t="s">
        <v>9516</v>
      </c>
      <c r="D2177" t="s">
        <v>6928</v>
      </c>
      <c r="E2177" t="s">
        <v>12608</v>
      </c>
      <c r="F2177">
        <v>31</v>
      </c>
      <c r="G2177">
        <v>2251090</v>
      </c>
      <c r="H2177" t="s">
        <v>12609</v>
      </c>
      <c r="J2177" s="54" t="s">
        <v>6052</v>
      </c>
      <c r="K2177" s="54">
        <v>0</v>
      </c>
      <c r="L2177" s="22" t="s">
        <v>1563</v>
      </c>
      <c r="M2177" s="22" t="s">
        <v>36980</v>
      </c>
    </row>
    <row r="2178" spans="1:13" x14ac:dyDescent="0.75">
      <c r="A2178" t="s">
        <v>12619</v>
      </c>
      <c r="B2178" t="s">
        <v>9515</v>
      </c>
      <c r="C2178" t="s">
        <v>9516</v>
      </c>
      <c r="D2178" t="s">
        <v>6928</v>
      </c>
      <c r="E2178" t="s">
        <v>12620</v>
      </c>
      <c r="F2178">
        <v>23</v>
      </c>
      <c r="G2178">
        <v>2241036</v>
      </c>
      <c r="H2178" t="s">
        <v>12621</v>
      </c>
      <c r="J2178" s="54" t="s">
        <v>6052</v>
      </c>
      <c r="K2178" s="54">
        <v>0</v>
      </c>
      <c r="L2178" s="22" t="s">
        <v>1563</v>
      </c>
      <c r="M2178" s="22" t="s">
        <v>36980</v>
      </c>
    </row>
    <row r="2179" spans="1:13" x14ac:dyDescent="0.75">
      <c r="A2179" t="s">
        <v>28316</v>
      </c>
      <c r="B2179" t="s">
        <v>9515</v>
      </c>
      <c r="C2179" t="s">
        <v>9516</v>
      </c>
      <c r="D2179" t="s">
        <v>6928</v>
      </c>
      <c r="E2179" t="s">
        <v>28317</v>
      </c>
      <c r="F2179">
        <v>8</v>
      </c>
      <c r="G2179">
        <v>2377736</v>
      </c>
      <c r="H2179" t="s">
        <v>28318</v>
      </c>
      <c r="J2179" s="54" t="s">
        <v>6052</v>
      </c>
      <c r="K2179" s="54">
        <v>0</v>
      </c>
      <c r="L2179" s="22" t="s">
        <v>1563</v>
      </c>
      <c r="M2179" s="22" t="s">
        <v>36980</v>
      </c>
    </row>
    <row r="2180" spans="1:13" x14ac:dyDescent="0.75">
      <c r="A2180" t="s">
        <v>11977</v>
      </c>
      <c r="B2180" t="s">
        <v>9515</v>
      </c>
      <c r="C2180" t="s">
        <v>9516</v>
      </c>
      <c r="D2180" t="s">
        <v>6928</v>
      </c>
      <c r="E2180" t="s">
        <v>11978</v>
      </c>
      <c r="F2180">
        <v>28</v>
      </c>
      <c r="G2180">
        <v>2155270</v>
      </c>
      <c r="H2180" t="s">
        <v>11979</v>
      </c>
      <c r="J2180" s="54" t="s">
        <v>6052</v>
      </c>
      <c r="K2180" s="54">
        <v>0</v>
      </c>
      <c r="L2180" s="22" t="s">
        <v>1563</v>
      </c>
      <c r="M2180" s="22" t="s">
        <v>36980</v>
      </c>
    </row>
    <row r="2181" spans="1:13" x14ac:dyDescent="0.75">
      <c r="A2181" t="s">
        <v>24086</v>
      </c>
      <c r="B2181" t="s">
        <v>9515</v>
      </c>
      <c r="C2181" t="s">
        <v>9516</v>
      </c>
      <c r="D2181" t="s">
        <v>6928</v>
      </c>
      <c r="E2181" t="s">
        <v>24087</v>
      </c>
      <c r="F2181">
        <v>33</v>
      </c>
      <c r="G2181">
        <v>2247754</v>
      </c>
      <c r="H2181" t="s">
        <v>24088</v>
      </c>
      <c r="J2181" s="54" t="s">
        <v>6052</v>
      </c>
      <c r="K2181" s="54">
        <v>0</v>
      </c>
      <c r="L2181" s="22" t="s">
        <v>1563</v>
      </c>
      <c r="M2181" s="22" t="s">
        <v>36980</v>
      </c>
    </row>
    <row r="2182" spans="1:13" x14ac:dyDescent="0.75">
      <c r="A2182" t="s">
        <v>24083</v>
      </c>
      <c r="B2182" t="s">
        <v>9515</v>
      </c>
      <c r="C2182" t="s">
        <v>9516</v>
      </c>
      <c r="D2182" t="s">
        <v>6928</v>
      </c>
      <c r="E2182" t="s">
        <v>24084</v>
      </c>
      <c r="F2182">
        <v>34</v>
      </c>
      <c r="G2182">
        <v>2257019</v>
      </c>
      <c r="H2182" t="s">
        <v>24085</v>
      </c>
      <c r="J2182" s="54" t="s">
        <v>6052</v>
      </c>
      <c r="K2182" s="54">
        <v>0</v>
      </c>
      <c r="L2182" s="22" t="s">
        <v>1563</v>
      </c>
      <c r="M2182" s="22" t="s">
        <v>36980</v>
      </c>
    </row>
    <row r="2183" spans="1:13" x14ac:dyDescent="0.75">
      <c r="A2183" t="s">
        <v>24080</v>
      </c>
      <c r="B2183" t="s">
        <v>9515</v>
      </c>
      <c r="C2183" t="s">
        <v>9516</v>
      </c>
      <c r="D2183" t="s">
        <v>6928</v>
      </c>
      <c r="E2183" t="s">
        <v>24081</v>
      </c>
      <c r="F2183">
        <v>39</v>
      </c>
      <c r="G2183">
        <v>2249324</v>
      </c>
      <c r="H2183" t="s">
        <v>24082</v>
      </c>
      <c r="J2183" s="54" t="s">
        <v>6052</v>
      </c>
      <c r="K2183" s="54">
        <v>0</v>
      </c>
      <c r="L2183" s="22" t="s">
        <v>1563</v>
      </c>
      <c r="M2183" s="22" t="s">
        <v>36980</v>
      </c>
    </row>
    <row r="2184" spans="1:13" x14ac:dyDescent="0.75">
      <c r="A2184" t="s">
        <v>24077</v>
      </c>
      <c r="B2184" t="s">
        <v>9515</v>
      </c>
      <c r="C2184" t="s">
        <v>9516</v>
      </c>
      <c r="D2184" t="s">
        <v>6928</v>
      </c>
      <c r="E2184" t="s">
        <v>24078</v>
      </c>
      <c r="F2184">
        <v>53</v>
      </c>
      <c r="G2184">
        <v>2255823</v>
      </c>
      <c r="H2184" t="s">
        <v>24079</v>
      </c>
      <c r="J2184" s="54" t="s">
        <v>6052</v>
      </c>
      <c r="K2184" s="54">
        <v>0</v>
      </c>
      <c r="L2184" s="22" t="s">
        <v>1563</v>
      </c>
      <c r="M2184" s="22" t="s">
        <v>36980</v>
      </c>
    </row>
    <row r="2185" spans="1:13" x14ac:dyDescent="0.75">
      <c r="A2185" t="s">
        <v>24039</v>
      </c>
      <c r="B2185" t="s">
        <v>9515</v>
      </c>
      <c r="C2185" t="s">
        <v>9516</v>
      </c>
      <c r="D2185" t="s">
        <v>6928</v>
      </c>
      <c r="E2185" t="s">
        <v>24040</v>
      </c>
      <c r="F2185">
        <v>63</v>
      </c>
      <c r="G2185">
        <v>2253497</v>
      </c>
      <c r="H2185" t="s">
        <v>24041</v>
      </c>
      <c r="J2185" s="54" t="s">
        <v>6052</v>
      </c>
      <c r="K2185" s="54">
        <v>0</v>
      </c>
      <c r="L2185" s="22" t="s">
        <v>1563</v>
      </c>
      <c r="M2185" s="22" t="s">
        <v>36980</v>
      </c>
    </row>
    <row r="2186" spans="1:13" x14ac:dyDescent="0.75">
      <c r="A2186" t="s">
        <v>24033</v>
      </c>
      <c r="B2186" t="s">
        <v>9515</v>
      </c>
      <c r="C2186" t="s">
        <v>9516</v>
      </c>
      <c r="D2186" t="s">
        <v>6928</v>
      </c>
      <c r="E2186" t="s">
        <v>24034</v>
      </c>
      <c r="F2186">
        <v>51</v>
      </c>
      <c r="G2186">
        <v>2256365</v>
      </c>
      <c r="H2186" t="s">
        <v>24035</v>
      </c>
      <c r="J2186" s="54" t="s">
        <v>6052</v>
      </c>
      <c r="K2186" s="54">
        <v>0</v>
      </c>
      <c r="L2186" s="22" t="s">
        <v>1563</v>
      </c>
      <c r="M2186" s="22" t="s">
        <v>36980</v>
      </c>
    </row>
    <row r="2187" spans="1:13" x14ac:dyDescent="0.75">
      <c r="A2187" t="s">
        <v>24024</v>
      </c>
      <c r="B2187" t="s">
        <v>9515</v>
      </c>
      <c r="C2187" t="s">
        <v>9516</v>
      </c>
      <c r="D2187" t="s">
        <v>6928</v>
      </c>
      <c r="E2187" t="s">
        <v>24025</v>
      </c>
      <c r="F2187">
        <v>33</v>
      </c>
      <c r="G2187">
        <v>2223886</v>
      </c>
      <c r="H2187" t="s">
        <v>24026</v>
      </c>
      <c r="J2187" s="54" t="s">
        <v>6052</v>
      </c>
      <c r="K2187" s="54">
        <v>0</v>
      </c>
      <c r="L2187" s="22" t="s">
        <v>1563</v>
      </c>
      <c r="M2187" s="22" t="s">
        <v>36980</v>
      </c>
    </row>
    <row r="2188" spans="1:13" x14ac:dyDescent="0.75">
      <c r="A2188" t="s">
        <v>24009</v>
      </c>
      <c r="B2188" t="s">
        <v>9515</v>
      </c>
      <c r="C2188" t="s">
        <v>9516</v>
      </c>
      <c r="D2188" t="s">
        <v>6928</v>
      </c>
      <c r="E2188" t="s">
        <v>24010</v>
      </c>
      <c r="F2188">
        <v>33</v>
      </c>
      <c r="G2188">
        <v>2192419</v>
      </c>
      <c r="H2188" t="s">
        <v>24011</v>
      </c>
      <c r="J2188" s="54" t="s">
        <v>6052</v>
      </c>
      <c r="K2188" s="54">
        <v>0</v>
      </c>
      <c r="L2188" s="22" t="s">
        <v>1563</v>
      </c>
      <c r="M2188" s="22" t="s">
        <v>36980</v>
      </c>
    </row>
    <row r="2189" spans="1:13" x14ac:dyDescent="0.75">
      <c r="A2189" t="s">
        <v>24002</v>
      </c>
      <c r="B2189" t="s">
        <v>9515</v>
      </c>
      <c r="C2189" t="s">
        <v>9516</v>
      </c>
      <c r="D2189" t="s">
        <v>6928</v>
      </c>
      <c r="E2189" t="s">
        <v>24003</v>
      </c>
      <c r="F2189">
        <v>58</v>
      </c>
      <c r="G2189">
        <v>2389709</v>
      </c>
      <c r="H2189" t="s">
        <v>24004</v>
      </c>
      <c r="J2189" s="54" t="s">
        <v>6052</v>
      </c>
      <c r="K2189" s="54">
        <v>0</v>
      </c>
      <c r="L2189" s="22" t="s">
        <v>1563</v>
      </c>
      <c r="M2189" s="22" t="s">
        <v>36980</v>
      </c>
    </row>
    <row r="2190" spans="1:13" x14ac:dyDescent="0.75">
      <c r="A2190" t="s">
        <v>23976</v>
      </c>
      <c r="B2190" t="s">
        <v>9515</v>
      </c>
      <c r="C2190" t="s">
        <v>9516</v>
      </c>
      <c r="D2190" t="s">
        <v>6928</v>
      </c>
      <c r="E2190" t="s">
        <v>23977</v>
      </c>
      <c r="F2190">
        <v>64</v>
      </c>
      <c r="G2190">
        <v>2174712</v>
      </c>
      <c r="H2190" t="s">
        <v>23978</v>
      </c>
      <c r="J2190" s="54" t="s">
        <v>6052</v>
      </c>
      <c r="K2190" s="54">
        <v>0</v>
      </c>
      <c r="L2190" s="22" t="s">
        <v>1563</v>
      </c>
      <c r="M2190" s="22" t="s">
        <v>36980</v>
      </c>
    </row>
    <row r="2191" spans="1:13" x14ac:dyDescent="0.75">
      <c r="A2191" t="s">
        <v>23964</v>
      </c>
      <c r="B2191" t="s">
        <v>9515</v>
      </c>
      <c r="C2191" t="s">
        <v>9516</v>
      </c>
      <c r="D2191" t="s">
        <v>6928</v>
      </c>
      <c r="E2191" t="s">
        <v>23965</v>
      </c>
      <c r="F2191">
        <v>57</v>
      </c>
      <c r="G2191">
        <v>2288037</v>
      </c>
      <c r="H2191" t="s">
        <v>23966</v>
      </c>
      <c r="J2191" s="54" t="s">
        <v>6052</v>
      </c>
      <c r="K2191" s="54">
        <v>0</v>
      </c>
      <c r="L2191" s="22" t="s">
        <v>1563</v>
      </c>
      <c r="M2191" s="22" t="s">
        <v>36980</v>
      </c>
    </row>
    <row r="2192" spans="1:13" x14ac:dyDescent="0.75">
      <c r="A2192" t="s">
        <v>30392</v>
      </c>
      <c r="B2192" t="s">
        <v>9515</v>
      </c>
      <c r="C2192" t="s">
        <v>9516</v>
      </c>
      <c r="D2192" t="s">
        <v>6928</v>
      </c>
      <c r="E2192" t="s">
        <v>30393</v>
      </c>
      <c r="F2192">
        <v>165</v>
      </c>
      <c r="G2192">
        <v>2067686</v>
      </c>
      <c r="H2192" t="s">
        <v>30394</v>
      </c>
      <c r="J2192" s="54" t="s">
        <v>6052</v>
      </c>
      <c r="K2192" s="54">
        <v>0</v>
      </c>
      <c r="L2192" s="22" t="s">
        <v>1563</v>
      </c>
      <c r="M2192" s="22" t="s">
        <v>36980</v>
      </c>
    </row>
    <row r="2193" spans="1:13" x14ac:dyDescent="0.75">
      <c r="A2193" t="s">
        <v>14278</v>
      </c>
      <c r="B2193" t="s">
        <v>9515</v>
      </c>
      <c r="C2193" t="s">
        <v>9516</v>
      </c>
      <c r="D2193" t="s">
        <v>6928</v>
      </c>
      <c r="E2193" t="s">
        <v>14279</v>
      </c>
      <c r="F2193">
        <v>1</v>
      </c>
      <c r="G2193">
        <v>2302060</v>
      </c>
      <c r="H2193" t="s">
        <v>14280</v>
      </c>
      <c r="J2193" s="54" t="s">
        <v>6052</v>
      </c>
      <c r="K2193" s="54">
        <v>0</v>
      </c>
      <c r="L2193" s="22" t="s">
        <v>1563</v>
      </c>
      <c r="M2193" s="22" t="s">
        <v>36980</v>
      </c>
    </row>
    <row r="2194" spans="1:13" x14ac:dyDescent="0.75">
      <c r="A2194" t="s">
        <v>26148</v>
      </c>
      <c r="B2194" t="s">
        <v>9515</v>
      </c>
      <c r="C2194" t="s">
        <v>9516</v>
      </c>
      <c r="D2194" t="s">
        <v>6928</v>
      </c>
      <c r="E2194" t="s">
        <v>26149</v>
      </c>
      <c r="F2194">
        <v>46</v>
      </c>
      <c r="G2194">
        <v>2424716</v>
      </c>
      <c r="H2194" t="s">
        <v>26150</v>
      </c>
      <c r="J2194" s="54" t="s">
        <v>6052</v>
      </c>
      <c r="K2194" s="54">
        <v>0</v>
      </c>
      <c r="L2194" s="22" t="s">
        <v>1563</v>
      </c>
      <c r="M2194" s="22" t="s">
        <v>36980</v>
      </c>
    </row>
    <row r="2195" spans="1:13" x14ac:dyDescent="0.75">
      <c r="A2195" t="s">
        <v>14158</v>
      </c>
      <c r="B2195" t="s">
        <v>6774</v>
      </c>
      <c r="C2195" t="s">
        <v>6107</v>
      </c>
      <c r="D2195" t="s">
        <v>6775</v>
      </c>
      <c r="E2195" t="s">
        <v>14159</v>
      </c>
      <c r="F2195">
        <v>34</v>
      </c>
      <c r="G2195">
        <v>2094695</v>
      </c>
      <c r="H2195" t="s">
        <v>14160</v>
      </c>
      <c r="J2195" s="54" t="s">
        <v>6052</v>
      </c>
      <c r="K2195" s="54">
        <v>0</v>
      </c>
      <c r="L2195" s="22" t="s">
        <v>104</v>
      </c>
      <c r="M2195" s="22" t="s">
        <v>37010</v>
      </c>
    </row>
    <row r="2196" spans="1:13" x14ac:dyDescent="0.75">
      <c r="A2196" t="s">
        <v>14167</v>
      </c>
      <c r="B2196" t="s">
        <v>6774</v>
      </c>
      <c r="C2196" t="s">
        <v>6107</v>
      </c>
      <c r="D2196" t="s">
        <v>6775</v>
      </c>
      <c r="E2196" t="s">
        <v>14168</v>
      </c>
      <c r="F2196">
        <v>35</v>
      </c>
      <c r="G2196">
        <v>2094200</v>
      </c>
      <c r="H2196" t="s">
        <v>14169</v>
      </c>
      <c r="J2196" s="54" t="s">
        <v>6052</v>
      </c>
      <c r="K2196" s="54">
        <v>0</v>
      </c>
      <c r="L2196" s="22" t="s">
        <v>104</v>
      </c>
      <c r="M2196" s="22" t="s">
        <v>37010</v>
      </c>
    </row>
    <row r="2197" spans="1:13" x14ac:dyDescent="0.75">
      <c r="A2197" t="s">
        <v>29466</v>
      </c>
      <c r="B2197" t="s">
        <v>6774</v>
      </c>
      <c r="C2197" t="s">
        <v>6107</v>
      </c>
      <c r="D2197" t="s">
        <v>6775</v>
      </c>
      <c r="E2197" t="s">
        <v>29467</v>
      </c>
      <c r="F2197">
        <v>111</v>
      </c>
      <c r="G2197">
        <v>1834769</v>
      </c>
      <c r="H2197" t="s">
        <v>29468</v>
      </c>
      <c r="J2197" s="54" t="s">
        <v>6052</v>
      </c>
      <c r="K2197" s="54">
        <v>0</v>
      </c>
      <c r="L2197" s="22" t="s">
        <v>104</v>
      </c>
      <c r="M2197" s="22" t="s">
        <v>37010</v>
      </c>
    </row>
    <row r="2198" spans="1:13" x14ac:dyDescent="0.75">
      <c r="A2198" t="s">
        <v>30124</v>
      </c>
      <c r="B2198" t="s">
        <v>6774</v>
      </c>
      <c r="C2198" t="s">
        <v>6107</v>
      </c>
      <c r="D2198" t="s">
        <v>6775</v>
      </c>
      <c r="E2198" t="s">
        <v>30125</v>
      </c>
      <c r="F2198">
        <v>238</v>
      </c>
      <c r="G2198">
        <v>1822864</v>
      </c>
      <c r="H2198" t="s">
        <v>30126</v>
      </c>
      <c r="J2198" s="54" t="s">
        <v>6052</v>
      </c>
      <c r="K2198" s="54">
        <v>0</v>
      </c>
      <c r="L2198" s="22" t="s">
        <v>104</v>
      </c>
      <c r="M2198" s="22" t="s">
        <v>37010</v>
      </c>
    </row>
    <row r="2199" spans="1:13" x14ac:dyDescent="0.75">
      <c r="A2199" t="s">
        <v>6604</v>
      </c>
      <c r="B2199" t="s">
        <v>6605</v>
      </c>
      <c r="C2199" t="s">
        <v>6606</v>
      </c>
      <c r="D2199" t="s">
        <v>6607</v>
      </c>
      <c r="E2199" t="s">
        <v>6608</v>
      </c>
      <c r="F2199">
        <v>3</v>
      </c>
      <c r="G2199">
        <v>3663932</v>
      </c>
      <c r="H2199" t="s">
        <v>6609</v>
      </c>
      <c r="J2199" s="54" t="s">
        <v>6052</v>
      </c>
      <c r="K2199" s="54">
        <v>0</v>
      </c>
      <c r="L2199" s="22" t="s">
        <v>34</v>
      </c>
      <c r="M2199" s="22" t="s">
        <v>36983</v>
      </c>
    </row>
    <row r="2200" spans="1:13" x14ac:dyDescent="0.75">
      <c r="A2200" t="s">
        <v>7963</v>
      </c>
      <c r="B2200" t="s">
        <v>6605</v>
      </c>
      <c r="C2200" t="s">
        <v>6606</v>
      </c>
      <c r="D2200" t="s">
        <v>6607</v>
      </c>
      <c r="E2200" t="s">
        <v>7964</v>
      </c>
      <c r="F2200">
        <v>97</v>
      </c>
      <c r="G2200">
        <v>3847181</v>
      </c>
      <c r="H2200" t="s">
        <v>7965</v>
      </c>
      <c r="J2200" s="54" t="s">
        <v>6052</v>
      </c>
      <c r="K2200" s="54">
        <v>0</v>
      </c>
      <c r="L2200" s="22" t="s">
        <v>34</v>
      </c>
      <c r="M2200" s="22" t="s">
        <v>36983</v>
      </c>
    </row>
    <row r="2201" spans="1:13" x14ac:dyDescent="0.75">
      <c r="A2201" t="s">
        <v>11915</v>
      </c>
      <c r="B2201" t="s">
        <v>6605</v>
      </c>
      <c r="C2201" t="s">
        <v>6606</v>
      </c>
      <c r="D2201" t="s">
        <v>6607</v>
      </c>
      <c r="E2201" t="s">
        <v>11916</v>
      </c>
      <c r="F2201">
        <v>1</v>
      </c>
      <c r="G2201">
        <v>3699310</v>
      </c>
      <c r="H2201" t="s">
        <v>11917</v>
      </c>
      <c r="J2201" s="54" t="s">
        <v>6052</v>
      </c>
      <c r="K2201" s="54">
        <v>0</v>
      </c>
      <c r="L2201" s="22" t="s">
        <v>34</v>
      </c>
      <c r="M2201" s="22" t="s">
        <v>36983</v>
      </c>
    </row>
    <row r="2202" spans="1:13" x14ac:dyDescent="0.75">
      <c r="A2202" t="s">
        <v>22941</v>
      </c>
      <c r="B2202" t="s">
        <v>6605</v>
      </c>
      <c r="C2202" t="s">
        <v>6606</v>
      </c>
      <c r="D2202" t="s">
        <v>6607</v>
      </c>
      <c r="E2202" t="s">
        <v>22942</v>
      </c>
      <c r="F2202">
        <v>2</v>
      </c>
      <c r="G2202">
        <v>3458893</v>
      </c>
      <c r="H2202" t="s">
        <v>22943</v>
      </c>
      <c r="J2202" s="54" t="s">
        <v>6052</v>
      </c>
      <c r="K2202" s="54">
        <v>0</v>
      </c>
      <c r="L2202" s="22" t="s">
        <v>34</v>
      </c>
      <c r="M2202" s="22" t="s">
        <v>36983</v>
      </c>
    </row>
    <row r="2203" spans="1:13" x14ac:dyDescent="0.75">
      <c r="A2203" t="s">
        <v>22957</v>
      </c>
      <c r="B2203" t="s">
        <v>6605</v>
      </c>
      <c r="C2203" t="s">
        <v>6606</v>
      </c>
      <c r="D2203" t="s">
        <v>6607</v>
      </c>
      <c r="E2203" t="s">
        <v>22958</v>
      </c>
      <c r="F2203">
        <v>28</v>
      </c>
      <c r="G2203">
        <v>3483796</v>
      </c>
      <c r="H2203" t="s">
        <v>22959</v>
      </c>
      <c r="J2203" s="54" t="s">
        <v>6052</v>
      </c>
      <c r="K2203" s="54">
        <v>0</v>
      </c>
      <c r="L2203" s="22" t="s">
        <v>34</v>
      </c>
      <c r="M2203" s="22" t="s">
        <v>36983</v>
      </c>
    </row>
    <row r="2204" spans="1:13" x14ac:dyDescent="0.75">
      <c r="A2204" t="s">
        <v>28229</v>
      </c>
      <c r="B2204" t="s">
        <v>6605</v>
      </c>
      <c r="C2204" t="s">
        <v>6606</v>
      </c>
      <c r="D2204" t="s">
        <v>6607</v>
      </c>
      <c r="E2204" t="s">
        <v>28230</v>
      </c>
      <c r="F2204">
        <v>3</v>
      </c>
      <c r="G2204">
        <v>3663932</v>
      </c>
      <c r="H2204" t="s">
        <v>28231</v>
      </c>
      <c r="J2204" s="54" t="s">
        <v>6052</v>
      </c>
      <c r="K2204" s="54">
        <v>0</v>
      </c>
      <c r="L2204" s="22" t="s">
        <v>34</v>
      </c>
      <c r="M2204" s="22" t="s">
        <v>36983</v>
      </c>
    </row>
    <row r="2205" spans="1:13" x14ac:dyDescent="0.75">
      <c r="A2205" t="s">
        <v>23277</v>
      </c>
      <c r="B2205" t="s">
        <v>6605</v>
      </c>
      <c r="C2205" t="s">
        <v>6606</v>
      </c>
      <c r="D2205" t="s">
        <v>6607</v>
      </c>
      <c r="E2205" t="s">
        <v>23278</v>
      </c>
      <c r="F2205">
        <v>87</v>
      </c>
      <c r="G2205">
        <v>3354667</v>
      </c>
      <c r="H2205" t="s">
        <v>23279</v>
      </c>
      <c r="J2205" s="54" t="s">
        <v>6052</v>
      </c>
      <c r="K2205" s="54">
        <v>0</v>
      </c>
      <c r="L2205" s="22" t="s">
        <v>34</v>
      </c>
      <c r="M2205" s="22" t="s">
        <v>36983</v>
      </c>
    </row>
    <row r="2206" spans="1:13" x14ac:dyDescent="0.75">
      <c r="A2206" t="s">
        <v>23280</v>
      </c>
      <c r="B2206" t="s">
        <v>6605</v>
      </c>
      <c r="C2206" t="s">
        <v>6606</v>
      </c>
      <c r="D2206" t="s">
        <v>6607</v>
      </c>
      <c r="E2206" t="s">
        <v>23281</v>
      </c>
      <c r="F2206">
        <v>113</v>
      </c>
      <c r="G2206">
        <v>3390474</v>
      </c>
      <c r="H2206" t="s">
        <v>23282</v>
      </c>
      <c r="J2206" s="54" t="s">
        <v>6052</v>
      </c>
      <c r="K2206" s="54">
        <v>0</v>
      </c>
      <c r="L2206" s="22" t="s">
        <v>34</v>
      </c>
      <c r="M2206" s="22" t="s">
        <v>36983</v>
      </c>
    </row>
    <row r="2207" spans="1:13" x14ac:dyDescent="0.75">
      <c r="A2207" t="s">
        <v>23270</v>
      </c>
      <c r="B2207" t="s">
        <v>6605</v>
      </c>
      <c r="C2207" t="s">
        <v>6606</v>
      </c>
      <c r="D2207" t="s">
        <v>6607</v>
      </c>
      <c r="E2207" t="s">
        <v>23271</v>
      </c>
      <c r="F2207">
        <v>167</v>
      </c>
      <c r="G2207">
        <v>3018945</v>
      </c>
      <c r="H2207" t="s">
        <v>23272</v>
      </c>
      <c r="J2207" s="54" t="s">
        <v>6052</v>
      </c>
      <c r="K2207" s="54">
        <v>0</v>
      </c>
      <c r="L2207" s="22" t="s">
        <v>34</v>
      </c>
      <c r="M2207" s="22" t="s">
        <v>36983</v>
      </c>
    </row>
    <row r="2208" spans="1:13" x14ac:dyDescent="0.75">
      <c r="A2208" t="s">
        <v>30619</v>
      </c>
      <c r="B2208" t="s">
        <v>6605</v>
      </c>
      <c r="C2208" t="s">
        <v>6606</v>
      </c>
      <c r="D2208" t="s">
        <v>6607</v>
      </c>
      <c r="E2208" t="s">
        <v>30620</v>
      </c>
      <c r="F2208">
        <v>78</v>
      </c>
      <c r="G2208">
        <v>3464004</v>
      </c>
      <c r="H2208" t="s">
        <v>30621</v>
      </c>
      <c r="J2208" s="54" t="s">
        <v>6052</v>
      </c>
      <c r="K2208" s="54">
        <v>0</v>
      </c>
      <c r="L2208" s="22" t="s">
        <v>34</v>
      </c>
      <c r="M2208" s="22" t="s">
        <v>36983</v>
      </c>
    </row>
    <row r="2209" spans="1:13" x14ac:dyDescent="0.75">
      <c r="A2209" t="s">
        <v>22885</v>
      </c>
      <c r="B2209" t="s">
        <v>6774</v>
      </c>
      <c r="C2209" t="s">
        <v>6107</v>
      </c>
      <c r="D2209" t="s">
        <v>6775</v>
      </c>
      <c r="E2209" t="s">
        <v>22886</v>
      </c>
      <c r="F2209">
        <v>198</v>
      </c>
      <c r="G2209">
        <v>2296637</v>
      </c>
      <c r="H2209" t="s">
        <v>22887</v>
      </c>
      <c r="J2209" s="54" t="s">
        <v>6052</v>
      </c>
      <c r="K2209" s="54">
        <v>0</v>
      </c>
      <c r="L2209" s="22" t="s">
        <v>104</v>
      </c>
      <c r="M2209" s="22" t="s">
        <v>37010</v>
      </c>
    </row>
    <row r="2210" spans="1:13" x14ac:dyDescent="0.75">
      <c r="A2210" t="s">
        <v>22888</v>
      </c>
      <c r="B2210" t="s">
        <v>6774</v>
      </c>
      <c r="C2210" t="s">
        <v>6107</v>
      </c>
      <c r="D2210" t="s">
        <v>6775</v>
      </c>
      <c r="E2210" t="s">
        <v>22889</v>
      </c>
      <c r="F2210">
        <v>180</v>
      </c>
      <c r="G2210">
        <v>1677681</v>
      </c>
      <c r="H2210" t="s">
        <v>22890</v>
      </c>
      <c r="J2210" s="54" t="s">
        <v>6052</v>
      </c>
      <c r="K2210" s="54">
        <v>0</v>
      </c>
      <c r="L2210" s="22" t="s">
        <v>104</v>
      </c>
      <c r="M2210" s="22" t="s">
        <v>37010</v>
      </c>
    </row>
    <row r="2211" spans="1:13" x14ac:dyDescent="0.75">
      <c r="A2211" t="s">
        <v>7297</v>
      </c>
      <c r="B2211" t="s">
        <v>6106</v>
      </c>
      <c r="C2211" t="s">
        <v>6107</v>
      </c>
      <c r="D2211" t="s">
        <v>6108</v>
      </c>
      <c r="E2211" t="s">
        <v>7298</v>
      </c>
      <c r="F2211">
        <v>67</v>
      </c>
      <c r="G2211">
        <v>2237034</v>
      </c>
      <c r="H2211" t="s">
        <v>7299</v>
      </c>
      <c r="J2211" s="54" t="s">
        <v>6052</v>
      </c>
      <c r="K2211" s="54">
        <v>0</v>
      </c>
      <c r="L2211" s="22" t="s">
        <v>104</v>
      </c>
      <c r="M2211" s="22" t="s">
        <v>37017</v>
      </c>
    </row>
    <row r="2212" spans="1:13" x14ac:dyDescent="0.75">
      <c r="A2212" t="s">
        <v>7596</v>
      </c>
      <c r="B2212" t="s">
        <v>7347</v>
      </c>
      <c r="C2212" t="s">
        <v>6868</v>
      </c>
      <c r="D2212" t="s">
        <v>7348</v>
      </c>
      <c r="E2212" t="s">
        <v>7597</v>
      </c>
      <c r="F2212">
        <v>31</v>
      </c>
      <c r="G2212">
        <v>1281836</v>
      </c>
      <c r="H2212" t="s">
        <v>7598</v>
      </c>
      <c r="J2212" s="54" t="s">
        <v>6052</v>
      </c>
      <c r="K2212" s="54">
        <v>0</v>
      </c>
      <c r="L2212" s="22" t="s">
        <v>1308</v>
      </c>
      <c r="M2212" s="22" t="s">
        <v>36985</v>
      </c>
    </row>
    <row r="2213" spans="1:13" x14ac:dyDescent="0.75">
      <c r="A2213" t="s">
        <v>14768</v>
      </c>
      <c r="B2213" t="s">
        <v>6106</v>
      </c>
      <c r="C2213" t="s">
        <v>6107</v>
      </c>
      <c r="D2213" t="s">
        <v>6108</v>
      </c>
      <c r="E2213" t="s">
        <v>7298</v>
      </c>
      <c r="F2213">
        <v>1</v>
      </c>
      <c r="G2213">
        <v>2299539</v>
      </c>
      <c r="H2213" t="s">
        <v>14769</v>
      </c>
      <c r="J2213" s="54" t="s">
        <v>6052</v>
      </c>
      <c r="K2213" s="54">
        <v>0</v>
      </c>
      <c r="L2213" s="22" t="s">
        <v>104</v>
      </c>
      <c r="M2213" s="22" t="s">
        <v>37017</v>
      </c>
    </row>
    <row r="2214" spans="1:13" x14ac:dyDescent="0.75">
      <c r="A2214" t="s">
        <v>6105</v>
      </c>
      <c r="B2214" t="s">
        <v>6106</v>
      </c>
      <c r="C2214" t="s">
        <v>6107</v>
      </c>
      <c r="D2214" t="s">
        <v>6108</v>
      </c>
      <c r="E2214" t="s">
        <v>6109</v>
      </c>
      <c r="F2214">
        <v>1</v>
      </c>
      <c r="G2214">
        <v>2174500</v>
      </c>
      <c r="H2214" t="s">
        <v>6110</v>
      </c>
      <c r="J2214" s="54" t="s">
        <v>6052</v>
      </c>
      <c r="K2214" s="54">
        <v>0</v>
      </c>
      <c r="L2214" s="22" t="s">
        <v>104</v>
      </c>
      <c r="M2214" s="22" t="s">
        <v>37017</v>
      </c>
    </row>
    <row r="2215" spans="1:13" x14ac:dyDescent="0.75">
      <c r="A2215" t="s">
        <v>14759</v>
      </c>
      <c r="B2215" t="s">
        <v>6106</v>
      </c>
      <c r="C2215" t="s">
        <v>6107</v>
      </c>
      <c r="D2215" t="s">
        <v>6108</v>
      </c>
      <c r="E2215" t="s">
        <v>6109</v>
      </c>
      <c r="F2215">
        <v>1</v>
      </c>
      <c r="G2215">
        <v>2180101</v>
      </c>
      <c r="H2215" t="s">
        <v>14760</v>
      </c>
      <c r="J2215" s="54" t="s">
        <v>6052</v>
      </c>
      <c r="K2215" s="54">
        <v>0</v>
      </c>
      <c r="L2215" s="22" t="s">
        <v>104</v>
      </c>
      <c r="M2215" s="22" t="s">
        <v>37017</v>
      </c>
    </row>
    <row r="2216" spans="1:13" x14ac:dyDescent="0.75">
      <c r="A2216" t="s">
        <v>26910</v>
      </c>
      <c r="B2216" t="s">
        <v>6106</v>
      </c>
      <c r="C2216" t="s">
        <v>6107</v>
      </c>
      <c r="D2216" t="s">
        <v>6108</v>
      </c>
      <c r="E2216" t="s">
        <v>6109</v>
      </c>
      <c r="F2216">
        <v>1</v>
      </c>
      <c r="G2216">
        <v>2180116</v>
      </c>
      <c r="H2216" t="s">
        <v>26911</v>
      </c>
      <c r="J2216" s="54" t="s">
        <v>6052</v>
      </c>
      <c r="K2216" s="54">
        <v>0</v>
      </c>
      <c r="L2216" s="22" t="s">
        <v>104</v>
      </c>
      <c r="M2216" s="22" t="s">
        <v>37017</v>
      </c>
    </row>
    <row r="2217" spans="1:13" x14ac:dyDescent="0.75">
      <c r="A2217" t="s">
        <v>30290</v>
      </c>
      <c r="B2217" t="s">
        <v>7347</v>
      </c>
      <c r="C2217" t="s">
        <v>6868</v>
      </c>
      <c r="D2217" t="s">
        <v>7348</v>
      </c>
      <c r="E2217" t="s">
        <v>30291</v>
      </c>
      <c r="F2217">
        <v>116</v>
      </c>
      <c r="G2217">
        <v>1157308</v>
      </c>
      <c r="H2217" t="s">
        <v>30292</v>
      </c>
      <c r="J2217" s="54" t="s">
        <v>6052</v>
      </c>
      <c r="K2217" s="54">
        <v>0</v>
      </c>
      <c r="L2217" s="22" t="s">
        <v>1308</v>
      </c>
      <c r="M2217" s="22" t="s">
        <v>36985</v>
      </c>
    </row>
    <row r="2218" spans="1:13" x14ac:dyDescent="0.75">
      <c r="A2218" t="s">
        <v>11791</v>
      </c>
      <c r="B2218" t="s">
        <v>6106</v>
      </c>
      <c r="C2218" t="s">
        <v>6107</v>
      </c>
      <c r="D2218" t="s">
        <v>6108</v>
      </c>
      <c r="E2218" t="s">
        <v>11792</v>
      </c>
      <c r="F2218">
        <v>4</v>
      </c>
      <c r="G2218">
        <v>2470675</v>
      </c>
      <c r="H2218" t="s">
        <v>11793</v>
      </c>
      <c r="J2218" s="54" t="s">
        <v>6052</v>
      </c>
      <c r="K2218" s="54">
        <v>0</v>
      </c>
      <c r="L2218" s="22" t="s">
        <v>104</v>
      </c>
      <c r="M2218" s="22" t="s">
        <v>37017</v>
      </c>
    </row>
    <row r="2219" spans="1:13" x14ac:dyDescent="0.75">
      <c r="A2219" t="s">
        <v>9653</v>
      </c>
      <c r="B2219" t="s">
        <v>6106</v>
      </c>
      <c r="C2219" t="s">
        <v>6107</v>
      </c>
      <c r="D2219" t="s">
        <v>6108</v>
      </c>
      <c r="E2219" t="s">
        <v>9654</v>
      </c>
      <c r="F2219">
        <v>83</v>
      </c>
      <c r="G2219">
        <v>2162122</v>
      </c>
      <c r="H2219" t="s">
        <v>9655</v>
      </c>
      <c r="J2219" s="54" t="s">
        <v>6052</v>
      </c>
      <c r="K2219" s="54">
        <v>0</v>
      </c>
      <c r="L2219" s="22" t="s">
        <v>104</v>
      </c>
      <c r="M2219" s="22" t="s">
        <v>37017</v>
      </c>
    </row>
    <row r="2220" spans="1:13" x14ac:dyDescent="0.75">
      <c r="A2220" t="s">
        <v>13753</v>
      </c>
      <c r="B2220" t="s">
        <v>6106</v>
      </c>
      <c r="C2220" t="s">
        <v>6107</v>
      </c>
      <c r="D2220" t="s">
        <v>6108</v>
      </c>
      <c r="E2220" t="s">
        <v>13754</v>
      </c>
      <c r="F2220">
        <v>1</v>
      </c>
      <c r="G2220">
        <v>2233010</v>
      </c>
      <c r="H2220" t="s">
        <v>13755</v>
      </c>
      <c r="J2220" s="54" t="s">
        <v>6052</v>
      </c>
      <c r="K2220" s="54">
        <v>0</v>
      </c>
      <c r="L2220" s="22" t="s">
        <v>104</v>
      </c>
      <c r="M2220" s="22" t="s">
        <v>37017</v>
      </c>
    </row>
    <row r="2221" spans="1:13" x14ac:dyDescent="0.75">
      <c r="A2221" t="s">
        <v>10010</v>
      </c>
      <c r="B2221" t="s">
        <v>6106</v>
      </c>
      <c r="C2221" t="s">
        <v>6107</v>
      </c>
      <c r="D2221" t="s">
        <v>6108</v>
      </c>
      <c r="E2221" t="s">
        <v>10011</v>
      </c>
      <c r="F2221">
        <v>83</v>
      </c>
      <c r="G2221">
        <v>2284954</v>
      </c>
      <c r="H2221" t="s">
        <v>10012</v>
      </c>
      <c r="J2221" s="54" t="s">
        <v>6052</v>
      </c>
      <c r="K2221" s="54">
        <v>0</v>
      </c>
      <c r="L2221" s="22" t="s">
        <v>104</v>
      </c>
      <c r="M2221" s="22" t="s">
        <v>37017</v>
      </c>
    </row>
    <row r="2222" spans="1:13" x14ac:dyDescent="0.75">
      <c r="A2222" t="s">
        <v>29654</v>
      </c>
      <c r="B2222" t="s">
        <v>6106</v>
      </c>
      <c r="C2222" t="s">
        <v>6107</v>
      </c>
      <c r="D2222" t="s">
        <v>6108</v>
      </c>
      <c r="E2222" t="s">
        <v>29655</v>
      </c>
      <c r="F2222">
        <v>213</v>
      </c>
      <c r="G2222">
        <v>2291808</v>
      </c>
      <c r="H2222" t="s">
        <v>29656</v>
      </c>
      <c r="J2222" s="54" t="s">
        <v>6052</v>
      </c>
      <c r="K2222" s="54">
        <v>0</v>
      </c>
      <c r="L2222" s="22" t="s">
        <v>104</v>
      </c>
      <c r="M2222" s="22" t="s">
        <v>37017</v>
      </c>
    </row>
    <row r="2223" spans="1:13" x14ac:dyDescent="0.75">
      <c r="A2223" t="s">
        <v>22404</v>
      </c>
      <c r="B2223" t="s">
        <v>6106</v>
      </c>
      <c r="C2223" t="s">
        <v>6107</v>
      </c>
      <c r="D2223" t="s">
        <v>6108</v>
      </c>
      <c r="E2223" t="s">
        <v>22405</v>
      </c>
      <c r="F2223">
        <v>54</v>
      </c>
      <c r="G2223">
        <v>2101367</v>
      </c>
      <c r="H2223" t="s">
        <v>22406</v>
      </c>
      <c r="J2223" s="54" t="s">
        <v>6052</v>
      </c>
      <c r="K2223" s="54">
        <v>0</v>
      </c>
      <c r="L2223" s="22" t="s">
        <v>104</v>
      </c>
      <c r="M2223" s="22" t="s">
        <v>37017</v>
      </c>
    </row>
    <row r="2224" spans="1:13" x14ac:dyDescent="0.75">
      <c r="A2224" t="s">
        <v>11525</v>
      </c>
      <c r="B2224" t="s">
        <v>6106</v>
      </c>
      <c r="C2224" t="s">
        <v>6107</v>
      </c>
      <c r="D2224" t="s">
        <v>6108</v>
      </c>
      <c r="E2224" t="s">
        <v>11526</v>
      </c>
      <c r="F2224">
        <v>1</v>
      </c>
      <c r="G2224">
        <v>2290405</v>
      </c>
      <c r="H2224" t="s">
        <v>11527</v>
      </c>
      <c r="J2224" s="54" t="s">
        <v>6052</v>
      </c>
      <c r="K2224" s="54">
        <v>0</v>
      </c>
      <c r="L2224" s="22" t="s">
        <v>104</v>
      </c>
      <c r="M2224" s="22" t="s">
        <v>37017</v>
      </c>
    </row>
    <row r="2225" spans="1:13" x14ac:dyDescent="0.75">
      <c r="A2225" t="s">
        <v>11522</v>
      </c>
      <c r="B2225" t="s">
        <v>6106</v>
      </c>
      <c r="C2225" t="s">
        <v>6107</v>
      </c>
      <c r="D2225" t="s">
        <v>6108</v>
      </c>
      <c r="E2225" t="s">
        <v>11523</v>
      </c>
      <c r="F2225">
        <v>1</v>
      </c>
      <c r="G2225">
        <v>2227266</v>
      </c>
      <c r="H2225" t="s">
        <v>11524</v>
      </c>
      <c r="J2225" s="54" t="s">
        <v>6052</v>
      </c>
      <c r="K2225" s="54">
        <v>0</v>
      </c>
      <c r="L2225" s="22" t="s">
        <v>104</v>
      </c>
      <c r="M2225" s="22" t="s">
        <v>37017</v>
      </c>
    </row>
    <row r="2226" spans="1:13" x14ac:dyDescent="0.75">
      <c r="A2226" t="s">
        <v>26820</v>
      </c>
      <c r="B2226" t="s">
        <v>6106</v>
      </c>
      <c r="C2226" t="s">
        <v>6107</v>
      </c>
      <c r="D2226" t="s">
        <v>6108</v>
      </c>
      <c r="E2226" t="s">
        <v>26821</v>
      </c>
      <c r="F2226">
        <v>1</v>
      </c>
      <c r="G2226">
        <v>2465284</v>
      </c>
      <c r="H2226" t="s">
        <v>26822</v>
      </c>
      <c r="J2226" s="54" t="s">
        <v>6052</v>
      </c>
      <c r="K2226" s="54">
        <v>0</v>
      </c>
      <c r="L2226" s="22" t="s">
        <v>104</v>
      </c>
      <c r="M2226" s="22" t="s">
        <v>37017</v>
      </c>
    </row>
    <row r="2227" spans="1:13" x14ac:dyDescent="0.75">
      <c r="A2227" t="s">
        <v>26826</v>
      </c>
      <c r="B2227" t="s">
        <v>6106</v>
      </c>
      <c r="C2227" t="s">
        <v>6107</v>
      </c>
      <c r="D2227" t="s">
        <v>6108</v>
      </c>
      <c r="E2227" t="s">
        <v>26827</v>
      </c>
      <c r="F2227">
        <v>1</v>
      </c>
      <c r="G2227">
        <v>2328800</v>
      </c>
      <c r="H2227" t="s">
        <v>26828</v>
      </c>
      <c r="J2227" s="54" t="s">
        <v>6052</v>
      </c>
      <c r="K2227" s="54">
        <v>0</v>
      </c>
      <c r="L2227" s="22" t="s">
        <v>104</v>
      </c>
      <c r="M2227" s="22" t="s">
        <v>37017</v>
      </c>
    </row>
    <row r="2228" spans="1:13" x14ac:dyDescent="0.75">
      <c r="A2228" t="s">
        <v>26844</v>
      </c>
      <c r="B2228" t="s">
        <v>6106</v>
      </c>
      <c r="C2228" t="s">
        <v>6107</v>
      </c>
      <c r="D2228" t="s">
        <v>6108</v>
      </c>
      <c r="E2228" t="s">
        <v>26845</v>
      </c>
      <c r="F2228">
        <v>1</v>
      </c>
      <c r="G2228">
        <v>2081548</v>
      </c>
      <c r="H2228" t="s">
        <v>26846</v>
      </c>
      <c r="J2228" s="54" t="s">
        <v>6052</v>
      </c>
      <c r="K2228" s="54">
        <v>0</v>
      </c>
      <c r="L2228" s="22" t="s">
        <v>104</v>
      </c>
      <c r="M2228" s="22" t="s">
        <v>37017</v>
      </c>
    </row>
    <row r="2229" spans="1:13" x14ac:dyDescent="0.75">
      <c r="A2229" t="s">
        <v>26811</v>
      </c>
      <c r="B2229" t="s">
        <v>6106</v>
      </c>
      <c r="C2229" t="s">
        <v>6107</v>
      </c>
      <c r="D2229" t="s">
        <v>6108</v>
      </c>
      <c r="E2229" t="s">
        <v>26812</v>
      </c>
      <c r="F2229">
        <v>1</v>
      </c>
      <c r="G2229">
        <v>2131437</v>
      </c>
      <c r="H2229" t="s">
        <v>26813</v>
      </c>
      <c r="J2229" s="54" t="s">
        <v>6052</v>
      </c>
      <c r="K2229" s="54">
        <v>0</v>
      </c>
      <c r="L2229" s="22" t="s">
        <v>104</v>
      </c>
      <c r="M2229" s="22" t="s">
        <v>37017</v>
      </c>
    </row>
    <row r="2230" spans="1:13" x14ac:dyDescent="0.75">
      <c r="A2230" t="s">
        <v>27046</v>
      </c>
      <c r="B2230" t="s">
        <v>6106</v>
      </c>
      <c r="C2230" t="s">
        <v>6107</v>
      </c>
      <c r="D2230" t="s">
        <v>6108</v>
      </c>
      <c r="E2230" t="s">
        <v>27047</v>
      </c>
      <c r="F2230">
        <v>1</v>
      </c>
      <c r="G2230">
        <v>2188825</v>
      </c>
      <c r="H2230" t="s">
        <v>27048</v>
      </c>
      <c r="J2230" s="54" t="s">
        <v>6052</v>
      </c>
      <c r="K2230" s="54">
        <v>0</v>
      </c>
      <c r="L2230" s="22" t="s">
        <v>104</v>
      </c>
      <c r="M2230" s="22" t="s">
        <v>37017</v>
      </c>
    </row>
    <row r="2231" spans="1:13" x14ac:dyDescent="0.75">
      <c r="A2231" t="s">
        <v>26805</v>
      </c>
      <c r="B2231" t="s">
        <v>6106</v>
      </c>
      <c r="C2231" t="s">
        <v>6107</v>
      </c>
      <c r="D2231" t="s">
        <v>6108</v>
      </c>
      <c r="E2231" t="s">
        <v>26806</v>
      </c>
      <c r="F2231">
        <v>1</v>
      </c>
      <c r="G2231">
        <v>2316559</v>
      </c>
      <c r="H2231" t="s">
        <v>26807</v>
      </c>
      <c r="J2231" s="54" t="s">
        <v>6052</v>
      </c>
      <c r="K2231" s="54">
        <v>0</v>
      </c>
      <c r="L2231" s="22" t="s">
        <v>104</v>
      </c>
      <c r="M2231" s="22" t="s">
        <v>37017</v>
      </c>
    </row>
    <row r="2232" spans="1:13" x14ac:dyDescent="0.75">
      <c r="A2232" t="s">
        <v>27043</v>
      </c>
      <c r="B2232" t="s">
        <v>6106</v>
      </c>
      <c r="C2232" t="s">
        <v>6107</v>
      </c>
      <c r="D2232" t="s">
        <v>6108</v>
      </c>
      <c r="E2232" t="s">
        <v>27044</v>
      </c>
      <c r="F2232">
        <v>1</v>
      </c>
      <c r="G2232">
        <v>2254946</v>
      </c>
      <c r="H2232" t="s">
        <v>27045</v>
      </c>
      <c r="J2232" s="54" t="s">
        <v>6052</v>
      </c>
      <c r="K2232" s="54">
        <v>0</v>
      </c>
      <c r="L2232" s="22" t="s">
        <v>104</v>
      </c>
      <c r="M2232" s="22" t="s">
        <v>37017</v>
      </c>
    </row>
    <row r="2233" spans="1:13" x14ac:dyDescent="0.75">
      <c r="A2233" t="s">
        <v>27040</v>
      </c>
      <c r="B2233" t="s">
        <v>6106</v>
      </c>
      <c r="C2233" t="s">
        <v>6107</v>
      </c>
      <c r="D2233" t="s">
        <v>6108</v>
      </c>
      <c r="E2233" t="s">
        <v>27041</v>
      </c>
      <c r="F2233">
        <v>1</v>
      </c>
      <c r="G2233">
        <v>2211334</v>
      </c>
      <c r="H2233" t="s">
        <v>27042</v>
      </c>
      <c r="J2233" s="54" t="s">
        <v>6052</v>
      </c>
      <c r="K2233" s="54">
        <v>0</v>
      </c>
      <c r="L2233" s="22" t="s">
        <v>104</v>
      </c>
      <c r="M2233" s="22" t="s">
        <v>37017</v>
      </c>
    </row>
    <row r="2234" spans="1:13" x14ac:dyDescent="0.75">
      <c r="A2234" t="s">
        <v>27061</v>
      </c>
      <c r="B2234" t="s">
        <v>6106</v>
      </c>
      <c r="C2234" t="s">
        <v>6107</v>
      </c>
      <c r="D2234" t="s">
        <v>6108</v>
      </c>
      <c r="E2234" t="s">
        <v>27062</v>
      </c>
      <c r="F2234">
        <v>1</v>
      </c>
      <c r="G2234">
        <v>2200008</v>
      </c>
      <c r="H2234" t="s">
        <v>27063</v>
      </c>
      <c r="J2234" s="54" t="s">
        <v>6052</v>
      </c>
      <c r="K2234" s="54">
        <v>0</v>
      </c>
      <c r="L2234" s="22" t="s">
        <v>104</v>
      </c>
      <c r="M2234" s="22" t="s">
        <v>37017</v>
      </c>
    </row>
    <row r="2235" spans="1:13" x14ac:dyDescent="0.75">
      <c r="A2235" t="s">
        <v>26787</v>
      </c>
      <c r="B2235" t="s">
        <v>6106</v>
      </c>
      <c r="C2235" t="s">
        <v>6107</v>
      </c>
      <c r="D2235" t="s">
        <v>6108</v>
      </c>
      <c r="E2235" t="s">
        <v>26788</v>
      </c>
      <c r="F2235">
        <v>1</v>
      </c>
      <c r="G2235">
        <v>2372993</v>
      </c>
      <c r="H2235" t="s">
        <v>26789</v>
      </c>
      <c r="J2235" s="54" t="s">
        <v>6052</v>
      </c>
      <c r="K2235" s="54">
        <v>0</v>
      </c>
      <c r="L2235" s="22" t="s">
        <v>104</v>
      </c>
      <c r="M2235" s="22" t="s">
        <v>37017</v>
      </c>
    </row>
    <row r="2236" spans="1:13" x14ac:dyDescent="0.75">
      <c r="A2236" t="s">
        <v>26823</v>
      </c>
      <c r="B2236" t="s">
        <v>6106</v>
      </c>
      <c r="C2236" t="s">
        <v>6107</v>
      </c>
      <c r="D2236" t="s">
        <v>6108</v>
      </c>
      <c r="E2236" t="s">
        <v>26824</v>
      </c>
      <c r="F2236">
        <v>1</v>
      </c>
      <c r="G2236">
        <v>2132317</v>
      </c>
      <c r="H2236" t="s">
        <v>26825</v>
      </c>
      <c r="J2236" s="54" t="s">
        <v>6052</v>
      </c>
      <c r="K2236" s="54">
        <v>0</v>
      </c>
      <c r="L2236" s="22" t="s">
        <v>104</v>
      </c>
      <c r="M2236" s="22" t="s">
        <v>37017</v>
      </c>
    </row>
    <row r="2237" spans="1:13" x14ac:dyDescent="0.75">
      <c r="A2237" t="s">
        <v>26841</v>
      </c>
      <c r="B2237" t="s">
        <v>6106</v>
      </c>
      <c r="C2237" t="s">
        <v>6107</v>
      </c>
      <c r="D2237" t="s">
        <v>6108</v>
      </c>
      <c r="E2237" t="s">
        <v>26842</v>
      </c>
      <c r="F2237">
        <v>1</v>
      </c>
      <c r="G2237">
        <v>2155951</v>
      </c>
      <c r="H2237" t="s">
        <v>26843</v>
      </c>
      <c r="J2237" s="54" t="s">
        <v>6052</v>
      </c>
      <c r="K2237" s="54">
        <v>0</v>
      </c>
      <c r="L2237" s="22" t="s">
        <v>104</v>
      </c>
      <c r="M2237" s="22" t="s">
        <v>37017</v>
      </c>
    </row>
    <row r="2238" spans="1:13" x14ac:dyDescent="0.75">
      <c r="A2238" t="s">
        <v>26838</v>
      </c>
      <c r="B2238" t="s">
        <v>6106</v>
      </c>
      <c r="C2238" t="s">
        <v>6107</v>
      </c>
      <c r="D2238" t="s">
        <v>6108</v>
      </c>
      <c r="E2238" t="s">
        <v>26839</v>
      </c>
      <c r="F2238">
        <v>1</v>
      </c>
      <c r="G2238">
        <v>2326553</v>
      </c>
      <c r="H2238" t="s">
        <v>26840</v>
      </c>
      <c r="J2238" s="54" t="s">
        <v>6052</v>
      </c>
      <c r="K2238" s="54">
        <v>0</v>
      </c>
      <c r="L2238" s="22" t="s">
        <v>104</v>
      </c>
      <c r="M2238" s="22" t="s">
        <v>37017</v>
      </c>
    </row>
    <row r="2239" spans="1:13" x14ac:dyDescent="0.75">
      <c r="A2239" t="s">
        <v>26772</v>
      </c>
      <c r="B2239" t="s">
        <v>6106</v>
      </c>
      <c r="C2239" t="s">
        <v>6107</v>
      </c>
      <c r="D2239" t="s">
        <v>6108</v>
      </c>
      <c r="E2239" t="s">
        <v>26773</v>
      </c>
      <c r="F2239">
        <v>1</v>
      </c>
      <c r="G2239">
        <v>2268467</v>
      </c>
      <c r="H2239" t="s">
        <v>26774</v>
      </c>
      <c r="J2239" s="54" t="s">
        <v>6052</v>
      </c>
      <c r="K2239" s="54">
        <v>0</v>
      </c>
      <c r="L2239" s="22" t="s">
        <v>104</v>
      </c>
      <c r="M2239" s="22" t="s">
        <v>37017</v>
      </c>
    </row>
    <row r="2240" spans="1:13" x14ac:dyDescent="0.75">
      <c r="A2240" t="s">
        <v>26654</v>
      </c>
      <c r="B2240" t="s">
        <v>6106</v>
      </c>
      <c r="C2240" t="s">
        <v>6107</v>
      </c>
      <c r="D2240" t="s">
        <v>6108</v>
      </c>
      <c r="E2240" t="s">
        <v>26655</v>
      </c>
      <c r="F2240">
        <v>1</v>
      </c>
      <c r="G2240">
        <v>2181492</v>
      </c>
      <c r="H2240" t="s">
        <v>26656</v>
      </c>
      <c r="J2240" s="54" t="s">
        <v>6052</v>
      </c>
      <c r="K2240" s="54">
        <v>0</v>
      </c>
      <c r="L2240" s="22" t="s">
        <v>104</v>
      </c>
      <c r="M2240" s="22" t="s">
        <v>37017</v>
      </c>
    </row>
    <row r="2241" spans="1:13" x14ac:dyDescent="0.75">
      <c r="A2241" t="s">
        <v>28296</v>
      </c>
      <c r="B2241" t="s">
        <v>6106</v>
      </c>
      <c r="C2241" t="s">
        <v>6107</v>
      </c>
      <c r="D2241" t="s">
        <v>6108</v>
      </c>
      <c r="E2241" t="s">
        <v>28297</v>
      </c>
      <c r="F2241">
        <v>83</v>
      </c>
      <c r="G2241">
        <v>2284954</v>
      </c>
      <c r="H2241" t="s">
        <v>28298</v>
      </c>
      <c r="J2241" s="54" t="s">
        <v>6052</v>
      </c>
      <c r="K2241" s="54">
        <v>0</v>
      </c>
      <c r="L2241" s="22" t="s">
        <v>104</v>
      </c>
      <c r="M2241" s="22" t="s">
        <v>37017</v>
      </c>
    </row>
    <row r="2242" spans="1:13" x14ac:dyDescent="0.75">
      <c r="A2242" t="s">
        <v>26742</v>
      </c>
      <c r="B2242" t="s">
        <v>6106</v>
      </c>
      <c r="C2242" t="s">
        <v>6107</v>
      </c>
      <c r="D2242" t="s">
        <v>6108</v>
      </c>
      <c r="E2242" t="s">
        <v>26743</v>
      </c>
      <c r="F2242">
        <v>1</v>
      </c>
      <c r="G2242">
        <v>2238677</v>
      </c>
      <c r="H2242" t="s">
        <v>26744</v>
      </c>
      <c r="J2242" s="54" t="s">
        <v>6052</v>
      </c>
      <c r="K2242" s="54">
        <v>0</v>
      </c>
      <c r="L2242" s="22" t="s">
        <v>104</v>
      </c>
      <c r="M2242" s="22" t="s">
        <v>37017</v>
      </c>
    </row>
    <row r="2243" spans="1:13" x14ac:dyDescent="0.75">
      <c r="A2243" t="s">
        <v>26757</v>
      </c>
      <c r="B2243" t="s">
        <v>6106</v>
      </c>
      <c r="C2243" t="s">
        <v>6107</v>
      </c>
      <c r="D2243" t="s">
        <v>6108</v>
      </c>
      <c r="E2243" t="s">
        <v>26758</v>
      </c>
      <c r="F2243">
        <v>1</v>
      </c>
      <c r="G2243">
        <v>2307630</v>
      </c>
      <c r="H2243" t="s">
        <v>26759</v>
      </c>
      <c r="J2243" s="54" t="s">
        <v>6052</v>
      </c>
      <c r="K2243" s="54">
        <v>0</v>
      </c>
      <c r="L2243" s="22" t="s">
        <v>104</v>
      </c>
      <c r="M2243" s="22" t="s">
        <v>37017</v>
      </c>
    </row>
    <row r="2244" spans="1:13" x14ac:dyDescent="0.75">
      <c r="A2244" t="s">
        <v>29023</v>
      </c>
      <c r="B2244" t="s">
        <v>6106</v>
      </c>
      <c r="C2244" t="s">
        <v>6107</v>
      </c>
      <c r="D2244" t="s">
        <v>6108</v>
      </c>
      <c r="E2244" t="s">
        <v>29024</v>
      </c>
      <c r="F2244">
        <v>255</v>
      </c>
      <c r="G2244">
        <v>1674058</v>
      </c>
      <c r="H2244" t="s">
        <v>29025</v>
      </c>
      <c r="J2244" s="54" t="s">
        <v>6052</v>
      </c>
      <c r="K2244" s="54">
        <v>0</v>
      </c>
      <c r="L2244" s="22" t="s">
        <v>104</v>
      </c>
      <c r="M2244" s="22" t="s">
        <v>37017</v>
      </c>
    </row>
    <row r="2245" spans="1:13" x14ac:dyDescent="0.75">
      <c r="A2245" t="s">
        <v>13835</v>
      </c>
      <c r="B2245" t="s">
        <v>6106</v>
      </c>
      <c r="C2245" t="s">
        <v>6107</v>
      </c>
      <c r="D2245" t="s">
        <v>6108</v>
      </c>
      <c r="E2245" t="s">
        <v>13836</v>
      </c>
      <c r="F2245">
        <v>80</v>
      </c>
      <c r="G2245">
        <v>2126947</v>
      </c>
      <c r="H2245" t="s">
        <v>13837</v>
      </c>
      <c r="J2245" s="54" t="s">
        <v>6052</v>
      </c>
      <c r="K2245" s="54">
        <v>0</v>
      </c>
      <c r="L2245" s="22" t="s">
        <v>104</v>
      </c>
      <c r="M2245" s="22" t="s">
        <v>37017</v>
      </c>
    </row>
    <row r="2246" spans="1:13" x14ac:dyDescent="0.75">
      <c r="A2246" t="s">
        <v>7077</v>
      </c>
      <c r="B2246" t="s">
        <v>6754</v>
      </c>
      <c r="C2246" t="s">
        <v>6107</v>
      </c>
      <c r="D2246" t="s">
        <v>6755</v>
      </c>
      <c r="E2246" t="s">
        <v>7078</v>
      </c>
      <c r="F2246">
        <v>80</v>
      </c>
      <c r="G2246">
        <v>2479455</v>
      </c>
      <c r="H2246" t="s">
        <v>7079</v>
      </c>
      <c r="J2246" s="54" t="s">
        <v>6052</v>
      </c>
      <c r="K2246" s="54">
        <v>0</v>
      </c>
      <c r="L2246" s="22" t="s">
        <v>104</v>
      </c>
      <c r="M2246" s="22" t="s">
        <v>37011</v>
      </c>
    </row>
    <row r="2247" spans="1:13" x14ac:dyDescent="0.75">
      <c r="A2247" t="s">
        <v>6753</v>
      </c>
      <c r="B2247" t="s">
        <v>6754</v>
      </c>
      <c r="C2247" t="s">
        <v>6107</v>
      </c>
      <c r="D2247" t="s">
        <v>6755</v>
      </c>
      <c r="E2247" t="s">
        <v>6756</v>
      </c>
      <c r="F2247">
        <v>61</v>
      </c>
      <c r="G2247">
        <v>2546312</v>
      </c>
      <c r="H2247" t="s">
        <v>6757</v>
      </c>
      <c r="J2247" s="54" t="s">
        <v>6052</v>
      </c>
      <c r="K2247" s="54">
        <v>0</v>
      </c>
      <c r="L2247" s="22" t="s">
        <v>104</v>
      </c>
      <c r="M2247" s="22" t="s">
        <v>37011</v>
      </c>
    </row>
    <row r="2248" spans="1:13" x14ac:dyDescent="0.75">
      <c r="A2248" t="s">
        <v>30335</v>
      </c>
      <c r="B2248" t="s">
        <v>7347</v>
      </c>
      <c r="C2248" t="s">
        <v>6868</v>
      </c>
      <c r="D2248" t="s">
        <v>7348</v>
      </c>
      <c r="E2248" t="s">
        <v>30336</v>
      </c>
      <c r="F2248">
        <v>14</v>
      </c>
      <c r="G2248">
        <v>1234903</v>
      </c>
      <c r="H2248" t="s">
        <v>30337</v>
      </c>
      <c r="J2248" s="54" t="s">
        <v>6052</v>
      </c>
      <c r="K2248" s="54">
        <v>0</v>
      </c>
      <c r="L2248" s="22" t="s">
        <v>1308</v>
      </c>
      <c r="M2248" s="22" t="s">
        <v>36985</v>
      </c>
    </row>
    <row r="2249" spans="1:13" x14ac:dyDescent="0.75">
      <c r="A2249" t="s">
        <v>30229</v>
      </c>
      <c r="B2249" t="s">
        <v>7347</v>
      </c>
      <c r="C2249" t="s">
        <v>6868</v>
      </c>
      <c r="D2249" t="s">
        <v>7348</v>
      </c>
      <c r="E2249" t="s">
        <v>30230</v>
      </c>
      <c r="F2249">
        <v>76</v>
      </c>
      <c r="G2249">
        <v>1242955</v>
      </c>
      <c r="H2249" t="s">
        <v>30231</v>
      </c>
      <c r="J2249" s="54" t="s">
        <v>6052</v>
      </c>
      <c r="K2249" s="54">
        <v>0</v>
      </c>
      <c r="L2249" s="22" t="s">
        <v>1308</v>
      </c>
      <c r="M2249" s="22" t="s">
        <v>36985</v>
      </c>
    </row>
    <row r="2250" spans="1:13" x14ac:dyDescent="0.75">
      <c r="A2250" t="s">
        <v>14766</v>
      </c>
      <c r="B2250" t="s">
        <v>6754</v>
      </c>
      <c r="C2250" t="s">
        <v>6107</v>
      </c>
      <c r="D2250" t="s">
        <v>6755</v>
      </c>
      <c r="E2250" t="s">
        <v>6756</v>
      </c>
      <c r="F2250">
        <v>1</v>
      </c>
      <c r="G2250">
        <v>2541084</v>
      </c>
      <c r="H2250" t="s">
        <v>14767</v>
      </c>
      <c r="J2250" s="54" t="s">
        <v>6052</v>
      </c>
      <c r="K2250" s="54">
        <v>0</v>
      </c>
      <c r="L2250" s="22" t="s">
        <v>104</v>
      </c>
      <c r="M2250" s="22" t="s">
        <v>37011</v>
      </c>
    </row>
    <row r="2251" spans="1:13" x14ac:dyDescent="0.75">
      <c r="A2251" t="s">
        <v>6906</v>
      </c>
      <c r="B2251" t="s">
        <v>6754</v>
      </c>
      <c r="C2251" t="s">
        <v>6107</v>
      </c>
      <c r="D2251" t="s">
        <v>6755</v>
      </c>
      <c r="E2251" t="s">
        <v>6907</v>
      </c>
      <c r="F2251">
        <v>143</v>
      </c>
      <c r="G2251">
        <v>2615003</v>
      </c>
      <c r="H2251" t="s">
        <v>6908</v>
      </c>
      <c r="J2251" s="54" t="s">
        <v>6052</v>
      </c>
      <c r="K2251" s="54">
        <v>0</v>
      </c>
      <c r="L2251" s="22" t="s">
        <v>104</v>
      </c>
      <c r="M2251" s="22" t="s">
        <v>37011</v>
      </c>
    </row>
    <row r="2252" spans="1:13" x14ac:dyDescent="0.75">
      <c r="A2252" t="s">
        <v>28127</v>
      </c>
      <c r="B2252" t="s">
        <v>6754</v>
      </c>
      <c r="C2252" t="s">
        <v>6107</v>
      </c>
      <c r="D2252" t="s">
        <v>6755</v>
      </c>
      <c r="E2252" t="s">
        <v>28128</v>
      </c>
      <c r="F2252">
        <v>136</v>
      </c>
      <c r="G2252">
        <v>2561874</v>
      </c>
      <c r="H2252" t="s">
        <v>28129</v>
      </c>
      <c r="J2252" s="54" t="s">
        <v>6052</v>
      </c>
      <c r="K2252" s="54">
        <v>0</v>
      </c>
      <c r="L2252" s="22" t="s">
        <v>104</v>
      </c>
      <c r="M2252" s="22" t="s">
        <v>37011</v>
      </c>
    </row>
    <row r="2253" spans="1:13" x14ac:dyDescent="0.75">
      <c r="A2253" t="s">
        <v>14212</v>
      </c>
      <c r="B2253" t="s">
        <v>6754</v>
      </c>
      <c r="C2253" t="s">
        <v>6107</v>
      </c>
      <c r="D2253" t="s">
        <v>6755</v>
      </c>
      <c r="E2253" t="s">
        <v>14213</v>
      </c>
      <c r="F2253">
        <v>1</v>
      </c>
      <c r="G2253">
        <v>2643576</v>
      </c>
      <c r="H2253" t="s">
        <v>14214</v>
      </c>
      <c r="J2253" s="54" t="s">
        <v>6052</v>
      </c>
      <c r="K2253" s="54">
        <v>0</v>
      </c>
      <c r="L2253" s="22" t="s">
        <v>104</v>
      </c>
      <c r="M2253" s="22" t="s">
        <v>37011</v>
      </c>
    </row>
    <row r="2254" spans="1:13" x14ac:dyDescent="0.75">
      <c r="A2254" t="s">
        <v>30276</v>
      </c>
      <c r="B2254" t="s">
        <v>7347</v>
      </c>
      <c r="C2254" t="s">
        <v>6868</v>
      </c>
      <c r="D2254" t="s">
        <v>7348</v>
      </c>
      <c r="E2254" t="s">
        <v>30277</v>
      </c>
      <c r="F2254">
        <v>64</v>
      </c>
      <c r="G2254">
        <v>1264431</v>
      </c>
      <c r="H2254" t="s">
        <v>30278</v>
      </c>
      <c r="J2254" s="54" t="s">
        <v>6052</v>
      </c>
      <c r="K2254" s="54">
        <v>0</v>
      </c>
      <c r="L2254" s="22" t="s">
        <v>1308</v>
      </c>
      <c r="M2254" s="22" t="s">
        <v>36985</v>
      </c>
    </row>
    <row r="2255" spans="1:13" x14ac:dyDescent="0.75">
      <c r="A2255" t="s">
        <v>30389</v>
      </c>
      <c r="B2255" t="s">
        <v>7347</v>
      </c>
      <c r="C2255" t="s">
        <v>6868</v>
      </c>
      <c r="D2255" t="s">
        <v>7348</v>
      </c>
      <c r="E2255" t="s">
        <v>30390</v>
      </c>
      <c r="F2255">
        <v>30</v>
      </c>
      <c r="G2255">
        <v>1195451</v>
      </c>
      <c r="H2255" t="s">
        <v>30391</v>
      </c>
      <c r="J2255" s="54" t="s">
        <v>6052</v>
      </c>
      <c r="K2255" s="54">
        <v>0</v>
      </c>
      <c r="L2255" s="22" t="s">
        <v>1308</v>
      </c>
      <c r="M2255" s="22" t="s">
        <v>36985</v>
      </c>
    </row>
    <row r="2256" spans="1:13" x14ac:dyDescent="0.75">
      <c r="A2256" t="s">
        <v>14185</v>
      </c>
      <c r="B2256" t="s">
        <v>6754</v>
      </c>
      <c r="C2256" t="s">
        <v>6107</v>
      </c>
      <c r="D2256" t="s">
        <v>6755</v>
      </c>
      <c r="E2256" t="s">
        <v>14186</v>
      </c>
      <c r="F2256">
        <v>1</v>
      </c>
      <c r="G2256">
        <v>2651118</v>
      </c>
      <c r="H2256" t="s">
        <v>14187</v>
      </c>
      <c r="J2256" s="54" t="s">
        <v>6052</v>
      </c>
      <c r="K2256" s="54">
        <v>0</v>
      </c>
      <c r="L2256" s="22" t="s">
        <v>104</v>
      </c>
      <c r="M2256" s="22" t="s">
        <v>37011</v>
      </c>
    </row>
    <row r="2257" spans="1:13" x14ac:dyDescent="0.75">
      <c r="A2257" t="s">
        <v>14209</v>
      </c>
      <c r="B2257" t="s">
        <v>6754</v>
      </c>
      <c r="C2257" t="s">
        <v>6107</v>
      </c>
      <c r="D2257" t="s">
        <v>6755</v>
      </c>
      <c r="E2257" t="s">
        <v>14210</v>
      </c>
      <c r="F2257">
        <v>1</v>
      </c>
      <c r="G2257">
        <v>2477385</v>
      </c>
      <c r="H2257" t="s">
        <v>14211</v>
      </c>
      <c r="J2257" s="54" t="s">
        <v>6052</v>
      </c>
      <c r="K2257" s="54">
        <v>0</v>
      </c>
      <c r="L2257" s="22" t="s">
        <v>104</v>
      </c>
      <c r="M2257" s="22" t="s">
        <v>37011</v>
      </c>
    </row>
    <row r="2258" spans="1:13" x14ac:dyDescent="0.75">
      <c r="A2258" t="s">
        <v>20854</v>
      </c>
      <c r="B2258" t="s">
        <v>6754</v>
      </c>
      <c r="C2258" t="s">
        <v>6107</v>
      </c>
      <c r="D2258" t="s">
        <v>6755</v>
      </c>
      <c r="E2258" t="s">
        <v>20855</v>
      </c>
      <c r="F2258">
        <v>114</v>
      </c>
      <c r="G2258">
        <v>2270152</v>
      </c>
      <c r="H2258" t="s">
        <v>20856</v>
      </c>
      <c r="J2258" s="54" t="s">
        <v>6052</v>
      </c>
      <c r="K2258" s="54">
        <v>0</v>
      </c>
      <c r="L2258" s="22" t="s">
        <v>104</v>
      </c>
      <c r="M2258" s="22" t="s">
        <v>37011</v>
      </c>
    </row>
    <row r="2259" spans="1:13" x14ac:dyDescent="0.75">
      <c r="A2259" t="s">
        <v>28250</v>
      </c>
      <c r="B2259" t="s">
        <v>6754</v>
      </c>
      <c r="C2259" t="s">
        <v>6107</v>
      </c>
      <c r="D2259" t="s">
        <v>6755</v>
      </c>
      <c r="E2259" t="s">
        <v>28251</v>
      </c>
      <c r="F2259">
        <v>61</v>
      </c>
      <c r="G2259">
        <v>2546312</v>
      </c>
      <c r="H2259" t="s">
        <v>28252</v>
      </c>
      <c r="J2259" s="54" t="s">
        <v>6052</v>
      </c>
      <c r="K2259" s="54">
        <v>0</v>
      </c>
      <c r="L2259" s="22" t="s">
        <v>104</v>
      </c>
      <c r="M2259" s="22" t="s">
        <v>37011</v>
      </c>
    </row>
    <row r="2260" spans="1:13" x14ac:dyDescent="0.75">
      <c r="A2260" t="s">
        <v>28265</v>
      </c>
      <c r="B2260" t="s">
        <v>6754</v>
      </c>
      <c r="C2260" t="s">
        <v>6107</v>
      </c>
      <c r="D2260" t="s">
        <v>6755</v>
      </c>
      <c r="E2260" t="s">
        <v>28266</v>
      </c>
      <c r="F2260">
        <v>80</v>
      </c>
      <c r="G2260">
        <v>2479455</v>
      </c>
      <c r="H2260" t="s">
        <v>28267</v>
      </c>
      <c r="J2260" s="54" t="s">
        <v>6052</v>
      </c>
      <c r="K2260" s="54">
        <v>0</v>
      </c>
      <c r="L2260" s="22" t="s">
        <v>104</v>
      </c>
      <c r="M2260" s="22" t="s">
        <v>37011</v>
      </c>
    </row>
    <row r="2261" spans="1:13" x14ac:dyDescent="0.75">
      <c r="A2261" t="s">
        <v>21386</v>
      </c>
      <c r="B2261" t="s">
        <v>6685</v>
      </c>
      <c r="C2261" t="s">
        <v>6107</v>
      </c>
      <c r="D2261" t="s">
        <v>6686</v>
      </c>
      <c r="E2261">
        <v>9571</v>
      </c>
      <c r="F2261">
        <v>20</v>
      </c>
      <c r="G2261">
        <v>2532746</v>
      </c>
      <c r="H2261" t="s">
        <v>21387</v>
      </c>
      <c r="J2261" s="54" t="s">
        <v>6052</v>
      </c>
      <c r="K2261" s="54">
        <v>0</v>
      </c>
      <c r="L2261" s="22" t="s">
        <v>104</v>
      </c>
      <c r="M2261" s="22" t="s">
        <v>37009</v>
      </c>
    </row>
    <row r="2262" spans="1:13" x14ac:dyDescent="0.75">
      <c r="A2262" t="s">
        <v>25968</v>
      </c>
      <c r="B2262" t="s">
        <v>7347</v>
      </c>
      <c r="C2262" t="s">
        <v>6868</v>
      </c>
      <c r="D2262" t="s">
        <v>7348</v>
      </c>
      <c r="E2262" t="s">
        <v>25969</v>
      </c>
      <c r="F2262">
        <v>35</v>
      </c>
      <c r="G2262">
        <v>1226292</v>
      </c>
      <c r="H2262" t="s">
        <v>25970</v>
      </c>
      <c r="J2262" s="54" t="s">
        <v>6052</v>
      </c>
      <c r="K2262" s="54">
        <v>0</v>
      </c>
      <c r="L2262" s="22" t="s">
        <v>1308</v>
      </c>
      <c r="M2262" s="22" t="s">
        <v>36985</v>
      </c>
    </row>
    <row r="2263" spans="1:13" x14ac:dyDescent="0.75">
      <c r="A2263" t="s">
        <v>25956</v>
      </c>
      <c r="B2263" t="s">
        <v>7347</v>
      </c>
      <c r="C2263" t="s">
        <v>6868</v>
      </c>
      <c r="D2263" t="s">
        <v>7348</v>
      </c>
      <c r="E2263" t="s">
        <v>25957</v>
      </c>
      <c r="F2263">
        <v>104</v>
      </c>
      <c r="G2263">
        <v>1407888</v>
      </c>
      <c r="H2263" t="s">
        <v>25958</v>
      </c>
      <c r="J2263" s="54" t="s">
        <v>6052</v>
      </c>
      <c r="K2263" s="54">
        <v>0</v>
      </c>
      <c r="L2263" s="22" t="s">
        <v>1308</v>
      </c>
      <c r="M2263" s="22" t="s">
        <v>36985</v>
      </c>
    </row>
    <row r="2264" spans="1:13" x14ac:dyDescent="0.75">
      <c r="A2264" t="s">
        <v>7346</v>
      </c>
      <c r="B2264" t="s">
        <v>7347</v>
      </c>
      <c r="C2264" t="s">
        <v>6868</v>
      </c>
      <c r="D2264" t="s">
        <v>7348</v>
      </c>
      <c r="E2264" t="s">
        <v>7349</v>
      </c>
      <c r="F2264">
        <v>32</v>
      </c>
      <c r="G2264">
        <v>1395825</v>
      </c>
      <c r="H2264" t="s">
        <v>7350</v>
      </c>
      <c r="J2264" s="54" t="s">
        <v>6052</v>
      </c>
      <c r="K2264" s="54">
        <v>0</v>
      </c>
      <c r="L2264" s="22" t="s">
        <v>1308</v>
      </c>
      <c r="M2264" s="22" t="s">
        <v>36985</v>
      </c>
    </row>
    <row r="2265" spans="1:13" x14ac:dyDescent="0.75">
      <c r="A2265" t="s">
        <v>16614</v>
      </c>
      <c r="B2265" t="s">
        <v>11985</v>
      </c>
      <c r="C2265" t="s">
        <v>11986</v>
      </c>
      <c r="D2265" t="s">
        <v>11987</v>
      </c>
      <c r="E2265">
        <v>55</v>
      </c>
      <c r="F2265">
        <v>81</v>
      </c>
      <c r="G2265">
        <v>3549427</v>
      </c>
      <c r="H2265" t="s">
        <v>16615</v>
      </c>
      <c r="J2265" s="54" t="s">
        <v>6052</v>
      </c>
      <c r="K2265" s="54">
        <v>0</v>
      </c>
      <c r="L2265" s="22" t="s">
        <v>144</v>
      </c>
      <c r="M2265" s="22" t="s">
        <v>36987</v>
      </c>
    </row>
    <row r="2266" spans="1:13" x14ac:dyDescent="0.75">
      <c r="A2266" t="s">
        <v>14992</v>
      </c>
      <c r="B2266" t="s">
        <v>11985</v>
      </c>
      <c r="C2266" t="s">
        <v>11986</v>
      </c>
      <c r="D2266" t="s">
        <v>11987</v>
      </c>
      <c r="E2266" t="s">
        <v>13799</v>
      </c>
      <c r="F2266">
        <v>104</v>
      </c>
      <c r="G2266">
        <v>3406678</v>
      </c>
      <c r="H2266" t="s">
        <v>14993</v>
      </c>
      <c r="J2266" s="54" t="s">
        <v>6052</v>
      </c>
      <c r="K2266" s="54">
        <v>0</v>
      </c>
      <c r="L2266" s="22" t="s">
        <v>144</v>
      </c>
      <c r="M2266" s="22" t="s">
        <v>36987</v>
      </c>
    </row>
    <row r="2267" spans="1:13" x14ac:dyDescent="0.75">
      <c r="A2267" t="s">
        <v>20370</v>
      </c>
      <c r="B2267" t="s">
        <v>11985</v>
      </c>
      <c r="C2267" t="s">
        <v>11986</v>
      </c>
      <c r="D2267" t="s">
        <v>11987</v>
      </c>
      <c r="E2267" t="s">
        <v>20371</v>
      </c>
      <c r="F2267">
        <v>160</v>
      </c>
      <c r="G2267">
        <v>3590735</v>
      </c>
      <c r="H2267" t="s">
        <v>20372</v>
      </c>
      <c r="J2267" s="54" t="s">
        <v>6052</v>
      </c>
      <c r="K2267" s="54">
        <v>0</v>
      </c>
      <c r="L2267" s="22" t="s">
        <v>144</v>
      </c>
      <c r="M2267" s="22" t="s">
        <v>36987</v>
      </c>
    </row>
    <row r="2268" spans="1:13" x14ac:dyDescent="0.75">
      <c r="A2268" t="s">
        <v>12200</v>
      </c>
      <c r="B2268" t="s">
        <v>11985</v>
      </c>
      <c r="C2268" t="s">
        <v>11986</v>
      </c>
      <c r="D2268" t="s">
        <v>11987</v>
      </c>
      <c r="E2268" t="s">
        <v>12201</v>
      </c>
      <c r="F2268">
        <v>57</v>
      </c>
      <c r="G2268">
        <v>3505372</v>
      </c>
      <c r="H2268" t="s">
        <v>12202</v>
      </c>
      <c r="J2268" s="54" t="s">
        <v>6052</v>
      </c>
      <c r="K2268" s="54">
        <v>0</v>
      </c>
      <c r="L2268" s="22" t="s">
        <v>144</v>
      </c>
      <c r="M2268" s="22" t="s">
        <v>36987</v>
      </c>
    </row>
    <row r="2269" spans="1:13" x14ac:dyDescent="0.75">
      <c r="A2269" t="s">
        <v>11990</v>
      </c>
      <c r="B2269" t="s">
        <v>11985</v>
      </c>
      <c r="C2269" t="s">
        <v>11986</v>
      </c>
      <c r="D2269" t="s">
        <v>11987</v>
      </c>
      <c r="E2269" t="s">
        <v>11991</v>
      </c>
      <c r="F2269">
        <v>160</v>
      </c>
      <c r="G2269">
        <v>3598827</v>
      </c>
      <c r="H2269" t="s">
        <v>11992</v>
      </c>
      <c r="J2269" s="54" t="s">
        <v>6052</v>
      </c>
      <c r="K2269" s="54">
        <v>0</v>
      </c>
      <c r="L2269" s="22" t="s">
        <v>144</v>
      </c>
      <c r="M2269" s="22" t="s">
        <v>36987</v>
      </c>
    </row>
    <row r="2270" spans="1:13" x14ac:dyDescent="0.75">
      <c r="A2270" t="s">
        <v>11984</v>
      </c>
      <c r="B2270" t="s">
        <v>11985</v>
      </c>
      <c r="C2270" t="s">
        <v>11986</v>
      </c>
      <c r="D2270" t="s">
        <v>11987</v>
      </c>
      <c r="E2270" t="s">
        <v>11988</v>
      </c>
      <c r="F2270">
        <v>134</v>
      </c>
      <c r="G2270">
        <v>3486774</v>
      </c>
      <c r="H2270" t="s">
        <v>11989</v>
      </c>
      <c r="J2270" s="54" t="s">
        <v>6052</v>
      </c>
      <c r="K2270" s="54">
        <v>0</v>
      </c>
      <c r="L2270" s="22" t="s">
        <v>144</v>
      </c>
      <c r="M2270" s="22" t="s">
        <v>36987</v>
      </c>
    </row>
    <row r="2271" spans="1:13" x14ac:dyDescent="0.75">
      <c r="A2271" t="s">
        <v>24112</v>
      </c>
      <c r="B2271" t="s">
        <v>11985</v>
      </c>
      <c r="C2271" t="s">
        <v>11986</v>
      </c>
      <c r="D2271" t="s">
        <v>11987</v>
      </c>
      <c r="E2271" t="s">
        <v>24113</v>
      </c>
      <c r="F2271">
        <v>200</v>
      </c>
      <c r="G2271">
        <v>3883925</v>
      </c>
      <c r="H2271" t="s">
        <v>24114</v>
      </c>
      <c r="J2271" s="54" t="s">
        <v>6052</v>
      </c>
      <c r="K2271" s="54">
        <v>0</v>
      </c>
      <c r="L2271" s="22" t="s">
        <v>144</v>
      </c>
      <c r="M2271" s="22" t="s">
        <v>36987</v>
      </c>
    </row>
    <row r="2272" spans="1:13" x14ac:dyDescent="0.75">
      <c r="A2272" t="s">
        <v>24115</v>
      </c>
      <c r="B2272" t="s">
        <v>11985</v>
      </c>
      <c r="C2272" t="s">
        <v>11986</v>
      </c>
      <c r="D2272" t="s">
        <v>11987</v>
      </c>
      <c r="E2272" t="s">
        <v>24116</v>
      </c>
      <c r="F2272">
        <v>205</v>
      </c>
      <c r="G2272">
        <v>3642165</v>
      </c>
      <c r="H2272" t="s">
        <v>24117</v>
      </c>
      <c r="J2272" s="54" t="s">
        <v>6052</v>
      </c>
      <c r="K2272" s="54">
        <v>0</v>
      </c>
      <c r="L2272" s="22" t="s">
        <v>144</v>
      </c>
      <c r="M2272" s="22" t="s">
        <v>36987</v>
      </c>
    </row>
    <row r="2273" spans="1:13" x14ac:dyDescent="0.75">
      <c r="A2273" t="s">
        <v>24106</v>
      </c>
      <c r="B2273" t="s">
        <v>11985</v>
      </c>
      <c r="C2273" t="s">
        <v>11986</v>
      </c>
      <c r="D2273" t="s">
        <v>11987</v>
      </c>
      <c r="E2273" t="s">
        <v>24107</v>
      </c>
      <c r="F2273">
        <v>113</v>
      </c>
      <c r="G2273">
        <v>3447591</v>
      </c>
      <c r="H2273" t="s">
        <v>24108</v>
      </c>
      <c r="J2273" s="54" t="s">
        <v>6052</v>
      </c>
      <c r="K2273" s="54">
        <v>0</v>
      </c>
      <c r="L2273" s="22" t="s">
        <v>144</v>
      </c>
      <c r="M2273" s="22" t="s">
        <v>36987</v>
      </c>
    </row>
    <row r="2274" spans="1:13" x14ac:dyDescent="0.75">
      <c r="A2274" t="s">
        <v>24109</v>
      </c>
      <c r="B2274" t="s">
        <v>11985</v>
      </c>
      <c r="C2274" t="s">
        <v>11986</v>
      </c>
      <c r="D2274" t="s">
        <v>11987</v>
      </c>
      <c r="E2274" t="s">
        <v>24110</v>
      </c>
      <c r="F2274">
        <v>199</v>
      </c>
      <c r="G2274">
        <v>3452034</v>
      </c>
      <c r="H2274" t="s">
        <v>24111</v>
      </c>
      <c r="J2274" s="54" t="s">
        <v>6052</v>
      </c>
      <c r="K2274" s="54">
        <v>0</v>
      </c>
      <c r="L2274" s="22" t="s">
        <v>144</v>
      </c>
      <c r="M2274" s="22" t="s">
        <v>36987</v>
      </c>
    </row>
    <row r="2275" spans="1:13" x14ac:dyDescent="0.75">
      <c r="A2275" t="s">
        <v>24103</v>
      </c>
      <c r="B2275" t="s">
        <v>11985</v>
      </c>
      <c r="C2275" t="s">
        <v>11986</v>
      </c>
      <c r="D2275" t="s">
        <v>11987</v>
      </c>
      <c r="E2275" t="s">
        <v>24104</v>
      </c>
      <c r="F2275">
        <v>276</v>
      </c>
      <c r="G2275">
        <v>3685270</v>
      </c>
      <c r="H2275" t="s">
        <v>24105</v>
      </c>
      <c r="J2275" s="54" t="s">
        <v>6052</v>
      </c>
      <c r="K2275" s="54">
        <v>0</v>
      </c>
      <c r="L2275" s="22" t="s">
        <v>144</v>
      </c>
      <c r="M2275" s="22" t="s">
        <v>36987</v>
      </c>
    </row>
    <row r="2276" spans="1:13" x14ac:dyDescent="0.75">
      <c r="A2276" t="s">
        <v>24100</v>
      </c>
      <c r="B2276" t="s">
        <v>11985</v>
      </c>
      <c r="C2276" t="s">
        <v>11986</v>
      </c>
      <c r="D2276" t="s">
        <v>11987</v>
      </c>
      <c r="E2276" t="s">
        <v>24101</v>
      </c>
      <c r="F2276">
        <v>93</v>
      </c>
      <c r="G2276">
        <v>3379007</v>
      </c>
      <c r="H2276" t="s">
        <v>24102</v>
      </c>
      <c r="J2276" s="54" t="s">
        <v>6052</v>
      </c>
      <c r="K2276" s="54">
        <v>0</v>
      </c>
      <c r="L2276" s="22" t="s">
        <v>144</v>
      </c>
      <c r="M2276" s="22" t="s">
        <v>36987</v>
      </c>
    </row>
    <row r="2277" spans="1:13" x14ac:dyDescent="0.75">
      <c r="A2277" t="s">
        <v>24095</v>
      </c>
      <c r="B2277" t="s">
        <v>11985</v>
      </c>
      <c r="C2277" t="s">
        <v>11986</v>
      </c>
      <c r="D2277" t="s">
        <v>11987</v>
      </c>
      <c r="E2277" t="s">
        <v>24096</v>
      </c>
      <c r="F2277">
        <v>168</v>
      </c>
      <c r="G2277">
        <v>3626474</v>
      </c>
      <c r="H2277" t="s">
        <v>24097</v>
      </c>
      <c r="J2277" s="54" t="s">
        <v>6052</v>
      </c>
      <c r="K2277" s="54">
        <v>0</v>
      </c>
      <c r="L2277" s="22" t="s">
        <v>144</v>
      </c>
      <c r="M2277" s="22" t="s">
        <v>36987</v>
      </c>
    </row>
    <row r="2278" spans="1:13" x14ac:dyDescent="0.75">
      <c r="A2278" t="s">
        <v>24074</v>
      </c>
      <c r="B2278" t="s">
        <v>11985</v>
      </c>
      <c r="C2278" t="s">
        <v>11986</v>
      </c>
      <c r="D2278" t="s">
        <v>11987</v>
      </c>
      <c r="E2278" t="s">
        <v>24075</v>
      </c>
      <c r="F2278">
        <v>220</v>
      </c>
      <c r="G2278">
        <v>3626026</v>
      </c>
      <c r="H2278" t="s">
        <v>24076</v>
      </c>
      <c r="J2278" s="54" t="s">
        <v>6052</v>
      </c>
      <c r="K2278" s="54">
        <v>0</v>
      </c>
      <c r="L2278" s="22" t="s">
        <v>144</v>
      </c>
      <c r="M2278" s="22" t="s">
        <v>36987</v>
      </c>
    </row>
    <row r="2279" spans="1:13" x14ac:dyDescent="0.75">
      <c r="A2279" t="s">
        <v>24042</v>
      </c>
      <c r="B2279" t="s">
        <v>11985</v>
      </c>
      <c r="C2279" t="s">
        <v>11986</v>
      </c>
      <c r="D2279" t="s">
        <v>11987</v>
      </c>
      <c r="E2279" t="s">
        <v>24043</v>
      </c>
      <c r="F2279">
        <v>212</v>
      </c>
      <c r="G2279">
        <v>3565934</v>
      </c>
      <c r="H2279" t="s">
        <v>24044</v>
      </c>
      <c r="J2279" s="54" t="s">
        <v>6052</v>
      </c>
      <c r="K2279" s="54">
        <v>0</v>
      </c>
      <c r="L2279" s="22" t="s">
        <v>144</v>
      </c>
      <c r="M2279" s="22" t="s">
        <v>36987</v>
      </c>
    </row>
    <row r="2280" spans="1:13" x14ac:dyDescent="0.75">
      <c r="A2280" t="s">
        <v>24068</v>
      </c>
      <c r="B2280" t="s">
        <v>11985</v>
      </c>
      <c r="C2280" t="s">
        <v>11986</v>
      </c>
      <c r="D2280" t="s">
        <v>11987</v>
      </c>
      <c r="E2280" t="s">
        <v>24069</v>
      </c>
      <c r="F2280">
        <v>239</v>
      </c>
      <c r="G2280">
        <v>3592312</v>
      </c>
      <c r="H2280" t="s">
        <v>24070</v>
      </c>
      <c r="J2280" s="54" t="s">
        <v>6052</v>
      </c>
      <c r="K2280" s="54">
        <v>0</v>
      </c>
      <c r="L2280" s="22" t="s">
        <v>144</v>
      </c>
      <c r="M2280" s="22" t="s">
        <v>36987</v>
      </c>
    </row>
    <row r="2281" spans="1:13" x14ac:dyDescent="0.75">
      <c r="A2281" t="s">
        <v>24065</v>
      </c>
      <c r="B2281" t="s">
        <v>11985</v>
      </c>
      <c r="C2281" t="s">
        <v>11986</v>
      </c>
      <c r="D2281" t="s">
        <v>11987</v>
      </c>
      <c r="E2281" t="s">
        <v>24066</v>
      </c>
      <c r="F2281">
        <v>180</v>
      </c>
      <c r="G2281">
        <v>3578696</v>
      </c>
      <c r="H2281" t="s">
        <v>24067</v>
      </c>
      <c r="J2281" s="54" t="s">
        <v>6052</v>
      </c>
      <c r="K2281" s="54">
        <v>0</v>
      </c>
      <c r="L2281" s="22" t="s">
        <v>144</v>
      </c>
      <c r="M2281" s="22" t="s">
        <v>36987</v>
      </c>
    </row>
    <row r="2282" spans="1:13" x14ac:dyDescent="0.75">
      <c r="A2282" t="s">
        <v>24059</v>
      </c>
      <c r="B2282" t="s">
        <v>11985</v>
      </c>
      <c r="C2282" t="s">
        <v>11986</v>
      </c>
      <c r="D2282" t="s">
        <v>11987</v>
      </c>
      <c r="E2282" t="s">
        <v>24060</v>
      </c>
      <c r="F2282">
        <v>218</v>
      </c>
      <c r="G2282">
        <v>3645951</v>
      </c>
      <c r="H2282" t="s">
        <v>24061</v>
      </c>
      <c r="J2282" s="54" t="s">
        <v>6052</v>
      </c>
      <c r="K2282" s="54">
        <v>0</v>
      </c>
      <c r="L2282" s="22" t="s">
        <v>144</v>
      </c>
      <c r="M2282" s="22" t="s">
        <v>36987</v>
      </c>
    </row>
    <row r="2283" spans="1:13" x14ac:dyDescent="0.75">
      <c r="A2283" t="s">
        <v>24062</v>
      </c>
      <c r="B2283" t="s">
        <v>11985</v>
      </c>
      <c r="C2283" t="s">
        <v>11986</v>
      </c>
      <c r="D2283" t="s">
        <v>11987</v>
      </c>
      <c r="E2283" t="s">
        <v>24063</v>
      </c>
      <c r="F2283">
        <v>272</v>
      </c>
      <c r="G2283">
        <v>3566065</v>
      </c>
      <c r="H2283" t="s">
        <v>24064</v>
      </c>
      <c r="J2283" s="54" t="s">
        <v>6052</v>
      </c>
      <c r="K2283" s="54">
        <v>0</v>
      </c>
      <c r="L2283" s="22" t="s">
        <v>144</v>
      </c>
      <c r="M2283" s="22" t="s">
        <v>36987</v>
      </c>
    </row>
    <row r="2284" spans="1:13" x14ac:dyDescent="0.75">
      <c r="A2284" t="s">
        <v>24048</v>
      </c>
      <c r="B2284" t="s">
        <v>11985</v>
      </c>
      <c r="C2284" t="s">
        <v>11986</v>
      </c>
      <c r="D2284" t="s">
        <v>11987</v>
      </c>
      <c r="E2284" t="s">
        <v>24049</v>
      </c>
      <c r="F2284">
        <v>183</v>
      </c>
      <c r="G2284">
        <v>3521846</v>
      </c>
      <c r="H2284" t="s">
        <v>24050</v>
      </c>
      <c r="J2284" s="54" t="s">
        <v>6052</v>
      </c>
      <c r="K2284" s="54">
        <v>0</v>
      </c>
      <c r="L2284" s="22" t="s">
        <v>144</v>
      </c>
      <c r="M2284" s="22" t="s">
        <v>36987</v>
      </c>
    </row>
    <row r="2285" spans="1:13" x14ac:dyDescent="0.75">
      <c r="A2285" t="s">
        <v>24054</v>
      </c>
      <c r="B2285" t="s">
        <v>11985</v>
      </c>
      <c r="C2285" t="s">
        <v>11986</v>
      </c>
      <c r="D2285" t="s">
        <v>11987</v>
      </c>
      <c r="E2285" t="s">
        <v>24055</v>
      </c>
      <c r="F2285">
        <v>256</v>
      </c>
      <c r="G2285">
        <v>3534568</v>
      </c>
      <c r="H2285" t="s">
        <v>24056</v>
      </c>
      <c r="J2285" s="54" t="s">
        <v>6052</v>
      </c>
      <c r="K2285" s="54">
        <v>0</v>
      </c>
      <c r="L2285" s="22" t="s">
        <v>144</v>
      </c>
      <c r="M2285" s="22" t="s">
        <v>36987</v>
      </c>
    </row>
    <row r="2286" spans="1:13" x14ac:dyDescent="0.75">
      <c r="A2286" t="s">
        <v>24051</v>
      </c>
      <c r="B2286" t="s">
        <v>11985</v>
      </c>
      <c r="C2286" t="s">
        <v>11986</v>
      </c>
      <c r="D2286" t="s">
        <v>11987</v>
      </c>
      <c r="E2286" t="s">
        <v>24052</v>
      </c>
      <c r="F2286">
        <v>277</v>
      </c>
      <c r="G2286">
        <v>3551991</v>
      </c>
      <c r="H2286" t="s">
        <v>24053</v>
      </c>
      <c r="J2286" s="54" t="s">
        <v>6052</v>
      </c>
      <c r="K2286" s="54">
        <v>0</v>
      </c>
      <c r="L2286" s="22" t="s">
        <v>144</v>
      </c>
      <c r="M2286" s="22" t="s">
        <v>36987</v>
      </c>
    </row>
    <row r="2287" spans="1:13" x14ac:dyDescent="0.75">
      <c r="A2287" t="s">
        <v>24030</v>
      </c>
      <c r="B2287" t="s">
        <v>11985</v>
      </c>
      <c r="C2287" t="s">
        <v>11986</v>
      </c>
      <c r="D2287" t="s">
        <v>11987</v>
      </c>
      <c r="E2287" t="s">
        <v>24031</v>
      </c>
      <c r="F2287">
        <v>224</v>
      </c>
      <c r="G2287">
        <v>3640788</v>
      </c>
      <c r="H2287" t="s">
        <v>24032</v>
      </c>
      <c r="J2287" s="54" t="s">
        <v>6052</v>
      </c>
      <c r="K2287" s="54">
        <v>0</v>
      </c>
      <c r="L2287" s="22" t="s">
        <v>144</v>
      </c>
      <c r="M2287" s="22" t="s">
        <v>36987</v>
      </c>
    </row>
    <row r="2288" spans="1:13" x14ac:dyDescent="0.75">
      <c r="A2288" t="s">
        <v>24027</v>
      </c>
      <c r="B2288" t="s">
        <v>11985</v>
      </c>
      <c r="C2288" t="s">
        <v>11986</v>
      </c>
      <c r="D2288" t="s">
        <v>11987</v>
      </c>
      <c r="E2288" t="s">
        <v>24028</v>
      </c>
      <c r="F2288">
        <v>190</v>
      </c>
      <c r="G2288">
        <v>3438131</v>
      </c>
      <c r="H2288" t="s">
        <v>24029</v>
      </c>
      <c r="J2288" s="54" t="s">
        <v>6052</v>
      </c>
      <c r="K2288" s="54">
        <v>0</v>
      </c>
      <c r="L2288" s="22" t="s">
        <v>144</v>
      </c>
      <c r="M2288" s="22" t="s">
        <v>36987</v>
      </c>
    </row>
    <row r="2289" spans="1:13" x14ac:dyDescent="0.75">
      <c r="A2289" t="s">
        <v>24021</v>
      </c>
      <c r="B2289" t="s">
        <v>11985</v>
      </c>
      <c r="C2289" t="s">
        <v>11986</v>
      </c>
      <c r="D2289" t="s">
        <v>11987</v>
      </c>
      <c r="E2289" t="s">
        <v>24022</v>
      </c>
      <c r="F2289">
        <v>221</v>
      </c>
      <c r="G2289">
        <v>3675374</v>
      </c>
      <c r="H2289" t="s">
        <v>24023</v>
      </c>
      <c r="J2289" s="54" t="s">
        <v>6052</v>
      </c>
      <c r="K2289" s="54">
        <v>0</v>
      </c>
      <c r="L2289" s="22" t="s">
        <v>144</v>
      </c>
      <c r="M2289" s="22" t="s">
        <v>36987</v>
      </c>
    </row>
    <row r="2290" spans="1:13" x14ac:dyDescent="0.75">
      <c r="A2290" t="s">
        <v>24018</v>
      </c>
      <c r="B2290" t="s">
        <v>11985</v>
      </c>
      <c r="C2290" t="s">
        <v>11986</v>
      </c>
      <c r="D2290" t="s">
        <v>11987</v>
      </c>
      <c r="E2290" t="s">
        <v>24019</v>
      </c>
      <c r="F2290">
        <v>185</v>
      </c>
      <c r="G2290">
        <v>3625388</v>
      </c>
      <c r="H2290" t="s">
        <v>24020</v>
      </c>
      <c r="J2290" s="54" t="s">
        <v>6052</v>
      </c>
      <c r="K2290" s="54">
        <v>0</v>
      </c>
      <c r="L2290" s="22" t="s">
        <v>144</v>
      </c>
      <c r="M2290" s="22" t="s">
        <v>36987</v>
      </c>
    </row>
    <row r="2291" spans="1:13" x14ac:dyDescent="0.75">
      <c r="A2291" t="s">
        <v>24015</v>
      </c>
      <c r="B2291" t="s">
        <v>11985</v>
      </c>
      <c r="C2291" t="s">
        <v>11986</v>
      </c>
      <c r="D2291" t="s">
        <v>11987</v>
      </c>
      <c r="E2291" t="s">
        <v>24016</v>
      </c>
      <c r="F2291">
        <v>240</v>
      </c>
      <c r="G2291">
        <v>3774104</v>
      </c>
      <c r="H2291" t="s">
        <v>24017</v>
      </c>
      <c r="J2291" s="54" t="s">
        <v>6052</v>
      </c>
      <c r="K2291" s="54">
        <v>0</v>
      </c>
      <c r="L2291" s="22" t="s">
        <v>144</v>
      </c>
      <c r="M2291" s="22" t="s">
        <v>36987</v>
      </c>
    </row>
    <row r="2292" spans="1:13" x14ac:dyDescent="0.75">
      <c r="A2292" t="s">
        <v>23991</v>
      </c>
      <c r="B2292" t="s">
        <v>11985</v>
      </c>
      <c r="C2292" t="s">
        <v>11986</v>
      </c>
      <c r="D2292" t="s">
        <v>11987</v>
      </c>
      <c r="E2292" t="s">
        <v>23992</v>
      </c>
      <c r="F2292">
        <v>224</v>
      </c>
      <c r="G2292">
        <v>3615690</v>
      </c>
      <c r="H2292" t="s">
        <v>23993</v>
      </c>
      <c r="J2292" s="54" t="s">
        <v>6052</v>
      </c>
      <c r="K2292" s="54">
        <v>0</v>
      </c>
      <c r="L2292" s="22" t="s">
        <v>144</v>
      </c>
      <c r="M2292" s="22" t="s">
        <v>36987</v>
      </c>
    </row>
    <row r="2293" spans="1:13" x14ac:dyDescent="0.75">
      <c r="A2293" t="s">
        <v>23985</v>
      </c>
      <c r="B2293" t="s">
        <v>11985</v>
      </c>
      <c r="C2293" t="s">
        <v>11986</v>
      </c>
      <c r="D2293" t="s">
        <v>11987</v>
      </c>
      <c r="E2293" t="s">
        <v>23986</v>
      </c>
      <c r="F2293">
        <v>126</v>
      </c>
      <c r="G2293">
        <v>3432491</v>
      </c>
      <c r="H2293" t="s">
        <v>23987</v>
      </c>
      <c r="J2293" s="54" t="s">
        <v>6052</v>
      </c>
      <c r="K2293" s="54">
        <v>0</v>
      </c>
      <c r="L2293" s="22" t="s">
        <v>144</v>
      </c>
      <c r="M2293" s="22" t="s">
        <v>36987</v>
      </c>
    </row>
    <row r="2294" spans="1:13" x14ac:dyDescent="0.75">
      <c r="A2294" t="s">
        <v>14743</v>
      </c>
      <c r="B2294" t="s">
        <v>11985</v>
      </c>
      <c r="C2294" t="s">
        <v>11986</v>
      </c>
      <c r="D2294" t="s">
        <v>11987</v>
      </c>
      <c r="E2294" t="s">
        <v>14744</v>
      </c>
      <c r="F2294">
        <v>3</v>
      </c>
      <c r="G2294">
        <v>3679573</v>
      </c>
      <c r="H2294" t="s">
        <v>14745</v>
      </c>
      <c r="J2294" s="54" t="s">
        <v>6052</v>
      </c>
      <c r="K2294" s="54">
        <v>0</v>
      </c>
      <c r="L2294" s="22" t="s">
        <v>144</v>
      </c>
      <c r="M2294" s="22" t="s">
        <v>36987</v>
      </c>
    </row>
    <row r="2295" spans="1:13" x14ac:dyDescent="0.75">
      <c r="A2295" t="s">
        <v>13340</v>
      </c>
      <c r="B2295" t="s">
        <v>8454</v>
      </c>
      <c r="C2295" t="s">
        <v>8455</v>
      </c>
      <c r="D2295" t="s">
        <v>8456</v>
      </c>
      <c r="E2295" t="s">
        <v>13341</v>
      </c>
      <c r="F2295">
        <v>3</v>
      </c>
      <c r="G2295">
        <v>2121027</v>
      </c>
      <c r="H2295" t="s">
        <v>13342</v>
      </c>
      <c r="J2295" s="54" t="s">
        <v>6052</v>
      </c>
      <c r="K2295" s="54">
        <v>0</v>
      </c>
      <c r="L2295" s="22" t="s">
        <v>36807</v>
      </c>
      <c r="M2295" s="22" t="s">
        <v>36988</v>
      </c>
    </row>
    <row r="2296" spans="1:13" x14ac:dyDescent="0.75">
      <c r="A2296" t="s">
        <v>17081</v>
      </c>
      <c r="B2296" t="s">
        <v>8454</v>
      </c>
      <c r="C2296" t="s">
        <v>8455</v>
      </c>
      <c r="D2296" t="s">
        <v>8456</v>
      </c>
      <c r="E2296" t="s">
        <v>17082</v>
      </c>
      <c r="F2296">
        <v>1</v>
      </c>
      <c r="G2296">
        <v>2082055</v>
      </c>
      <c r="H2296" t="s">
        <v>17083</v>
      </c>
      <c r="J2296" s="54" t="s">
        <v>6052</v>
      </c>
      <c r="K2296" s="54">
        <v>0</v>
      </c>
      <c r="L2296" s="22" t="s">
        <v>36807</v>
      </c>
      <c r="M2296" s="22" t="s">
        <v>36988</v>
      </c>
    </row>
    <row r="2297" spans="1:13" x14ac:dyDescent="0.75">
      <c r="A2297" t="s">
        <v>28722</v>
      </c>
      <c r="B2297" t="s">
        <v>8454</v>
      </c>
      <c r="C2297" t="s">
        <v>8455</v>
      </c>
      <c r="D2297" t="s">
        <v>8456</v>
      </c>
      <c r="E2297" t="s">
        <v>28723</v>
      </c>
      <c r="F2297">
        <v>34</v>
      </c>
      <c r="G2297">
        <v>1900920</v>
      </c>
      <c r="H2297" t="s">
        <v>28724</v>
      </c>
      <c r="J2297" s="54" t="s">
        <v>6052</v>
      </c>
      <c r="K2297" s="54">
        <v>0</v>
      </c>
      <c r="L2297" s="22" t="s">
        <v>36807</v>
      </c>
      <c r="M2297" s="22" t="s">
        <v>36988</v>
      </c>
    </row>
    <row r="2298" spans="1:13" x14ac:dyDescent="0.75">
      <c r="A2298" t="s">
        <v>8453</v>
      </c>
      <c r="B2298" t="s">
        <v>8454</v>
      </c>
      <c r="C2298" t="s">
        <v>8455</v>
      </c>
      <c r="D2298" t="s">
        <v>8456</v>
      </c>
      <c r="E2298" t="s">
        <v>8457</v>
      </c>
      <c r="F2298">
        <v>16</v>
      </c>
      <c r="G2298">
        <v>1862135</v>
      </c>
      <c r="H2298" t="s">
        <v>8458</v>
      </c>
      <c r="J2298" s="54" t="s">
        <v>6052</v>
      </c>
      <c r="K2298" s="54">
        <v>0</v>
      </c>
      <c r="L2298" s="22" t="s">
        <v>36807</v>
      </c>
      <c r="M2298" s="22" t="s">
        <v>36988</v>
      </c>
    </row>
    <row r="2299" spans="1:13" x14ac:dyDescent="0.75">
      <c r="A2299" t="s">
        <v>30100</v>
      </c>
      <c r="B2299" t="s">
        <v>8454</v>
      </c>
      <c r="C2299" t="s">
        <v>8455</v>
      </c>
      <c r="D2299" t="s">
        <v>8456</v>
      </c>
      <c r="E2299" t="s">
        <v>30101</v>
      </c>
      <c r="F2299">
        <v>19</v>
      </c>
      <c r="G2299">
        <v>1764027</v>
      </c>
      <c r="H2299" t="s">
        <v>30102</v>
      </c>
      <c r="J2299" s="54" t="s">
        <v>6052</v>
      </c>
      <c r="K2299" s="54">
        <v>0</v>
      </c>
      <c r="L2299" s="22" t="s">
        <v>36807</v>
      </c>
      <c r="M2299" s="22" t="s">
        <v>36988</v>
      </c>
    </row>
    <row r="2300" spans="1:13" x14ac:dyDescent="0.75">
      <c r="A2300" t="s">
        <v>15216</v>
      </c>
      <c r="B2300" t="s">
        <v>8454</v>
      </c>
      <c r="C2300" t="s">
        <v>8455</v>
      </c>
      <c r="D2300" t="s">
        <v>8456</v>
      </c>
      <c r="E2300" t="s">
        <v>15217</v>
      </c>
      <c r="F2300">
        <v>1</v>
      </c>
      <c r="G2300">
        <v>1890416</v>
      </c>
      <c r="H2300" t="s">
        <v>15218</v>
      </c>
      <c r="J2300" s="54" t="s">
        <v>6052</v>
      </c>
      <c r="K2300" s="54">
        <v>0</v>
      </c>
      <c r="L2300" s="22" t="s">
        <v>36807</v>
      </c>
      <c r="M2300" s="22" t="s">
        <v>36988</v>
      </c>
    </row>
    <row r="2301" spans="1:13" x14ac:dyDescent="0.75">
      <c r="A2301" t="s">
        <v>15240</v>
      </c>
      <c r="B2301" t="s">
        <v>8454</v>
      </c>
      <c r="C2301" t="s">
        <v>8455</v>
      </c>
      <c r="D2301" t="s">
        <v>8456</v>
      </c>
      <c r="E2301" t="s">
        <v>15241</v>
      </c>
      <c r="F2301">
        <v>85</v>
      </c>
      <c r="G2301">
        <v>1859258</v>
      </c>
      <c r="H2301" t="s">
        <v>15242</v>
      </c>
      <c r="J2301" s="54" t="s">
        <v>6052</v>
      </c>
      <c r="K2301" s="54">
        <v>0</v>
      </c>
      <c r="L2301" s="22" t="s">
        <v>36807</v>
      </c>
      <c r="M2301" s="22" t="s">
        <v>36988</v>
      </c>
    </row>
    <row r="2302" spans="1:13" x14ac:dyDescent="0.75">
      <c r="A2302" t="s">
        <v>15237</v>
      </c>
      <c r="B2302" t="s">
        <v>8454</v>
      </c>
      <c r="C2302" t="s">
        <v>8455</v>
      </c>
      <c r="D2302" t="s">
        <v>8456</v>
      </c>
      <c r="E2302" t="s">
        <v>15238</v>
      </c>
      <c r="F2302">
        <v>109</v>
      </c>
      <c r="G2302">
        <v>1886398</v>
      </c>
      <c r="H2302" t="s">
        <v>15239</v>
      </c>
      <c r="J2302" s="54" t="s">
        <v>6052</v>
      </c>
      <c r="K2302" s="54">
        <v>0</v>
      </c>
      <c r="L2302" s="22" t="s">
        <v>36807</v>
      </c>
      <c r="M2302" s="22" t="s">
        <v>36988</v>
      </c>
    </row>
    <row r="2303" spans="1:13" x14ac:dyDescent="0.75">
      <c r="A2303" t="s">
        <v>15234</v>
      </c>
      <c r="B2303" t="s">
        <v>8454</v>
      </c>
      <c r="C2303" t="s">
        <v>8455</v>
      </c>
      <c r="D2303" t="s">
        <v>8456</v>
      </c>
      <c r="E2303" t="s">
        <v>15235</v>
      </c>
      <c r="F2303">
        <v>95</v>
      </c>
      <c r="G2303">
        <v>2014679</v>
      </c>
      <c r="H2303" t="s">
        <v>15236</v>
      </c>
      <c r="J2303" s="54" t="s">
        <v>6052</v>
      </c>
      <c r="K2303" s="54">
        <v>0</v>
      </c>
      <c r="L2303" s="22" t="s">
        <v>36807</v>
      </c>
      <c r="M2303" s="22" t="s">
        <v>36988</v>
      </c>
    </row>
    <row r="2304" spans="1:13" x14ac:dyDescent="0.75">
      <c r="A2304" t="s">
        <v>15231</v>
      </c>
      <c r="B2304" t="s">
        <v>8454</v>
      </c>
      <c r="C2304" t="s">
        <v>8455</v>
      </c>
      <c r="D2304" t="s">
        <v>8456</v>
      </c>
      <c r="E2304" t="s">
        <v>15232</v>
      </c>
      <c r="F2304">
        <v>75</v>
      </c>
      <c r="G2304">
        <v>1934436</v>
      </c>
      <c r="H2304" t="s">
        <v>15233</v>
      </c>
      <c r="J2304" s="54" t="s">
        <v>6052</v>
      </c>
      <c r="K2304" s="54">
        <v>0</v>
      </c>
      <c r="L2304" s="22" t="s">
        <v>36807</v>
      </c>
      <c r="M2304" s="22" t="s">
        <v>36988</v>
      </c>
    </row>
    <row r="2305" spans="1:13" x14ac:dyDescent="0.75">
      <c r="A2305" t="s">
        <v>15228</v>
      </c>
      <c r="B2305" t="s">
        <v>8454</v>
      </c>
      <c r="C2305" t="s">
        <v>8455</v>
      </c>
      <c r="D2305" t="s">
        <v>8456</v>
      </c>
      <c r="E2305" t="s">
        <v>15229</v>
      </c>
      <c r="F2305">
        <v>36</v>
      </c>
      <c r="G2305">
        <v>1861299</v>
      </c>
      <c r="H2305" t="s">
        <v>15230</v>
      </c>
      <c r="J2305" s="54" t="s">
        <v>6052</v>
      </c>
      <c r="K2305" s="54">
        <v>0</v>
      </c>
      <c r="L2305" s="22" t="s">
        <v>36807</v>
      </c>
      <c r="M2305" s="22" t="s">
        <v>36988</v>
      </c>
    </row>
    <row r="2306" spans="1:13" x14ac:dyDescent="0.75">
      <c r="A2306" t="s">
        <v>15225</v>
      </c>
      <c r="B2306" t="s">
        <v>8454</v>
      </c>
      <c r="C2306" t="s">
        <v>8455</v>
      </c>
      <c r="D2306" t="s">
        <v>8456</v>
      </c>
      <c r="E2306" t="s">
        <v>15226</v>
      </c>
      <c r="F2306">
        <v>107</v>
      </c>
      <c r="G2306">
        <v>1976602</v>
      </c>
      <c r="H2306" t="s">
        <v>15227</v>
      </c>
      <c r="J2306" s="54" t="s">
        <v>6052</v>
      </c>
      <c r="K2306" s="54">
        <v>0</v>
      </c>
      <c r="L2306" s="22" t="s">
        <v>36807</v>
      </c>
      <c r="M2306" s="22" t="s">
        <v>36988</v>
      </c>
    </row>
    <row r="2307" spans="1:13" x14ac:dyDescent="0.75">
      <c r="A2307" t="s">
        <v>15222</v>
      </c>
      <c r="B2307" t="s">
        <v>8454</v>
      </c>
      <c r="C2307" t="s">
        <v>8455</v>
      </c>
      <c r="D2307" t="s">
        <v>8456</v>
      </c>
      <c r="E2307" t="s">
        <v>15223</v>
      </c>
      <c r="F2307">
        <v>75</v>
      </c>
      <c r="G2307">
        <v>1873869</v>
      </c>
      <c r="H2307" t="s">
        <v>15224</v>
      </c>
      <c r="J2307" s="54" t="s">
        <v>6052</v>
      </c>
      <c r="K2307" s="54">
        <v>0</v>
      </c>
      <c r="L2307" s="22" t="s">
        <v>36807</v>
      </c>
      <c r="M2307" s="22" t="s">
        <v>36988</v>
      </c>
    </row>
    <row r="2308" spans="1:13" x14ac:dyDescent="0.75">
      <c r="A2308" t="s">
        <v>15219</v>
      </c>
      <c r="B2308" t="s">
        <v>8454</v>
      </c>
      <c r="C2308" t="s">
        <v>8455</v>
      </c>
      <c r="D2308" t="s">
        <v>8456</v>
      </c>
      <c r="E2308" t="s">
        <v>15220</v>
      </c>
      <c r="F2308">
        <v>66</v>
      </c>
      <c r="G2308">
        <v>1893917</v>
      </c>
      <c r="H2308" t="s">
        <v>15221</v>
      </c>
      <c r="J2308" s="54" t="s">
        <v>6052</v>
      </c>
      <c r="K2308" s="54">
        <v>0</v>
      </c>
      <c r="L2308" s="22" t="s">
        <v>36807</v>
      </c>
      <c r="M2308" s="22" t="s">
        <v>36988</v>
      </c>
    </row>
    <row r="2309" spans="1:13" x14ac:dyDescent="0.75">
      <c r="A2309" t="s">
        <v>20558</v>
      </c>
      <c r="B2309" t="s">
        <v>8454</v>
      </c>
      <c r="C2309" t="s">
        <v>8455</v>
      </c>
      <c r="D2309" t="s">
        <v>8456</v>
      </c>
      <c r="E2309" t="s">
        <v>20559</v>
      </c>
      <c r="F2309">
        <v>1</v>
      </c>
      <c r="G2309">
        <v>1958196</v>
      </c>
      <c r="H2309" t="s">
        <v>20560</v>
      </c>
      <c r="J2309" s="54" t="s">
        <v>6052</v>
      </c>
      <c r="K2309" s="54">
        <v>0</v>
      </c>
      <c r="L2309" s="22" t="s">
        <v>36807</v>
      </c>
      <c r="M2309" s="22" t="s">
        <v>36988</v>
      </c>
    </row>
    <row r="2310" spans="1:13" x14ac:dyDescent="0.75">
      <c r="A2310" t="s">
        <v>20555</v>
      </c>
      <c r="B2310" t="s">
        <v>8454</v>
      </c>
      <c r="C2310" t="s">
        <v>8455</v>
      </c>
      <c r="D2310" t="s">
        <v>8456</v>
      </c>
      <c r="E2310" t="s">
        <v>20556</v>
      </c>
      <c r="F2310">
        <v>1</v>
      </c>
      <c r="G2310">
        <v>1885610</v>
      </c>
      <c r="H2310" t="s">
        <v>20557</v>
      </c>
      <c r="J2310" s="54" t="s">
        <v>6052</v>
      </c>
      <c r="K2310" s="54">
        <v>0</v>
      </c>
      <c r="L2310" s="22" t="s">
        <v>36807</v>
      </c>
      <c r="M2310" s="22" t="s">
        <v>36988</v>
      </c>
    </row>
    <row r="2311" spans="1:13" x14ac:dyDescent="0.75">
      <c r="A2311" t="s">
        <v>20552</v>
      </c>
      <c r="B2311" t="s">
        <v>8454</v>
      </c>
      <c r="C2311" t="s">
        <v>8455</v>
      </c>
      <c r="D2311" t="s">
        <v>8456</v>
      </c>
      <c r="E2311" t="s">
        <v>20553</v>
      </c>
      <c r="F2311">
        <v>1</v>
      </c>
      <c r="G2311">
        <v>2043806</v>
      </c>
      <c r="H2311" t="s">
        <v>20554</v>
      </c>
      <c r="J2311" s="54" t="s">
        <v>6052</v>
      </c>
      <c r="K2311" s="54">
        <v>0</v>
      </c>
      <c r="L2311" s="22" t="s">
        <v>36807</v>
      </c>
      <c r="M2311" s="22" t="s">
        <v>36988</v>
      </c>
    </row>
    <row r="2312" spans="1:13" x14ac:dyDescent="0.75">
      <c r="A2312" t="s">
        <v>20549</v>
      </c>
      <c r="B2312" t="s">
        <v>8454</v>
      </c>
      <c r="C2312" t="s">
        <v>8455</v>
      </c>
      <c r="D2312" t="s">
        <v>8456</v>
      </c>
      <c r="E2312" t="s">
        <v>20550</v>
      </c>
      <c r="F2312">
        <v>1</v>
      </c>
      <c r="G2312">
        <v>2001464</v>
      </c>
      <c r="H2312" t="s">
        <v>20551</v>
      </c>
      <c r="J2312" s="54" t="s">
        <v>6052</v>
      </c>
      <c r="K2312" s="54">
        <v>0</v>
      </c>
      <c r="L2312" s="22" t="s">
        <v>36807</v>
      </c>
      <c r="M2312" s="22" t="s">
        <v>36988</v>
      </c>
    </row>
    <row r="2313" spans="1:13" x14ac:dyDescent="0.75">
      <c r="A2313" t="s">
        <v>20546</v>
      </c>
      <c r="B2313" t="s">
        <v>8454</v>
      </c>
      <c r="C2313" t="s">
        <v>8455</v>
      </c>
      <c r="D2313" t="s">
        <v>8456</v>
      </c>
      <c r="E2313" t="s">
        <v>20547</v>
      </c>
      <c r="F2313">
        <v>1</v>
      </c>
      <c r="G2313">
        <v>1878426</v>
      </c>
      <c r="H2313" t="s">
        <v>20548</v>
      </c>
      <c r="J2313" s="54" t="s">
        <v>6052</v>
      </c>
      <c r="K2313" s="54">
        <v>0</v>
      </c>
      <c r="L2313" s="22" t="s">
        <v>36807</v>
      </c>
      <c r="M2313" s="22" t="s">
        <v>36988</v>
      </c>
    </row>
    <row r="2314" spans="1:13" x14ac:dyDescent="0.75">
      <c r="A2314" t="s">
        <v>20543</v>
      </c>
      <c r="B2314" t="s">
        <v>8454</v>
      </c>
      <c r="C2314" t="s">
        <v>8455</v>
      </c>
      <c r="D2314" t="s">
        <v>8456</v>
      </c>
      <c r="E2314" t="s">
        <v>20544</v>
      </c>
      <c r="F2314">
        <v>1</v>
      </c>
      <c r="G2314">
        <v>1977296</v>
      </c>
      <c r="H2314" t="s">
        <v>20545</v>
      </c>
      <c r="J2314" s="54" t="s">
        <v>6052</v>
      </c>
      <c r="K2314" s="54">
        <v>0</v>
      </c>
      <c r="L2314" s="22" t="s">
        <v>36807</v>
      </c>
      <c r="M2314" s="22" t="s">
        <v>36988</v>
      </c>
    </row>
    <row r="2315" spans="1:13" x14ac:dyDescent="0.75">
      <c r="A2315" t="s">
        <v>20537</v>
      </c>
      <c r="B2315" t="s">
        <v>8454</v>
      </c>
      <c r="C2315" t="s">
        <v>8455</v>
      </c>
      <c r="D2315" t="s">
        <v>8456</v>
      </c>
      <c r="E2315" t="s">
        <v>20538</v>
      </c>
      <c r="F2315">
        <v>1</v>
      </c>
      <c r="G2315">
        <v>1883862</v>
      </c>
      <c r="H2315" t="s">
        <v>20539</v>
      </c>
      <c r="J2315" s="54" t="s">
        <v>6052</v>
      </c>
      <c r="K2315" s="54">
        <v>0</v>
      </c>
      <c r="L2315" s="22" t="s">
        <v>36807</v>
      </c>
      <c r="M2315" s="22" t="s">
        <v>36988</v>
      </c>
    </row>
    <row r="2316" spans="1:13" x14ac:dyDescent="0.75">
      <c r="A2316" t="s">
        <v>20534</v>
      </c>
      <c r="B2316" t="s">
        <v>8454</v>
      </c>
      <c r="C2316" t="s">
        <v>8455</v>
      </c>
      <c r="D2316" t="s">
        <v>8456</v>
      </c>
      <c r="E2316" t="s">
        <v>20535</v>
      </c>
      <c r="F2316">
        <v>1</v>
      </c>
      <c r="G2316">
        <v>1957024</v>
      </c>
      <c r="H2316" t="s">
        <v>20536</v>
      </c>
      <c r="J2316" s="54" t="s">
        <v>6052</v>
      </c>
      <c r="K2316" s="54">
        <v>0</v>
      </c>
      <c r="L2316" s="22" t="s">
        <v>36807</v>
      </c>
      <c r="M2316" s="22" t="s">
        <v>36988</v>
      </c>
    </row>
    <row r="2317" spans="1:13" x14ac:dyDescent="0.75">
      <c r="A2317" t="s">
        <v>20531</v>
      </c>
      <c r="B2317" t="s">
        <v>8454</v>
      </c>
      <c r="C2317" t="s">
        <v>8455</v>
      </c>
      <c r="D2317" t="s">
        <v>8456</v>
      </c>
      <c r="E2317" t="s">
        <v>20532</v>
      </c>
      <c r="F2317">
        <v>1</v>
      </c>
      <c r="G2317">
        <v>1906822</v>
      </c>
      <c r="H2317" t="s">
        <v>20533</v>
      </c>
      <c r="J2317" s="54" t="s">
        <v>6052</v>
      </c>
      <c r="K2317" s="54">
        <v>0</v>
      </c>
      <c r="L2317" s="22" t="s">
        <v>36807</v>
      </c>
      <c r="M2317" s="22" t="s">
        <v>36988</v>
      </c>
    </row>
    <row r="2318" spans="1:13" x14ac:dyDescent="0.75">
      <c r="A2318" t="s">
        <v>20528</v>
      </c>
      <c r="B2318" t="s">
        <v>8454</v>
      </c>
      <c r="C2318" t="s">
        <v>8455</v>
      </c>
      <c r="D2318" t="s">
        <v>8456</v>
      </c>
      <c r="E2318" t="s">
        <v>20529</v>
      </c>
      <c r="F2318">
        <v>1</v>
      </c>
      <c r="G2318">
        <v>1864691</v>
      </c>
      <c r="H2318" t="s">
        <v>20530</v>
      </c>
      <c r="J2318" s="54" t="s">
        <v>6052</v>
      </c>
      <c r="K2318" s="54">
        <v>0</v>
      </c>
      <c r="L2318" s="22" t="s">
        <v>36807</v>
      </c>
      <c r="M2318" s="22" t="s">
        <v>36988</v>
      </c>
    </row>
    <row r="2319" spans="1:13" x14ac:dyDescent="0.75">
      <c r="A2319" t="s">
        <v>20522</v>
      </c>
      <c r="B2319" t="s">
        <v>8454</v>
      </c>
      <c r="C2319" t="s">
        <v>8455</v>
      </c>
      <c r="D2319" t="s">
        <v>8456</v>
      </c>
      <c r="E2319" t="s">
        <v>20523</v>
      </c>
      <c r="F2319">
        <v>1</v>
      </c>
      <c r="G2319">
        <v>2009643</v>
      </c>
      <c r="H2319" t="s">
        <v>20524</v>
      </c>
      <c r="J2319" s="54" t="s">
        <v>6052</v>
      </c>
      <c r="K2319" s="54">
        <v>0</v>
      </c>
      <c r="L2319" s="22" t="s">
        <v>36807</v>
      </c>
      <c r="M2319" s="22" t="s">
        <v>36988</v>
      </c>
    </row>
    <row r="2320" spans="1:13" x14ac:dyDescent="0.75">
      <c r="A2320" t="s">
        <v>20540</v>
      </c>
      <c r="B2320" t="s">
        <v>8454</v>
      </c>
      <c r="C2320" t="s">
        <v>8455</v>
      </c>
      <c r="D2320" t="s">
        <v>8456</v>
      </c>
      <c r="E2320" t="s">
        <v>20541</v>
      </c>
      <c r="F2320">
        <v>1</v>
      </c>
      <c r="G2320">
        <v>1946134</v>
      </c>
      <c r="H2320" t="s">
        <v>20542</v>
      </c>
      <c r="J2320" s="54" t="s">
        <v>6052</v>
      </c>
      <c r="K2320" s="54">
        <v>0</v>
      </c>
      <c r="L2320" s="22" t="s">
        <v>36807</v>
      </c>
      <c r="M2320" s="22" t="s">
        <v>36988</v>
      </c>
    </row>
    <row r="2321" spans="1:13" x14ac:dyDescent="0.75">
      <c r="A2321" t="s">
        <v>20519</v>
      </c>
      <c r="B2321" t="s">
        <v>8454</v>
      </c>
      <c r="C2321" t="s">
        <v>8455</v>
      </c>
      <c r="D2321" t="s">
        <v>8456</v>
      </c>
      <c r="E2321" t="s">
        <v>20520</v>
      </c>
      <c r="F2321">
        <v>1</v>
      </c>
      <c r="G2321">
        <v>1904333</v>
      </c>
      <c r="H2321" t="s">
        <v>20521</v>
      </c>
      <c r="J2321" s="54" t="s">
        <v>6052</v>
      </c>
      <c r="K2321" s="54">
        <v>0</v>
      </c>
      <c r="L2321" s="22" t="s">
        <v>36807</v>
      </c>
      <c r="M2321" s="22" t="s">
        <v>36988</v>
      </c>
    </row>
    <row r="2322" spans="1:13" x14ac:dyDescent="0.75">
      <c r="A2322" t="s">
        <v>20516</v>
      </c>
      <c r="B2322" t="s">
        <v>8454</v>
      </c>
      <c r="C2322" t="s">
        <v>8455</v>
      </c>
      <c r="D2322" t="s">
        <v>8456</v>
      </c>
      <c r="E2322" t="s">
        <v>20517</v>
      </c>
      <c r="F2322">
        <v>1</v>
      </c>
      <c r="G2322">
        <v>1941401</v>
      </c>
      <c r="H2322" t="s">
        <v>20518</v>
      </c>
      <c r="J2322" s="54" t="s">
        <v>6052</v>
      </c>
      <c r="K2322" s="54">
        <v>0</v>
      </c>
      <c r="L2322" s="22" t="s">
        <v>36807</v>
      </c>
      <c r="M2322" s="22" t="s">
        <v>36988</v>
      </c>
    </row>
    <row r="2323" spans="1:13" x14ac:dyDescent="0.75">
      <c r="A2323" t="s">
        <v>20525</v>
      </c>
      <c r="B2323" t="s">
        <v>8454</v>
      </c>
      <c r="C2323" t="s">
        <v>8455</v>
      </c>
      <c r="D2323" t="s">
        <v>8456</v>
      </c>
      <c r="E2323" t="s">
        <v>20526</v>
      </c>
      <c r="F2323">
        <v>1</v>
      </c>
      <c r="G2323">
        <v>1984755</v>
      </c>
      <c r="H2323" t="s">
        <v>20527</v>
      </c>
      <c r="J2323" s="54" t="s">
        <v>6052</v>
      </c>
      <c r="K2323" s="54">
        <v>0</v>
      </c>
      <c r="L2323" s="22" t="s">
        <v>36807</v>
      </c>
      <c r="M2323" s="22" t="s">
        <v>36988</v>
      </c>
    </row>
    <row r="2324" spans="1:13" x14ac:dyDescent="0.75">
      <c r="A2324" t="s">
        <v>20561</v>
      </c>
      <c r="B2324" t="s">
        <v>8454</v>
      </c>
      <c r="C2324" t="s">
        <v>8455</v>
      </c>
      <c r="D2324" t="s">
        <v>8456</v>
      </c>
      <c r="E2324" t="s">
        <v>20562</v>
      </c>
      <c r="F2324">
        <v>1</v>
      </c>
      <c r="G2324">
        <v>1875895</v>
      </c>
      <c r="H2324" t="s">
        <v>20563</v>
      </c>
      <c r="J2324" s="54" t="s">
        <v>6052</v>
      </c>
      <c r="K2324" s="54">
        <v>0</v>
      </c>
      <c r="L2324" s="22" t="s">
        <v>36807</v>
      </c>
      <c r="M2324" s="22" t="s">
        <v>36988</v>
      </c>
    </row>
    <row r="2325" spans="1:13" x14ac:dyDescent="0.75">
      <c r="A2325" t="s">
        <v>20564</v>
      </c>
      <c r="B2325" t="s">
        <v>8454</v>
      </c>
      <c r="C2325" t="s">
        <v>8455</v>
      </c>
      <c r="D2325" t="s">
        <v>8456</v>
      </c>
      <c r="E2325" t="s">
        <v>20565</v>
      </c>
      <c r="F2325">
        <v>1</v>
      </c>
      <c r="G2325">
        <v>1900145</v>
      </c>
      <c r="H2325" t="s">
        <v>20566</v>
      </c>
      <c r="J2325" s="54" t="s">
        <v>6052</v>
      </c>
      <c r="K2325" s="54">
        <v>0</v>
      </c>
      <c r="L2325" s="22" t="s">
        <v>36807</v>
      </c>
      <c r="M2325" s="22" t="s">
        <v>36988</v>
      </c>
    </row>
    <row r="2326" spans="1:13" x14ac:dyDescent="0.75">
      <c r="A2326" t="s">
        <v>29562</v>
      </c>
      <c r="B2326" t="s">
        <v>8454</v>
      </c>
      <c r="C2326" t="s">
        <v>8455</v>
      </c>
      <c r="D2326" t="s">
        <v>8456</v>
      </c>
      <c r="E2326" t="s">
        <v>29563</v>
      </c>
      <c r="F2326">
        <v>23</v>
      </c>
      <c r="G2326">
        <v>1886320</v>
      </c>
      <c r="H2326" t="s">
        <v>29564</v>
      </c>
      <c r="J2326" s="54" t="s">
        <v>6052</v>
      </c>
      <c r="K2326" s="54">
        <v>0</v>
      </c>
      <c r="L2326" s="22" t="s">
        <v>36807</v>
      </c>
      <c r="M2326" s="22" t="s">
        <v>36988</v>
      </c>
    </row>
    <row r="2327" spans="1:13" x14ac:dyDescent="0.75">
      <c r="A2327" t="s">
        <v>22132</v>
      </c>
      <c r="B2327" t="s">
        <v>6449</v>
      </c>
      <c r="C2327" t="s">
        <v>6450</v>
      </c>
      <c r="D2327" t="s">
        <v>6451</v>
      </c>
      <c r="E2327" t="s">
        <v>22133</v>
      </c>
      <c r="F2327">
        <v>2</v>
      </c>
      <c r="G2327">
        <v>3467966</v>
      </c>
      <c r="H2327" t="s">
        <v>22134</v>
      </c>
      <c r="J2327" s="54" t="s">
        <v>6052</v>
      </c>
      <c r="K2327" s="54">
        <v>0</v>
      </c>
      <c r="L2327" s="22" t="s">
        <v>1563</v>
      </c>
      <c r="M2327" s="22" t="s">
        <v>36989</v>
      </c>
    </row>
    <row r="2328" spans="1:13" x14ac:dyDescent="0.75">
      <c r="A2328" t="s">
        <v>22141</v>
      </c>
      <c r="B2328" t="s">
        <v>6449</v>
      </c>
      <c r="C2328" t="s">
        <v>6450</v>
      </c>
      <c r="D2328" t="s">
        <v>6451</v>
      </c>
      <c r="E2328" t="s">
        <v>22142</v>
      </c>
      <c r="F2328">
        <v>1</v>
      </c>
      <c r="G2328">
        <v>3567447</v>
      </c>
      <c r="H2328" t="s">
        <v>22143</v>
      </c>
      <c r="J2328" s="54" t="s">
        <v>6052</v>
      </c>
      <c r="K2328" s="54">
        <v>0</v>
      </c>
      <c r="L2328" s="22" t="s">
        <v>1563</v>
      </c>
      <c r="M2328" s="22" t="s">
        <v>36989</v>
      </c>
    </row>
    <row r="2329" spans="1:13" x14ac:dyDescent="0.75">
      <c r="A2329" t="s">
        <v>22144</v>
      </c>
      <c r="B2329" t="s">
        <v>6449</v>
      </c>
      <c r="C2329" t="s">
        <v>6450</v>
      </c>
      <c r="D2329" t="s">
        <v>6451</v>
      </c>
      <c r="E2329" t="s">
        <v>22145</v>
      </c>
      <c r="F2329">
        <v>1</v>
      </c>
      <c r="G2329">
        <v>3383173</v>
      </c>
      <c r="H2329" t="s">
        <v>22146</v>
      </c>
      <c r="J2329" s="54" t="s">
        <v>6052</v>
      </c>
      <c r="K2329" s="54">
        <v>0</v>
      </c>
      <c r="L2329" s="22" t="s">
        <v>1563</v>
      </c>
      <c r="M2329" s="22" t="s">
        <v>36989</v>
      </c>
    </row>
    <row r="2330" spans="1:13" x14ac:dyDescent="0.75">
      <c r="A2330" t="s">
        <v>22135</v>
      </c>
      <c r="B2330" t="s">
        <v>6449</v>
      </c>
      <c r="C2330" t="s">
        <v>6450</v>
      </c>
      <c r="D2330" t="s">
        <v>6451</v>
      </c>
      <c r="E2330" t="s">
        <v>22136</v>
      </c>
      <c r="F2330">
        <v>1</v>
      </c>
      <c r="G2330">
        <v>3266279</v>
      </c>
      <c r="H2330" t="s">
        <v>22137</v>
      </c>
      <c r="J2330" s="54" t="s">
        <v>6052</v>
      </c>
      <c r="K2330" s="54">
        <v>0</v>
      </c>
      <c r="L2330" s="22" t="s">
        <v>1563</v>
      </c>
      <c r="M2330" s="22" t="s">
        <v>36989</v>
      </c>
    </row>
    <row r="2331" spans="1:13" x14ac:dyDescent="0.75">
      <c r="A2331" t="s">
        <v>22138</v>
      </c>
      <c r="B2331" t="s">
        <v>6449</v>
      </c>
      <c r="C2331" t="s">
        <v>6450</v>
      </c>
      <c r="D2331" t="s">
        <v>6451</v>
      </c>
      <c r="E2331" t="s">
        <v>22139</v>
      </c>
      <c r="F2331">
        <v>1</v>
      </c>
      <c r="G2331">
        <v>3504888</v>
      </c>
      <c r="H2331" t="s">
        <v>22140</v>
      </c>
      <c r="J2331" s="54" t="s">
        <v>6052</v>
      </c>
      <c r="K2331" s="54">
        <v>0</v>
      </c>
      <c r="L2331" s="22" t="s">
        <v>1563</v>
      </c>
      <c r="M2331" s="22" t="s">
        <v>36989</v>
      </c>
    </row>
    <row r="2332" spans="1:13" x14ac:dyDescent="0.75">
      <c r="A2332" t="s">
        <v>22147</v>
      </c>
      <c r="B2332" t="s">
        <v>6449</v>
      </c>
      <c r="C2332" t="s">
        <v>6450</v>
      </c>
      <c r="D2332" t="s">
        <v>6451</v>
      </c>
      <c r="E2332" t="s">
        <v>22148</v>
      </c>
      <c r="F2332">
        <v>3</v>
      </c>
      <c r="G2332">
        <v>3258764</v>
      </c>
      <c r="H2332" t="s">
        <v>22149</v>
      </c>
      <c r="J2332" s="54" t="s">
        <v>6052</v>
      </c>
      <c r="K2332" s="54">
        <v>0</v>
      </c>
      <c r="L2332" s="22" t="s">
        <v>1563</v>
      </c>
      <c r="M2332" s="22" t="s">
        <v>36989</v>
      </c>
    </row>
    <row r="2333" spans="1:13" x14ac:dyDescent="0.75">
      <c r="A2333" t="s">
        <v>15272</v>
      </c>
      <c r="B2333" t="s">
        <v>6449</v>
      </c>
      <c r="C2333" t="s">
        <v>6450</v>
      </c>
      <c r="D2333" t="s">
        <v>6451</v>
      </c>
      <c r="E2333" t="s">
        <v>15273</v>
      </c>
      <c r="F2333">
        <v>76</v>
      </c>
      <c r="G2333">
        <v>3596161</v>
      </c>
      <c r="H2333" t="s">
        <v>15274</v>
      </c>
      <c r="J2333" s="54" t="s">
        <v>6052</v>
      </c>
      <c r="K2333" s="54">
        <v>0</v>
      </c>
      <c r="L2333" s="22" t="s">
        <v>1563</v>
      </c>
      <c r="M2333" s="22" t="s">
        <v>36989</v>
      </c>
    </row>
    <row r="2334" spans="1:13" x14ac:dyDescent="0.75">
      <c r="A2334" t="s">
        <v>13614</v>
      </c>
      <c r="B2334" t="s">
        <v>6449</v>
      </c>
      <c r="C2334" t="s">
        <v>6450</v>
      </c>
      <c r="D2334" t="s">
        <v>6451</v>
      </c>
      <c r="E2334" t="s">
        <v>13615</v>
      </c>
      <c r="F2334">
        <v>1</v>
      </c>
      <c r="G2334">
        <v>3593204</v>
      </c>
      <c r="H2334" t="s">
        <v>13616</v>
      </c>
      <c r="J2334" s="54" t="s">
        <v>6052</v>
      </c>
      <c r="K2334" s="54">
        <v>0</v>
      </c>
      <c r="L2334" s="22" t="s">
        <v>1563</v>
      </c>
      <c r="M2334" s="22" t="s">
        <v>36989</v>
      </c>
    </row>
    <row r="2335" spans="1:13" x14ac:dyDescent="0.75">
      <c r="A2335" t="s">
        <v>6448</v>
      </c>
      <c r="B2335" t="s">
        <v>6449</v>
      </c>
      <c r="C2335" t="s">
        <v>6450</v>
      </c>
      <c r="D2335" t="s">
        <v>6451</v>
      </c>
      <c r="E2335" t="s">
        <v>6452</v>
      </c>
      <c r="F2335">
        <v>1</v>
      </c>
      <c r="G2335">
        <v>3632260</v>
      </c>
      <c r="H2335" t="s">
        <v>6453</v>
      </c>
      <c r="J2335" s="54" t="s">
        <v>6052</v>
      </c>
      <c r="K2335" s="54">
        <v>0</v>
      </c>
      <c r="L2335" s="22" t="s">
        <v>1563</v>
      </c>
      <c r="M2335" s="22" t="s">
        <v>36989</v>
      </c>
    </row>
    <row r="2336" spans="1:13" x14ac:dyDescent="0.75">
      <c r="A2336" t="s">
        <v>15270</v>
      </c>
      <c r="B2336" t="s">
        <v>6449</v>
      </c>
      <c r="C2336" t="s">
        <v>6450</v>
      </c>
      <c r="D2336" t="s">
        <v>6451</v>
      </c>
      <c r="E2336" t="s">
        <v>6452</v>
      </c>
      <c r="F2336">
        <v>71</v>
      </c>
      <c r="G2336">
        <v>3596141</v>
      </c>
      <c r="H2336" t="s">
        <v>15271</v>
      </c>
      <c r="J2336" s="54" t="s">
        <v>6052</v>
      </c>
      <c r="K2336" s="54">
        <v>0</v>
      </c>
      <c r="L2336" s="22" t="s">
        <v>1563</v>
      </c>
      <c r="M2336" s="22" t="s">
        <v>36989</v>
      </c>
    </row>
    <row r="2337" spans="1:13" x14ac:dyDescent="0.75">
      <c r="A2337" t="s">
        <v>9551</v>
      </c>
      <c r="B2337" t="s">
        <v>9220</v>
      </c>
      <c r="C2337" t="s">
        <v>9221</v>
      </c>
      <c r="D2337" t="s">
        <v>9222</v>
      </c>
      <c r="E2337" t="s">
        <v>9552</v>
      </c>
      <c r="F2337">
        <v>40</v>
      </c>
      <c r="G2337">
        <v>1921006</v>
      </c>
      <c r="H2337" t="s">
        <v>9553</v>
      </c>
      <c r="J2337" s="54" t="s">
        <v>6052</v>
      </c>
      <c r="K2337" s="54">
        <v>0</v>
      </c>
      <c r="L2337" s="22" t="s">
        <v>1563</v>
      </c>
      <c r="M2337" s="22" t="s">
        <v>36990</v>
      </c>
    </row>
    <row r="2338" spans="1:13" x14ac:dyDescent="0.75">
      <c r="A2338" t="s">
        <v>29628</v>
      </c>
      <c r="B2338" t="s">
        <v>9220</v>
      </c>
      <c r="C2338" t="s">
        <v>9221</v>
      </c>
      <c r="D2338" t="s">
        <v>9222</v>
      </c>
      <c r="E2338" t="s">
        <v>29629</v>
      </c>
      <c r="F2338">
        <v>32</v>
      </c>
      <c r="G2338">
        <v>1700661</v>
      </c>
      <c r="H2338" t="s">
        <v>29630</v>
      </c>
      <c r="J2338" s="54" t="s">
        <v>6052</v>
      </c>
      <c r="K2338" s="54">
        <v>0</v>
      </c>
      <c r="L2338" s="22" t="s">
        <v>1563</v>
      </c>
      <c r="M2338" s="22" t="s">
        <v>36990</v>
      </c>
    </row>
    <row r="2339" spans="1:13" x14ac:dyDescent="0.75">
      <c r="A2339" t="s">
        <v>9219</v>
      </c>
      <c r="B2339" t="s">
        <v>9220</v>
      </c>
      <c r="C2339" t="s">
        <v>9221</v>
      </c>
      <c r="D2339" t="s">
        <v>9222</v>
      </c>
      <c r="E2339" t="s">
        <v>9223</v>
      </c>
      <c r="F2339">
        <v>36</v>
      </c>
      <c r="G2339">
        <v>1945158</v>
      </c>
      <c r="H2339" t="s">
        <v>9224</v>
      </c>
      <c r="J2339" s="54" t="s">
        <v>6052</v>
      </c>
      <c r="K2339" s="54">
        <v>0</v>
      </c>
      <c r="L2339" s="22" t="s">
        <v>1563</v>
      </c>
      <c r="M2339" s="22" t="s">
        <v>36990</v>
      </c>
    </row>
    <row r="2340" spans="1:13" x14ac:dyDescent="0.75">
      <c r="A2340" t="s">
        <v>15102</v>
      </c>
      <c r="B2340" t="s">
        <v>6685</v>
      </c>
      <c r="C2340" t="s">
        <v>6107</v>
      </c>
      <c r="D2340" t="s">
        <v>6686</v>
      </c>
      <c r="E2340">
        <v>12230</v>
      </c>
      <c r="F2340">
        <v>55</v>
      </c>
      <c r="G2340">
        <v>2429502</v>
      </c>
      <c r="H2340" t="s">
        <v>15103</v>
      </c>
      <c r="J2340" s="54" t="s">
        <v>6052</v>
      </c>
      <c r="K2340" s="54">
        <v>0</v>
      </c>
      <c r="L2340" s="22" t="s">
        <v>104</v>
      </c>
      <c r="M2340" s="22" t="s">
        <v>37009</v>
      </c>
    </row>
    <row r="2341" spans="1:13" x14ac:dyDescent="0.75">
      <c r="A2341" t="s">
        <v>13957</v>
      </c>
      <c r="B2341" t="s">
        <v>6685</v>
      </c>
      <c r="C2341" t="s">
        <v>6107</v>
      </c>
      <c r="D2341" t="s">
        <v>6686</v>
      </c>
      <c r="E2341" t="s">
        <v>13958</v>
      </c>
      <c r="F2341">
        <v>234</v>
      </c>
      <c r="G2341">
        <v>2470496</v>
      </c>
      <c r="H2341" t="s">
        <v>13959</v>
      </c>
      <c r="J2341" s="54" t="s">
        <v>6052</v>
      </c>
      <c r="K2341" s="54">
        <v>0</v>
      </c>
      <c r="L2341" s="22" t="s">
        <v>104</v>
      </c>
      <c r="M2341" s="22" t="s">
        <v>37009</v>
      </c>
    </row>
    <row r="2342" spans="1:13" x14ac:dyDescent="0.75">
      <c r="A2342" t="s">
        <v>10167</v>
      </c>
      <c r="B2342" t="s">
        <v>6685</v>
      </c>
      <c r="C2342" t="s">
        <v>6107</v>
      </c>
      <c r="D2342" t="s">
        <v>6686</v>
      </c>
      <c r="E2342" t="s">
        <v>10168</v>
      </c>
      <c r="F2342">
        <v>28</v>
      </c>
      <c r="G2342">
        <v>2631404</v>
      </c>
      <c r="H2342" t="s">
        <v>10169</v>
      </c>
      <c r="J2342" s="54" t="s">
        <v>6052</v>
      </c>
      <c r="K2342" s="54">
        <v>0</v>
      </c>
      <c r="L2342" s="22" t="s">
        <v>104</v>
      </c>
      <c r="M2342" s="22" t="s">
        <v>37009</v>
      </c>
    </row>
    <row r="2343" spans="1:13" x14ac:dyDescent="0.75">
      <c r="A2343" t="s">
        <v>24658</v>
      </c>
      <c r="B2343" t="s">
        <v>6685</v>
      </c>
      <c r="C2343" t="s">
        <v>6107</v>
      </c>
      <c r="D2343" t="s">
        <v>6686</v>
      </c>
      <c r="E2343" t="s">
        <v>24659</v>
      </c>
      <c r="F2343">
        <v>28</v>
      </c>
      <c r="G2343">
        <v>2339255</v>
      </c>
      <c r="H2343" t="s">
        <v>24660</v>
      </c>
      <c r="J2343" s="54" t="s">
        <v>6052</v>
      </c>
      <c r="K2343" s="54">
        <v>0</v>
      </c>
      <c r="L2343" s="22" t="s">
        <v>104</v>
      </c>
      <c r="M2343" s="22" t="s">
        <v>37009</v>
      </c>
    </row>
    <row r="2344" spans="1:13" x14ac:dyDescent="0.75">
      <c r="A2344" t="s">
        <v>6684</v>
      </c>
      <c r="B2344" t="s">
        <v>6685</v>
      </c>
      <c r="C2344" t="s">
        <v>6107</v>
      </c>
      <c r="D2344" t="s">
        <v>6686</v>
      </c>
      <c r="E2344" t="s">
        <v>6687</v>
      </c>
      <c r="F2344">
        <v>15</v>
      </c>
      <c r="G2344">
        <v>2441632</v>
      </c>
      <c r="H2344" t="s">
        <v>6688</v>
      </c>
      <c r="J2344" s="54" t="s">
        <v>6052</v>
      </c>
      <c r="K2344" s="54">
        <v>0</v>
      </c>
      <c r="L2344" s="22" t="s">
        <v>104</v>
      </c>
      <c r="M2344" s="22" t="s">
        <v>37009</v>
      </c>
    </row>
    <row r="2345" spans="1:13" x14ac:dyDescent="0.75">
      <c r="A2345" t="s">
        <v>26912</v>
      </c>
      <c r="B2345" t="s">
        <v>6685</v>
      </c>
      <c r="C2345" t="s">
        <v>6107</v>
      </c>
      <c r="D2345" t="s">
        <v>6686</v>
      </c>
      <c r="E2345" t="s">
        <v>6687</v>
      </c>
      <c r="F2345">
        <v>3</v>
      </c>
      <c r="G2345">
        <v>2474009</v>
      </c>
      <c r="H2345" t="s">
        <v>26913</v>
      </c>
      <c r="J2345" s="54" t="s">
        <v>6052</v>
      </c>
      <c r="K2345" s="54">
        <v>0</v>
      </c>
      <c r="L2345" s="22" t="s">
        <v>104</v>
      </c>
      <c r="M2345" s="22" t="s">
        <v>37009</v>
      </c>
    </row>
    <row r="2346" spans="1:13" x14ac:dyDescent="0.75">
      <c r="A2346" t="s">
        <v>11631</v>
      </c>
      <c r="B2346" t="s">
        <v>6685</v>
      </c>
      <c r="C2346" t="s">
        <v>6107</v>
      </c>
      <c r="D2346" t="s">
        <v>6686</v>
      </c>
      <c r="E2346" t="s">
        <v>11632</v>
      </c>
      <c r="F2346">
        <v>3</v>
      </c>
      <c r="G2346">
        <v>2622370</v>
      </c>
      <c r="H2346" t="s">
        <v>11633</v>
      </c>
      <c r="J2346" s="54" t="s">
        <v>6052</v>
      </c>
      <c r="K2346" s="54">
        <v>0</v>
      </c>
      <c r="L2346" s="22" t="s">
        <v>104</v>
      </c>
      <c r="M2346" s="22" t="s">
        <v>37009</v>
      </c>
    </row>
    <row r="2347" spans="1:13" x14ac:dyDescent="0.75">
      <c r="A2347" t="s">
        <v>11706</v>
      </c>
      <c r="B2347" t="s">
        <v>6685</v>
      </c>
      <c r="C2347" t="s">
        <v>6107</v>
      </c>
      <c r="D2347" t="s">
        <v>6686</v>
      </c>
      <c r="E2347" t="s">
        <v>11707</v>
      </c>
      <c r="F2347">
        <v>4</v>
      </c>
      <c r="G2347">
        <v>2481490</v>
      </c>
      <c r="H2347" t="s">
        <v>11708</v>
      </c>
      <c r="J2347" s="54" t="s">
        <v>6052</v>
      </c>
      <c r="K2347" s="54">
        <v>0</v>
      </c>
      <c r="L2347" s="22" t="s">
        <v>104</v>
      </c>
      <c r="M2347" s="22" t="s">
        <v>37009</v>
      </c>
    </row>
    <row r="2348" spans="1:13" x14ac:dyDescent="0.75">
      <c r="A2348" t="s">
        <v>10191</v>
      </c>
      <c r="B2348" t="s">
        <v>6685</v>
      </c>
      <c r="C2348" t="s">
        <v>6107</v>
      </c>
      <c r="D2348" t="s">
        <v>6686</v>
      </c>
      <c r="E2348" t="s">
        <v>10192</v>
      </c>
      <c r="F2348">
        <v>87</v>
      </c>
      <c r="G2348">
        <v>2438137</v>
      </c>
      <c r="H2348" t="s">
        <v>10193</v>
      </c>
      <c r="J2348" s="54" t="s">
        <v>6052</v>
      </c>
      <c r="K2348" s="54">
        <v>0</v>
      </c>
      <c r="L2348" s="22" t="s">
        <v>104</v>
      </c>
      <c r="M2348" s="22" t="s">
        <v>37009</v>
      </c>
    </row>
    <row r="2349" spans="1:13" x14ac:dyDescent="0.75">
      <c r="A2349" t="s">
        <v>9998</v>
      </c>
      <c r="B2349" t="s">
        <v>6685</v>
      </c>
      <c r="C2349" t="s">
        <v>6107</v>
      </c>
      <c r="D2349" t="s">
        <v>6686</v>
      </c>
      <c r="E2349" t="s">
        <v>9999</v>
      </c>
      <c r="F2349">
        <v>79</v>
      </c>
      <c r="G2349">
        <v>2447188</v>
      </c>
      <c r="H2349" t="s">
        <v>10000</v>
      </c>
      <c r="J2349" s="54" t="s">
        <v>6052</v>
      </c>
      <c r="K2349" s="54">
        <v>0</v>
      </c>
      <c r="L2349" s="22" t="s">
        <v>104</v>
      </c>
      <c r="M2349" s="22" t="s">
        <v>37009</v>
      </c>
    </row>
    <row r="2350" spans="1:13" x14ac:dyDescent="0.75">
      <c r="A2350" t="s">
        <v>18446</v>
      </c>
      <c r="B2350" t="s">
        <v>6685</v>
      </c>
      <c r="C2350" t="s">
        <v>6107</v>
      </c>
      <c r="D2350" t="s">
        <v>6686</v>
      </c>
      <c r="E2350" t="s">
        <v>18447</v>
      </c>
      <c r="F2350">
        <v>3</v>
      </c>
      <c r="G2350">
        <v>2473944</v>
      </c>
      <c r="H2350" t="s">
        <v>18448</v>
      </c>
      <c r="J2350" s="54" t="s">
        <v>6052</v>
      </c>
      <c r="K2350" s="54">
        <v>0</v>
      </c>
      <c r="L2350" s="22" t="s">
        <v>104</v>
      </c>
      <c r="M2350" s="22" t="s">
        <v>37009</v>
      </c>
    </row>
    <row r="2351" spans="1:13" x14ac:dyDescent="0.75">
      <c r="A2351" t="s">
        <v>22401</v>
      </c>
      <c r="B2351" t="s">
        <v>6685</v>
      </c>
      <c r="C2351" t="s">
        <v>6107</v>
      </c>
      <c r="D2351" t="s">
        <v>6686</v>
      </c>
      <c r="E2351" t="s">
        <v>22402</v>
      </c>
      <c r="F2351">
        <v>42</v>
      </c>
      <c r="G2351">
        <v>2299006</v>
      </c>
      <c r="H2351" t="s">
        <v>22403</v>
      </c>
      <c r="J2351" s="54" t="s">
        <v>6052</v>
      </c>
      <c r="K2351" s="54">
        <v>0</v>
      </c>
      <c r="L2351" s="22" t="s">
        <v>104</v>
      </c>
      <c r="M2351" s="22" t="s">
        <v>37009</v>
      </c>
    </row>
    <row r="2352" spans="1:13" x14ac:dyDescent="0.75">
      <c r="A2352" t="s">
        <v>24975</v>
      </c>
      <c r="B2352" t="s">
        <v>6685</v>
      </c>
      <c r="C2352" t="s">
        <v>6107</v>
      </c>
      <c r="D2352" t="s">
        <v>6686</v>
      </c>
      <c r="E2352" t="s">
        <v>24976</v>
      </c>
      <c r="F2352">
        <v>1</v>
      </c>
      <c r="G2352">
        <v>2651846</v>
      </c>
      <c r="H2352" t="s">
        <v>24977</v>
      </c>
      <c r="J2352" s="54" t="s">
        <v>6052</v>
      </c>
      <c r="K2352" s="54">
        <v>0</v>
      </c>
      <c r="L2352" s="22" t="s">
        <v>104</v>
      </c>
      <c r="M2352" s="22" t="s">
        <v>37009</v>
      </c>
    </row>
    <row r="2353" spans="1:13" x14ac:dyDescent="0.75">
      <c r="A2353" t="s">
        <v>22395</v>
      </c>
      <c r="B2353" t="s">
        <v>6685</v>
      </c>
      <c r="C2353" t="s">
        <v>6107</v>
      </c>
      <c r="D2353" t="s">
        <v>6686</v>
      </c>
      <c r="E2353" t="s">
        <v>22396</v>
      </c>
      <c r="F2353">
        <v>44</v>
      </c>
      <c r="G2353">
        <v>2288477</v>
      </c>
      <c r="H2353" t="s">
        <v>22397</v>
      </c>
      <c r="J2353" s="54" t="s">
        <v>6052</v>
      </c>
      <c r="K2353" s="54">
        <v>0</v>
      </c>
      <c r="L2353" s="22" t="s">
        <v>104</v>
      </c>
      <c r="M2353" s="22" t="s">
        <v>37009</v>
      </c>
    </row>
    <row r="2354" spans="1:13" x14ac:dyDescent="0.75">
      <c r="A2354" t="s">
        <v>12999</v>
      </c>
      <c r="B2354" t="s">
        <v>6685</v>
      </c>
      <c r="C2354" t="s">
        <v>6107</v>
      </c>
      <c r="D2354" t="s">
        <v>6686</v>
      </c>
      <c r="E2354" t="s">
        <v>13000</v>
      </c>
      <c r="F2354">
        <v>178</v>
      </c>
      <c r="G2354">
        <v>2401628</v>
      </c>
      <c r="H2354" t="s">
        <v>13001</v>
      </c>
      <c r="J2354" s="54" t="s">
        <v>6052</v>
      </c>
      <c r="K2354" s="54">
        <v>0</v>
      </c>
      <c r="L2354" s="22" t="s">
        <v>104</v>
      </c>
      <c r="M2354" s="22" t="s">
        <v>37009</v>
      </c>
    </row>
    <row r="2355" spans="1:13" x14ac:dyDescent="0.75">
      <c r="A2355" t="s">
        <v>24751</v>
      </c>
      <c r="B2355" t="s">
        <v>6685</v>
      </c>
      <c r="C2355" t="s">
        <v>6107</v>
      </c>
      <c r="D2355" t="s">
        <v>6686</v>
      </c>
      <c r="E2355" t="s">
        <v>24752</v>
      </c>
      <c r="F2355">
        <v>1</v>
      </c>
      <c r="G2355">
        <v>2470422</v>
      </c>
      <c r="H2355" t="s">
        <v>24753</v>
      </c>
      <c r="J2355" s="54" t="s">
        <v>6052</v>
      </c>
      <c r="K2355" s="54">
        <v>0</v>
      </c>
      <c r="L2355" s="22" t="s">
        <v>104</v>
      </c>
      <c r="M2355" s="22" t="s">
        <v>37009</v>
      </c>
    </row>
    <row r="2356" spans="1:13" x14ac:dyDescent="0.75">
      <c r="A2356" t="s">
        <v>13699</v>
      </c>
      <c r="B2356" t="s">
        <v>6685</v>
      </c>
      <c r="C2356" t="s">
        <v>6107</v>
      </c>
      <c r="D2356" t="s">
        <v>6686</v>
      </c>
      <c r="E2356" t="s">
        <v>13700</v>
      </c>
      <c r="F2356">
        <v>11</v>
      </c>
      <c r="G2356">
        <v>2523644</v>
      </c>
      <c r="H2356" t="s">
        <v>13701</v>
      </c>
      <c r="J2356" s="54" t="s">
        <v>6052</v>
      </c>
      <c r="K2356" s="54">
        <v>0</v>
      </c>
      <c r="L2356" s="22" t="s">
        <v>104</v>
      </c>
      <c r="M2356" s="22" t="s">
        <v>37009</v>
      </c>
    </row>
    <row r="2357" spans="1:13" x14ac:dyDescent="0.75">
      <c r="A2357" t="s">
        <v>14072</v>
      </c>
      <c r="B2357" t="s">
        <v>6685</v>
      </c>
      <c r="C2357" t="s">
        <v>6107</v>
      </c>
      <c r="D2357" t="s">
        <v>6686</v>
      </c>
      <c r="E2357" t="s">
        <v>14073</v>
      </c>
      <c r="F2357">
        <v>22</v>
      </c>
      <c r="G2357">
        <v>2576233</v>
      </c>
      <c r="H2357" t="s">
        <v>14074</v>
      </c>
      <c r="J2357" s="54" t="s">
        <v>6052</v>
      </c>
      <c r="K2357" s="54">
        <v>0</v>
      </c>
      <c r="L2357" s="22" t="s">
        <v>104</v>
      </c>
      <c r="M2357" s="22" t="s">
        <v>37009</v>
      </c>
    </row>
    <row r="2358" spans="1:13" x14ac:dyDescent="0.75">
      <c r="A2358" t="s">
        <v>14063</v>
      </c>
      <c r="B2358" t="s">
        <v>6685</v>
      </c>
      <c r="C2358" t="s">
        <v>6107</v>
      </c>
      <c r="D2358" t="s">
        <v>6686</v>
      </c>
      <c r="E2358" t="s">
        <v>14064</v>
      </c>
      <c r="F2358">
        <v>44</v>
      </c>
      <c r="G2358">
        <v>2544849</v>
      </c>
      <c r="H2358" t="s">
        <v>14065</v>
      </c>
      <c r="J2358" s="54" t="s">
        <v>6052</v>
      </c>
      <c r="K2358" s="54">
        <v>0</v>
      </c>
      <c r="L2358" s="22" t="s">
        <v>104</v>
      </c>
      <c r="M2358" s="22" t="s">
        <v>37009</v>
      </c>
    </row>
    <row r="2359" spans="1:13" x14ac:dyDescent="0.75">
      <c r="A2359" t="s">
        <v>14069</v>
      </c>
      <c r="B2359" t="s">
        <v>6685</v>
      </c>
      <c r="C2359" t="s">
        <v>6107</v>
      </c>
      <c r="D2359" t="s">
        <v>6686</v>
      </c>
      <c r="E2359" t="s">
        <v>14070</v>
      </c>
      <c r="F2359">
        <v>50</v>
      </c>
      <c r="G2359">
        <v>2489425</v>
      </c>
      <c r="H2359" t="s">
        <v>14071</v>
      </c>
      <c r="J2359" s="54" t="s">
        <v>6052</v>
      </c>
      <c r="K2359" s="54">
        <v>0</v>
      </c>
      <c r="L2359" s="22" t="s">
        <v>104</v>
      </c>
      <c r="M2359" s="22" t="s">
        <v>37009</v>
      </c>
    </row>
    <row r="2360" spans="1:13" x14ac:dyDescent="0.75">
      <c r="A2360" t="s">
        <v>13690</v>
      </c>
      <c r="B2360" t="s">
        <v>6685</v>
      </c>
      <c r="C2360" t="s">
        <v>6107</v>
      </c>
      <c r="D2360" t="s">
        <v>6686</v>
      </c>
      <c r="E2360" t="s">
        <v>13691</v>
      </c>
      <c r="F2360">
        <v>1</v>
      </c>
      <c r="G2360">
        <v>2635767</v>
      </c>
      <c r="H2360" t="s">
        <v>13692</v>
      </c>
      <c r="J2360" s="54" t="s">
        <v>6052</v>
      </c>
      <c r="K2360" s="54">
        <v>0</v>
      </c>
      <c r="L2360" s="22" t="s">
        <v>104</v>
      </c>
      <c r="M2360" s="22" t="s">
        <v>37009</v>
      </c>
    </row>
    <row r="2361" spans="1:13" x14ac:dyDescent="0.75">
      <c r="A2361" t="s">
        <v>14147</v>
      </c>
      <c r="B2361" t="s">
        <v>6685</v>
      </c>
      <c r="C2361" t="s">
        <v>6107</v>
      </c>
      <c r="D2361" t="s">
        <v>6686</v>
      </c>
      <c r="E2361" t="s">
        <v>14148</v>
      </c>
      <c r="F2361">
        <v>2</v>
      </c>
      <c r="G2361">
        <v>2554714</v>
      </c>
      <c r="H2361" t="s">
        <v>14149</v>
      </c>
      <c r="J2361" s="54" t="s">
        <v>6052</v>
      </c>
      <c r="K2361" s="54">
        <v>0</v>
      </c>
      <c r="L2361" s="22" t="s">
        <v>104</v>
      </c>
      <c r="M2361" s="22" t="s">
        <v>37009</v>
      </c>
    </row>
    <row r="2362" spans="1:13" x14ac:dyDescent="0.75">
      <c r="A2362" t="s">
        <v>14060</v>
      </c>
      <c r="B2362" t="s">
        <v>6685</v>
      </c>
      <c r="C2362" t="s">
        <v>6107</v>
      </c>
      <c r="D2362" t="s">
        <v>6686</v>
      </c>
      <c r="E2362" t="s">
        <v>14061</v>
      </c>
      <c r="F2362">
        <v>58</v>
      </c>
      <c r="G2362">
        <v>2571390</v>
      </c>
      <c r="H2362" t="s">
        <v>14062</v>
      </c>
      <c r="J2362" s="54" t="s">
        <v>6052</v>
      </c>
      <c r="K2362" s="54">
        <v>0</v>
      </c>
      <c r="L2362" s="22" t="s">
        <v>104</v>
      </c>
      <c r="M2362" s="22" t="s">
        <v>37009</v>
      </c>
    </row>
    <row r="2363" spans="1:13" x14ac:dyDescent="0.75">
      <c r="A2363" t="s">
        <v>14066</v>
      </c>
      <c r="B2363" t="s">
        <v>6685</v>
      </c>
      <c r="C2363" t="s">
        <v>6107</v>
      </c>
      <c r="D2363" t="s">
        <v>6686</v>
      </c>
      <c r="E2363" t="s">
        <v>14067</v>
      </c>
      <c r="F2363">
        <v>38</v>
      </c>
      <c r="G2363">
        <v>2748372</v>
      </c>
      <c r="H2363" t="s">
        <v>14068</v>
      </c>
      <c r="J2363" s="54" t="s">
        <v>6052</v>
      </c>
      <c r="K2363" s="54">
        <v>0</v>
      </c>
      <c r="L2363" s="22" t="s">
        <v>104</v>
      </c>
      <c r="M2363" s="22" t="s">
        <v>37009</v>
      </c>
    </row>
    <row r="2364" spans="1:13" x14ac:dyDescent="0.75">
      <c r="A2364" t="s">
        <v>14057</v>
      </c>
      <c r="B2364" t="s">
        <v>6685</v>
      </c>
      <c r="C2364" t="s">
        <v>6107</v>
      </c>
      <c r="D2364" t="s">
        <v>6686</v>
      </c>
      <c r="E2364" t="s">
        <v>14058</v>
      </c>
      <c r="F2364">
        <v>54</v>
      </c>
      <c r="G2364">
        <v>2509794</v>
      </c>
      <c r="H2364" t="s">
        <v>14059</v>
      </c>
      <c r="J2364" s="54" t="s">
        <v>6052</v>
      </c>
      <c r="K2364" s="54">
        <v>0</v>
      </c>
      <c r="L2364" s="22" t="s">
        <v>104</v>
      </c>
      <c r="M2364" s="22" t="s">
        <v>37009</v>
      </c>
    </row>
    <row r="2365" spans="1:13" x14ac:dyDescent="0.75">
      <c r="A2365" t="s">
        <v>28821</v>
      </c>
      <c r="B2365" t="s">
        <v>7772</v>
      </c>
      <c r="C2365" t="s">
        <v>7773</v>
      </c>
      <c r="D2365" t="s">
        <v>7774</v>
      </c>
      <c r="E2365">
        <v>171</v>
      </c>
      <c r="F2365">
        <v>7</v>
      </c>
      <c r="G2365">
        <v>5026082</v>
      </c>
      <c r="H2365" t="s">
        <v>28822</v>
      </c>
      <c r="J2365" s="54" t="s">
        <v>6052</v>
      </c>
      <c r="K2365" s="54">
        <v>0</v>
      </c>
      <c r="L2365" s="22" t="s">
        <v>1563</v>
      </c>
      <c r="M2365" s="22" t="s">
        <v>36991</v>
      </c>
    </row>
    <row r="2366" spans="1:13" x14ac:dyDescent="0.75">
      <c r="A2366" t="s">
        <v>10718</v>
      </c>
      <c r="B2366" t="s">
        <v>7772</v>
      </c>
      <c r="C2366" t="s">
        <v>7773</v>
      </c>
      <c r="D2366" t="s">
        <v>7774</v>
      </c>
      <c r="E2366">
        <v>34983</v>
      </c>
      <c r="F2366">
        <v>4</v>
      </c>
      <c r="G2366">
        <v>5063734</v>
      </c>
      <c r="H2366" t="s">
        <v>10719</v>
      </c>
      <c r="J2366" s="54" t="s">
        <v>6052</v>
      </c>
      <c r="K2366" s="54">
        <v>0</v>
      </c>
      <c r="L2366" s="22" t="s">
        <v>1563</v>
      </c>
      <c r="M2366" s="22" t="s">
        <v>36991</v>
      </c>
    </row>
    <row r="2367" spans="1:13" x14ac:dyDescent="0.75">
      <c r="A2367" t="s">
        <v>16729</v>
      </c>
      <c r="B2367" t="s">
        <v>14313</v>
      </c>
      <c r="C2367" t="s">
        <v>7773</v>
      </c>
      <c r="D2367" t="s">
        <v>14314</v>
      </c>
      <c r="E2367" t="s">
        <v>16730</v>
      </c>
      <c r="F2367">
        <v>22</v>
      </c>
      <c r="G2367">
        <v>4590525</v>
      </c>
      <c r="H2367" t="s">
        <v>16731</v>
      </c>
      <c r="J2367" s="54" t="s">
        <v>6052</v>
      </c>
      <c r="K2367" s="54">
        <v>0</v>
      </c>
      <c r="L2367" s="22" t="s">
        <v>144</v>
      </c>
      <c r="M2367" s="22" t="s">
        <v>36992</v>
      </c>
    </row>
    <row r="2368" spans="1:13" x14ac:dyDescent="0.75">
      <c r="A2368" t="s">
        <v>7771</v>
      </c>
      <c r="B2368" t="s">
        <v>7772</v>
      </c>
      <c r="C2368" t="s">
        <v>7773</v>
      </c>
      <c r="D2368" t="s">
        <v>7774</v>
      </c>
      <c r="E2368" t="s">
        <v>7775</v>
      </c>
      <c r="F2368">
        <v>84</v>
      </c>
      <c r="G2368">
        <v>4860996</v>
      </c>
      <c r="H2368" t="s">
        <v>7776</v>
      </c>
      <c r="J2368" s="54" t="s">
        <v>6052</v>
      </c>
      <c r="K2368" s="54">
        <v>0</v>
      </c>
      <c r="L2368" s="22" t="s">
        <v>1563</v>
      </c>
      <c r="M2368" s="22" t="s">
        <v>36991</v>
      </c>
    </row>
    <row r="2369" spans="1:13" x14ac:dyDescent="0.75">
      <c r="A2369" t="s">
        <v>13127</v>
      </c>
      <c r="B2369" t="s">
        <v>7772</v>
      </c>
      <c r="C2369" t="s">
        <v>7773</v>
      </c>
      <c r="D2369" t="s">
        <v>7774</v>
      </c>
      <c r="E2369" t="s">
        <v>7775</v>
      </c>
      <c r="F2369">
        <v>9</v>
      </c>
      <c r="G2369">
        <v>4890213</v>
      </c>
      <c r="H2369" t="s">
        <v>13128</v>
      </c>
      <c r="J2369" s="54" t="s">
        <v>6052</v>
      </c>
      <c r="K2369" s="54">
        <v>0</v>
      </c>
      <c r="L2369" s="22" t="s">
        <v>1563</v>
      </c>
      <c r="M2369" s="22" t="s">
        <v>36991</v>
      </c>
    </row>
    <row r="2370" spans="1:13" x14ac:dyDescent="0.75">
      <c r="A2370" t="s">
        <v>16711</v>
      </c>
      <c r="B2370" t="s">
        <v>14313</v>
      </c>
      <c r="C2370" t="s">
        <v>7773</v>
      </c>
      <c r="D2370" t="s">
        <v>14314</v>
      </c>
      <c r="E2370" t="s">
        <v>16712</v>
      </c>
      <c r="F2370">
        <v>37</v>
      </c>
      <c r="G2370">
        <v>4901530</v>
      </c>
      <c r="H2370" t="s">
        <v>16713</v>
      </c>
      <c r="J2370" s="54" t="s">
        <v>6052</v>
      </c>
      <c r="K2370" s="54">
        <v>0</v>
      </c>
      <c r="L2370" s="22" t="s">
        <v>144</v>
      </c>
      <c r="M2370" s="22" t="s">
        <v>36992</v>
      </c>
    </row>
    <row r="2371" spans="1:13" x14ac:dyDescent="0.75">
      <c r="A2371" t="s">
        <v>24143</v>
      </c>
      <c r="B2371" t="s">
        <v>7772</v>
      </c>
      <c r="C2371" t="s">
        <v>7773</v>
      </c>
      <c r="D2371" t="s">
        <v>7774</v>
      </c>
      <c r="E2371" t="s">
        <v>24144</v>
      </c>
      <c r="F2371">
        <v>2</v>
      </c>
      <c r="G2371">
        <v>4987708</v>
      </c>
      <c r="H2371" t="s">
        <v>24145</v>
      </c>
      <c r="J2371" s="54" t="s">
        <v>6052</v>
      </c>
      <c r="K2371" s="54">
        <v>0</v>
      </c>
      <c r="L2371" s="22" t="s">
        <v>1563</v>
      </c>
      <c r="M2371" s="22" t="s">
        <v>36991</v>
      </c>
    </row>
    <row r="2372" spans="1:13" x14ac:dyDescent="0.75">
      <c r="A2372" t="s">
        <v>14312</v>
      </c>
      <c r="B2372" t="s">
        <v>14313</v>
      </c>
      <c r="C2372" t="s">
        <v>7773</v>
      </c>
      <c r="D2372" t="s">
        <v>14314</v>
      </c>
      <c r="E2372" t="s">
        <v>14315</v>
      </c>
      <c r="F2372">
        <v>1</v>
      </c>
      <c r="G2372">
        <v>4796512</v>
      </c>
      <c r="H2372" t="s">
        <v>14316</v>
      </c>
      <c r="J2372" s="54" t="s">
        <v>6052</v>
      </c>
      <c r="K2372" s="54">
        <v>0</v>
      </c>
      <c r="L2372" s="22" t="s">
        <v>144</v>
      </c>
      <c r="M2372" s="22" t="s">
        <v>36992</v>
      </c>
    </row>
    <row r="2373" spans="1:13" x14ac:dyDescent="0.75">
      <c r="A2373" t="s">
        <v>21113</v>
      </c>
      <c r="B2373" t="s">
        <v>14313</v>
      </c>
      <c r="C2373" t="s">
        <v>7773</v>
      </c>
      <c r="D2373" t="s">
        <v>14314</v>
      </c>
      <c r="E2373" t="s">
        <v>21114</v>
      </c>
      <c r="F2373">
        <v>1</v>
      </c>
      <c r="G2373">
        <v>4821734</v>
      </c>
      <c r="H2373" t="s">
        <v>21115</v>
      </c>
      <c r="J2373" s="54" t="s">
        <v>6052</v>
      </c>
      <c r="K2373" s="54">
        <v>0</v>
      </c>
      <c r="L2373" s="22" t="s">
        <v>144</v>
      </c>
      <c r="M2373" s="22" t="s">
        <v>36992</v>
      </c>
    </row>
    <row r="2374" spans="1:13" x14ac:dyDescent="0.75">
      <c r="A2374" t="s">
        <v>14436</v>
      </c>
      <c r="B2374" t="s">
        <v>14313</v>
      </c>
      <c r="C2374" t="s">
        <v>7773</v>
      </c>
      <c r="D2374" t="s">
        <v>14314</v>
      </c>
      <c r="E2374" t="s">
        <v>14437</v>
      </c>
      <c r="F2374">
        <v>7</v>
      </c>
      <c r="G2374">
        <v>5179590</v>
      </c>
      <c r="H2374" t="s">
        <v>14438</v>
      </c>
      <c r="J2374" s="54" t="s">
        <v>6052</v>
      </c>
      <c r="K2374" s="54">
        <v>0</v>
      </c>
      <c r="L2374" s="22" t="s">
        <v>144</v>
      </c>
      <c r="M2374" s="22" t="s">
        <v>36992</v>
      </c>
    </row>
    <row r="2375" spans="1:13" x14ac:dyDescent="0.75">
      <c r="A2375" t="s">
        <v>21513</v>
      </c>
      <c r="B2375" t="s">
        <v>14313</v>
      </c>
      <c r="C2375" t="s">
        <v>7773</v>
      </c>
      <c r="D2375" t="s">
        <v>14314</v>
      </c>
      <c r="E2375" t="s">
        <v>21514</v>
      </c>
      <c r="F2375">
        <v>3</v>
      </c>
      <c r="G2375">
        <v>5194378</v>
      </c>
      <c r="H2375" t="s">
        <v>21515</v>
      </c>
      <c r="J2375" s="54" t="s">
        <v>6052</v>
      </c>
      <c r="K2375" s="54">
        <v>0</v>
      </c>
      <c r="L2375" s="22" t="s">
        <v>144</v>
      </c>
      <c r="M2375" s="22" t="s">
        <v>36992</v>
      </c>
    </row>
    <row r="2376" spans="1:13" x14ac:dyDescent="0.75">
      <c r="A2376" t="s">
        <v>13331</v>
      </c>
      <c r="B2376" t="s">
        <v>7772</v>
      </c>
      <c r="C2376" t="s">
        <v>7773</v>
      </c>
      <c r="D2376" t="s">
        <v>7774</v>
      </c>
      <c r="E2376" t="s">
        <v>13332</v>
      </c>
      <c r="F2376">
        <v>85</v>
      </c>
      <c r="G2376">
        <v>4679119</v>
      </c>
      <c r="H2376" t="s">
        <v>13333</v>
      </c>
      <c r="J2376" s="54" t="s">
        <v>6052</v>
      </c>
      <c r="K2376" s="54">
        <v>0</v>
      </c>
      <c r="L2376" s="22" t="s">
        <v>1563</v>
      </c>
      <c r="M2376" s="22" t="s">
        <v>36991</v>
      </c>
    </row>
    <row r="2377" spans="1:13" x14ac:dyDescent="0.75">
      <c r="A2377" t="s">
        <v>21394</v>
      </c>
      <c r="B2377" t="s">
        <v>14313</v>
      </c>
      <c r="C2377" t="s">
        <v>7773</v>
      </c>
      <c r="D2377" t="s">
        <v>14314</v>
      </c>
      <c r="E2377" t="s">
        <v>21395</v>
      </c>
      <c r="F2377">
        <v>10</v>
      </c>
      <c r="G2377">
        <v>4736684</v>
      </c>
      <c r="H2377" t="s">
        <v>21396</v>
      </c>
      <c r="J2377" s="54" t="s">
        <v>6052</v>
      </c>
      <c r="K2377" s="54">
        <v>0</v>
      </c>
      <c r="L2377" s="22" t="s">
        <v>144</v>
      </c>
      <c r="M2377" s="22" t="s">
        <v>36992</v>
      </c>
    </row>
    <row r="2378" spans="1:13" x14ac:dyDescent="0.75">
      <c r="A2378" t="s">
        <v>17722</v>
      </c>
      <c r="B2378" t="s">
        <v>14313</v>
      </c>
      <c r="C2378" t="s">
        <v>7773</v>
      </c>
      <c r="D2378" t="s">
        <v>14314</v>
      </c>
      <c r="E2378" t="s">
        <v>17723</v>
      </c>
      <c r="F2378">
        <v>2</v>
      </c>
      <c r="G2378">
        <v>4992573</v>
      </c>
      <c r="H2378" t="s">
        <v>17724</v>
      </c>
      <c r="J2378" s="54" t="s">
        <v>6052</v>
      </c>
      <c r="K2378" s="54">
        <v>0</v>
      </c>
      <c r="L2378" s="22" t="s">
        <v>144</v>
      </c>
      <c r="M2378" s="22" t="s">
        <v>36992</v>
      </c>
    </row>
    <row r="2379" spans="1:13" x14ac:dyDescent="0.75">
      <c r="A2379" t="s">
        <v>18806</v>
      </c>
      <c r="B2379" t="s">
        <v>7772</v>
      </c>
      <c r="C2379" t="s">
        <v>7773</v>
      </c>
      <c r="D2379" t="s">
        <v>7774</v>
      </c>
      <c r="E2379" t="s">
        <v>18807</v>
      </c>
      <c r="F2379">
        <v>4</v>
      </c>
      <c r="G2379">
        <v>4847420</v>
      </c>
      <c r="H2379" t="s">
        <v>18808</v>
      </c>
      <c r="J2379" s="54" t="s">
        <v>6052</v>
      </c>
      <c r="K2379" s="54">
        <v>0</v>
      </c>
      <c r="L2379" s="22" t="s">
        <v>1563</v>
      </c>
      <c r="M2379" s="22" t="s">
        <v>36991</v>
      </c>
    </row>
    <row r="2380" spans="1:13" x14ac:dyDescent="0.75">
      <c r="A2380" t="s">
        <v>18803</v>
      </c>
      <c r="B2380" t="s">
        <v>7772</v>
      </c>
      <c r="C2380" t="s">
        <v>7773</v>
      </c>
      <c r="D2380" t="s">
        <v>7774</v>
      </c>
      <c r="E2380" t="s">
        <v>18804</v>
      </c>
      <c r="F2380">
        <v>4</v>
      </c>
      <c r="G2380">
        <v>4849166</v>
      </c>
      <c r="H2380" t="s">
        <v>18805</v>
      </c>
      <c r="J2380" s="54" t="s">
        <v>6052</v>
      </c>
      <c r="K2380" s="54">
        <v>0</v>
      </c>
      <c r="L2380" s="22" t="s">
        <v>1563</v>
      </c>
      <c r="M2380" s="22" t="s">
        <v>36991</v>
      </c>
    </row>
    <row r="2381" spans="1:13" x14ac:dyDescent="0.75">
      <c r="A2381" t="s">
        <v>28719</v>
      </c>
      <c r="B2381" t="s">
        <v>14313</v>
      </c>
      <c r="C2381" t="s">
        <v>7773</v>
      </c>
      <c r="D2381" t="s">
        <v>14314</v>
      </c>
      <c r="E2381" t="s">
        <v>28720</v>
      </c>
      <c r="F2381">
        <v>2</v>
      </c>
      <c r="G2381">
        <v>4935357</v>
      </c>
      <c r="H2381" t="s">
        <v>28721</v>
      </c>
      <c r="J2381" s="54" t="s">
        <v>6052</v>
      </c>
      <c r="K2381" s="54">
        <v>0</v>
      </c>
      <c r="L2381" s="22" t="s">
        <v>144</v>
      </c>
      <c r="M2381" s="22" t="s">
        <v>36992</v>
      </c>
    </row>
    <row r="2382" spans="1:13" x14ac:dyDescent="0.75">
      <c r="A2382" t="s">
        <v>25293</v>
      </c>
      <c r="B2382" t="s">
        <v>14313</v>
      </c>
      <c r="C2382" t="s">
        <v>7773</v>
      </c>
      <c r="D2382" t="s">
        <v>14314</v>
      </c>
      <c r="E2382" t="s">
        <v>25294</v>
      </c>
      <c r="F2382">
        <v>35</v>
      </c>
      <c r="G2382">
        <v>4706154</v>
      </c>
      <c r="H2382" t="s">
        <v>25295</v>
      </c>
      <c r="J2382" s="54" t="s">
        <v>6052</v>
      </c>
      <c r="K2382" s="54">
        <v>0</v>
      </c>
      <c r="L2382" s="22" t="s">
        <v>144</v>
      </c>
      <c r="M2382" s="22" t="s">
        <v>36992</v>
      </c>
    </row>
    <row r="2383" spans="1:13" x14ac:dyDescent="0.75">
      <c r="A2383" t="s">
        <v>18686</v>
      </c>
      <c r="B2383" t="s">
        <v>9426</v>
      </c>
      <c r="C2383" t="s">
        <v>6744</v>
      </c>
      <c r="D2383" t="s">
        <v>9427</v>
      </c>
      <c r="E2383" t="s">
        <v>18687</v>
      </c>
      <c r="F2383">
        <v>1</v>
      </c>
      <c r="G2383">
        <v>2937521</v>
      </c>
      <c r="H2383" t="s">
        <v>18688</v>
      </c>
      <c r="J2383" s="54" t="s">
        <v>6052</v>
      </c>
      <c r="K2383" s="54">
        <v>0</v>
      </c>
      <c r="L2383" s="22" t="s">
        <v>963</v>
      </c>
      <c r="M2383" s="22" t="s">
        <v>36993</v>
      </c>
    </row>
    <row r="2384" spans="1:13" x14ac:dyDescent="0.75">
      <c r="A2384" t="s">
        <v>22354</v>
      </c>
      <c r="B2384" t="s">
        <v>9426</v>
      </c>
      <c r="C2384" t="s">
        <v>6744</v>
      </c>
      <c r="D2384" t="s">
        <v>9427</v>
      </c>
      <c r="E2384" t="s">
        <v>22355</v>
      </c>
      <c r="F2384">
        <v>2</v>
      </c>
      <c r="G2384">
        <v>2913888</v>
      </c>
      <c r="H2384" t="s">
        <v>22356</v>
      </c>
      <c r="J2384" s="54" t="s">
        <v>6052</v>
      </c>
      <c r="K2384" s="54">
        <v>0</v>
      </c>
      <c r="L2384" s="22" t="s">
        <v>963</v>
      </c>
      <c r="M2384" s="22" t="s">
        <v>36993</v>
      </c>
    </row>
    <row r="2385" spans="1:13" x14ac:dyDescent="0.75">
      <c r="A2385" t="s">
        <v>23231</v>
      </c>
      <c r="B2385" t="s">
        <v>9426</v>
      </c>
      <c r="C2385" t="s">
        <v>6744</v>
      </c>
      <c r="D2385" t="s">
        <v>9427</v>
      </c>
      <c r="E2385" t="s">
        <v>23232</v>
      </c>
      <c r="F2385">
        <v>4</v>
      </c>
      <c r="G2385">
        <v>2924329</v>
      </c>
      <c r="H2385" t="s">
        <v>23233</v>
      </c>
      <c r="J2385" s="54" t="s">
        <v>6052</v>
      </c>
      <c r="K2385" s="54">
        <v>0</v>
      </c>
      <c r="L2385" s="22" t="s">
        <v>963</v>
      </c>
      <c r="M2385" s="22" t="s">
        <v>36993</v>
      </c>
    </row>
    <row r="2386" spans="1:13" x14ac:dyDescent="0.75">
      <c r="A2386" t="s">
        <v>9425</v>
      </c>
      <c r="B2386" t="s">
        <v>9426</v>
      </c>
      <c r="C2386" t="s">
        <v>6744</v>
      </c>
      <c r="D2386" t="s">
        <v>9427</v>
      </c>
      <c r="E2386" t="s">
        <v>9428</v>
      </c>
      <c r="F2386">
        <v>11</v>
      </c>
      <c r="G2386">
        <v>2881400</v>
      </c>
      <c r="H2386" t="s">
        <v>9429</v>
      </c>
      <c r="J2386" s="54" t="s">
        <v>6052</v>
      </c>
      <c r="K2386" s="54">
        <v>0</v>
      </c>
      <c r="L2386" s="22" t="s">
        <v>963</v>
      </c>
      <c r="M2386" s="22" t="s">
        <v>36993</v>
      </c>
    </row>
    <row r="2387" spans="1:13" x14ac:dyDescent="0.75">
      <c r="A2387" t="s">
        <v>9443</v>
      </c>
      <c r="B2387" t="s">
        <v>9444</v>
      </c>
      <c r="C2387" t="s">
        <v>6744</v>
      </c>
      <c r="D2387" t="s">
        <v>9445</v>
      </c>
      <c r="E2387" t="s">
        <v>9446</v>
      </c>
      <c r="F2387">
        <v>14</v>
      </c>
      <c r="G2387">
        <v>2638500</v>
      </c>
      <c r="H2387" t="s">
        <v>9447</v>
      </c>
      <c r="J2387" s="54" t="s">
        <v>6052</v>
      </c>
      <c r="K2387" s="54">
        <v>0</v>
      </c>
      <c r="L2387" s="22" t="s">
        <v>144</v>
      </c>
      <c r="M2387" s="22" t="s">
        <v>36994</v>
      </c>
    </row>
    <row r="2388" spans="1:13" x14ac:dyDescent="0.75">
      <c r="A2388" t="s">
        <v>9448</v>
      </c>
      <c r="B2388" t="s">
        <v>9444</v>
      </c>
      <c r="C2388" t="s">
        <v>6744</v>
      </c>
      <c r="D2388" t="s">
        <v>9445</v>
      </c>
      <c r="E2388" t="s">
        <v>9446</v>
      </c>
      <c r="F2388">
        <v>5</v>
      </c>
      <c r="G2388">
        <v>2604038</v>
      </c>
      <c r="H2388" t="s">
        <v>9449</v>
      </c>
      <c r="J2388" s="54" t="s">
        <v>6052</v>
      </c>
      <c r="K2388" s="54">
        <v>0</v>
      </c>
      <c r="L2388" s="22" t="s">
        <v>144</v>
      </c>
      <c r="M2388" s="22" t="s">
        <v>36994</v>
      </c>
    </row>
    <row r="2389" spans="1:13" x14ac:dyDescent="0.75">
      <c r="A2389" t="s">
        <v>13871</v>
      </c>
      <c r="B2389" t="s">
        <v>11450</v>
      </c>
      <c r="C2389" t="s">
        <v>6744</v>
      </c>
      <c r="D2389" t="s">
        <v>11451</v>
      </c>
      <c r="E2389" t="s">
        <v>13872</v>
      </c>
      <c r="F2389">
        <v>2</v>
      </c>
      <c r="G2389">
        <v>2988928</v>
      </c>
      <c r="H2389" t="s">
        <v>13873</v>
      </c>
      <c r="J2389" s="54" t="s">
        <v>6052</v>
      </c>
      <c r="K2389" s="54">
        <v>0</v>
      </c>
      <c r="L2389" s="22" t="s">
        <v>963</v>
      </c>
      <c r="M2389" s="22" t="s">
        <v>36995</v>
      </c>
    </row>
    <row r="2390" spans="1:13" x14ac:dyDescent="0.75">
      <c r="A2390" t="s">
        <v>23393</v>
      </c>
      <c r="B2390" t="s">
        <v>7397</v>
      </c>
      <c r="C2390" t="s">
        <v>6744</v>
      </c>
      <c r="D2390" t="s">
        <v>7398</v>
      </c>
      <c r="E2390" t="s">
        <v>23394</v>
      </c>
      <c r="F2390">
        <v>67</v>
      </c>
      <c r="G2390">
        <v>2334547</v>
      </c>
      <c r="H2390" t="s">
        <v>23395</v>
      </c>
      <c r="J2390" s="54" t="s">
        <v>6052</v>
      </c>
      <c r="K2390" s="54">
        <v>0</v>
      </c>
      <c r="L2390" s="22" t="s">
        <v>144</v>
      </c>
      <c r="M2390" s="22" t="s">
        <v>36996</v>
      </c>
    </row>
    <row r="2391" spans="1:13" x14ac:dyDescent="0.75">
      <c r="A2391" t="s">
        <v>23396</v>
      </c>
      <c r="B2391" t="s">
        <v>7397</v>
      </c>
      <c r="C2391" t="s">
        <v>6744</v>
      </c>
      <c r="D2391" t="s">
        <v>7398</v>
      </c>
      <c r="E2391" t="s">
        <v>23397</v>
      </c>
      <c r="F2391">
        <v>57</v>
      </c>
      <c r="G2391">
        <v>2390136</v>
      </c>
      <c r="H2391" t="s">
        <v>23398</v>
      </c>
      <c r="J2391" s="54" t="s">
        <v>6052</v>
      </c>
      <c r="K2391" s="54">
        <v>0</v>
      </c>
      <c r="L2391" s="22" t="s">
        <v>144</v>
      </c>
      <c r="M2391" s="22" t="s">
        <v>36996</v>
      </c>
    </row>
    <row r="2392" spans="1:13" x14ac:dyDescent="0.75">
      <c r="A2392" t="s">
        <v>7396</v>
      </c>
      <c r="B2392" t="s">
        <v>7397</v>
      </c>
      <c r="C2392" t="s">
        <v>6744</v>
      </c>
      <c r="D2392" t="s">
        <v>7398</v>
      </c>
      <c r="E2392" t="s">
        <v>7399</v>
      </c>
      <c r="F2392">
        <v>156</v>
      </c>
      <c r="G2392">
        <v>2415788</v>
      </c>
      <c r="H2392" t="s">
        <v>7400</v>
      </c>
      <c r="J2392" s="54" t="s">
        <v>6052</v>
      </c>
      <c r="K2392" s="54">
        <v>0</v>
      </c>
      <c r="L2392" s="22" t="s">
        <v>144</v>
      </c>
      <c r="M2392" s="22" t="s">
        <v>36996</v>
      </c>
    </row>
    <row r="2393" spans="1:13" x14ac:dyDescent="0.75">
      <c r="A2393" t="s">
        <v>13135</v>
      </c>
      <c r="B2393" t="s">
        <v>7397</v>
      </c>
      <c r="C2393" t="s">
        <v>6744</v>
      </c>
      <c r="D2393" t="s">
        <v>7398</v>
      </c>
      <c r="E2393" t="s">
        <v>7399</v>
      </c>
      <c r="F2393">
        <v>120</v>
      </c>
      <c r="G2393">
        <v>2322207</v>
      </c>
      <c r="H2393" t="s">
        <v>13136</v>
      </c>
      <c r="J2393" s="54" t="s">
        <v>6052</v>
      </c>
      <c r="K2393" s="54">
        <v>0</v>
      </c>
      <c r="L2393" s="22" t="s">
        <v>144</v>
      </c>
      <c r="M2393" s="22" t="s">
        <v>36996</v>
      </c>
    </row>
    <row r="2394" spans="1:13" x14ac:dyDescent="0.75">
      <c r="A2394" t="s">
        <v>13132</v>
      </c>
      <c r="B2394" t="s">
        <v>6743</v>
      </c>
      <c r="C2394" t="s">
        <v>6744</v>
      </c>
      <c r="D2394" t="s">
        <v>6745</v>
      </c>
      <c r="E2394" t="s">
        <v>13133</v>
      </c>
      <c r="F2394">
        <v>76</v>
      </c>
      <c r="G2394">
        <v>3472622</v>
      </c>
      <c r="H2394" t="s">
        <v>13134</v>
      </c>
      <c r="J2394" s="54" t="s">
        <v>6052</v>
      </c>
      <c r="K2394" s="54">
        <v>0</v>
      </c>
      <c r="L2394" s="22" t="s">
        <v>34</v>
      </c>
      <c r="M2394" s="22" t="s">
        <v>36997</v>
      </c>
    </row>
    <row r="2395" spans="1:13" x14ac:dyDescent="0.75">
      <c r="A2395" t="s">
        <v>13137</v>
      </c>
      <c r="B2395" t="s">
        <v>9444</v>
      </c>
      <c r="C2395" t="s">
        <v>6744</v>
      </c>
      <c r="D2395" t="s">
        <v>9445</v>
      </c>
      <c r="E2395" t="s">
        <v>13138</v>
      </c>
      <c r="F2395">
        <v>51</v>
      </c>
      <c r="G2395">
        <v>2557288</v>
      </c>
      <c r="H2395" t="s">
        <v>13139</v>
      </c>
      <c r="J2395" s="54" t="s">
        <v>6052</v>
      </c>
      <c r="K2395" s="54">
        <v>0</v>
      </c>
      <c r="L2395" s="22" t="s">
        <v>144</v>
      </c>
      <c r="M2395" s="22" t="s">
        <v>36994</v>
      </c>
    </row>
    <row r="2396" spans="1:13" x14ac:dyDescent="0.75">
      <c r="A2396" t="s">
        <v>25007</v>
      </c>
      <c r="B2396" t="s">
        <v>9444</v>
      </c>
      <c r="C2396" t="s">
        <v>6744</v>
      </c>
      <c r="D2396" t="s">
        <v>9445</v>
      </c>
      <c r="E2396" t="s">
        <v>13138</v>
      </c>
      <c r="F2396">
        <v>1</v>
      </c>
      <c r="G2396">
        <v>2622437</v>
      </c>
      <c r="H2396" t="s">
        <v>25008</v>
      </c>
      <c r="J2396" s="54" t="s">
        <v>6052</v>
      </c>
      <c r="K2396" s="54">
        <v>0</v>
      </c>
      <c r="L2396" s="22" t="s">
        <v>144</v>
      </c>
      <c r="M2396" s="22" t="s">
        <v>36994</v>
      </c>
    </row>
    <row r="2397" spans="1:13" x14ac:dyDescent="0.75">
      <c r="A2397" t="s">
        <v>6742</v>
      </c>
      <c r="B2397" t="s">
        <v>6743</v>
      </c>
      <c r="C2397" t="s">
        <v>6744</v>
      </c>
      <c r="D2397" t="s">
        <v>6745</v>
      </c>
      <c r="E2397" t="s">
        <v>6746</v>
      </c>
      <c r="F2397">
        <v>1</v>
      </c>
      <c r="G2397">
        <v>3427276</v>
      </c>
      <c r="H2397" t="s">
        <v>6747</v>
      </c>
      <c r="J2397" s="54" t="s">
        <v>6052</v>
      </c>
      <c r="K2397" s="54">
        <v>0</v>
      </c>
      <c r="L2397" s="22" t="s">
        <v>34</v>
      </c>
      <c r="M2397" s="22" t="s">
        <v>36997</v>
      </c>
    </row>
    <row r="2398" spans="1:13" x14ac:dyDescent="0.75">
      <c r="A2398" t="s">
        <v>15970</v>
      </c>
      <c r="B2398" t="s">
        <v>6743</v>
      </c>
      <c r="C2398" t="s">
        <v>6744</v>
      </c>
      <c r="D2398" t="s">
        <v>6745</v>
      </c>
      <c r="E2398" t="s">
        <v>15971</v>
      </c>
      <c r="F2398">
        <v>2</v>
      </c>
      <c r="G2398">
        <v>3668336</v>
      </c>
      <c r="H2398" t="s">
        <v>15972</v>
      </c>
      <c r="J2398" s="54" t="s">
        <v>6052</v>
      </c>
      <c r="K2398" s="54">
        <v>0</v>
      </c>
      <c r="L2398" s="22" t="s">
        <v>34</v>
      </c>
      <c r="M2398" s="22" t="s">
        <v>36997</v>
      </c>
    </row>
    <row r="2399" spans="1:13" x14ac:dyDescent="0.75">
      <c r="A2399" t="s">
        <v>22981</v>
      </c>
      <c r="B2399" t="s">
        <v>6743</v>
      </c>
      <c r="C2399" t="s">
        <v>6744</v>
      </c>
      <c r="D2399" t="s">
        <v>6745</v>
      </c>
      <c r="E2399" t="s">
        <v>22982</v>
      </c>
      <c r="F2399">
        <v>1</v>
      </c>
      <c r="G2399">
        <v>3784641</v>
      </c>
      <c r="H2399" t="s">
        <v>22983</v>
      </c>
      <c r="J2399" s="54" t="s">
        <v>6052</v>
      </c>
      <c r="K2399" s="54">
        <v>0</v>
      </c>
      <c r="L2399" s="22" t="s">
        <v>34</v>
      </c>
      <c r="M2399" s="22" t="s">
        <v>36997</v>
      </c>
    </row>
    <row r="2400" spans="1:13" x14ac:dyDescent="0.75">
      <c r="A2400" t="s">
        <v>16690</v>
      </c>
      <c r="B2400" t="s">
        <v>9426</v>
      </c>
      <c r="C2400" t="s">
        <v>6744</v>
      </c>
      <c r="D2400" t="s">
        <v>9427</v>
      </c>
      <c r="E2400" t="s">
        <v>16691</v>
      </c>
      <c r="F2400">
        <v>6</v>
      </c>
      <c r="G2400">
        <v>3183730</v>
      </c>
      <c r="H2400" t="s">
        <v>16692</v>
      </c>
      <c r="J2400" s="54" t="s">
        <v>6052</v>
      </c>
      <c r="K2400" s="54">
        <v>0</v>
      </c>
      <c r="L2400" s="22" t="s">
        <v>963</v>
      </c>
      <c r="M2400" s="22" t="s">
        <v>36993</v>
      </c>
    </row>
    <row r="2401" spans="1:13" x14ac:dyDescent="0.75">
      <c r="A2401" t="s">
        <v>21128</v>
      </c>
      <c r="B2401" t="s">
        <v>11450</v>
      </c>
      <c r="C2401" t="s">
        <v>6744</v>
      </c>
      <c r="D2401" t="s">
        <v>11451</v>
      </c>
      <c r="E2401" t="s">
        <v>21129</v>
      </c>
      <c r="F2401">
        <v>5</v>
      </c>
      <c r="G2401">
        <v>3095709</v>
      </c>
      <c r="H2401" t="s">
        <v>21130</v>
      </c>
      <c r="J2401" s="54" t="s">
        <v>6052</v>
      </c>
      <c r="K2401" s="54">
        <v>0</v>
      </c>
      <c r="L2401" s="22" t="s">
        <v>963</v>
      </c>
      <c r="M2401" s="22" t="s">
        <v>36995</v>
      </c>
    </row>
    <row r="2402" spans="1:13" x14ac:dyDescent="0.75">
      <c r="A2402" t="s">
        <v>11962</v>
      </c>
      <c r="B2402" t="s">
        <v>6743</v>
      </c>
      <c r="C2402" t="s">
        <v>6744</v>
      </c>
      <c r="D2402" t="s">
        <v>6745</v>
      </c>
      <c r="E2402" t="s">
        <v>11963</v>
      </c>
      <c r="F2402">
        <v>2</v>
      </c>
      <c r="G2402">
        <v>3821476</v>
      </c>
      <c r="H2402" t="s">
        <v>11964</v>
      </c>
      <c r="J2402" s="54" t="s">
        <v>6052</v>
      </c>
      <c r="K2402" s="54">
        <v>0</v>
      </c>
      <c r="L2402" s="22" t="s">
        <v>34</v>
      </c>
      <c r="M2402" s="22" t="s">
        <v>36997</v>
      </c>
    </row>
    <row r="2403" spans="1:13" x14ac:dyDescent="0.75">
      <c r="A2403" t="s">
        <v>20038</v>
      </c>
      <c r="B2403" t="s">
        <v>6743</v>
      </c>
      <c r="C2403" t="s">
        <v>6744</v>
      </c>
      <c r="D2403" t="s">
        <v>6745</v>
      </c>
      <c r="E2403" t="s">
        <v>20039</v>
      </c>
      <c r="F2403">
        <v>2</v>
      </c>
      <c r="G2403">
        <v>3580828</v>
      </c>
      <c r="H2403" t="s">
        <v>20040</v>
      </c>
      <c r="J2403" s="54" t="s">
        <v>6052</v>
      </c>
      <c r="K2403" s="54">
        <v>0</v>
      </c>
      <c r="L2403" s="22" t="s">
        <v>34</v>
      </c>
      <c r="M2403" s="22" t="s">
        <v>36997</v>
      </c>
    </row>
    <row r="2404" spans="1:13" x14ac:dyDescent="0.75">
      <c r="A2404" t="s">
        <v>29428</v>
      </c>
      <c r="B2404" t="s">
        <v>7397</v>
      </c>
      <c r="C2404" t="s">
        <v>6744</v>
      </c>
      <c r="D2404" t="s">
        <v>7398</v>
      </c>
      <c r="E2404" t="s">
        <v>29429</v>
      </c>
      <c r="F2404">
        <v>159</v>
      </c>
      <c r="G2404">
        <v>2375692</v>
      </c>
      <c r="H2404" t="s">
        <v>29430</v>
      </c>
      <c r="J2404" s="54" t="s">
        <v>6052</v>
      </c>
      <c r="K2404" s="54">
        <v>0</v>
      </c>
      <c r="L2404" s="22" t="s">
        <v>144</v>
      </c>
      <c r="M2404" s="22" t="s">
        <v>36996</v>
      </c>
    </row>
    <row r="2405" spans="1:13" x14ac:dyDescent="0.75">
      <c r="A2405" t="s">
        <v>29431</v>
      </c>
      <c r="B2405" t="s">
        <v>7397</v>
      </c>
      <c r="C2405" t="s">
        <v>6744</v>
      </c>
      <c r="D2405" t="s">
        <v>7398</v>
      </c>
      <c r="E2405" t="s">
        <v>29432</v>
      </c>
      <c r="F2405">
        <v>159</v>
      </c>
      <c r="G2405">
        <v>2464751</v>
      </c>
      <c r="H2405" t="s">
        <v>29433</v>
      </c>
      <c r="J2405" s="54" t="s">
        <v>6052</v>
      </c>
      <c r="K2405" s="54">
        <v>0</v>
      </c>
      <c r="L2405" s="22" t="s">
        <v>144</v>
      </c>
      <c r="M2405" s="22" t="s">
        <v>36996</v>
      </c>
    </row>
    <row r="2406" spans="1:13" x14ac:dyDescent="0.75">
      <c r="A2406" t="s">
        <v>23781</v>
      </c>
      <c r="B2406" t="s">
        <v>9426</v>
      </c>
      <c r="C2406" t="s">
        <v>6744</v>
      </c>
      <c r="D2406" t="s">
        <v>9427</v>
      </c>
      <c r="E2406" t="s">
        <v>23782</v>
      </c>
      <c r="F2406">
        <v>7</v>
      </c>
      <c r="G2406">
        <v>3047376</v>
      </c>
      <c r="H2406" t="s">
        <v>23783</v>
      </c>
      <c r="J2406" s="54" t="s">
        <v>6052</v>
      </c>
      <c r="K2406" s="54">
        <v>0</v>
      </c>
      <c r="L2406" s="22" t="s">
        <v>963</v>
      </c>
      <c r="M2406" s="22" t="s">
        <v>36993</v>
      </c>
    </row>
    <row r="2407" spans="1:13" x14ac:dyDescent="0.75">
      <c r="A2407" t="s">
        <v>19956</v>
      </c>
      <c r="B2407" t="s">
        <v>11450</v>
      </c>
      <c r="C2407" t="s">
        <v>6744</v>
      </c>
      <c r="D2407" t="s">
        <v>11451</v>
      </c>
      <c r="E2407" t="s">
        <v>19957</v>
      </c>
      <c r="F2407">
        <v>4</v>
      </c>
      <c r="G2407">
        <v>3137200</v>
      </c>
      <c r="H2407" t="s">
        <v>19958</v>
      </c>
      <c r="J2407" s="54" t="s">
        <v>6052</v>
      </c>
      <c r="K2407" s="54">
        <v>0</v>
      </c>
      <c r="L2407" s="22" t="s">
        <v>963</v>
      </c>
      <c r="M2407" s="22" t="s">
        <v>36995</v>
      </c>
    </row>
    <row r="2408" spans="1:13" x14ac:dyDescent="0.75">
      <c r="A2408" t="s">
        <v>11454</v>
      </c>
      <c r="B2408" t="s">
        <v>11450</v>
      </c>
      <c r="C2408" t="s">
        <v>6744</v>
      </c>
      <c r="D2408" t="s">
        <v>11451</v>
      </c>
      <c r="E2408" t="s">
        <v>11455</v>
      </c>
      <c r="F2408">
        <v>3</v>
      </c>
      <c r="G2408">
        <v>3071879</v>
      </c>
      <c r="H2408" t="s">
        <v>11456</v>
      </c>
      <c r="J2408" s="54" t="s">
        <v>6052</v>
      </c>
      <c r="K2408" s="54">
        <v>0</v>
      </c>
      <c r="L2408" s="22" t="s">
        <v>963</v>
      </c>
      <c r="M2408" s="22" t="s">
        <v>36995</v>
      </c>
    </row>
    <row r="2409" spans="1:13" x14ac:dyDescent="0.75">
      <c r="A2409" t="s">
        <v>11449</v>
      </c>
      <c r="B2409" t="s">
        <v>11450</v>
      </c>
      <c r="C2409" t="s">
        <v>6744</v>
      </c>
      <c r="D2409" t="s">
        <v>11451</v>
      </c>
      <c r="E2409" t="s">
        <v>11452</v>
      </c>
      <c r="F2409">
        <v>3</v>
      </c>
      <c r="G2409">
        <v>3071804</v>
      </c>
      <c r="H2409" t="s">
        <v>11453</v>
      </c>
      <c r="J2409" s="54" t="s">
        <v>6052</v>
      </c>
      <c r="K2409" s="54">
        <v>0</v>
      </c>
      <c r="L2409" s="22" t="s">
        <v>963</v>
      </c>
      <c r="M2409" s="22" t="s">
        <v>36995</v>
      </c>
    </row>
    <row r="2410" spans="1:13" x14ac:dyDescent="0.75">
      <c r="A2410" t="s">
        <v>16687</v>
      </c>
      <c r="B2410" t="s">
        <v>11450</v>
      </c>
      <c r="C2410" t="s">
        <v>6744</v>
      </c>
      <c r="D2410" t="s">
        <v>11451</v>
      </c>
      <c r="E2410" t="s">
        <v>16688</v>
      </c>
      <c r="F2410">
        <v>1</v>
      </c>
      <c r="G2410">
        <v>2930257</v>
      </c>
      <c r="H2410" t="s">
        <v>16689</v>
      </c>
      <c r="J2410" s="54" t="s">
        <v>6052</v>
      </c>
      <c r="K2410" s="54">
        <v>0</v>
      </c>
      <c r="L2410" s="22" t="s">
        <v>963</v>
      </c>
      <c r="M2410" s="22" t="s">
        <v>36995</v>
      </c>
    </row>
    <row r="2411" spans="1:13" x14ac:dyDescent="0.75">
      <c r="A2411" t="s">
        <v>20428</v>
      </c>
      <c r="B2411" t="s">
        <v>9426</v>
      </c>
      <c r="C2411" t="s">
        <v>6744</v>
      </c>
      <c r="D2411" t="s">
        <v>9427</v>
      </c>
      <c r="E2411" t="s">
        <v>20429</v>
      </c>
      <c r="F2411">
        <v>1</v>
      </c>
      <c r="G2411">
        <v>2846366</v>
      </c>
      <c r="H2411" t="s">
        <v>20430</v>
      </c>
      <c r="J2411" s="54" t="s">
        <v>6052</v>
      </c>
      <c r="K2411" s="54">
        <v>0</v>
      </c>
      <c r="L2411" s="22" t="s">
        <v>963</v>
      </c>
      <c r="M2411" s="22" t="s">
        <v>36993</v>
      </c>
    </row>
    <row r="2412" spans="1:13" x14ac:dyDescent="0.75">
      <c r="A2412" t="s">
        <v>11819</v>
      </c>
      <c r="B2412" t="s">
        <v>6743</v>
      </c>
      <c r="C2412" t="s">
        <v>6744</v>
      </c>
      <c r="D2412" t="s">
        <v>6745</v>
      </c>
      <c r="E2412" t="s">
        <v>11820</v>
      </c>
      <c r="F2412">
        <v>54</v>
      </c>
      <c r="G2412">
        <v>3498264</v>
      </c>
      <c r="H2412" t="s">
        <v>11821</v>
      </c>
      <c r="J2412" s="54" t="s">
        <v>6052</v>
      </c>
      <c r="K2412" s="54">
        <v>0</v>
      </c>
      <c r="L2412" s="22" t="s">
        <v>34</v>
      </c>
      <c r="M2412" s="22" t="s">
        <v>36997</v>
      </c>
    </row>
    <row r="2413" spans="1:13" x14ac:dyDescent="0.75">
      <c r="A2413" t="s">
        <v>11825</v>
      </c>
      <c r="B2413" t="s">
        <v>11450</v>
      </c>
      <c r="C2413" t="s">
        <v>6744</v>
      </c>
      <c r="D2413" t="s">
        <v>11451</v>
      </c>
      <c r="E2413" t="s">
        <v>11826</v>
      </c>
      <c r="F2413">
        <v>122</v>
      </c>
      <c r="G2413">
        <v>3017302</v>
      </c>
      <c r="H2413" t="s">
        <v>11827</v>
      </c>
      <c r="J2413" s="54" t="s">
        <v>6052</v>
      </c>
      <c r="K2413" s="54">
        <v>0</v>
      </c>
      <c r="L2413" s="22" t="s">
        <v>963</v>
      </c>
      <c r="M2413" s="22" t="s">
        <v>36995</v>
      </c>
    </row>
    <row r="2414" spans="1:13" x14ac:dyDescent="0.75">
      <c r="A2414" t="s">
        <v>11828</v>
      </c>
      <c r="B2414" t="s">
        <v>9426</v>
      </c>
      <c r="C2414" t="s">
        <v>6744</v>
      </c>
      <c r="D2414" t="s">
        <v>9427</v>
      </c>
      <c r="E2414" t="s">
        <v>11829</v>
      </c>
      <c r="F2414">
        <v>37</v>
      </c>
      <c r="G2414">
        <v>2833208</v>
      </c>
      <c r="H2414" t="s">
        <v>11830</v>
      </c>
      <c r="J2414" s="54" t="s">
        <v>6052</v>
      </c>
      <c r="K2414" s="54">
        <v>0</v>
      </c>
      <c r="L2414" s="22" t="s">
        <v>963</v>
      </c>
      <c r="M2414" s="22" t="s">
        <v>36993</v>
      </c>
    </row>
    <row r="2415" spans="1:13" x14ac:dyDescent="0.75">
      <c r="A2415" t="s">
        <v>27448</v>
      </c>
      <c r="B2415" t="s">
        <v>6743</v>
      </c>
      <c r="C2415" t="s">
        <v>6744</v>
      </c>
      <c r="D2415" t="s">
        <v>6745</v>
      </c>
      <c r="E2415" t="s">
        <v>27449</v>
      </c>
      <c r="F2415">
        <v>4</v>
      </c>
      <c r="G2415">
        <v>3555408</v>
      </c>
      <c r="H2415" t="s">
        <v>27450</v>
      </c>
      <c r="J2415" s="54" t="s">
        <v>6052</v>
      </c>
      <c r="K2415" s="54">
        <v>0</v>
      </c>
      <c r="L2415" s="22" t="s">
        <v>34</v>
      </c>
      <c r="M2415" s="22" t="s">
        <v>36997</v>
      </c>
    </row>
    <row r="2416" spans="1:13" x14ac:dyDescent="0.75">
      <c r="A2416" t="s">
        <v>24899</v>
      </c>
      <c r="B2416" t="s">
        <v>11450</v>
      </c>
      <c r="C2416" t="s">
        <v>6744</v>
      </c>
      <c r="D2416" t="s">
        <v>11451</v>
      </c>
      <c r="E2416" t="s">
        <v>24900</v>
      </c>
      <c r="F2416">
        <v>2</v>
      </c>
      <c r="G2416">
        <v>3042529</v>
      </c>
      <c r="H2416" t="s">
        <v>24901</v>
      </c>
      <c r="J2416" s="54" t="s">
        <v>6052</v>
      </c>
      <c r="K2416" s="54">
        <v>0</v>
      </c>
      <c r="L2416" s="22" t="s">
        <v>963</v>
      </c>
      <c r="M2416" s="22" t="s">
        <v>36995</v>
      </c>
    </row>
    <row r="2417" spans="1:13" x14ac:dyDescent="0.75">
      <c r="A2417" t="s">
        <v>24896</v>
      </c>
      <c r="B2417" t="s">
        <v>11450</v>
      </c>
      <c r="C2417" t="s">
        <v>6744</v>
      </c>
      <c r="D2417" t="s">
        <v>11451</v>
      </c>
      <c r="E2417" t="s">
        <v>24897</v>
      </c>
      <c r="F2417">
        <v>2</v>
      </c>
      <c r="G2417">
        <v>3045882</v>
      </c>
      <c r="H2417" t="s">
        <v>24898</v>
      </c>
      <c r="J2417" s="54" t="s">
        <v>6052</v>
      </c>
      <c r="K2417" s="54">
        <v>0</v>
      </c>
      <c r="L2417" s="22" t="s">
        <v>963</v>
      </c>
      <c r="M2417" s="22" t="s">
        <v>36995</v>
      </c>
    </row>
    <row r="2418" spans="1:13" x14ac:dyDescent="0.75">
      <c r="A2418" t="s">
        <v>29496</v>
      </c>
      <c r="B2418" t="s">
        <v>7397</v>
      </c>
      <c r="C2418" t="s">
        <v>6744</v>
      </c>
      <c r="D2418" t="s">
        <v>7398</v>
      </c>
      <c r="E2418" t="s">
        <v>29497</v>
      </c>
      <c r="F2418">
        <v>58</v>
      </c>
      <c r="G2418">
        <v>2133694</v>
      </c>
      <c r="H2418" t="s">
        <v>29498</v>
      </c>
      <c r="J2418" s="54" t="s">
        <v>6052</v>
      </c>
      <c r="K2418" s="54">
        <v>0</v>
      </c>
      <c r="L2418" s="22" t="s">
        <v>144</v>
      </c>
      <c r="M2418" s="22" t="s">
        <v>36996</v>
      </c>
    </row>
    <row r="2419" spans="1:13" x14ac:dyDescent="0.75">
      <c r="A2419" t="s">
        <v>23252</v>
      </c>
      <c r="B2419" t="s">
        <v>11450</v>
      </c>
      <c r="C2419" t="s">
        <v>6744</v>
      </c>
      <c r="D2419" t="s">
        <v>11451</v>
      </c>
      <c r="E2419" t="s">
        <v>23253</v>
      </c>
      <c r="F2419">
        <v>3</v>
      </c>
      <c r="G2419">
        <v>3046846</v>
      </c>
      <c r="H2419" t="s">
        <v>23254</v>
      </c>
      <c r="J2419" s="54" t="s">
        <v>6052</v>
      </c>
      <c r="K2419" s="54">
        <v>0</v>
      </c>
      <c r="L2419" s="22" t="s">
        <v>963</v>
      </c>
      <c r="M2419" s="22" t="s">
        <v>36995</v>
      </c>
    </row>
    <row r="2420" spans="1:13" x14ac:dyDescent="0.75">
      <c r="A2420" t="s">
        <v>23342</v>
      </c>
      <c r="B2420" t="s">
        <v>6743</v>
      </c>
      <c r="C2420" t="s">
        <v>6744</v>
      </c>
      <c r="D2420" t="s">
        <v>6745</v>
      </c>
      <c r="E2420" t="s">
        <v>23343</v>
      </c>
      <c r="F2420">
        <v>1</v>
      </c>
      <c r="G2420">
        <v>3337345</v>
      </c>
      <c r="H2420" t="s">
        <v>23344</v>
      </c>
      <c r="J2420" s="54" t="s">
        <v>6052</v>
      </c>
      <c r="K2420" s="54">
        <v>0</v>
      </c>
      <c r="L2420" s="22" t="s">
        <v>34</v>
      </c>
      <c r="M2420" s="22" t="s">
        <v>36997</v>
      </c>
    </row>
    <row r="2421" spans="1:13" x14ac:dyDescent="0.75">
      <c r="A2421" t="s">
        <v>22661</v>
      </c>
      <c r="B2421" t="s">
        <v>9426</v>
      </c>
      <c r="C2421" t="s">
        <v>6744</v>
      </c>
      <c r="D2421" t="s">
        <v>9427</v>
      </c>
      <c r="E2421" t="s">
        <v>22662</v>
      </c>
      <c r="F2421">
        <v>5</v>
      </c>
      <c r="G2421">
        <v>3292098</v>
      </c>
      <c r="H2421" t="s">
        <v>22663</v>
      </c>
      <c r="J2421" s="54" t="s">
        <v>6052</v>
      </c>
      <c r="K2421" s="54">
        <v>0</v>
      </c>
      <c r="L2421" s="22" t="s">
        <v>963</v>
      </c>
      <c r="M2421" s="22" t="s">
        <v>36993</v>
      </c>
    </row>
    <row r="2422" spans="1:13" x14ac:dyDescent="0.75">
      <c r="A2422" t="s">
        <v>13960</v>
      </c>
      <c r="B2422" t="s">
        <v>7397</v>
      </c>
      <c r="C2422" t="s">
        <v>6744</v>
      </c>
      <c r="D2422" t="s">
        <v>7398</v>
      </c>
      <c r="E2422" t="s">
        <v>13961</v>
      </c>
      <c r="F2422">
        <v>82</v>
      </c>
      <c r="G2422">
        <v>2169309</v>
      </c>
      <c r="H2422" t="s">
        <v>13962</v>
      </c>
      <c r="J2422" s="54" t="s">
        <v>6052</v>
      </c>
      <c r="K2422" s="54">
        <v>0</v>
      </c>
      <c r="L2422" s="22" t="s">
        <v>144</v>
      </c>
      <c r="M2422" s="22" t="s">
        <v>36996</v>
      </c>
    </row>
    <row r="2423" spans="1:13" x14ac:dyDescent="0.75">
      <c r="A2423" t="s">
        <v>9337</v>
      </c>
      <c r="B2423" t="s">
        <v>9338</v>
      </c>
      <c r="C2423" t="s">
        <v>9339</v>
      </c>
      <c r="D2423" t="s">
        <v>9340</v>
      </c>
      <c r="E2423" t="s">
        <v>9341</v>
      </c>
      <c r="F2423">
        <v>6</v>
      </c>
      <c r="G2423">
        <v>1931022</v>
      </c>
      <c r="H2423" t="s">
        <v>9342</v>
      </c>
      <c r="J2423" s="54" t="s">
        <v>6052</v>
      </c>
      <c r="K2423" s="54">
        <v>0</v>
      </c>
      <c r="L2423" s="22" t="s">
        <v>144</v>
      </c>
      <c r="M2423" s="22" t="s">
        <v>36998</v>
      </c>
    </row>
    <row r="2424" spans="1:13" x14ac:dyDescent="0.75">
      <c r="A2424" t="s">
        <v>1712</v>
      </c>
      <c r="B2424" t="s">
        <v>1713</v>
      </c>
      <c r="C2424" t="s">
        <v>13626</v>
      </c>
      <c r="D2424" t="s">
        <v>13627</v>
      </c>
      <c r="E2424" t="s">
        <v>13628</v>
      </c>
      <c r="F2424">
        <v>32</v>
      </c>
      <c r="G2424">
        <v>3216818</v>
      </c>
      <c r="H2424" t="s">
        <v>13629</v>
      </c>
      <c r="J2424" s="54" t="s">
        <v>6052</v>
      </c>
      <c r="K2424" s="54">
        <v>0</v>
      </c>
      <c r="L2424" s="22" t="s">
        <v>144</v>
      </c>
      <c r="M2424" s="22" t="s">
        <v>1714</v>
      </c>
    </row>
    <row r="2425" spans="1:13" x14ac:dyDescent="0.75">
      <c r="A2425" t="s">
        <v>2859</v>
      </c>
      <c r="B2425" t="s">
        <v>2591</v>
      </c>
      <c r="C2425" t="s">
        <v>13626</v>
      </c>
      <c r="D2425" t="s">
        <v>17968</v>
      </c>
      <c r="E2425" t="s">
        <v>18858</v>
      </c>
      <c r="F2425">
        <v>10</v>
      </c>
      <c r="G2425">
        <v>3342622</v>
      </c>
      <c r="H2425" t="s">
        <v>18859</v>
      </c>
      <c r="J2425" s="54" t="s">
        <v>6052</v>
      </c>
      <c r="K2425" s="54">
        <v>0</v>
      </c>
      <c r="L2425" s="22" t="s">
        <v>144</v>
      </c>
      <c r="M2425" s="22" t="s">
        <v>2592</v>
      </c>
    </row>
    <row r="2426" spans="1:13" x14ac:dyDescent="0.75">
      <c r="A2426" t="s">
        <v>2590</v>
      </c>
      <c r="B2426" t="s">
        <v>2591</v>
      </c>
      <c r="C2426" t="s">
        <v>13626</v>
      </c>
      <c r="D2426" t="s">
        <v>17968</v>
      </c>
      <c r="E2426" t="s">
        <v>17969</v>
      </c>
      <c r="F2426">
        <v>13</v>
      </c>
      <c r="G2426">
        <v>3240350</v>
      </c>
      <c r="H2426" t="s">
        <v>17970</v>
      </c>
      <c r="J2426" s="54" t="s">
        <v>6052</v>
      </c>
      <c r="K2426" s="54">
        <v>0</v>
      </c>
      <c r="L2426" s="22" t="s">
        <v>144</v>
      </c>
      <c r="M2426" s="22" t="s">
        <v>2592</v>
      </c>
    </row>
    <row r="2427" spans="1:13" x14ac:dyDescent="0.75">
      <c r="A2427" t="s">
        <v>16002</v>
      </c>
      <c r="B2427" t="s">
        <v>6218</v>
      </c>
      <c r="C2427" t="s">
        <v>6219</v>
      </c>
      <c r="D2427" t="s">
        <v>6220</v>
      </c>
      <c r="E2427" t="s">
        <v>16003</v>
      </c>
      <c r="F2427">
        <v>2</v>
      </c>
      <c r="G2427">
        <v>5034834</v>
      </c>
      <c r="H2427" t="s">
        <v>16004</v>
      </c>
      <c r="J2427" s="54" t="s">
        <v>6052</v>
      </c>
      <c r="K2427" s="54">
        <v>0</v>
      </c>
      <c r="L2427" s="22" t="s">
        <v>34</v>
      </c>
      <c r="M2427" s="22" t="s">
        <v>36999</v>
      </c>
    </row>
    <row r="2428" spans="1:13" x14ac:dyDescent="0.75">
      <c r="A2428" t="s">
        <v>7681</v>
      </c>
      <c r="B2428" t="s">
        <v>6218</v>
      </c>
      <c r="C2428" t="s">
        <v>6219</v>
      </c>
      <c r="D2428" t="s">
        <v>6220</v>
      </c>
      <c r="E2428" t="s">
        <v>7682</v>
      </c>
      <c r="F2428">
        <v>5</v>
      </c>
      <c r="G2428">
        <v>5325888</v>
      </c>
      <c r="H2428" t="s">
        <v>7683</v>
      </c>
      <c r="J2428" s="54" t="s">
        <v>6052</v>
      </c>
      <c r="K2428" s="54">
        <v>0</v>
      </c>
      <c r="L2428" s="22" t="s">
        <v>34</v>
      </c>
      <c r="M2428" s="22" t="s">
        <v>36999</v>
      </c>
    </row>
    <row r="2429" spans="1:13" x14ac:dyDescent="0.75">
      <c r="A2429" t="s">
        <v>6354</v>
      </c>
      <c r="B2429" t="s">
        <v>6218</v>
      </c>
      <c r="C2429" t="s">
        <v>6219</v>
      </c>
      <c r="D2429" t="s">
        <v>6220</v>
      </c>
      <c r="E2429" t="s">
        <v>6355</v>
      </c>
      <c r="F2429">
        <v>1</v>
      </c>
      <c r="G2429">
        <v>4686137</v>
      </c>
      <c r="H2429" t="s">
        <v>6356</v>
      </c>
      <c r="J2429" s="54" t="s">
        <v>6052</v>
      </c>
      <c r="K2429" s="54">
        <v>0</v>
      </c>
      <c r="L2429" s="22" t="s">
        <v>34</v>
      </c>
      <c r="M2429" s="22" t="s">
        <v>36999</v>
      </c>
    </row>
    <row r="2430" spans="1:13" x14ac:dyDescent="0.75">
      <c r="A2430" t="s">
        <v>8528</v>
      </c>
      <c r="B2430" t="s">
        <v>6218</v>
      </c>
      <c r="C2430" t="s">
        <v>6219</v>
      </c>
      <c r="D2430" t="s">
        <v>6220</v>
      </c>
      <c r="E2430" t="s">
        <v>8529</v>
      </c>
      <c r="F2430">
        <v>1</v>
      </c>
      <c r="G2430">
        <v>4935294</v>
      </c>
      <c r="H2430" t="s">
        <v>8530</v>
      </c>
      <c r="J2430" s="54" t="s">
        <v>6052</v>
      </c>
      <c r="K2430" s="54">
        <v>0</v>
      </c>
      <c r="L2430" s="22" t="s">
        <v>34</v>
      </c>
      <c r="M2430" s="22" t="s">
        <v>36999</v>
      </c>
    </row>
    <row r="2431" spans="1:13" x14ac:dyDescent="0.75">
      <c r="A2431" t="s">
        <v>18063</v>
      </c>
      <c r="B2431" t="s">
        <v>6218</v>
      </c>
      <c r="C2431" t="s">
        <v>6219</v>
      </c>
      <c r="D2431" t="s">
        <v>6220</v>
      </c>
      <c r="E2431" t="s">
        <v>18064</v>
      </c>
      <c r="F2431">
        <v>1</v>
      </c>
      <c r="G2431">
        <v>4866137</v>
      </c>
      <c r="H2431" t="s">
        <v>18065</v>
      </c>
      <c r="J2431" s="54" t="s">
        <v>6052</v>
      </c>
      <c r="K2431" s="54">
        <v>0</v>
      </c>
      <c r="L2431" s="22" t="s">
        <v>34</v>
      </c>
      <c r="M2431" s="22" t="s">
        <v>36999</v>
      </c>
    </row>
    <row r="2432" spans="1:13" x14ac:dyDescent="0.75">
      <c r="A2432" t="s">
        <v>10146</v>
      </c>
      <c r="B2432" t="s">
        <v>6218</v>
      </c>
      <c r="C2432" t="s">
        <v>6219</v>
      </c>
      <c r="D2432" t="s">
        <v>6220</v>
      </c>
      <c r="E2432" t="s">
        <v>10147</v>
      </c>
      <c r="F2432">
        <v>3</v>
      </c>
      <c r="G2432">
        <v>5559008</v>
      </c>
      <c r="H2432" t="s">
        <v>10148</v>
      </c>
      <c r="J2432" s="54" t="s">
        <v>6052</v>
      </c>
      <c r="K2432" s="54">
        <v>0</v>
      </c>
      <c r="L2432" s="22" t="s">
        <v>34</v>
      </c>
      <c r="M2432" s="22" t="s">
        <v>36999</v>
      </c>
    </row>
    <row r="2433" spans="1:13" x14ac:dyDescent="0.75">
      <c r="A2433" t="s">
        <v>28664</v>
      </c>
      <c r="B2433" t="s">
        <v>6218</v>
      </c>
      <c r="C2433" t="s">
        <v>6219</v>
      </c>
      <c r="D2433" t="s">
        <v>6220</v>
      </c>
      <c r="E2433" t="s">
        <v>28665</v>
      </c>
      <c r="F2433">
        <v>1</v>
      </c>
      <c r="G2433">
        <v>4715938</v>
      </c>
      <c r="H2433" t="s">
        <v>28666</v>
      </c>
      <c r="J2433" s="54" t="s">
        <v>6052</v>
      </c>
      <c r="K2433" s="54">
        <v>0</v>
      </c>
      <c r="L2433" s="22" t="s">
        <v>34</v>
      </c>
      <c r="M2433" s="22" t="s">
        <v>36999</v>
      </c>
    </row>
    <row r="2434" spans="1:13" x14ac:dyDescent="0.75">
      <c r="A2434" t="s">
        <v>6217</v>
      </c>
      <c r="B2434" t="s">
        <v>6218</v>
      </c>
      <c r="C2434" t="s">
        <v>6219</v>
      </c>
      <c r="D2434" t="s">
        <v>6220</v>
      </c>
      <c r="E2434" t="s">
        <v>6221</v>
      </c>
      <c r="F2434">
        <v>2</v>
      </c>
      <c r="G2434">
        <v>4839683</v>
      </c>
      <c r="H2434" t="s">
        <v>6222</v>
      </c>
      <c r="J2434" s="54" t="s">
        <v>6052</v>
      </c>
      <c r="K2434" s="54">
        <v>0</v>
      </c>
      <c r="L2434" s="22" t="s">
        <v>34</v>
      </c>
      <c r="M2434" s="22" t="s">
        <v>36999</v>
      </c>
    </row>
    <row r="2435" spans="1:13" x14ac:dyDescent="0.75">
      <c r="A2435" t="s">
        <v>7368</v>
      </c>
      <c r="B2435" t="s">
        <v>6218</v>
      </c>
      <c r="C2435" t="s">
        <v>6219</v>
      </c>
      <c r="D2435" t="s">
        <v>6220</v>
      </c>
      <c r="E2435" t="s">
        <v>7369</v>
      </c>
      <c r="F2435">
        <v>3</v>
      </c>
      <c r="G2435">
        <v>5008864</v>
      </c>
      <c r="H2435" t="s">
        <v>7370</v>
      </c>
      <c r="J2435" s="54" t="s">
        <v>6052</v>
      </c>
      <c r="K2435" s="54">
        <v>0</v>
      </c>
      <c r="L2435" s="22" t="s">
        <v>34</v>
      </c>
      <c r="M2435" s="22" t="s">
        <v>36999</v>
      </c>
    </row>
    <row r="2436" spans="1:13" x14ac:dyDescent="0.75">
      <c r="A2436" t="s">
        <v>18850</v>
      </c>
      <c r="B2436" t="s">
        <v>6218</v>
      </c>
      <c r="C2436" t="s">
        <v>6219</v>
      </c>
      <c r="D2436" t="s">
        <v>6220</v>
      </c>
      <c r="E2436" t="s">
        <v>18851</v>
      </c>
      <c r="F2436">
        <v>3</v>
      </c>
      <c r="G2436">
        <v>5125148</v>
      </c>
      <c r="H2436" t="s">
        <v>18852</v>
      </c>
      <c r="J2436" s="54" t="s">
        <v>6052</v>
      </c>
      <c r="K2436" s="54">
        <v>0</v>
      </c>
      <c r="L2436" s="22" t="s">
        <v>34</v>
      </c>
      <c r="M2436" s="22" t="s">
        <v>36999</v>
      </c>
    </row>
    <row r="2437" spans="1:13" x14ac:dyDescent="0.75">
      <c r="A2437" t="s">
        <v>15070</v>
      </c>
      <c r="B2437" t="s">
        <v>10710</v>
      </c>
      <c r="C2437" t="s">
        <v>10711</v>
      </c>
      <c r="D2437" t="s">
        <v>10712</v>
      </c>
      <c r="E2437" t="s">
        <v>15071</v>
      </c>
      <c r="F2437">
        <v>33</v>
      </c>
      <c r="G2437">
        <v>4366305</v>
      </c>
      <c r="H2437" t="s">
        <v>15072</v>
      </c>
      <c r="J2437" s="54" t="s">
        <v>6052</v>
      </c>
      <c r="K2437" s="54">
        <v>0</v>
      </c>
      <c r="L2437" s="22" t="s">
        <v>1563</v>
      </c>
      <c r="M2437" s="22" t="s">
        <v>37000</v>
      </c>
    </row>
    <row r="2438" spans="1:13" x14ac:dyDescent="0.75">
      <c r="A2438" t="s">
        <v>24652</v>
      </c>
      <c r="B2438" t="s">
        <v>10710</v>
      </c>
      <c r="C2438" t="s">
        <v>10711</v>
      </c>
      <c r="D2438" t="s">
        <v>10712</v>
      </c>
      <c r="E2438" t="s">
        <v>24653</v>
      </c>
      <c r="F2438">
        <v>26</v>
      </c>
      <c r="G2438">
        <v>4383346</v>
      </c>
      <c r="H2438" t="s">
        <v>24654</v>
      </c>
      <c r="J2438" s="54" t="s">
        <v>6052</v>
      </c>
      <c r="K2438" s="54">
        <v>0</v>
      </c>
      <c r="L2438" s="22" t="s">
        <v>1563</v>
      </c>
      <c r="M2438" s="22" t="s">
        <v>37000</v>
      </c>
    </row>
    <row r="2439" spans="1:13" x14ac:dyDescent="0.75">
      <c r="A2439" t="s">
        <v>10709</v>
      </c>
      <c r="B2439" t="s">
        <v>10710</v>
      </c>
      <c r="C2439" t="s">
        <v>10711</v>
      </c>
      <c r="D2439" t="s">
        <v>10712</v>
      </c>
      <c r="E2439" t="s">
        <v>10713</v>
      </c>
      <c r="F2439">
        <v>1</v>
      </c>
      <c r="G2439">
        <v>4422837</v>
      </c>
      <c r="H2439" t="s">
        <v>10714</v>
      </c>
      <c r="J2439" s="54" t="s">
        <v>6052</v>
      </c>
      <c r="K2439" s="54">
        <v>0</v>
      </c>
      <c r="L2439" s="22" t="s">
        <v>1563</v>
      </c>
      <c r="M2439" s="22" t="s">
        <v>37000</v>
      </c>
    </row>
    <row r="2440" spans="1:13" x14ac:dyDescent="0.75">
      <c r="A2440" t="s">
        <v>23334</v>
      </c>
      <c r="B2440" t="s">
        <v>10710</v>
      </c>
      <c r="C2440" t="s">
        <v>10711</v>
      </c>
      <c r="D2440" t="s">
        <v>10712</v>
      </c>
      <c r="E2440" t="s">
        <v>23335</v>
      </c>
      <c r="F2440">
        <v>1</v>
      </c>
      <c r="G2440">
        <v>4421327</v>
      </c>
      <c r="H2440" t="s">
        <v>23336</v>
      </c>
      <c r="J2440" s="54" t="s">
        <v>6052</v>
      </c>
      <c r="K2440" s="54">
        <v>0</v>
      </c>
      <c r="L2440" s="22" t="s">
        <v>1563</v>
      </c>
      <c r="M2440" s="22" t="s">
        <v>37000</v>
      </c>
    </row>
    <row r="2441" spans="1:13" x14ac:dyDescent="0.75">
      <c r="A2441" t="s">
        <v>21786</v>
      </c>
      <c r="B2441" t="s">
        <v>10710</v>
      </c>
      <c r="C2441" t="s">
        <v>10711</v>
      </c>
      <c r="D2441" t="s">
        <v>10712</v>
      </c>
      <c r="E2441" t="s">
        <v>21787</v>
      </c>
      <c r="F2441">
        <v>107</v>
      </c>
      <c r="G2441">
        <v>4743605</v>
      </c>
      <c r="H2441" t="s">
        <v>21788</v>
      </c>
      <c r="J2441" s="54" t="s">
        <v>6052</v>
      </c>
      <c r="K2441" s="54">
        <v>0</v>
      </c>
      <c r="L2441" s="22" t="s">
        <v>1563</v>
      </c>
      <c r="M2441" s="22" t="s">
        <v>37000</v>
      </c>
    </row>
    <row r="2442" spans="1:13" x14ac:dyDescent="0.75">
      <c r="A2442" t="s">
        <v>28067</v>
      </c>
      <c r="B2442" t="s">
        <v>10710</v>
      </c>
      <c r="C2442" t="s">
        <v>10711</v>
      </c>
      <c r="D2442" t="s">
        <v>10712</v>
      </c>
      <c r="E2442" t="s">
        <v>28068</v>
      </c>
      <c r="F2442">
        <v>1</v>
      </c>
      <c r="G2442">
        <v>4740532</v>
      </c>
      <c r="H2442" t="s">
        <v>28069</v>
      </c>
      <c r="J2442" s="54" t="s">
        <v>6052</v>
      </c>
      <c r="K2442" s="54">
        <v>0</v>
      </c>
      <c r="L2442" s="22" t="s">
        <v>1563</v>
      </c>
      <c r="M2442" s="22" t="s">
        <v>37000</v>
      </c>
    </row>
    <row r="2443" spans="1:13" x14ac:dyDescent="0.75">
      <c r="A2443" t="s">
        <v>24987</v>
      </c>
      <c r="B2443" t="s">
        <v>10710</v>
      </c>
      <c r="C2443" t="s">
        <v>10711</v>
      </c>
      <c r="D2443" t="s">
        <v>10712</v>
      </c>
      <c r="E2443" t="s">
        <v>24988</v>
      </c>
      <c r="F2443">
        <v>34</v>
      </c>
      <c r="G2443">
        <v>4571659</v>
      </c>
      <c r="H2443" t="s">
        <v>24989</v>
      </c>
      <c r="J2443" s="54" t="s">
        <v>6052</v>
      </c>
      <c r="K2443" s="54">
        <v>0</v>
      </c>
      <c r="L2443" s="22" t="s">
        <v>1563</v>
      </c>
      <c r="M2443" s="22" t="s">
        <v>37000</v>
      </c>
    </row>
    <row r="2444" spans="1:13" x14ac:dyDescent="0.75">
      <c r="A2444" t="s">
        <v>28211</v>
      </c>
      <c r="B2444" t="s">
        <v>10710</v>
      </c>
      <c r="C2444" t="s">
        <v>10711</v>
      </c>
      <c r="D2444" t="s">
        <v>10712</v>
      </c>
      <c r="E2444" t="s">
        <v>28212</v>
      </c>
      <c r="F2444">
        <v>62</v>
      </c>
      <c r="G2444">
        <v>3903827</v>
      </c>
      <c r="H2444" t="s">
        <v>28213</v>
      </c>
      <c r="J2444" s="54" t="s">
        <v>6052</v>
      </c>
      <c r="K2444" s="54">
        <v>0</v>
      </c>
      <c r="L2444" s="22" t="s">
        <v>1563</v>
      </c>
      <c r="M2444" s="22" t="s">
        <v>37000</v>
      </c>
    </row>
    <row r="2445" spans="1:13" x14ac:dyDescent="0.75">
      <c r="A2445" t="s">
        <v>24666</v>
      </c>
      <c r="B2445" t="s">
        <v>6701</v>
      </c>
      <c r="C2445" t="s">
        <v>6702</v>
      </c>
      <c r="D2445" t="s">
        <v>6703</v>
      </c>
      <c r="E2445" t="s">
        <v>24667</v>
      </c>
      <c r="F2445">
        <v>46</v>
      </c>
      <c r="G2445">
        <v>3271509</v>
      </c>
      <c r="H2445" t="s">
        <v>24668</v>
      </c>
      <c r="J2445" s="54" t="s">
        <v>6052</v>
      </c>
      <c r="K2445" s="54">
        <v>0</v>
      </c>
      <c r="L2445" s="22" t="s">
        <v>34</v>
      </c>
      <c r="M2445" s="22" t="s">
        <v>37001</v>
      </c>
    </row>
    <row r="2446" spans="1:13" x14ac:dyDescent="0.75">
      <c r="A2446" t="s">
        <v>15261</v>
      </c>
      <c r="B2446" t="s">
        <v>6701</v>
      </c>
      <c r="C2446" t="s">
        <v>6702</v>
      </c>
      <c r="D2446" t="s">
        <v>6703</v>
      </c>
      <c r="E2446" t="s">
        <v>15262</v>
      </c>
      <c r="F2446">
        <v>1</v>
      </c>
      <c r="G2446">
        <v>2970937</v>
      </c>
      <c r="H2446" t="s">
        <v>15263</v>
      </c>
      <c r="J2446" s="54" t="s">
        <v>6052</v>
      </c>
      <c r="K2446" s="54">
        <v>0</v>
      </c>
      <c r="L2446" s="22" t="s">
        <v>34</v>
      </c>
      <c r="M2446" s="22" t="s">
        <v>37001</v>
      </c>
    </row>
    <row r="2447" spans="1:13" x14ac:dyDescent="0.75">
      <c r="A2447" t="s">
        <v>15267</v>
      </c>
      <c r="B2447" t="s">
        <v>6701</v>
      </c>
      <c r="C2447" t="s">
        <v>6702</v>
      </c>
      <c r="D2447" t="s">
        <v>6703</v>
      </c>
      <c r="E2447" t="s">
        <v>15268</v>
      </c>
      <c r="F2447">
        <v>76</v>
      </c>
      <c r="G2447">
        <v>3031166</v>
      </c>
      <c r="H2447" t="s">
        <v>15269</v>
      </c>
      <c r="J2447" s="54" t="s">
        <v>6052</v>
      </c>
      <c r="K2447" s="54">
        <v>0</v>
      </c>
      <c r="L2447" s="22" t="s">
        <v>34</v>
      </c>
      <c r="M2447" s="22" t="s">
        <v>37001</v>
      </c>
    </row>
    <row r="2448" spans="1:13" x14ac:dyDescent="0.75">
      <c r="A2448" t="s">
        <v>22871</v>
      </c>
      <c r="B2448" t="s">
        <v>6701</v>
      </c>
      <c r="C2448" t="s">
        <v>6702</v>
      </c>
      <c r="D2448" t="s">
        <v>6703</v>
      </c>
      <c r="E2448" t="s">
        <v>22872</v>
      </c>
      <c r="F2448">
        <v>46</v>
      </c>
      <c r="G2448">
        <v>3243905</v>
      </c>
      <c r="H2448" t="s">
        <v>22873</v>
      </c>
      <c r="J2448" s="54" t="s">
        <v>6052</v>
      </c>
      <c r="K2448" s="54">
        <v>0</v>
      </c>
      <c r="L2448" s="22" t="s">
        <v>34</v>
      </c>
      <c r="M2448" s="22" t="s">
        <v>37001</v>
      </c>
    </row>
    <row r="2449" spans="1:13" x14ac:dyDescent="0.75">
      <c r="A2449" t="s">
        <v>21673</v>
      </c>
      <c r="B2449" t="s">
        <v>6701</v>
      </c>
      <c r="C2449" t="s">
        <v>6702</v>
      </c>
      <c r="D2449" t="s">
        <v>6703</v>
      </c>
      <c r="E2449" t="s">
        <v>21674</v>
      </c>
      <c r="F2449">
        <v>2</v>
      </c>
      <c r="G2449">
        <v>3113977</v>
      </c>
      <c r="H2449" t="s">
        <v>21675</v>
      </c>
      <c r="J2449" s="54" t="s">
        <v>6052</v>
      </c>
      <c r="K2449" s="54">
        <v>0</v>
      </c>
      <c r="L2449" s="22" t="s">
        <v>34</v>
      </c>
      <c r="M2449" s="22" t="s">
        <v>37001</v>
      </c>
    </row>
    <row r="2450" spans="1:13" x14ac:dyDescent="0.75">
      <c r="A2450" t="s">
        <v>21670</v>
      </c>
      <c r="B2450" t="s">
        <v>6701</v>
      </c>
      <c r="C2450" t="s">
        <v>6702</v>
      </c>
      <c r="D2450" t="s">
        <v>6703</v>
      </c>
      <c r="E2450" t="s">
        <v>21671</v>
      </c>
      <c r="F2450">
        <v>3</v>
      </c>
      <c r="G2450">
        <v>3129292</v>
      </c>
      <c r="H2450" t="s">
        <v>21672</v>
      </c>
      <c r="J2450" s="54" t="s">
        <v>6052</v>
      </c>
      <c r="K2450" s="54">
        <v>0</v>
      </c>
      <c r="L2450" s="22" t="s">
        <v>34</v>
      </c>
      <c r="M2450" s="22" t="s">
        <v>37001</v>
      </c>
    </row>
    <row r="2451" spans="1:13" x14ac:dyDescent="0.75">
      <c r="A2451" t="s">
        <v>21676</v>
      </c>
      <c r="B2451" t="s">
        <v>6701</v>
      </c>
      <c r="C2451" t="s">
        <v>6702</v>
      </c>
      <c r="D2451" t="s">
        <v>6703</v>
      </c>
      <c r="E2451" t="s">
        <v>21677</v>
      </c>
      <c r="F2451">
        <v>2</v>
      </c>
      <c r="G2451">
        <v>3262007</v>
      </c>
      <c r="H2451" t="s">
        <v>21678</v>
      </c>
      <c r="J2451" s="54" t="s">
        <v>6052</v>
      </c>
      <c r="K2451" s="54">
        <v>0</v>
      </c>
      <c r="L2451" s="22" t="s">
        <v>34</v>
      </c>
      <c r="M2451" s="22" t="s">
        <v>37001</v>
      </c>
    </row>
    <row r="2452" spans="1:13" x14ac:dyDescent="0.75">
      <c r="A2452" t="s">
        <v>23240</v>
      </c>
      <c r="B2452" t="s">
        <v>6701</v>
      </c>
      <c r="C2452" t="s">
        <v>6702</v>
      </c>
      <c r="D2452" t="s">
        <v>6703</v>
      </c>
      <c r="E2452" t="s">
        <v>23241</v>
      </c>
      <c r="F2452">
        <v>1</v>
      </c>
      <c r="G2452">
        <v>3038545</v>
      </c>
      <c r="H2452" t="s">
        <v>23242</v>
      </c>
      <c r="J2452" s="54" t="s">
        <v>6052</v>
      </c>
      <c r="K2452" s="54">
        <v>0</v>
      </c>
      <c r="L2452" s="22" t="s">
        <v>34</v>
      </c>
      <c r="M2452" s="22" t="s">
        <v>37001</v>
      </c>
    </row>
    <row r="2453" spans="1:13" x14ac:dyDescent="0.75">
      <c r="A2453" t="s">
        <v>6700</v>
      </c>
      <c r="B2453" t="s">
        <v>6701</v>
      </c>
      <c r="C2453" t="s">
        <v>6702</v>
      </c>
      <c r="D2453" t="s">
        <v>6703</v>
      </c>
      <c r="E2453" t="s">
        <v>6704</v>
      </c>
      <c r="F2453">
        <v>29</v>
      </c>
      <c r="G2453">
        <v>3127383</v>
      </c>
      <c r="H2453" t="s">
        <v>6705</v>
      </c>
      <c r="J2453" s="54" t="s">
        <v>6052</v>
      </c>
      <c r="K2453" s="54">
        <v>0</v>
      </c>
      <c r="L2453" s="22" t="s">
        <v>34</v>
      </c>
      <c r="M2453" s="22" t="s">
        <v>37001</v>
      </c>
    </row>
    <row r="2454" spans="1:13" x14ac:dyDescent="0.75">
      <c r="A2454" t="s">
        <v>28235</v>
      </c>
      <c r="B2454" t="s">
        <v>6701</v>
      </c>
      <c r="C2454" t="s">
        <v>6702</v>
      </c>
      <c r="D2454" t="s">
        <v>6703</v>
      </c>
      <c r="E2454" t="s">
        <v>28236</v>
      </c>
      <c r="F2454">
        <v>29</v>
      </c>
      <c r="G2454">
        <v>3127383</v>
      </c>
      <c r="H2454" t="s">
        <v>28237</v>
      </c>
      <c r="J2454" s="54" t="s">
        <v>6052</v>
      </c>
      <c r="K2454" s="54">
        <v>0</v>
      </c>
      <c r="L2454" s="22" t="s">
        <v>34</v>
      </c>
      <c r="M2454" s="22" t="s">
        <v>37001</v>
      </c>
    </row>
    <row r="2455" spans="1:13" x14ac:dyDescent="0.75">
      <c r="A2455" t="s">
        <v>10955</v>
      </c>
      <c r="B2455" t="s">
        <v>6813</v>
      </c>
      <c r="C2455" t="s">
        <v>6814</v>
      </c>
      <c r="D2455" t="s">
        <v>6815</v>
      </c>
      <c r="E2455">
        <v>44061</v>
      </c>
      <c r="F2455">
        <v>41</v>
      </c>
      <c r="G2455">
        <v>1483295</v>
      </c>
      <c r="H2455" t="s">
        <v>10956</v>
      </c>
      <c r="J2455" s="54" t="s">
        <v>6052</v>
      </c>
      <c r="K2455" s="54">
        <v>0</v>
      </c>
      <c r="L2455" s="22" t="s">
        <v>1308</v>
      </c>
      <c r="M2455" s="22" t="s">
        <v>37002</v>
      </c>
    </row>
    <row r="2456" spans="1:13" x14ac:dyDescent="0.75">
      <c r="A2456" t="s">
        <v>21313</v>
      </c>
      <c r="B2456" t="s">
        <v>6813</v>
      </c>
      <c r="C2456" t="s">
        <v>6814</v>
      </c>
      <c r="D2456" t="s">
        <v>6815</v>
      </c>
      <c r="E2456" t="s">
        <v>21314</v>
      </c>
      <c r="F2456">
        <v>9</v>
      </c>
      <c r="G2456">
        <v>1443999</v>
      </c>
      <c r="H2456" t="s">
        <v>21315</v>
      </c>
      <c r="J2456" s="54" t="s">
        <v>6052</v>
      </c>
      <c r="K2456" s="54">
        <v>0</v>
      </c>
      <c r="L2456" s="22" t="s">
        <v>1308</v>
      </c>
      <c r="M2456" s="22" t="s">
        <v>37002</v>
      </c>
    </row>
    <row r="2457" spans="1:13" x14ac:dyDescent="0.75">
      <c r="A2457" t="s">
        <v>11971</v>
      </c>
      <c r="B2457" t="s">
        <v>6813</v>
      </c>
      <c r="C2457" t="s">
        <v>6814</v>
      </c>
      <c r="D2457" t="s">
        <v>6815</v>
      </c>
      <c r="E2457" t="s">
        <v>11972</v>
      </c>
      <c r="F2457">
        <v>42</v>
      </c>
      <c r="G2457">
        <v>1504164</v>
      </c>
      <c r="H2457" t="s">
        <v>11973</v>
      </c>
      <c r="J2457" s="54" t="s">
        <v>6052</v>
      </c>
      <c r="K2457" s="54">
        <v>0</v>
      </c>
      <c r="L2457" s="22" t="s">
        <v>1308</v>
      </c>
      <c r="M2457" s="22" t="s">
        <v>37002</v>
      </c>
    </row>
    <row r="2458" spans="1:13" x14ac:dyDescent="0.75">
      <c r="A2458" t="s">
        <v>6812</v>
      </c>
      <c r="B2458" t="s">
        <v>6813</v>
      </c>
      <c r="C2458" t="s">
        <v>6814</v>
      </c>
      <c r="D2458" t="s">
        <v>6815</v>
      </c>
      <c r="E2458" t="s">
        <v>6816</v>
      </c>
      <c r="F2458">
        <v>6</v>
      </c>
      <c r="G2458">
        <v>1430526</v>
      </c>
      <c r="H2458" t="s">
        <v>6817</v>
      </c>
      <c r="J2458" s="54" t="s">
        <v>6052</v>
      </c>
      <c r="K2458" s="54">
        <v>0</v>
      </c>
      <c r="L2458" s="22" t="s">
        <v>1308</v>
      </c>
      <c r="M2458" s="22" t="s">
        <v>37002</v>
      </c>
    </row>
    <row r="2459" spans="1:13" x14ac:dyDescent="0.75">
      <c r="A2459" t="s">
        <v>7285</v>
      </c>
      <c r="B2459" t="s">
        <v>6813</v>
      </c>
      <c r="C2459" t="s">
        <v>6814</v>
      </c>
      <c r="D2459" t="s">
        <v>6815</v>
      </c>
      <c r="E2459" t="s">
        <v>6816</v>
      </c>
      <c r="F2459">
        <v>53</v>
      </c>
      <c r="G2459">
        <v>1418601</v>
      </c>
      <c r="H2459" t="s">
        <v>7286</v>
      </c>
      <c r="J2459" s="54" t="s">
        <v>6052</v>
      </c>
      <c r="K2459" s="54">
        <v>0</v>
      </c>
      <c r="L2459" s="22" t="s">
        <v>1308</v>
      </c>
      <c r="M2459" s="22" t="s">
        <v>37002</v>
      </c>
    </row>
    <row r="2460" spans="1:13" x14ac:dyDescent="0.75">
      <c r="A2460" t="s">
        <v>13756</v>
      </c>
      <c r="B2460" t="s">
        <v>6685</v>
      </c>
      <c r="C2460" t="s">
        <v>6107</v>
      </c>
      <c r="D2460" t="s">
        <v>6686</v>
      </c>
      <c r="E2460" t="s">
        <v>13757</v>
      </c>
      <c r="F2460">
        <v>1</v>
      </c>
      <c r="G2460">
        <v>2521394</v>
      </c>
      <c r="H2460" t="s">
        <v>13758</v>
      </c>
      <c r="J2460" s="54" t="s">
        <v>6052</v>
      </c>
      <c r="K2460" s="54">
        <v>0</v>
      </c>
      <c r="L2460" s="22" t="s">
        <v>104</v>
      </c>
      <c r="M2460" s="22" t="s">
        <v>37009</v>
      </c>
    </row>
    <row r="2461" spans="1:13" x14ac:dyDescent="0.75">
      <c r="A2461" t="s">
        <v>19968</v>
      </c>
      <c r="B2461" t="s">
        <v>6813</v>
      </c>
      <c r="C2461" t="s">
        <v>6814</v>
      </c>
      <c r="D2461" t="s">
        <v>6815</v>
      </c>
      <c r="E2461" t="s">
        <v>19969</v>
      </c>
      <c r="F2461">
        <v>1</v>
      </c>
      <c r="G2461">
        <v>1447017</v>
      </c>
      <c r="H2461" t="s">
        <v>19970</v>
      </c>
      <c r="J2461" s="54" t="s">
        <v>6052</v>
      </c>
      <c r="K2461" s="54">
        <v>0</v>
      </c>
      <c r="L2461" s="22" t="s">
        <v>1308</v>
      </c>
      <c r="M2461" s="22" t="s">
        <v>37002</v>
      </c>
    </row>
    <row r="2462" spans="1:13" x14ac:dyDescent="0.75">
      <c r="A2462" t="s">
        <v>27395</v>
      </c>
      <c r="B2462" t="s">
        <v>6813</v>
      </c>
      <c r="C2462" t="s">
        <v>6814</v>
      </c>
      <c r="D2462" t="s">
        <v>6815</v>
      </c>
      <c r="E2462" t="s">
        <v>27396</v>
      </c>
      <c r="F2462">
        <v>2</v>
      </c>
      <c r="G2462">
        <v>1451822</v>
      </c>
      <c r="H2462" t="s">
        <v>27397</v>
      </c>
      <c r="J2462" s="54" t="s">
        <v>6052</v>
      </c>
      <c r="K2462" s="54">
        <v>0</v>
      </c>
      <c r="L2462" s="22" t="s">
        <v>1308</v>
      </c>
      <c r="M2462" s="22" t="s">
        <v>37002</v>
      </c>
    </row>
    <row r="2463" spans="1:13" x14ac:dyDescent="0.75">
      <c r="A2463" t="s">
        <v>30326</v>
      </c>
      <c r="B2463" t="s">
        <v>6813</v>
      </c>
      <c r="C2463" t="s">
        <v>6814</v>
      </c>
      <c r="D2463" t="s">
        <v>6815</v>
      </c>
      <c r="E2463" t="s">
        <v>30327</v>
      </c>
      <c r="F2463">
        <v>8</v>
      </c>
      <c r="G2463">
        <v>1489168</v>
      </c>
      <c r="H2463" t="s">
        <v>30328</v>
      </c>
      <c r="J2463" s="54" t="s">
        <v>6052</v>
      </c>
      <c r="K2463" s="54">
        <v>0</v>
      </c>
      <c r="L2463" s="22" t="s">
        <v>1308</v>
      </c>
      <c r="M2463" s="22" t="s">
        <v>37002</v>
      </c>
    </row>
    <row r="2464" spans="1:13" x14ac:dyDescent="0.75">
      <c r="A2464" t="s">
        <v>30395</v>
      </c>
      <c r="B2464" t="s">
        <v>6813</v>
      </c>
      <c r="C2464" t="s">
        <v>6814</v>
      </c>
      <c r="D2464" t="s">
        <v>6815</v>
      </c>
      <c r="E2464" t="s">
        <v>30396</v>
      </c>
      <c r="F2464">
        <v>8</v>
      </c>
      <c r="G2464">
        <v>1518485</v>
      </c>
      <c r="H2464" t="s">
        <v>30397</v>
      </c>
      <c r="J2464" s="54" t="s">
        <v>6052</v>
      </c>
      <c r="K2464" s="54">
        <v>0</v>
      </c>
      <c r="L2464" s="22" t="s">
        <v>1308</v>
      </c>
      <c r="M2464" s="22" t="s">
        <v>37002</v>
      </c>
    </row>
    <row r="2465" spans="1:13" x14ac:dyDescent="0.75">
      <c r="A2465" t="s">
        <v>14075</v>
      </c>
      <c r="B2465" t="s">
        <v>6685</v>
      </c>
      <c r="C2465" t="s">
        <v>6107</v>
      </c>
      <c r="D2465" t="s">
        <v>6686</v>
      </c>
      <c r="E2465" t="s">
        <v>14076</v>
      </c>
      <c r="F2465">
        <v>68</v>
      </c>
      <c r="G2465">
        <v>2555193</v>
      </c>
      <c r="H2465" t="s">
        <v>14077</v>
      </c>
      <c r="J2465" s="54" t="s">
        <v>6052</v>
      </c>
      <c r="K2465" s="54">
        <v>0</v>
      </c>
      <c r="L2465" s="22" t="s">
        <v>104</v>
      </c>
      <c r="M2465" s="22" t="s">
        <v>37009</v>
      </c>
    </row>
    <row r="2466" spans="1:13" x14ac:dyDescent="0.75">
      <c r="A2466" t="s">
        <v>14707</v>
      </c>
      <c r="B2466" t="s">
        <v>14708</v>
      </c>
      <c r="C2466" t="s">
        <v>14709</v>
      </c>
      <c r="D2466" t="s">
        <v>6273</v>
      </c>
      <c r="E2466" t="s">
        <v>14710</v>
      </c>
      <c r="F2466">
        <v>1</v>
      </c>
      <c r="G2466">
        <v>1785891</v>
      </c>
      <c r="H2466" t="s">
        <v>14711</v>
      </c>
      <c r="J2466" s="54" t="s">
        <v>6052</v>
      </c>
      <c r="K2466" s="54">
        <v>0</v>
      </c>
      <c r="L2466" s="22" t="s">
        <v>1563</v>
      </c>
      <c r="M2466" s="22" t="s">
        <v>37004</v>
      </c>
    </row>
    <row r="2467" spans="1:13" x14ac:dyDescent="0.75">
      <c r="A2467" t="s">
        <v>30092</v>
      </c>
      <c r="B2467" t="s">
        <v>14708</v>
      </c>
      <c r="C2467" t="s">
        <v>14709</v>
      </c>
      <c r="D2467" t="s">
        <v>6273</v>
      </c>
      <c r="E2467" t="s">
        <v>30093</v>
      </c>
      <c r="F2467">
        <v>134</v>
      </c>
      <c r="G2467">
        <v>1449925</v>
      </c>
      <c r="H2467" t="s">
        <v>30094</v>
      </c>
      <c r="J2467" s="54" t="s">
        <v>6052</v>
      </c>
      <c r="K2467" s="54">
        <v>0</v>
      </c>
      <c r="L2467" s="22" t="s">
        <v>1563</v>
      </c>
      <c r="M2467" s="22" t="s">
        <v>37004</v>
      </c>
    </row>
    <row r="2468" spans="1:13" x14ac:dyDescent="0.75">
      <c r="A2468" t="s">
        <v>30454</v>
      </c>
      <c r="B2468" t="s">
        <v>14708</v>
      </c>
      <c r="C2468" t="s">
        <v>14709</v>
      </c>
      <c r="D2468" t="s">
        <v>6273</v>
      </c>
      <c r="E2468" t="s">
        <v>30455</v>
      </c>
      <c r="F2468">
        <v>92</v>
      </c>
      <c r="G2468">
        <v>1170561</v>
      </c>
      <c r="H2468" t="s">
        <v>30456</v>
      </c>
      <c r="J2468" s="54" t="s">
        <v>6052</v>
      </c>
      <c r="K2468" s="54">
        <v>0</v>
      </c>
      <c r="L2468" s="22" t="s">
        <v>1563</v>
      </c>
      <c r="M2468" s="22" t="s">
        <v>37004</v>
      </c>
    </row>
    <row r="2469" spans="1:13" x14ac:dyDescent="0.75">
      <c r="A2469" t="s">
        <v>8916</v>
      </c>
      <c r="B2469" t="s">
        <v>8917</v>
      </c>
      <c r="C2469" t="s">
        <v>8918</v>
      </c>
      <c r="D2469" t="s">
        <v>8644</v>
      </c>
      <c r="E2469">
        <v>9401234</v>
      </c>
      <c r="F2469">
        <v>10</v>
      </c>
      <c r="G2469">
        <v>1709677</v>
      </c>
      <c r="H2469" t="s">
        <v>8919</v>
      </c>
      <c r="J2469" s="54" t="s">
        <v>6052</v>
      </c>
      <c r="K2469" s="54">
        <v>0</v>
      </c>
      <c r="L2469" s="22" t="s">
        <v>1563</v>
      </c>
      <c r="M2469" s="22" t="s">
        <v>37005</v>
      </c>
    </row>
    <row r="2470" spans="1:13" x14ac:dyDescent="0.75">
      <c r="A2470" t="s">
        <v>23243</v>
      </c>
      <c r="B2470" t="s">
        <v>8917</v>
      </c>
      <c r="C2470" t="s">
        <v>8918</v>
      </c>
      <c r="D2470" t="s">
        <v>8644</v>
      </c>
      <c r="E2470" t="s">
        <v>23244</v>
      </c>
      <c r="F2470">
        <v>1</v>
      </c>
      <c r="G2470">
        <v>1609887</v>
      </c>
      <c r="H2470" t="s">
        <v>23245</v>
      </c>
      <c r="J2470" s="54" t="s">
        <v>6052</v>
      </c>
      <c r="K2470" s="54">
        <v>0</v>
      </c>
      <c r="L2470" s="22" t="s">
        <v>1563</v>
      </c>
      <c r="M2470" s="22" t="s">
        <v>37005</v>
      </c>
    </row>
    <row r="2471" spans="1:13" x14ac:dyDescent="0.75">
      <c r="A2471" t="s">
        <v>12789</v>
      </c>
      <c r="B2471" t="s">
        <v>8917</v>
      </c>
      <c r="C2471" t="s">
        <v>8918</v>
      </c>
      <c r="D2471" t="s">
        <v>8644</v>
      </c>
      <c r="E2471" t="s">
        <v>12790</v>
      </c>
      <c r="F2471">
        <v>53</v>
      </c>
      <c r="G2471">
        <v>1607714</v>
      </c>
      <c r="H2471" t="s">
        <v>12791</v>
      </c>
      <c r="J2471" s="54" t="s">
        <v>6052</v>
      </c>
      <c r="K2471" s="54">
        <v>0</v>
      </c>
      <c r="L2471" s="22" t="s">
        <v>1563</v>
      </c>
      <c r="M2471" s="22" t="s">
        <v>37005</v>
      </c>
    </row>
    <row r="2472" spans="1:13" x14ac:dyDescent="0.75">
      <c r="A2472" t="s">
        <v>27281</v>
      </c>
      <c r="B2472" t="s">
        <v>8917</v>
      </c>
      <c r="C2472" t="s">
        <v>8918</v>
      </c>
      <c r="D2472" t="s">
        <v>8644</v>
      </c>
      <c r="E2472" t="s">
        <v>27282</v>
      </c>
      <c r="F2472">
        <v>16</v>
      </c>
      <c r="G2472">
        <v>1873678</v>
      </c>
      <c r="H2472" t="s">
        <v>27283</v>
      </c>
      <c r="J2472" s="54" t="s">
        <v>6052</v>
      </c>
      <c r="K2472" s="54">
        <v>0</v>
      </c>
      <c r="L2472" s="22" t="s">
        <v>1563</v>
      </c>
      <c r="M2472" s="22" t="s">
        <v>37005</v>
      </c>
    </row>
    <row r="2473" spans="1:13" x14ac:dyDescent="0.75">
      <c r="A2473" t="s">
        <v>28584</v>
      </c>
      <c r="B2473" t="s">
        <v>8917</v>
      </c>
      <c r="C2473" t="s">
        <v>8918</v>
      </c>
      <c r="D2473" t="s">
        <v>8644</v>
      </c>
      <c r="E2473" t="s">
        <v>28585</v>
      </c>
      <c r="F2473">
        <v>84</v>
      </c>
      <c r="G2473">
        <v>1531797</v>
      </c>
      <c r="H2473" t="s">
        <v>28586</v>
      </c>
      <c r="J2473" s="54" t="s">
        <v>6052</v>
      </c>
      <c r="K2473" s="54">
        <v>0</v>
      </c>
      <c r="L2473" s="22" t="s">
        <v>1563</v>
      </c>
      <c r="M2473" s="22" t="s">
        <v>37005</v>
      </c>
    </row>
    <row r="2474" spans="1:13" x14ac:dyDescent="0.75">
      <c r="A2474" t="s">
        <v>30332</v>
      </c>
      <c r="B2474" t="s">
        <v>8917</v>
      </c>
      <c r="C2474" t="s">
        <v>8918</v>
      </c>
      <c r="D2474" t="s">
        <v>8644</v>
      </c>
      <c r="E2474" t="s">
        <v>30333</v>
      </c>
      <c r="F2474">
        <v>106</v>
      </c>
      <c r="G2474">
        <v>1423838</v>
      </c>
      <c r="H2474" t="s">
        <v>30334</v>
      </c>
      <c r="J2474" s="54" t="s">
        <v>6052</v>
      </c>
      <c r="K2474" s="54">
        <v>0</v>
      </c>
      <c r="L2474" s="22" t="s">
        <v>1563</v>
      </c>
      <c r="M2474" s="22" t="s">
        <v>37005</v>
      </c>
    </row>
    <row r="2475" spans="1:13" x14ac:dyDescent="0.75">
      <c r="A2475" t="s">
        <v>29704</v>
      </c>
      <c r="B2475" t="s">
        <v>8917</v>
      </c>
      <c r="C2475" t="s">
        <v>8918</v>
      </c>
      <c r="D2475" t="s">
        <v>8644</v>
      </c>
      <c r="E2475" t="s">
        <v>29705</v>
      </c>
      <c r="F2475">
        <v>135</v>
      </c>
      <c r="G2475">
        <v>1569458</v>
      </c>
      <c r="H2475" t="s">
        <v>29706</v>
      </c>
      <c r="J2475" s="54" t="s">
        <v>6052</v>
      </c>
      <c r="K2475" s="54">
        <v>0</v>
      </c>
      <c r="L2475" s="22" t="s">
        <v>1563</v>
      </c>
      <c r="M2475" s="22" t="s">
        <v>37005</v>
      </c>
    </row>
    <row r="2476" spans="1:13" x14ac:dyDescent="0.75">
      <c r="A2476" t="s">
        <v>30448</v>
      </c>
      <c r="B2476" t="s">
        <v>8917</v>
      </c>
      <c r="C2476" t="s">
        <v>8918</v>
      </c>
      <c r="D2476" t="s">
        <v>8644</v>
      </c>
      <c r="E2476" t="s">
        <v>30449</v>
      </c>
      <c r="F2476">
        <v>62</v>
      </c>
      <c r="G2476">
        <v>1482435</v>
      </c>
      <c r="H2476" t="s">
        <v>30450</v>
      </c>
      <c r="J2476" s="54" t="s">
        <v>6052</v>
      </c>
      <c r="K2476" s="54">
        <v>0</v>
      </c>
      <c r="L2476" s="22" t="s">
        <v>1563</v>
      </c>
      <c r="M2476" s="22" t="s">
        <v>37005</v>
      </c>
    </row>
    <row r="2477" spans="1:13" x14ac:dyDescent="0.75">
      <c r="A2477" t="s">
        <v>14724</v>
      </c>
      <c r="B2477" t="s">
        <v>8917</v>
      </c>
      <c r="C2477" t="s">
        <v>8918</v>
      </c>
      <c r="D2477" t="s">
        <v>8644</v>
      </c>
      <c r="E2477" t="s">
        <v>14725</v>
      </c>
      <c r="F2477">
        <v>1</v>
      </c>
      <c r="G2477">
        <v>1646831</v>
      </c>
      <c r="H2477" t="s">
        <v>14726</v>
      </c>
      <c r="J2477" s="54" t="s">
        <v>6052</v>
      </c>
      <c r="K2477" s="54">
        <v>0</v>
      </c>
      <c r="L2477" s="22" t="s">
        <v>1563</v>
      </c>
      <c r="M2477" s="22" t="s">
        <v>37005</v>
      </c>
    </row>
    <row r="2478" spans="1:13" x14ac:dyDescent="0.75">
      <c r="A2478" t="s">
        <v>14078</v>
      </c>
      <c r="B2478" t="s">
        <v>6685</v>
      </c>
      <c r="C2478" t="s">
        <v>6107</v>
      </c>
      <c r="D2478" t="s">
        <v>6686</v>
      </c>
      <c r="E2478" t="s">
        <v>14079</v>
      </c>
      <c r="F2478">
        <v>43</v>
      </c>
      <c r="G2478">
        <v>2577563</v>
      </c>
      <c r="H2478" t="s">
        <v>14080</v>
      </c>
      <c r="J2478" s="54" t="s">
        <v>6052</v>
      </c>
      <c r="K2478" s="54">
        <v>0</v>
      </c>
      <c r="L2478" s="22" t="s">
        <v>104</v>
      </c>
      <c r="M2478" s="22" t="s">
        <v>37009</v>
      </c>
    </row>
    <row r="2479" spans="1:13" x14ac:dyDescent="0.75">
      <c r="A2479" t="s">
        <v>26904</v>
      </c>
      <c r="B2479" t="s">
        <v>6685</v>
      </c>
      <c r="C2479" t="s">
        <v>6107</v>
      </c>
      <c r="D2479" t="s">
        <v>6686</v>
      </c>
      <c r="E2479" t="s">
        <v>26905</v>
      </c>
      <c r="F2479">
        <v>2</v>
      </c>
      <c r="G2479">
        <v>2547090</v>
      </c>
      <c r="H2479" t="s">
        <v>26906</v>
      </c>
      <c r="J2479" s="54" t="s">
        <v>6052</v>
      </c>
      <c r="K2479" s="54">
        <v>0</v>
      </c>
      <c r="L2479" s="22" t="s">
        <v>104</v>
      </c>
      <c r="M2479" s="22" t="s">
        <v>37009</v>
      </c>
    </row>
    <row r="2480" spans="1:13" x14ac:dyDescent="0.75">
      <c r="A2480" t="s">
        <v>26715</v>
      </c>
      <c r="B2480" t="s">
        <v>6685</v>
      </c>
      <c r="C2480" t="s">
        <v>6107</v>
      </c>
      <c r="D2480" t="s">
        <v>6686</v>
      </c>
      <c r="E2480" t="s">
        <v>26716</v>
      </c>
      <c r="F2480">
        <v>5</v>
      </c>
      <c r="G2480">
        <v>2577704</v>
      </c>
      <c r="H2480" t="s">
        <v>26717</v>
      </c>
      <c r="J2480" s="54" t="s">
        <v>6052</v>
      </c>
      <c r="K2480" s="54">
        <v>0</v>
      </c>
      <c r="L2480" s="22" t="s">
        <v>104</v>
      </c>
      <c r="M2480" s="22" t="s">
        <v>37009</v>
      </c>
    </row>
    <row r="2481" spans="1:13" x14ac:dyDescent="0.75">
      <c r="A2481" t="s">
        <v>13827</v>
      </c>
      <c r="B2481" t="s">
        <v>6206</v>
      </c>
      <c r="C2481" t="s">
        <v>6207</v>
      </c>
      <c r="D2481" t="s">
        <v>6208</v>
      </c>
      <c r="E2481" t="s">
        <v>13828</v>
      </c>
      <c r="F2481">
        <v>20</v>
      </c>
      <c r="G2481">
        <v>1913853</v>
      </c>
      <c r="H2481" t="s">
        <v>13829</v>
      </c>
      <c r="J2481" s="54" t="s">
        <v>6052</v>
      </c>
      <c r="K2481" s="54">
        <v>0</v>
      </c>
      <c r="L2481" s="22" t="s">
        <v>36807</v>
      </c>
      <c r="M2481" s="22" t="s">
        <v>37007</v>
      </c>
    </row>
    <row r="2482" spans="1:13" x14ac:dyDescent="0.75">
      <c r="A2482" t="s">
        <v>6205</v>
      </c>
      <c r="B2482" t="s">
        <v>6206</v>
      </c>
      <c r="C2482" t="s">
        <v>6207</v>
      </c>
      <c r="D2482" t="s">
        <v>6208</v>
      </c>
      <c r="E2482" t="s">
        <v>6209</v>
      </c>
      <c r="F2482">
        <v>2</v>
      </c>
      <c r="G2482">
        <v>1986740</v>
      </c>
      <c r="H2482" t="s">
        <v>6210</v>
      </c>
      <c r="J2482" s="54" t="s">
        <v>6052</v>
      </c>
      <c r="K2482" s="54">
        <v>0</v>
      </c>
      <c r="L2482" s="22" t="s">
        <v>36807</v>
      </c>
      <c r="M2482" s="22" t="s">
        <v>37007</v>
      </c>
    </row>
    <row r="2483" spans="1:13" x14ac:dyDescent="0.75">
      <c r="A2483" t="s">
        <v>6842</v>
      </c>
      <c r="B2483" t="s">
        <v>6206</v>
      </c>
      <c r="C2483" t="s">
        <v>6207</v>
      </c>
      <c r="D2483" t="s">
        <v>6208</v>
      </c>
      <c r="E2483" t="s">
        <v>6843</v>
      </c>
      <c r="F2483">
        <v>3</v>
      </c>
      <c r="G2483">
        <v>1916301</v>
      </c>
      <c r="H2483" t="s">
        <v>6844</v>
      </c>
      <c r="J2483" s="54" t="s">
        <v>6052</v>
      </c>
      <c r="K2483" s="54">
        <v>0</v>
      </c>
      <c r="L2483" s="22" t="s">
        <v>36807</v>
      </c>
      <c r="M2483" s="22" t="s">
        <v>37007</v>
      </c>
    </row>
    <row r="2484" spans="1:13" x14ac:dyDescent="0.75">
      <c r="A2484" t="s">
        <v>15067</v>
      </c>
      <c r="B2484" t="s">
        <v>6206</v>
      </c>
      <c r="C2484" t="s">
        <v>6207</v>
      </c>
      <c r="D2484" t="s">
        <v>6208</v>
      </c>
      <c r="E2484" t="s">
        <v>15068</v>
      </c>
      <c r="F2484">
        <v>73</v>
      </c>
      <c r="G2484">
        <v>2021781</v>
      </c>
      <c r="H2484" t="s">
        <v>15069</v>
      </c>
      <c r="J2484" s="54" t="s">
        <v>6052</v>
      </c>
      <c r="K2484" s="54">
        <v>0</v>
      </c>
      <c r="L2484" s="22" t="s">
        <v>36807</v>
      </c>
      <c r="M2484" s="22" t="s">
        <v>37007</v>
      </c>
    </row>
    <row r="2485" spans="1:13" x14ac:dyDescent="0.75">
      <c r="A2485" t="s">
        <v>21736</v>
      </c>
      <c r="B2485" t="s">
        <v>6206</v>
      </c>
      <c r="C2485" t="s">
        <v>6207</v>
      </c>
      <c r="D2485" t="s">
        <v>6208</v>
      </c>
      <c r="E2485" t="s">
        <v>21737</v>
      </c>
      <c r="F2485">
        <v>2</v>
      </c>
      <c r="G2485">
        <v>1900068</v>
      </c>
      <c r="H2485" t="s">
        <v>21738</v>
      </c>
      <c r="J2485" s="54" t="s">
        <v>6052</v>
      </c>
      <c r="K2485" s="54">
        <v>0</v>
      </c>
      <c r="L2485" s="22" t="s">
        <v>36807</v>
      </c>
      <c r="M2485" s="22" t="s">
        <v>37007</v>
      </c>
    </row>
    <row r="2486" spans="1:13" x14ac:dyDescent="0.75">
      <c r="A2486" t="s">
        <v>21869</v>
      </c>
      <c r="B2486" t="s">
        <v>6206</v>
      </c>
      <c r="C2486" t="s">
        <v>6207</v>
      </c>
      <c r="D2486" t="s">
        <v>6208</v>
      </c>
      <c r="E2486" t="s">
        <v>21870</v>
      </c>
      <c r="F2486">
        <v>1</v>
      </c>
      <c r="G2486">
        <v>1738818</v>
      </c>
      <c r="H2486" t="s">
        <v>21871</v>
      </c>
      <c r="J2486" s="54" t="s">
        <v>6052</v>
      </c>
      <c r="K2486" s="54">
        <v>0</v>
      </c>
      <c r="L2486" s="22" t="s">
        <v>36807</v>
      </c>
      <c r="M2486" s="22" t="s">
        <v>37007</v>
      </c>
    </row>
    <row r="2487" spans="1:13" x14ac:dyDescent="0.75">
      <c r="A2487" t="s">
        <v>21847</v>
      </c>
      <c r="B2487" t="s">
        <v>6206</v>
      </c>
      <c r="C2487" t="s">
        <v>6207</v>
      </c>
      <c r="D2487" t="s">
        <v>6208</v>
      </c>
      <c r="E2487" t="s">
        <v>21848</v>
      </c>
      <c r="F2487">
        <v>2</v>
      </c>
      <c r="G2487">
        <v>1984762</v>
      </c>
      <c r="H2487" t="s">
        <v>21849</v>
      </c>
      <c r="J2487" s="54" t="s">
        <v>6052</v>
      </c>
      <c r="K2487" s="54">
        <v>0</v>
      </c>
      <c r="L2487" s="22" t="s">
        <v>36807</v>
      </c>
      <c r="M2487" s="22" t="s">
        <v>37007</v>
      </c>
    </row>
    <row r="2488" spans="1:13" x14ac:dyDescent="0.75">
      <c r="A2488" t="s">
        <v>21837</v>
      </c>
      <c r="B2488" t="s">
        <v>6206</v>
      </c>
      <c r="C2488" t="s">
        <v>6207</v>
      </c>
      <c r="D2488" t="s">
        <v>6208</v>
      </c>
      <c r="E2488" t="s">
        <v>21838</v>
      </c>
      <c r="F2488">
        <v>2</v>
      </c>
      <c r="G2488">
        <v>2063084</v>
      </c>
      <c r="H2488" t="s">
        <v>21839</v>
      </c>
      <c r="J2488" s="54" t="s">
        <v>6052</v>
      </c>
      <c r="K2488" s="54">
        <v>0</v>
      </c>
      <c r="L2488" s="22" t="s">
        <v>36807</v>
      </c>
      <c r="M2488" s="22" t="s">
        <v>37007</v>
      </c>
    </row>
    <row r="2489" spans="1:13" x14ac:dyDescent="0.75">
      <c r="A2489" t="s">
        <v>18464</v>
      </c>
      <c r="B2489" t="s">
        <v>6206</v>
      </c>
      <c r="C2489" t="s">
        <v>6207</v>
      </c>
      <c r="D2489" t="s">
        <v>6208</v>
      </c>
      <c r="E2489" t="s">
        <v>18465</v>
      </c>
      <c r="F2489">
        <v>1</v>
      </c>
      <c r="G2489">
        <v>2090058</v>
      </c>
      <c r="H2489" t="s">
        <v>18466</v>
      </c>
      <c r="J2489" s="54" t="s">
        <v>6052</v>
      </c>
      <c r="K2489" s="54">
        <v>0</v>
      </c>
      <c r="L2489" s="22" t="s">
        <v>36807</v>
      </c>
      <c r="M2489" s="22" t="s">
        <v>37007</v>
      </c>
    </row>
    <row r="2490" spans="1:13" x14ac:dyDescent="0.75">
      <c r="A2490" t="s">
        <v>28220</v>
      </c>
      <c r="B2490" t="s">
        <v>6206</v>
      </c>
      <c r="C2490" t="s">
        <v>6207</v>
      </c>
      <c r="D2490" t="s">
        <v>6208</v>
      </c>
      <c r="E2490" t="s">
        <v>28221</v>
      </c>
      <c r="F2490">
        <v>2</v>
      </c>
      <c r="G2490">
        <v>1986740</v>
      </c>
      <c r="H2490" t="s">
        <v>28222</v>
      </c>
      <c r="J2490" s="54" t="s">
        <v>6052</v>
      </c>
      <c r="K2490" s="54">
        <v>0</v>
      </c>
      <c r="L2490" s="22" t="s">
        <v>36807</v>
      </c>
      <c r="M2490" s="22" t="s">
        <v>37007</v>
      </c>
    </row>
    <row r="2491" spans="1:13" x14ac:dyDescent="0.75">
      <c r="A2491" t="s">
        <v>26917</v>
      </c>
      <c r="B2491" t="s">
        <v>6685</v>
      </c>
      <c r="C2491" t="s">
        <v>6107</v>
      </c>
      <c r="D2491" t="s">
        <v>6686</v>
      </c>
      <c r="E2491" t="s">
        <v>26918</v>
      </c>
      <c r="F2491">
        <v>1</v>
      </c>
      <c r="G2491">
        <v>2501678</v>
      </c>
      <c r="H2491" t="s">
        <v>26919</v>
      </c>
      <c r="J2491" s="54" t="s">
        <v>6052</v>
      </c>
      <c r="K2491" s="54">
        <v>0</v>
      </c>
      <c r="L2491" s="22" t="s">
        <v>104</v>
      </c>
      <c r="M2491" s="22" t="s">
        <v>37009</v>
      </c>
    </row>
    <row r="2492" spans="1:13" x14ac:dyDescent="0.75">
      <c r="A2492" t="s">
        <v>26718</v>
      </c>
      <c r="B2492" t="s">
        <v>6685</v>
      </c>
      <c r="C2492" t="s">
        <v>6107</v>
      </c>
      <c r="D2492" t="s">
        <v>6686</v>
      </c>
      <c r="E2492" t="s">
        <v>26719</v>
      </c>
      <c r="F2492">
        <v>2</v>
      </c>
      <c r="G2492">
        <v>2651378</v>
      </c>
      <c r="H2492" t="s">
        <v>26720</v>
      </c>
      <c r="J2492" s="54" t="s">
        <v>6052</v>
      </c>
      <c r="K2492" s="54">
        <v>0</v>
      </c>
      <c r="L2492" s="22" t="s">
        <v>104</v>
      </c>
      <c r="M2492" s="22" t="s">
        <v>37009</v>
      </c>
    </row>
    <row r="2493" spans="1:13" x14ac:dyDescent="0.75">
      <c r="A2493" t="s">
        <v>26947</v>
      </c>
      <c r="B2493" t="s">
        <v>6685</v>
      </c>
      <c r="C2493" t="s">
        <v>6107</v>
      </c>
      <c r="D2493" t="s">
        <v>6686</v>
      </c>
      <c r="E2493" t="s">
        <v>26948</v>
      </c>
      <c r="F2493">
        <v>2</v>
      </c>
      <c r="G2493">
        <v>2602652</v>
      </c>
      <c r="H2493" t="s">
        <v>26949</v>
      </c>
      <c r="J2493" s="54" t="s">
        <v>6052</v>
      </c>
      <c r="K2493" s="54">
        <v>0</v>
      </c>
      <c r="L2493" s="22" t="s">
        <v>104</v>
      </c>
      <c r="M2493" s="22" t="s">
        <v>37009</v>
      </c>
    </row>
    <row r="2494" spans="1:13" x14ac:dyDescent="0.75">
      <c r="A2494" t="s">
        <v>26901</v>
      </c>
      <c r="B2494" t="s">
        <v>6685</v>
      </c>
      <c r="C2494" t="s">
        <v>6107</v>
      </c>
      <c r="D2494" t="s">
        <v>6686</v>
      </c>
      <c r="E2494" t="s">
        <v>26902</v>
      </c>
      <c r="F2494">
        <v>1</v>
      </c>
      <c r="G2494">
        <v>2752062</v>
      </c>
      <c r="H2494" t="s">
        <v>26903</v>
      </c>
      <c r="J2494" s="54" t="s">
        <v>6052</v>
      </c>
      <c r="K2494" s="54">
        <v>0</v>
      </c>
      <c r="L2494" s="22" t="s">
        <v>104</v>
      </c>
      <c r="M2494" s="22" t="s">
        <v>37009</v>
      </c>
    </row>
    <row r="2495" spans="1:13" x14ac:dyDescent="0.75">
      <c r="A2495" t="s">
        <v>26898</v>
      </c>
      <c r="B2495" t="s">
        <v>6685</v>
      </c>
      <c r="C2495" t="s">
        <v>6107</v>
      </c>
      <c r="D2495" t="s">
        <v>6686</v>
      </c>
      <c r="E2495" t="s">
        <v>26899</v>
      </c>
      <c r="F2495">
        <v>3</v>
      </c>
      <c r="G2495">
        <v>2626081</v>
      </c>
      <c r="H2495" t="s">
        <v>26900</v>
      </c>
      <c r="J2495" s="54" t="s">
        <v>6052</v>
      </c>
      <c r="K2495" s="54">
        <v>0</v>
      </c>
      <c r="L2495" s="22" t="s">
        <v>104</v>
      </c>
      <c r="M2495" s="22" t="s">
        <v>37009</v>
      </c>
    </row>
    <row r="2496" spans="1:13" x14ac:dyDescent="0.75">
      <c r="A2496" t="s">
        <v>26944</v>
      </c>
      <c r="B2496" t="s">
        <v>6685</v>
      </c>
      <c r="C2496" t="s">
        <v>6107</v>
      </c>
      <c r="D2496" t="s">
        <v>6686</v>
      </c>
      <c r="E2496" t="s">
        <v>26945</v>
      </c>
      <c r="F2496">
        <v>1</v>
      </c>
      <c r="G2496">
        <v>2526091</v>
      </c>
      <c r="H2496" t="s">
        <v>26946</v>
      </c>
      <c r="J2496" s="54" t="s">
        <v>6052</v>
      </c>
      <c r="K2496" s="54">
        <v>0</v>
      </c>
      <c r="L2496" s="22" t="s">
        <v>104</v>
      </c>
      <c r="M2496" s="22" t="s">
        <v>37009</v>
      </c>
    </row>
    <row r="2497" spans="1:13" x14ac:dyDescent="0.75">
      <c r="A2497" t="s">
        <v>26895</v>
      </c>
      <c r="B2497" t="s">
        <v>6685</v>
      </c>
      <c r="C2497" t="s">
        <v>6107</v>
      </c>
      <c r="D2497" t="s">
        <v>6686</v>
      </c>
      <c r="E2497" t="s">
        <v>26896</v>
      </c>
      <c r="F2497">
        <v>1</v>
      </c>
      <c r="G2497">
        <v>2521395</v>
      </c>
      <c r="H2497" t="s">
        <v>26897</v>
      </c>
      <c r="J2497" s="54" t="s">
        <v>6052</v>
      </c>
      <c r="K2497" s="54">
        <v>0</v>
      </c>
      <c r="L2497" s="22" t="s">
        <v>104</v>
      </c>
      <c r="M2497" s="22" t="s">
        <v>37009</v>
      </c>
    </row>
    <row r="2498" spans="1:13" x14ac:dyDescent="0.75">
      <c r="A2498" t="s">
        <v>26892</v>
      </c>
      <c r="B2498" t="s">
        <v>6685</v>
      </c>
      <c r="C2498" t="s">
        <v>6107</v>
      </c>
      <c r="D2498" t="s">
        <v>6686</v>
      </c>
      <c r="E2498" t="s">
        <v>26893</v>
      </c>
      <c r="F2498">
        <v>1</v>
      </c>
      <c r="G2498">
        <v>2568135</v>
      </c>
      <c r="H2498" t="s">
        <v>26894</v>
      </c>
      <c r="J2498" s="54" t="s">
        <v>6052</v>
      </c>
      <c r="K2498" s="54">
        <v>0</v>
      </c>
      <c r="L2498" s="22" t="s">
        <v>104</v>
      </c>
      <c r="M2498" s="22" t="s">
        <v>37009</v>
      </c>
    </row>
    <row r="2499" spans="1:13" x14ac:dyDescent="0.75">
      <c r="A2499" t="s">
        <v>26889</v>
      </c>
      <c r="B2499" t="s">
        <v>6685</v>
      </c>
      <c r="C2499" t="s">
        <v>6107</v>
      </c>
      <c r="D2499" t="s">
        <v>6686</v>
      </c>
      <c r="E2499" t="s">
        <v>26890</v>
      </c>
      <c r="F2499">
        <v>2</v>
      </c>
      <c r="G2499">
        <v>2492106</v>
      </c>
      <c r="H2499" t="s">
        <v>26891</v>
      </c>
      <c r="J2499" s="54" t="s">
        <v>6052</v>
      </c>
      <c r="K2499" s="54">
        <v>0</v>
      </c>
      <c r="L2499" s="22" t="s">
        <v>104</v>
      </c>
      <c r="M2499" s="22" t="s">
        <v>37009</v>
      </c>
    </row>
    <row r="2500" spans="1:13" x14ac:dyDescent="0.75">
      <c r="A2500" t="s">
        <v>27031</v>
      </c>
      <c r="B2500" t="s">
        <v>6685</v>
      </c>
      <c r="C2500" t="s">
        <v>6107</v>
      </c>
      <c r="D2500" t="s">
        <v>6686</v>
      </c>
      <c r="E2500" t="s">
        <v>27032</v>
      </c>
      <c r="F2500">
        <v>4</v>
      </c>
      <c r="G2500">
        <v>2584315</v>
      </c>
      <c r="H2500" t="s">
        <v>27033</v>
      </c>
      <c r="J2500" s="54" t="s">
        <v>6052</v>
      </c>
      <c r="K2500" s="54">
        <v>0</v>
      </c>
      <c r="L2500" s="22" t="s">
        <v>104</v>
      </c>
      <c r="M2500" s="22" t="s">
        <v>37009</v>
      </c>
    </row>
    <row r="2501" spans="1:13" x14ac:dyDescent="0.75">
      <c r="A2501" t="s">
        <v>27028</v>
      </c>
      <c r="B2501" t="s">
        <v>6685</v>
      </c>
      <c r="C2501" t="s">
        <v>6107</v>
      </c>
      <c r="D2501" t="s">
        <v>6686</v>
      </c>
      <c r="E2501" t="s">
        <v>27029</v>
      </c>
      <c r="F2501">
        <v>1</v>
      </c>
      <c r="G2501">
        <v>2504356</v>
      </c>
      <c r="H2501" t="s">
        <v>27030</v>
      </c>
      <c r="J2501" s="54" t="s">
        <v>6052</v>
      </c>
      <c r="K2501" s="54">
        <v>0</v>
      </c>
      <c r="L2501" s="22" t="s">
        <v>104</v>
      </c>
      <c r="M2501" s="22" t="s">
        <v>37009</v>
      </c>
    </row>
    <row r="2502" spans="1:13" x14ac:dyDescent="0.75">
      <c r="A2502" t="s">
        <v>26938</v>
      </c>
      <c r="B2502" t="s">
        <v>6685</v>
      </c>
      <c r="C2502" t="s">
        <v>6107</v>
      </c>
      <c r="D2502" t="s">
        <v>6686</v>
      </c>
      <c r="E2502" t="s">
        <v>26939</v>
      </c>
      <c r="F2502">
        <v>1</v>
      </c>
      <c r="G2502">
        <v>2500475</v>
      </c>
      <c r="H2502" t="s">
        <v>26940</v>
      </c>
      <c r="J2502" s="54" t="s">
        <v>6052</v>
      </c>
      <c r="K2502" s="54">
        <v>0</v>
      </c>
      <c r="L2502" s="22" t="s">
        <v>104</v>
      </c>
      <c r="M2502" s="22" t="s">
        <v>37009</v>
      </c>
    </row>
    <row r="2503" spans="1:13" x14ac:dyDescent="0.75">
      <c r="A2503" t="s">
        <v>27025</v>
      </c>
      <c r="B2503" t="s">
        <v>6685</v>
      </c>
      <c r="C2503" t="s">
        <v>6107</v>
      </c>
      <c r="D2503" t="s">
        <v>6686</v>
      </c>
      <c r="E2503" t="s">
        <v>27026</v>
      </c>
      <c r="F2503">
        <v>2</v>
      </c>
      <c r="G2503">
        <v>2577327</v>
      </c>
      <c r="H2503" t="s">
        <v>27027</v>
      </c>
      <c r="J2503" s="54" t="s">
        <v>6052</v>
      </c>
      <c r="K2503" s="54">
        <v>0</v>
      </c>
      <c r="L2503" s="22" t="s">
        <v>104</v>
      </c>
      <c r="M2503" s="22" t="s">
        <v>37009</v>
      </c>
    </row>
    <row r="2504" spans="1:13" x14ac:dyDescent="0.75">
      <c r="A2504" t="s">
        <v>27019</v>
      </c>
      <c r="B2504" t="s">
        <v>6685</v>
      </c>
      <c r="C2504" t="s">
        <v>6107</v>
      </c>
      <c r="D2504" t="s">
        <v>6686</v>
      </c>
      <c r="E2504" t="s">
        <v>27020</v>
      </c>
      <c r="F2504">
        <v>1</v>
      </c>
      <c r="G2504">
        <v>2678339</v>
      </c>
      <c r="H2504" t="s">
        <v>27021</v>
      </c>
      <c r="J2504" s="54" t="s">
        <v>6052</v>
      </c>
      <c r="K2504" s="54">
        <v>0</v>
      </c>
      <c r="L2504" s="22" t="s">
        <v>104</v>
      </c>
      <c r="M2504" s="22" t="s">
        <v>37009</v>
      </c>
    </row>
    <row r="2505" spans="1:13" x14ac:dyDescent="0.75">
      <c r="A2505" t="s">
        <v>26929</v>
      </c>
      <c r="B2505" t="s">
        <v>6685</v>
      </c>
      <c r="C2505" t="s">
        <v>6107</v>
      </c>
      <c r="D2505" t="s">
        <v>6686</v>
      </c>
      <c r="E2505" t="s">
        <v>26930</v>
      </c>
      <c r="F2505">
        <v>3</v>
      </c>
      <c r="G2505">
        <v>2818639</v>
      </c>
      <c r="H2505" t="s">
        <v>26931</v>
      </c>
      <c r="J2505" s="54" t="s">
        <v>6052</v>
      </c>
      <c r="K2505" s="54">
        <v>0</v>
      </c>
      <c r="L2505" s="22" t="s">
        <v>104</v>
      </c>
      <c r="M2505" s="22" t="s">
        <v>37009</v>
      </c>
    </row>
    <row r="2506" spans="1:13" x14ac:dyDescent="0.75">
      <c r="A2506" t="s">
        <v>26998</v>
      </c>
      <c r="B2506" t="s">
        <v>6685</v>
      </c>
      <c r="C2506" t="s">
        <v>6107</v>
      </c>
      <c r="D2506" t="s">
        <v>6686</v>
      </c>
      <c r="E2506" t="s">
        <v>26999</v>
      </c>
      <c r="F2506">
        <v>1</v>
      </c>
      <c r="G2506">
        <v>2431418</v>
      </c>
      <c r="H2506" t="s">
        <v>27000</v>
      </c>
      <c r="J2506" s="54" t="s">
        <v>6052</v>
      </c>
      <c r="K2506" s="54">
        <v>0</v>
      </c>
      <c r="L2506" s="22" t="s">
        <v>104</v>
      </c>
      <c r="M2506" s="22" t="s">
        <v>37009</v>
      </c>
    </row>
    <row r="2507" spans="1:13" x14ac:dyDescent="0.75">
      <c r="A2507" t="s">
        <v>28299</v>
      </c>
      <c r="B2507" t="s">
        <v>6685</v>
      </c>
      <c r="C2507" t="s">
        <v>6107</v>
      </c>
      <c r="D2507" t="s">
        <v>6686</v>
      </c>
      <c r="E2507" t="s">
        <v>28300</v>
      </c>
      <c r="F2507">
        <v>28</v>
      </c>
      <c r="G2507">
        <v>2631404</v>
      </c>
      <c r="H2507" t="s">
        <v>28301</v>
      </c>
      <c r="J2507" s="54" t="s">
        <v>6052</v>
      </c>
      <c r="K2507" s="54">
        <v>0</v>
      </c>
      <c r="L2507" s="22" t="s">
        <v>104</v>
      </c>
      <c r="M2507" s="22" t="s">
        <v>37009</v>
      </c>
    </row>
    <row r="2508" spans="1:13" x14ac:dyDescent="0.75">
      <c r="A2508" t="s">
        <v>11720</v>
      </c>
      <c r="B2508" t="s">
        <v>6685</v>
      </c>
      <c r="C2508" t="s">
        <v>6107</v>
      </c>
      <c r="D2508" t="s">
        <v>6686</v>
      </c>
      <c r="E2508" t="s">
        <v>11721</v>
      </c>
      <c r="F2508">
        <v>2</v>
      </c>
      <c r="G2508">
        <v>2455060</v>
      </c>
      <c r="H2508" t="s">
        <v>11722</v>
      </c>
      <c r="J2508" s="54" t="s">
        <v>6052</v>
      </c>
      <c r="K2508" s="54">
        <v>0</v>
      </c>
      <c r="L2508" s="22" t="s">
        <v>104</v>
      </c>
      <c r="M2508" s="22" t="s">
        <v>37009</v>
      </c>
    </row>
    <row r="2509" spans="1:13" x14ac:dyDescent="0.75">
      <c r="A2509" t="s">
        <v>6758</v>
      </c>
      <c r="B2509" t="s">
        <v>6759</v>
      </c>
      <c r="C2509" t="s">
        <v>6107</v>
      </c>
      <c r="D2509" t="s">
        <v>6760</v>
      </c>
      <c r="E2509" t="s">
        <v>6761</v>
      </c>
      <c r="F2509">
        <v>99</v>
      </c>
      <c r="G2509">
        <v>1930430</v>
      </c>
      <c r="H2509" t="s">
        <v>6762</v>
      </c>
      <c r="J2509" s="54" t="s">
        <v>6052</v>
      </c>
      <c r="K2509" s="54">
        <v>0</v>
      </c>
      <c r="L2509" s="22" t="s">
        <v>1563</v>
      </c>
      <c r="M2509" s="22" t="s">
        <v>37016</v>
      </c>
    </row>
    <row r="2510" spans="1:13" x14ac:dyDescent="0.75">
      <c r="A2510" t="s">
        <v>10173</v>
      </c>
      <c r="B2510" t="s">
        <v>6685</v>
      </c>
      <c r="C2510" t="s">
        <v>6107</v>
      </c>
      <c r="D2510" t="s">
        <v>6686</v>
      </c>
      <c r="E2510" t="s">
        <v>10174</v>
      </c>
      <c r="F2510">
        <v>87</v>
      </c>
      <c r="G2510">
        <v>2497272</v>
      </c>
      <c r="H2510" t="s">
        <v>10175</v>
      </c>
      <c r="J2510" s="54" t="s">
        <v>6052</v>
      </c>
      <c r="K2510" s="54">
        <v>0</v>
      </c>
      <c r="L2510" s="22" t="s">
        <v>104</v>
      </c>
      <c r="M2510" s="22" t="s">
        <v>37009</v>
      </c>
    </row>
    <row r="2511" spans="1:13" x14ac:dyDescent="0.75">
      <c r="A2511" t="s">
        <v>16118</v>
      </c>
      <c r="B2511" t="s">
        <v>6685</v>
      </c>
      <c r="C2511" t="s">
        <v>6107</v>
      </c>
      <c r="D2511" t="s">
        <v>6686</v>
      </c>
      <c r="E2511" t="s">
        <v>16119</v>
      </c>
      <c r="F2511">
        <v>192</v>
      </c>
      <c r="G2511">
        <v>2492174</v>
      </c>
      <c r="H2511" t="s">
        <v>16120</v>
      </c>
      <c r="J2511" s="54" t="s">
        <v>6052</v>
      </c>
      <c r="K2511" s="54">
        <v>0</v>
      </c>
      <c r="L2511" s="22" t="s">
        <v>104</v>
      </c>
      <c r="M2511" s="22" t="s">
        <v>37009</v>
      </c>
    </row>
    <row r="2512" spans="1:13" x14ac:dyDescent="0.75">
      <c r="A2512" t="s">
        <v>26953</v>
      </c>
      <c r="B2512" t="s">
        <v>6685</v>
      </c>
      <c r="C2512" t="s">
        <v>6107</v>
      </c>
      <c r="D2512" t="s">
        <v>6686</v>
      </c>
      <c r="E2512" t="s">
        <v>26954</v>
      </c>
      <c r="F2512">
        <v>1</v>
      </c>
      <c r="G2512">
        <v>2391664</v>
      </c>
      <c r="H2512" t="s">
        <v>26955</v>
      </c>
      <c r="J2512" s="54" t="s">
        <v>6052</v>
      </c>
      <c r="K2512" s="54">
        <v>0</v>
      </c>
      <c r="L2512" s="22" t="s">
        <v>104</v>
      </c>
      <c r="M2512" s="22" t="s">
        <v>37009</v>
      </c>
    </row>
    <row r="2513" spans="1:13" x14ac:dyDescent="0.75">
      <c r="A2513" t="s">
        <v>26748</v>
      </c>
      <c r="B2513" t="s">
        <v>6685</v>
      </c>
      <c r="C2513" t="s">
        <v>6107</v>
      </c>
      <c r="D2513" t="s">
        <v>6686</v>
      </c>
      <c r="E2513" t="s">
        <v>26749</v>
      </c>
      <c r="F2513">
        <v>1</v>
      </c>
      <c r="G2513">
        <v>2391569</v>
      </c>
      <c r="H2513" t="s">
        <v>26750</v>
      </c>
      <c r="J2513" s="54" t="s">
        <v>6052</v>
      </c>
      <c r="K2513" s="54">
        <v>0</v>
      </c>
      <c r="L2513" s="22" t="s">
        <v>104</v>
      </c>
      <c r="M2513" s="22" t="s">
        <v>37009</v>
      </c>
    </row>
    <row r="2514" spans="1:13" x14ac:dyDescent="0.75">
      <c r="A2514" t="s">
        <v>26853</v>
      </c>
      <c r="B2514" t="s">
        <v>6685</v>
      </c>
      <c r="C2514" t="s">
        <v>6107</v>
      </c>
      <c r="D2514" t="s">
        <v>6686</v>
      </c>
      <c r="E2514" t="s">
        <v>26854</v>
      </c>
      <c r="F2514">
        <v>1</v>
      </c>
      <c r="G2514">
        <v>2447092</v>
      </c>
      <c r="H2514" t="s">
        <v>26855</v>
      </c>
      <c r="J2514" s="54" t="s">
        <v>6052</v>
      </c>
      <c r="K2514" s="54">
        <v>0</v>
      </c>
      <c r="L2514" s="22" t="s">
        <v>104</v>
      </c>
      <c r="M2514" s="22" t="s">
        <v>37009</v>
      </c>
    </row>
    <row r="2515" spans="1:13" x14ac:dyDescent="0.75">
      <c r="A2515" t="s">
        <v>26736</v>
      </c>
      <c r="B2515" t="s">
        <v>6685</v>
      </c>
      <c r="C2515" t="s">
        <v>6107</v>
      </c>
      <c r="D2515" t="s">
        <v>6686</v>
      </c>
      <c r="E2515" t="s">
        <v>26737</v>
      </c>
      <c r="F2515">
        <v>3</v>
      </c>
      <c r="G2515">
        <v>2527742</v>
      </c>
      <c r="H2515" t="s">
        <v>26738</v>
      </c>
      <c r="J2515" s="54" t="s">
        <v>6052</v>
      </c>
      <c r="K2515" s="54">
        <v>0</v>
      </c>
      <c r="L2515" s="22" t="s">
        <v>104</v>
      </c>
      <c r="M2515" s="22" t="s">
        <v>37009</v>
      </c>
    </row>
    <row r="2516" spans="1:13" x14ac:dyDescent="0.75">
      <c r="A2516" t="s">
        <v>26730</v>
      </c>
      <c r="B2516" t="s">
        <v>6685</v>
      </c>
      <c r="C2516" t="s">
        <v>6107</v>
      </c>
      <c r="D2516" t="s">
        <v>6686</v>
      </c>
      <c r="E2516" t="s">
        <v>26731</v>
      </c>
      <c r="F2516">
        <v>1</v>
      </c>
      <c r="G2516">
        <v>2442222</v>
      </c>
      <c r="H2516" t="s">
        <v>26732</v>
      </c>
      <c r="J2516" s="54" t="s">
        <v>6052</v>
      </c>
      <c r="K2516" s="54">
        <v>0</v>
      </c>
      <c r="L2516" s="22" t="s">
        <v>104</v>
      </c>
      <c r="M2516" s="22" t="s">
        <v>37009</v>
      </c>
    </row>
    <row r="2517" spans="1:13" x14ac:dyDescent="0.75">
      <c r="A2517" t="s">
        <v>26874</v>
      </c>
      <c r="B2517" t="s">
        <v>6685</v>
      </c>
      <c r="C2517" t="s">
        <v>6107</v>
      </c>
      <c r="D2517" t="s">
        <v>6686</v>
      </c>
      <c r="E2517" t="s">
        <v>26875</v>
      </c>
      <c r="F2517">
        <v>1</v>
      </c>
      <c r="G2517">
        <v>2470512</v>
      </c>
      <c r="H2517" t="s">
        <v>26876</v>
      </c>
      <c r="J2517" s="54" t="s">
        <v>6052</v>
      </c>
      <c r="K2517" s="54">
        <v>0</v>
      </c>
      <c r="L2517" s="22" t="s">
        <v>104</v>
      </c>
      <c r="M2517" s="22" t="s">
        <v>37009</v>
      </c>
    </row>
    <row r="2518" spans="1:13" x14ac:dyDescent="0.75">
      <c r="A2518" t="s">
        <v>26856</v>
      </c>
      <c r="B2518" t="s">
        <v>6685</v>
      </c>
      <c r="C2518" t="s">
        <v>6107</v>
      </c>
      <c r="D2518" t="s">
        <v>6686</v>
      </c>
      <c r="E2518" t="s">
        <v>26857</v>
      </c>
      <c r="F2518">
        <v>1</v>
      </c>
      <c r="G2518">
        <v>2334368</v>
      </c>
      <c r="H2518" t="s">
        <v>26858</v>
      </c>
      <c r="J2518" s="54" t="s">
        <v>6052</v>
      </c>
      <c r="K2518" s="54">
        <v>0</v>
      </c>
      <c r="L2518" s="22" t="s">
        <v>104</v>
      </c>
      <c r="M2518" s="22" t="s">
        <v>37009</v>
      </c>
    </row>
    <row r="2519" spans="1:13" x14ac:dyDescent="0.75">
      <c r="A2519" t="s">
        <v>27091</v>
      </c>
      <c r="B2519" t="s">
        <v>6685</v>
      </c>
      <c r="C2519" t="s">
        <v>6107</v>
      </c>
      <c r="D2519" t="s">
        <v>6686</v>
      </c>
      <c r="E2519" t="s">
        <v>27092</v>
      </c>
      <c r="F2519">
        <v>3</v>
      </c>
      <c r="G2519">
        <v>2499187</v>
      </c>
      <c r="H2519" t="s">
        <v>27093</v>
      </c>
      <c r="J2519" s="54" t="s">
        <v>6052</v>
      </c>
      <c r="K2519" s="54">
        <v>0</v>
      </c>
      <c r="L2519" s="22" t="s">
        <v>104</v>
      </c>
      <c r="M2519" s="22" t="s">
        <v>37009</v>
      </c>
    </row>
    <row r="2520" spans="1:13" x14ac:dyDescent="0.75">
      <c r="A2520" t="s">
        <v>23606</v>
      </c>
      <c r="B2520" t="s">
        <v>6685</v>
      </c>
      <c r="C2520" t="s">
        <v>6107</v>
      </c>
      <c r="D2520" t="s">
        <v>6686</v>
      </c>
      <c r="E2520" t="s">
        <v>23607</v>
      </c>
      <c r="F2520">
        <v>1</v>
      </c>
      <c r="G2520">
        <v>2443126</v>
      </c>
      <c r="H2520" t="s">
        <v>23608</v>
      </c>
      <c r="J2520" s="54" t="s">
        <v>6052</v>
      </c>
      <c r="K2520" s="54">
        <v>0</v>
      </c>
      <c r="L2520" s="22" t="s">
        <v>104</v>
      </c>
      <c r="M2520" s="22" t="s">
        <v>37009</v>
      </c>
    </row>
    <row r="2521" spans="1:13" x14ac:dyDescent="0.75">
      <c r="A2521" t="s">
        <v>21371</v>
      </c>
      <c r="B2521" t="s">
        <v>6685</v>
      </c>
      <c r="C2521" t="s">
        <v>6107</v>
      </c>
      <c r="D2521" t="s">
        <v>6686</v>
      </c>
      <c r="E2521" t="s">
        <v>21372</v>
      </c>
      <c r="F2521">
        <v>2</v>
      </c>
      <c r="G2521">
        <v>2526214</v>
      </c>
      <c r="H2521" t="s">
        <v>21373</v>
      </c>
      <c r="J2521" s="54" t="s">
        <v>6052</v>
      </c>
      <c r="K2521" s="54">
        <v>0</v>
      </c>
      <c r="L2521" s="22" t="s">
        <v>104</v>
      </c>
      <c r="M2521" s="22" t="s">
        <v>37009</v>
      </c>
    </row>
    <row r="2522" spans="1:13" x14ac:dyDescent="0.75">
      <c r="A2522" t="s">
        <v>6791</v>
      </c>
      <c r="B2522" t="s">
        <v>6759</v>
      </c>
      <c r="C2522" t="s">
        <v>6107</v>
      </c>
      <c r="D2522" t="s">
        <v>6760</v>
      </c>
      <c r="E2522" t="s">
        <v>6792</v>
      </c>
      <c r="F2522">
        <v>24</v>
      </c>
      <c r="G2522">
        <v>1698329</v>
      </c>
      <c r="H2522" t="s">
        <v>6793</v>
      </c>
      <c r="J2522" s="54" t="s">
        <v>6052</v>
      </c>
      <c r="K2522" s="54">
        <v>0</v>
      </c>
      <c r="L2522" s="22" t="s">
        <v>1563</v>
      </c>
      <c r="M2522" s="22" t="s">
        <v>37016</v>
      </c>
    </row>
    <row r="2523" spans="1:13" x14ac:dyDescent="0.75">
      <c r="A2523" t="s">
        <v>14761</v>
      </c>
      <c r="B2523" t="s">
        <v>6759</v>
      </c>
      <c r="C2523" t="s">
        <v>6107</v>
      </c>
      <c r="D2523" t="s">
        <v>6760</v>
      </c>
      <c r="E2523" t="s">
        <v>6792</v>
      </c>
      <c r="F2523">
        <v>1</v>
      </c>
      <c r="G2523">
        <v>1678881</v>
      </c>
      <c r="H2523" t="s">
        <v>14762</v>
      </c>
      <c r="J2523" s="54" t="s">
        <v>6052</v>
      </c>
      <c r="K2523" s="54">
        <v>0</v>
      </c>
      <c r="L2523" s="22" t="s">
        <v>1563</v>
      </c>
      <c r="M2523" s="22" t="s">
        <v>37016</v>
      </c>
    </row>
    <row r="2524" spans="1:13" x14ac:dyDescent="0.75">
      <c r="A2524" t="s">
        <v>21374</v>
      </c>
      <c r="B2524" t="s">
        <v>6685</v>
      </c>
      <c r="C2524" t="s">
        <v>6107</v>
      </c>
      <c r="D2524" t="s">
        <v>6686</v>
      </c>
      <c r="E2524" t="s">
        <v>21375</v>
      </c>
      <c r="F2524">
        <v>1</v>
      </c>
      <c r="G2524">
        <v>2547341</v>
      </c>
      <c r="H2524" t="s">
        <v>21376</v>
      </c>
      <c r="J2524" s="54" t="s">
        <v>6052</v>
      </c>
      <c r="K2524" s="54">
        <v>0</v>
      </c>
      <c r="L2524" s="22" t="s">
        <v>104</v>
      </c>
      <c r="M2524" s="22" t="s">
        <v>37009</v>
      </c>
    </row>
    <row r="2525" spans="1:13" x14ac:dyDescent="0.75">
      <c r="A2525" t="s">
        <v>15803</v>
      </c>
      <c r="B2525" t="s">
        <v>6685</v>
      </c>
      <c r="C2525" t="s">
        <v>6107</v>
      </c>
      <c r="D2525" t="s">
        <v>6686</v>
      </c>
      <c r="E2525" t="s">
        <v>15804</v>
      </c>
      <c r="F2525">
        <v>93</v>
      </c>
      <c r="G2525">
        <v>2331541</v>
      </c>
      <c r="H2525" t="s">
        <v>15805</v>
      </c>
      <c r="J2525" s="54" t="s">
        <v>6052</v>
      </c>
      <c r="K2525" s="54">
        <v>0</v>
      </c>
      <c r="L2525" s="22" t="s">
        <v>104</v>
      </c>
      <c r="M2525" s="22" t="s">
        <v>37009</v>
      </c>
    </row>
    <row r="2526" spans="1:13" x14ac:dyDescent="0.75">
      <c r="A2526" t="s">
        <v>19185</v>
      </c>
      <c r="B2526" t="s">
        <v>14151</v>
      </c>
      <c r="C2526" t="s">
        <v>6107</v>
      </c>
      <c r="D2526" t="s">
        <v>14152</v>
      </c>
      <c r="E2526" t="s">
        <v>19186</v>
      </c>
      <c r="F2526">
        <v>188</v>
      </c>
      <c r="G2526">
        <v>2132266</v>
      </c>
      <c r="H2526" t="s">
        <v>19187</v>
      </c>
      <c r="J2526" s="54" t="s">
        <v>6052</v>
      </c>
      <c r="K2526" s="54">
        <v>0</v>
      </c>
      <c r="L2526" s="22" t="s">
        <v>104</v>
      </c>
      <c r="M2526" s="22" t="s">
        <v>37020</v>
      </c>
    </row>
    <row r="2527" spans="1:13" x14ac:dyDescent="0.75">
      <c r="A2527" t="s">
        <v>14155</v>
      </c>
      <c r="B2527" t="s">
        <v>14151</v>
      </c>
      <c r="C2527" t="s">
        <v>6107</v>
      </c>
      <c r="D2527" t="s">
        <v>14152</v>
      </c>
      <c r="E2527" t="s">
        <v>14156</v>
      </c>
      <c r="F2527">
        <v>2</v>
      </c>
      <c r="G2527">
        <v>2413057</v>
      </c>
      <c r="H2527" t="s">
        <v>14157</v>
      </c>
      <c r="J2527" s="54" t="s">
        <v>6052</v>
      </c>
      <c r="K2527" s="54">
        <v>0</v>
      </c>
      <c r="L2527" s="22" t="s">
        <v>104</v>
      </c>
      <c r="M2527" s="22" t="s">
        <v>37020</v>
      </c>
    </row>
    <row r="2528" spans="1:13" x14ac:dyDescent="0.75">
      <c r="A2528" t="s">
        <v>14182</v>
      </c>
      <c r="B2528" t="s">
        <v>14151</v>
      </c>
      <c r="C2528" t="s">
        <v>6107</v>
      </c>
      <c r="D2528" t="s">
        <v>14152</v>
      </c>
      <c r="E2528" t="s">
        <v>14183</v>
      </c>
      <c r="F2528">
        <v>1</v>
      </c>
      <c r="G2528">
        <v>2372880</v>
      </c>
      <c r="H2528" t="s">
        <v>14184</v>
      </c>
      <c r="J2528" s="54" t="s">
        <v>6052</v>
      </c>
      <c r="K2528" s="54">
        <v>0</v>
      </c>
      <c r="L2528" s="22" t="s">
        <v>104</v>
      </c>
      <c r="M2528" s="22" t="s">
        <v>37020</v>
      </c>
    </row>
    <row r="2529" spans="1:13" x14ac:dyDescent="0.75">
      <c r="A2529" t="s">
        <v>14191</v>
      </c>
      <c r="B2529" t="s">
        <v>14151</v>
      </c>
      <c r="C2529" t="s">
        <v>6107</v>
      </c>
      <c r="D2529" t="s">
        <v>14152</v>
      </c>
      <c r="E2529" t="s">
        <v>14192</v>
      </c>
      <c r="F2529">
        <v>1</v>
      </c>
      <c r="G2529">
        <v>2324076</v>
      </c>
      <c r="H2529" t="s">
        <v>14193</v>
      </c>
      <c r="J2529" s="54" t="s">
        <v>6052</v>
      </c>
      <c r="K2529" s="54">
        <v>0</v>
      </c>
      <c r="L2529" s="22" t="s">
        <v>104</v>
      </c>
      <c r="M2529" s="22" t="s">
        <v>37020</v>
      </c>
    </row>
    <row r="2530" spans="1:13" x14ac:dyDescent="0.75">
      <c r="A2530" t="s">
        <v>14197</v>
      </c>
      <c r="B2530" t="s">
        <v>14151</v>
      </c>
      <c r="C2530" t="s">
        <v>6107</v>
      </c>
      <c r="D2530" t="s">
        <v>14152</v>
      </c>
      <c r="E2530" t="s">
        <v>14198</v>
      </c>
      <c r="F2530">
        <v>1</v>
      </c>
      <c r="G2530">
        <v>2216236</v>
      </c>
      <c r="H2530" t="s">
        <v>14199</v>
      </c>
      <c r="J2530" s="54" t="s">
        <v>6052</v>
      </c>
      <c r="K2530" s="54">
        <v>0</v>
      </c>
      <c r="L2530" s="22" t="s">
        <v>104</v>
      </c>
      <c r="M2530" s="22" t="s">
        <v>37020</v>
      </c>
    </row>
    <row r="2531" spans="1:13" x14ac:dyDescent="0.75">
      <c r="A2531" t="s">
        <v>14179</v>
      </c>
      <c r="B2531" t="s">
        <v>14151</v>
      </c>
      <c r="C2531" t="s">
        <v>6107</v>
      </c>
      <c r="D2531" t="s">
        <v>14152</v>
      </c>
      <c r="E2531" t="s">
        <v>14180</v>
      </c>
      <c r="F2531">
        <v>1</v>
      </c>
      <c r="G2531">
        <v>2222370</v>
      </c>
      <c r="H2531" t="s">
        <v>14181</v>
      </c>
      <c r="J2531" s="54" t="s">
        <v>6052</v>
      </c>
      <c r="K2531" s="54">
        <v>0</v>
      </c>
      <c r="L2531" s="22" t="s">
        <v>104</v>
      </c>
      <c r="M2531" s="22" t="s">
        <v>37020</v>
      </c>
    </row>
    <row r="2532" spans="1:13" x14ac:dyDescent="0.75">
      <c r="A2532" t="s">
        <v>14150</v>
      </c>
      <c r="B2532" t="s">
        <v>14151</v>
      </c>
      <c r="C2532" t="s">
        <v>6107</v>
      </c>
      <c r="D2532" t="s">
        <v>14152</v>
      </c>
      <c r="E2532" t="s">
        <v>14153</v>
      </c>
      <c r="F2532">
        <v>4</v>
      </c>
      <c r="G2532">
        <v>2298437</v>
      </c>
      <c r="H2532" t="s">
        <v>14154</v>
      </c>
      <c r="J2532" s="54" t="s">
        <v>6052</v>
      </c>
      <c r="K2532" s="54">
        <v>0</v>
      </c>
      <c r="L2532" s="22" t="s">
        <v>104</v>
      </c>
      <c r="M2532" s="22" t="s">
        <v>37020</v>
      </c>
    </row>
    <row r="2533" spans="1:13" x14ac:dyDescent="0.75">
      <c r="A2533" t="s">
        <v>14203</v>
      </c>
      <c r="B2533" t="s">
        <v>14151</v>
      </c>
      <c r="C2533" t="s">
        <v>6107</v>
      </c>
      <c r="D2533" t="s">
        <v>14152</v>
      </c>
      <c r="E2533" t="s">
        <v>14204</v>
      </c>
      <c r="F2533">
        <v>1</v>
      </c>
      <c r="G2533">
        <v>2273832</v>
      </c>
      <c r="H2533" t="s">
        <v>14205</v>
      </c>
      <c r="J2533" s="54" t="s">
        <v>6052</v>
      </c>
      <c r="K2533" s="54">
        <v>0</v>
      </c>
      <c r="L2533" s="22" t="s">
        <v>104</v>
      </c>
      <c r="M2533" s="22" t="s">
        <v>37020</v>
      </c>
    </row>
    <row r="2534" spans="1:13" x14ac:dyDescent="0.75">
      <c r="A2534" t="s">
        <v>14215</v>
      </c>
      <c r="B2534" t="s">
        <v>14151</v>
      </c>
      <c r="C2534" t="s">
        <v>6107</v>
      </c>
      <c r="D2534" t="s">
        <v>14152</v>
      </c>
      <c r="E2534" t="s">
        <v>14216</v>
      </c>
      <c r="F2534">
        <v>1</v>
      </c>
      <c r="G2534">
        <v>2291059</v>
      </c>
      <c r="H2534" t="s">
        <v>14217</v>
      </c>
      <c r="J2534" s="54" t="s">
        <v>6052</v>
      </c>
      <c r="K2534" s="54">
        <v>0</v>
      </c>
      <c r="L2534" s="22" t="s">
        <v>104</v>
      </c>
      <c r="M2534" s="22" t="s">
        <v>37020</v>
      </c>
    </row>
    <row r="2535" spans="1:13" x14ac:dyDescent="0.75">
      <c r="A2535" t="s">
        <v>29401</v>
      </c>
      <c r="B2535" t="s">
        <v>14151</v>
      </c>
      <c r="C2535" t="s">
        <v>6107</v>
      </c>
      <c r="D2535" t="s">
        <v>14152</v>
      </c>
      <c r="E2535" t="s">
        <v>29402</v>
      </c>
      <c r="F2535">
        <v>251</v>
      </c>
      <c r="G2535">
        <v>2136019</v>
      </c>
      <c r="H2535" t="s">
        <v>29403</v>
      </c>
      <c r="J2535" s="54" t="s">
        <v>6052</v>
      </c>
      <c r="K2535" s="54">
        <v>0</v>
      </c>
      <c r="L2535" s="22" t="s">
        <v>104</v>
      </c>
      <c r="M2535" s="22" t="s">
        <v>37020</v>
      </c>
    </row>
    <row r="2536" spans="1:13" x14ac:dyDescent="0.75">
      <c r="A2536" t="s">
        <v>19769</v>
      </c>
      <c r="B2536" t="s">
        <v>19770</v>
      </c>
      <c r="C2536" t="s">
        <v>6107</v>
      </c>
      <c r="D2536" t="s">
        <v>19771</v>
      </c>
      <c r="E2536" t="s">
        <v>19772</v>
      </c>
      <c r="F2536">
        <v>64</v>
      </c>
      <c r="G2536">
        <v>2452360</v>
      </c>
      <c r="H2536" t="s">
        <v>19773</v>
      </c>
      <c r="J2536" s="54" t="s">
        <v>6052</v>
      </c>
      <c r="K2536" s="54">
        <v>0</v>
      </c>
      <c r="L2536" s="22" t="s">
        <v>104</v>
      </c>
      <c r="M2536" s="22" t="s">
        <v>37012</v>
      </c>
    </row>
    <row r="2537" spans="1:13" x14ac:dyDescent="0.75">
      <c r="A2537" t="s">
        <v>24267</v>
      </c>
      <c r="B2537" t="s">
        <v>19770</v>
      </c>
      <c r="C2537" t="s">
        <v>6107</v>
      </c>
      <c r="D2537" t="s">
        <v>19771</v>
      </c>
      <c r="E2537" t="s">
        <v>24268</v>
      </c>
      <c r="F2537">
        <v>86</v>
      </c>
      <c r="G2537">
        <v>2481730</v>
      </c>
      <c r="H2537" t="s">
        <v>24269</v>
      </c>
      <c r="J2537" s="54" t="s">
        <v>6052</v>
      </c>
      <c r="K2537" s="54">
        <v>0</v>
      </c>
      <c r="L2537" s="22" t="s">
        <v>104</v>
      </c>
      <c r="M2537" s="22" t="s">
        <v>37012</v>
      </c>
    </row>
    <row r="2538" spans="1:13" x14ac:dyDescent="0.75">
      <c r="A2538" t="s">
        <v>27122</v>
      </c>
      <c r="B2538" t="s">
        <v>27123</v>
      </c>
      <c r="C2538" t="s">
        <v>6107</v>
      </c>
      <c r="D2538" t="s">
        <v>27124</v>
      </c>
      <c r="E2538" t="s">
        <v>27125</v>
      </c>
      <c r="F2538">
        <v>7</v>
      </c>
      <c r="G2538">
        <v>1809170</v>
      </c>
      <c r="H2538" t="s">
        <v>27126</v>
      </c>
      <c r="J2538" s="54" t="s">
        <v>6052</v>
      </c>
      <c r="K2538" s="54">
        <v>0</v>
      </c>
      <c r="L2538" s="22" t="s">
        <v>104</v>
      </c>
      <c r="M2538" s="22" t="s">
        <v>37021</v>
      </c>
    </row>
    <row r="2539" spans="1:13" x14ac:dyDescent="0.75">
      <c r="A2539" t="s">
        <v>28307</v>
      </c>
      <c r="B2539" t="s">
        <v>27123</v>
      </c>
      <c r="C2539" t="s">
        <v>6107</v>
      </c>
      <c r="D2539" t="s">
        <v>27124</v>
      </c>
      <c r="E2539" t="s">
        <v>28308</v>
      </c>
      <c r="F2539">
        <v>7</v>
      </c>
      <c r="G2539">
        <v>1809170</v>
      </c>
      <c r="H2539" t="s">
        <v>28309</v>
      </c>
      <c r="J2539" s="54" t="s">
        <v>6052</v>
      </c>
      <c r="K2539" s="54">
        <v>0</v>
      </c>
      <c r="L2539" s="22" t="s">
        <v>104</v>
      </c>
      <c r="M2539" s="22" t="s">
        <v>37021</v>
      </c>
    </row>
    <row r="2540" spans="1:13" x14ac:dyDescent="0.75">
      <c r="A2540" t="s">
        <v>29779</v>
      </c>
      <c r="B2540" t="s">
        <v>8319</v>
      </c>
      <c r="C2540" t="s">
        <v>6107</v>
      </c>
      <c r="D2540" t="s">
        <v>8320</v>
      </c>
      <c r="E2540" t="s">
        <v>29780</v>
      </c>
      <c r="F2540">
        <v>81</v>
      </c>
      <c r="G2540">
        <v>2048915</v>
      </c>
      <c r="H2540" t="s">
        <v>29781</v>
      </c>
      <c r="J2540" s="54" t="s">
        <v>6052</v>
      </c>
      <c r="K2540" s="54">
        <v>0</v>
      </c>
      <c r="L2540" s="22" t="s">
        <v>104</v>
      </c>
      <c r="M2540" s="22" t="s">
        <v>37019</v>
      </c>
    </row>
    <row r="2541" spans="1:13" x14ac:dyDescent="0.75">
      <c r="A2541" t="s">
        <v>8318</v>
      </c>
      <c r="B2541" t="s">
        <v>8319</v>
      </c>
      <c r="C2541" t="s">
        <v>6107</v>
      </c>
      <c r="D2541" t="s">
        <v>8320</v>
      </c>
      <c r="E2541" t="s">
        <v>8321</v>
      </c>
      <c r="F2541">
        <v>287</v>
      </c>
      <c r="G2541">
        <v>2093299</v>
      </c>
      <c r="H2541" t="s">
        <v>8322</v>
      </c>
      <c r="J2541" s="54" t="s">
        <v>6052</v>
      </c>
      <c r="K2541" s="54">
        <v>0</v>
      </c>
      <c r="L2541" s="22" t="s">
        <v>104</v>
      </c>
      <c r="M2541" s="22" t="s">
        <v>37019</v>
      </c>
    </row>
    <row r="2542" spans="1:13" x14ac:dyDescent="0.75">
      <c r="A2542" t="s">
        <v>28469</v>
      </c>
      <c r="B2542" t="s">
        <v>8319</v>
      </c>
      <c r="C2542" t="s">
        <v>6107</v>
      </c>
      <c r="D2542" t="s">
        <v>8320</v>
      </c>
      <c r="E2542" t="s">
        <v>28470</v>
      </c>
      <c r="F2542">
        <v>97</v>
      </c>
      <c r="G2542">
        <v>2065216</v>
      </c>
      <c r="H2542" t="s">
        <v>28471</v>
      </c>
      <c r="J2542" s="54" t="s">
        <v>6052</v>
      </c>
      <c r="K2542" s="54">
        <v>0</v>
      </c>
      <c r="L2542" s="22" t="s">
        <v>104</v>
      </c>
      <c r="M2542" s="22" t="s">
        <v>37019</v>
      </c>
    </row>
    <row r="2543" spans="1:13" x14ac:dyDescent="0.75">
      <c r="A2543" t="s">
        <v>7074</v>
      </c>
      <c r="B2543" t="s">
        <v>6764</v>
      </c>
      <c r="C2543" t="s">
        <v>6107</v>
      </c>
      <c r="D2543" t="s">
        <v>6765</v>
      </c>
      <c r="E2543" t="s">
        <v>7075</v>
      </c>
      <c r="F2543">
        <v>3</v>
      </c>
      <c r="G2543">
        <v>2190228</v>
      </c>
      <c r="H2543" t="s">
        <v>7076</v>
      </c>
      <c r="J2543" s="54" t="s">
        <v>6052</v>
      </c>
      <c r="K2543" s="54">
        <v>0</v>
      </c>
      <c r="L2543" s="22" t="s">
        <v>104</v>
      </c>
      <c r="M2543" s="22" t="s">
        <v>37015</v>
      </c>
    </row>
    <row r="2544" spans="1:13" x14ac:dyDescent="0.75">
      <c r="A2544" t="s">
        <v>6972</v>
      </c>
      <c r="B2544" t="s">
        <v>6764</v>
      </c>
      <c r="C2544" t="s">
        <v>6107</v>
      </c>
      <c r="D2544" t="s">
        <v>6765</v>
      </c>
      <c r="E2544" t="s">
        <v>6973</v>
      </c>
      <c r="F2544">
        <v>1</v>
      </c>
      <c r="G2544">
        <v>2268272</v>
      </c>
      <c r="H2544" t="s">
        <v>6974</v>
      </c>
      <c r="J2544" s="54" t="s">
        <v>6052</v>
      </c>
      <c r="K2544" s="54">
        <v>0</v>
      </c>
      <c r="L2544" s="22" t="s">
        <v>104</v>
      </c>
      <c r="M2544" s="22" t="s">
        <v>37015</v>
      </c>
    </row>
    <row r="2545" spans="1:13" x14ac:dyDescent="0.75">
      <c r="A2545" t="s">
        <v>6763</v>
      </c>
      <c r="B2545" t="s">
        <v>6764</v>
      </c>
      <c r="C2545" t="s">
        <v>6107</v>
      </c>
      <c r="D2545" t="s">
        <v>6765</v>
      </c>
      <c r="E2545" t="s">
        <v>6766</v>
      </c>
      <c r="F2545">
        <v>24</v>
      </c>
      <c r="G2545">
        <v>2271126</v>
      </c>
      <c r="H2545" t="s">
        <v>6767</v>
      </c>
      <c r="J2545" s="54" t="s">
        <v>6052</v>
      </c>
      <c r="K2545" s="54">
        <v>0</v>
      </c>
      <c r="L2545" s="22" t="s">
        <v>104</v>
      </c>
      <c r="M2545" s="22" t="s">
        <v>37015</v>
      </c>
    </row>
    <row r="2546" spans="1:13" x14ac:dyDescent="0.75">
      <c r="A2546" t="s">
        <v>13112</v>
      </c>
      <c r="B2546" t="s">
        <v>6764</v>
      </c>
      <c r="C2546" t="s">
        <v>6107</v>
      </c>
      <c r="D2546" t="s">
        <v>6765</v>
      </c>
      <c r="E2546" t="s">
        <v>13113</v>
      </c>
      <c r="F2546">
        <v>62</v>
      </c>
      <c r="G2546">
        <v>2143397</v>
      </c>
      <c r="H2546" t="s">
        <v>13114</v>
      </c>
      <c r="J2546" s="54" t="s">
        <v>6052</v>
      </c>
      <c r="K2546" s="54">
        <v>0</v>
      </c>
      <c r="L2546" s="22" t="s">
        <v>104</v>
      </c>
      <c r="M2546" s="22" t="s">
        <v>37015</v>
      </c>
    </row>
    <row r="2547" spans="1:13" x14ac:dyDescent="0.75">
      <c r="A2547" t="s">
        <v>8714</v>
      </c>
      <c r="B2547" t="s">
        <v>6764</v>
      </c>
      <c r="C2547" t="s">
        <v>6107</v>
      </c>
      <c r="D2547" t="s">
        <v>6765</v>
      </c>
      <c r="E2547" t="s">
        <v>8715</v>
      </c>
      <c r="F2547">
        <v>198</v>
      </c>
      <c r="G2547">
        <v>1837113</v>
      </c>
      <c r="H2547" t="s">
        <v>8716</v>
      </c>
      <c r="J2547" s="54" t="s">
        <v>6052</v>
      </c>
      <c r="K2547" s="54">
        <v>0</v>
      </c>
      <c r="L2547" s="22" t="s">
        <v>104</v>
      </c>
      <c r="M2547" s="22" t="s">
        <v>37015</v>
      </c>
    </row>
    <row r="2548" spans="1:13" x14ac:dyDescent="0.75">
      <c r="A2548" t="s">
        <v>9656</v>
      </c>
      <c r="B2548" t="s">
        <v>6764</v>
      </c>
      <c r="C2548" t="s">
        <v>6107</v>
      </c>
      <c r="D2548" t="s">
        <v>6765</v>
      </c>
      <c r="E2548" t="s">
        <v>9657</v>
      </c>
      <c r="F2548">
        <v>186</v>
      </c>
      <c r="G2548">
        <v>1989265</v>
      </c>
      <c r="H2548" t="s">
        <v>9658</v>
      </c>
      <c r="J2548" s="54" t="s">
        <v>6052</v>
      </c>
      <c r="K2548" s="54">
        <v>0</v>
      </c>
      <c r="L2548" s="22" t="s">
        <v>104</v>
      </c>
      <c r="M2548" s="22" t="s">
        <v>37015</v>
      </c>
    </row>
    <row r="2549" spans="1:13" x14ac:dyDescent="0.75">
      <c r="A2549" t="s">
        <v>23508</v>
      </c>
      <c r="B2549" t="s">
        <v>6764</v>
      </c>
      <c r="C2549" t="s">
        <v>6107</v>
      </c>
      <c r="D2549" t="s">
        <v>6765</v>
      </c>
      <c r="E2549" t="s">
        <v>23509</v>
      </c>
      <c r="F2549">
        <v>32</v>
      </c>
      <c r="G2549">
        <v>2078835</v>
      </c>
      <c r="H2549" t="s">
        <v>23510</v>
      </c>
      <c r="J2549" s="54" t="s">
        <v>6052</v>
      </c>
      <c r="K2549" s="54">
        <v>0</v>
      </c>
      <c r="L2549" s="22" t="s">
        <v>104</v>
      </c>
      <c r="M2549" s="22" t="s">
        <v>37015</v>
      </c>
    </row>
    <row r="2550" spans="1:13" x14ac:dyDescent="0.75">
      <c r="A2550" t="s">
        <v>10001</v>
      </c>
      <c r="B2550" t="s">
        <v>6764</v>
      </c>
      <c r="C2550" t="s">
        <v>6107</v>
      </c>
      <c r="D2550" t="s">
        <v>6765</v>
      </c>
      <c r="E2550" t="s">
        <v>10002</v>
      </c>
      <c r="F2550">
        <v>76</v>
      </c>
      <c r="G2550">
        <v>2143762</v>
      </c>
      <c r="H2550" t="s">
        <v>10003</v>
      </c>
      <c r="J2550" s="54" t="s">
        <v>6052</v>
      </c>
      <c r="K2550" s="54">
        <v>0</v>
      </c>
      <c r="L2550" s="22" t="s">
        <v>104</v>
      </c>
      <c r="M2550" s="22" t="s">
        <v>37015</v>
      </c>
    </row>
    <row r="2551" spans="1:13" x14ac:dyDescent="0.75">
      <c r="A2551" t="s">
        <v>29900</v>
      </c>
      <c r="B2551" t="s">
        <v>6764</v>
      </c>
      <c r="C2551" t="s">
        <v>6107</v>
      </c>
      <c r="D2551" t="s">
        <v>6765</v>
      </c>
      <c r="E2551" t="s">
        <v>29901</v>
      </c>
      <c r="F2551">
        <v>207</v>
      </c>
      <c r="G2551">
        <v>2082084</v>
      </c>
      <c r="H2551" t="s">
        <v>29902</v>
      </c>
      <c r="J2551" s="54" t="s">
        <v>6052</v>
      </c>
      <c r="K2551" s="54">
        <v>0</v>
      </c>
      <c r="L2551" s="22" t="s">
        <v>104</v>
      </c>
      <c r="M2551" s="22" t="s">
        <v>37015</v>
      </c>
    </row>
    <row r="2552" spans="1:13" x14ac:dyDescent="0.75">
      <c r="A2552" t="s">
        <v>25121</v>
      </c>
      <c r="B2552" t="s">
        <v>6764</v>
      </c>
      <c r="C2552" t="s">
        <v>6107</v>
      </c>
      <c r="D2552" t="s">
        <v>6765</v>
      </c>
      <c r="E2552" t="s">
        <v>25122</v>
      </c>
      <c r="F2552">
        <v>34</v>
      </c>
      <c r="G2552">
        <v>2134385</v>
      </c>
      <c r="H2552" t="s">
        <v>25123</v>
      </c>
      <c r="J2552" s="54" t="s">
        <v>6052</v>
      </c>
      <c r="K2552" s="54">
        <v>0</v>
      </c>
      <c r="L2552" s="22" t="s">
        <v>104</v>
      </c>
      <c r="M2552" s="22" t="s">
        <v>37015</v>
      </c>
    </row>
    <row r="2553" spans="1:13" x14ac:dyDescent="0.75">
      <c r="A2553" t="s">
        <v>22407</v>
      </c>
      <c r="B2553" t="s">
        <v>6764</v>
      </c>
      <c r="C2553" t="s">
        <v>6107</v>
      </c>
      <c r="D2553" t="s">
        <v>6765</v>
      </c>
      <c r="E2553" t="s">
        <v>22408</v>
      </c>
      <c r="F2553">
        <v>27</v>
      </c>
      <c r="G2553">
        <v>2081686</v>
      </c>
      <c r="H2553" t="s">
        <v>22409</v>
      </c>
      <c r="J2553" s="54" t="s">
        <v>6052</v>
      </c>
      <c r="K2553" s="54">
        <v>0</v>
      </c>
      <c r="L2553" s="22" t="s">
        <v>104</v>
      </c>
      <c r="M2553" s="22" t="s">
        <v>37015</v>
      </c>
    </row>
    <row r="2554" spans="1:13" x14ac:dyDescent="0.75">
      <c r="A2554" t="s">
        <v>24966</v>
      </c>
      <c r="B2554" t="s">
        <v>6764</v>
      </c>
      <c r="C2554" t="s">
        <v>6107</v>
      </c>
      <c r="D2554" t="s">
        <v>6765</v>
      </c>
      <c r="E2554" t="s">
        <v>24967</v>
      </c>
      <c r="F2554">
        <v>1</v>
      </c>
      <c r="G2554">
        <v>2194806</v>
      </c>
      <c r="H2554" t="s">
        <v>24968</v>
      </c>
      <c r="J2554" s="54" t="s">
        <v>6052</v>
      </c>
      <c r="K2554" s="54">
        <v>0</v>
      </c>
      <c r="L2554" s="22" t="s">
        <v>104</v>
      </c>
      <c r="M2554" s="22" t="s">
        <v>37015</v>
      </c>
    </row>
    <row r="2555" spans="1:13" x14ac:dyDescent="0.75">
      <c r="A2555" t="s">
        <v>28130</v>
      </c>
      <c r="B2555" t="s">
        <v>6764</v>
      </c>
      <c r="C2555" t="s">
        <v>6107</v>
      </c>
      <c r="D2555" t="s">
        <v>6765</v>
      </c>
      <c r="E2555" t="s">
        <v>28131</v>
      </c>
      <c r="F2555">
        <v>36</v>
      </c>
      <c r="G2555">
        <v>2208650</v>
      </c>
      <c r="H2555" t="s">
        <v>28132</v>
      </c>
      <c r="J2555" s="54" t="s">
        <v>6052</v>
      </c>
      <c r="K2555" s="54">
        <v>0</v>
      </c>
      <c r="L2555" s="22" t="s">
        <v>104</v>
      </c>
      <c r="M2555" s="22" t="s">
        <v>37015</v>
      </c>
    </row>
    <row r="2556" spans="1:13" x14ac:dyDescent="0.75">
      <c r="A2556" t="s">
        <v>12762</v>
      </c>
      <c r="B2556" t="s">
        <v>6764</v>
      </c>
      <c r="C2556" t="s">
        <v>6107</v>
      </c>
      <c r="D2556" t="s">
        <v>6765</v>
      </c>
      <c r="E2556" t="s">
        <v>12763</v>
      </c>
      <c r="F2556">
        <v>121</v>
      </c>
      <c r="G2556">
        <v>2121738</v>
      </c>
      <c r="H2556" t="s">
        <v>12764</v>
      </c>
      <c r="J2556" s="54" t="s">
        <v>6052</v>
      </c>
      <c r="K2556" s="54">
        <v>0</v>
      </c>
      <c r="L2556" s="22" t="s">
        <v>104</v>
      </c>
      <c r="M2556" s="22" t="s">
        <v>37015</v>
      </c>
    </row>
    <row r="2557" spans="1:13" x14ac:dyDescent="0.75">
      <c r="A2557" t="s">
        <v>11516</v>
      </c>
      <c r="B2557" t="s">
        <v>6764</v>
      </c>
      <c r="C2557" t="s">
        <v>6107</v>
      </c>
      <c r="D2557" t="s">
        <v>6765</v>
      </c>
      <c r="E2557" t="s">
        <v>11517</v>
      </c>
      <c r="F2557">
        <v>1</v>
      </c>
      <c r="G2557">
        <v>2038535</v>
      </c>
      <c r="H2557" t="s">
        <v>11518</v>
      </c>
      <c r="J2557" s="54" t="s">
        <v>6052</v>
      </c>
      <c r="K2557" s="54">
        <v>0</v>
      </c>
      <c r="L2557" s="22" t="s">
        <v>104</v>
      </c>
      <c r="M2557" s="22" t="s">
        <v>37015</v>
      </c>
    </row>
    <row r="2558" spans="1:13" x14ac:dyDescent="0.75">
      <c r="A2558" t="s">
        <v>14096</v>
      </c>
      <c r="B2558" t="s">
        <v>6764</v>
      </c>
      <c r="C2558" t="s">
        <v>6107</v>
      </c>
      <c r="D2558" t="s">
        <v>6765</v>
      </c>
      <c r="E2558" t="s">
        <v>14097</v>
      </c>
      <c r="F2558">
        <v>3</v>
      </c>
      <c r="G2558">
        <v>2054883</v>
      </c>
      <c r="H2558" t="s">
        <v>14098</v>
      </c>
      <c r="J2558" s="54" t="s">
        <v>6052</v>
      </c>
      <c r="K2558" s="54">
        <v>0</v>
      </c>
      <c r="L2558" s="22" t="s">
        <v>104</v>
      </c>
      <c r="M2558" s="22" t="s">
        <v>37015</v>
      </c>
    </row>
    <row r="2559" spans="1:13" x14ac:dyDescent="0.75">
      <c r="A2559" t="s">
        <v>14224</v>
      </c>
      <c r="B2559" t="s">
        <v>6764</v>
      </c>
      <c r="C2559" t="s">
        <v>6107</v>
      </c>
      <c r="D2559" t="s">
        <v>6765</v>
      </c>
      <c r="E2559" t="s">
        <v>14225</v>
      </c>
      <c r="F2559">
        <v>1</v>
      </c>
      <c r="G2559">
        <v>2087706</v>
      </c>
      <c r="H2559" t="s">
        <v>14226</v>
      </c>
      <c r="J2559" s="54" t="s">
        <v>6052</v>
      </c>
      <c r="K2559" s="54">
        <v>0</v>
      </c>
      <c r="L2559" s="22" t="s">
        <v>104</v>
      </c>
      <c r="M2559" s="22" t="s">
        <v>37015</v>
      </c>
    </row>
    <row r="2560" spans="1:13" x14ac:dyDescent="0.75">
      <c r="A2560" t="s">
        <v>26907</v>
      </c>
      <c r="B2560" t="s">
        <v>6764</v>
      </c>
      <c r="C2560" t="s">
        <v>6107</v>
      </c>
      <c r="D2560" t="s">
        <v>6765</v>
      </c>
      <c r="E2560" t="s">
        <v>26908</v>
      </c>
      <c r="F2560">
        <v>1</v>
      </c>
      <c r="G2560">
        <v>2044556</v>
      </c>
      <c r="H2560" t="s">
        <v>26909</v>
      </c>
      <c r="J2560" s="54" t="s">
        <v>6052</v>
      </c>
      <c r="K2560" s="54">
        <v>0</v>
      </c>
      <c r="L2560" s="22" t="s">
        <v>104</v>
      </c>
      <c r="M2560" s="22" t="s">
        <v>37015</v>
      </c>
    </row>
    <row r="2561" spans="1:13" x14ac:dyDescent="0.75">
      <c r="A2561" t="s">
        <v>26989</v>
      </c>
      <c r="B2561" t="s">
        <v>6764</v>
      </c>
      <c r="C2561" t="s">
        <v>6107</v>
      </c>
      <c r="D2561" t="s">
        <v>6765</v>
      </c>
      <c r="E2561" t="s">
        <v>26990</v>
      </c>
      <c r="F2561">
        <v>1</v>
      </c>
      <c r="G2561">
        <v>2087702</v>
      </c>
      <c r="H2561" t="s">
        <v>26991</v>
      </c>
      <c r="J2561" s="54" t="s">
        <v>6052</v>
      </c>
      <c r="K2561" s="54">
        <v>0</v>
      </c>
      <c r="L2561" s="22" t="s">
        <v>104</v>
      </c>
      <c r="M2561" s="22" t="s">
        <v>37015</v>
      </c>
    </row>
    <row r="2562" spans="1:13" x14ac:dyDescent="0.75">
      <c r="A2562" t="s">
        <v>26932</v>
      </c>
      <c r="B2562" t="s">
        <v>6764</v>
      </c>
      <c r="C2562" t="s">
        <v>6107</v>
      </c>
      <c r="D2562" t="s">
        <v>6765</v>
      </c>
      <c r="E2562" t="s">
        <v>26933</v>
      </c>
      <c r="F2562">
        <v>1</v>
      </c>
      <c r="G2562">
        <v>2128951</v>
      </c>
      <c r="H2562" t="s">
        <v>26934</v>
      </c>
      <c r="J2562" s="54" t="s">
        <v>6052</v>
      </c>
      <c r="K2562" s="54">
        <v>0</v>
      </c>
      <c r="L2562" s="22" t="s">
        <v>104</v>
      </c>
      <c r="M2562" s="22" t="s">
        <v>37015</v>
      </c>
    </row>
    <row r="2563" spans="1:13" x14ac:dyDescent="0.75">
      <c r="A2563" t="s">
        <v>26923</v>
      </c>
      <c r="B2563" t="s">
        <v>6764</v>
      </c>
      <c r="C2563" t="s">
        <v>6107</v>
      </c>
      <c r="D2563" t="s">
        <v>6765</v>
      </c>
      <c r="E2563" t="s">
        <v>26924</v>
      </c>
      <c r="F2563">
        <v>1</v>
      </c>
      <c r="G2563">
        <v>2149566</v>
      </c>
      <c r="H2563" t="s">
        <v>26925</v>
      </c>
      <c r="J2563" s="54" t="s">
        <v>6052</v>
      </c>
      <c r="K2563" s="54">
        <v>0</v>
      </c>
      <c r="L2563" s="22" t="s">
        <v>104</v>
      </c>
      <c r="M2563" s="22" t="s">
        <v>37015</v>
      </c>
    </row>
    <row r="2564" spans="1:13" x14ac:dyDescent="0.75">
      <c r="A2564" t="s">
        <v>28313</v>
      </c>
      <c r="B2564" t="s">
        <v>6764</v>
      </c>
      <c r="C2564" t="s">
        <v>6107</v>
      </c>
      <c r="D2564" t="s">
        <v>6765</v>
      </c>
      <c r="E2564" t="s">
        <v>28314</v>
      </c>
      <c r="F2564">
        <v>1</v>
      </c>
      <c r="G2564">
        <v>2268272</v>
      </c>
      <c r="H2564" t="s">
        <v>28315</v>
      </c>
      <c r="J2564" s="54" t="s">
        <v>6052</v>
      </c>
      <c r="K2564" s="54">
        <v>0</v>
      </c>
      <c r="L2564" s="22" t="s">
        <v>104</v>
      </c>
      <c r="M2564" s="22" t="s">
        <v>37015</v>
      </c>
    </row>
    <row r="2565" spans="1:13" x14ac:dyDescent="0.75">
      <c r="A2565" t="s">
        <v>27469</v>
      </c>
      <c r="B2565" t="s">
        <v>6764</v>
      </c>
      <c r="C2565" t="s">
        <v>6107</v>
      </c>
      <c r="D2565" t="s">
        <v>6765</v>
      </c>
      <c r="E2565" t="s">
        <v>27470</v>
      </c>
      <c r="F2565">
        <v>3</v>
      </c>
      <c r="G2565">
        <v>2129752</v>
      </c>
      <c r="H2565" t="s">
        <v>27471</v>
      </c>
      <c r="J2565" s="54" t="s">
        <v>6052</v>
      </c>
      <c r="K2565" s="54">
        <v>0</v>
      </c>
      <c r="L2565" s="22" t="s">
        <v>104</v>
      </c>
      <c r="M2565" s="22" t="s">
        <v>37015</v>
      </c>
    </row>
    <row r="2566" spans="1:13" x14ac:dyDescent="0.75">
      <c r="A2566" t="s">
        <v>26850</v>
      </c>
      <c r="B2566" t="s">
        <v>6764</v>
      </c>
      <c r="C2566" t="s">
        <v>6107</v>
      </c>
      <c r="D2566" t="s">
        <v>6765</v>
      </c>
      <c r="E2566" t="s">
        <v>26851</v>
      </c>
      <c r="F2566">
        <v>1</v>
      </c>
      <c r="G2566">
        <v>2202499</v>
      </c>
      <c r="H2566" t="s">
        <v>26852</v>
      </c>
      <c r="J2566" s="54" t="s">
        <v>6052</v>
      </c>
      <c r="K2566" s="54">
        <v>0</v>
      </c>
      <c r="L2566" s="22" t="s">
        <v>104</v>
      </c>
      <c r="M2566" s="22" t="s">
        <v>37015</v>
      </c>
    </row>
    <row r="2567" spans="1:13" x14ac:dyDescent="0.75">
      <c r="A2567" t="s">
        <v>26859</v>
      </c>
      <c r="B2567" t="s">
        <v>6764</v>
      </c>
      <c r="C2567" t="s">
        <v>6107</v>
      </c>
      <c r="D2567" t="s">
        <v>6765</v>
      </c>
      <c r="E2567" t="s">
        <v>26860</v>
      </c>
      <c r="F2567">
        <v>1</v>
      </c>
      <c r="G2567">
        <v>2134802</v>
      </c>
      <c r="H2567" t="s">
        <v>26861</v>
      </c>
      <c r="J2567" s="54" t="s">
        <v>6052</v>
      </c>
      <c r="K2567" s="54">
        <v>0</v>
      </c>
      <c r="L2567" s="22" t="s">
        <v>104</v>
      </c>
      <c r="M2567" s="22" t="s">
        <v>37015</v>
      </c>
    </row>
    <row r="2568" spans="1:13" x14ac:dyDescent="0.75">
      <c r="A2568" t="s">
        <v>27073</v>
      </c>
      <c r="B2568" t="s">
        <v>6764</v>
      </c>
      <c r="C2568" t="s">
        <v>6107</v>
      </c>
      <c r="D2568" t="s">
        <v>6765</v>
      </c>
      <c r="E2568" t="s">
        <v>27074</v>
      </c>
      <c r="F2568">
        <v>1</v>
      </c>
      <c r="G2568">
        <v>2096563</v>
      </c>
      <c r="H2568" t="s">
        <v>27075</v>
      </c>
      <c r="J2568" s="54" t="s">
        <v>6052</v>
      </c>
      <c r="K2568" s="54">
        <v>0</v>
      </c>
      <c r="L2568" s="22" t="s">
        <v>104</v>
      </c>
      <c r="M2568" s="22" t="s">
        <v>37015</v>
      </c>
    </row>
    <row r="2569" spans="1:13" x14ac:dyDescent="0.75">
      <c r="A2569" t="s">
        <v>27085</v>
      </c>
      <c r="B2569" t="s">
        <v>6764</v>
      </c>
      <c r="C2569" t="s">
        <v>6107</v>
      </c>
      <c r="D2569" t="s">
        <v>6765</v>
      </c>
      <c r="E2569" t="s">
        <v>27086</v>
      </c>
      <c r="F2569">
        <v>1</v>
      </c>
      <c r="G2569">
        <v>2102167</v>
      </c>
      <c r="H2569" t="s">
        <v>27087</v>
      </c>
      <c r="J2569" s="54" t="s">
        <v>6052</v>
      </c>
      <c r="K2569" s="54">
        <v>0</v>
      </c>
      <c r="L2569" s="22" t="s">
        <v>104</v>
      </c>
      <c r="M2569" s="22" t="s">
        <v>37015</v>
      </c>
    </row>
    <row r="2570" spans="1:13" x14ac:dyDescent="0.75">
      <c r="A2570" t="s">
        <v>26980</v>
      </c>
      <c r="B2570" t="s">
        <v>6764</v>
      </c>
      <c r="C2570" t="s">
        <v>6107</v>
      </c>
      <c r="D2570" t="s">
        <v>6765</v>
      </c>
      <c r="E2570" t="s">
        <v>26981</v>
      </c>
      <c r="F2570">
        <v>1</v>
      </c>
      <c r="G2570">
        <v>2161381</v>
      </c>
      <c r="H2570" t="s">
        <v>26982</v>
      </c>
      <c r="J2570" s="54" t="s">
        <v>6052</v>
      </c>
      <c r="K2570" s="54">
        <v>0</v>
      </c>
      <c r="L2570" s="22" t="s">
        <v>104</v>
      </c>
      <c r="M2570" s="22" t="s">
        <v>37015</v>
      </c>
    </row>
    <row r="2571" spans="1:13" x14ac:dyDescent="0.75">
      <c r="A2571" t="s">
        <v>26977</v>
      </c>
      <c r="B2571" t="s">
        <v>6764</v>
      </c>
      <c r="C2571" t="s">
        <v>6107</v>
      </c>
      <c r="D2571" t="s">
        <v>6765</v>
      </c>
      <c r="E2571" t="s">
        <v>26978</v>
      </c>
      <c r="F2571">
        <v>3</v>
      </c>
      <c r="G2571">
        <v>2145498</v>
      </c>
      <c r="H2571" t="s">
        <v>26979</v>
      </c>
      <c r="J2571" s="54" t="s">
        <v>6052</v>
      </c>
      <c r="K2571" s="54">
        <v>0</v>
      </c>
      <c r="L2571" s="22" t="s">
        <v>104</v>
      </c>
      <c r="M2571" s="22" t="s">
        <v>37015</v>
      </c>
    </row>
    <row r="2572" spans="1:13" x14ac:dyDescent="0.75">
      <c r="A2572" t="s">
        <v>21368</v>
      </c>
      <c r="B2572" t="s">
        <v>6764</v>
      </c>
      <c r="C2572" t="s">
        <v>6107</v>
      </c>
      <c r="D2572" t="s">
        <v>6765</v>
      </c>
      <c r="E2572" t="s">
        <v>21369</v>
      </c>
      <c r="F2572">
        <v>1</v>
      </c>
      <c r="G2572">
        <v>2052554</v>
      </c>
      <c r="H2572" t="s">
        <v>21370</v>
      </c>
      <c r="J2572" s="54" t="s">
        <v>6052</v>
      </c>
      <c r="K2572" s="54">
        <v>0</v>
      </c>
      <c r="L2572" s="22" t="s">
        <v>104</v>
      </c>
      <c r="M2572" s="22" t="s">
        <v>37015</v>
      </c>
    </row>
    <row r="2573" spans="1:13" x14ac:dyDescent="0.75">
      <c r="A2573" t="s">
        <v>17387</v>
      </c>
      <c r="B2573" t="s">
        <v>17388</v>
      </c>
      <c r="C2573" t="s">
        <v>6107</v>
      </c>
      <c r="D2573" t="s">
        <v>17389</v>
      </c>
      <c r="E2573" t="s">
        <v>17390</v>
      </c>
      <c r="F2573">
        <v>41</v>
      </c>
      <c r="G2573">
        <v>2019333</v>
      </c>
      <c r="H2573" t="s">
        <v>17391</v>
      </c>
      <c r="J2573" s="54" t="s">
        <v>6052</v>
      </c>
      <c r="K2573" s="54">
        <v>0</v>
      </c>
      <c r="L2573" s="22" t="s">
        <v>104</v>
      </c>
      <c r="M2573" s="22" t="s">
        <v>37014</v>
      </c>
    </row>
    <row r="2574" spans="1:13" x14ac:dyDescent="0.75">
      <c r="A2574" t="s">
        <v>24969</v>
      </c>
      <c r="B2574" t="s">
        <v>17388</v>
      </c>
      <c r="C2574" t="s">
        <v>6107</v>
      </c>
      <c r="D2574" t="s">
        <v>17389</v>
      </c>
      <c r="E2574" t="s">
        <v>24970</v>
      </c>
      <c r="F2574">
        <v>1</v>
      </c>
      <c r="G2574">
        <v>2057857</v>
      </c>
      <c r="H2574" t="s">
        <v>24971</v>
      </c>
      <c r="J2574" s="54" t="s">
        <v>6052</v>
      </c>
      <c r="K2574" s="54">
        <v>0</v>
      </c>
      <c r="L2574" s="22" t="s">
        <v>104</v>
      </c>
      <c r="M2574" s="22" t="s">
        <v>37014</v>
      </c>
    </row>
    <row r="2575" spans="1:13" x14ac:dyDescent="0.75">
      <c r="A2575" t="s">
        <v>27049</v>
      </c>
      <c r="B2575" t="s">
        <v>17388</v>
      </c>
      <c r="C2575" t="s">
        <v>6107</v>
      </c>
      <c r="D2575" t="s">
        <v>17389</v>
      </c>
      <c r="E2575" t="s">
        <v>27050</v>
      </c>
      <c r="F2575">
        <v>1</v>
      </c>
      <c r="G2575">
        <v>2055381</v>
      </c>
      <c r="H2575" t="s">
        <v>27051</v>
      </c>
      <c r="J2575" s="54" t="s">
        <v>6052</v>
      </c>
      <c r="K2575" s="54">
        <v>0</v>
      </c>
      <c r="L2575" s="22" t="s">
        <v>104</v>
      </c>
      <c r="M2575" s="22" t="s">
        <v>37014</v>
      </c>
    </row>
    <row r="2576" spans="1:13" x14ac:dyDescent="0.75">
      <c r="A2576" t="s">
        <v>27052</v>
      </c>
      <c r="B2576" t="s">
        <v>17388</v>
      </c>
      <c r="C2576" t="s">
        <v>6107</v>
      </c>
      <c r="D2576" t="s">
        <v>17389</v>
      </c>
      <c r="E2576" t="s">
        <v>27053</v>
      </c>
      <c r="F2576">
        <v>1</v>
      </c>
      <c r="G2576">
        <v>2075339</v>
      </c>
      <c r="H2576" t="s">
        <v>27054</v>
      </c>
      <c r="J2576" s="54" t="s">
        <v>6052</v>
      </c>
      <c r="K2576" s="54">
        <v>0</v>
      </c>
      <c r="L2576" s="22" t="s">
        <v>104</v>
      </c>
      <c r="M2576" s="22" t="s">
        <v>37014</v>
      </c>
    </row>
    <row r="2577" spans="1:13" x14ac:dyDescent="0.75">
      <c r="A2577" t="s">
        <v>26814</v>
      </c>
      <c r="B2577" t="s">
        <v>17388</v>
      </c>
      <c r="C2577" t="s">
        <v>6107</v>
      </c>
      <c r="D2577" t="s">
        <v>17389</v>
      </c>
      <c r="E2577" t="s">
        <v>26815</v>
      </c>
      <c r="F2577">
        <v>1</v>
      </c>
      <c r="G2577">
        <v>2037865</v>
      </c>
      <c r="H2577" t="s">
        <v>26816</v>
      </c>
      <c r="J2577" s="54" t="s">
        <v>6052</v>
      </c>
      <c r="K2577" s="54">
        <v>0</v>
      </c>
      <c r="L2577" s="22" t="s">
        <v>104</v>
      </c>
      <c r="M2577" s="22" t="s">
        <v>37014</v>
      </c>
    </row>
    <row r="2578" spans="1:13" x14ac:dyDescent="0.75">
      <c r="A2578" t="s">
        <v>11834</v>
      </c>
      <c r="B2578" t="s">
        <v>6759</v>
      </c>
      <c r="C2578" t="s">
        <v>6107</v>
      </c>
      <c r="D2578" t="s">
        <v>6760</v>
      </c>
      <c r="E2578" t="s">
        <v>11835</v>
      </c>
      <c r="F2578">
        <v>117</v>
      </c>
      <c r="G2578">
        <v>1797919</v>
      </c>
      <c r="H2578" t="s">
        <v>11836</v>
      </c>
      <c r="J2578" s="54" t="s">
        <v>6052</v>
      </c>
      <c r="K2578" s="54">
        <v>0</v>
      </c>
      <c r="L2578" s="22" t="s">
        <v>1563</v>
      </c>
      <c r="M2578" s="22" t="s">
        <v>37016</v>
      </c>
    </row>
    <row r="2579" spans="1:13" x14ac:dyDescent="0.75">
      <c r="A2579" t="s">
        <v>26808</v>
      </c>
      <c r="B2579" t="s">
        <v>17388</v>
      </c>
      <c r="C2579" t="s">
        <v>6107</v>
      </c>
      <c r="D2579" t="s">
        <v>17389</v>
      </c>
      <c r="E2579" t="s">
        <v>26809</v>
      </c>
      <c r="F2579">
        <v>1</v>
      </c>
      <c r="G2579">
        <v>2108315</v>
      </c>
      <c r="H2579" t="s">
        <v>26810</v>
      </c>
      <c r="J2579" s="54" t="s">
        <v>6052</v>
      </c>
      <c r="K2579" s="54">
        <v>0</v>
      </c>
      <c r="L2579" s="22" t="s">
        <v>104</v>
      </c>
      <c r="M2579" s="22" t="s">
        <v>37014</v>
      </c>
    </row>
    <row r="2580" spans="1:13" x14ac:dyDescent="0.75">
      <c r="A2580" t="s">
        <v>26802</v>
      </c>
      <c r="B2580" t="s">
        <v>17388</v>
      </c>
      <c r="C2580" t="s">
        <v>6107</v>
      </c>
      <c r="D2580" t="s">
        <v>17389</v>
      </c>
      <c r="E2580" t="s">
        <v>26803</v>
      </c>
      <c r="F2580">
        <v>1</v>
      </c>
      <c r="G2580">
        <v>2080509</v>
      </c>
      <c r="H2580" t="s">
        <v>26804</v>
      </c>
      <c r="J2580" s="54" t="s">
        <v>6052</v>
      </c>
      <c r="K2580" s="54">
        <v>0</v>
      </c>
      <c r="L2580" s="22" t="s">
        <v>104</v>
      </c>
      <c r="M2580" s="22" t="s">
        <v>37014</v>
      </c>
    </row>
    <row r="2581" spans="1:13" x14ac:dyDescent="0.75">
      <c r="A2581" t="s">
        <v>26799</v>
      </c>
      <c r="B2581" t="s">
        <v>17388</v>
      </c>
      <c r="C2581" t="s">
        <v>6107</v>
      </c>
      <c r="D2581" t="s">
        <v>17389</v>
      </c>
      <c r="E2581" t="s">
        <v>26800</v>
      </c>
      <c r="F2581">
        <v>1</v>
      </c>
      <c r="G2581">
        <v>2065444</v>
      </c>
      <c r="H2581" t="s">
        <v>26801</v>
      </c>
      <c r="J2581" s="54" t="s">
        <v>6052</v>
      </c>
      <c r="K2581" s="54">
        <v>0</v>
      </c>
      <c r="L2581" s="22" t="s">
        <v>104</v>
      </c>
      <c r="M2581" s="22" t="s">
        <v>37014</v>
      </c>
    </row>
    <row r="2582" spans="1:13" x14ac:dyDescent="0.75">
      <c r="A2582" t="s">
        <v>26712</v>
      </c>
      <c r="B2582" t="s">
        <v>17388</v>
      </c>
      <c r="C2582" t="s">
        <v>6107</v>
      </c>
      <c r="D2582" t="s">
        <v>17389</v>
      </c>
      <c r="E2582" t="s">
        <v>26713</v>
      </c>
      <c r="F2582">
        <v>3</v>
      </c>
      <c r="G2582">
        <v>2116737</v>
      </c>
      <c r="H2582" t="s">
        <v>26714</v>
      </c>
      <c r="J2582" s="54" t="s">
        <v>6052</v>
      </c>
      <c r="K2582" s="54">
        <v>0</v>
      </c>
      <c r="L2582" s="22" t="s">
        <v>104</v>
      </c>
      <c r="M2582" s="22" t="s">
        <v>37014</v>
      </c>
    </row>
    <row r="2583" spans="1:13" x14ac:dyDescent="0.75">
      <c r="A2583" t="s">
        <v>26796</v>
      </c>
      <c r="B2583" t="s">
        <v>17388</v>
      </c>
      <c r="C2583" t="s">
        <v>6107</v>
      </c>
      <c r="D2583" t="s">
        <v>17389</v>
      </c>
      <c r="E2583" t="s">
        <v>26797</v>
      </c>
      <c r="F2583">
        <v>1</v>
      </c>
      <c r="G2583">
        <v>2142942</v>
      </c>
      <c r="H2583" t="s">
        <v>26798</v>
      </c>
      <c r="J2583" s="54" t="s">
        <v>6052</v>
      </c>
      <c r="K2583" s="54">
        <v>0</v>
      </c>
      <c r="L2583" s="22" t="s">
        <v>104</v>
      </c>
      <c r="M2583" s="22" t="s">
        <v>37014</v>
      </c>
    </row>
    <row r="2584" spans="1:13" x14ac:dyDescent="0.75">
      <c r="A2584" t="s">
        <v>26832</v>
      </c>
      <c r="B2584" t="s">
        <v>17388</v>
      </c>
      <c r="C2584" t="s">
        <v>6107</v>
      </c>
      <c r="D2584" t="s">
        <v>17389</v>
      </c>
      <c r="E2584" t="s">
        <v>26833</v>
      </c>
      <c r="F2584">
        <v>1</v>
      </c>
      <c r="G2584">
        <v>2038899</v>
      </c>
      <c r="H2584" t="s">
        <v>26834</v>
      </c>
      <c r="J2584" s="54" t="s">
        <v>6052</v>
      </c>
      <c r="K2584" s="54">
        <v>0</v>
      </c>
      <c r="L2584" s="22" t="s">
        <v>104</v>
      </c>
      <c r="M2584" s="22" t="s">
        <v>37014</v>
      </c>
    </row>
    <row r="2585" spans="1:13" x14ac:dyDescent="0.75">
      <c r="A2585" t="s">
        <v>27064</v>
      </c>
      <c r="B2585" t="s">
        <v>17388</v>
      </c>
      <c r="C2585" t="s">
        <v>6107</v>
      </c>
      <c r="D2585" t="s">
        <v>17389</v>
      </c>
      <c r="E2585" t="s">
        <v>27065</v>
      </c>
      <c r="F2585">
        <v>1</v>
      </c>
      <c r="G2585">
        <v>2188487</v>
      </c>
      <c r="H2585" t="s">
        <v>27066</v>
      </c>
      <c r="J2585" s="54" t="s">
        <v>6052</v>
      </c>
      <c r="K2585" s="54">
        <v>0</v>
      </c>
      <c r="L2585" s="22" t="s">
        <v>104</v>
      </c>
      <c r="M2585" s="22" t="s">
        <v>37014</v>
      </c>
    </row>
    <row r="2586" spans="1:13" x14ac:dyDescent="0.75">
      <c r="A2586" t="s">
        <v>26793</v>
      </c>
      <c r="B2586" t="s">
        <v>17388</v>
      </c>
      <c r="C2586" t="s">
        <v>6107</v>
      </c>
      <c r="D2586" t="s">
        <v>17389</v>
      </c>
      <c r="E2586" t="s">
        <v>26794</v>
      </c>
      <c r="F2586">
        <v>1</v>
      </c>
      <c r="G2586">
        <v>2148184</v>
      </c>
      <c r="H2586" t="s">
        <v>26795</v>
      </c>
      <c r="J2586" s="54" t="s">
        <v>6052</v>
      </c>
      <c r="K2586" s="54">
        <v>0</v>
      </c>
      <c r="L2586" s="22" t="s">
        <v>104</v>
      </c>
      <c r="M2586" s="22" t="s">
        <v>37014</v>
      </c>
    </row>
    <row r="2587" spans="1:13" x14ac:dyDescent="0.75">
      <c r="A2587" t="s">
        <v>26790</v>
      </c>
      <c r="B2587" t="s">
        <v>17388</v>
      </c>
      <c r="C2587" t="s">
        <v>6107</v>
      </c>
      <c r="D2587" t="s">
        <v>17389</v>
      </c>
      <c r="E2587" t="s">
        <v>26791</v>
      </c>
      <c r="F2587">
        <v>1</v>
      </c>
      <c r="G2587">
        <v>2107853</v>
      </c>
      <c r="H2587" t="s">
        <v>26792</v>
      </c>
      <c r="J2587" s="54" t="s">
        <v>6052</v>
      </c>
      <c r="K2587" s="54">
        <v>0</v>
      </c>
      <c r="L2587" s="22" t="s">
        <v>104</v>
      </c>
      <c r="M2587" s="22" t="s">
        <v>37014</v>
      </c>
    </row>
    <row r="2588" spans="1:13" x14ac:dyDescent="0.75">
      <c r="A2588" t="s">
        <v>27058</v>
      </c>
      <c r="B2588" t="s">
        <v>17388</v>
      </c>
      <c r="C2588" t="s">
        <v>6107</v>
      </c>
      <c r="D2588" t="s">
        <v>17389</v>
      </c>
      <c r="E2588" t="s">
        <v>27059</v>
      </c>
      <c r="F2588">
        <v>1</v>
      </c>
      <c r="G2588">
        <v>2146718</v>
      </c>
      <c r="H2588" t="s">
        <v>27060</v>
      </c>
      <c r="J2588" s="54" t="s">
        <v>6052</v>
      </c>
      <c r="K2588" s="54">
        <v>0</v>
      </c>
      <c r="L2588" s="22" t="s">
        <v>104</v>
      </c>
      <c r="M2588" s="22" t="s">
        <v>37014</v>
      </c>
    </row>
    <row r="2589" spans="1:13" x14ac:dyDescent="0.75">
      <c r="A2589" t="s">
        <v>26829</v>
      </c>
      <c r="B2589" t="s">
        <v>17388</v>
      </c>
      <c r="C2589" t="s">
        <v>6107</v>
      </c>
      <c r="D2589" t="s">
        <v>17389</v>
      </c>
      <c r="E2589" t="s">
        <v>26830</v>
      </c>
      <c r="F2589">
        <v>2</v>
      </c>
      <c r="G2589">
        <v>2052086</v>
      </c>
      <c r="H2589" t="s">
        <v>26831</v>
      </c>
      <c r="J2589" s="54" t="s">
        <v>6052</v>
      </c>
      <c r="K2589" s="54">
        <v>0</v>
      </c>
      <c r="L2589" s="22" t="s">
        <v>104</v>
      </c>
      <c r="M2589" s="22" t="s">
        <v>37014</v>
      </c>
    </row>
    <row r="2590" spans="1:13" x14ac:dyDescent="0.75">
      <c r="A2590" t="s">
        <v>26784</v>
      </c>
      <c r="B2590" t="s">
        <v>17388</v>
      </c>
      <c r="C2590" t="s">
        <v>6107</v>
      </c>
      <c r="D2590" t="s">
        <v>17389</v>
      </c>
      <c r="E2590" t="s">
        <v>26785</v>
      </c>
      <c r="F2590">
        <v>1</v>
      </c>
      <c r="G2590">
        <v>2060938</v>
      </c>
      <c r="H2590" t="s">
        <v>26786</v>
      </c>
      <c r="J2590" s="54" t="s">
        <v>6052</v>
      </c>
      <c r="K2590" s="54">
        <v>0</v>
      </c>
      <c r="L2590" s="22" t="s">
        <v>104</v>
      </c>
      <c r="M2590" s="22" t="s">
        <v>37014</v>
      </c>
    </row>
    <row r="2591" spans="1:13" x14ac:dyDescent="0.75">
      <c r="A2591" t="s">
        <v>26781</v>
      </c>
      <c r="B2591" t="s">
        <v>17388</v>
      </c>
      <c r="C2591" t="s">
        <v>6107</v>
      </c>
      <c r="D2591" t="s">
        <v>17389</v>
      </c>
      <c r="E2591" t="s">
        <v>26782</v>
      </c>
      <c r="F2591">
        <v>1</v>
      </c>
      <c r="G2591">
        <v>2147387</v>
      </c>
      <c r="H2591" t="s">
        <v>26783</v>
      </c>
      <c r="J2591" s="54" t="s">
        <v>6052</v>
      </c>
      <c r="K2591" s="54">
        <v>0</v>
      </c>
      <c r="L2591" s="22" t="s">
        <v>104</v>
      </c>
      <c r="M2591" s="22" t="s">
        <v>37014</v>
      </c>
    </row>
    <row r="2592" spans="1:13" x14ac:dyDescent="0.75">
      <c r="A2592" t="s">
        <v>27055</v>
      </c>
      <c r="B2592" t="s">
        <v>17388</v>
      </c>
      <c r="C2592" t="s">
        <v>6107</v>
      </c>
      <c r="D2592" t="s">
        <v>17389</v>
      </c>
      <c r="E2592" t="s">
        <v>27056</v>
      </c>
      <c r="F2592">
        <v>1</v>
      </c>
      <c r="G2592">
        <v>2100970</v>
      </c>
      <c r="H2592" t="s">
        <v>27057</v>
      </c>
      <c r="J2592" s="54" t="s">
        <v>6052</v>
      </c>
      <c r="K2592" s="54">
        <v>0</v>
      </c>
      <c r="L2592" s="22" t="s">
        <v>104</v>
      </c>
      <c r="M2592" s="22" t="s">
        <v>37014</v>
      </c>
    </row>
    <row r="2593" spans="1:13" x14ac:dyDescent="0.75">
      <c r="A2593" t="s">
        <v>26778</v>
      </c>
      <c r="B2593" t="s">
        <v>17388</v>
      </c>
      <c r="C2593" t="s">
        <v>6107</v>
      </c>
      <c r="D2593" t="s">
        <v>17389</v>
      </c>
      <c r="E2593" t="s">
        <v>26779</v>
      </c>
      <c r="F2593">
        <v>1</v>
      </c>
      <c r="G2593">
        <v>2052412</v>
      </c>
      <c r="H2593" t="s">
        <v>26780</v>
      </c>
      <c r="J2593" s="54" t="s">
        <v>6052</v>
      </c>
      <c r="K2593" s="54">
        <v>0</v>
      </c>
      <c r="L2593" s="22" t="s">
        <v>104</v>
      </c>
      <c r="M2593" s="22" t="s">
        <v>37014</v>
      </c>
    </row>
    <row r="2594" spans="1:13" x14ac:dyDescent="0.75">
      <c r="A2594" t="s">
        <v>26775</v>
      </c>
      <c r="B2594" t="s">
        <v>17388</v>
      </c>
      <c r="C2594" t="s">
        <v>6107</v>
      </c>
      <c r="D2594" t="s">
        <v>17389</v>
      </c>
      <c r="E2594" t="s">
        <v>26776</v>
      </c>
      <c r="F2594">
        <v>1</v>
      </c>
      <c r="G2594">
        <v>2104048</v>
      </c>
      <c r="H2594" t="s">
        <v>26777</v>
      </c>
      <c r="J2594" s="54" t="s">
        <v>6052</v>
      </c>
      <c r="K2594" s="54">
        <v>0</v>
      </c>
      <c r="L2594" s="22" t="s">
        <v>104</v>
      </c>
      <c r="M2594" s="22" t="s">
        <v>37014</v>
      </c>
    </row>
    <row r="2595" spans="1:13" x14ac:dyDescent="0.75">
      <c r="A2595" t="s">
        <v>26835</v>
      </c>
      <c r="B2595" t="s">
        <v>17388</v>
      </c>
      <c r="C2595" t="s">
        <v>6107</v>
      </c>
      <c r="D2595" t="s">
        <v>17389</v>
      </c>
      <c r="E2595" t="s">
        <v>26836</v>
      </c>
      <c r="F2595">
        <v>1</v>
      </c>
      <c r="G2595">
        <v>2089824</v>
      </c>
      <c r="H2595" t="s">
        <v>26837</v>
      </c>
      <c r="J2595" s="54" t="s">
        <v>6052</v>
      </c>
      <c r="K2595" s="54">
        <v>0</v>
      </c>
      <c r="L2595" s="22" t="s">
        <v>104</v>
      </c>
      <c r="M2595" s="22" t="s">
        <v>37014</v>
      </c>
    </row>
    <row r="2596" spans="1:13" x14ac:dyDescent="0.75">
      <c r="A2596" t="s">
        <v>26769</v>
      </c>
      <c r="B2596" t="s">
        <v>17388</v>
      </c>
      <c r="C2596" t="s">
        <v>6107</v>
      </c>
      <c r="D2596" t="s">
        <v>17389</v>
      </c>
      <c r="E2596" t="s">
        <v>26770</v>
      </c>
      <c r="F2596">
        <v>1</v>
      </c>
      <c r="G2596">
        <v>2211312</v>
      </c>
      <c r="H2596" t="s">
        <v>26771</v>
      </c>
      <c r="J2596" s="54" t="s">
        <v>6052</v>
      </c>
      <c r="K2596" s="54">
        <v>0</v>
      </c>
      <c r="L2596" s="22" t="s">
        <v>104</v>
      </c>
      <c r="M2596" s="22" t="s">
        <v>37014</v>
      </c>
    </row>
    <row r="2597" spans="1:13" x14ac:dyDescent="0.75">
      <c r="A2597" t="s">
        <v>29810</v>
      </c>
      <c r="B2597" t="s">
        <v>6759</v>
      </c>
      <c r="C2597" t="s">
        <v>6107</v>
      </c>
      <c r="D2597" t="s">
        <v>6760</v>
      </c>
      <c r="E2597" t="s">
        <v>29811</v>
      </c>
      <c r="F2597">
        <v>89</v>
      </c>
      <c r="G2597">
        <v>1788515</v>
      </c>
      <c r="H2597" t="s">
        <v>29812</v>
      </c>
      <c r="J2597" s="54" t="s">
        <v>6052</v>
      </c>
      <c r="K2597" s="54">
        <v>0</v>
      </c>
      <c r="L2597" s="22" t="s">
        <v>1563</v>
      </c>
      <c r="M2597" s="22" t="s">
        <v>37016</v>
      </c>
    </row>
    <row r="2598" spans="1:13" x14ac:dyDescent="0.75">
      <c r="A2598" t="s">
        <v>28788</v>
      </c>
      <c r="B2598" t="s">
        <v>6759</v>
      </c>
      <c r="C2598" t="s">
        <v>6107</v>
      </c>
      <c r="D2598" t="s">
        <v>6760</v>
      </c>
      <c r="E2598" t="s">
        <v>28789</v>
      </c>
      <c r="F2598">
        <v>59</v>
      </c>
      <c r="G2598">
        <v>1627629</v>
      </c>
      <c r="H2598" t="s">
        <v>28790</v>
      </c>
      <c r="J2598" s="54" t="s">
        <v>6052</v>
      </c>
      <c r="K2598" s="54">
        <v>0</v>
      </c>
      <c r="L2598" s="22" t="s">
        <v>1563</v>
      </c>
      <c r="M2598" s="22" t="s">
        <v>37016</v>
      </c>
    </row>
    <row r="2599" spans="1:13" x14ac:dyDescent="0.75">
      <c r="A2599" t="s">
        <v>26766</v>
      </c>
      <c r="B2599" t="s">
        <v>17388</v>
      </c>
      <c r="C2599" t="s">
        <v>6107</v>
      </c>
      <c r="D2599" t="s">
        <v>17389</v>
      </c>
      <c r="E2599" t="s">
        <v>26767</v>
      </c>
      <c r="F2599">
        <v>1</v>
      </c>
      <c r="G2599">
        <v>1909786</v>
      </c>
      <c r="H2599" t="s">
        <v>26768</v>
      </c>
      <c r="J2599" s="54" t="s">
        <v>6052</v>
      </c>
      <c r="K2599" s="54">
        <v>0</v>
      </c>
      <c r="L2599" s="22" t="s">
        <v>104</v>
      </c>
      <c r="M2599" s="22" t="s">
        <v>37014</v>
      </c>
    </row>
    <row r="2600" spans="1:13" x14ac:dyDescent="0.75">
      <c r="A2600" t="s">
        <v>26763</v>
      </c>
      <c r="B2600" t="s">
        <v>17388</v>
      </c>
      <c r="C2600" t="s">
        <v>6107</v>
      </c>
      <c r="D2600" t="s">
        <v>17389</v>
      </c>
      <c r="E2600" t="s">
        <v>26764</v>
      </c>
      <c r="F2600">
        <v>1</v>
      </c>
      <c r="G2600">
        <v>2160860</v>
      </c>
      <c r="H2600" t="s">
        <v>26765</v>
      </c>
      <c r="J2600" s="54" t="s">
        <v>6052</v>
      </c>
      <c r="K2600" s="54">
        <v>0</v>
      </c>
      <c r="L2600" s="22" t="s">
        <v>104</v>
      </c>
      <c r="M2600" s="22" t="s">
        <v>37014</v>
      </c>
    </row>
    <row r="2601" spans="1:13" x14ac:dyDescent="0.75">
      <c r="A2601" t="s">
        <v>26760</v>
      </c>
      <c r="B2601" t="s">
        <v>17388</v>
      </c>
      <c r="C2601" t="s">
        <v>6107</v>
      </c>
      <c r="D2601" t="s">
        <v>17389</v>
      </c>
      <c r="E2601" t="s">
        <v>26761</v>
      </c>
      <c r="F2601">
        <v>1</v>
      </c>
      <c r="G2601">
        <v>2141381</v>
      </c>
      <c r="H2601" t="s">
        <v>26762</v>
      </c>
      <c r="J2601" s="54" t="s">
        <v>6052</v>
      </c>
      <c r="K2601" s="54">
        <v>0</v>
      </c>
      <c r="L2601" s="22" t="s">
        <v>104</v>
      </c>
      <c r="M2601" s="22" t="s">
        <v>37014</v>
      </c>
    </row>
    <row r="2602" spans="1:13" x14ac:dyDescent="0.75">
      <c r="A2602" t="s">
        <v>10037</v>
      </c>
      <c r="B2602" t="s">
        <v>10038</v>
      </c>
      <c r="C2602" t="s">
        <v>10039</v>
      </c>
      <c r="D2602" t="s">
        <v>10040</v>
      </c>
      <c r="E2602" t="s">
        <v>10041</v>
      </c>
      <c r="F2602">
        <v>27</v>
      </c>
      <c r="G2602">
        <v>1544525</v>
      </c>
      <c r="H2602" t="s">
        <v>10042</v>
      </c>
      <c r="J2602" s="54" t="s">
        <v>6052</v>
      </c>
      <c r="K2602" s="54">
        <v>0</v>
      </c>
      <c r="L2602" s="22" t="s">
        <v>104</v>
      </c>
      <c r="M2602" s="22" t="s">
        <v>37022</v>
      </c>
    </row>
    <row r="2603" spans="1:13" x14ac:dyDescent="0.75">
      <c r="A2603" t="s">
        <v>29291</v>
      </c>
      <c r="B2603" t="s">
        <v>10038</v>
      </c>
      <c r="C2603" t="s">
        <v>10039</v>
      </c>
      <c r="D2603" t="s">
        <v>10040</v>
      </c>
      <c r="E2603" t="s">
        <v>29292</v>
      </c>
      <c r="F2603">
        <v>1</v>
      </c>
      <c r="G2603">
        <v>1538677</v>
      </c>
      <c r="H2603" t="s">
        <v>29293</v>
      </c>
      <c r="J2603" s="54" t="s">
        <v>6052</v>
      </c>
      <c r="K2603" s="54">
        <v>0</v>
      </c>
      <c r="L2603" s="22" t="s">
        <v>104</v>
      </c>
      <c r="M2603" s="22" t="s">
        <v>37022</v>
      </c>
    </row>
    <row r="2604" spans="1:13" x14ac:dyDescent="0.75">
      <c r="A2604" t="s">
        <v>30035</v>
      </c>
      <c r="B2604" t="s">
        <v>10038</v>
      </c>
      <c r="C2604" t="s">
        <v>10039</v>
      </c>
      <c r="D2604" t="s">
        <v>10040</v>
      </c>
      <c r="E2604" t="s">
        <v>30036</v>
      </c>
      <c r="F2604">
        <v>18</v>
      </c>
      <c r="G2604">
        <v>1427916</v>
      </c>
      <c r="H2604" t="s">
        <v>30037</v>
      </c>
      <c r="J2604" s="54" t="s">
        <v>6052</v>
      </c>
      <c r="K2604" s="54">
        <v>0</v>
      </c>
      <c r="L2604" s="22" t="s">
        <v>104</v>
      </c>
      <c r="M2604" s="22" t="s">
        <v>37022</v>
      </c>
    </row>
    <row r="2605" spans="1:13" x14ac:dyDescent="0.75">
      <c r="A2605" t="s">
        <v>19245</v>
      </c>
      <c r="B2605" t="s">
        <v>10038</v>
      </c>
      <c r="C2605" t="s">
        <v>10039</v>
      </c>
      <c r="D2605" t="s">
        <v>10040</v>
      </c>
      <c r="E2605" t="s">
        <v>19246</v>
      </c>
      <c r="F2605">
        <v>28</v>
      </c>
      <c r="G2605">
        <v>1461482</v>
      </c>
      <c r="H2605" t="s">
        <v>19247</v>
      </c>
      <c r="J2605" s="54" t="s">
        <v>6052</v>
      </c>
      <c r="K2605" s="54">
        <v>0</v>
      </c>
      <c r="L2605" s="22" t="s">
        <v>104</v>
      </c>
      <c r="M2605" s="22" t="s">
        <v>37022</v>
      </c>
    </row>
    <row r="2606" spans="1:13" x14ac:dyDescent="0.75">
      <c r="A2606" t="s">
        <v>29110</v>
      </c>
      <c r="B2606" t="s">
        <v>10038</v>
      </c>
      <c r="C2606" t="s">
        <v>10039</v>
      </c>
      <c r="D2606" t="s">
        <v>10040</v>
      </c>
      <c r="E2606" t="s">
        <v>29111</v>
      </c>
      <c r="F2606">
        <v>84</v>
      </c>
      <c r="G2606">
        <v>1481714</v>
      </c>
      <c r="H2606" t="s">
        <v>29112</v>
      </c>
      <c r="J2606" s="54" t="s">
        <v>6052</v>
      </c>
      <c r="K2606" s="54">
        <v>0</v>
      </c>
      <c r="L2606" s="22" t="s">
        <v>104</v>
      </c>
      <c r="M2606" s="22" t="s">
        <v>37022</v>
      </c>
    </row>
    <row r="2607" spans="1:13" x14ac:dyDescent="0.75">
      <c r="A2607" t="s">
        <v>9843</v>
      </c>
      <c r="B2607" t="s">
        <v>9844</v>
      </c>
      <c r="C2607" t="s">
        <v>7130</v>
      </c>
      <c r="D2607" t="s">
        <v>9845</v>
      </c>
      <c r="E2607" t="s">
        <v>9846</v>
      </c>
      <c r="F2607">
        <v>104</v>
      </c>
      <c r="G2607">
        <v>1604508</v>
      </c>
      <c r="H2607" t="s">
        <v>9847</v>
      </c>
      <c r="J2607" s="54" t="s">
        <v>6052</v>
      </c>
      <c r="K2607" s="54">
        <v>0</v>
      </c>
      <c r="L2607" s="22" t="s">
        <v>104</v>
      </c>
      <c r="M2607" s="22" t="s">
        <v>37030</v>
      </c>
    </row>
    <row r="2608" spans="1:13" x14ac:dyDescent="0.75">
      <c r="A2608" t="s">
        <v>18198</v>
      </c>
      <c r="B2608" t="s">
        <v>7652</v>
      </c>
      <c r="C2608" t="s">
        <v>7130</v>
      </c>
      <c r="D2608" t="s">
        <v>7653</v>
      </c>
      <c r="E2608" t="s">
        <v>18199</v>
      </c>
      <c r="F2608">
        <v>1</v>
      </c>
      <c r="G2608">
        <v>2081429</v>
      </c>
      <c r="H2608" t="s">
        <v>18200</v>
      </c>
      <c r="J2608" s="54" t="s">
        <v>6052</v>
      </c>
      <c r="K2608" s="54">
        <v>0</v>
      </c>
      <c r="L2608" s="22" t="s">
        <v>104</v>
      </c>
      <c r="M2608" s="22" t="s">
        <v>37032</v>
      </c>
    </row>
    <row r="2609" spans="1:13" x14ac:dyDescent="0.75">
      <c r="A2609" t="s">
        <v>28136</v>
      </c>
      <c r="B2609" t="s">
        <v>7652</v>
      </c>
      <c r="C2609" t="s">
        <v>7130</v>
      </c>
      <c r="D2609" t="s">
        <v>7653</v>
      </c>
      <c r="E2609" t="s">
        <v>28137</v>
      </c>
      <c r="F2609">
        <v>77</v>
      </c>
      <c r="G2609">
        <v>1922556</v>
      </c>
      <c r="H2609" t="s">
        <v>28138</v>
      </c>
      <c r="J2609" s="54" t="s">
        <v>6052</v>
      </c>
      <c r="K2609" s="54">
        <v>0</v>
      </c>
      <c r="L2609" s="22" t="s">
        <v>104</v>
      </c>
      <c r="M2609" s="22" t="s">
        <v>37032</v>
      </c>
    </row>
    <row r="2610" spans="1:13" x14ac:dyDescent="0.75">
      <c r="A2610" t="s">
        <v>7651</v>
      </c>
      <c r="B2610" t="s">
        <v>7652</v>
      </c>
      <c r="C2610" t="s">
        <v>7130</v>
      </c>
      <c r="D2610" t="s">
        <v>7653</v>
      </c>
      <c r="E2610" t="s">
        <v>7654</v>
      </c>
      <c r="F2610">
        <v>71</v>
      </c>
      <c r="G2610">
        <v>2053439</v>
      </c>
      <c r="H2610" t="s">
        <v>7655</v>
      </c>
      <c r="J2610" s="54" t="s">
        <v>6052</v>
      </c>
      <c r="K2610" s="54">
        <v>0</v>
      </c>
      <c r="L2610" s="22" t="s">
        <v>104</v>
      </c>
      <c r="M2610" s="22" t="s">
        <v>37032</v>
      </c>
    </row>
    <row r="2611" spans="1:13" x14ac:dyDescent="0.75">
      <c r="A2611" t="s">
        <v>7128</v>
      </c>
      <c r="B2611" t="s">
        <v>7129</v>
      </c>
      <c r="C2611" t="s">
        <v>7130</v>
      </c>
      <c r="D2611" t="s">
        <v>7131</v>
      </c>
      <c r="E2611" t="s">
        <v>7132</v>
      </c>
      <c r="F2611">
        <v>15</v>
      </c>
      <c r="G2611">
        <v>1916192</v>
      </c>
      <c r="H2611" t="s">
        <v>7133</v>
      </c>
      <c r="J2611" s="54" t="s">
        <v>6052</v>
      </c>
      <c r="K2611" s="54">
        <v>0</v>
      </c>
      <c r="L2611" s="22" t="s">
        <v>104</v>
      </c>
      <c r="M2611" s="22" t="s">
        <v>37029</v>
      </c>
    </row>
    <row r="2612" spans="1:13" x14ac:dyDescent="0.75">
      <c r="A2612" t="s">
        <v>17401</v>
      </c>
      <c r="B2612" t="s">
        <v>7129</v>
      </c>
      <c r="C2612" t="s">
        <v>7130</v>
      </c>
      <c r="D2612" t="s">
        <v>7131</v>
      </c>
      <c r="E2612" t="s">
        <v>17402</v>
      </c>
      <c r="F2612">
        <v>20</v>
      </c>
      <c r="G2612">
        <v>1905342</v>
      </c>
      <c r="H2612" t="s">
        <v>17403</v>
      </c>
      <c r="J2612" s="54" t="s">
        <v>6052</v>
      </c>
      <c r="K2612" s="54">
        <v>0</v>
      </c>
      <c r="L2612" s="22" t="s">
        <v>104</v>
      </c>
      <c r="M2612" s="22" t="s">
        <v>37029</v>
      </c>
    </row>
    <row r="2613" spans="1:13" x14ac:dyDescent="0.75">
      <c r="A2613" t="s">
        <v>11873</v>
      </c>
      <c r="B2613" t="s">
        <v>7129</v>
      </c>
      <c r="C2613" t="s">
        <v>7130</v>
      </c>
      <c r="D2613" t="s">
        <v>7131</v>
      </c>
      <c r="E2613" t="s">
        <v>11874</v>
      </c>
      <c r="F2613">
        <v>135</v>
      </c>
      <c r="G2613">
        <v>1892523</v>
      </c>
      <c r="H2613" t="s">
        <v>11875</v>
      </c>
      <c r="J2613" s="54" t="s">
        <v>6052</v>
      </c>
      <c r="K2613" s="54">
        <v>0</v>
      </c>
      <c r="L2613" s="22" t="s">
        <v>104</v>
      </c>
      <c r="M2613" s="22" t="s">
        <v>37029</v>
      </c>
    </row>
    <row r="2614" spans="1:13" x14ac:dyDescent="0.75">
      <c r="A2614" t="s">
        <v>29689</v>
      </c>
      <c r="B2614" t="s">
        <v>7129</v>
      </c>
      <c r="C2614" t="s">
        <v>7130</v>
      </c>
      <c r="D2614" t="s">
        <v>7131</v>
      </c>
      <c r="E2614" t="s">
        <v>29690</v>
      </c>
      <c r="F2614">
        <v>190</v>
      </c>
      <c r="G2614">
        <v>1856764</v>
      </c>
      <c r="H2614" t="s">
        <v>29691</v>
      </c>
      <c r="J2614" s="54" t="s">
        <v>6052</v>
      </c>
      <c r="K2614" s="54">
        <v>0</v>
      </c>
      <c r="L2614" s="22" t="s">
        <v>104</v>
      </c>
      <c r="M2614" s="22" t="s">
        <v>37029</v>
      </c>
    </row>
    <row r="2615" spans="1:13" x14ac:dyDescent="0.75">
      <c r="A2615" t="s">
        <v>21716</v>
      </c>
      <c r="B2615" t="s">
        <v>7129</v>
      </c>
      <c r="C2615" t="s">
        <v>7130</v>
      </c>
      <c r="D2615" t="s">
        <v>7131</v>
      </c>
      <c r="E2615" t="s">
        <v>21717</v>
      </c>
      <c r="F2615">
        <v>1</v>
      </c>
      <c r="G2615">
        <v>1928240</v>
      </c>
      <c r="H2615" t="s">
        <v>21718</v>
      </c>
      <c r="J2615" s="54" t="s">
        <v>6052</v>
      </c>
      <c r="K2615" s="54">
        <v>0</v>
      </c>
      <c r="L2615" s="22" t="s">
        <v>104</v>
      </c>
      <c r="M2615" s="22" t="s">
        <v>37029</v>
      </c>
    </row>
    <row r="2616" spans="1:13" x14ac:dyDescent="0.75">
      <c r="A2616" t="s">
        <v>20812</v>
      </c>
      <c r="B2616" t="s">
        <v>7129</v>
      </c>
      <c r="C2616" t="s">
        <v>7130</v>
      </c>
      <c r="D2616" t="s">
        <v>7131</v>
      </c>
      <c r="E2616" t="s">
        <v>20813</v>
      </c>
      <c r="F2616">
        <v>112</v>
      </c>
      <c r="G2616">
        <v>1776416</v>
      </c>
      <c r="H2616" t="s">
        <v>20814</v>
      </c>
      <c r="J2616" s="54" t="s">
        <v>6052</v>
      </c>
      <c r="K2616" s="54">
        <v>0</v>
      </c>
      <c r="L2616" s="22" t="s">
        <v>104</v>
      </c>
      <c r="M2616" s="22" t="s">
        <v>37029</v>
      </c>
    </row>
    <row r="2617" spans="1:13" x14ac:dyDescent="0.75">
      <c r="A2617" t="s">
        <v>28016</v>
      </c>
      <c r="B2617" t="s">
        <v>7129</v>
      </c>
      <c r="C2617" t="s">
        <v>7130</v>
      </c>
      <c r="D2617" t="s">
        <v>7131</v>
      </c>
      <c r="E2617" t="s">
        <v>28017</v>
      </c>
      <c r="F2617">
        <v>1</v>
      </c>
      <c r="G2617">
        <v>1926227</v>
      </c>
      <c r="H2617" t="s">
        <v>28018</v>
      </c>
      <c r="J2617" s="54" t="s">
        <v>6052</v>
      </c>
      <c r="K2617" s="54">
        <v>0</v>
      </c>
      <c r="L2617" s="22" t="s">
        <v>104</v>
      </c>
      <c r="M2617" s="22" t="s">
        <v>37029</v>
      </c>
    </row>
    <row r="2618" spans="1:13" x14ac:dyDescent="0.75">
      <c r="A2618" t="s">
        <v>24984</v>
      </c>
      <c r="B2618" t="s">
        <v>7129</v>
      </c>
      <c r="C2618" t="s">
        <v>7130</v>
      </c>
      <c r="D2618" t="s">
        <v>7131</v>
      </c>
      <c r="E2618" t="s">
        <v>24985</v>
      </c>
      <c r="F2618">
        <v>34</v>
      </c>
      <c r="G2618">
        <v>1876477</v>
      </c>
      <c r="H2618" t="s">
        <v>24986</v>
      </c>
      <c r="J2618" s="54" t="s">
        <v>6052</v>
      </c>
      <c r="K2618" s="54">
        <v>0</v>
      </c>
      <c r="L2618" s="22" t="s">
        <v>104</v>
      </c>
      <c r="M2618" s="22" t="s">
        <v>37029</v>
      </c>
    </row>
    <row r="2619" spans="1:13" x14ac:dyDescent="0.75">
      <c r="A2619" t="s">
        <v>15322</v>
      </c>
      <c r="B2619" t="s">
        <v>11936</v>
      </c>
      <c r="C2619" t="s">
        <v>7130</v>
      </c>
      <c r="D2619" t="s">
        <v>8644</v>
      </c>
      <c r="E2619">
        <v>6198</v>
      </c>
      <c r="F2619">
        <v>1</v>
      </c>
      <c r="G2619">
        <v>1797925</v>
      </c>
      <c r="H2619" t="s">
        <v>15323</v>
      </c>
      <c r="J2619" s="54" t="s">
        <v>6052</v>
      </c>
      <c r="K2619" s="54">
        <v>0</v>
      </c>
      <c r="L2619" s="22" t="s">
        <v>104</v>
      </c>
      <c r="M2619" s="22" t="s">
        <v>37027</v>
      </c>
    </row>
    <row r="2620" spans="1:13" x14ac:dyDescent="0.75">
      <c r="A2620" t="s">
        <v>27201</v>
      </c>
      <c r="B2620" t="s">
        <v>11936</v>
      </c>
      <c r="C2620" t="s">
        <v>7130</v>
      </c>
      <c r="D2620" t="s">
        <v>8644</v>
      </c>
      <c r="E2620" t="s">
        <v>27202</v>
      </c>
      <c r="F2620">
        <v>8</v>
      </c>
      <c r="G2620">
        <v>1804814</v>
      </c>
      <c r="H2620" t="s">
        <v>27203</v>
      </c>
      <c r="J2620" s="54" t="s">
        <v>6052</v>
      </c>
      <c r="K2620" s="54">
        <v>0</v>
      </c>
      <c r="L2620" s="22" t="s">
        <v>104</v>
      </c>
      <c r="M2620" s="22" t="s">
        <v>37027</v>
      </c>
    </row>
    <row r="2621" spans="1:13" x14ac:dyDescent="0.75">
      <c r="A2621" t="s">
        <v>11935</v>
      </c>
      <c r="B2621" t="s">
        <v>11936</v>
      </c>
      <c r="C2621" t="s">
        <v>7130</v>
      </c>
      <c r="D2621" t="s">
        <v>8644</v>
      </c>
      <c r="E2621" t="s">
        <v>11937</v>
      </c>
      <c r="F2621">
        <v>1</v>
      </c>
      <c r="G2621">
        <v>1769679</v>
      </c>
      <c r="H2621" t="s">
        <v>11938</v>
      </c>
      <c r="J2621" s="54" t="s">
        <v>6052</v>
      </c>
      <c r="K2621" s="54">
        <v>0</v>
      </c>
      <c r="L2621" s="22" t="s">
        <v>104</v>
      </c>
      <c r="M2621" s="22" t="s">
        <v>37027</v>
      </c>
    </row>
    <row r="2622" spans="1:13" x14ac:dyDescent="0.75">
      <c r="A2622" t="s">
        <v>29660</v>
      </c>
      <c r="B2622" t="s">
        <v>7417</v>
      </c>
      <c r="C2622" t="s">
        <v>7130</v>
      </c>
      <c r="D2622" t="s">
        <v>7418</v>
      </c>
      <c r="E2622" t="s">
        <v>29661</v>
      </c>
      <c r="F2622">
        <v>73</v>
      </c>
      <c r="G2622">
        <v>1658063</v>
      </c>
      <c r="H2622" t="s">
        <v>29662</v>
      </c>
      <c r="J2622" s="54" t="s">
        <v>6052</v>
      </c>
      <c r="K2622" s="54">
        <v>0</v>
      </c>
      <c r="L2622" s="22" t="s">
        <v>104</v>
      </c>
      <c r="M2622" s="22" t="s">
        <v>37031</v>
      </c>
    </row>
    <row r="2623" spans="1:13" x14ac:dyDescent="0.75">
      <c r="A2623" t="s">
        <v>21713</v>
      </c>
      <c r="B2623" t="s">
        <v>7417</v>
      </c>
      <c r="C2623" t="s">
        <v>7130</v>
      </c>
      <c r="D2623" t="s">
        <v>7418</v>
      </c>
      <c r="E2623" t="s">
        <v>21714</v>
      </c>
      <c r="F2623">
        <v>1</v>
      </c>
      <c r="G2623">
        <v>1760933</v>
      </c>
      <c r="H2623" t="s">
        <v>21715</v>
      </c>
      <c r="J2623" s="54" t="s">
        <v>6052</v>
      </c>
      <c r="K2623" s="54">
        <v>0</v>
      </c>
      <c r="L2623" s="22" t="s">
        <v>104</v>
      </c>
      <c r="M2623" s="22" t="s">
        <v>37031</v>
      </c>
    </row>
    <row r="2624" spans="1:13" x14ac:dyDescent="0.75">
      <c r="A2624" t="s">
        <v>17899</v>
      </c>
      <c r="B2624" t="s">
        <v>7417</v>
      </c>
      <c r="C2624" t="s">
        <v>7130</v>
      </c>
      <c r="D2624" t="s">
        <v>7418</v>
      </c>
      <c r="E2624" t="s">
        <v>17900</v>
      </c>
      <c r="F2624">
        <v>1</v>
      </c>
      <c r="G2624">
        <v>1779451</v>
      </c>
      <c r="H2624" t="s">
        <v>17901</v>
      </c>
      <c r="J2624" s="54" t="s">
        <v>6052</v>
      </c>
      <c r="K2624" s="54">
        <v>0</v>
      </c>
      <c r="L2624" s="22" t="s">
        <v>104</v>
      </c>
      <c r="M2624" s="22" t="s">
        <v>37031</v>
      </c>
    </row>
    <row r="2625" spans="1:13" x14ac:dyDescent="0.75">
      <c r="A2625" t="s">
        <v>19182</v>
      </c>
      <c r="B2625" t="s">
        <v>7417</v>
      </c>
      <c r="C2625" t="s">
        <v>7130</v>
      </c>
      <c r="D2625" t="s">
        <v>7418</v>
      </c>
      <c r="E2625" t="s">
        <v>19183</v>
      </c>
      <c r="F2625">
        <v>179</v>
      </c>
      <c r="G2625">
        <v>1580065</v>
      </c>
      <c r="H2625" t="s">
        <v>19184</v>
      </c>
      <c r="J2625" s="54" t="s">
        <v>6052</v>
      </c>
      <c r="K2625" s="54">
        <v>0</v>
      </c>
      <c r="L2625" s="22" t="s">
        <v>104</v>
      </c>
      <c r="M2625" s="22" t="s">
        <v>37031</v>
      </c>
    </row>
    <row r="2626" spans="1:13" x14ac:dyDescent="0.75">
      <c r="A2626" t="s">
        <v>19179</v>
      </c>
      <c r="B2626" t="s">
        <v>7417</v>
      </c>
      <c r="C2626" t="s">
        <v>7130</v>
      </c>
      <c r="D2626" t="s">
        <v>7418</v>
      </c>
      <c r="E2626" t="s">
        <v>19180</v>
      </c>
      <c r="F2626">
        <v>123</v>
      </c>
      <c r="G2626">
        <v>1531077</v>
      </c>
      <c r="H2626" t="s">
        <v>19181</v>
      </c>
      <c r="J2626" s="54" t="s">
        <v>6052</v>
      </c>
      <c r="K2626" s="54">
        <v>0</v>
      </c>
      <c r="L2626" s="22" t="s">
        <v>104</v>
      </c>
      <c r="M2626" s="22" t="s">
        <v>37031</v>
      </c>
    </row>
    <row r="2627" spans="1:13" x14ac:dyDescent="0.75">
      <c r="A2627" t="s">
        <v>7416</v>
      </c>
      <c r="B2627" t="s">
        <v>7417</v>
      </c>
      <c r="C2627" t="s">
        <v>7130</v>
      </c>
      <c r="D2627" t="s">
        <v>7418</v>
      </c>
      <c r="E2627" t="s">
        <v>7419</v>
      </c>
      <c r="F2627">
        <v>39</v>
      </c>
      <c r="G2627">
        <v>1752918</v>
      </c>
      <c r="H2627" t="s">
        <v>7420</v>
      </c>
      <c r="J2627" s="54" t="s">
        <v>6052</v>
      </c>
      <c r="K2627" s="54">
        <v>0</v>
      </c>
      <c r="L2627" s="22" t="s">
        <v>104</v>
      </c>
      <c r="M2627" s="22" t="s">
        <v>37031</v>
      </c>
    </row>
    <row r="2628" spans="1:13" x14ac:dyDescent="0.75">
      <c r="A2628" t="s">
        <v>28629</v>
      </c>
      <c r="B2628" t="s">
        <v>7417</v>
      </c>
      <c r="C2628" t="s">
        <v>7130</v>
      </c>
      <c r="D2628" t="s">
        <v>7418</v>
      </c>
      <c r="E2628" t="s">
        <v>28630</v>
      </c>
      <c r="F2628">
        <v>45</v>
      </c>
      <c r="G2628">
        <v>1790867</v>
      </c>
      <c r="H2628" t="s">
        <v>28631</v>
      </c>
      <c r="J2628" s="54" t="s">
        <v>6052</v>
      </c>
      <c r="K2628" s="54">
        <v>0</v>
      </c>
      <c r="L2628" s="22" t="s">
        <v>104</v>
      </c>
      <c r="M2628" s="22" t="s">
        <v>37031</v>
      </c>
    </row>
    <row r="2629" spans="1:13" x14ac:dyDescent="0.75">
      <c r="A2629" t="s">
        <v>27744</v>
      </c>
      <c r="B2629" t="s">
        <v>7417</v>
      </c>
      <c r="C2629" t="s">
        <v>7130</v>
      </c>
      <c r="D2629" t="s">
        <v>7418</v>
      </c>
      <c r="E2629" t="s">
        <v>27745</v>
      </c>
      <c r="F2629">
        <v>1</v>
      </c>
      <c r="G2629">
        <v>1760930</v>
      </c>
      <c r="H2629" t="s">
        <v>27746</v>
      </c>
      <c r="J2629" s="54" t="s">
        <v>6052</v>
      </c>
      <c r="K2629" s="54">
        <v>0</v>
      </c>
      <c r="L2629" s="22" t="s">
        <v>104</v>
      </c>
      <c r="M2629" s="22" t="s">
        <v>37031</v>
      </c>
    </row>
    <row r="2630" spans="1:13" x14ac:dyDescent="0.75">
      <c r="A2630" t="s">
        <v>28877</v>
      </c>
      <c r="B2630" t="s">
        <v>7417</v>
      </c>
      <c r="C2630" t="s">
        <v>7130</v>
      </c>
      <c r="D2630" t="s">
        <v>7418</v>
      </c>
      <c r="E2630" t="s">
        <v>28878</v>
      </c>
      <c r="F2630">
        <v>115</v>
      </c>
      <c r="G2630">
        <v>1570595</v>
      </c>
      <c r="H2630" t="s">
        <v>28879</v>
      </c>
      <c r="J2630" s="54" t="s">
        <v>6052</v>
      </c>
      <c r="K2630" s="54">
        <v>0</v>
      </c>
      <c r="L2630" s="22" t="s">
        <v>104</v>
      </c>
      <c r="M2630" s="22" t="s">
        <v>37031</v>
      </c>
    </row>
    <row r="2631" spans="1:13" x14ac:dyDescent="0.75">
      <c r="A2631" t="s">
        <v>25926</v>
      </c>
      <c r="B2631" t="s">
        <v>7417</v>
      </c>
      <c r="C2631" t="s">
        <v>7130</v>
      </c>
      <c r="D2631" t="s">
        <v>7418</v>
      </c>
      <c r="E2631" t="s">
        <v>25927</v>
      </c>
      <c r="F2631">
        <v>268</v>
      </c>
      <c r="G2631">
        <v>1675671</v>
      </c>
      <c r="H2631" t="s">
        <v>25928</v>
      </c>
      <c r="J2631" s="54" t="s">
        <v>6052</v>
      </c>
      <c r="K2631" s="54">
        <v>0</v>
      </c>
      <c r="L2631" s="22" t="s">
        <v>104</v>
      </c>
      <c r="M2631" s="22" t="s">
        <v>37031</v>
      </c>
    </row>
    <row r="2632" spans="1:13" x14ac:dyDescent="0.75">
      <c r="A2632" t="s">
        <v>25929</v>
      </c>
      <c r="B2632" t="s">
        <v>7417</v>
      </c>
      <c r="C2632" t="s">
        <v>7130</v>
      </c>
      <c r="D2632" t="s">
        <v>7418</v>
      </c>
      <c r="E2632" t="s">
        <v>25930</v>
      </c>
      <c r="F2632">
        <v>106</v>
      </c>
      <c r="G2632">
        <v>1711998</v>
      </c>
      <c r="H2632" t="s">
        <v>25931</v>
      </c>
      <c r="J2632" s="54" t="s">
        <v>6052</v>
      </c>
      <c r="K2632" s="54">
        <v>0</v>
      </c>
      <c r="L2632" s="22" t="s">
        <v>104</v>
      </c>
      <c r="M2632" s="22" t="s">
        <v>37031</v>
      </c>
    </row>
    <row r="2633" spans="1:13" x14ac:dyDescent="0.75">
      <c r="A2633" t="s">
        <v>10967</v>
      </c>
      <c r="B2633" t="s">
        <v>7648</v>
      </c>
      <c r="C2633" t="s">
        <v>7130</v>
      </c>
      <c r="D2633" t="s">
        <v>6273</v>
      </c>
      <c r="E2633" t="s">
        <v>10968</v>
      </c>
      <c r="F2633">
        <v>118</v>
      </c>
      <c r="G2633">
        <v>1905481</v>
      </c>
      <c r="H2633" t="s">
        <v>10969</v>
      </c>
      <c r="J2633" s="54" t="s">
        <v>6052</v>
      </c>
      <c r="K2633" s="54">
        <v>0</v>
      </c>
      <c r="L2633" s="22" t="s">
        <v>104</v>
      </c>
      <c r="M2633" s="22" t="s">
        <v>37028</v>
      </c>
    </row>
    <row r="2634" spans="1:13" x14ac:dyDescent="0.75">
      <c r="A2634" t="s">
        <v>10414</v>
      </c>
      <c r="B2634" t="s">
        <v>7648</v>
      </c>
      <c r="C2634" t="s">
        <v>7130</v>
      </c>
      <c r="D2634" t="s">
        <v>6273</v>
      </c>
      <c r="E2634" t="s">
        <v>10415</v>
      </c>
      <c r="F2634">
        <v>32</v>
      </c>
      <c r="G2634">
        <v>1795494</v>
      </c>
      <c r="H2634" t="s">
        <v>10416</v>
      </c>
      <c r="J2634" s="54" t="s">
        <v>6052</v>
      </c>
      <c r="K2634" s="54">
        <v>0</v>
      </c>
      <c r="L2634" s="22" t="s">
        <v>104</v>
      </c>
      <c r="M2634" s="22" t="s">
        <v>37028</v>
      </c>
    </row>
    <row r="2635" spans="1:13" x14ac:dyDescent="0.75">
      <c r="A2635" t="s">
        <v>29776</v>
      </c>
      <c r="B2635" t="s">
        <v>7648</v>
      </c>
      <c r="C2635" t="s">
        <v>7130</v>
      </c>
      <c r="D2635" t="s">
        <v>6273</v>
      </c>
      <c r="E2635" t="s">
        <v>29777</v>
      </c>
      <c r="F2635">
        <v>197</v>
      </c>
      <c r="G2635">
        <v>1557782</v>
      </c>
      <c r="H2635" t="s">
        <v>29778</v>
      </c>
      <c r="J2635" s="54" t="s">
        <v>6052</v>
      </c>
      <c r="K2635" s="54">
        <v>0</v>
      </c>
      <c r="L2635" s="22" t="s">
        <v>104</v>
      </c>
      <c r="M2635" s="22" t="s">
        <v>37028</v>
      </c>
    </row>
    <row r="2636" spans="1:13" x14ac:dyDescent="0.75">
      <c r="A2636" t="s">
        <v>17896</v>
      </c>
      <c r="B2636" t="s">
        <v>7648</v>
      </c>
      <c r="C2636" t="s">
        <v>7130</v>
      </c>
      <c r="D2636" t="s">
        <v>6273</v>
      </c>
      <c r="E2636" t="s">
        <v>17897</v>
      </c>
      <c r="F2636">
        <v>1</v>
      </c>
      <c r="G2636">
        <v>1796606</v>
      </c>
      <c r="H2636" t="s">
        <v>17898</v>
      </c>
      <c r="J2636" s="54" t="s">
        <v>6052</v>
      </c>
      <c r="K2636" s="54">
        <v>0</v>
      </c>
      <c r="L2636" s="22" t="s">
        <v>104</v>
      </c>
      <c r="M2636" s="22" t="s">
        <v>37028</v>
      </c>
    </row>
    <row r="2637" spans="1:13" x14ac:dyDescent="0.75">
      <c r="A2637" t="s">
        <v>7647</v>
      </c>
      <c r="B2637" t="s">
        <v>7648</v>
      </c>
      <c r="C2637" t="s">
        <v>7130</v>
      </c>
      <c r="D2637" t="s">
        <v>6273</v>
      </c>
      <c r="E2637" t="s">
        <v>7649</v>
      </c>
      <c r="F2637">
        <v>5</v>
      </c>
      <c r="G2637">
        <v>1756105</v>
      </c>
      <c r="H2637" t="s">
        <v>7650</v>
      </c>
      <c r="J2637" s="54" t="s">
        <v>6052</v>
      </c>
      <c r="K2637" s="54">
        <v>0</v>
      </c>
      <c r="L2637" s="22" t="s">
        <v>104</v>
      </c>
      <c r="M2637" s="22" t="s">
        <v>37028</v>
      </c>
    </row>
    <row r="2638" spans="1:13" x14ac:dyDescent="0.75">
      <c r="A2638" t="s">
        <v>29392</v>
      </c>
      <c r="B2638" t="s">
        <v>7648</v>
      </c>
      <c r="C2638" t="s">
        <v>7130</v>
      </c>
      <c r="D2638" t="s">
        <v>6273</v>
      </c>
      <c r="E2638" t="s">
        <v>29393</v>
      </c>
      <c r="F2638">
        <v>113</v>
      </c>
      <c r="G2638">
        <v>1736345</v>
      </c>
      <c r="H2638" t="s">
        <v>29394</v>
      </c>
      <c r="J2638" s="54" t="s">
        <v>6052</v>
      </c>
      <c r="K2638" s="54">
        <v>0</v>
      </c>
      <c r="L2638" s="22" t="s">
        <v>104</v>
      </c>
      <c r="M2638" s="22" t="s">
        <v>37028</v>
      </c>
    </row>
    <row r="2639" spans="1:13" x14ac:dyDescent="0.75">
      <c r="A2639" t="s">
        <v>18207</v>
      </c>
      <c r="B2639" t="s">
        <v>7648</v>
      </c>
      <c r="C2639" t="s">
        <v>7130</v>
      </c>
      <c r="D2639" t="s">
        <v>6273</v>
      </c>
      <c r="E2639" t="s">
        <v>18208</v>
      </c>
      <c r="F2639">
        <v>28</v>
      </c>
      <c r="G2639">
        <v>1795201</v>
      </c>
      <c r="H2639" t="s">
        <v>18209</v>
      </c>
      <c r="J2639" s="54" t="s">
        <v>6052</v>
      </c>
      <c r="K2639" s="54">
        <v>0</v>
      </c>
      <c r="L2639" s="22" t="s">
        <v>104</v>
      </c>
      <c r="M2639" s="22" t="s">
        <v>37028</v>
      </c>
    </row>
    <row r="2640" spans="1:13" x14ac:dyDescent="0.75">
      <c r="A2640" t="s">
        <v>14381</v>
      </c>
      <c r="B2640" t="s">
        <v>7648</v>
      </c>
      <c r="C2640" t="s">
        <v>7130</v>
      </c>
      <c r="D2640" t="s">
        <v>6273</v>
      </c>
      <c r="E2640" t="s">
        <v>14382</v>
      </c>
      <c r="F2640">
        <v>43</v>
      </c>
      <c r="G2640">
        <v>1877482</v>
      </c>
      <c r="H2640" t="s">
        <v>14383</v>
      </c>
      <c r="J2640" s="54" t="s">
        <v>6052</v>
      </c>
      <c r="K2640" s="54">
        <v>0</v>
      </c>
      <c r="L2640" s="22" t="s">
        <v>104</v>
      </c>
      <c r="M2640" s="22" t="s">
        <v>37028</v>
      </c>
    </row>
    <row r="2641" spans="1:13" x14ac:dyDescent="0.75">
      <c r="A2641" t="s">
        <v>11297</v>
      </c>
      <c r="B2641" t="s">
        <v>6932</v>
      </c>
      <c r="C2641" t="s">
        <v>6933</v>
      </c>
      <c r="D2641" t="s">
        <v>6934</v>
      </c>
      <c r="E2641" t="s">
        <v>11298</v>
      </c>
      <c r="F2641">
        <v>47</v>
      </c>
      <c r="G2641">
        <v>2031571</v>
      </c>
      <c r="H2641" t="s">
        <v>11299</v>
      </c>
      <c r="J2641" s="54" t="s">
        <v>6052</v>
      </c>
      <c r="K2641" s="54">
        <v>0</v>
      </c>
      <c r="L2641" s="22" t="s">
        <v>104</v>
      </c>
      <c r="M2641" s="22" t="s">
        <v>37033</v>
      </c>
    </row>
    <row r="2642" spans="1:13" x14ac:dyDescent="0.75">
      <c r="A2642" t="s">
        <v>11249</v>
      </c>
      <c r="B2642" t="s">
        <v>6932</v>
      </c>
      <c r="C2642" t="s">
        <v>6933</v>
      </c>
      <c r="D2642" t="s">
        <v>6934</v>
      </c>
      <c r="E2642" t="s">
        <v>11250</v>
      </c>
      <c r="F2642">
        <v>47</v>
      </c>
      <c r="G2642">
        <v>2030278</v>
      </c>
      <c r="H2642" t="s">
        <v>11251</v>
      </c>
      <c r="J2642" s="54" t="s">
        <v>6052</v>
      </c>
      <c r="K2642" s="54">
        <v>0</v>
      </c>
      <c r="L2642" s="22" t="s">
        <v>104</v>
      </c>
      <c r="M2642" s="22" t="s">
        <v>37033</v>
      </c>
    </row>
    <row r="2643" spans="1:13" x14ac:dyDescent="0.75">
      <c r="A2643" t="s">
        <v>29146</v>
      </c>
      <c r="B2643" t="s">
        <v>6932</v>
      </c>
      <c r="C2643" t="s">
        <v>6933</v>
      </c>
      <c r="D2643" t="s">
        <v>6934</v>
      </c>
      <c r="E2643" t="s">
        <v>29147</v>
      </c>
      <c r="F2643">
        <v>31</v>
      </c>
      <c r="G2643">
        <v>1891969</v>
      </c>
      <c r="H2643" t="s">
        <v>29148</v>
      </c>
      <c r="J2643" s="54" t="s">
        <v>6052</v>
      </c>
      <c r="K2643" s="54">
        <v>0</v>
      </c>
      <c r="L2643" s="22" t="s">
        <v>104</v>
      </c>
      <c r="M2643" s="22" t="s">
        <v>37033</v>
      </c>
    </row>
    <row r="2644" spans="1:13" x14ac:dyDescent="0.75">
      <c r="A2644" t="s">
        <v>29140</v>
      </c>
      <c r="B2644" t="s">
        <v>6932</v>
      </c>
      <c r="C2644" t="s">
        <v>6933</v>
      </c>
      <c r="D2644" t="s">
        <v>6934</v>
      </c>
      <c r="E2644" t="s">
        <v>29141</v>
      </c>
      <c r="F2644">
        <v>29</v>
      </c>
      <c r="G2644">
        <v>1890628</v>
      </c>
      <c r="H2644" t="s">
        <v>29142</v>
      </c>
      <c r="J2644" s="54" t="s">
        <v>6052</v>
      </c>
      <c r="K2644" s="54">
        <v>0</v>
      </c>
      <c r="L2644" s="22" t="s">
        <v>104</v>
      </c>
      <c r="M2644" s="22" t="s">
        <v>37033</v>
      </c>
    </row>
    <row r="2645" spans="1:13" x14ac:dyDescent="0.75">
      <c r="A2645" t="s">
        <v>6931</v>
      </c>
      <c r="B2645" t="s">
        <v>6932</v>
      </c>
      <c r="C2645" t="s">
        <v>6933</v>
      </c>
      <c r="D2645" t="s">
        <v>6934</v>
      </c>
      <c r="E2645" t="s">
        <v>6935</v>
      </c>
      <c r="F2645">
        <v>31</v>
      </c>
      <c r="G2645">
        <v>1947166</v>
      </c>
      <c r="H2645" t="s">
        <v>6936</v>
      </c>
      <c r="J2645" s="54" t="s">
        <v>6052</v>
      </c>
      <c r="K2645" s="54">
        <v>0</v>
      </c>
      <c r="L2645" s="22" t="s">
        <v>104</v>
      </c>
      <c r="M2645" s="22" t="s">
        <v>37033</v>
      </c>
    </row>
    <row r="2646" spans="1:13" x14ac:dyDescent="0.75">
      <c r="A2646" t="s">
        <v>24057</v>
      </c>
      <c r="B2646" t="s">
        <v>6932</v>
      </c>
      <c r="C2646" t="s">
        <v>6933</v>
      </c>
      <c r="D2646" t="s">
        <v>6934</v>
      </c>
      <c r="E2646" t="s">
        <v>6935</v>
      </c>
      <c r="F2646">
        <v>1</v>
      </c>
      <c r="G2646">
        <v>1965422</v>
      </c>
      <c r="H2646" t="s">
        <v>24058</v>
      </c>
      <c r="J2646" s="54" t="s">
        <v>6052</v>
      </c>
      <c r="K2646" s="54">
        <v>0</v>
      </c>
      <c r="L2646" s="22" t="s">
        <v>104</v>
      </c>
      <c r="M2646" s="22" t="s">
        <v>37033</v>
      </c>
    </row>
    <row r="2647" spans="1:13" x14ac:dyDescent="0.75">
      <c r="A2647" t="s">
        <v>28755</v>
      </c>
      <c r="B2647" t="s">
        <v>6932</v>
      </c>
      <c r="C2647" t="s">
        <v>6933</v>
      </c>
      <c r="D2647" t="s">
        <v>6934</v>
      </c>
      <c r="E2647" t="s">
        <v>28756</v>
      </c>
      <c r="F2647">
        <v>22</v>
      </c>
      <c r="G2647">
        <v>1896890</v>
      </c>
      <c r="H2647" t="s">
        <v>28757</v>
      </c>
      <c r="J2647" s="54" t="s">
        <v>6052</v>
      </c>
      <c r="K2647" s="54">
        <v>0</v>
      </c>
      <c r="L2647" s="22" t="s">
        <v>104</v>
      </c>
      <c r="M2647" s="22" t="s">
        <v>37033</v>
      </c>
    </row>
    <row r="2648" spans="1:13" x14ac:dyDescent="0.75">
      <c r="A2648" t="s">
        <v>29864</v>
      </c>
      <c r="B2648" t="s">
        <v>6932</v>
      </c>
      <c r="C2648" t="s">
        <v>6933</v>
      </c>
      <c r="D2648" t="s">
        <v>6934</v>
      </c>
      <c r="E2648" t="s">
        <v>29865</v>
      </c>
      <c r="F2648">
        <v>91</v>
      </c>
      <c r="G2648">
        <v>1798844</v>
      </c>
      <c r="H2648" t="s">
        <v>29866</v>
      </c>
      <c r="J2648" s="54" t="s">
        <v>6052</v>
      </c>
      <c r="K2648" s="54">
        <v>0</v>
      </c>
      <c r="L2648" s="22" t="s">
        <v>104</v>
      </c>
      <c r="M2648" s="22" t="s">
        <v>37033</v>
      </c>
    </row>
    <row r="2649" spans="1:13" x14ac:dyDescent="0.75">
      <c r="A2649" t="s">
        <v>21667</v>
      </c>
      <c r="B2649" t="s">
        <v>6932</v>
      </c>
      <c r="C2649" t="s">
        <v>6933</v>
      </c>
      <c r="D2649" t="s">
        <v>6934</v>
      </c>
      <c r="E2649" t="s">
        <v>21668</v>
      </c>
      <c r="F2649">
        <v>1</v>
      </c>
      <c r="G2649">
        <v>1965420</v>
      </c>
      <c r="H2649" t="s">
        <v>21669</v>
      </c>
      <c r="J2649" s="54" t="s">
        <v>6052</v>
      </c>
      <c r="K2649" s="54">
        <v>0</v>
      </c>
      <c r="L2649" s="22" t="s">
        <v>104</v>
      </c>
      <c r="M2649" s="22" t="s">
        <v>37033</v>
      </c>
    </row>
    <row r="2650" spans="1:13" x14ac:dyDescent="0.75">
      <c r="A2650" t="s">
        <v>28133</v>
      </c>
      <c r="B2650" t="s">
        <v>6932</v>
      </c>
      <c r="C2650" t="s">
        <v>6933</v>
      </c>
      <c r="D2650" t="s">
        <v>6934</v>
      </c>
      <c r="E2650" t="s">
        <v>28134</v>
      </c>
      <c r="F2650">
        <v>28</v>
      </c>
      <c r="G2650">
        <v>1813364</v>
      </c>
      <c r="H2650" t="s">
        <v>28135</v>
      </c>
      <c r="J2650" s="54" t="s">
        <v>6052</v>
      </c>
      <c r="K2650" s="54">
        <v>0</v>
      </c>
      <c r="L2650" s="22" t="s">
        <v>104</v>
      </c>
      <c r="M2650" s="22" t="s">
        <v>37033</v>
      </c>
    </row>
    <row r="2651" spans="1:13" x14ac:dyDescent="0.75">
      <c r="A2651" t="s">
        <v>12577</v>
      </c>
      <c r="B2651" t="s">
        <v>6932</v>
      </c>
      <c r="C2651" t="s">
        <v>6933</v>
      </c>
      <c r="D2651" t="s">
        <v>6934</v>
      </c>
      <c r="E2651" t="s">
        <v>12578</v>
      </c>
      <c r="F2651">
        <v>61</v>
      </c>
      <c r="G2651">
        <v>1927473</v>
      </c>
      <c r="H2651" t="s">
        <v>12579</v>
      </c>
      <c r="J2651" s="54" t="s">
        <v>6052</v>
      </c>
      <c r="K2651" s="54">
        <v>0</v>
      </c>
      <c r="L2651" s="22" t="s">
        <v>104</v>
      </c>
      <c r="M2651" s="22" t="s">
        <v>37033</v>
      </c>
    </row>
    <row r="2652" spans="1:13" x14ac:dyDescent="0.75">
      <c r="A2652" t="s">
        <v>12625</v>
      </c>
      <c r="B2652" t="s">
        <v>6932</v>
      </c>
      <c r="C2652" t="s">
        <v>6933</v>
      </c>
      <c r="D2652" t="s">
        <v>6934</v>
      </c>
      <c r="E2652" t="s">
        <v>12626</v>
      </c>
      <c r="F2652">
        <v>64</v>
      </c>
      <c r="G2652">
        <v>1914916</v>
      </c>
      <c r="H2652" t="s">
        <v>12627</v>
      </c>
      <c r="J2652" s="54" t="s">
        <v>6052</v>
      </c>
      <c r="K2652" s="54">
        <v>0</v>
      </c>
      <c r="L2652" s="22" t="s">
        <v>104</v>
      </c>
      <c r="M2652" s="22" t="s">
        <v>37033</v>
      </c>
    </row>
    <row r="2653" spans="1:13" x14ac:dyDescent="0.75">
      <c r="A2653" t="s">
        <v>24209</v>
      </c>
      <c r="B2653" t="s">
        <v>6932</v>
      </c>
      <c r="C2653" t="s">
        <v>6933</v>
      </c>
      <c r="D2653" t="s">
        <v>6934</v>
      </c>
      <c r="E2653" t="s">
        <v>24210</v>
      </c>
      <c r="F2653">
        <v>1</v>
      </c>
      <c r="G2653">
        <v>1949834</v>
      </c>
      <c r="H2653" t="s">
        <v>24211</v>
      </c>
      <c r="J2653" s="54" t="s">
        <v>6052</v>
      </c>
      <c r="K2653" s="54">
        <v>0</v>
      </c>
      <c r="L2653" s="22" t="s">
        <v>104</v>
      </c>
      <c r="M2653" s="22" t="s">
        <v>37033</v>
      </c>
    </row>
    <row r="2654" spans="1:13" x14ac:dyDescent="0.75">
      <c r="A2654" t="s">
        <v>28617</v>
      </c>
      <c r="B2654" t="s">
        <v>6932</v>
      </c>
      <c r="C2654" t="s">
        <v>6933</v>
      </c>
      <c r="D2654" t="s">
        <v>6934</v>
      </c>
      <c r="E2654" t="s">
        <v>28618</v>
      </c>
      <c r="F2654">
        <v>91</v>
      </c>
      <c r="G2654">
        <v>1849304</v>
      </c>
      <c r="H2654" t="s">
        <v>28619</v>
      </c>
      <c r="J2654" s="54" t="s">
        <v>6052</v>
      </c>
      <c r="K2654" s="54">
        <v>0</v>
      </c>
      <c r="L2654" s="22" t="s">
        <v>104</v>
      </c>
      <c r="M2654" s="22" t="s">
        <v>37033</v>
      </c>
    </row>
    <row r="2655" spans="1:13" x14ac:dyDescent="0.75">
      <c r="A2655" t="s">
        <v>24071</v>
      </c>
      <c r="B2655" t="s">
        <v>6932</v>
      </c>
      <c r="C2655" t="s">
        <v>6933</v>
      </c>
      <c r="D2655" t="s">
        <v>6934</v>
      </c>
      <c r="E2655" t="s">
        <v>24072</v>
      </c>
      <c r="F2655">
        <v>41</v>
      </c>
      <c r="G2655">
        <v>1854876</v>
      </c>
      <c r="H2655" t="s">
        <v>24073</v>
      </c>
      <c r="J2655" s="54" t="s">
        <v>6052</v>
      </c>
      <c r="K2655" s="54">
        <v>0</v>
      </c>
      <c r="L2655" s="22" t="s">
        <v>104</v>
      </c>
      <c r="M2655" s="22" t="s">
        <v>37033</v>
      </c>
    </row>
    <row r="2656" spans="1:13" x14ac:dyDescent="0.75">
      <c r="A2656" t="s">
        <v>28980</v>
      </c>
      <c r="B2656" t="s">
        <v>6932</v>
      </c>
      <c r="C2656" t="s">
        <v>6933</v>
      </c>
      <c r="D2656" t="s">
        <v>6934</v>
      </c>
      <c r="E2656" t="s">
        <v>28981</v>
      </c>
      <c r="F2656">
        <v>60</v>
      </c>
      <c r="G2656">
        <v>1843481</v>
      </c>
      <c r="H2656" t="s">
        <v>28982</v>
      </c>
      <c r="J2656" s="54" t="s">
        <v>6052</v>
      </c>
      <c r="K2656" s="54">
        <v>0</v>
      </c>
      <c r="L2656" s="22" t="s">
        <v>104</v>
      </c>
      <c r="M2656" s="22" t="s">
        <v>37033</v>
      </c>
    </row>
    <row r="2657" spans="1:13" x14ac:dyDescent="0.75">
      <c r="A2657" t="s">
        <v>6992</v>
      </c>
      <c r="B2657" t="s">
        <v>6993</v>
      </c>
      <c r="C2657" t="s">
        <v>6933</v>
      </c>
      <c r="D2657" t="s">
        <v>6994</v>
      </c>
      <c r="E2657" t="s">
        <v>6995</v>
      </c>
      <c r="F2657">
        <v>18</v>
      </c>
      <c r="G2657">
        <v>1743361</v>
      </c>
      <c r="H2657" t="s">
        <v>6996</v>
      </c>
      <c r="J2657" s="54" t="s">
        <v>6052</v>
      </c>
      <c r="K2657" s="54">
        <v>0</v>
      </c>
      <c r="L2657" s="22" t="s">
        <v>104</v>
      </c>
      <c r="M2657" s="22" t="s">
        <v>37034</v>
      </c>
    </row>
    <row r="2658" spans="1:13" x14ac:dyDescent="0.75">
      <c r="A2658" t="s">
        <v>21840</v>
      </c>
      <c r="B2658" t="s">
        <v>6993</v>
      </c>
      <c r="C2658" t="s">
        <v>6933</v>
      </c>
      <c r="D2658" t="s">
        <v>6994</v>
      </c>
      <c r="E2658" t="s">
        <v>21841</v>
      </c>
      <c r="F2658">
        <v>1</v>
      </c>
      <c r="G2658">
        <v>1890620</v>
      </c>
      <c r="H2658" t="s">
        <v>21842</v>
      </c>
      <c r="J2658" s="54" t="s">
        <v>6052</v>
      </c>
      <c r="K2658" s="54">
        <v>0</v>
      </c>
      <c r="L2658" s="22" t="s">
        <v>104</v>
      </c>
      <c r="M2658" s="22" t="s">
        <v>37034</v>
      </c>
    </row>
    <row r="2659" spans="1:13" x14ac:dyDescent="0.75">
      <c r="A2659" t="s">
        <v>10883</v>
      </c>
      <c r="B2659" t="s">
        <v>7909</v>
      </c>
      <c r="C2659" t="s">
        <v>6251</v>
      </c>
      <c r="D2659" t="s">
        <v>6196</v>
      </c>
      <c r="E2659" t="s">
        <v>10884</v>
      </c>
      <c r="F2659">
        <v>40</v>
      </c>
      <c r="G2659">
        <v>1785806</v>
      </c>
      <c r="H2659" t="s">
        <v>10885</v>
      </c>
      <c r="J2659" s="54" t="s">
        <v>6052</v>
      </c>
      <c r="K2659" s="54">
        <v>0</v>
      </c>
      <c r="L2659" s="22" t="s">
        <v>104</v>
      </c>
      <c r="M2659" s="22" t="s">
        <v>37038</v>
      </c>
    </row>
    <row r="2660" spans="1:13" x14ac:dyDescent="0.75">
      <c r="A2660" t="s">
        <v>16636</v>
      </c>
      <c r="B2660" t="s">
        <v>7909</v>
      </c>
      <c r="C2660" t="s">
        <v>6251</v>
      </c>
      <c r="D2660" t="s">
        <v>6196</v>
      </c>
      <c r="E2660" t="s">
        <v>16637</v>
      </c>
      <c r="F2660">
        <v>50</v>
      </c>
      <c r="G2660">
        <v>1843335</v>
      </c>
      <c r="H2660" t="s">
        <v>16638</v>
      </c>
      <c r="J2660" s="54" t="s">
        <v>6052</v>
      </c>
      <c r="K2660" s="54">
        <v>0</v>
      </c>
      <c r="L2660" s="22" t="s">
        <v>104</v>
      </c>
      <c r="M2660" s="22" t="s">
        <v>37038</v>
      </c>
    </row>
    <row r="2661" spans="1:13" x14ac:dyDescent="0.75">
      <c r="A2661" t="s">
        <v>10886</v>
      </c>
      <c r="B2661" t="s">
        <v>7909</v>
      </c>
      <c r="C2661" t="s">
        <v>6251</v>
      </c>
      <c r="D2661" t="s">
        <v>6196</v>
      </c>
      <c r="E2661" t="s">
        <v>10887</v>
      </c>
      <c r="F2661">
        <v>63</v>
      </c>
      <c r="G2661">
        <v>1869699</v>
      </c>
      <c r="H2661" t="s">
        <v>10888</v>
      </c>
      <c r="J2661" s="54" t="s">
        <v>6052</v>
      </c>
      <c r="K2661" s="54">
        <v>0</v>
      </c>
      <c r="L2661" s="22" t="s">
        <v>104</v>
      </c>
      <c r="M2661" s="22" t="s">
        <v>37038</v>
      </c>
    </row>
    <row r="2662" spans="1:13" x14ac:dyDescent="0.75">
      <c r="A2662" t="s">
        <v>21688</v>
      </c>
      <c r="B2662" t="s">
        <v>7909</v>
      </c>
      <c r="C2662" t="s">
        <v>6251</v>
      </c>
      <c r="D2662" t="s">
        <v>6196</v>
      </c>
      <c r="E2662" t="s">
        <v>21689</v>
      </c>
      <c r="F2662">
        <v>1</v>
      </c>
      <c r="G2662">
        <v>1895310</v>
      </c>
      <c r="H2662" t="s">
        <v>21690</v>
      </c>
      <c r="J2662" s="54" t="s">
        <v>6052</v>
      </c>
      <c r="K2662" s="54">
        <v>0</v>
      </c>
      <c r="L2662" s="22" t="s">
        <v>104</v>
      </c>
      <c r="M2662" s="22" t="s">
        <v>37038</v>
      </c>
    </row>
    <row r="2663" spans="1:13" x14ac:dyDescent="0.75">
      <c r="A2663" t="s">
        <v>10892</v>
      </c>
      <c r="B2663" t="s">
        <v>7909</v>
      </c>
      <c r="C2663" t="s">
        <v>6251</v>
      </c>
      <c r="D2663" t="s">
        <v>6196</v>
      </c>
      <c r="E2663" t="s">
        <v>10893</v>
      </c>
      <c r="F2663">
        <v>63</v>
      </c>
      <c r="G2663">
        <v>1876155</v>
      </c>
      <c r="H2663" t="s">
        <v>10894</v>
      </c>
      <c r="J2663" s="54" t="s">
        <v>6052</v>
      </c>
      <c r="K2663" s="54">
        <v>0</v>
      </c>
      <c r="L2663" s="22" t="s">
        <v>104</v>
      </c>
      <c r="M2663" s="22" t="s">
        <v>37038</v>
      </c>
    </row>
    <row r="2664" spans="1:13" x14ac:dyDescent="0.75">
      <c r="A2664" t="s">
        <v>10889</v>
      </c>
      <c r="B2664" t="s">
        <v>7909</v>
      </c>
      <c r="C2664" t="s">
        <v>6251</v>
      </c>
      <c r="D2664" t="s">
        <v>6196</v>
      </c>
      <c r="E2664" t="s">
        <v>10890</v>
      </c>
      <c r="F2664">
        <v>73</v>
      </c>
      <c r="G2664">
        <v>1836392</v>
      </c>
      <c r="H2664" t="s">
        <v>10891</v>
      </c>
      <c r="J2664" s="54" t="s">
        <v>6052</v>
      </c>
      <c r="K2664" s="54">
        <v>0</v>
      </c>
      <c r="L2664" s="22" t="s">
        <v>104</v>
      </c>
      <c r="M2664" s="22" t="s">
        <v>37038</v>
      </c>
    </row>
    <row r="2665" spans="1:13" x14ac:dyDescent="0.75">
      <c r="A2665" t="s">
        <v>16645</v>
      </c>
      <c r="B2665" t="s">
        <v>7909</v>
      </c>
      <c r="C2665" t="s">
        <v>6251</v>
      </c>
      <c r="D2665" t="s">
        <v>6196</v>
      </c>
      <c r="E2665" t="s">
        <v>16646</v>
      </c>
      <c r="F2665">
        <v>14</v>
      </c>
      <c r="G2665">
        <v>1828364</v>
      </c>
      <c r="H2665" t="s">
        <v>16647</v>
      </c>
      <c r="J2665" s="54" t="s">
        <v>6052</v>
      </c>
      <c r="K2665" s="54">
        <v>0</v>
      </c>
      <c r="L2665" s="22" t="s">
        <v>104</v>
      </c>
      <c r="M2665" s="22" t="s">
        <v>37038</v>
      </c>
    </row>
    <row r="2666" spans="1:13" x14ac:dyDescent="0.75">
      <c r="A2666" t="s">
        <v>12305</v>
      </c>
      <c r="B2666" t="s">
        <v>7909</v>
      </c>
      <c r="C2666" t="s">
        <v>6251</v>
      </c>
      <c r="D2666" t="s">
        <v>6196</v>
      </c>
      <c r="E2666" t="s">
        <v>12306</v>
      </c>
      <c r="F2666">
        <v>21</v>
      </c>
      <c r="G2666">
        <v>1827025</v>
      </c>
      <c r="H2666" t="s">
        <v>12307</v>
      </c>
      <c r="J2666" s="54" t="s">
        <v>6052</v>
      </c>
      <c r="K2666" s="54">
        <v>0</v>
      </c>
      <c r="L2666" s="22" t="s">
        <v>104</v>
      </c>
      <c r="M2666" s="22" t="s">
        <v>37038</v>
      </c>
    </row>
    <row r="2667" spans="1:13" x14ac:dyDescent="0.75">
      <c r="A2667" t="s">
        <v>12317</v>
      </c>
      <c r="B2667" t="s">
        <v>7909</v>
      </c>
      <c r="C2667" t="s">
        <v>6251</v>
      </c>
      <c r="D2667" t="s">
        <v>6196</v>
      </c>
      <c r="E2667" t="s">
        <v>12318</v>
      </c>
      <c r="F2667">
        <v>31</v>
      </c>
      <c r="G2667">
        <v>1941809</v>
      </c>
      <c r="H2667" t="s">
        <v>12319</v>
      </c>
      <c r="J2667" s="54" t="s">
        <v>6052</v>
      </c>
      <c r="K2667" s="54">
        <v>0</v>
      </c>
      <c r="L2667" s="22" t="s">
        <v>104</v>
      </c>
      <c r="M2667" s="22" t="s">
        <v>37038</v>
      </c>
    </row>
    <row r="2668" spans="1:13" x14ac:dyDescent="0.75">
      <c r="A2668" t="s">
        <v>12340</v>
      </c>
      <c r="B2668" t="s">
        <v>7909</v>
      </c>
      <c r="C2668" t="s">
        <v>6251</v>
      </c>
      <c r="D2668" t="s">
        <v>6196</v>
      </c>
      <c r="E2668" t="s">
        <v>12341</v>
      </c>
      <c r="F2668">
        <v>19</v>
      </c>
      <c r="G2668">
        <v>1880185</v>
      </c>
      <c r="H2668" t="s">
        <v>12342</v>
      </c>
      <c r="J2668" s="54" t="s">
        <v>6052</v>
      </c>
      <c r="K2668" s="54">
        <v>0</v>
      </c>
      <c r="L2668" s="22" t="s">
        <v>104</v>
      </c>
      <c r="M2668" s="22" t="s">
        <v>37038</v>
      </c>
    </row>
    <row r="2669" spans="1:13" x14ac:dyDescent="0.75">
      <c r="A2669" t="s">
        <v>8423</v>
      </c>
      <c r="B2669" t="s">
        <v>7909</v>
      </c>
      <c r="C2669" t="s">
        <v>6251</v>
      </c>
      <c r="D2669" t="s">
        <v>6196</v>
      </c>
      <c r="E2669" t="s">
        <v>8424</v>
      </c>
      <c r="F2669">
        <v>37</v>
      </c>
      <c r="G2669">
        <v>1838618</v>
      </c>
      <c r="H2669" t="s">
        <v>8425</v>
      </c>
      <c r="J2669" s="54" t="s">
        <v>6052</v>
      </c>
      <c r="K2669" s="54">
        <v>0</v>
      </c>
      <c r="L2669" s="22" t="s">
        <v>104</v>
      </c>
      <c r="M2669" s="22" t="s">
        <v>37038</v>
      </c>
    </row>
    <row r="2670" spans="1:13" x14ac:dyDescent="0.75">
      <c r="A2670" t="s">
        <v>16642</v>
      </c>
      <c r="B2670" t="s">
        <v>7909</v>
      </c>
      <c r="C2670" t="s">
        <v>6251</v>
      </c>
      <c r="D2670" t="s">
        <v>6196</v>
      </c>
      <c r="E2670" t="s">
        <v>16643</v>
      </c>
      <c r="F2670">
        <v>17</v>
      </c>
      <c r="G2670">
        <v>1848731</v>
      </c>
      <c r="H2670" t="s">
        <v>16644</v>
      </c>
      <c r="J2670" s="54" t="s">
        <v>6052</v>
      </c>
      <c r="K2670" s="54">
        <v>0</v>
      </c>
      <c r="L2670" s="22" t="s">
        <v>104</v>
      </c>
      <c r="M2670" s="22" t="s">
        <v>37038</v>
      </c>
    </row>
    <row r="2671" spans="1:13" x14ac:dyDescent="0.75">
      <c r="A2671" t="s">
        <v>8614</v>
      </c>
      <c r="B2671" t="s">
        <v>7909</v>
      </c>
      <c r="C2671" t="s">
        <v>6251</v>
      </c>
      <c r="D2671" t="s">
        <v>6196</v>
      </c>
      <c r="E2671" t="s">
        <v>8615</v>
      </c>
      <c r="F2671">
        <v>30</v>
      </c>
      <c r="G2671">
        <v>1822726</v>
      </c>
      <c r="H2671" t="s">
        <v>8616</v>
      </c>
      <c r="J2671" s="54" t="s">
        <v>6052</v>
      </c>
      <c r="K2671" s="54">
        <v>0</v>
      </c>
      <c r="L2671" s="22" t="s">
        <v>104</v>
      </c>
      <c r="M2671" s="22" t="s">
        <v>37038</v>
      </c>
    </row>
    <row r="2672" spans="1:13" x14ac:dyDescent="0.75">
      <c r="A2672" t="s">
        <v>20870</v>
      </c>
      <c r="B2672" t="s">
        <v>7909</v>
      </c>
      <c r="C2672" t="s">
        <v>6251</v>
      </c>
      <c r="D2672" t="s">
        <v>6196</v>
      </c>
      <c r="E2672" t="s">
        <v>20871</v>
      </c>
      <c r="F2672">
        <v>22</v>
      </c>
      <c r="G2672">
        <v>1832354</v>
      </c>
      <c r="H2672" t="s">
        <v>20872</v>
      </c>
      <c r="J2672" s="54" t="s">
        <v>6052</v>
      </c>
      <c r="K2672" s="54">
        <v>0</v>
      </c>
      <c r="L2672" s="22" t="s">
        <v>104</v>
      </c>
      <c r="M2672" s="22" t="s">
        <v>37038</v>
      </c>
    </row>
    <row r="2673" spans="1:13" x14ac:dyDescent="0.75">
      <c r="A2673" t="s">
        <v>15759</v>
      </c>
      <c r="B2673" t="s">
        <v>7909</v>
      </c>
      <c r="C2673" t="s">
        <v>6251</v>
      </c>
      <c r="D2673" t="s">
        <v>6196</v>
      </c>
      <c r="E2673" t="s">
        <v>15760</v>
      </c>
      <c r="F2673">
        <v>17</v>
      </c>
      <c r="G2673">
        <v>1961876</v>
      </c>
      <c r="H2673" t="s">
        <v>15761</v>
      </c>
      <c r="J2673" s="54" t="s">
        <v>6052</v>
      </c>
      <c r="K2673" s="54">
        <v>0</v>
      </c>
      <c r="L2673" s="22" t="s">
        <v>104</v>
      </c>
      <c r="M2673" s="22" t="s">
        <v>37038</v>
      </c>
    </row>
    <row r="2674" spans="1:13" x14ac:dyDescent="0.75">
      <c r="A2674" t="s">
        <v>15765</v>
      </c>
      <c r="B2674" t="s">
        <v>7909</v>
      </c>
      <c r="C2674" t="s">
        <v>6251</v>
      </c>
      <c r="D2674" t="s">
        <v>6196</v>
      </c>
      <c r="E2674" t="s">
        <v>15766</v>
      </c>
      <c r="F2674">
        <v>15</v>
      </c>
      <c r="G2674">
        <v>1845083</v>
      </c>
      <c r="H2674" t="s">
        <v>15767</v>
      </c>
      <c r="J2674" s="54" t="s">
        <v>6052</v>
      </c>
      <c r="K2674" s="54">
        <v>0</v>
      </c>
      <c r="L2674" s="22" t="s">
        <v>104</v>
      </c>
      <c r="M2674" s="22" t="s">
        <v>37038</v>
      </c>
    </row>
    <row r="2675" spans="1:13" x14ac:dyDescent="0.75">
      <c r="A2675" t="s">
        <v>15732</v>
      </c>
      <c r="B2675" t="s">
        <v>7909</v>
      </c>
      <c r="C2675" t="s">
        <v>6251</v>
      </c>
      <c r="D2675" t="s">
        <v>6196</v>
      </c>
      <c r="E2675" t="s">
        <v>15733</v>
      </c>
      <c r="F2675">
        <v>21</v>
      </c>
      <c r="G2675">
        <v>1914164</v>
      </c>
      <c r="H2675" t="s">
        <v>15734</v>
      </c>
      <c r="J2675" s="54" t="s">
        <v>6052</v>
      </c>
      <c r="K2675" s="54">
        <v>0</v>
      </c>
      <c r="L2675" s="22" t="s">
        <v>104</v>
      </c>
      <c r="M2675" s="22" t="s">
        <v>37038</v>
      </c>
    </row>
    <row r="2676" spans="1:13" x14ac:dyDescent="0.75">
      <c r="A2676" t="s">
        <v>15633</v>
      </c>
      <c r="B2676" t="s">
        <v>7909</v>
      </c>
      <c r="C2676" t="s">
        <v>6251</v>
      </c>
      <c r="D2676" t="s">
        <v>6196</v>
      </c>
      <c r="E2676" t="s">
        <v>15634</v>
      </c>
      <c r="F2676">
        <v>36</v>
      </c>
      <c r="G2676">
        <v>2010365</v>
      </c>
      <c r="H2676" t="s">
        <v>15635</v>
      </c>
      <c r="J2676" s="54" t="s">
        <v>6052</v>
      </c>
      <c r="K2676" s="54">
        <v>0</v>
      </c>
      <c r="L2676" s="22" t="s">
        <v>104</v>
      </c>
      <c r="M2676" s="22" t="s">
        <v>37038</v>
      </c>
    </row>
    <row r="2677" spans="1:13" x14ac:dyDescent="0.75">
      <c r="A2677" t="s">
        <v>15747</v>
      </c>
      <c r="B2677" t="s">
        <v>7909</v>
      </c>
      <c r="C2677" t="s">
        <v>6251</v>
      </c>
      <c r="D2677" t="s">
        <v>6196</v>
      </c>
      <c r="E2677" t="s">
        <v>15748</v>
      </c>
      <c r="F2677">
        <v>14</v>
      </c>
      <c r="G2677">
        <v>1945186</v>
      </c>
      <c r="H2677" t="s">
        <v>15749</v>
      </c>
      <c r="J2677" s="54" t="s">
        <v>6052</v>
      </c>
      <c r="K2677" s="54">
        <v>0</v>
      </c>
      <c r="L2677" s="22" t="s">
        <v>104</v>
      </c>
      <c r="M2677" s="22" t="s">
        <v>37038</v>
      </c>
    </row>
    <row r="2678" spans="1:13" x14ac:dyDescent="0.75">
      <c r="A2678" t="s">
        <v>15642</v>
      </c>
      <c r="B2678" t="s">
        <v>7909</v>
      </c>
      <c r="C2678" t="s">
        <v>6251</v>
      </c>
      <c r="D2678" t="s">
        <v>6196</v>
      </c>
      <c r="E2678" t="s">
        <v>15643</v>
      </c>
      <c r="F2678">
        <v>21</v>
      </c>
      <c r="G2678">
        <v>1874589</v>
      </c>
      <c r="H2678" t="s">
        <v>15644</v>
      </c>
      <c r="J2678" s="54" t="s">
        <v>6052</v>
      </c>
      <c r="K2678" s="54">
        <v>0</v>
      </c>
      <c r="L2678" s="22" t="s">
        <v>104</v>
      </c>
      <c r="M2678" s="22" t="s">
        <v>37038</v>
      </c>
    </row>
    <row r="2679" spans="1:13" x14ac:dyDescent="0.75">
      <c r="A2679" t="s">
        <v>15711</v>
      </c>
      <c r="B2679" t="s">
        <v>7909</v>
      </c>
      <c r="C2679" t="s">
        <v>6251</v>
      </c>
      <c r="D2679" t="s">
        <v>6196</v>
      </c>
      <c r="E2679" t="s">
        <v>15712</v>
      </c>
      <c r="F2679">
        <v>31</v>
      </c>
      <c r="G2679">
        <v>1979082</v>
      </c>
      <c r="H2679" t="s">
        <v>15713</v>
      </c>
      <c r="J2679" s="54" t="s">
        <v>6052</v>
      </c>
      <c r="K2679" s="54">
        <v>0</v>
      </c>
      <c r="L2679" s="22" t="s">
        <v>104</v>
      </c>
      <c r="M2679" s="22" t="s">
        <v>37038</v>
      </c>
    </row>
    <row r="2680" spans="1:13" x14ac:dyDescent="0.75">
      <c r="A2680" t="s">
        <v>15741</v>
      </c>
      <c r="B2680" t="s">
        <v>7909</v>
      </c>
      <c r="C2680" t="s">
        <v>6251</v>
      </c>
      <c r="D2680" t="s">
        <v>6196</v>
      </c>
      <c r="E2680" t="s">
        <v>15742</v>
      </c>
      <c r="F2680">
        <v>24</v>
      </c>
      <c r="G2680">
        <v>1947390</v>
      </c>
      <c r="H2680" t="s">
        <v>15743</v>
      </c>
      <c r="J2680" s="54" t="s">
        <v>6052</v>
      </c>
      <c r="K2680" s="54">
        <v>0</v>
      </c>
      <c r="L2680" s="22" t="s">
        <v>104</v>
      </c>
      <c r="M2680" s="22" t="s">
        <v>37038</v>
      </c>
    </row>
    <row r="2681" spans="1:13" x14ac:dyDescent="0.75">
      <c r="A2681" t="s">
        <v>15624</v>
      </c>
      <c r="B2681" t="s">
        <v>7909</v>
      </c>
      <c r="C2681" t="s">
        <v>6251</v>
      </c>
      <c r="D2681" t="s">
        <v>6196</v>
      </c>
      <c r="E2681" t="s">
        <v>15625</v>
      </c>
      <c r="F2681">
        <v>32</v>
      </c>
      <c r="G2681">
        <v>1912585</v>
      </c>
      <c r="H2681" t="s">
        <v>15626</v>
      </c>
      <c r="J2681" s="54" t="s">
        <v>6052</v>
      </c>
      <c r="K2681" s="54">
        <v>0</v>
      </c>
      <c r="L2681" s="22" t="s">
        <v>104</v>
      </c>
      <c r="M2681" s="22" t="s">
        <v>37038</v>
      </c>
    </row>
    <row r="2682" spans="1:13" x14ac:dyDescent="0.75">
      <c r="A2682" t="s">
        <v>15627</v>
      </c>
      <c r="B2682" t="s">
        <v>7909</v>
      </c>
      <c r="C2682" t="s">
        <v>6251</v>
      </c>
      <c r="D2682" t="s">
        <v>6196</v>
      </c>
      <c r="E2682" t="s">
        <v>15628</v>
      </c>
      <c r="F2682">
        <v>30</v>
      </c>
      <c r="G2682">
        <v>1904880</v>
      </c>
      <c r="H2682" t="s">
        <v>15629</v>
      </c>
      <c r="J2682" s="54" t="s">
        <v>6052</v>
      </c>
      <c r="K2682" s="54">
        <v>0</v>
      </c>
      <c r="L2682" s="22" t="s">
        <v>104</v>
      </c>
      <c r="M2682" s="22" t="s">
        <v>37038</v>
      </c>
    </row>
    <row r="2683" spans="1:13" x14ac:dyDescent="0.75">
      <c r="A2683" t="s">
        <v>15762</v>
      </c>
      <c r="B2683" t="s">
        <v>7909</v>
      </c>
      <c r="C2683" t="s">
        <v>6251</v>
      </c>
      <c r="D2683" t="s">
        <v>6196</v>
      </c>
      <c r="E2683" t="s">
        <v>15763</v>
      </c>
      <c r="F2683">
        <v>55</v>
      </c>
      <c r="G2683">
        <v>1915140</v>
      </c>
      <c r="H2683" t="s">
        <v>15764</v>
      </c>
      <c r="J2683" s="54" t="s">
        <v>6052</v>
      </c>
      <c r="K2683" s="54">
        <v>0</v>
      </c>
      <c r="L2683" s="22" t="s">
        <v>104</v>
      </c>
      <c r="M2683" s="22" t="s">
        <v>37038</v>
      </c>
    </row>
    <row r="2684" spans="1:13" x14ac:dyDescent="0.75">
      <c r="A2684" t="s">
        <v>15645</v>
      </c>
      <c r="B2684" t="s">
        <v>7909</v>
      </c>
      <c r="C2684" t="s">
        <v>6251</v>
      </c>
      <c r="D2684" t="s">
        <v>6196</v>
      </c>
      <c r="E2684" t="s">
        <v>15646</v>
      </c>
      <c r="F2684">
        <v>45</v>
      </c>
      <c r="G2684">
        <v>1882562</v>
      </c>
      <c r="H2684" t="s">
        <v>15647</v>
      </c>
      <c r="J2684" s="54" t="s">
        <v>6052</v>
      </c>
      <c r="K2684" s="54">
        <v>0</v>
      </c>
      <c r="L2684" s="22" t="s">
        <v>104</v>
      </c>
      <c r="M2684" s="22" t="s">
        <v>37038</v>
      </c>
    </row>
    <row r="2685" spans="1:13" x14ac:dyDescent="0.75">
      <c r="A2685" t="s">
        <v>15723</v>
      </c>
      <c r="B2685" t="s">
        <v>7909</v>
      </c>
      <c r="C2685" t="s">
        <v>6251</v>
      </c>
      <c r="D2685" t="s">
        <v>6196</v>
      </c>
      <c r="E2685" t="s">
        <v>15724</v>
      </c>
      <c r="F2685">
        <v>29</v>
      </c>
      <c r="G2685">
        <v>1795109</v>
      </c>
      <c r="H2685" t="s">
        <v>15725</v>
      </c>
      <c r="J2685" s="54" t="s">
        <v>6052</v>
      </c>
      <c r="K2685" s="54">
        <v>0</v>
      </c>
      <c r="L2685" s="22" t="s">
        <v>104</v>
      </c>
      <c r="M2685" s="22" t="s">
        <v>37038</v>
      </c>
    </row>
    <row r="2686" spans="1:13" x14ac:dyDescent="0.75">
      <c r="A2686" t="s">
        <v>15663</v>
      </c>
      <c r="B2686" t="s">
        <v>7909</v>
      </c>
      <c r="C2686" t="s">
        <v>6251</v>
      </c>
      <c r="D2686" t="s">
        <v>6196</v>
      </c>
      <c r="E2686" t="s">
        <v>15664</v>
      </c>
      <c r="F2686">
        <v>37</v>
      </c>
      <c r="G2686">
        <v>1985988</v>
      </c>
      <c r="H2686" t="s">
        <v>15665</v>
      </c>
      <c r="J2686" s="54" t="s">
        <v>6052</v>
      </c>
      <c r="K2686" s="54">
        <v>0</v>
      </c>
      <c r="L2686" s="22" t="s">
        <v>104</v>
      </c>
      <c r="M2686" s="22" t="s">
        <v>37038</v>
      </c>
    </row>
    <row r="2687" spans="1:13" x14ac:dyDescent="0.75">
      <c r="A2687" t="s">
        <v>15735</v>
      </c>
      <c r="B2687" t="s">
        <v>7909</v>
      </c>
      <c r="C2687" t="s">
        <v>6251</v>
      </c>
      <c r="D2687" t="s">
        <v>6196</v>
      </c>
      <c r="E2687" t="s">
        <v>15736</v>
      </c>
      <c r="F2687">
        <v>38</v>
      </c>
      <c r="G2687">
        <v>2079674</v>
      </c>
      <c r="H2687" t="s">
        <v>15737</v>
      </c>
      <c r="J2687" s="54" t="s">
        <v>6052</v>
      </c>
      <c r="K2687" s="54">
        <v>0</v>
      </c>
      <c r="L2687" s="22" t="s">
        <v>104</v>
      </c>
      <c r="M2687" s="22" t="s">
        <v>37038</v>
      </c>
    </row>
    <row r="2688" spans="1:13" x14ac:dyDescent="0.75">
      <c r="A2688" t="s">
        <v>15283</v>
      </c>
      <c r="B2688" t="s">
        <v>7909</v>
      </c>
      <c r="C2688" t="s">
        <v>6251</v>
      </c>
      <c r="D2688" t="s">
        <v>6196</v>
      </c>
      <c r="E2688" t="s">
        <v>15284</v>
      </c>
      <c r="F2688">
        <v>1</v>
      </c>
      <c r="G2688">
        <v>1916320</v>
      </c>
      <c r="H2688" t="s">
        <v>15285</v>
      </c>
      <c r="J2688" s="54" t="s">
        <v>6052</v>
      </c>
      <c r="K2688" s="54">
        <v>0</v>
      </c>
      <c r="L2688" s="22" t="s">
        <v>104</v>
      </c>
      <c r="M2688" s="22" t="s">
        <v>37038</v>
      </c>
    </row>
    <row r="2689" spans="1:13" x14ac:dyDescent="0.75">
      <c r="A2689" t="s">
        <v>15330</v>
      </c>
      <c r="B2689" t="s">
        <v>7909</v>
      </c>
      <c r="C2689" t="s">
        <v>6251</v>
      </c>
      <c r="D2689" t="s">
        <v>6196</v>
      </c>
      <c r="E2689" t="s">
        <v>15331</v>
      </c>
      <c r="F2689">
        <v>1</v>
      </c>
      <c r="G2689">
        <v>1973061</v>
      </c>
      <c r="H2689" t="s">
        <v>15332</v>
      </c>
      <c r="J2689" s="54" t="s">
        <v>6052</v>
      </c>
      <c r="K2689" s="54">
        <v>0</v>
      </c>
      <c r="L2689" s="22" t="s">
        <v>104</v>
      </c>
      <c r="M2689" s="22" t="s">
        <v>37038</v>
      </c>
    </row>
    <row r="2690" spans="1:13" x14ac:dyDescent="0.75">
      <c r="A2690" t="s">
        <v>15744</v>
      </c>
      <c r="B2690" t="s">
        <v>7909</v>
      </c>
      <c r="C2690" t="s">
        <v>6251</v>
      </c>
      <c r="D2690" t="s">
        <v>6196</v>
      </c>
      <c r="E2690" t="s">
        <v>15745</v>
      </c>
      <c r="F2690">
        <v>40</v>
      </c>
      <c r="G2690">
        <v>2041693</v>
      </c>
      <c r="H2690" t="s">
        <v>15746</v>
      </c>
      <c r="J2690" s="54" t="s">
        <v>6052</v>
      </c>
      <c r="K2690" s="54">
        <v>0</v>
      </c>
      <c r="L2690" s="22" t="s">
        <v>104</v>
      </c>
      <c r="M2690" s="22" t="s">
        <v>37038</v>
      </c>
    </row>
    <row r="2691" spans="1:13" x14ac:dyDescent="0.75">
      <c r="A2691" t="s">
        <v>7908</v>
      </c>
      <c r="B2691" t="s">
        <v>7909</v>
      </c>
      <c r="C2691" t="s">
        <v>6251</v>
      </c>
      <c r="D2691" t="s">
        <v>6196</v>
      </c>
      <c r="E2691" t="s">
        <v>7910</v>
      </c>
      <c r="F2691">
        <v>38</v>
      </c>
      <c r="G2691">
        <v>1945624</v>
      </c>
      <c r="H2691" t="s">
        <v>7911</v>
      </c>
      <c r="J2691" s="54" t="s">
        <v>6052</v>
      </c>
      <c r="K2691" s="54">
        <v>0</v>
      </c>
      <c r="L2691" s="22" t="s">
        <v>104</v>
      </c>
      <c r="M2691" s="22" t="s">
        <v>37038</v>
      </c>
    </row>
    <row r="2692" spans="1:13" x14ac:dyDescent="0.75">
      <c r="A2692" t="s">
        <v>15714</v>
      </c>
      <c r="B2692" t="s">
        <v>7909</v>
      </c>
      <c r="C2692" t="s">
        <v>6251</v>
      </c>
      <c r="D2692" t="s">
        <v>6196</v>
      </c>
      <c r="E2692" t="s">
        <v>15715</v>
      </c>
      <c r="F2692">
        <v>22</v>
      </c>
      <c r="G2692">
        <v>1865692</v>
      </c>
      <c r="H2692" t="s">
        <v>15716</v>
      </c>
      <c r="J2692" s="54" t="s">
        <v>6052</v>
      </c>
      <c r="K2692" s="54">
        <v>0</v>
      </c>
      <c r="L2692" s="22" t="s">
        <v>104</v>
      </c>
      <c r="M2692" s="22" t="s">
        <v>37038</v>
      </c>
    </row>
    <row r="2693" spans="1:13" x14ac:dyDescent="0.75">
      <c r="A2693" t="s">
        <v>15636</v>
      </c>
      <c r="B2693" t="s">
        <v>7909</v>
      </c>
      <c r="C2693" t="s">
        <v>6251</v>
      </c>
      <c r="D2693" t="s">
        <v>6196</v>
      </c>
      <c r="E2693" t="s">
        <v>15637</v>
      </c>
      <c r="F2693">
        <v>10</v>
      </c>
      <c r="G2693">
        <v>1758988</v>
      </c>
      <c r="H2693" t="s">
        <v>15638</v>
      </c>
      <c r="J2693" s="54" t="s">
        <v>6052</v>
      </c>
      <c r="K2693" s="54">
        <v>0</v>
      </c>
      <c r="L2693" s="22" t="s">
        <v>104</v>
      </c>
      <c r="M2693" s="22" t="s">
        <v>37038</v>
      </c>
    </row>
    <row r="2694" spans="1:13" x14ac:dyDescent="0.75">
      <c r="A2694" t="s">
        <v>15738</v>
      </c>
      <c r="B2694" t="s">
        <v>7909</v>
      </c>
      <c r="C2694" t="s">
        <v>6251</v>
      </c>
      <c r="D2694" t="s">
        <v>6196</v>
      </c>
      <c r="E2694" t="s">
        <v>15739</v>
      </c>
      <c r="F2694">
        <v>16</v>
      </c>
      <c r="G2694">
        <v>1872515</v>
      </c>
      <c r="H2694" t="s">
        <v>15740</v>
      </c>
      <c r="J2694" s="54" t="s">
        <v>6052</v>
      </c>
      <c r="K2694" s="54">
        <v>0</v>
      </c>
      <c r="L2694" s="22" t="s">
        <v>104</v>
      </c>
      <c r="M2694" s="22" t="s">
        <v>37038</v>
      </c>
    </row>
    <row r="2695" spans="1:13" x14ac:dyDescent="0.75">
      <c r="A2695" t="s">
        <v>15750</v>
      </c>
      <c r="B2695" t="s">
        <v>7909</v>
      </c>
      <c r="C2695" t="s">
        <v>6251</v>
      </c>
      <c r="D2695" t="s">
        <v>6196</v>
      </c>
      <c r="E2695" t="s">
        <v>15751</v>
      </c>
      <c r="F2695">
        <v>20</v>
      </c>
      <c r="G2695">
        <v>1910682</v>
      </c>
      <c r="H2695" t="s">
        <v>15752</v>
      </c>
      <c r="J2695" s="54" t="s">
        <v>6052</v>
      </c>
      <c r="K2695" s="54">
        <v>0</v>
      </c>
      <c r="L2695" s="22" t="s">
        <v>104</v>
      </c>
      <c r="M2695" s="22" t="s">
        <v>37038</v>
      </c>
    </row>
    <row r="2696" spans="1:13" x14ac:dyDescent="0.75">
      <c r="A2696" t="s">
        <v>15726</v>
      </c>
      <c r="B2696" t="s">
        <v>7909</v>
      </c>
      <c r="C2696" t="s">
        <v>6251</v>
      </c>
      <c r="D2696" t="s">
        <v>6196</v>
      </c>
      <c r="E2696" t="s">
        <v>15727</v>
      </c>
      <c r="F2696">
        <v>42</v>
      </c>
      <c r="G2696">
        <v>2065162</v>
      </c>
      <c r="H2696" t="s">
        <v>15728</v>
      </c>
      <c r="J2696" s="54" t="s">
        <v>6052</v>
      </c>
      <c r="K2696" s="54">
        <v>0</v>
      </c>
      <c r="L2696" s="22" t="s">
        <v>104</v>
      </c>
      <c r="M2696" s="22" t="s">
        <v>37038</v>
      </c>
    </row>
    <row r="2697" spans="1:13" x14ac:dyDescent="0.75">
      <c r="A2697" t="s">
        <v>15753</v>
      </c>
      <c r="B2697" t="s">
        <v>7909</v>
      </c>
      <c r="C2697" t="s">
        <v>6251</v>
      </c>
      <c r="D2697" t="s">
        <v>6196</v>
      </c>
      <c r="E2697" t="s">
        <v>15754</v>
      </c>
      <c r="F2697">
        <v>14</v>
      </c>
      <c r="G2697">
        <v>1812369</v>
      </c>
      <c r="H2697" t="s">
        <v>15755</v>
      </c>
      <c r="J2697" s="54" t="s">
        <v>6052</v>
      </c>
      <c r="K2697" s="54">
        <v>0</v>
      </c>
      <c r="L2697" s="22" t="s">
        <v>104</v>
      </c>
      <c r="M2697" s="22" t="s">
        <v>37038</v>
      </c>
    </row>
    <row r="2698" spans="1:13" x14ac:dyDescent="0.75">
      <c r="A2698" t="s">
        <v>15681</v>
      </c>
      <c r="B2698" t="s">
        <v>7909</v>
      </c>
      <c r="C2698" t="s">
        <v>6251</v>
      </c>
      <c r="D2698" t="s">
        <v>6196</v>
      </c>
      <c r="E2698" t="s">
        <v>15682</v>
      </c>
      <c r="F2698">
        <v>43</v>
      </c>
      <c r="G2698">
        <v>1992670</v>
      </c>
      <c r="H2698" t="s">
        <v>15683</v>
      </c>
      <c r="J2698" s="54" t="s">
        <v>6052</v>
      </c>
      <c r="K2698" s="54">
        <v>0</v>
      </c>
      <c r="L2698" s="22" t="s">
        <v>104</v>
      </c>
      <c r="M2698" s="22" t="s">
        <v>37038</v>
      </c>
    </row>
    <row r="2699" spans="1:13" x14ac:dyDescent="0.75">
      <c r="A2699" t="s">
        <v>15630</v>
      </c>
      <c r="B2699" t="s">
        <v>7909</v>
      </c>
      <c r="C2699" t="s">
        <v>6251</v>
      </c>
      <c r="D2699" t="s">
        <v>6196</v>
      </c>
      <c r="E2699" t="s">
        <v>15631</v>
      </c>
      <c r="F2699">
        <v>19</v>
      </c>
      <c r="G2699">
        <v>1945566</v>
      </c>
      <c r="H2699" t="s">
        <v>15632</v>
      </c>
      <c r="J2699" s="54" t="s">
        <v>6052</v>
      </c>
      <c r="K2699" s="54">
        <v>0</v>
      </c>
      <c r="L2699" s="22" t="s">
        <v>104</v>
      </c>
      <c r="M2699" s="22" t="s">
        <v>37038</v>
      </c>
    </row>
    <row r="2700" spans="1:13" x14ac:dyDescent="0.75">
      <c r="A2700" t="s">
        <v>15708</v>
      </c>
      <c r="B2700" t="s">
        <v>7909</v>
      </c>
      <c r="C2700" t="s">
        <v>6251</v>
      </c>
      <c r="D2700" t="s">
        <v>6196</v>
      </c>
      <c r="E2700" t="s">
        <v>15709</v>
      </c>
      <c r="F2700">
        <v>23</v>
      </c>
      <c r="G2700">
        <v>1974928</v>
      </c>
      <c r="H2700" t="s">
        <v>15710</v>
      </c>
      <c r="J2700" s="54" t="s">
        <v>6052</v>
      </c>
      <c r="K2700" s="54">
        <v>0</v>
      </c>
      <c r="L2700" s="22" t="s">
        <v>104</v>
      </c>
      <c r="M2700" s="22" t="s">
        <v>37038</v>
      </c>
    </row>
    <row r="2701" spans="1:13" x14ac:dyDescent="0.75">
      <c r="A2701" t="s">
        <v>15720</v>
      </c>
      <c r="B2701" t="s">
        <v>7909</v>
      </c>
      <c r="C2701" t="s">
        <v>6251</v>
      </c>
      <c r="D2701" t="s">
        <v>6196</v>
      </c>
      <c r="E2701" t="s">
        <v>15721</v>
      </c>
      <c r="F2701">
        <v>46</v>
      </c>
      <c r="G2701">
        <v>2026824</v>
      </c>
      <c r="H2701" t="s">
        <v>15722</v>
      </c>
      <c r="J2701" s="54" t="s">
        <v>6052</v>
      </c>
      <c r="K2701" s="54">
        <v>0</v>
      </c>
      <c r="L2701" s="22" t="s">
        <v>104</v>
      </c>
      <c r="M2701" s="22" t="s">
        <v>37038</v>
      </c>
    </row>
    <row r="2702" spans="1:13" x14ac:dyDescent="0.75">
      <c r="A2702" t="s">
        <v>15310</v>
      </c>
      <c r="B2702" t="s">
        <v>7909</v>
      </c>
      <c r="C2702" t="s">
        <v>6251</v>
      </c>
      <c r="D2702" t="s">
        <v>6196</v>
      </c>
      <c r="E2702" t="s">
        <v>15311</v>
      </c>
      <c r="F2702">
        <v>1</v>
      </c>
      <c r="G2702">
        <v>1822569</v>
      </c>
      <c r="H2702" t="s">
        <v>15312</v>
      </c>
      <c r="J2702" s="54" t="s">
        <v>6052</v>
      </c>
      <c r="K2702" s="54">
        <v>0</v>
      </c>
      <c r="L2702" s="22" t="s">
        <v>104</v>
      </c>
      <c r="M2702" s="22" t="s">
        <v>37038</v>
      </c>
    </row>
    <row r="2703" spans="1:13" x14ac:dyDescent="0.75">
      <c r="A2703" t="s">
        <v>15756</v>
      </c>
      <c r="B2703" t="s">
        <v>7909</v>
      </c>
      <c r="C2703" t="s">
        <v>6251</v>
      </c>
      <c r="D2703" t="s">
        <v>6196</v>
      </c>
      <c r="E2703" t="s">
        <v>15757</v>
      </c>
      <c r="F2703">
        <v>15</v>
      </c>
      <c r="G2703">
        <v>1758067</v>
      </c>
      <c r="H2703" t="s">
        <v>15758</v>
      </c>
      <c r="J2703" s="54" t="s">
        <v>6052</v>
      </c>
      <c r="K2703" s="54">
        <v>0</v>
      </c>
      <c r="L2703" s="22" t="s">
        <v>104</v>
      </c>
      <c r="M2703" s="22" t="s">
        <v>37038</v>
      </c>
    </row>
    <row r="2704" spans="1:13" x14ac:dyDescent="0.75">
      <c r="A2704" t="s">
        <v>27759</v>
      </c>
      <c r="B2704" t="s">
        <v>7909</v>
      </c>
      <c r="C2704" t="s">
        <v>6251</v>
      </c>
      <c r="D2704" t="s">
        <v>6196</v>
      </c>
      <c r="E2704" t="s">
        <v>27760</v>
      </c>
      <c r="F2704">
        <v>1</v>
      </c>
      <c r="G2704">
        <v>1934644</v>
      </c>
      <c r="H2704" t="s">
        <v>27761</v>
      </c>
      <c r="J2704" s="54" t="s">
        <v>6052</v>
      </c>
      <c r="K2704" s="54">
        <v>0</v>
      </c>
      <c r="L2704" s="22" t="s">
        <v>104</v>
      </c>
      <c r="M2704" s="22" t="s">
        <v>37038</v>
      </c>
    </row>
    <row r="2705" spans="1:13" x14ac:dyDescent="0.75">
      <c r="A2705" t="s">
        <v>10769</v>
      </c>
      <c r="B2705" t="s">
        <v>6250</v>
      </c>
      <c r="C2705" t="s">
        <v>6251</v>
      </c>
      <c r="D2705" t="s">
        <v>6252</v>
      </c>
      <c r="E2705">
        <v>477</v>
      </c>
      <c r="F2705">
        <v>1</v>
      </c>
      <c r="G2705">
        <v>1846259</v>
      </c>
      <c r="H2705" t="s">
        <v>10770</v>
      </c>
      <c r="J2705" s="54" t="s">
        <v>6052</v>
      </c>
      <c r="K2705" s="54">
        <v>0</v>
      </c>
      <c r="L2705" s="22" t="s">
        <v>104</v>
      </c>
      <c r="M2705" s="22" t="s">
        <v>37036</v>
      </c>
    </row>
    <row r="2706" spans="1:13" x14ac:dyDescent="0.75">
      <c r="A2706" t="s">
        <v>10774</v>
      </c>
      <c r="B2706" t="s">
        <v>6250</v>
      </c>
      <c r="C2706" t="s">
        <v>6251</v>
      </c>
      <c r="D2706" t="s">
        <v>6252</v>
      </c>
      <c r="E2706">
        <v>723</v>
      </c>
      <c r="F2706">
        <v>1</v>
      </c>
      <c r="G2706">
        <v>1887620</v>
      </c>
      <c r="H2706" t="s">
        <v>10775</v>
      </c>
      <c r="J2706" s="54" t="s">
        <v>6052</v>
      </c>
      <c r="K2706" s="54">
        <v>0</v>
      </c>
      <c r="L2706" s="22" t="s">
        <v>104</v>
      </c>
      <c r="M2706" s="22" t="s">
        <v>37036</v>
      </c>
    </row>
    <row r="2707" spans="1:13" x14ac:dyDescent="0.75">
      <c r="A2707" t="s">
        <v>10837</v>
      </c>
      <c r="B2707" t="s">
        <v>6250</v>
      </c>
      <c r="C2707" t="s">
        <v>6251</v>
      </c>
      <c r="D2707" t="s">
        <v>6252</v>
      </c>
      <c r="E2707">
        <v>2019</v>
      </c>
      <c r="F2707">
        <v>1</v>
      </c>
      <c r="G2707">
        <v>1969659</v>
      </c>
      <c r="H2707" t="s">
        <v>10838</v>
      </c>
      <c r="J2707" s="54" t="s">
        <v>6052</v>
      </c>
      <c r="K2707" s="54">
        <v>0</v>
      </c>
      <c r="L2707" s="22" t="s">
        <v>104</v>
      </c>
      <c r="M2707" s="22" t="s">
        <v>37036</v>
      </c>
    </row>
    <row r="2708" spans="1:13" x14ac:dyDescent="0.75">
      <c r="A2708" t="s">
        <v>29423</v>
      </c>
      <c r="B2708" t="s">
        <v>6250</v>
      </c>
      <c r="C2708" t="s">
        <v>6251</v>
      </c>
      <c r="D2708" t="s">
        <v>6252</v>
      </c>
      <c r="E2708">
        <v>3655</v>
      </c>
      <c r="F2708">
        <v>1</v>
      </c>
      <c r="G2708">
        <v>1917048</v>
      </c>
      <c r="H2708" t="s">
        <v>29424</v>
      </c>
      <c r="J2708" s="54" t="s">
        <v>6052</v>
      </c>
      <c r="K2708" s="54">
        <v>0</v>
      </c>
      <c r="L2708" s="22" t="s">
        <v>104</v>
      </c>
      <c r="M2708" s="22" t="s">
        <v>37036</v>
      </c>
    </row>
    <row r="2709" spans="1:13" x14ac:dyDescent="0.75">
      <c r="A2709" t="s">
        <v>7690</v>
      </c>
      <c r="B2709" t="s">
        <v>6250</v>
      </c>
      <c r="C2709" t="s">
        <v>6251</v>
      </c>
      <c r="D2709" t="s">
        <v>6252</v>
      </c>
      <c r="E2709">
        <v>10810</v>
      </c>
      <c r="F2709">
        <v>1</v>
      </c>
      <c r="G2709">
        <v>1981535</v>
      </c>
      <c r="H2709" t="s">
        <v>7691</v>
      </c>
      <c r="J2709" s="54" t="s">
        <v>6052</v>
      </c>
      <c r="K2709" s="54">
        <v>0</v>
      </c>
      <c r="L2709" s="22" t="s">
        <v>104</v>
      </c>
      <c r="M2709" s="22" t="s">
        <v>37036</v>
      </c>
    </row>
    <row r="2710" spans="1:13" x14ac:dyDescent="0.75">
      <c r="A2710" t="s">
        <v>15075</v>
      </c>
      <c r="B2710" t="s">
        <v>6250</v>
      </c>
      <c r="C2710" t="s">
        <v>6251</v>
      </c>
      <c r="D2710" t="s">
        <v>6252</v>
      </c>
      <c r="E2710" t="s">
        <v>15076</v>
      </c>
      <c r="F2710">
        <v>1</v>
      </c>
      <c r="G2710">
        <v>2047595</v>
      </c>
      <c r="H2710" t="s">
        <v>15077</v>
      </c>
      <c r="J2710" s="54" t="s">
        <v>6052</v>
      </c>
      <c r="K2710" s="54">
        <v>0</v>
      </c>
      <c r="L2710" s="22" t="s">
        <v>104</v>
      </c>
      <c r="M2710" s="22" t="s">
        <v>37036</v>
      </c>
    </row>
    <row r="2711" spans="1:13" x14ac:dyDescent="0.75">
      <c r="A2711" t="s">
        <v>14689</v>
      </c>
      <c r="B2711" t="s">
        <v>6250</v>
      </c>
      <c r="C2711" t="s">
        <v>6251</v>
      </c>
      <c r="D2711" t="s">
        <v>6252</v>
      </c>
      <c r="E2711" t="s">
        <v>14690</v>
      </c>
      <c r="F2711">
        <v>1</v>
      </c>
      <c r="G2711">
        <v>1813865</v>
      </c>
      <c r="H2711" t="s">
        <v>14691</v>
      </c>
      <c r="J2711" s="54" t="s">
        <v>6052</v>
      </c>
      <c r="K2711" s="54">
        <v>0</v>
      </c>
      <c r="L2711" s="22" t="s">
        <v>104</v>
      </c>
      <c r="M2711" s="22" t="s">
        <v>37036</v>
      </c>
    </row>
    <row r="2712" spans="1:13" x14ac:dyDescent="0.75">
      <c r="A2712" t="s">
        <v>18731</v>
      </c>
      <c r="B2712" t="s">
        <v>6250</v>
      </c>
      <c r="C2712" t="s">
        <v>6251</v>
      </c>
      <c r="D2712" t="s">
        <v>6252</v>
      </c>
      <c r="E2712" t="s">
        <v>18732</v>
      </c>
      <c r="F2712">
        <v>1</v>
      </c>
      <c r="G2712">
        <v>1957393</v>
      </c>
      <c r="H2712" t="s">
        <v>18733</v>
      </c>
      <c r="J2712" s="54" t="s">
        <v>6052</v>
      </c>
      <c r="K2712" s="54">
        <v>0</v>
      </c>
      <c r="L2712" s="22" t="s">
        <v>104</v>
      </c>
      <c r="M2712" s="22" t="s">
        <v>37036</v>
      </c>
    </row>
    <row r="2713" spans="1:13" x14ac:dyDescent="0.75">
      <c r="A2713" t="s">
        <v>14665</v>
      </c>
      <c r="B2713" t="s">
        <v>6250</v>
      </c>
      <c r="C2713" t="s">
        <v>6251</v>
      </c>
      <c r="D2713" t="s">
        <v>6252</v>
      </c>
      <c r="E2713" t="s">
        <v>14666</v>
      </c>
      <c r="F2713">
        <v>1</v>
      </c>
      <c r="G2713">
        <v>1857175</v>
      </c>
      <c r="H2713" t="s">
        <v>14667</v>
      </c>
      <c r="J2713" s="54" t="s">
        <v>6052</v>
      </c>
      <c r="K2713" s="54">
        <v>0</v>
      </c>
      <c r="L2713" s="22" t="s">
        <v>104</v>
      </c>
      <c r="M2713" s="22" t="s">
        <v>37036</v>
      </c>
    </row>
    <row r="2714" spans="1:13" x14ac:dyDescent="0.75">
      <c r="A2714" t="s">
        <v>14668</v>
      </c>
      <c r="B2714" t="s">
        <v>6250</v>
      </c>
      <c r="C2714" t="s">
        <v>6251</v>
      </c>
      <c r="D2714" t="s">
        <v>6252</v>
      </c>
      <c r="E2714" t="s">
        <v>14669</v>
      </c>
      <c r="F2714">
        <v>1</v>
      </c>
      <c r="G2714">
        <v>1857048</v>
      </c>
      <c r="H2714" t="s">
        <v>14670</v>
      </c>
      <c r="J2714" s="54" t="s">
        <v>6052</v>
      </c>
      <c r="K2714" s="54">
        <v>0</v>
      </c>
      <c r="L2714" s="22" t="s">
        <v>104</v>
      </c>
      <c r="M2714" s="22" t="s">
        <v>37036</v>
      </c>
    </row>
    <row r="2715" spans="1:13" x14ac:dyDescent="0.75">
      <c r="A2715" t="s">
        <v>14671</v>
      </c>
      <c r="B2715" t="s">
        <v>6250</v>
      </c>
      <c r="C2715" t="s">
        <v>6251</v>
      </c>
      <c r="D2715" t="s">
        <v>6252</v>
      </c>
      <c r="E2715" t="s">
        <v>14672</v>
      </c>
      <c r="F2715">
        <v>1</v>
      </c>
      <c r="G2715">
        <v>1886450</v>
      </c>
      <c r="H2715" t="s">
        <v>14673</v>
      </c>
      <c r="J2715" s="54" t="s">
        <v>6052</v>
      </c>
      <c r="K2715" s="54">
        <v>0</v>
      </c>
      <c r="L2715" s="22" t="s">
        <v>104</v>
      </c>
      <c r="M2715" s="22" t="s">
        <v>37036</v>
      </c>
    </row>
    <row r="2716" spans="1:13" x14ac:dyDescent="0.75">
      <c r="A2716" t="s">
        <v>14674</v>
      </c>
      <c r="B2716" t="s">
        <v>6250</v>
      </c>
      <c r="C2716" t="s">
        <v>6251</v>
      </c>
      <c r="D2716" t="s">
        <v>6252</v>
      </c>
      <c r="E2716" t="s">
        <v>14675</v>
      </c>
      <c r="F2716">
        <v>1</v>
      </c>
      <c r="G2716">
        <v>1886411</v>
      </c>
      <c r="H2716" t="s">
        <v>14676</v>
      </c>
      <c r="J2716" s="54" t="s">
        <v>6052</v>
      </c>
      <c r="K2716" s="54">
        <v>0</v>
      </c>
      <c r="L2716" s="22" t="s">
        <v>104</v>
      </c>
      <c r="M2716" s="22" t="s">
        <v>37036</v>
      </c>
    </row>
    <row r="2717" spans="1:13" x14ac:dyDescent="0.75">
      <c r="A2717" t="s">
        <v>14677</v>
      </c>
      <c r="B2717" t="s">
        <v>6250</v>
      </c>
      <c r="C2717" t="s">
        <v>6251</v>
      </c>
      <c r="D2717" t="s">
        <v>6252</v>
      </c>
      <c r="E2717" t="s">
        <v>14678</v>
      </c>
      <c r="F2717">
        <v>1</v>
      </c>
      <c r="G2717">
        <v>1823096</v>
      </c>
      <c r="H2717" t="s">
        <v>14679</v>
      </c>
      <c r="J2717" s="54" t="s">
        <v>6052</v>
      </c>
      <c r="K2717" s="54">
        <v>0</v>
      </c>
      <c r="L2717" s="22" t="s">
        <v>104</v>
      </c>
      <c r="M2717" s="22" t="s">
        <v>37036</v>
      </c>
    </row>
    <row r="2718" spans="1:13" x14ac:dyDescent="0.75">
      <c r="A2718" t="s">
        <v>14680</v>
      </c>
      <c r="B2718" t="s">
        <v>6250</v>
      </c>
      <c r="C2718" t="s">
        <v>6251</v>
      </c>
      <c r="D2718" t="s">
        <v>6252</v>
      </c>
      <c r="E2718" t="s">
        <v>14681</v>
      </c>
      <c r="F2718">
        <v>1</v>
      </c>
      <c r="G2718">
        <v>1823172</v>
      </c>
      <c r="H2718" t="s">
        <v>14682</v>
      </c>
      <c r="J2718" s="54" t="s">
        <v>6052</v>
      </c>
      <c r="K2718" s="54">
        <v>0</v>
      </c>
      <c r="L2718" s="22" t="s">
        <v>104</v>
      </c>
      <c r="M2718" s="22" t="s">
        <v>37036</v>
      </c>
    </row>
    <row r="2719" spans="1:13" x14ac:dyDescent="0.75">
      <c r="A2719" t="s">
        <v>14683</v>
      </c>
      <c r="B2719" t="s">
        <v>6250</v>
      </c>
      <c r="C2719" t="s">
        <v>6251</v>
      </c>
      <c r="D2719" t="s">
        <v>6252</v>
      </c>
      <c r="E2719" t="s">
        <v>14684</v>
      </c>
      <c r="F2719">
        <v>1</v>
      </c>
      <c r="G2719">
        <v>1901558</v>
      </c>
      <c r="H2719" t="s">
        <v>14685</v>
      </c>
      <c r="J2719" s="54" t="s">
        <v>6052</v>
      </c>
      <c r="K2719" s="54">
        <v>0</v>
      </c>
      <c r="L2719" s="22" t="s">
        <v>104</v>
      </c>
      <c r="M2719" s="22" t="s">
        <v>37036</v>
      </c>
    </row>
    <row r="2720" spans="1:13" x14ac:dyDescent="0.75">
      <c r="A2720" t="s">
        <v>14686</v>
      </c>
      <c r="B2720" t="s">
        <v>6250</v>
      </c>
      <c r="C2720" t="s">
        <v>6251</v>
      </c>
      <c r="D2720" t="s">
        <v>6252</v>
      </c>
      <c r="E2720" t="s">
        <v>14687</v>
      </c>
      <c r="F2720">
        <v>1</v>
      </c>
      <c r="G2720">
        <v>1901533</v>
      </c>
      <c r="H2720" t="s">
        <v>14688</v>
      </c>
      <c r="J2720" s="54" t="s">
        <v>6052</v>
      </c>
      <c r="K2720" s="54">
        <v>0</v>
      </c>
      <c r="L2720" s="22" t="s">
        <v>104</v>
      </c>
      <c r="M2720" s="22" t="s">
        <v>37036</v>
      </c>
    </row>
    <row r="2721" spans="1:13" x14ac:dyDescent="0.75">
      <c r="A2721" t="s">
        <v>15078</v>
      </c>
      <c r="B2721" t="s">
        <v>6250</v>
      </c>
      <c r="C2721" t="s">
        <v>6251</v>
      </c>
      <c r="D2721" t="s">
        <v>6252</v>
      </c>
      <c r="E2721" t="s">
        <v>15079</v>
      </c>
      <c r="F2721">
        <v>1</v>
      </c>
      <c r="G2721">
        <v>2025527</v>
      </c>
      <c r="H2721" t="s">
        <v>15080</v>
      </c>
      <c r="J2721" s="54" t="s">
        <v>6052</v>
      </c>
      <c r="K2721" s="54">
        <v>0</v>
      </c>
      <c r="L2721" s="22" t="s">
        <v>104</v>
      </c>
      <c r="M2721" s="22" t="s">
        <v>37036</v>
      </c>
    </row>
    <row r="2722" spans="1:13" x14ac:dyDescent="0.75">
      <c r="A2722" t="s">
        <v>6249</v>
      </c>
      <c r="B2722" t="s">
        <v>6250</v>
      </c>
      <c r="C2722" t="s">
        <v>6251</v>
      </c>
      <c r="D2722" t="s">
        <v>6252</v>
      </c>
      <c r="E2722" t="s">
        <v>6253</v>
      </c>
      <c r="F2722">
        <v>1</v>
      </c>
      <c r="G2722">
        <v>1914490</v>
      </c>
      <c r="H2722" t="s">
        <v>6254</v>
      </c>
      <c r="J2722" s="54" t="s">
        <v>6052</v>
      </c>
      <c r="K2722" s="54">
        <v>0</v>
      </c>
      <c r="L2722" s="22" t="s">
        <v>104</v>
      </c>
      <c r="M2722" s="22" t="s">
        <v>37036</v>
      </c>
    </row>
    <row r="2723" spans="1:13" x14ac:dyDescent="0.75">
      <c r="A2723" t="s">
        <v>14698</v>
      </c>
      <c r="B2723" t="s">
        <v>6250</v>
      </c>
      <c r="C2723" t="s">
        <v>6251</v>
      </c>
      <c r="D2723" t="s">
        <v>6252</v>
      </c>
      <c r="E2723" t="s">
        <v>14699</v>
      </c>
      <c r="F2723">
        <v>1</v>
      </c>
      <c r="G2723">
        <v>1812134</v>
      </c>
      <c r="H2723" t="s">
        <v>14700</v>
      </c>
      <c r="J2723" s="54" t="s">
        <v>6052</v>
      </c>
      <c r="K2723" s="54">
        <v>0</v>
      </c>
      <c r="L2723" s="22" t="s">
        <v>104</v>
      </c>
      <c r="M2723" s="22" t="s">
        <v>37036</v>
      </c>
    </row>
    <row r="2724" spans="1:13" x14ac:dyDescent="0.75">
      <c r="A2724" t="s">
        <v>14695</v>
      </c>
      <c r="B2724" t="s">
        <v>6250</v>
      </c>
      <c r="C2724" t="s">
        <v>6251</v>
      </c>
      <c r="D2724" t="s">
        <v>6252</v>
      </c>
      <c r="E2724" t="s">
        <v>14696</v>
      </c>
      <c r="F2724">
        <v>1</v>
      </c>
      <c r="G2724">
        <v>1812418</v>
      </c>
      <c r="H2724" t="s">
        <v>14697</v>
      </c>
      <c r="J2724" s="54" t="s">
        <v>6052</v>
      </c>
      <c r="K2724" s="54">
        <v>0</v>
      </c>
      <c r="L2724" s="22" t="s">
        <v>104</v>
      </c>
      <c r="M2724" s="22" t="s">
        <v>37036</v>
      </c>
    </row>
    <row r="2725" spans="1:13" x14ac:dyDescent="0.75">
      <c r="A2725" t="s">
        <v>10771</v>
      </c>
      <c r="B2725" t="s">
        <v>6250</v>
      </c>
      <c r="C2725" t="s">
        <v>6251</v>
      </c>
      <c r="D2725" t="s">
        <v>6252</v>
      </c>
      <c r="E2725" t="s">
        <v>10772</v>
      </c>
      <c r="F2725">
        <v>1</v>
      </c>
      <c r="G2725">
        <v>1846503</v>
      </c>
      <c r="H2725" t="s">
        <v>10773</v>
      </c>
      <c r="J2725" s="54" t="s">
        <v>6052</v>
      </c>
      <c r="K2725" s="54">
        <v>0</v>
      </c>
      <c r="L2725" s="22" t="s">
        <v>104</v>
      </c>
      <c r="M2725" s="22" t="s">
        <v>37036</v>
      </c>
    </row>
    <row r="2726" spans="1:13" x14ac:dyDescent="0.75">
      <c r="A2726" t="s">
        <v>10406</v>
      </c>
      <c r="B2726" t="s">
        <v>6250</v>
      </c>
      <c r="C2726" t="s">
        <v>6251</v>
      </c>
      <c r="D2726" t="s">
        <v>6252</v>
      </c>
      <c r="E2726" t="s">
        <v>10407</v>
      </c>
      <c r="F2726">
        <v>1</v>
      </c>
      <c r="G2726">
        <v>1811802</v>
      </c>
      <c r="H2726" t="s">
        <v>10408</v>
      </c>
      <c r="J2726" s="54" t="s">
        <v>6052</v>
      </c>
      <c r="K2726" s="54">
        <v>0</v>
      </c>
      <c r="L2726" s="22" t="s">
        <v>104</v>
      </c>
      <c r="M2726" s="22" t="s">
        <v>37036</v>
      </c>
    </row>
    <row r="2727" spans="1:13" x14ac:dyDescent="0.75">
      <c r="A2727" t="s">
        <v>21406</v>
      </c>
      <c r="B2727" t="s">
        <v>6250</v>
      </c>
      <c r="C2727" t="s">
        <v>6251</v>
      </c>
      <c r="D2727" t="s">
        <v>6252</v>
      </c>
      <c r="E2727" t="s">
        <v>21407</v>
      </c>
      <c r="F2727">
        <v>1</v>
      </c>
      <c r="G2727">
        <v>1979718</v>
      </c>
      <c r="H2727" t="s">
        <v>21408</v>
      </c>
      <c r="J2727" s="54" t="s">
        <v>6052</v>
      </c>
      <c r="K2727" s="54">
        <v>0</v>
      </c>
      <c r="L2727" s="22" t="s">
        <v>104</v>
      </c>
      <c r="M2727" s="22" t="s">
        <v>37036</v>
      </c>
    </row>
    <row r="2728" spans="1:13" x14ac:dyDescent="0.75">
      <c r="A2728" t="s">
        <v>21409</v>
      </c>
      <c r="B2728" t="s">
        <v>6250</v>
      </c>
      <c r="C2728" t="s">
        <v>6251</v>
      </c>
      <c r="D2728" t="s">
        <v>6252</v>
      </c>
      <c r="E2728" t="s">
        <v>21410</v>
      </c>
      <c r="F2728">
        <v>1</v>
      </c>
      <c r="G2728">
        <v>1979786</v>
      </c>
      <c r="H2728" t="s">
        <v>21411</v>
      </c>
      <c r="J2728" s="54" t="s">
        <v>6052</v>
      </c>
      <c r="K2728" s="54">
        <v>0</v>
      </c>
      <c r="L2728" s="22" t="s">
        <v>104</v>
      </c>
      <c r="M2728" s="22" t="s">
        <v>37036</v>
      </c>
    </row>
    <row r="2729" spans="1:13" x14ac:dyDescent="0.75">
      <c r="A2729" t="s">
        <v>21412</v>
      </c>
      <c r="B2729" t="s">
        <v>6250</v>
      </c>
      <c r="C2729" t="s">
        <v>6251</v>
      </c>
      <c r="D2729" t="s">
        <v>6252</v>
      </c>
      <c r="E2729" t="s">
        <v>21413</v>
      </c>
      <c r="F2729">
        <v>1</v>
      </c>
      <c r="G2729">
        <v>1853393</v>
      </c>
      <c r="H2729" t="s">
        <v>21414</v>
      </c>
      <c r="J2729" s="54" t="s">
        <v>6052</v>
      </c>
      <c r="K2729" s="54">
        <v>0</v>
      </c>
      <c r="L2729" s="22" t="s">
        <v>104</v>
      </c>
      <c r="M2729" s="22" t="s">
        <v>37036</v>
      </c>
    </row>
    <row r="2730" spans="1:13" x14ac:dyDescent="0.75">
      <c r="A2730" t="s">
        <v>21415</v>
      </c>
      <c r="B2730" t="s">
        <v>6250</v>
      </c>
      <c r="C2730" t="s">
        <v>6251</v>
      </c>
      <c r="D2730" t="s">
        <v>6252</v>
      </c>
      <c r="E2730" t="s">
        <v>21416</v>
      </c>
      <c r="F2730">
        <v>1</v>
      </c>
      <c r="G2730">
        <v>1832515</v>
      </c>
      <c r="H2730" t="s">
        <v>21417</v>
      </c>
      <c r="J2730" s="54" t="s">
        <v>6052</v>
      </c>
      <c r="K2730" s="54">
        <v>0</v>
      </c>
      <c r="L2730" s="22" t="s">
        <v>104</v>
      </c>
      <c r="M2730" s="22" t="s">
        <v>37036</v>
      </c>
    </row>
    <row r="2731" spans="1:13" x14ac:dyDescent="0.75">
      <c r="A2731" t="s">
        <v>21418</v>
      </c>
      <c r="B2731" t="s">
        <v>6250</v>
      </c>
      <c r="C2731" t="s">
        <v>6251</v>
      </c>
      <c r="D2731" t="s">
        <v>6252</v>
      </c>
      <c r="E2731" t="s">
        <v>21419</v>
      </c>
      <c r="F2731">
        <v>1</v>
      </c>
      <c r="G2731">
        <v>1805925</v>
      </c>
      <c r="H2731" t="s">
        <v>21420</v>
      </c>
      <c r="J2731" s="54" t="s">
        <v>6052</v>
      </c>
      <c r="K2731" s="54">
        <v>0</v>
      </c>
      <c r="L2731" s="22" t="s">
        <v>104</v>
      </c>
      <c r="M2731" s="22" t="s">
        <v>37036</v>
      </c>
    </row>
    <row r="2732" spans="1:13" x14ac:dyDescent="0.75">
      <c r="A2732" t="s">
        <v>21421</v>
      </c>
      <c r="B2732" t="s">
        <v>6250</v>
      </c>
      <c r="C2732" t="s">
        <v>6251</v>
      </c>
      <c r="D2732" t="s">
        <v>6252</v>
      </c>
      <c r="E2732" t="s">
        <v>21422</v>
      </c>
      <c r="F2732">
        <v>1</v>
      </c>
      <c r="G2732">
        <v>1819364</v>
      </c>
      <c r="H2732" t="s">
        <v>21423</v>
      </c>
      <c r="J2732" s="54" t="s">
        <v>6052</v>
      </c>
      <c r="K2732" s="54">
        <v>0</v>
      </c>
      <c r="L2732" s="22" t="s">
        <v>104</v>
      </c>
      <c r="M2732" s="22" t="s">
        <v>37036</v>
      </c>
    </row>
    <row r="2733" spans="1:13" x14ac:dyDescent="0.75">
      <c r="A2733" t="s">
        <v>21424</v>
      </c>
      <c r="B2733" t="s">
        <v>6250</v>
      </c>
      <c r="C2733" t="s">
        <v>6251</v>
      </c>
      <c r="D2733" t="s">
        <v>6252</v>
      </c>
      <c r="E2733" t="s">
        <v>21425</v>
      </c>
      <c r="F2733">
        <v>1</v>
      </c>
      <c r="G2733">
        <v>1886480</v>
      </c>
      <c r="H2733" t="s">
        <v>21426</v>
      </c>
      <c r="J2733" s="54" t="s">
        <v>6052</v>
      </c>
      <c r="K2733" s="54">
        <v>0</v>
      </c>
      <c r="L2733" s="22" t="s">
        <v>104</v>
      </c>
      <c r="M2733" s="22" t="s">
        <v>37036</v>
      </c>
    </row>
    <row r="2734" spans="1:13" x14ac:dyDescent="0.75">
      <c r="A2734" t="s">
        <v>21427</v>
      </c>
      <c r="B2734" t="s">
        <v>6250</v>
      </c>
      <c r="C2734" t="s">
        <v>6251</v>
      </c>
      <c r="D2734" t="s">
        <v>6252</v>
      </c>
      <c r="E2734" t="s">
        <v>21428</v>
      </c>
      <c r="F2734">
        <v>1</v>
      </c>
      <c r="G2734">
        <v>1902536</v>
      </c>
      <c r="H2734" t="s">
        <v>21429</v>
      </c>
      <c r="J2734" s="54" t="s">
        <v>6052</v>
      </c>
      <c r="K2734" s="54">
        <v>0</v>
      </c>
      <c r="L2734" s="22" t="s">
        <v>104</v>
      </c>
      <c r="M2734" s="22" t="s">
        <v>37036</v>
      </c>
    </row>
    <row r="2735" spans="1:13" x14ac:dyDescent="0.75">
      <c r="A2735" t="s">
        <v>21430</v>
      </c>
      <c r="B2735" t="s">
        <v>6250</v>
      </c>
      <c r="C2735" t="s">
        <v>6251</v>
      </c>
      <c r="D2735" t="s">
        <v>6252</v>
      </c>
      <c r="E2735" t="s">
        <v>21431</v>
      </c>
      <c r="F2735">
        <v>1</v>
      </c>
      <c r="G2735">
        <v>1816076</v>
      </c>
      <c r="H2735" t="s">
        <v>21432</v>
      </c>
      <c r="J2735" s="54" t="s">
        <v>6052</v>
      </c>
      <c r="K2735" s="54">
        <v>0</v>
      </c>
      <c r="L2735" s="22" t="s">
        <v>104</v>
      </c>
      <c r="M2735" s="22" t="s">
        <v>37036</v>
      </c>
    </row>
    <row r="2736" spans="1:13" x14ac:dyDescent="0.75">
      <c r="A2736" t="s">
        <v>21433</v>
      </c>
      <c r="B2736" t="s">
        <v>6250</v>
      </c>
      <c r="C2736" t="s">
        <v>6251</v>
      </c>
      <c r="D2736" t="s">
        <v>6252</v>
      </c>
      <c r="E2736" t="s">
        <v>21434</v>
      </c>
      <c r="F2736">
        <v>1</v>
      </c>
      <c r="G2736">
        <v>1914722</v>
      </c>
      <c r="H2736" t="s">
        <v>21435</v>
      </c>
      <c r="J2736" s="54" t="s">
        <v>6052</v>
      </c>
      <c r="K2736" s="54">
        <v>0</v>
      </c>
      <c r="L2736" s="22" t="s">
        <v>104</v>
      </c>
      <c r="M2736" s="22" t="s">
        <v>37036</v>
      </c>
    </row>
    <row r="2737" spans="1:13" x14ac:dyDescent="0.75">
      <c r="A2737" t="s">
        <v>21436</v>
      </c>
      <c r="B2737" t="s">
        <v>6250</v>
      </c>
      <c r="C2737" t="s">
        <v>6251</v>
      </c>
      <c r="D2737" t="s">
        <v>6252</v>
      </c>
      <c r="E2737" t="s">
        <v>21437</v>
      </c>
      <c r="F2737">
        <v>1</v>
      </c>
      <c r="G2737">
        <v>1810977</v>
      </c>
      <c r="H2737" t="s">
        <v>21438</v>
      </c>
      <c r="J2737" s="54" t="s">
        <v>6052</v>
      </c>
      <c r="K2737" s="54">
        <v>0</v>
      </c>
      <c r="L2737" s="22" t="s">
        <v>104</v>
      </c>
      <c r="M2737" s="22" t="s">
        <v>37036</v>
      </c>
    </row>
    <row r="2738" spans="1:13" x14ac:dyDescent="0.75">
      <c r="A2738" t="s">
        <v>21439</v>
      </c>
      <c r="B2738" t="s">
        <v>6250</v>
      </c>
      <c r="C2738" t="s">
        <v>6251</v>
      </c>
      <c r="D2738" t="s">
        <v>6252</v>
      </c>
      <c r="E2738" t="s">
        <v>21440</v>
      </c>
      <c r="F2738">
        <v>1</v>
      </c>
      <c r="G2738">
        <v>1818266</v>
      </c>
      <c r="H2738" t="s">
        <v>21441</v>
      </c>
      <c r="J2738" s="54" t="s">
        <v>6052</v>
      </c>
      <c r="K2738" s="54">
        <v>0</v>
      </c>
      <c r="L2738" s="22" t="s">
        <v>104</v>
      </c>
      <c r="M2738" s="22" t="s">
        <v>37036</v>
      </c>
    </row>
    <row r="2739" spans="1:13" x14ac:dyDescent="0.75">
      <c r="A2739" t="s">
        <v>21442</v>
      </c>
      <c r="B2739" t="s">
        <v>6250</v>
      </c>
      <c r="C2739" t="s">
        <v>6251</v>
      </c>
      <c r="D2739" t="s">
        <v>6252</v>
      </c>
      <c r="E2739" t="s">
        <v>21443</v>
      </c>
      <c r="F2739">
        <v>1</v>
      </c>
      <c r="G2739">
        <v>1822115</v>
      </c>
      <c r="H2739" t="s">
        <v>21444</v>
      </c>
      <c r="J2739" s="54" t="s">
        <v>6052</v>
      </c>
      <c r="K2739" s="54">
        <v>0</v>
      </c>
      <c r="L2739" s="22" t="s">
        <v>104</v>
      </c>
      <c r="M2739" s="22" t="s">
        <v>37036</v>
      </c>
    </row>
    <row r="2740" spans="1:13" x14ac:dyDescent="0.75">
      <c r="A2740" t="s">
        <v>21445</v>
      </c>
      <c r="B2740" t="s">
        <v>6250</v>
      </c>
      <c r="C2740" t="s">
        <v>6251</v>
      </c>
      <c r="D2740" t="s">
        <v>6252</v>
      </c>
      <c r="E2740" t="s">
        <v>21446</v>
      </c>
      <c r="F2740">
        <v>1</v>
      </c>
      <c r="G2740">
        <v>1884503</v>
      </c>
      <c r="H2740" t="s">
        <v>21447</v>
      </c>
      <c r="J2740" s="54" t="s">
        <v>6052</v>
      </c>
      <c r="K2740" s="54">
        <v>0</v>
      </c>
      <c r="L2740" s="22" t="s">
        <v>104</v>
      </c>
      <c r="M2740" s="22" t="s">
        <v>37036</v>
      </c>
    </row>
    <row r="2741" spans="1:13" x14ac:dyDescent="0.75">
      <c r="A2741" t="s">
        <v>21448</v>
      </c>
      <c r="B2741" t="s">
        <v>6250</v>
      </c>
      <c r="C2741" t="s">
        <v>6251</v>
      </c>
      <c r="D2741" t="s">
        <v>6252</v>
      </c>
      <c r="E2741" t="s">
        <v>21449</v>
      </c>
      <c r="F2741">
        <v>1</v>
      </c>
      <c r="G2741">
        <v>1911890</v>
      </c>
      <c r="H2741" t="s">
        <v>21450</v>
      </c>
      <c r="J2741" s="54" t="s">
        <v>6052</v>
      </c>
      <c r="K2741" s="54">
        <v>0</v>
      </c>
      <c r="L2741" s="22" t="s">
        <v>104</v>
      </c>
      <c r="M2741" s="22" t="s">
        <v>37036</v>
      </c>
    </row>
    <row r="2742" spans="1:13" x14ac:dyDescent="0.75">
      <c r="A2742" t="s">
        <v>21451</v>
      </c>
      <c r="B2742" t="s">
        <v>6250</v>
      </c>
      <c r="C2742" t="s">
        <v>6251</v>
      </c>
      <c r="D2742" t="s">
        <v>6252</v>
      </c>
      <c r="E2742" t="s">
        <v>21452</v>
      </c>
      <c r="F2742">
        <v>1</v>
      </c>
      <c r="G2742">
        <v>1791343</v>
      </c>
      <c r="H2742" t="s">
        <v>21453</v>
      </c>
      <c r="J2742" s="54" t="s">
        <v>6052</v>
      </c>
      <c r="K2742" s="54">
        <v>0</v>
      </c>
      <c r="L2742" s="22" t="s">
        <v>104</v>
      </c>
      <c r="M2742" s="22" t="s">
        <v>37036</v>
      </c>
    </row>
    <row r="2743" spans="1:13" x14ac:dyDescent="0.75">
      <c r="A2743" t="s">
        <v>21454</v>
      </c>
      <c r="B2743" t="s">
        <v>6250</v>
      </c>
      <c r="C2743" t="s">
        <v>6251</v>
      </c>
      <c r="D2743" t="s">
        <v>6252</v>
      </c>
      <c r="E2743" t="s">
        <v>21455</v>
      </c>
      <c r="F2743">
        <v>1</v>
      </c>
      <c r="G2743">
        <v>1882642</v>
      </c>
      <c r="H2743" t="s">
        <v>21456</v>
      </c>
      <c r="J2743" s="54" t="s">
        <v>6052</v>
      </c>
      <c r="K2743" s="54">
        <v>0</v>
      </c>
      <c r="L2743" s="22" t="s">
        <v>104</v>
      </c>
      <c r="M2743" s="22" t="s">
        <v>37036</v>
      </c>
    </row>
    <row r="2744" spans="1:13" x14ac:dyDescent="0.75">
      <c r="A2744" t="s">
        <v>21457</v>
      </c>
      <c r="B2744" t="s">
        <v>6250</v>
      </c>
      <c r="C2744" t="s">
        <v>6251</v>
      </c>
      <c r="D2744" t="s">
        <v>6252</v>
      </c>
      <c r="E2744" t="s">
        <v>21458</v>
      </c>
      <c r="F2744">
        <v>1</v>
      </c>
      <c r="G2744">
        <v>1953394</v>
      </c>
      <c r="H2744" t="s">
        <v>21459</v>
      </c>
      <c r="J2744" s="54" t="s">
        <v>6052</v>
      </c>
      <c r="K2744" s="54">
        <v>0</v>
      </c>
      <c r="L2744" s="22" t="s">
        <v>104</v>
      </c>
      <c r="M2744" s="22" t="s">
        <v>37036</v>
      </c>
    </row>
    <row r="2745" spans="1:13" x14ac:dyDescent="0.75">
      <c r="A2745" t="s">
        <v>21460</v>
      </c>
      <c r="B2745" t="s">
        <v>6250</v>
      </c>
      <c r="C2745" t="s">
        <v>6251</v>
      </c>
      <c r="D2745" t="s">
        <v>6252</v>
      </c>
      <c r="E2745" t="s">
        <v>21461</v>
      </c>
      <c r="F2745">
        <v>1</v>
      </c>
      <c r="G2745">
        <v>1790924</v>
      </c>
      <c r="H2745" t="s">
        <v>21462</v>
      </c>
      <c r="J2745" s="54" t="s">
        <v>6052</v>
      </c>
      <c r="K2745" s="54">
        <v>0</v>
      </c>
      <c r="L2745" s="22" t="s">
        <v>104</v>
      </c>
      <c r="M2745" s="22" t="s">
        <v>37036</v>
      </c>
    </row>
    <row r="2746" spans="1:13" x14ac:dyDescent="0.75">
      <c r="A2746" t="s">
        <v>21463</v>
      </c>
      <c r="B2746" t="s">
        <v>6250</v>
      </c>
      <c r="C2746" t="s">
        <v>6251</v>
      </c>
      <c r="D2746" t="s">
        <v>6252</v>
      </c>
      <c r="E2746" t="s">
        <v>21464</v>
      </c>
      <c r="F2746">
        <v>1</v>
      </c>
      <c r="G2746">
        <v>1936686</v>
      </c>
      <c r="H2746" t="s">
        <v>21465</v>
      </c>
      <c r="J2746" s="54" t="s">
        <v>6052</v>
      </c>
      <c r="K2746" s="54">
        <v>0</v>
      </c>
      <c r="L2746" s="22" t="s">
        <v>104</v>
      </c>
      <c r="M2746" s="22" t="s">
        <v>37036</v>
      </c>
    </row>
    <row r="2747" spans="1:13" x14ac:dyDescent="0.75">
      <c r="A2747" t="s">
        <v>20106</v>
      </c>
      <c r="B2747" t="s">
        <v>6250</v>
      </c>
      <c r="C2747" t="s">
        <v>6251</v>
      </c>
      <c r="D2747" t="s">
        <v>6252</v>
      </c>
      <c r="E2747" t="s">
        <v>20107</v>
      </c>
      <c r="F2747">
        <v>2</v>
      </c>
      <c r="G2747">
        <v>1951615</v>
      </c>
      <c r="H2747" t="s">
        <v>20108</v>
      </c>
      <c r="J2747" s="54" t="s">
        <v>6052</v>
      </c>
      <c r="K2747" s="54">
        <v>0</v>
      </c>
      <c r="L2747" s="22" t="s">
        <v>104</v>
      </c>
      <c r="M2747" s="22" t="s">
        <v>37036</v>
      </c>
    </row>
    <row r="2748" spans="1:13" x14ac:dyDescent="0.75">
      <c r="A2748" t="s">
        <v>21656</v>
      </c>
      <c r="B2748" t="s">
        <v>6250</v>
      </c>
      <c r="C2748" t="s">
        <v>6251</v>
      </c>
      <c r="D2748" t="s">
        <v>6252</v>
      </c>
      <c r="E2748" t="s">
        <v>21657</v>
      </c>
      <c r="F2748">
        <v>1</v>
      </c>
      <c r="G2748">
        <v>1902597</v>
      </c>
      <c r="H2748" t="s">
        <v>21658</v>
      </c>
      <c r="J2748" s="54" t="s">
        <v>6052</v>
      </c>
      <c r="K2748" s="54">
        <v>0</v>
      </c>
      <c r="L2748" s="22" t="s">
        <v>104</v>
      </c>
      <c r="M2748" s="22" t="s">
        <v>37036</v>
      </c>
    </row>
    <row r="2749" spans="1:13" x14ac:dyDescent="0.75">
      <c r="A2749" t="s">
        <v>21866</v>
      </c>
      <c r="B2749" t="s">
        <v>6250</v>
      </c>
      <c r="C2749" t="s">
        <v>6251</v>
      </c>
      <c r="D2749" t="s">
        <v>6252</v>
      </c>
      <c r="E2749" t="s">
        <v>21867</v>
      </c>
      <c r="F2749">
        <v>1</v>
      </c>
      <c r="G2749">
        <v>1890662</v>
      </c>
      <c r="H2749" t="s">
        <v>21868</v>
      </c>
      <c r="J2749" s="54" t="s">
        <v>6052</v>
      </c>
      <c r="K2749" s="54">
        <v>0</v>
      </c>
      <c r="L2749" s="22" t="s">
        <v>104</v>
      </c>
      <c r="M2749" s="22" t="s">
        <v>37036</v>
      </c>
    </row>
    <row r="2750" spans="1:13" x14ac:dyDescent="0.75">
      <c r="A2750" t="s">
        <v>21863</v>
      </c>
      <c r="B2750" t="s">
        <v>6250</v>
      </c>
      <c r="C2750" t="s">
        <v>6251</v>
      </c>
      <c r="D2750" t="s">
        <v>6252</v>
      </c>
      <c r="E2750" t="s">
        <v>21864</v>
      </c>
      <c r="F2750">
        <v>1</v>
      </c>
      <c r="G2750">
        <v>1834285</v>
      </c>
      <c r="H2750" t="s">
        <v>21865</v>
      </c>
      <c r="J2750" s="54" t="s">
        <v>6052</v>
      </c>
      <c r="K2750" s="54">
        <v>0</v>
      </c>
      <c r="L2750" s="22" t="s">
        <v>104</v>
      </c>
      <c r="M2750" s="22" t="s">
        <v>37036</v>
      </c>
    </row>
    <row r="2751" spans="1:13" x14ac:dyDescent="0.75">
      <c r="A2751" t="s">
        <v>21855</v>
      </c>
      <c r="B2751" t="s">
        <v>6250</v>
      </c>
      <c r="C2751" t="s">
        <v>6251</v>
      </c>
      <c r="D2751" t="s">
        <v>6252</v>
      </c>
      <c r="E2751" t="s">
        <v>21856</v>
      </c>
      <c r="F2751">
        <v>2</v>
      </c>
      <c r="G2751">
        <v>1842606</v>
      </c>
      <c r="H2751" t="s">
        <v>21857</v>
      </c>
      <c r="J2751" s="54" t="s">
        <v>6052</v>
      </c>
      <c r="K2751" s="54">
        <v>0</v>
      </c>
      <c r="L2751" s="22" t="s">
        <v>104</v>
      </c>
      <c r="M2751" s="22" t="s">
        <v>37036</v>
      </c>
    </row>
    <row r="2752" spans="1:13" x14ac:dyDescent="0.75">
      <c r="A2752" t="s">
        <v>13410</v>
      </c>
      <c r="B2752" t="s">
        <v>6250</v>
      </c>
      <c r="C2752" t="s">
        <v>6251</v>
      </c>
      <c r="D2752" t="s">
        <v>6252</v>
      </c>
      <c r="E2752" t="s">
        <v>13411</v>
      </c>
      <c r="F2752">
        <v>1</v>
      </c>
      <c r="G2752">
        <v>1830681</v>
      </c>
      <c r="H2752" t="s">
        <v>13412</v>
      </c>
      <c r="J2752" s="54" t="s">
        <v>6052</v>
      </c>
      <c r="K2752" s="54">
        <v>0</v>
      </c>
      <c r="L2752" s="22" t="s">
        <v>104</v>
      </c>
      <c r="M2752" s="22" t="s">
        <v>37036</v>
      </c>
    </row>
    <row r="2753" spans="1:13" x14ac:dyDescent="0.75">
      <c r="A2753" t="s">
        <v>10644</v>
      </c>
      <c r="B2753" t="s">
        <v>6250</v>
      </c>
      <c r="C2753" t="s">
        <v>6251</v>
      </c>
      <c r="D2753" t="s">
        <v>6252</v>
      </c>
      <c r="E2753" t="s">
        <v>10645</v>
      </c>
      <c r="F2753">
        <v>1</v>
      </c>
      <c r="G2753">
        <v>1850897</v>
      </c>
      <c r="H2753" t="s">
        <v>10646</v>
      </c>
      <c r="J2753" s="54" t="s">
        <v>6052</v>
      </c>
      <c r="K2753" s="54">
        <v>0</v>
      </c>
      <c r="L2753" s="22" t="s">
        <v>104</v>
      </c>
      <c r="M2753" s="22" t="s">
        <v>37036</v>
      </c>
    </row>
    <row r="2754" spans="1:13" x14ac:dyDescent="0.75">
      <c r="A2754" t="s">
        <v>29420</v>
      </c>
      <c r="B2754" t="s">
        <v>6250</v>
      </c>
      <c r="C2754" t="s">
        <v>6251</v>
      </c>
      <c r="D2754" t="s">
        <v>6252</v>
      </c>
      <c r="E2754" t="s">
        <v>29421</v>
      </c>
      <c r="F2754">
        <v>1</v>
      </c>
      <c r="G2754">
        <v>1805497</v>
      </c>
      <c r="H2754" t="s">
        <v>29422</v>
      </c>
      <c r="J2754" s="54" t="s">
        <v>6052</v>
      </c>
      <c r="K2754" s="54">
        <v>0</v>
      </c>
      <c r="L2754" s="22" t="s">
        <v>104</v>
      </c>
      <c r="M2754" s="22" t="s">
        <v>37036</v>
      </c>
    </row>
    <row r="2755" spans="1:13" x14ac:dyDescent="0.75">
      <c r="A2755" t="s">
        <v>9707</v>
      </c>
      <c r="B2755" t="s">
        <v>6250</v>
      </c>
      <c r="C2755" t="s">
        <v>6251</v>
      </c>
      <c r="D2755" t="s">
        <v>6252</v>
      </c>
      <c r="E2755" t="s">
        <v>9708</v>
      </c>
      <c r="F2755">
        <v>1</v>
      </c>
      <c r="G2755">
        <v>1856176</v>
      </c>
      <c r="H2755" t="s">
        <v>9709</v>
      </c>
      <c r="J2755" s="54" t="s">
        <v>6052</v>
      </c>
      <c r="K2755" s="54">
        <v>0</v>
      </c>
      <c r="L2755" s="22" t="s">
        <v>104</v>
      </c>
      <c r="M2755" s="22" t="s">
        <v>37036</v>
      </c>
    </row>
    <row r="2756" spans="1:13" x14ac:dyDescent="0.75">
      <c r="A2756" t="s">
        <v>15307</v>
      </c>
      <c r="B2756" t="s">
        <v>6250</v>
      </c>
      <c r="C2756" t="s">
        <v>6251</v>
      </c>
      <c r="D2756" t="s">
        <v>6252</v>
      </c>
      <c r="E2756" t="s">
        <v>15308</v>
      </c>
      <c r="F2756">
        <v>1</v>
      </c>
      <c r="G2756">
        <v>1804746</v>
      </c>
      <c r="H2756" t="s">
        <v>15309</v>
      </c>
      <c r="J2756" s="54" t="s">
        <v>6052</v>
      </c>
      <c r="K2756" s="54">
        <v>0</v>
      </c>
      <c r="L2756" s="22" t="s">
        <v>104</v>
      </c>
      <c r="M2756" s="22" t="s">
        <v>37036</v>
      </c>
    </row>
    <row r="2757" spans="1:13" x14ac:dyDescent="0.75">
      <c r="A2757" t="s">
        <v>15327</v>
      </c>
      <c r="B2757" t="s">
        <v>6250</v>
      </c>
      <c r="C2757" t="s">
        <v>6251</v>
      </c>
      <c r="D2757" t="s">
        <v>6252</v>
      </c>
      <c r="E2757" t="s">
        <v>15328</v>
      </c>
      <c r="F2757">
        <v>1</v>
      </c>
      <c r="G2757">
        <v>1887933</v>
      </c>
      <c r="H2757" t="s">
        <v>15329</v>
      </c>
      <c r="J2757" s="54" t="s">
        <v>6052</v>
      </c>
      <c r="K2757" s="54">
        <v>0</v>
      </c>
      <c r="L2757" s="22" t="s">
        <v>104</v>
      </c>
      <c r="M2757" s="22" t="s">
        <v>37036</v>
      </c>
    </row>
    <row r="2758" spans="1:13" x14ac:dyDescent="0.75">
      <c r="A2758" t="s">
        <v>15333</v>
      </c>
      <c r="B2758" t="s">
        <v>6250</v>
      </c>
      <c r="C2758" t="s">
        <v>6251</v>
      </c>
      <c r="D2758" t="s">
        <v>6252</v>
      </c>
      <c r="E2758" t="s">
        <v>15334</v>
      </c>
      <c r="F2758">
        <v>1</v>
      </c>
      <c r="G2758">
        <v>1919901</v>
      </c>
      <c r="H2758" t="s">
        <v>15335</v>
      </c>
      <c r="J2758" s="54" t="s">
        <v>6052</v>
      </c>
      <c r="K2758" s="54">
        <v>0</v>
      </c>
      <c r="L2758" s="22" t="s">
        <v>104</v>
      </c>
      <c r="M2758" s="22" t="s">
        <v>37036</v>
      </c>
    </row>
    <row r="2759" spans="1:13" x14ac:dyDescent="0.75">
      <c r="A2759" t="s">
        <v>15292</v>
      </c>
      <c r="B2759" t="s">
        <v>6250</v>
      </c>
      <c r="C2759" t="s">
        <v>6251</v>
      </c>
      <c r="D2759" t="s">
        <v>6252</v>
      </c>
      <c r="E2759" t="s">
        <v>15293</v>
      </c>
      <c r="F2759">
        <v>1</v>
      </c>
      <c r="G2759">
        <v>1816295</v>
      </c>
      <c r="H2759" t="s">
        <v>15294</v>
      </c>
      <c r="J2759" s="54" t="s">
        <v>6052</v>
      </c>
      <c r="K2759" s="54">
        <v>0</v>
      </c>
      <c r="L2759" s="22" t="s">
        <v>104</v>
      </c>
      <c r="M2759" s="22" t="s">
        <v>37036</v>
      </c>
    </row>
    <row r="2760" spans="1:13" x14ac:dyDescent="0.75">
      <c r="A2760" t="s">
        <v>19110</v>
      </c>
      <c r="B2760" t="s">
        <v>6250</v>
      </c>
      <c r="C2760" t="s">
        <v>6251</v>
      </c>
      <c r="D2760" t="s">
        <v>6252</v>
      </c>
      <c r="E2760" t="s">
        <v>19111</v>
      </c>
      <c r="F2760">
        <v>1</v>
      </c>
      <c r="G2760">
        <v>1894676</v>
      </c>
      <c r="H2760" t="s">
        <v>19112</v>
      </c>
      <c r="J2760" s="54" t="s">
        <v>6052</v>
      </c>
      <c r="K2760" s="54">
        <v>0</v>
      </c>
      <c r="L2760" s="22" t="s">
        <v>104</v>
      </c>
      <c r="M2760" s="22" t="s">
        <v>37036</v>
      </c>
    </row>
    <row r="2761" spans="1:13" x14ac:dyDescent="0.75">
      <c r="A2761" t="s">
        <v>15286</v>
      </c>
      <c r="B2761" t="s">
        <v>6250</v>
      </c>
      <c r="C2761" t="s">
        <v>6251</v>
      </c>
      <c r="D2761" t="s">
        <v>6252</v>
      </c>
      <c r="E2761" t="s">
        <v>15287</v>
      </c>
      <c r="F2761">
        <v>1</v>
      </c>
      <c r="G2761">
        <v>1817261</v>
      </c>
      <c r="H2761" t="s">
        <v>15288</v>
      </c>
      <c r="J2761" s="54" t="s">
        <v>6052</v>
      </c>
      <c r="K2761" s="54">
        <v>0</v>
      </c>
      <c r="L2761" s="22" t="s">
        <v>104</v>
      </c>
      <c r="M2761" s="22" t="s">
        <v>37036</v>
      </c>
    </row>
    <row r="2762" spans="1:13" x14ac:dyDescent="0.75">
      <c r="A2762" t="s">
        <v>15289</v>
      </c>
      <c r="B2762" t="s">
        <v>6250</v>
      </c>
      <c r="C2762" t="s">
        <v>6251</v>
      </c>
      <c r="D2762" t="s">
        <v>6252</v>
      </c>
      <c r="E2762" t="s">
        <v>15290</v>
      </c>
      <c r="F2762">
        <v>1</v>
      </c>
      <c r="G2762">
        <v>1860196</v>
      </c>
      <c r="H2762" t="s">
        <v>15291</v>
      </c>
      <c r="J2762" s="54" t="s">
        <v>6052</v>
      </c>
      <c r="K2762" s="54">
        <v>0</v>
      </c>
      <c r="L2762" s="22" t="s">
        <v>104</v>
      </c>
      <c r="M2762" s="22" t="s">
        <v>37036</v>
      </c>
    </row>
    <row r="2763" spans="1:13" x14ac:dyDescent="0.75">
      <c r="A2763" t="s">
        <v>28247</v>
      </c>
      <c r="B2763" t="s">
        <v>6759</v>
      </c>
      <c r="C2763" t="s">
        <v>6107</v>
      </c>
      <c r="D2763" t="s">
        <v>6760</v>
      </c>
      <c r="E2763" t="s">
        <v>28248</v>
      </c>
      <c r="F2763">
        <v>99</v>
      </c>
      <c r="G2763">
        <v>1930430</v>
      </c>
      <c r="H2763" t="s">
        <v>28249</v>
      </c>
      <c r="J2763" s="54" t="s">
        <v>6052</v>
      </c>
      <c r="K2763" s="54">
        <v>0</v>
      </c>
      <c r="L2763" s="22" t="s">
        <v>1563</v>
      </c>
      <c r="M2763" s="22" t="s">
        <v>37016</v>
      </c>
    </row>
    <row r="2764" spans="1:13" x14ac:dyDescent="0.75">
      <c r="A2764" t="s">
        <v>15324</v>
      </c>
      <c r="B2764" t="s">
        <v>6250</v>
      </c>
      <c r="C2764" t="s">
        <v>6251</v>
      </c>
      <c r="D2764" t="s">
        <v>6252</v>
      </c>
      <c r="E2764" t="s">
        <v>15325</v>
      </c>
      <c r="F2764">
        <v>1</v>
      </c>
      <c r="G2764">
        <v>1914782</v>
      </c>
      <c r="H2764" t="s">
        <v>15326</v>
      </c>
      <c r="J2764" s="54" t="s">
        <v>6052</v>
      </c>
      <c r="K2764" s="54">
        <v>0</v>
      </c>
      <c r="L2764" s="22" t="s">
        <v>104</v>
      </c>
      <c r="M2764" s="22" t="s">
        <v>37036</v>
      </c>
    </row>
    <row r="2765" spans="1:13" x14ac:dyDescent="0.75">
      <c r="A2765" t="s">
        <v>15304</v>
      </c>
      <c r="B2765" t="s">
        <v>6250</v>
      </c>
      <c r="C2765" t="s">
        <v>6251</v>
      </c>
      <c r="D2765" t="s">
        <v>6252</v>
      </c>
      <c r="E2765" t="s">
        <v>15305</v>
      </c>
      <c r="F2765">
        <v>1</v>
      </c>
      <c r="G2765">
        <v>1848871</v>
      </c>
      <c r="H2765" t="s">
        <v>15306</v>
      </c>
      <c r="J2765" s="54" t="s">
        <v>6052</v>
      </c>
      <c r="K2765" s="54">
        <v>0</v>
      </c>
      <c r="L2765" s="22" t="s">
        <v>104</v>
      </c>
      <c r="M2765" s="22" t="s">
        <v>37036</v>
      </c>
    </row>
    <row r="2766" spans="1:13" x14ac:dyDescent="0.75">
      <c r="A2766" t="s">
        <v>27915</v>
      </c>
      <c r="B2766" t="s">
        <v>6250</v>
      </c>
      <c r="C2766" t="s">
        <v>6251</v>
      </c>
      <c r="D2766" t="s">
        <v>6252</v>
      </c>
      <c r="E2766" t="s">
        <v>27916</v>
      </c>
      <c r="F2766">
        <v>1</v>
      </c>
      <c r="G2766">
        <v>1860106</v>
      </c>
      <c r="H2766" t="s">
        <v>27917</v>
      </c>
      <c r="J2766" s="54" t="s">
        <v>6052</v>
      </c>
      <c r="K2766" s="54">
        <v>0</v>
      </c>
      <c r="L2766" s="22" t="s">
        <v>104</v>
      </c>
      <c r="M2766" s="22" t="s">
        <v>37036</v>
      </c>
    </row>
    <row r="2767" spans="1:13" x14ac:dyDescent="0.75">
      <c r="A2767" t="s">
        <v>27717</v>
      </c>
      <c r="B2767" t="s">
        <v>6250</v>
      </c>
      <c r="C2767" t="s">
        <v>6251</v>
      </c>
      <c r="D2767" t="s">
        <v>6252</v>
      </c>
      <c r="E2767" t="s">
        <v>27718</v>
      </c>
      <c r="F2767">
        <v>1</v>
      </c>
      <c r="G2767">
        <v>1834484</v>
      </c>
      <c r="H2767" t="s">
        <v>27719</v>
      </c>
      <c r="J2767" s="54" t="s">
        <v>6052</v>
      </c>
      <c r="K2767" s="54">
        <v>0</v>
      </c>
      <c r="L2767" s="22" t="s">
        <v>104</v>
      </c>
      <c r="M2767" s="22" t="s">
        <v>37036</v>
      </c>
    </row>
    <row r="2768" spans="1:13" x14ac:dyDescent="0.75">
      <c r="A2768" t="s">
        <v>28019</v>
      </c>
      <c r="B2768" t="s">
        <v>6250</v>
      </c>
      <c r="C2768" t="s">
        <v>6251</v>
      </c>
      <c r="D2768" t="s">
        <v>6252</v>
      </c>
      <c r="E2768" t="s">
        <v>28020</v>
      </c>
      <c r="F2768">
        <v>1</v>
      </c>
      <c r="G2768">
        <v>1948880</v>
      </c>
      <c r="H2768" t="s">
        <v>28021</v>
      </c>
      <c r="J2768" s="54" t="s">
        <v>6052</v>
      </c>
      <c r="K2768" s="54">
        <v>0</v>
      </c>
      <c r="L2768" s="22" t="s">
        <v>104</v>
      </c>
      <c r="M2768" s="22" t="s">
        <v>37036</v>
      </c>
    </row>
    <row r="2769" spans="1:13" x14ac:dyDescent="0.75">
      <c r="A2769" t="s">
        <v>27708</v>
      </c>
      <c r="B2769" t="s">
        <v>6250</v>
      </c>
      <c r="C2769" t="s">
        <v>6251</v>
      </c>
      <c r="D2769" t="s">
        <v>6252</v>
      </c>
      <c r="E2769" t="s">
        <v>27709</v>
      </c>
      <c r="F2769">
        <v>1</v>
      </c>
      <c r="G2769">
        <v>2044007</v>
      </c>
      <c r="H2769" t="s">
        <v>27710</v>
      </c>
      <c r="J2769" s="54" t="s">
        <v>6052</v>
      </c>
      <c r="K2769" s="54">
        <v>0</v>
      </c>
      <c r="L2769" s="22" t="s">
        <v>104</v>
      </c>
      <c r="M2769" s="22" t="s">
        <v>37036</v>
      </c>
    </row>
    <row r="2770" spans="1:13" x14ac:dyDescent="0.75">
      <c r="A2770" t="s">
        <v>27783</v>
      </c>
      <c r="B2770" t="s">
        <v>6250</v>
      </c>
      <c r="C2770" t="s">
        <v>6251</v>
      </c>
      <c r="D2770" t="s">
        <v>6252</v>
      </c>
      <c r="E2770" t="s">
        <v>27784</v>
      </c>
      <c r="F2770">
        <v>1</v>
      </c>
      <c r="G2770">
        <v>1915356</v>
      </c>
      <c r="H2770" t="s">
        <v>27785</v>
      </c>
      <c r="J2770" s="54" t="s">
        <v>6052</v>
      </c>
      <c r="K2770" s="54">
        <v>0</v>
      </c>
      <c r="L2770" s="22" t="s">
        <v>104</v>
      </c>
      <c r="M2770" s="22" t="s">
        <v>37036</v>
      </c>
    </row>
    <row r="2771" spans="1:13" x14ac:dyDescent="0.75">
      <c r="A2771" t="s">
        <v>27918</v>
      </c>
      <c r="B2771" t="s">
        <v>6250</v>
      </c>
      <c r="C2771" t="s">
        <v>6251</v>
      </c>
      <c r="D2771" t="s">
        <v>6252</v>
      </c>
      <c r="E2771" t="s">
        <v>27919</v>
      </c>
      <c r="F2771">
        <v>1</v>
      </c>
      <c r="G2771">
        <v>1879945</v>
      </c>
      <c r="H2771" t="s">
        <v>27920</v>
      </c>
      <c r="J2771" s="54" t="s">
        <v>6052</v>
      </c>
      <c r="K2771" s="54">
        <v>0</v>
      </c>
      <c r="L2771" s="22" t="s">
        <v>104</v>
      </c>
      <c r="M2771" s="22" t="s">
        <v>37036</v>
      </c>
    </row>
    <row r="2772" spans="1:13" x14ac:dyDescent="0.75">
      <c r="A2772" t="s">
        <v>27738</v>
      </c>
      <c r="B2772" t="s">
        <v>6250</v>
      </c>
      <c r="C2772" t="s">
        <v>6251</v>
      </c>
      <c r="D2772" t="s">
        <v>6252</v>
      </c>
      <c r="E2772" t="s">
        <v>27739</v>
      </c>
      <c r="F2772">
        <v>1</v>
      </c>
      <c r="G2772">
        <v>1850791</v>
      </c>
      <c r="H2772" t="s">
        <v>27740</v>
      </c>
      <c r="J2772" s="54" t="s">
        <v>6052</v>
      </c>
      <c r="K2772" s="54">
        <v>0</v>
      </c>
      <c r="L2772" s="22" t="s">
        <v>104</v>
      </c>
      <c r="M2772" s="22" t="s">
        <v>37036</v>
      </c>
    </row>
    <row r="2773" spans="1:13" x14ac:dyDescent="0.75">
      <c r="A2773" t="s">
        <v>27777</v>
      </c>
      <c r="B2773" t="s">
        <v>6250</v>
      </c>
      <c r="C2773" t="s">
        <v>6251</v>
      </c>
      <c r="D2773" t="s">
        <v>6252</v>
      </c>
      <c r="E2773" t="s">
        <v>27778</v>
      </c>
      <c r="F2773">
        <v>1</v>
      </c>
      <c r="G2773">
        <v>1890469</v>
      </c>
      <c r="H2773" t="s">
        <v>27779</v>
      </c>
      <c r="J2773" s="54" t="s">
        <v>6052</v>
      </c>
      <c r="K2773" s="54">
        <v>0</v>
      </c>
      <c r="L2773" s="22" t="s">
        <v>104</v>
      </c>
      <c r="M2773" s="22" t="s">
        <v>37036</v>
      </c>
    </row>
    <row r="2774" spans="1:13" x14ac:dyDescent="0.75">
      <c r="A2774" t="s">
        <v>11729</v>
      </c>
      <c r="B2774" t="s">
        <v>6250</v>
      </c>
      <c r="C2774" t="s">
        <v>6251</v>
      </c>
      <c r="D2774" t="s">
        <v>6252</v>
      </c>
      <c r="E2774" t="s">
        <v>11730</v>
      </c>
      <c r="F2774">
        <v>1</v>
      </c>
      <c r="G2774">
        <v>1890645</v>
      </c>
      <c r="H2774" t="s">
        <v>11731</v>
      </c>
      <c r="J2774" s="54" t="s">
        <v>6052</v>
      </c>
      <c r="K2774" s="54">
        <v>0</v>
      </c>
      <c r="L2774" s="22" t="s">
        <v>104</v>
      </c>
      <c r="M2774" s="22" t="s">
        <v>37036</v>
      </c>
    </row>
    <row r="2775" spans="1:13" x14ac:dyDescent="0.75">
      <c r="A2775" t="s">
        <v>27789</v>
      </c>
      <c r="B2775" t="s">
        <v>6250</v>
      </c>
      <c r="C2775" t="s">
        <v>6251</v>
      </c>
      <c r="D2775" t="s">
        <v>6252</v>
      </c>
      <c r="E2775" t="s">
        <v>27790</v>
      </c>
      <c r="F2775">
        <v>1</v>
      </c>
      <c r="G2775">
        <v>1865137</v>
      </c>
      <c r="H2775" t="s">
        <v>27791</v>
      </c>
      <c r="J2775" s="54" t="s">
        <v>6052</v>
      </c>
      <c r="K2775" s="54">
        <v>0</v>
      </c>
      <c r="L2775" s="22" t="s">
        <v>104</v>
      </c>
      <c r="M2775" s="22" t="s">
        <v>37036</v>
      </c>
    </row>
    <row r="2776" spans="1:13" x14ac:dyDescent="0.75">
      <c r="A2776" t="s">
        <v>28091</v>
      </c>
      <c r="B2776" t="s">
        <v>6250</v>
      </c>
      <c r="C2776" t="s">
        <v>6251</v>
      </c>
      <c r="D2776" t="s">
        <v>6252</v>
      </c>
      <c r="E2776" t="s">
        <v>28092</v>
      </c>
      <c r="F2776">
        <v>1</v>
      </c>
      <c r="G2776">
        <v>1876886</v>
      </c>
      <c r="H2776" t="s">
        <v>28093</v>
      </c>
      <c r="J2776" s="54" t="s">
        <v>6052</v>
      </c>
      <c r="K2776" s="54">
        <v>0</v>
      </c>
      <c r="L2776" s="22" t="s">
        <v>104</v>
      </c>
      <c r="M2776" s="22" t="s">
        <v>37036</v>
      </c>
    </row>
    <row r="2777" spans="1:13" x14ac:dyDescent="0.75">
      <c r="A2777" t="s">
        <v>13115</v>
      </c>
      <c r="B2777" t="s">
        <v>6250</v>
      </c>
      <c r="C2777" t="s">
        <v>6251</v>
      </c>
      <c r="D2777" t="s">
        <v>6252</v>
      </c>
      <c r="E2777" t="s">
        <v>13116</v>
      </c>
      <c r="F2777">
        <v>1</v>
      </c>
      <c r="G2777">
        <v>1829217</v>
      </c>
      <c r="H2777" t="s">
        <v>13117</v>
      </c>
      <c r="J2777" s="54" t="s">
        <v>6052</v>
      </c>
      <c r="K2777" s="54">
        <v>0</v>
      </c>
      <c r="L2777" s="22" t="s">
        <v>104</v>
      </c>
      <c r="M2777" s="22" t="s">
        <v>37036</v>
      </c>
    </row>
    <row r="2778" spans="1:13" x14ac:dyDescent="0.75">
      <c r="A2778" t="s">
        <v>25052</v>
      </c>
      <c r="B2778" t="s">
        <v>6250</v>
      </c>
      <c r="C2778" t="s">
        <v>6251</v>
      </c>
      <c r="D2778" t="s">
        <v>6252</v>
      </c>
      <c r="E2778" t="s">
        <v>25053</v>
      </c>
      <c r="F2778">
        <v>1</v>
      </c>
      <c r="G2778">
        <v>1991786</v>
      </c>
      <c r="H2778" t="s">
        <v>25054</v>
      </c>
      <c r="J2778" s="54" t="s">
        <v>6052</v>
      </c>
      <c r="K2778" s="54">
        <v>0</v>
      </c>
      <c r="L2778" s="22" t="s">
        <v>104</v>
      </c>
      <c r="M2778" s="22" t="s">
        <v>37036</v>
      </c>
    </row>
    <row r="2779" spans="1:13" x14ac:dyDescent="0.75">
      <c r="A2779" t="s">
        <v>25058</v>
      </c>
      <c r="B2779" t="s">
        <v>6250</v>
      </c>
      <c r="C2779" t="s">
        <v>6251</v>
      </c>
      <c r="D2779" t="s">
        <v>6252</v>
      </c>
      <c r="E2779" t="s">
        <v>25059</v>
      </c>
      <c r="F2779">
        <v>1</v>
      </c>
      <c r="G2779">
        <v>1991359</v>
      </c>
      <c r="H2779" t="s">
        <v>25060</v>
      </c>
      <c r="J2779" s="54" t="s">
        <v>6052</v>
      </c>
      <c r="K2779" s="54">
        <v>0</v>
      </c>
      <c r="L2779" s="22" t="s">
        <v>104</v>
      </c>
      <c r="M2779" s="22" t="s">
        <v>37036</v>
      </c>
    </row>
    <row r="2780" spans="1:13" x14ac:dyDescent="0.75">
      <c r="A2780" t="s">
        <v>25055</v>
      </c>
      <c r="B2780" t="s">
        <v>6250</v>
      </c>
      <c r="C2780" t="s">
        <v>6251</v>
      </c>
      <c r="D2780" t="s">
        <v>6252</v>
      </c>
      <c r="E2780" t="s">
        <v>25056</v>
      </c>
      <c r="F2780">
        <v>1</v>
      </c>
      <c r="G2780">
        <v>1991363</v>
      </c>
      <c r="H2780" t="s">
        <v>25057</v>
      </c>
      <c r="J2780" s="54" t="s">
        <v>6052</v>
      </c>
      <c r="K2780" s="54">
        <v>0</v>
      </c>
      <c r="L2780" s="22" t="s">
        <v>104</v>
      </c>
      <c r="M2780" s="22" t="s">
        <v>37036</v>
      </c>
    </row>
    <row r="2781" spans="1:13" x14ac:dyDescent="0.75">
      <c r="A2781" t="s">
        <v>15491</v>
      </c>
      <c r="B2781" t="s">
        <v>6250</v>
      </c>
      <c r="C2781" t="s">
        <v>6251</v>
      </c>
      <c r="D2781" t="s">
        <v>6252</v>
      </c>
      <c r="E2781" t="s">
        <v>15492</v>
      </c>
      <c r="F2781">
        <v>1</v>
      </c>
      <c r="G2781">
        <v>1833864</v>
      </c>
      <c r="H2781" t="s">
        <v>15493</v>
      </c>
      <c r="J2781" s="54" t="s">
        <v>6052</v>
      </c>
      <c r="K2781" s="54">
        <v>0</v>
      </c>
      <c r="L2781" s="22" t="s">
        <v>104</v>
      </c>
      <c r="M2781" s="22" t="s">
        <v>37036</v>
      </c>
    </row>
    <row r="2782" spans="1:13" x14ac:dyDescent="0.75">
      <c r="A2782" t="s">
        <v>15990</v>
      </c>
      <c r="B2782" t="s">
        <v>6250</v>
      </c>
      <c r="C2782" t="s">
        <v>6251</v>
      </c>
      <c r="D2782" t="s">
        <v>6252</v>
      </c>
      <c r="E2782" t="s">
        <v>15991</v>
      </c>
      <c r="F2782">
        <v>1</v>
      </c>
      <c r="G2782">
        <v>1843353</v>
      </c>
      <c r="H2782" t="s">
        <v>15992</v>
      </c>
      <c r="J2782" s="54" t="s">
        <v>6052</v>
      </c>
      <c r="K2782" s="54">
        <v>0</v>
      </c>
      <c r="L2782" s="22" t="s">
        <v>104</v>
      </c>
      <c r="M2782" s="22" t="s">
        <v>37036</v>
      </c>
    </row>
    <row r="2783" spans="1:13" x14ac:dyDescent="0.75">
      <c r="A2783" t="s">
        <v>15497</v>
      </c>
      <c r="B2783" t="s">
        <v>6250</v>
      </c>
      <c r="C2783" t="s">
        <v>6251</v>
      </c>
      <c r="D2783" t="s">
        <v>6252</v>
      </c>
      <c r="E2783" t="s">
        <v>15498</v>
      </c>
      <c r="F2783">
        <v>1</v>
      </c>
      <c r="G2783">
        <v>1840062</v>
      </c>
      <c r="H2783" t="s">
        <v>15499</v>
      </c>
      <c r="J2783" s="54" t="s">
        <v>6052</v>
      </c>
      <c r="K2783" s="54">
        <v>0</v>
      </c>
      <c r="L2783" s="22" t="s">
        <v>104</v>
      </c>
      <c r="M2783" s="22" t="s">
        <v>37036</v>
      </c>
    </row>
    <row r="2784" spans="1:13" x14ac:dyDescent="0.75">
      <c r="A2784" t="s">
        <v>15488</v>
      </c>
      <c r="B2784" t="s">
        <v>6250</v>
      </c>
      <c r="C2784" t="s">
        <v>6251</v>
      </c>
      <c r="D2784" t="s">
        <v>6252</v>
      </c>
      <c r="E2784" t="s">
        <v>15489</v>
      </c>
      <c r="F2784">
        <v>1</v>
      </c>
      <c r="G2784">
        <v>1848210</v>
      </c>
      <c r="H2784" t="s">
        <v>15490</v>
      </c>
      <c r="J2784" s="54" t="s">
        <v>6052</v>
      </c>
      <c r="K2784" s="54">
        <v>0</v>
      </c>
      <c r="L2784" s="22" t="s">
        <v>104</v>
      </c>
      <c r="M2784" s="22" t="s">
        <v>37036</v>
      </c>
    </row>
    <row r="2785" spans="1:13" x14ac:dyDescent="0.75">
      <c r="A2785" t="s">
        <v>15458</v>
      </c>
      <c r="B2785" t="s">
        <v>6250</v>
      </c>
      <c r="C2785" t="s">
        <v>6251</v>
      </c>
      <c r="D2785" t="s">
        <v>6252</v>
      </c>
      <c r="E2785" t="s">
        <v>15459</v>
      </c>
      <c r="F2785">
        <v>1</v>
      </c>
      <c r="G2785">
        <v>1838740</v>
      </c>
      <c r="H2785" t="s">
        <v>15460</v>
      </c>
      <c r="J2785" s="54" t="s">
        <v>6052</v>
      </c>
      <c r="K2785" s="54">
        <v>0</v>
      </c>
      <c r="L2785" s="22" t="s">
        <v>104</v>
      </c>
      <c r="M2785" s="22" t="s">
        <v>37036</v>
      </c>
    </row>
    <row r="2786" spans="1:13" x14ac:dyDescent="0.75">
      <c r="A2786" t="s">
        <v>15476</v>
      </c>
      <c r="B2786" t="s">
        <v>6250</v>
      </c>
      <c r="C2786" t="s">
        <v>6251</v>
      </c>
      <c r="D2786" t="s">
        <v>6252</v>
      </c>
      <c r="E2786" t="s">
        <v>15477</v>
      </c>
      <c r="F2786">
        <v>1</v>
      </c>
      <c r="G2786">
        <v>1840498</v>
      </c>
      <c r="H2786" t="s">
        <v>15478</v>
      </c>
      <c r="J2786" s="54" t="s">
        <v>6052</v>
      </c>
      <c r="K2786" s="54">
        <v>0</v>
      </c>
      <c r="L2786" s="22" t="s">
        <v>104</v>
      </c>
      <c r="M2786" s="22" t="s">
        <v>37036</v>
      </c>
    </row>
    <row r="2787" spans="1:13" x14ac:dyDescent="0.75">
      <c r="A2787" t="s">
        <v>15503</v>
      </c>
      <c r="B2787" t="s">
        <v>6250</v>
      </c>
      <c r="C2787" t="s">
        <v>6251</v>
      </c>
      <c r="D2787" t="s">
        <v>6252</v>
      </c>
      <c r="E2787" t="s">
        <v>15504</v>
      </c>
      <c r="F2787">
        <v>1</v>
      </c>
      <c r="G2787">
        <v>1849483</v>
      </c>
      <c r="H2787" t="s">
        <v>15505</v>
      </c>
      <c r="J2787" s="54" t="s">
        <v>6052</v>
      </c>
      <c r="K2787" s="54">
        <v>0</v>
      </c>
      <c r="L2787" s="22" t="s">
        <v>104</v>
      </c>
      <c r="M2787" s="22" t="s">
        <v>37036</v>
      </c>
    </row>
    <row r="2788" spans="1:13" x14ac:dyDescent="0.75">
      <c r="A2788" t="s">
        <v>15470</v>
      </c>
      <c r="B2788" t="s">
        <v>6250</v>
      </c>
      <c r="C2788" t="s">
        <v>6251</v>
      </c>
      <c r="D2788" t="s">
        <v>6252</v>
      </c>
      <c r="E2788" t="s">
        <v>15471</v>
      </c>
      <c r="F2788">
        <v>1</v>
      </c>
      <c r="G2788">
        <v>1897311</v>
      </c>
      <c r="H2788" t="s">
        <v>15472</v>
      </c>
      <c r="J2788" s="54" t="s">
        <v>6052</v>
      </c>
      <c r="K2788" s="54">
        <v>0</v>
      </c>
      <c r="L2788" s="22" t="s">
        <v>104</v>
      </c>
      <c r="M2788" s="22" t="s">
        <v>37036</v>
      </c>
    </row>
    <row r="2789" spans="1:13" x14ac:dyDescent="0.75">
      <c r="A2789" t="s">
        <v>15461</v>
      </c>
      <c r="B2789" t="s">
        <v>6250</v>
      </c>
      <c r="C2789" t="s">
        <v>6251</v>
      </c>
      <c r="D2789" t="s">
        <v>6252</v>
      </c>
      <c r="E2789" t="s">
        <v>15462</v>
      </c>
      <c r="F2789">
        <v>1</v>
      </c>
      <c r="G2789">
        <v>1833710</v>
      </c>
      <c r="H2789" t="s">
        <v>15463</v>
      </c>
      <c r="J2789" s="54" t="s">
        <v>6052</v>
      </c>
      <c r="K2789" s="54">
        <v>0</v>
      </c>
      <c r="L2789" s="22" t="s">
        <v>104</v>
      </c>
      <c r="M2789" s="22" t="s">
        <v>37036</v>
      </c>
    </row>
    <row r="2790" spans="1:13" x14ac:dyDescent="0.75">
      <c r="A2790" t="s">
        <v>15464</v>
      </c>
      <c r="B2790" t="s">
        <v>6250</v>
      </c>
      <c r="C2790" t="s">
        <v>6251</v>
      </c>
      <c r="D2790" t="s">
        <v>6252</v>
      </c>
      <c r="E2790" t="s">
        <v>15465</v>
      </c>
      <c r="F2790">
        <v>1</v>
      </c>
      <c r="G2790">
        <v>1811303</v>
      </c>
      <c r="H2790" t="s">
        <v>15466</v>
      </c>
      <c r="J2790" s="54" t="s">
        <v>6052</v>
      </c>
      <c r="K2790" s="54">
        <v>0</v>
      </c>
      <c r="L2790" s="22" t="s">
        <v>104</v>
      </c>
      <c r="M2790" s="22" t="s">
        <v>37036</v>
      </c>
    </row>
    <row r="2791" spans="1:13" x14ac:dyDescent="0.75">
      <c r="A2791" t="s">
        <v>15993</v>
      </c>
      <c r="B2791" t="s">
        <v>6250</v>
      </c>
      <c r="C2791" t="s">
        <v>6251</v>
      </c>
      <c r="D2791" t="s">
        <v>6252</v>
      </c>
      <c r="E2791" t="s">
        <v>15994</v>
      </c>
      <c r="F2791">
        <v>1</v>
      </c>
      <c r="G2791">
        <v>1849398</v>
      </c>
      <c r="H2791" t="s">
        <v>15995</v>
      </c>
      <c r="J2791" s="54" t="s">
        <v>6052</v>
      </c>
      <c r="K2791" s="54">
        <v>0</v>
      </c>
      <c r="L2791" s="22" t="s">
        <v>104</v>
      </c>
      <c r="M2791" s="22" t="s">
        <v>37036</v>
      </c>
    </row>
    <row r="2792" spans="1:13" x14ac:dyDescent="0.75">
      <c r="A2792" t="s">
        <v>15506</v>
      </c>
      <c r="B2792" t="s">
        <v>6250</v>
      </c>
      <c r="C2792" t="s">
        <v>6251</v>
      </c>
      <c r="D2792" t="s">
        <v>6252</v>
      </c>
      <c r="E2792" t="s">
        <v>15507</v>
      </c>
      <c r="F2792">
        <v>1</v>
      </c>
      <c r="G2792">
        <v>1904311</v>
      </c>
      <c r="H2792" t="s">
        <v>15508</v>
      </c>
      <c r="J2792" s="54" t="s">
        <v>6052</v>
      </c>
      <c r="K2792" s="54">
        <v>0</v>
      </c>
      <c r="L2792" s="22" t="s">
        <v>104</v>
      </c>
      <c r="M2792" s="22" t="s">
        <v>37036</v>
      </c>
    </row>
    <row r="2793" spans="1:13" x14ac:dyDescent="0.75">
      <c r="A2793" t="s">
        <v>15485</v>
      </c>
      <c r="B2793" t="s">
        <v>6250</v>
      </c>
      <c r="C2793" t="s">
        <v>6251</v>
      </c>
      <c r="D2793" t="s">
        <v>6252</v>
      </c>
      <c r="E2793" t="s">
        <v>15486</v>
      </c>
      <c r="F2793">
        <v>1</v>
      </c>
      <c r="G2793">
        <v>1908143</v>
      </c>
      <c r="H2793" t="s">
        <v>15487</v>
      </c>
      <c r="J2793" s="54" t="s">
        <v>6052</v>
      </c>
      <c r="K2793" s="54">
        <v>0</v>
      </c>
      <c r="L2793" s="22" t="s">
        <v>104</v>
      </c>
      <c r="M2793" s="22" t="s">
        <v>37036</v>
      </c>
    </row>
    <row r="2794" spans="1:13" x14ac:dyDescent="0.75">
      <c r="A2794" t="s">
        <v>15467</v>
      </c>
      <c r="B2794" t="s">
        <v>6250</v>
      </c>
      <c r="C2794" t="s">
        <v>6251</v>
      </c>
      <c r="D2794" t="s">
        <v>6252</v>
      </c>
      <c r="E2794" t="s">
        <v>15468</v>
      </c>
      <c r="F2794">
        <v>1</v>
      </c>
      <c r="G2794">
        <v>2013003</v>
      </c>
      <c r="H2794" t="s">
        <v>15469</v>
      </c>
      <c r="J2794" s="54" t="s">
        <v>6052</v>
      </c>
      <c r="K2794" s="54">
        <v>0</v>
      </c>
      <c r="L2794" s="22" t="s">
        <v>104</v>
      </c>
      <c r="M2794" s="22" t="s">
        <v>37036</v>
      </c>
    </row>
    <row r="2795" spans="1:13" x14ac:dyDescent="0.75">
      <c r="A2795" t="s">
        <v>15482</v>
      </c>
      <c r="B2795" t="s">
        <v>6250</v>
      </c>
      <c r="C2795" t="s">
        <v>6251</v>
      </c>
      <c r="D2795" t="s">
        <v>6252</v>
      </c>
      <c r="E2795" t="s">
        <v>15483</v>
      </c>
      <c r="F2795">
        <v>1</v>
      </c>
      <c r="G2795">
        <v>1833305</v>
      </c>
      <c r="H2795" t="s">
        <v>15484</v>
      </c>
      <c r="J2795" s="54" t="s">
        <v>6052</v>
      </c>
      <c r="K2795" s="54">
        <v>0</v>
      </c>
      <c r="L2795" s="22" t="s">
        <v>104</v>
      </c>
      <c r="M2795" s="22" t="s">
        <v>37036</v>
      </c>
    </row>
    <row r="2796" spans="1:13" x14ac:dyDescent="0.75">
      <c r="A2796" t="s">
        <v>15479</v>
      </c>
      <c r="B2796" t="s">
        <v>6250</v>
      </c>
      <c r="C2796" t="s">
        <v>6251</v>
      </c>
      <c r="D2796" t="s">
        <v>6252</v>
      </c>
      <c r="E2796" t="s">
        <v>15480</v>
      </c>
      <c r="F2796">
        <v>1</v>
      </c>
      <c r="G2796">
        <v>1858630</v>
      </c>
      <c r="H2796" t="s">
        <v>15481</v>
      </c>
      <c r="J2796" s="54" t="s">
        <v>6052</v>
      </c>
      <c r="K2796" s="54">
        <v>0</v>
      </c>
      <c r="L2796" s="22" t="s">
        <v>104</v>
      </c>
      <c r="M2796" s="22" t="s">
        <v>37036</v>
      </c>
    </row>
    <row r="2797" spans="1:13" x14ac:dyDescent="0.75">
      <c r="A2797" t="s">
        <v>15473</v>
      </c>
      <c r="B2797" t="s">
        <v>6250</v>
      </c>
      <c r="C2797" t="s">
        <v>6251</v>
      </c>
      <c r="D2797" t="s">
        <v>6252</v>
      </c>
      <c r="E2797" t="s">
        <v>15474</v>
      </c>
      <c r="F2797">
        <v>1</v>
      </c>
      <c r="G2797">
        <v>1858634</v>
      </c>
      <c r="H2797" t="s">
        <v>15475</v>
      </c>
      <c r="J2797" s="54" t="s">
        <v>6052</v>
      </c>
      <c r="K2797" s="54">
        <v>0</v>
      </c>
      <c r="L2797" s="22" t="s">
        <v>104</v>
      </c>
      <c r="M2797" s="22" t="s">
        <v>37036</v>
      </c>
    </row>
    <row r="2798" spans="1:13" x14ac:dyDescent="0.75">
      <c r="A2798" t="s">
        <v>6290</v>
      </c>
      <c r="B2798" t="s">
        <v>6250</v>
      </c>
      <c r="C2798" t="s">
        <v>6251</v>
      </c>
      <c r="D2798" t="s">
        <v>6252</v>
      </c>
      <c r="E2798" t="s">
        <v>6291</v>
      </c>
      <c r="F2798">
        <v>1</v>
      </c>
      <c r="G2798">
        <v>1813033</v>
      </c>
      <c r="H2798" t="s">
        <v>6292</v>
      </c>
      <c r="J2798" s="54" t="s">
        <v>6052</v>
      </c>
      <c r="K2798" s="54">
        <v>0</v>
      </c>
      <c r="L2798" s="22" t="s">
        <v>104</v>
      </c>
      <c r="M2798" s="22" t="s">
        <v>37036</v>
      </c>
    </row>
    <row r="2799" spans="1:13" x14ac:dyDescent="0.75">
      <c r="A2799" t="s">
        <v>6293</v>
      </c>
      <c r="B2799" t="s">
        <v>6250</v>
      </c>
      <c r="C2799" t="s">
        <v>6251</v>
      </c>
      <c r="D2799" t="s">
        <v>6252</v>
      </c>
      <c r="E2799" t="s">
        <v>6294</v>
      </c>
      <c r="F2799">
        <v>1</v>
      </c>
      <c r="G2799">
        <v>1887192</v>
      </c>
      <c r="H2799" t="s">
        <v>6295</v>
      </c>
      <c r="J2799" s="54" t="s">
        <v>6052</v>
      </c>
      <c r="K2799" s="54">
        <v>0</v>
      </c>
      <c r="L2799" s="22" t="s">
        <v>104</v>
      </c>
      <c r="M2799" s="22" t="s">
        <v>37036</v>
      </c>
    </row>
    <row r="2800" spans="1:13" x14ac:dyDescent="0.75">
      <c r="A2800" t="s">
        <v>17483</v>
      </c>
      <c r="B2800" t="s">
        <v>6250</v>
      </c>
      <c r="C2800" t="s">
        <v>6251</v>
      </c>
      <c r="D2800" t="s">
        <v>6252</v>
      </c>
      <c r="E2800" t="s">
        <v>6294</v>
      </c>
      <c r="F2800">
        <v>1</v>
      </c>
      <c r="G2800">
        <v>1887343</v>
      </c>
      <c r="H2800" t="s">
        <v>17484</v>
      </c>
      <c r="J2800" s="54" t="s">
        <v>6052</v>
      </c>
      <c r="K2800" s="54">
        <v>0</v>
      </c>
      <c r="L2800" s="22" t="s">
        <v>104</v>
      </c>
      <c r="M2800" s="22" t="s">
        <v>37036</v>
      </c>
    </row>
    <row r="2801" spans="1:13" x14ac:dyDescent="0.75">
      <c r="A2801" t="s">
        <v>7088</v>
      </c>
      <c r="B2801" t="s">
        <v>6250</v>
      </c>
      <c r="C2801" t="s">
        <v>6251</v>
      </c>
      <c r="D2801" t="s">
        <v>6252</v>
      </c>
      <c r="E2801" t="s">
        <v>7089</v>
      </c>
      <c r="F2801">
        <v>1</v>
      </c>
      <c r="G2801">
        <v>1819370</v>
      </c>
      <c r="H2801" t="s">
        <v>7090</v>
      </c>
      <c r="J2801" s="54" t="s">
        <v>6052</v>
      </c>
      <c r="K2801" s="54">
        <v>0</v>
      </c>
      <c r="L2801" s="22" t="s">
        <v>104</v>
      </c>
      <c r="M2801" s="22" t="s">
        <v>37036</v>
      </c>
    </row>
    <row r="2802" spans="1:13" x14ac:dyDescent="0.75">
      <c r="A2802" t="s">
        <v>7085</v>
      </c>
      <c r="B2802" t="s">
        <v>6250</v>
      </c>
      <c r="C2802" t="s">
        <v>6251</v>
      </c>
      <c r="D2802" t="s">
        <v>6252</v>
      </c>
      <c r="E2802" t="s">
        <v>7086</v>
      </c>
      <c r="F2802">
        <v>1</v>
      </c>
      <c r="G2802">
        <v>1932306</v>
      </c>
      <c r="H2802" t="s">
        <v>7087</v>
      </c>
      <c r="J2802" s="54" t="s">
        <v>6052</v>
      </c>
      <c r="K2802" s="54">
        <v>0</v>
      </c>
      <c r="L2802" s="22" t="s">
        <v>104</v>
      </c>
      <c r="M2802" s="22" t="s">
        <v>37036</v>
      </c>
    </row>
    <row r="2803" spans="1:13" x14ac:dyDescent="0.75">
      <c r="A2803" t="s">
        <v>6516</v>
      </c>
      <c r="B2803" t="s">
        <v>6250</v>
      </c>
      <c r="C2803" t="s">
        <v>6251</v>
      </c>
      <c r="D2803" t="s">
        <v>6252</v>
      </c>
      <c r="E2803" t="s">
        <v>6517</v>
      </c>
      <c r="F2803">
        <v>1</v>
      </c>
      <c r="G2803">
        <v>1830138</v>
      </c>
      <c r="H2803" t="s">
        <v>6518</v>
      </c>
      <c r="J2803" s="54" t="s">
        <v>6052</v>
      </c>
      <c r="K2803" s="54">
        <v>0</v>
      </c>
      <c r="L2803" s="22" t="s">
        <v>104</v>
      </c>
      <c r="M2803" s="22" t="s">
        <v>37036</v>
      </c>
    </row>
    <row r="2804" spans="1:13" x14ac:dyDescent="0.75">
      <c r="A2804" t="s">
        <v>20309</v>
      </c>
      <c r="B2804" t="s">
        <v>6250</v>
      </c>
      <c r="C2804" t="s">
        <v>6251</v>
      </c>
      <c r="D2804" t="s">
        <v>6252</v>
      </c>
      <c r="E2804" t="s">
        <v>20310</v>
      </c>
      <c r="F2804">
        <v>1</v>
      </c>
      <c r="G2804">
        <v>1852308</v>
      </c>
      <c r="H2804" t="s">
        <v>20311</v>
      </c>
      <c r="J2804" s="54" t="s">
        <v>6052</v>
      </c>
      <c r="K2804" s="54">
        <v>0</v>
      </c>
      <c r="L2804" s="22" t="s">
        <v>104</v>
      </c>
      <c r="M2804" s="22" t="s">
        <v>37036</v>
      </c>
    </row>
    <row r="2805" spans="1:13" x14ac:dyDescent="0.75">
      <c r="A2805" t="s">
        <v>19024</v>
      </c>
      <c r="B2805" t="s">
        <v>6250</v>
      </c>
      <c r="C2805" t="s">
        <v>6251</v>
      </c>
      <c r="D2805" t="s">
        <v>6252</v>
      </c>
      <c r="E2805" t="s">
        <v>19025</v>
      </c>
      <c r="F2805">
        <v>1</v>
      </c>
      <c r="G2805">
        <v>1809645</v>
      </c>
      <c r="H2805" t="s">
        <v>19026</v>
      </c>
      <c r="J2805" s="54" t="s">
        <v>6052</v>
      </c>
      <c r="K2805" s="54">
        <v>0</v>
      </c>
      <c r="L2805" s="22" t="s">
        <v>104</v>
      </c>
      <c r="M2805" s="22" t="s">
        <v>37036</v>
      </c>
    </row>
    <row r="2806" spans="1:13" x14ac:dyDescent="0.75">
      <c r="A2806" t="s">
        <v>15152</v>
      </c>
      <c r="B2806" t="s">
        <v>8610</v>
      </c>
      <c r="C2806" t="s">
        <v>6251</v>
      </c>
      <c r="D2806" t="s">
        <v>8611</v>
      </c>
      <c r="E2806" t="s">
        <v>15153</v>
      </c>
      <c r="F2806">
        <v>15</v>
      </c>
      <c r="G2806">
        <v>2117430</v>
      </c>
      <c r="H2806" t="s">
        <v>15154</v>
      </c>
      <c r="J2806" s="54" t="s">
        <v>6052</v>
      </c>
      <c r="K2806" s="54">
        <v>0</v>
      </c>
      <c r="L2806" s="22" t="s">
        <v>104</v>
      </c>
      <c r="M2806" s="22" t="s">
        <v>37043</v>
      </c>
    </row>
    <row r="2807" spans="1:13" x14ac:dyDescent="0.75">
      <c r="A2807" t="s">
        <v>15173</v>
      </c>
      <c r="B2807" t="s">
        <v>8610</v>
      </c>
      <c r="C2807" t="s">
        <v>6251</v>
      </c>
      <c r="D2807" t="s">
        <v>8611</v>
      </c>
      <c r="E2807" t="s">
        <v>15174</v>
      </c>
      <c r="F2807">
        <v>41</v>
      </c>
      <c r="G2807">
        <v>2218651</v>
      </c>
      <c r="H2807" t="s">
        <v>15175</v>
      </c>
      <c r="J2807" s="54" t="s">
        <v>6052</v>
      </c>
      <c r="K2807" s="54">
        <v>0</v>
      </c>
      <c r="L2807" s="22" t="s">
        <v>104</v>
      </c>
      <c r="M2807" s="22" t="s">
        <v>37043</v>
      </c>
    </row>
    <row r="2808" spans="1:13" x14ac:dyDescent="0.75">
      <c r="A2808" t="s">
        <v>13366</v>
      </c>
      <c r="B2808" t="s">
        <v>8610</v>
      </c>
      <c r="C2808" t="s">
        <v>6251</v>
      </c>
      <c r="D2808" t="s">
        <v>8611</v>
      </c>
      <c r="E2808" t="s">
        <v>13367</v>
      </c>
      <c r="F2808">
        <v>30</v>
      </c>
      <c r="G2808">
        <v>2039014</v>
      </c>
      <c r="H2808" t="s">
        <v>13368</v>
      </c>
      <c r="J2808" s="54" t="s">
        <v>6052</v>
      </c>
      <c r="K2808" s="54">
        <v>0</v>
      </c>
      <c r="L2808" s="22" t="s">
        <v>104</v>
      </c>
      <c r="M2808" s="22" t="s">
        <v>37043</v>
      </c>
    </row>
    <row r="2809" spans="1:13" x14ac:dyDescent="0.75">
      <c r="A2809" t="s">
        <v>29852</v>
      </c>
      <c r="B2809" t="s">
        <v>8610</v>
      </c>
      <c r="C2809" t="s">
        <v>6251</v>
      </c>
      <c r="D2809" t="s">
        <v>8611</v>
      </c>
      <c r="E2809" t="s">
        <v>29853</v>
      </c>
      <c r="F2809">
        <v>87</v>
      </c>
      <c r="G2809">
        <v>2053598</v>
      </c>
      <c r="H2809" t="s">
        <v>29854</v>
      </c>
      <c r="J2809" s="54" t="s">
        <v>6052</v>
      </c>
      <c r="K2809" s="54">
        <v>0</v>
      </c>
      <c r="L2809" s="22" t="s">
        <v>104</v>
      </c>
      <c r="M2809" s="22" t="s">
        <v>37043</v>
      </c>
    </row>
    <row r="2810" spans="1:13" x14ac:dyDescent="0.75">
      <c r="A2810" t="s">
        <v>28779</v>
      </c>
      <c r="B2810" t="s">
        <v>8610</v>
      </c>
      <c r="C2810" t="s">
        <v>6251</v>
      </c>
      <c r="D2810" t="s">
        <v>8611</v>
      </c>
      <c r="E2810" t="s">
        <v>28780</v>
      </c>
      <c r="F2810">
        <v>56</v>
      </c>
      <c r="G2810">
        <v>2063107</v>
      </c>
      <c r="H2810" t="s">
        <v>28781</v>
      </c>
      <c r="J2810" s="54" t="s">
        <v>6052</v>
      </c>
      <c r="K2810" s="54">
        <v>0</v>
      </c>
      <c r="L2810" s="22" t="s">
        <v>104</v>
      </c>
      <c r="M2810" s="22" t="s">
        <v>37043</v>
      </c>
    </row>
    <row r="2811" spans="1:13" x14ac:dyDescent="0.75">
      <c r="A2811" t="s">
        <v>20327</v>
      </c>
      <c r="B2811" t="s">
        <v>8610</v>
      </c>
      <c r="C2811" t="s">
        <v>6251</v>
      </c>
      <c r="D2811" t="s">
        <v>8611</v>
      </c>
      <c r="E2811" t="s">
        <v>20328</v>
      </c>
      <c r="F2811">
        <v>2</v>
      </c>
      <c r="G2811">
        <v>2093459</v>
      </c>
      <c r="H2811" t="s">
        <v>20329</v>
      </c>
      <c r="J2811" s="54" t="s">
        <v>6052</v>
      </c>
      <c r="K2811" s="54">
        <v>0</v>
      </c>
      <c r="L2811" s="22" t="s">
        <v>104</v>
      </c>
      <c r="M2811" s="22" t="s">
        <v>37043</v>
      </c>
    </row>
    <row r="2812" spans="1:13" x14ac:dyDescent="0.75">
      <c r="A2812" t="s">
        <v>10736</v>
      </c>
      <c r="B2812" t="s">
        <v>8610</v>
      </c>
      <c r="C2812" t="s">
        <v>6251</v>
      </c>
      <c r="D2812" t="s">
        <v>8611</v>
      </c>
      <c r="E2812" t="s">
        <v>10737</v>
      </c>
      <c r="F2812">
        <v>27</v>
      </c>
      <c r="G2812">
        <v>2037768</v>
      </c>
      <c r="H2812" t="s">
        <v>10738</v>
      </c>
      <c r="J2812" s="54" t="s">
        <v>6052</v>
      </c>
      <c r="K2812" s="54">
        <v>0</v>
      </c>
      <c r="L2812" s="22" t="s">
        <v>104</v>
      </c>
      <c r="M2812" s="22" t="s">
        <v>37043</v>
      </c>
    </row>
    <row r="2813" spans="1:13" x14ac:dyDescent="0.75">
      <c r="A2813" t="s">
        <v>8609</v>
      </c>
      <c r="B2813" t="s">
        <v>8610</v>
      </c>
      <c r="C2813" t="s">
        <v>6251</v>
      </c>
      <c r="D2813" t="s">
        <v>8611</v>
      </c>
      <c r="E2813" t="s">
        <v>8612</v>
      </c>
      <c r="F2813">
        <v>61</v>
      </c>
      <c r="G2813">
        <v>2030584</v>
      </c>
      <c r="H2813" t="s">
        <v>8613</v>
      </c>
      <c r="J2813" s="54" t="s">
        <v>6052</v>
      </c>
      <c r="K2813" s="54">
        <v>0</v>
      </c>
      <c r="L2813" s="22" t="s">
        <v>104</v>
      </c>
      <c r="M2813" s="22" t="s">
        <v>37043</v>
      </c>
    </row>
    <row r="2814" spans="1:13" x14ac:dyDescent="0.75">
      <c r="A2814" t="s">
        <v>27463</v>
      </c>
      <c r="B2814" t="s">
        <v>8610</v>
      </c>
      <c r="C2814" t="s">
        <v>6251</v>
      </c>
      <c r="D2814" t="s">
        <v>8611</v>
      </c>
      <c r="E2814" t="s">
        <v>27464</v>
      </c>
      <c r="F2814">
        <v>2</v>
      </c>
      <c r="G2814">
        <v>2096197</v>
      </c>
      <c r="H2814" t="s">
        <v>27465</v>
      </c>
      <c r="J2814" s="54" t="s">
        <v>6052</v>
      </c>
      <c r="K2814" s="54">
        <v>0</v>
      </c>
      <c r="L2814" s="22" t="s">
        <v>104</v>
      </c>
      <c r="M2814" s="22" t="s">
        <v>37043</v>
      </c>
    </row>
    <row r="2815" spans="1:13" x14ac:dyDescent="0.75">
      <c r="A2815" t="s">
        <v>27478</v>
      </c>
      <c r="B2815" t="s">
        <v>8610</v>
      </c>
      <c r="C2815" t="s">
        <v>6251</v>
      </c>
      <c r="D2815" t="s">
        <v>8611</v>
      </c>
      <c r="E2815" t="s">
        <v>27479</v>
      </c>
      <c r="F2815">
        <v>3</v>
      </c>
      <c r="G2815">
        <v>2163754</v>
      </c>
      <c r="H2815" t="s">
        <v>27480</v>
      </c>
      <c r="J2815" s="54" t="s">
        <v>6052</v>
      </c>
      <c r="K2815" s="54">
        <v>0</v>
      </c>
      <c r="L2815" s="22" t="s">
        <v>104</v>
      </c>
      <c r="M2815" s="22" t="s">
        <v>37043</v>
      </c>
    </row>
    <row r="2816" spans="1:13" x14ac:dyDescent="0.75">
      <c r="A2816" t="s">
        <v>17320</v>
      </c>
      <c r="B2816" t="s">
        <v>8610</v>
      </c>
      <c r="C2816" t="s">
        <v>6251</v>
      </c>
      <c r="D2816" t="s">
        <v>8611</v>
      </c>
      <c r="E2816" t="s">
        <v>17321</v>
      </c>
      <c r="F2816">
        <v>2</v>
      </c>
      <c r="G2816">
        <v>2091866</v>
      </c>
      <c r="H2816" t="s">
        <v>17322</v>
      </c>
      <c r="J2816" s="54" t="s">
        <v>6052</v>
      </c>
      <c r="K2816" s="54">
        <v>0</v>
      </c>
      <c r="L2816" s="22" t="s">
        <v>104</v>
      </c>
      <c r="M2816" s="22" t="s">
        <v>37043</v>
      </c>
    </row>
    <row r="2817" spans="1:13" x14ac:dyDescent="0.75">
      <c r="A2817" t="s">
        <v>26610</v>
      </c>
      <c r="B2817" t="s">
        <v>8610</v>
      </c>
      <c r="C2817" t="s">
        <v>6251</v>
      </c>
      <c r="D2817" t="s">
        <v>8611</v>
      </c>
      <c r="E2817" t="s">
        <v>26611</v>
      </c>
      <c r="F2817">
        <v>267</v>
      </c>
      <c r="G2817">
        <v>1847273</v>
      </c>
      <c r="H2817" t="s">
        <v>26612</v>
      </c>
      <c r="J2817" s="54" t="s">
        <v>6052</v>
      </c>
      <c r="K2817" s="54">
        <v>0</v>
      </c>
      <c r="L2817" s="22" t="s">
        <v>104</v>
      </c>
      <c r="M2817" s="22" t="s">
        <v>37043</v>
      </c>
    </row>
    <row r="2818" spans="1:13" x14ac:dyDescent="0.75">
      <c r="A2818" t="s">
        <v>10991</v>
      </c>
      <c r="B2818" t="s">
        <v>7511</v>
      </c>
      <c r="C2818" t="s">
        <v>6251</v>
      </c>
      <c r="D2818" t="s">
        <v>7512</v>
      </c>
      <c r="E2818" t="s">
        <v>10992</v>
      </c>
      <c r="F2818">
        <v>57</v>
      </c>
      <c r="G2818">
        <v>1978251</v>
      </c>
      <c r="H2818" t="s">
        <v>10993</v>
      </c>
      <c r="J2818" s="54" t="s">
        <v>6052</v>
      </c>
      <c r="K2818" s="54">
        <v>0</v>
      </c>
      <c r="L2818" s="22" t="s">
        <v>104</v>
      </c>
      <c r="M2818" s="22" t="s">
        <v>37037</v>
      </c>
    </row>
    <row r="2819" spans="1:13" x14ac:dyDescent="0.75">
      <c r="A2819" t="s">
        <v>10973</v>
      </c>
      <c r="B2819" t="s">
        <v>7511</v>
      </c>
      <c r="C2819" t="s">
        <v>6251</v>
      </c>
      <c r="D2819" t="s">
        <v>7512</v>
      </c>
      <c r="E2819" t="s">
        <v>10974</v>
      </c>
      <c r="F2819">
        <v>84</v>
      </c>
      <c r="G2819">
        <v>1975962</v>
      </c>
      <c r="H2819" t="s">
        <v>10975</v>
      </c>
      <c r="J2819" s="54" t="s">
        <v>6052</v>
      </c>
      <c r="K2819" s="54">
        <v>0</v>
      </c>
      <c r="L2819" s="22" t="s">
        <v>104</v>
      </c>
      <c r="M2819" s="22" t="s">
        <v>37037</v>
      </c>
    </row>
    <row r="2820" spans="1:13" x14ac:dyDescent="0.75">
      <c r="A2820" t="s">
        <v>10982</v>
      </c>
      <c r="B2820" t="s">
        <v>7511</v>
      </c>
      <c r="C2820" t="s">
        <v>6251</v>
      </c>
      <c r="D2820" t="s">
        <v>7512</v>
      </c>
      <c r="E2820" t="s">
        <v>10983</v>
      </c>
      <c r="F2820">
        <v>118</v>
      </c>
      <c r="G2820">
        <v>2175985</v>
      </c>
      <c r="H2820" t="s">
        <v>10984</v>
      </c>
      <c r="J2820" s="54" t="s">
        <v>6052</v>
      </c>
      <c r="K2820" s="54">
        <v>0</v>
      </c>
      <c r="L2820" s="22" t="s">
        <v>104</v>
      </c>
      <c r="M2820" s="22" t="s">
        <v>37037</v>
      </c>
    </row>
    <row r="2821" spans="1:13" x14ac:dyDescent="0.75">
      <c r="A2821" t="s">
        <v>10988</v>
      </c>
      <c r="B2821" t="s">
        <v>7511</v>
      </c>
      <c r="C2821" t="s">
        <v>6251</v>
      </c>
      <c r="D2821" t="s">
        <v>7512</v>
      </c>
      <c r="E2821" t="s">
        <v>10989</v>
      </c>
      <c r="F2821">
        <v>42</v>
      </c>
      <c r="G2821">
        <v>2028731</v>
      </c>
      <c r="H2821" t="s">
        <v>10990</v>
      </c>
      <c r="J2821" s="54" t="s">
        <v>6052</v>
      </c>
      <c r="K2821" s="54">
        <v>0</v>
      </c>
      <c r="L2821" s="22" t="s">
        <v>104</v>
      </c>
      <c r="M2821" s="22" t="s">
        <v>37037</v>
      </c>
    </row>
    <row r="2822" spans="1:13" x14ac:dyDescent="0.75">
      <c r="A2822" t="s">
        <v>11006</v>
      </c>
      <c r="B2822" t="s">
        <v>7511</v>
      </c>
      <c r="C2822" t="s">
        <v>6251</v>
      </c>
      <c r="D2822" t="s">
        <v>7512</v>
      </c>
      <c r="E2822" t="s">
        <v>11007</v>
      </c>
      <c r="F2822">
        <v>61</v>
      </c>
      <c r="G2822">
        <v>1968517</v>
      </c>
      <c r="H2822" t="s">
        <v>11008</v>
      </c>
      <c r="J2822" s="54" t="s">
        <v>6052</v>
      </c>
      <c r="K2822" s="54">
        <v>0</v>
      </c>
      <c r="L2822" s="22" t="s">
        <v>104</v>
      </c>
      <c r="M2822" s="22" t="s">
        <v>37037</v>
      </c>
    </row>
    <row r="2823" spans="1:13" x14ac:dyDescent="0.75">
      <c r="A2823" t="s">
        <v>11003</v>
      </c>
      <c r="B2823" t="s">
        <v>7511</v>
      </c>
      <c r="C2823" t="s">
        <v>6251</v>
      </c>
      <c r="D2823" t="s">
        <v>7512</v>
      </c>
      <c r="E2823" t="s">
        <v>11004</v>
      </c>
      <c r="F2823">
        <v>50</v>
      </c>
      <c r="G2823">
        <v>1990134</v>
      </c>
      <c r="H2823" t="s">
        <v>11005</v>
      </c>
      <c r="J2823" s="54" t="s">
        <v>6052</v>
      </c>
      <c r="K2823" s="54">
        <v>0</v>
      </c>
      <c r="L2823" s="22" t="s">
        <v>104</v>
      </c>
      <c r="M2823" s="22" t="s">
        <v>37037</v>
      </c>
    </row>
    <row r="2824" spans="1:13" x14ac:dyDescent="0.75">
      <c r="A2824" t="s">
        <v>11015</v>
      </c>
      <c r="B2824" t="s">
        <v>7511</v>
      </c>
      <c r="C2824" t="s">
        <v>6251</v>
      </c>
      <c r="D2824" t="s">
        <v>7512</v>
      </c>
      <c r="E2824" t="s">
        <v>11016</v>
      </c>
      <c r="F2824">
        <v>40</v>
      </c>
      <c r="G2824">
        <v>1946952</v>
      </c>
      <c r="H2824" t="s">
        <v>11017</v>
      </c>
      <c r="J2824" s="54" t="s">
        <v>6052</v>
      </c>
      <c r="K2824" s="54">
        <v>0</v>
      </c>
      <c r="L2824" s="22" t="s">
        <v>104</v>
      </c>
      <c r="M2824" s="22" t="s">
        <v>37037</v>
      </c>
    </row>
    <row r="2825" spans="1:13" x14ac:dyDescent="0.75">
      <c r="A2825" t="s">
        <v>11252</v>
      </c>
      <c r="B2825" t="s">
        <v>7511</v>
      </c>
      <c r="C2825" t="s">
        <v>6251</v>
      </c>
      <c r="D2825" t="s">
        <v>7512</v>
      </c>
      <c r="E2825" t="s">
        <v>11253</v>
      </c>
      <c r="F2825">
        <v>27</v>
      </c>
      <c r="G2825">
        <v>2105931</v>
      </c>
      <c r="H2825" t="s">
        <v>11254</v>
      </c>
      <c r="J2825" s="54" t="s">
        <v>6052</v>
      </c>
      <c r="K2825" s="54">
        <v>0</v>
      </c>
      <c r="L2825" s="22" t="s">
        <v>104</v>
      </c>
      <c r="M2825" s="22" t="s">
        <v>37037</v>
      </c>
    </row>
    <row r="2826" spans="1:13" x14ac:dyDescent="0.75">
      <c r="A2826" t="s">
        <v>11018</v>
      </c>
      <c r="B2826" t="s">
        <v>7511</v>
      </c>
      <c r="C2826" t="s">
        <v>6251</v>
      </c>
      <c r="D2826" t="s">
        <v>7512</v>
      </c>
      <c r="E2826" t="s">
        <v>11019</v>
      </c>
      <c r="F2826">
        <v>105</v>
      </c>
      <c r="G2826">
        <v>2184270</v>
      </c>
      <c r="H2826" t="s">
        <v>11020</v>
      </c>
      <c r="J2826" s="54" t="s">
        <v>6052</v>
      </c>
      <c r="K2826" s="54">
        <v>0</v>
      </c>
      <c r="L2826" s="22" t="s">
        <v>104</v>
      </c>
      <c r="M2826" s="22" t="s">
        <v>37037</v>
      </c>
    </row>
    <row r="2827" spans="1:13" x14ac:dyDescent="0.75">
      <c r="A2827" t="s">
        <v>11021</v>
      </c>
      <c r="B2827" t="s">
        <v>7511</v>
      </c>
      <c r="C2827" t="s">
        <v>6251</v>
      </c>
      <c r="D2827" t="s">
        <v>7512</v>
      </c>
      <c r="E2827" t="s">
        <v>11022</v>
      </c>
      <c r="F2827">
        <v>24</v>
      </c>
      <c r="G2827">
        <v>1997176</v>
      </c>
      <c r="H2827" t="s">
        <v>11023</v>
      </c>
      <c r="J2827" s="54" t="s">
        <v>6052</v>
      </c>
      <c r="K2827" s="54">
        <v>0</v>
      </c>
      <c r="L2827" s="22" t="s">
        <v>104</v>
      </c>
      <c r="M2827" s="22" t="s">
        <v>37037</v>
      </c>
    </row>
    <row r="2828" spans="1:13" x14ac:dyDescent="0.75">
      <c r="A2828" t="s">
        <v>11487</v>
      </c>
      <c r="B2828" t="s">
        <v>7511</v>
      </c>
      <c r="C2828" t="s">
        <v>6251</v>
      </c>
      <c r="D2828" t="s">
        <v>7512</v>
      </c>
      <c r="E2828" t="s">
        <v>11488</v>
      </c>
      <c r="F2828">
        <v>18</v>
      </c>
      <c r="G2828">
        <v>1978346</v>
      </c>
      <c r="H2828" t="s">
        <v>11489</v>
      </c>
      <c r="J2828" s="54" t="s">
        <v>6052</v>
      </c>
      <c r="K2828" s="54">
        <v>0</v>
      </c>
      <c r="L2828" s="22" t="s">
        <v>104</v>
      </c>
      <c r="M2828" s="22" t="s">
        <v>37037</v>
      </c>
    </row>
    <row r="2829" spans="1:13" x14ac:dyDescent="0.75">
      <c r="A2829" t="s">
        <v>11009</v>
      </c>
      <c r="B2829" t="s">
        <v>7511</v>
      </c>
      <c r="C2829" t="s">
        <v>6251</v>
      </c>
      <c r="D2829" t="s">
        <v>7512</v>
      </c>
      <c r="E2829" t="s">
        <v>11010</v>
      </c>
      <c r="F2829">
        <v>26</v>
      </c>
      <c r="G2829">
        <v>1965853</v>
      </c>
      <c r="H2829" t="s">
        <v>11011</v>
      </c>
      <c r="J2829" s="54" t="s">
        <v>6052</v>
      </c>
      <c r="K2829" s="54">
        <v>0</v>
      </c>
      <c r="L2829" s="22" t="s">
        <v>104</v>
      </c>
      <c r="M2829" s="22" t="s">
        <v>37037</v>
      </c>
    </row>
    <row r="2830" spans="1:13" x14ac:dyDescent="0.75">
      <c r="A2830" t="s">
        <v>11030</v>
      </c>
      <c r="B2830" t="s">
        <v>7511</v>
      </c>
      <c r="C2830" t="s">
        <v>6251</v>
      </c>
      <c r="D2830" t="s">
        <v>7512</v>
      </c>
      <c r="E2830" t="s">
        <v>11031</v>
      </c>
      <c r="F2830">
        <v>70</v>
      </c>
      <c r="G2830">
        <v>2111613</v>
      </c>
      <c r="H2830" t="s">
        <v>11032</v>
      </c>
      <c r="J2830" s="54" t="s">
        <v>6052</v>
      </c>
      <c r="K2830" s="54">
        <v>0</v>
      </c>
      <c r="L2830" s="22" t="s">
        <v>104</v>
      </c>
      <c r="M2830" s="22" t="s">
        <v>37037</v>
      </c>
    </row>
    <row r="2831" spans="1:13" x14ac:dyDescent="0.75">
      <c r="A2831" t="s">
        <v>13245</v>
      </c>
      <c r="B2831" t="s">
        <v>7511</v>
      </c>
      <c r="C2831" t="s">
        <v>6251</v>
      </c>
      <c r="D2831" t="s">
        <v>7512</v>
      </c>
      <c r="E2831" t="s">
        <v>13246</v>
      </c>
      <c r="F2831">
        <v>18</v>
      </c>
      <c r="G2831">
        <v>1872293</v>
      </c>
      <c r="H2831" t="s">
        <v>13247</v>
      </c>
      <c r="J2831" s="54" t="s">
        <v>6052</v>
      </c>
      <c r="K2831" s="54">
        <v>0</v>
      </c>
      <c r="L2831" s="22" t="s">
        <v>104</v>
      </c>
      <c r="M2831" s="22" t="s">
        <v>37037</v>
      </c>
    </row>
    <row r="2832" spans="1:13" x14ac:dyDescent="0.75">
      <c r="A2832" t="s">
        <v>13242</v>
      </c>
      <c r="B2832" t="s">
        <v>7511</v>
      </c>
      <c r="C2832" t="s">
        <v>6251</v>
      </c>
      <c r="D2832" t="s">
        <v>7512</v>
      </c>
      <c r="E2832" t="s">
        <v>13243</v>
      </c>
      <c r="F2832">
        <v>22</v>
      </c>
      <c r="G2832">
        <v>1978057</v>
      </c>
      <c r="H2832" t="s">
        <v>13244</v>
      </c>
      <c r="J2832" s="54" t="s">
        <v>6052</v>
      </c>
      <c r="K2832" s="54">
        <v>0</v>
      </c>
      <c r="L2832" s="22" t="s">
        <v>104</v>
      </c>
      <c r="M2832" s="22" t="s">
        <v>37037</v>
      </c>
    </row>
    <row r="2833" spans="1:13" x14ac:dyDescent="0.75">
      <c r="A2833" t="s">
        <v>11042</v>
      </c>
      <c r="B2833" t="s">
        <v>7511</v>
      </c>
      <c r="C2833" t="s">
        <v>6251</v>
      </c>
      <c r="D2833" t="s">
        <v>7512</v>
      </c>
      <c r="E2833" t="s">
        <v>11043</v>
      </c>
      <c r="F2833">
        <v>38</v>
      </c>
      <c r="G2833">
        <v>2001598</v>
      </c>
      <c r="H2833" t="s">
        <v>11044</v>
      </c>
      <c r="J2833" s="54" t="s">
        <v>6052</v>
      </c>
      <c r="K2833" s="54">
        <v>0</v>
      </c>
      <c r="L2833" s="22" t="s">
        <v>104</v>
      </c>
      <c r="M2833" s="22" t="s">
        <v>37037</v>
      </c>
    </row>
    <row r="2834" spans="1:13" x14ac:dyDescent="0.75">
      <c r="A2834" t="s">
        <v>11051</v>
      </c>
      <c r="B2834" t="s">
        <v>7511</v>
      </c>
      <c r="C2834" t="s">
        <v>6251</v>
      </c>
      <c r="D2834" t="s">
        <v>7512</v>
      </c>
      <c r="E2834" t="s">
        <v>11052</v>
      </c>
      <c r="F2834">
        <v>50</v>
      </c>
      <c r="G2834">
        <v>1986583</v>
      </c>
      <c r="H2834" t="s">
        <v>11053</v>
      </c>
      <c r="J2834" s="54" t="s">
        <v>6052</v>
      </c>
      <c r="K2834" s="54">
        <v>0</v>
      </c>
      <c r="L2834" s="22" t="s">
        <v>104</v>
      </c>
      <c r="M2834" s="22" t="s">
        <v>37037</v>
      </c>
    </row>
    <row r="2835" spans="1:13" x14ac:dyDescent="0.75">
      <c r="A2835" t="s">
        <v>11075</v>
      </c>
      <c r="B2835" t="s">
        <v>7511</v>
      </c>
      <c r="C2835" t="s">
        <v>6251</v>
      </c>
      <c r="D2835" t="s">
        <v>7512</v>
      </c>
      <c r="E2835" t="s">
        <v>11076</v>
      </c>
      <c r="F2835">
        <v>86</v>
      </c>
      <c r="G2835">
        <v>1905798</v>
      </c>
      <c r="H2835" t="s">
        <v>11077</v>
      </c>
      <c r="J2835" s="54" t="s">
        <v>6052</v>
      </c>
      <c r="K2835" s="54">
        <v>0</v>
      </c>
      <c r="L2835" s="22" t="s">
        <v>104</v>
      </c>
      <c r="M2835" s="22" t="s">
        <v>37037</v>
      </c>
    </row>
    <row r="2836" spans="1:13" x14ac:dyDescent="0.75">
      <c r="A2836" t="s">
        <v>7510</v>
      </c>
      <c r="B2836" t="s">
        <v>7511</v>
      </c>
      <c r="C2836" t="s">
        <v>6251</v>
      </c>
      <c r="D2836" t="s">
        <v>7512</v>
      </c>
      <c r="E2836" t="s">
        <v>7513</v>
      </c>
      <c r="F2836">
        <v>30</v>
      </c>
      <c r="G2836">
        <v>2124757</v>
      </c>
      <c r="H2836" t="s">
        <v>7514</v>
      </c>
      <c r="J2836" s="54" t="s">
        <v>6052</v>
      </c>
      <c r="K2836" s="54">
        <v>0</v>
      </c>
      <c r="L2836" s="22" t="s">
        <v>104</v>
      </c>
      <c r="M2836" s="22" t="s">
        <v>37037</v>
      </c>
    </row>
    <row r="2837" spans="1:13" x14ac:dyDescent="0.75">
      <c r="A2837" t="s">
        <v>10566</v>
      </c>
      <c r="B2837" t="s">
        <v>7511</v>
      </c>
      <c r="C2837" t="s">
        <v>6251</v>
      </c>
      <c r="D2837" t="s">
        <v>7512</v>
      </c>
      <c r="E2837" t="s">
        <v>7513</v>
      </c>
      <c r="F2837">
        <v>19</v>
      </c>
      <c r="G2837">
        <v>2136084</v>
      </c>
      <c r="H2837" t="s">
        <v>10567</v>
      </c>
      <c r="J2837" s="54" t="s">
        <v>6052</v>
      </c>
      <c r="K2837" s="54">
        <v>0</v>
      </c>
      <c r="L2837" s="22" t="s">
        <v>104</v>
      </c>
      <c r="M2837" s="22" t="s">
        <v>37037</v>
      </c>
    </row>
    <row r="2838" spans="1:13" x14ac:dyDescent="0.75">
      <c r="A2838" t="s">
        <v>30253</v>
      </c>
      <c r="B2838" t="s">
        <v>6759</v>
      </c>
      <c r="C2838" t="s">
        <v>6107</v>
      </c>
      <c r="D2838" t="s">
        <v>6760</v>
      </c>
      <c r="E2838" t="s">
        <v>30254</v>
      </c>
      <c r="F2838">
        <v>199</v>
      </c>
      <c r="G2838">
        <v>1615346</v>
      </c>
      <c r="H2838" t="s">
        <v>30255</v>
      </c>
      <c r="J2838" s="54" t="s">
        <v>6052</v>
      </c>
      <c r="K2838" s="54">
        <v>0</v>
      </c>
      <c r="L2838" s="22" t="s">
        <v>1563</v>
      </c>
      <c r="M2838" s="22" t="s">
        <v>37016</v>
      </c>
    </row>
    <row r="2839" spans="1:13" x14ac:dyDescent="0.75">
      <c r="A2839" t="s">
        <v>12355</v>
      </c>
      <c r="B2839" t="s">
        <v>7511</v>
      </c>
      <c r="C2839" t="s">
        <v>6251</v>
      </c>
      <c r="D2839" t="s">
        <v>7512</v>
      </c>
      <c r="E2839" t="s">
        <v>12356</v>
      </c>
      <c r="F2839">
        <v>13</v>
      </c>
      <c r="G2839">
        <v>2120924</v>
      </c>
      <c r="H2839" t="s">
        <v>12357</v>
      </c>
      <c r="J2839" s="54" t="s">
        <v>6052</v>
      </c>
      <c r="K2839" s="54">
        <v>0</v>
      </c>
      <c r="L2839" s="22" t="s">
        <v>104</v>
      </c>
      <c r="M2839" s="22" t="s">
        <v>37037</v>
      </c>
    </row>
    <row r="2840" spans="1:13" x14ac:dyDescent="0.75">
      <c r="A2840" t="s">
        <v>15125</v>
      </c>
      <c r="B2840" t="s">
        <v>7511</v>
      </c>
      <c r="C2840" t="s">
        <v>6251</v>
      </c>
      <c r="D2840" t="s">
        <v>7512</v>
      </c>
      <c r="E2840" t="s">
        <v>15126</v>
      </c>
      <c r="F2840">
        <v>32</v>
      </c>
      <c r="G2840">
        <v>1999882</v>
      </c>
      <c r="H2840" t="s">
        <v>15127</v>
      </c>
      <c r="J2840" s="54" t="s">
        <v>6052</v>
      </c>
      <c r="K2840" s="54">
        <v>0</v>
      </c>
      <c r="L2840" s="22" t="s">
        <v>104</v>
      </c>
      <c r="M2840" s="22" t="s">
        <v>37037</v>
      </c>
    </row>
    <row r="2841" spans="1:13" x14ac:dyDescent="0.75">
      <c r="A2841" t="s">
        <v>15146</v>
      </c>
      <c r="B2841" t="s">
        <v>7511</v>
      </c>
      <c r="C2841" t="s">
        <v>6251</v>
      </c>
      <c r="D2841" t="s">
        <v>7512</v>
      </c>
      <c r="E2841" t="s">
        <v>15147</v>
      </c>
      <c r="F2841">
        <v>23</v>
      </c>
      <c r="G2841">
        <v>2088855</v>
      </c>
      <c r="H2841" t="s">
        <v>15148</v>
      </c>
      <c r="J2841" s="54" t="s">
        <v>6052</v>
      </c>
      <c r="K2841" s="54">
        <v>0</v>
      </c>
      <c r="L2841" s="22" t="s">
        <v>104</v>
      </c>
      <c r="M2841" s="22" t="s">
        <v>37037</v>
      </c>
    </row>
    <row r="2842" spans="1:13" x14ac:dyDescent="0.75">
      <c r="A2842" t="s">
        <v>15131</v>
      </c>
      <c r="B2842" t="s">
        <v>7511</v>
      </c>
      <c r="C2842" t="s">
        <v>6251</v>
      </c>
      <c r="D2842" t="s">
        <v>7512</v>
      </c>
      <c r="E2842" t="s">
        <v>15132</v>
      </c>
      <c r="F2842">
        <v>15</v>
      </c>
      <c r="G2842">
        <v>1898682</v>
      </c>
      <c r="H2842" t="s">
        <v>15133</v>
      </c>
      <c r="J2842" s="54" t="s">
        <v>6052</v>
      </c>
      <c r="K2842" s="54">
        <v>0</v>
      </c>
      <c r="L2842" s="22" t="s">
        <v>104</v>
      </c>
      <c r="M2842" s="22" t="s">
        <v>37037</v>
      </c>
    </row>
    <row r="2843" spans="1:13" x14ac:dyDescent="0.75">
      <c r="A2843" t="s">
        <v>15149</v>
      </c>
      <c r="B2843" t="s">
        <v>7511</v>
      </c>
      <c r="C2843" t="s">
        <v>6251</v>
      </c>
      <c r="D2843" t="s">
        <v>7512</v>
      </c>
      <c r="E2843" t="s">
        <v>15150</v>
      </c>
      <c r="F2843">
        <v>16</v>
      </c>
      <c r="G2843">
        <v>2079145</v>
      </c>
      <c r="H2843" t="s">
        <v>15151</v>
      </c>
      <c r="J2843" s="54" t="s">
        <v>6052</v>
      </c>
      <c r="K2843" s="54">
        <v>0</v>
      </c>
      <c r="L2843" s="22" t="s">
        <v>104</v>
      </c>
      <c r="M2843" s="22" t="s">
        <v>37037</v>
      </c>
    </row>
    <row r="2844" spans="1:13" x14ac:dyDescent="0.75">
      <c r="A2844" t="s">
        <v>15128</v>
      </c>
      <c r="B2844" t="s">
        <v>7511</v>
      </c>
      <c r="C2844" t="s">
        <v>6251</v>
      </c>
      <c r="D2844" t="s">
        <v>7512</v>
      </c>
      <c r="E2844" t="s">
        <v>15129</v>
      </c>
      <c r="F2844">
        <v>51</v>
      </c>
      <c r="G2844">
        <v>2100038</v>
      </c>
      <c r="H2844" t="s">
        <v>15130</v>
      </c>
      <c r="J2844" s="54" t="s">
        <v>6052</v>
      </c>
      <c r="K2844" s="54">
        <v>0</v>
      </c>
      <c r="L2844" s="22" t="s">
        <v>104</v>
      </c>
      <c r="M2844" s="22" t="s">
        <v>37037</v>
      </c>
    </row>
    <row r="2845" spans="1:13" x14ac:dyDescent="0.75">
      <c r="A2845" t="s">
        <v>15164</v>
      </c>
      <c r="B2845" t="s">
        <v>7511</v>
      </c>
      <c r="C2845" t="s">
        <v>6251</v>
      </c>
      <c r="D2845" t="s">
        <v>7512</v>
      </c>
      <c r="E2845" t="s">
        <v>15165</v>
      </c>
      <c r="F2845">
        <v>21</v>
      </c>
      <c r="G2845">
        <v>1928811</v>
      </c>
      <c r="H2845" t="s">
        <v>15166</v>
      </c>
      <c r="J2845" s="54" t="s">
        <v>6052</v>
      </c>
      <c r="K2845" s="54">
        <v>0</v>
      </c>
      <c r="L2845" s="22" t="s">
        <v>104</v>
      </c>
      <c r="M2845" s="22" t="s">
        <v>37037</v>
      </c>
    </row>
    <row r="2846" spans="1:13" x14ac:dyDescent="0.75">
      <c r="A2846" t="s">
        <v>15170</v>
      </c>
      <c r="B2846" t="s">
        <v>7511</v>
      </c>
      <c r="C2846" t="s">
        <v>6251</v>
      </c>
      <c r="D2846" t="s">
        <v>7512</v>
      </c>
      <c r="E2846" t="s">
        <v>15171</v>
      </c>
      <c r="F2846">
        <v>25</v>
      </c>
      <c r="G2846">
        <v>1958906</v>
      </c>
      <c r="H2846" t="s">
        <v>15172</v>
      </c>
      <c r="J2846" s="54" t="s">
        <v>6052</v>
      </c>
      <c r="K2846" s="54">
        <v>0</v>
      </c>
      <c r="L2846" s="22" t="s">
        <v>104</v>
      </c>
      <c r="M2846" s="22" t="s">
        <v>37037</v>
      </c>
    </row>
    <row r="2847" spans="1:13" x14ac:dyDescent="0.75">
      <c r="A2847" t="s">
        <v>15176</v>
      </c>
      <c r="B2847" t="s">
        <v>7511</v>
      </c>
      <c r="C2847" t="s">
        <v>6251</v>
      </c>
      <c r="D2847" t="s">
        <v>7512</v>
      </c>
      <c r="E2847" t="s">
        <v>15177</v>
      </c>
      <c r="F2847">
        <v>26</v>
      </c>
      <c r="G2847">
        <v>1940388</v>
      </c>
      <c r="H2847" t="s">
        <v>15178</v>
      </c>
      <c r="J2847" s="54" t="s">
        <v>6052</v>
      </c>
      <c r="K2847" s="54">
        <v>0</v>
      </c>
      <c r="L2847" s="22" t="s">
        <v>104</v>
      </c>
      <c r="M2847" s="22" t="s">
        <v>37037</v>
      </c>
    </row>
    <row r="2848" spans="1:13" x14ac:dyDescent="0.75">
      <c r="A2848" t="s">
        <v>12337</v>
      </c>
      <c r="B2848" t="s">
        <v>7511</v>
      </c>
      <c r="C2848" t="s">
        <v>6251</v>
      </c>
      <c r="D2848" t="s">
        <v>7512</v>
      </c>
      <c r="E2848" t="s">
        <v>12338</v>
      </c>
      <c r="F2848">
        <v>20</v>
      </c>
      <c r="G2848">
        <v>2148389</v>
      </c>
      <c r="H2848" t="s">
        <v>12339</v>
      </c>
      <c r="J2848" s="54" t="s">
        <v>6052</v>
      </c>
      <c r="K2848" s="54">
        <v>0</v>
      </c>
      <c r="L2848" s="22" t="s">
        <v>104</v>
      </c>
      <c r="M2848" s="22" t="s">
        <v>37037</v>
      </c>
    </row>
    <row r="2849" spans="1:13" x14ac:dyDescent="0.75">
      <c r="A2849" t="s">
        <v>12346</v>
      </c>
      <c r="B2849" t="s">
        <v>7511</v>
      </c>
      <c r="C2849" t="s">
        <v>6251</v>
      </c>
      <c r="D2849" t="s">
        <v>7512</v>
      </c>
      <c r="E2849" t="s">
        <v>12347</v>
      </c>
      <c r="F2849">
        <v>26</v>
      </c>
      <c r="G2849">
        <v>2091064</v>
      </c>
      <c r="H2849" t="s">
        <v>12348</v>
      </c>
      <c r="J2849" s="54" t="s">
        <v>6052</v>
      </c>
      <c r="K2849" s="54">
        <v>0</v>
      </c>
      <c r="L2849" s="22" t="s">
        <v>104</v>
      </c>
      <c r="M2849" s="22" t="s">
        <v>37037</v>
      </c>
    </row>
    <row r="2850" spans="1:13" x14ac:dyDescent="0.75">
      <c r="A2850" t="s">
        <v>12328</v>
      </c>
      <c r="B2850" t="s">
        <v>7511</v>
      </c>
      <c r="C2850" t="s">
        <v>6251</v>
      </c>
      <c r="D2850" t="s">
        <v>7512</v>
      </c>
      <c r="E2850" t="s">
        <v>12329</v>
      </c>
      <c r="F2850">
        <v>36</v>
      </c>
      <c r="G2850">
        <v>2129377</v>
      </c>
      <c r="H2850" t="s">
        <v>12330</v>
      </c>
      <c r="J2850" s="54" t="s">
        <v>6052</v>
      </c>
      <c r="K2850" s="54">
        <v>0</v>
      </c>
      <c r="L2850" s="22" t="s">
        <v>104</v>
      </c>
      <c r="M2850" s="22" t="s">
        <v>37037</v>
      </c>
    </row>
    <row r="2851" spans="1:13" x14ac:dyDescent="0.75">
      <c r="A2851" t="s">
        <v>12343</v>
      </c>
      <c r="B2851" t="s">
        <v>7511</v>
      </c>
      <c r="C2851" t="s">
        <v>6251</v>
      </c>
      <c r="D2851" t="s">
        <v>7512</v>
      </c>
      <c r="E2851" t="s">
        <v>12344</v>
      </c>
      <c r="F2851">
        <v>19</v>
      </c>
      <c r="G2851">
        <v>2125877</v>
      </c>
      <c r="H2851" t="s">
        <v>12345</v>
      </c>
      <c r="J2851" s="54" t="s">
        <v>6052</v>
      </c>
      <c r="K2851" s="54">
        <v>0</v>
      </c>
      <c r="L2851" s="22" t="s">
        <v>104</v>
      </c>
      <c r="M2851" s="22" t="s">
        <v>37037</v>
      </c>
    </row>
    <row r="2852" spans="1:13" x14ac:dyDescent="0.75">
      <c r="A2852" t="s">
        <v>17995</v>
      </c>
      <c r="B2852" t="s">
        <v>7511</v>
      </c>
      <c r="C2852" t="s">
        <v>6251</v>
      </c>
      <c r="D2852" t="s">
        <v>7512</v>
      </c>
      <c r="E2852" t="s">
        <v>17996</v>
      </c>
      <c r="F2852">
        <v>187</v>
      </c>
      <c r="G2852">
        <v>2127067</v>
      </c>
      <c r="H2852" t="s">
        <v>17997</v>
      </c>
      <c r="J2852" s="54" t="s">
        <v>6052</v>
      </c>
      <c r="K2852" s="54">
        <v>0</v>
      </c>
      <c r="L2852" s="22" t="s">
        <v>104</v>
      </c>
      <c r="M2852" s="22" t="s">
        <v>37037</v>
      </c>
    </row>
    <row r="2853" spans="1:13" x14ac:dyDescent="0.75">
      <c r="A2853" t="s">
        <v>26642</v>
      </c>
      <c r="B2853" t="s">
        <v>7511</v>
      </c>
      <c r="C2853" t="s">
        <v>6251</v>
      </c>
      <c r="D2853" t="s">
        <v>7512</v>
      </c>
      <c r="E2853" t="s">
        <v>26643</v>
      </c>
      <c r="F2853">
        <v>1</v>
      </c>
      <c r="G2853">
        <v>2141689</v>
      </c>
      <c r="H2853" t="s">
        <v>26644</v>
      </c>
      <c r="J2853" s="54" t="s">
        <v>6052</v>
      </c>
      <c r="K2853" s="54">
        <v>0</v>
      </c>
      <c r="L2853" s="22" t="s">
        <v>104</v>
      </c>
      <c r="M2853" s="22" t="s">
        <v>37037</v>
      </c>
    </row>
    <row r="2854" spans="1:13" x14ac:dyDescent="0.75">
      <c r="A2854" t="s">
        <v>25340</v>
      </c>
      <c r="B2854" t="s">
        <v>7511</v>
      </c>
      <c r="C2854" t="s">
        <v>6251</v>
      </c>
      <c r="D2854" t="s">
        <v>7512</v>
      </c>
      <c r="E2854" t="s">
        <v>25341</v>
      </c>
      <c r="F2854">
        <v>1</v>
      </c>
      <c r="G2854">
        <v>2153240</v>
      </c>
      <c r="H2854" t="s">
        <v>25342</v>
      </c>
      <c r="J2854" s="54" t="s">
        <v>6052</v>
      </c>
      <c r="K2854" s="54">
        <v>0</v>
      </c>
      <c r="L2854" s="22" t="s">
        <v>104</v>
      </c>
      <c r="M2854" s="22" t="s">
        <v>37037</v>
      </c>
    </row>
    <row r="2855" spans="1:13" x14ac:dyDescent="0.75">
      <c r="A2855" t="s">
        <v>28749</v>
      </c>
      <c r="B2855" t="s">
        <v>7511</v>
      </c>
      <c r="C2855" t="s">
        <v>6251</v>
      </c>
      <c r="D2855" t="s">
        <v>7512</v>
      </c>
      <c r="E2855" t="s">
        <v>28750</v>
      </c>
      <c r="F2855">
        <v>37</v>
      </c>
      <c r="G2855">
        <v>1867846</v>
      </c>
      <c r="H2855" t="s">
        <v>28751</v>
      </c>
      <c r="J2855" s="54" t="s">
        <v>6052</v>
      </c>
      <c r="K2855" s="54">
        <v>0</v>
      </c>
      <c r="L2855" s="22" t="s">
        <v>104</v>
      </c>
      <c r="M2855" s="22" t="s">
        <v>37037</v>
      </c>
    </row>
    <row r="2856" spans="1:13" x14ac:dyDescent="0.75">
      <c r="A2856" t="s">
        <v>28758</v>
      </c>
      <c r="B2856" t="s">
        <v>7511</v>
      </c>
      <c r="C2856" t="s">
        <v>6251</v>
      </c>
      <c r="D2856" t="s">
        <v>7512</v>
      </c>
      <c r="E2856" t="s">
        <v>28759</v>
      </c>
      <c r="F2856">
        <v>28</v>
      </c>
      <c r="G2856">
        <v>2091746</v>
      </c>
      <c r="H2856" t="s">
        <v>28760</v>
      </c>
      <c r="J2856" s="54" t="s">
        <v>6052</v>
      </c>
      <c r="K2856" s="54">
        <v>0</v>
      </c>
      <c r="L2856" s="22" t="s">
        <v>104</v>
      </c>
      <c r="M2856" s="22" t="s">
        <v>37037</v>
      </c>
    </row>
    <row r="2857" spans="1:13" x14ac:dyDescent="0.75">
      <c r="A2857" t="s">
        <v>29765</v>
      </c>
      <c r="B2857" t="s">
        <v>7511</v>
      </c>
      <c r="C2857" t="s">
        <v>6251</v>
      </c>
      <c r="D2857" t="s">
        <v>7512</v>
      </c>
      <c r="E2857" t="s">
        <v>29766</v>
      </c>
      <c r="F2857">
        <v>15</v>
      </c>
      <c r="G2857">
        <v>1898815</v>
      </c>
      <c r="H2857" t="s">
        <v>29767</v>
      </c>
      <c r="J2857" s="54" t="s">
        <v>6052</v>
      </c>
      <c r="K2857" s="54">
        <v>0</v>
      </c>
      <c r="L2857" s="22" t="s">
        <v>104</v>
      </c>
      <c r="M2857" s="22" t="s">
        <v>37037</v>
      </c>
    </row>
    <row r="2858" spans="1:13" x14ac:dyDescent="0.75">
      <c r="A2858" t="s">
        <v>29728</v>
      </c>
      <c r="B2858" t="s">
        <v>7511</v>
      </c>
      <c r="C2858" t="s">
        <v>6251</v>
      </c>
      <c r="D2858" t="s">
        <v>7512</v>
      </c>
      <c r="E2858" t="s">
        <v>29729</v>
      </c>
      <c r="F2858">
        <v>37</v>
      </c>
      <c r="G2858">
        <v>2073216</v>
      </c>
      <c r="H2858" t="s">
        <v>29730</v>
      </c>
      <c r="J2858" s="54" t="s">
        <v>6052</v>
      </c>
      <c r="K2858" s="54">
        <v>0</v>
      </c>
      <c r="L2858" s="22" t="s">
        <v>104</v>
      </c>
      <c r="M2858" s="22" t="s">
        <v>37037</v>
      </c>
    </row>
    <row r="2859" spans="1:13" x14ac:dyDescent="0.75">
      <c r="A2859" t="s">
        <v>20021</v>
      </c>
      <c r="B2859" t="s">
        <v>7511</v>
      </c>
      <c r="C2859" t="s">
        <v>6251</v>
      </c>
      <c r="D2859" t="s">
        <v>7512</v>
      </c>
      <c r="E2859" t="s">
        <v>20022</v>
      </c>
      <c r="F2859">
        <v>1</v>
      </c>
      <c r="G2859">
        <v>2141704</v>
      </c>
      <c r="H2859" t="s">
        <v>20023</v>
      </c>
      <c r="J2859" s="54" t="s">
        <v>6052</v>
      </c>
      <c r="K2859" s="54">
        <v>0</v>
      </c>
      <c r="L2859" s="22" t="s">
        <v>104</v>
      </c>
      <c r="M2859" s="22" t="s">
        <v>37037</v>
      </c>
    </row>
    <row r="2860" spans="1:13" x14ac:dyDescent="0.75">
      <c r="A2860" t="s">
        <v>28121</v>
      </c>
      <c r="B2860" t="s">
        <v>7511</v>
      </c>
      <c r="C2860" t="s">
        <v>6251</v>
      </c>
      <c r="D2860" t="s">
        <v>7512</v>
      </c>
      <c r="E2860" t="s">
        <v>28122</v>
      </c>
      <c r="F2860">
        <v>23</v>
      </c>
      <c r="G2860">
        <v>1943763</v>
      </c>
      <c r="H2860" t="s">
        <v>28123</v>
      </c>
      <c r="J2860" s="54" t="s">
        <v>6052</v>
      </c>
      <c r="K2860" s="54">
        <v>0</v>
      </c>
      <c r="L2860" s="22" t="s">
        <v>104</v>
      </c>
      <c r="M2860" s="22" t="s">
        <v>37037</v>
      </c>
    </row>
    <row r="2861" spans="1:13" x14ac:dyDescent="0.75">
      <c r="A2861" t="s">
        <v>8603</v>
      </c>
      <c r="B2861" t="s">
        <v>7511</v>
      </c>
      <c r="C2861" t="s">
        <v>6251</v>
      </c>
      <c r="D2861" t="s">
        <v>7512</v>
      </c>
      <c r="E2861" t="s">
        <v>8604</v>
      </c>
      <c r="F2861">
        <v>42</v>
      </c>
      <c r="G2861">
        <v>2101432</v>
      </c>
      <c r="H2861" t="s">
        <v>8605</v>
      </c>
      <c r="J2861" s="54" t="s">
        <v>6052</v>
      </c>
      <c r="K2861" s="54">
        <v>0</v>
      </c>
      <c r="L2861" s="22" t="s">
        <v>104</v>
      </c>
      <c r="M2861" s="22" t="s">
        <v>37037</v>
      </c>
    </row>
    <row r="2862" spans="1:13" x14ac:dyDescent="0.75">
      <c r="A2862" t="s">
        <v>8579</v>
      </c>
      <c r="B2862" t="s">
        <v>7511</v>
      </c>
      <c r="C2862" t="s">
        <v>6251</v>
      </c>
      <c r="D2862" t="s">
        <v>7512</v>
      </c>
      <c r="E2862" t="s">
        <v>8580</v>
      </c>
      <c r="F2862">
        <v>68</v>
      </c>
      <c r="G2862">
        <v>2107814</v>
      </c>
      <c r="H2862" t="s">
        <v>8581</v>
      </c>
      <c r="J2862" s="54" t="s">
        <v>6052</v>
      </c>
      <c r="K2862" s="54">
        <v>0</v>
      </c>
      <c r="L2862" s="22" t="s">
        <v>104</v>
      </c>
      <c r="M2862" s="22" t="s">
        <v>37037</v>
      </c>
    </row>
    <row r="2863" spans="1:13" x14ac:dyDescent="0.75">
      <c r="A2863" t="s">
        <v>12738</v>
      </c>
      <c r="B2863" t="s">
        <v>7511</v>
      </c>
      <c r="C2863" t="s">
        <v>6251</v>
      </c>
      <c r="D2863" t="s">
        <v>7512</v>
      </c>
      <c r="E2863" t="s">
        <v>12739</v>
      </c>
      <c r="F2863">
        <v>62</v>
      </c>
      <c r="G2863">
        <v>1948914</v>
      </c>
      <c r="H2863" t="s">
        <v>12740</v>
      </c>
      <c r="J2863" s="54" t="s">
        <v>6052</v>
      </c>
      <c r="K2863" s="54">
        <v>0</v>
      </c>
      <c r="L2863" s="22" t="s">
        <v>104</v>
      </c>
      <c r="M2863" s="22" t="s">
        <v>37037</v>
      </c>
    </row>
    <row r="2864" spans="1:13" x14ac:dyDescent="0.75">
      <c r="A2864" t="s">
        <v>6482</v>
      </c>
      <c r="B2864" t="s">
        <v>6483</v>
      </c>
      <c r="C2864" t="s">
        <v>6484</v>
      </c>
      <c r="D2864" t="s">
        <v>6485</v>
      </c>
      <c r="E2864" t="s">
        <v>6486</v>
      </c>
      <c r="F2864">
        <v>1</v>
      </c>
      <c r="G2864">
        <v>1617545</v>
      </c>
      <c r="H2864" t="s">
        <v>6487</v>
      </c>
      <c r="J2864" s="54" t="s">
        <v>6052</v>
      </c>
      <c r="K2864" s="54">
        <v>0</v>
      </c>
      <c r="L2864" s="22" t="s">
        <v>1308</v>
      </c>
      <c r="M2864" s="22" t="s">
        <v>37023</v>
      </c>
    </row>
    <row r="2865" spans="1:13" x14ac:dyDescent="0.75">
      <c r="A2865" t="s">
        <v>8626</v>
      </c>
      <c r="B2865" t="s">
        <v>8627</v>
      </c>
      <c r="C2865" t="s">
        <v>6484</v>
      </c>
      <c r="D2865" t="s">
        <v>8628</v>
      </c>
      <c r="E2865" t="s">
        <v>8629</v>
      </c>
      <c r="F2865">
        <v>14</v>
      </c>
      <c r="G2865">
        <v>1493594</v>
      </c>
      <c r="H2865" t="s">
        <v>8630</v>
      </c>
      <c r="J2865" s="54" t="s">
        <v>6052</v>
      </c>
      <c r="K2865" s="54">
        <v>0</v>
      </c>
      <c r="L2865" s="22" t="s">
        <v>1308</v>
      </c>
      <c r="M2865" s="22" t="s">
        <v>37024</v>
      </c>
    </row>
    <row r="2866" spans="1:13" x14ac:dyDescent="0.75">
      <c r="A2866" t="s">
        <v>7287</v>
      </c>
      <c r="B2866" t="s">
        <v>7288</v>
      </c>
      <c r="C2866" t="s">
        <v>6484</v>
      </c>
      <c r="D2866" t="s">
        <v>6831</v>
      </c>
      <c r="E2866" t="s">
        <v>7289</v>
      </c>
      <c r="F2866">
        <v>156</v>
      </c>
      <c r="G2866">
        <v>1604161</v>
      </c>
      <c r="H2866" t="s">
        <v>7290</v>
      </c>
      <c r="J2866" s="54" t="s">
        <v>6052</v>
      </c>
      <c r="K2866" s="54">
        <v>0</v>
      </c>
      <c r="L2866" s="22" t="s">
        <v>1308</v>
      </c>
      <c r="M2866" s="22" t="s">
        <v>37025</v>
      </c>
    </row>
    <row r="2867" spans="1:13" x14ac:dyDescent="0.75">
      <c r="A2867" t="s">
        <v>15442</v>
      </c>
      <c r="B2867" t="s">
        <v>7288</v>
      </c>
      <c r="C2867" t="s">
        <v>6484</v>
      </c>
      <c r="D2867" t="s">
        <v>6831</v>
      </c>
      <c r="E2867" t="s">
        <v>7289</v>
      </c>
      <c r="F2867">
        <v>2</v>
      </c>
      <c r="G2867">
        <v>1661998</v>
      </c>
      <c r="H2867" t="s">
        <v>15443</v>
      </c>
      <c r="J2867" s="54" t="s">
        <v>6052</v>
      </c>
      <c r="K2867" s="54">
        <v>0</v>
      </c>
      <c r="L2867" s="22" t="s">
        <v>1308</v>
      </c>
      <c r="M2867" s="22" t="s">
        <v>37025</v>
      </c>
    </row>
    <row r="2868" spans="1:13" x14ac:dyDescent="0.75">
      <c r="A2868" t="s">
        <v>16607</v>
      </c>
      <c r="B2868" t="s">
        <v>7288</v>
      </c>
      <c r="C2868" t="s">
        <v>6484</v>
      </c>
      <c r="D2868" t="s">
        <v>6831</v>
      </c>
      <c r="E2868" t="s">
        <v>7289</v>
      </c>
      <c r="F2868">
        <v>14</v>
      </c>
      <c r="G2868">
        <v>1657111</v>
      </c>
      <c r="H2868" t="s">
        <v>16608</v>
      </c>
      <c r="J2868" s="54" t="s">
        <v>6052</v>
      </c>
      <c r="K2868" s="54">
        <v>0</v>
      </c>
      <c r="L2868" s="22" t="s">
        <v>1308</v>
      </c>
      <c r="M2868" s="22" t="s">
        <v>37025</v>
      </c>
    </row>
    <row r="2869" spans="1:13" x14ac:dyDescent="0.75">
      <c r="A2869" t="s">
        <v>25035</v>
      </c>
      <c r="B2869" t="s">
        <v>14423</v>
      </c>
      <c r="C2869" t="s">
        <v>6484</v>
      </c>
      <c r="D2869" t="s">
        <v>14424</v>
      </c>
      <c r="E2869" t="s">
        <v>25036</v>
      </c>
      <c r="F2869">
        <v>3</v>
      </c>
      <c r="G2869">
        <v>1509345</v>
      </c>
      <c r="H2869" t="s">
        <v>25037</v>
      </c>
      <c r="J2869" s="54" t="s">
        <v>6052</v>
      </c>
      <c r="K2869" s="54">
        <v>0</v>
      </c>
      <c r="L2869" s="22" t="s">
        <v>1308</v>
      </c>
      <c r="M2869" s="22" t="s">
        <v>37026</v>
      </c>
    </row>
    <row r="2870" spans="1:13" x14ac:dyDescent="0.75">
      <c r="A2870" t="s">
        <v>27163</v>
      </c>
      <c r="B2870" t="s">
        <v>7288</v>
      </c>
      <c r="C2870" t="s">
        <v>6484</v>
      </c>
      <c r="D2870" t="s">
        <v>6831</v>
      </c>
      <c r="E2870" t="s">
        <v>27164</v>
      </c>
      <c r="F2870">
        <v>1</v>
      </c>
      <c r="G2870">
        <v>1684415</v>
      </c>
      <c r="H2870" t="s">
        <v>27165</v>
      </c>
      <c r="J2870" s="54" t="s">
        <v>6052</v>
      </c>
      <c r="K2870" s="54">
        <v>0</v>
      </c>
      <c r="L2870" s="22" t="s">
        <v>1308</v>
      </c>
      <c r="M2870" s="22" t="s">
        <v>37025</v>
      </c>
    </row>
    <row r="2871" spans="1:13" x14ac:dyDescent="0.75">
      <c r="A2871" t="s">
        <v>15447</v>
      </c>
      <c r="B2871" t="s">
        <v>6483</v>
      </c>
      <c r="C2871" t="s">
        <v>6484</v>
      </c>
      <c r="D2871" t="s">
        <v>6485</v>
      </c>
      <c r="E2871" t="s">
        <v>15448</v>
      </c>
      <c r="F2871">
        <v>4</v>
      </c>
      <c r="G2871">
        <v>1589042</v>
      </c>
      <c r="H2871" t="s">
        <v>15449</v>
      </c>
      <c r="J2871" s="54" t="s">
        <v>6052</v>
      </c>
      <c r="K2871" s="54">
        <v>0</v>
      </c>
      <c r="L2871" s="22" t="s">
        <v>1308</v>
      </c>
      <c r="M2871" s="22" t="s">
        <v>37023</v>
      </c>
    </row>
    <row r="2872" spans="1:13" x14ac:dyDescent="0.75">
      <c r="A2872" t="s">
        <v>15444</v>
      </c>
      <c r="B2872" t="s">
        <v>6483</v>
      </c>
      <c r="C2872" t="s">
        <v>6484</v>
      </c>
      <c r="D2872" t="s">
        <v>6485</v>
      </c>
      <c r="E2872" t="s">
        <v>15445</v>
      </c>
      <c r="F2872">
        <v>9</v>
      </c>
      <c r="G2872">
        <v>1622089</v>
      </c>
      <c r="H2872" t="s">
        <v>15446</v>
      </c>
      <c r="J2872" s="54" t="s">
        <v>6052</v>
      </c>
      <c r="K2872" s="54">
        <v>0</v>
      </c>
      <c r="L2872" s="22" t="s">
        <v>1308</v>
      </c>
      <c r="M2872" s="22" t="s">
        <v>37023</v>
      </c>
    </row>
    <row r="2873" spans="1:13" x14ac:dyDescent="0.75">
      <c r="A2873" t="s">
        <v>13248</v>
      </c>
      <c r="B2873" t="s">
        <v>6483</v>
      </c>
      <c r="C2873" t="s">
        <v>6484</v>
      </c>
      <c r="D2873" t="s">
        <v>6485</v>
      </c>
      <c r="E2873" t="s">
        <v>13249</v>
      </c>
      <c r="F2873">
        <v>1</v>
      </c>
      <c r="G2873">
        <v>1746718</v>
      </c>
      <c r="H2873" t="s">
        <v>13250</v>
      </c>
      <c r="J2873" s="54" t="s">
        <v>6052</v>
      </c>
      <c r="K2873" s="54">
        <v>0</v>
      </c>
      <c r="L2873" s="22" t="s">
        <v>1308</v>
      </c>
      <c r="M2873" s="22" t="s">
        <v>37023</v>
      </c>
    </row>
    <row r="2874" spans="1:13" x14ac:dyDescent="0.75">
      <c r="A2874" t="s">
        <v>7762</v>
      </c>
      <c r="B2874" t="s">
        <v>7288</v>
      </c>
      <c r="C2874" t="s">
        <v>6484</v>
      </c>
      <c r="D2874" t="s">
        <v>6831</v>
      </c>
      <c r="E2874" t="s">
        <v>7763</v>
      </c>
      <c r="F2874">
        <v>1</v>
      </c>
      <c r="G2874">
        <v>1726519</v>
      </c>
      <c r="H2874" t="s">
        <v>7764</v>
      </c>
      <c r="J2874" s="54" t="s">
        <v>6052</v>
      </c>
      <c r="K2874" s="54">
        <v>0</v>
      </c>
      <c r="L2874" s="22" t="s">
        <v>1308</v>
      </c>
      <c r="M2874" s="22" t="s">
        <v>37025</v>
      </c>
    </row>
    <row r="2875" spans="1:13" x14ac:dyDescent="0.75">
      <c r="A2875" t="s">
        <v>10931</v>
      </c>
      <c r="B2875" t="s">
        <v>7288</v>
      </c>
      <c r="C2875" t="s">
        <v>6484</v>
      </c>
      <c r="D2875" t="s">
        <v>6831</v>
      </c>
      <c r="E2875" t="s">
        <v>10932</v>
      </c>
      <c r="F2875">
        <v>1</v>
      </c>
      <c r="G2875">
        <v>1667406</v>
      </c>
      <c r="H2875" t="s">
        <v>10933</v>
      </c>
      <c r="J2875" s="54" t="s">
        <v>6052</v>
      </c>
      <c r="K2875" s="54">
        <v>0</v>
      </c>
      <c r="L2875" s="22" t="s">
        <v>1308</v>
      </c>
      <c r="M2875" s="22" t="s">
        <v>37025</v>
      </c>
    </row>
    <row r="2876" spans="1:13" x14ac:dyDescent="0.75">
      <c r="A2876" t="s">
        <v>23220</v>
      </c>
      <c r="B2876" t="s">
        <v>7288</v>
      </c>
      <c r="C2876" t="s">
        <v>6484</v>
      </c>
      <c r="D2876" t="s">
        <v>6831</v>
      </c>
      <c r="E2876" t="s">
        <v>23221</v>
      </c>
      <c r="F2876">
        <v>1</v>
      </c>
      <c r="G2876">
        <v>1682566</v>
      </c>
      <c r="H2876" t="s">
        <v>23222</v>
      </c>
      <c r="J2876" s="54" t="s">
        <v>6052</v>
      </c>
      <c r="K2876" s="54">
        <v>0</v>
      </c>
      <c r="L2876" s="22" t="s">
        <v>1308</v>
      </c>
      <c r="M2876" s="22" t="s">
        <v>37025</v>
      </c>
    </row>
    <row r="2877" spans="1:13" x14ac:dyDescent="0.75">
      <c r="A2877" t="s">
        <v>23217</v>
      </c>
      <c r="B2877" t="s">
        <v>14423</v>
      </c>
      <c r="C2877" t="s">
        <v>6484</v>
      </c>
      <c r="D2877" t="s">
        <v>14424</v>
      </c>
      <c r="E2877" t="s">
        <v>23218</v>
      </c>
      <c r="F2877">
        <v>1</v>
      </c>
      <c r="G2877">
        <v>1541442</v>
      </c>
      <c r="H2877" t="s">
        <v>23219</v>
      </c>
      <c r="J2877" s="54" t="s">
        <v>6052</v>
      </c>
      <c r="K2877" s="54">
        <v>0</v>
      </c>
      <c r="L2877" s="22" t="s">
        <v>1308</v>
      </c>
      <c r="M2877" s="22" t="s">
        <v>37026</v>
      </c>
    </row>
    <row r="2878" spans="1:13" x14ac:dyDescent="0.75">
      <c r="A2878" t="s">
        <v>23214</v>
      </c>
      <c r="B2878" t="s">
        <v>14423</v>
      </c>
      <c r="C2878" t="s">
        <v>6484</v>
      </c>
      <c r="D2878" t="s">
        <v>14424</v>
      </c>
      <c r="E2878" t="s">
        <v>23215</v>
      </c>
      <c r="F2878">
        <v>1</v>
      </c>
      <c r="G2878">
        <v>1595814</v>
      </c>
      <c r="H2878" t="s">
        <v>23216</v>
      </c>
      <c r="J2878" s="54" t="s">
        <v>6052</v>
      </c>
      <c r="K2878" s="54">
        <v>0</v>
      </c>
      <c r="L2878" s="22" t="s">
        <v>1308</v>
      </c>
      <c r="M2878" s="22" t="s">
        <v>37026</v>
      </c>
    </row>
    <row r="2879" spans="1:13" x14ac:dyDescent="0.75">
      <c r="A2879" t="s">
        <v>23211</v>
      </c>
      <c r="B2879" t="s">
        <v>7288</v>
      </c>
      <c r="C2879" t="s">
        <v>6484</v>
      </c>
      <c r="D2879" t="s">
        <v>6831</v>
      </c>
      <c r="E2879" t="s">
        <v>23212</v>
      </c>
      <c r="F2879">
        <v>1</v>
      </c>
      <c r="G2879">
        <v>1542082</v>
      </c>
      <c r="H2879" t="s">
        <v>23213</v>
      </c>
      <c r="J2879" s="54" t="s">
        <v>6052</v>
      </c>
      <c r="K2879" s="54">
        <v>0</v>
      </c>
      <c r="L2879" s="22" t="s">
        <v>1308</v>
      </c>
      <c r="M2879" s="22" t="s">
        <v>37025</v>
      </c>
    </row>
    <row r="2880" spans="1:13" x14ac:dyDescent="0.75">
      <c r="A2880" t="s">
        <v>23226</v>
      </c>
      <c r="B2880" t="s">
        <v>6483</v>
      </c>
      <c r="C2880" t="s">
        <v>6484</v>
      </c>
      <c r="D2880" t="s">
        <v>6485</v>
      </c>
      <c r="E2880" t="s">
        <v>23227</v>
      </c>
      <c r="F2880">
        <v>1</v>
      </c>
      <c r="G2880">
        <v>1602355</v>
      </c>
      <c r="H2880" t="s">
        <v>23228</v>
      </c>
      <c r="J2880" s="54" t="s">
        <v>6052</v>
      </c>
      <c r="K2880" s="54">
        <v>0</v>
      </c>
      <c r="L2880" s="22" t="s">
        <v>1308</v>
      </c>
      <c r="M2880" s="22" t="s">
        <v>37023</v>
      </c>
    </row>
    <row r="2881" spans="1:13" x14ac:dyDescent="0.75">
      <c r="A2881" t="s">
        <v>23223</v>
      </c>
      <c r="B2881" t="s">
        <v>7288</v>
      </c>
      <c r="C2881" t="s">
        <v>6484</v>
      </c>
      <c r="D2881" t="s">
        <v>6831</v>
      </c>
      <c r="E2881" t="s">
        <v>23224</v>
      </c>
      <c r="F2881">
        <v>1</v>
      </c>
      <c r="G2881">
        <v>1640523</v>
      </c>
      <c r="H2881" t="s">
        <v>23225</v>
      </c>
      <c r="J2881" s="54" t="s">
        <v>6052</v>
      </c>
      <c r="K2881" s="54">
        <v>0</v>
      </c>
      <c r="L2881" s="22" t="s">
        <v>1308</v>
      </c>
      <c r="M2881" s="22" t="s">
        <v>37025</v>
      </c>
    </row>
    <row r="2882" spans="1:13" x14ac:dyDescent="0.75">
      <c r="A2882" t="s">
        <v>15376</v>
      </c>
      <c r="B2882" t="s">
        <v>14423</v>
      </c>
      <c r="C2882" t="s">
        <v>6484</v>
      </c>
      <c r="D2882" t="s">
        <v>14424</v>
      </c>
      <c r="E2882" t="s">
        <v>15377</v>
      </c>
      <c r="F2882">
        <v>7</v>
      </c>
      <c r="G2882">
        <v>1542981</v>
      </c>
      <c r="H2882" t="s">
        <v>15378</v>
      </c>
      <c r="J2882" s="54" t="s">
        <v>6052</v>
      </c>
      <c r="K2882" s="54">
        <v>0</v>
      </c>
      <c r="L2882" s="22" t="s">
        <v>1308</v>
      </c>
      <c r="M2882" s="22" t="s">
        <v>37026</v>
      </c>
    </row>
    <row r="2883" spans="1:13" x14ac:dyDescent="0.75">
      <c r="A2883" t="s">
        <v>15379</v>
      </c>
      <c r="B2883" t="s">
        <v>14423</v>
      </c>
      <c r="C2883" t="s">
        <v>6484</v>
      </c>
      <c r="D2883" t="s">
        <v>14424</v>
      </c>
      <c r="E2883" t="s">
        <v>15380</v>
      </c>
      <c r="F2883">
        <v>6</v>
      </c>
      <c r="G2883">
        <v>1541756</v>
      </c>
      <c r="H2883" t="s">
        <v>15381</v>
      </c>
      <c r="J2883" s="54" t="s">
        <v>6052</v>
      </c>
      <c r="K2883" s="54">
        <v>0</v>
      </c>
      <c r="L2883" s="22" t="s">
        <v>1308</v>
      </c>
      <c r="M2883" s="22" t="s">
        <v>37026</v>
      </c>
    </row>
    <row r="2884" spans="1:13" x14ac:dyDescent="0.75">
      <c r="A2884" t="s">
        <v>15382</v>
      </c>
      <c r="B2884" t="s">
        <v>14423</v>
      </c>
      <c r="C2884" t="s">
        <v>6484</v>
      </c>
      <c r="D2884" t="s">
        <v>14424</v>
      </c>
      <c r="E2884" t="s">
        <v>15383</v>
      </c>
      <c r="F2884">
        <v>7</v>
      </c>
      <c r="G2884">
        <v>1522480</v>
      </c>
      <c r="H2884" t="s">
        <v>15384</v>
      </c>
      <c r="J2884" s="54" t="s">
        <v>6052</v>
      </c>
      <c r="K2884" s="54">
        <v>0</v>
      </c>
      <c r="L2884" s="22" t="s">
        <v>1308</v>
      </c>
      <c r="M2884" s="22" t="s">
        <v>37026</v>
      </c>
    </row>
    <row r="2885" spans="1:13" x14ac:dyDescent="0.75">
      <c r="A2885" t="s">
        <v>27986</v>
      </c>
      <c r="B2885" t="s">
        <v>7288</v>
      </c>
      <c r="C2885" t="s">
        <v>6484</v>
      </c>
      <c r="D2885" t="s">
        <v>6831</v>
      </c>
      <c r="E2885" t="s">
        <v>27987</v>
      </c>
      <c r="F2885">
        <v>1</v>
      </c>
      <c r="G2885">
        <v>1667383</v>
      </c>
      <c r="H2885" t="s">
        <v>27988</v>
      </c>
      <c r="J2885" s="54" t="s">
        <v>6052</v>
      </c>
      <c r="K2885" s="54">
        <v>0</v>
      </c>
      <c r="L2885" s="22" t="s">
        <v>1308</v>
      </c>
      <c r="M2885" s="22" t="s">
        <v>37025</v>
      </c>
    </row>
    <row r="2886" spans="1:13" x14ac:dyDescent="0.75">
      <c r="A2886" t="s">
        <v>15255</v>
      </c>
      <c r="B2886" t="s">
        <v>8627</v>
      </c>
      <c r="C2886" t="s">
        <v>6484</v>
      </c>
      <c r="D2886" t="s">
        <v>8628</v>
      </c>
      <c r="E2886" t="s">
        <v>15256</v>
      </c>
      <c r="F2886">
        <v>1</v>
      </c>
      <c r="G2886">
        <v>1563545</v>
      </c>
      <c r="H2886" t="s">
        <v>15257</v>
      </c>
      <c r="J2886" s="54" t="s">
        <v>6052</v>
      </c>
      <c r="K2886" s="54">
        <v>0</v>
      </c>
      <c r="L2886" s="22" t="s">
        <v>1308</v>
      </c>
      <c r="M2886" s="22" t="s">
        <v>37024</v>
      </c>
    </row>
    <row r="2887" spans="1:13" x14ac:dyDescent="0.75">
      <c r="A2887" t="s">
        <v>15439</v>
      </c>
      <c r="B2887" t="s">
        <v>8627</v>
      </c>
      <c r="C2887" t="s">
        <v>6484</v>
      </c>
      <c r="D2887" t="s">
        <v>8628</v>
      </c>
      <c r="E2887" t="s">
        <v>15440</v>
      </c>
      <c r="F2887">
        <v>5</v>
      </c>
      <c r="G2887">
        <v>1470925</v>
      </c>
      <c r="H2887" t="s">
        <v>15441</v>
      </c>
      <c r="J2887" s="54" t="s">
        <v>6052</v>
      </c>
      <c r="K2887" s="54">
        <v>0</v>
      </c>
      <c r="L2887" s="22" t="s">
        <v>1308</v>
      </c>
      <c r="M2887" s="22" t="s">
        <v>37024</v>
      </c>
    </row>
    <row r="2888" spans="1:13" x14ac:dyDescent="0.75">
      <c r="A2888" t="s">
        <v>15433</v>
      </c>
      <c r="B2888" t="s">
        <v>14423</v>
      </c>
      <c r="C2888" t="s">
        <v>6484</v>
      </c>
      <c r="D2888" t="s">
        <v>14424</v>
      </c>
      <c r="E2888" t="s">
        <v>15434</v>
      </c>
      <c r="F2888">
        <v>5</v>
      </c>
      <c r="G2888">
        <v>1514270</v>
      </c>
      <c r="H2888" t="s">
        <v>15435</v>
      </c>
      <c r="J2888" s="54" t="s">
        <v>6052</v>
      </c>
      <c r="K2888" s="54">
        <v>0</v>
      </c>
      <c r="L2888" s="22" t="s">
        <v>1308</v>
      </c>
      <c r="M2888" s="22" t="s">
        <v>37026</v>
      </c>
    </row>
    <row r="2889" spans="1:13" x14ac:dyDescent="0.75">
      <c r="A2889" t="s">
        <v>15436</v>
      </c>
      <c r="B2889" t="s">
        <v>14423</v>
      </c>
      <c r="C2889" t="s">
        <v>6484</v>
      </c>
      <c r="D2889" t="s">
        <v>14424</v>
      </c>
      <c r="E2889" t="s">
        <v>15437</v>
      </c>
      <c r="F2889">
        <v>6</v>
      </c>
      <c r="G2889">
        <v>1547915</v>
      </c>
      <c r="H2889" t="s">
        <v>15438</v>
      </c>
      <c r="J2889" s="54" t="s">
        <v>6052</v>
      </c>
      <c r="K2889" s="54">
        <v>0</v>
      </c>
      <c r="L2889" s="22" t="s">
        <v>1308</v>
      </c>
      <c r="M2889" s="22" t="s">
        <v>37026</v>
      </c>
    </row>
    <row r="2890" spans="1:13" x14ac:dyDescent="0.75">
      <c r="A2890" t="s">
        <v>18571</v>
      </c>
      <c r="B2890" t="s">
        <v>8627</v>
      </c>
      <c r="C2890" t="s">
        <v>6484</v>
      </c>
      <c r="D2890" t="s">
        <v>8628</v>
      </c>
      <c r="E2890" t="s">
        <v>18572</v>
      </c>
      <c r="F2890">
        <v>14</v>
      </c>
      <c r="G2890">
        <v>1502587</v>
      </c>
      <c r="H2890" t="s">
        <v>18573</v>
      </c>
      <c r="J2890" s="54" t="s">
        <v>6052</v>
      </c>
      <c r="K2890" s="54">
        <v>0</v>
      </c>
      <c r="L2890" s="22" t="s">
        <v>1308</v>
      </c>
      <c r="M2890" s="22" t="s">
        <v>37024</v>
      </c>
    </row>
    <row r="2891" spans="1:13" x14ac:dyDescent="0.75">
      <c r="A2891" t="s">
        <v>14422</v>
      </c>
      <c r="B2891" t="s">
        <v>14423</v>
      </c>
      <c r="C2891" t="s">
        <v>6484</v>
      </c>
      <c r="D2891" t="s">
        <v>14424</v>
      </c>
      <c r="E2891" t="s">
        <v>14425</v>
      </c>
      <c r="F2891">
        <v>5</v>
      </c>
      <c r="G2891">
        <v>1597294</v>
      </c>
      <c r="H2891" t="s">
        <v>14426</v>
      </c>
      <c r="J2891" s="54" t="s">
        <v>6052</v>
      </c>
      <c r="K2891" s="54">
        <v>0</v>
      </c>
      <c r="L2891" s="22" t="s">
        <v>1308</v>
      </c>
      <c r="M2891" s="22" t="s">
        <v>37026</v>
      </c>
    </row>
    <row r="2892" spans="1:13" x14ac:dyDescent="0.75">
      <c r="A2892" t="s">
        <v>14367</v>
      </c>
      <c r="B2892" t="s">
        <v>8627</v>
      </c>
      <c r="C2892" t="s">
        <v>6484</v>
      </c>
      <c r="D2892" t="s">
        <v>8628</v>
      </c>
      <c r="E2892" t="s">
        <v>14368</v>
      </c>
      <c r="F2892">
        <v>6</v>
      </c>
      <c r="G2892">
        <v>1601254</v>
      </c>
      <c r="H2892" t="s">
        <v>14369</v>
      </c>
      <c r="J2892" s="54" t="s">
        <v>6052</v>
      </c>
      <c r="K2892" s="54">
        <v>0</v>
      </c>
      <c r="L2892" s="22" t="s">
        <v>1308</v>
      </c>
      <c r="M2892" s="22" t="s">
        <v>37024</v>
      </c>
    </row>
    <row r="2893" spans="1:13" x14ac:dyDescent="0.75">
      <c r="A2893" t="s">
        <v>18559</v>
      </c>
      <c r="B2893" t="s">
        <v>8627</v>
      </c>
      <c r="C2893" t="s">
        <v>6484</v>
      </c>
      <c r="D2893" t="s">
        <v>8628</v>
      </c>
      <c r="E2893" t="s">
        <v>18560</v>
      </c>
      <c r="F2893">
        <v>1</v>
      </c>
      <c r="G2893">
        <v>1472679</v>
      </c>
      <c r="H2893" t="s">
        <v>18561</v>
      </c>
      <c r="J2893" s="54" t="s">
        <v>6052</v>
      </c>
      <c r="K2893" s="54">
        <v>0</v>
      </c>
      <c r="L2893" s="22" t="s">
        <v>1308</v>
      </c>
      <c r="M2893" s="22" t="s">
        <v>37024</v>
      </c>
    </row>
    <row r="2894" spans="1:13" x14ac:dyDescent="0.75">
      <c r="A2894" t="s">
        <v>18568</v>
      </c>
      <c r="B2894" t="s">
        <v>6483</v>
      </c>
      <c r="C2894" t="s">
        <v>6484</v>
      </c>
      <c r="D2894" t="s">
        <v>6485</v>
      </c>
      <c r="E2894" t="s">
        <v>18569</v>
      </c>
      <c r="F2894">
        <v>5</v>
      </c>
      <c r="G2894">
        <v>1552587</v>
      </c>
      <c r="H2894" t="s">
        <v>18570</v>
      </c>
      <c r="J2894" s="54" t="s">
        <v>6052</v>
      </c>
      <c r="K2894" s="54">
        <v>0</v>
      </c>
      <c r="L2894" s="22" t="s">
        <v>1308</v>
      </c>
      <c r="M2894" s="22" t="s">
        <v>37023</v>
      </c>
    </row>
    <row r="2895" spans="1:13" x14ac:dyDescent="0.75">
      <c r="A2895" t="s">
        <v>14341</v>
      </c>
      <c r="B2895" t="s">
        <v>8627</v>
      </c>
      <c r="C2895" t="s">
        <v>6484</v>
      </c>
      <c r="D2895" t="s">
        <v>8628</v>
      </c>
      <c r="E2895" t="s">
        <v>14342</v>
      </c>
      <c r="F2895">
        <v>5</v>
      </c>
      <c r="G2895">
        <v>1513749</v>
      </c>
      <c r="H2895" t="s">
        <v>14343</v>
      </c>
      <c r="J2895" s="54" t="s">
        <v>6052</v>
      </c>
      <c r="K2895" s="54">
        <v>0</v>
      </c>
      <c r="L2895" s="22" t="s">
        <v>1308</v>
      </c>
      <c r="M2895" s="22" t="s">
        <v>37024</v>
      </c>
    </row>
    <row r="2896" spans="1:13" x14ac:dyDescent="0.75">
      <c r="A2896" t="s">
        <v>14344</v>
      </c>
      <c r="B2896" t="s">
        <v>8627</v>
      </c>
      <c r="C2896" t="s">
        <v>6484</v>
      </c>
      <c r="D2896" t="s">
        <v>8628</v>
      </c>
      <c r="E2896" t="s">
        <v>14345</v>
      </c>
      <c r="F2896">
        <v>7</v>
      </c>
      <c r="G2896">
        <v>1513612</v>
      </c>
      <c r="H2896" t="s">
        <v>14346</v>
      </c>
      <c r="J2896" s="54" t="s">
        <v>6052</v>
      </c>
      <c r="K2896" s="54">
        <v>0</v>
      </c>
      <c r="L2896" s="22" t="s">
        <v>1308</v>
      </c>
      <c r="M2896" s="22" t="s">
        <v>37024</v>
      </c>
    </row>
    <row r="2897" spans="1:13" x14ac:dyDescent="0.75">
      <c r="A2897" t="s">
        <v>18556</v>
      </c>
      <c r="B2897" t="s">
        <v>8627</v>
      </c>
      <c r="C2897" t="s">
        <v>6484</v>
      </c>
      <c r="D2897" t="s">
        <v>8628</v>
      </c>
      <c r="E2897" t="s">
        <v>18557</v>
      </c>
      <c r="F2897">
        <v>15</v>
      </c>
      <c r="G2897">
        <v>1502805</v>
      </c>
      <c r="H2897" t="s">
        <v>18558</v>
      </c>
      <c r="J2897" s="54" t="s">
        <v>6052</v>
      </c>
      <c r="K2897" s="54">
        <v>0</v>
      </c>
      <c r="L2897" s="22" t="s">
        <v>1308</v>
      </c>
      <c r="M2897" s="22" t="s">
        <v>37024</v>
      </c>
    </row>
    <row r="2898" spans="1:13" x14ac:dyDescent="0.75">
      <c r="A2898" t="s">
        <v>18565</v>
      </c>
      <c r="B2898" t="s">
        <v>8627</v>
      </c>
      <c r="C2898" t="s">
        <v>6484</v>
      </c>
      <c r="D2898" t="s">
        <v>8628</v>
      </c>
      <c r="E2898" t="s">
        <v>18566</v>
      </c>
      <c r="F2898">
        <v>5</v>
      </c>
      <c r="G2898">
        <v>1492090</v>
      </c>
      <c r="H2898" t="s">
        <v>18567</v>
      </c>
      <c r="J2898" s="54" t="s">
        <v>6052</v>
      </c>
      <c r="K2898" s="54">
        <v>0</v>
      </c>
      <c r="L2898" s="22" t="s">
        <v>1308</v>
      </c>
      <c r="M2898" s="22" t="s">
        <v>37024</v>
      </c>
    </row>
    <row r="2899" spans="1:13" x14ac:dyDescent="0.75">
      <c r="A2899" t="s">
        <v>14419</v>
      </c>
      <c r="B2899" t="s">
        <v>6483</v>
      </c>
      <c r="C2899" t="s">
        <v>6484</v>
      </c>
      <c r="D2899" t="s">
        <v>6485</v>
      </c>
      <c r="E2899" t="s">
        <v>14420</v>
      </c>
      <c r="F2899">
        <v>4</v>
      </c>
      <c r="G2899">
        <v>1628789</v>
      </c>
      <c r="H2899" t="s">
        <v>14421</v>
      </c>
      <c r="J2899" s="54" t="s">
        <v>6052</v>
      </c>
      <c r="K2899" s="54">
        <v>0</v>
      </c>
      <c r="L2899" s="22" t="s">
        <v>1308</v>
      </c>
      <c r="M2899" s="22" t="s">
        <v>37023</v>
      </c>
    </row>
    <row r="2900" spans="1:13" x14ac:dyDescent="0.75">
      <c r="A2900" t="s">
        <v>18562</v>
      </c>
      <c r="B2900" t="s">
        <v>6483</v>
      </c>
      <c r="C2900" t="s">
        <v>6484</v>
      </c>
      <c r="D2900" t="s">
        <v>6485</v>
      </c>
      <c r="E2900" t="s">
        <v>18563</v>
      </c>
      <c r="F2900">
        <v>6</v>
      </c>
      <c r="G2900">
        <v>1586334</v>
      </c>
      <c r="H2900" t="s">
        <v>18564</v>
      </c>
      <c r="J2900" s="54" t="s">
        <v>6052</v>
      </c>
      <c r="K2900" s="54">
        <v>0</v>
      </c>
      <c r="L2900" s="22" t="s">
        <v>1308</v>
      </c>
      <c r="M2900" s="22" t="s">
        <v>37023</v>
      </c>
    </row>
    <row r="2901" spans="1:13" x14ac:dyDescent="0.75">
      <c r="A2901" t="s">
        <v>15373</v>
      </c>
      <c r="B2901" t="s">
        <v>14423</v>
      </c>
      <c r="C2901" t="s">
        <v>6484</v>
      </c>
      <c r="D2901" t="s">
        <v>14424</v>
      </c>
      <c r="E2901" t="s">
        <v>15374</v>
      </c>
      <c r="F2901">
        <v>7</v>
      </c>
      <c r="G2901">
        <v>1566657</v>
      </c>
      <c r="H2901" t="s">
        <v>15375</v>
      </c>
      <c r="J2901" s="54" t="s">
        <v>6052</v>
      </c>
      <c r="K2901" s="54">
        <v>0</v>
      </c>
      <c r="L2901" s="22" t="s">
        <v>1308</v>
      </c>
      <c r="M2901" s="22" t="s">
        <v>37026</v>
      </c>
    </row>
    <row r="2902" spans="1:13" x14ac:dyDescent="0.75">
      <c r="A2902" t="s">
        <v>12744</v>
      </c>
      <c r="B2902" t="s">
        <v>7511</v>
      </c>
      <c r="C2902" t="s">
        <v>6251</v>
      </c>
      <c r="D2902" t="s">
        <v>7512</v>
      </c>
      <c r="E2902" t="s">
        <v>12745</v>
      </c>
      <c r="F2902">
        <v>54</v>
      </c>
      <c r="G2902">
        <v>1976024</v>
      </c>
      <c r="H2902" t="s">
        <v>12746</v>
      </c>
      <c r="J2902" s="54" t="s">
        <v>6052</v>
      </c>
      <c r="K2902" s="54">
        <v>0</v>
      </c>
      <c r="L2902" s="22" t="s">
        <v>104</v>
      </c>
      <c r="M2902" s="22" t="s">
        <v>37037</v>
      </c>
    </row>
    <row r="2903" spans="1:13" x14ac:dyDescent="0.75">
      <c r="A2903" t="s">
        <v>12765</v>
      </c>
      <c r="B2903" t="s">
        <v>7511</v>
      </c>
      <c r="C2903" t="s">
        <v>6251</v>
      </c>
      <c r="D2903" t="s">
        <v>7512</v>
      </c>
      <c r="E2903" t="s">
        <v>12766</v>
      </c>
      <c r="F2903">
        <v>70</v>
      </c>
      <c r="G2903">
        <v>1974023</v>
      </c>
      <c r="H2903" t="s">
        <v>12767</v>
      </c>
      <c r="J2903" s="54" t="s">
        <v>6052</v>
      </c>
      <c r="K2903" s="54">
        <v>0</v>
      </c>
      <c r="L2903" s="22" t="s">
        <v>104</v>
      </c>
      <c r="M2903" s="22" t="s">
        <v>37037</v>
      </c>
    </row>
    <row r="2904" spans="1:13" x14ac:dyDescent="0.75">
      <c r="A2904" t="s">
        <v>12984</v>
      </c>
      <c r="B2904" t="s">
        <v>7511</v>
      </c>
      <c r="C2904" t="s">
        <v>6251</v>
      </c>
      <c r="D2904" t="s">
        <v>7512</v>
      </c>
      <c r="E2904" t="s">
        <v>12985</v>
      </c>
      <c r="F2904">
        <v>36</v>
      </c>
      <c r="G2904">
        <v>1904337</v>
      </c>
      <c r="H2904" t="s">
        <v>12986</v>
      </c>
      <c r="J2904" s="54" t="s">
        <v>6052</v>
      </c>
      <c r="K2904" s="54">
        <v>0</v>
      </c>
      <c r="L2904" s="22" t="s">
        <v>104</v>
      </c>
      <c r="M2904" s="22" t="s">
        <v>37037</v>
      </c>
    </row>
    <row r="2905" spans="1:13" x14ac:dyDescent="0.75">
      <c r="A2905" t="s">
        <v>12927</v>
      </c>
      <c r="B2905" t="s">
        <v>7511</v>
      </c>
      <c r="C2905" t="s">
        <v>6251</v>
      </c>
      <c r="D2905" t="s">
        <v>7512</v>
      </c>
      <c r="E2905" t="s">
        <v>12928</v>
      </c>
      <c r="F2905">
        <v>50</v>
      </c>
      <c r="G2905">
        <v>2007726</v>
      </c>
      <c r="H2905" t="s">
        <v>12929</v>
      </c>
      <c r="J2905" s="54" t="s">
        <v>6052</v>
      </c>
      <c r="K2905" s="54">
        <v>0</v>
      </c>
      <c r="L2905" s="22" t="s">
        <v>104</v>
      </c>
      <c r="M2905" s="22" t="s">
        <v>37037</v>
      </c>
    </row>
    <row r="2906" spans="1:13" x14ac:dyDescent="0.75">
      <c r="A2906" t="s">
        <v>13100</v>
      </c>
      <c r="B2906" t="s">
        <v>7511</v>
      </c>
      <c r="C2906" t="s">
        <v>6251</v>
      </c>
      <c r="D2906" t="s">
        <v>7512</v>
      </c>
      <c r="E2906" t="s">
        <v>13101</v>
      </c>
      <c r="F2906">
        <v>110</v>
      </c>
      <c r="G2906">
        <v>2150396</v>
      </c>
      <c r="H2906" t="s">
        <v>13102</v>
      </c>
      <c r="J2906" s="54" t="s">
        <v>6052</v>
      </c>
      <c r="K2906" s="54">
        <v>0</v>
      </c>
      <c r="L2906" s="22" t="s">
        <v>104</v>
      </c>
      <c r="M2906" s="22" t="s">
        <v>37037</v>
      </c>
    </row>
    <row r="2907" spans="1:13" x14ac:dyDescent="0.75">
      <c r="A2907" t="s">
        <v>13103</v>
      </c>
      <c r="B2907" t="s">
        <v>7511</v>
      </c>
      <c r="C2907" t="s">
        <v>6251</v>
      </c>
      <c r="D2907" t="s">
        <v>7512</v>
      </c>
      <c r="E2907" t="s">
        <v>13104</v>
      </c>
      <c r="F2907">
        <v>33</v>
      </c>
      <c r="G2907">
        <v>2024521</v>
      </c>
      <c r="H2907" t="s">
        <v>13105</v>
      </c>
      <c r="J2907" s="54" t="s">
        <v>6052</v>
      </c>
      <c r="K2907" s="54">
        <v>0</v>
      </c>
      <c r="L2907" s="22" t="s">
        <v>104</v>
      </c>
      <c r="M2907" s="22" t="s">
        <v>37037</v>
      </c>
    </row>
    <row r="2908" spans="1:13" x14ac:dyDescent="0.75">
      <c r="A2908" t="s">
        <v>19176</v>
      </c>
      <c r="B2908" t="s">
        <v>7511</v>
      </c>
      <c r="C2908" t="s">
        <v>6251</v>
      </c>
      <c r="D2908" t="s">
        <v>7512</v>
      </c>
      <c r="E2908" t="s">
        <v>19177</v>
      </c>
      <c r="F2908">
        <v>47</v>
      </c>
      <c r="G2908">
        <v>1913025</v>
      </c>
      <c r="H2908" t="s">
        <v>19178</v>
      </c>
      <c r="J2908" s="54" t="s">
        <v>6052</v>
      </c>
      <c r="K2908" s="54">
        <v>0</v>
      </c>
      <c r="L2908" s="22" t="s">
        <v>104</v>
      </c>
      <c r="M2908" s="22" t="s">
        <v>37037</v>
      </c>
    </row>
    <row r="2909" spans="1:13" x14ac:dyDescent="0.75">
      <c r="A2909" t="s">
        <v>20958</v>
      </c>
      <c r="B2909" t="s">
        <v>7511</v>
      </c>
      <c r="C2909" t="s">
        <v>6251</v>
      </c>
      <c r="D2909" t="s">
        <v>7512</v>
      </c>
      <c r="E2909" t="s">
        <v>20959</v>
      </c>
      <c r="F2909">
        <v>15</v>
      </c>
      <c r="G2909">
        <v>1869941</v>
      </c>
      <c r="H2909" t="s">
        <v>20960</v>
      </c>
      <c r="J2909" s="54" t="s">
        <v>6052</v>
      </c>
      <c r="K2909" s="54">
        <v>0</v>
      </c>
      <c r="L2909" s="22" t="s">
        <v>104</v>
      </c>
      <c r="M2909" s="22" t="s">
        <v>37037</v>
      </c>
    </row>
    <row r="2910" spans="1:13" x14ac:dyDescent="0.75">
      <c r="A2910" t="s">
        <v>21005</v>
      </c>
      <c r="B2910" t="s">
        <v>7511</v>
      </c>
      <c r="C2910" t="s">
        <v>6251</v>
      </c>
      <c r="D2910" t="s">
        <v>7512</v>
      </c>
      <c r="E2910" t="s">
        <v>21006</v>
      </c>
      <c r="F2910">
        <v>24</v>
      </c>
      <c r="G2910">
        <v>1931183</v>
      </c>
      <c r="H2910" t="s">
        <v>21007</v>
      </c>
      <c r="J2910" s="54" t="s">
        <v>6052</v>
      </c>
      <c r="K2910" s="54">
        <v>0</v>
      </c>
      <c r="L2910" s="22" t="s">
        <v>104</v>
      </c>
      <c r="M2910" s="22" t="s">
        <v>37037</v>
      </c>
    </row>
    <row r="2911" spans="1:13" x14ac:dyDescent="0.75">
      <c r="A2911" t="s">
        <v>20905</v>
      </c>
      <c r="B2911" t="s">
        <v>7511</v>
      </c>
      <c r="C2911" t="s">
        <v>6251</v>
      </c>
      <c r="D2911" t="s">
        <v>7512</v>
      </c>
      <c r="E2911" t="s">
        <v>20906</v>
      </c>
      <c r="F2911">
        <v>36</v>
      </c>
      <c r="G2911">
        <v>2150067</v>
      </c>
      <c r="H2911" t="s">
        <v>20907</v>
      </c>
      <c r="J2911" s="54" t="s">
        <v>6052</v>
      </c>
      <c r="K2911" s="54">
        <v>0</v>
      </c>
      <c r="L2911" s="22" t="s">
        <v>104</v>
      </c>
      <c r="M2911" s="22" t="s">
        <v>37037</v>
      </c>
    </row>
    <row r="2912" spans="1:13" x14ac:dyDescent="0.75">
      <c r="A2912" t="s">
        <v>20867</v>
      </c>
      <c r="B2912" t="s">
        <v>7511</v>
      </c>
      <c r="C2912" t="s">
        <v>6251</v>
      </c>
      <c r="D2912" t="s">
        <v>7512</v>
      </c>
      <c r="E2912" t="s">
        <v>20868</v>
      </c>
      <c r="F2912">
        <v>34</v>
      </c>
      <c r="G2912">
        <v>1862938</v>
      </c>
      <c r="H2912" t="s">
        <v>20869</v>
      </c>
      <c r="J2912" s="54" t="s">
        <v>6052</v>
      </c>
      <c r="K2912" s="54">
        <v>0</v>
      </c>
      <c r="L2912" s="22" t="s">
        <v>104</v>
      </c>
      <c r="M2912" s="22" t="s">
        <v>37037</v>
      </c>
    </row>
    <row r="2913" spans="1:13" x14ac:dyDescent="0.75">
      <c r="A2913" t="s">
        <v>20809</v>
      </c>
      <c r="B2913" t="s">
        <v>7511</v>
      </c>
      <c r="C2913" t="s">
        <v>6251</v>
      </c>
      <c r="D2913" t="s">
        <v>7512</v>
      </c>
      <c r="E2913" t="s">
        <v>20810</v>
      </c>
      <c r="F2913">
        <v>50</v>
      </c>
      <c r="G2913">
        <v>1852757</v>
      </c>
      <c r="H2913" t="s">
        <v>20811</v>
      </c>
      <c r="J2913" s="54" t="s">
        <v>6052</v>
      </c>
      <c r="K2913" s="54">
        <v>0</v>
      </c>
      <c r="L2913" s="22" t="s">
        <v>104</v>
      </c>
      <c r="M2913" s="22" t="s">
        <v>37037</v>
      </c>
    </row>
    <row r="2914" spans="1:13" x14ac:dyDescent="0.75">
      <c r="A2914" t="s">
        <v>20830</v>
      </c>
      <c r="B2914" t="s">
        <v>7511</v>
      </c>
      <c r="C2914" t="s">
        <v>6251</v>
      </c>
      <c r="D2914" t="s">
        <v>7512</v>
      </c>
      <c r="E2914" t="s">
        <v>20831</v>
      </c>
      <c r="F2914">
        <v>24</v>
      </c>
      <c r="G2914">
        <v>1951855</v>
      </c>
      <c r="H2914" t="s">
        <v>20832</v>
      </c>
      <c r="J2914" s="54" t="s">
        <v>6052</v>
      </c>
      <c r="K2914" s="54">
        <v>0</v>
      </c>
      <c r="L2914" s="22" t="s">
        <v>104</v>
      </c>
      <c r="M2914" s="22" t="s">
        <v>37037</v>
      </c>
    </row>
    <row r="2915" spans="1:13" x14ac:dyDescent="0.75">
      <c r="A2915" t="s">
        <v>20792</v>
      </c>
      <c r="B2915" t="s">
        <v>7511</v>
      </c>
      <c r="C2915" t="s">
        <v>6251</v>
      </c>
      <c r="D2915" t="s">
        <v>7512</v>
      </c>
      <c r="E2915" t="s">
        <v>20793</v>
      </c>
      <c r="F2915">
        <v>35</v>
      </c>
      <c r="G2915">
        <v>1983945</v>
      </c>
      <c r="H2915" t="s">
        <v>20794</v>
      </c>
      <c r="J2915" s="54" t="s">
        <v>6052</v>
      </c>
      <c r="K2915" s="54">
        <v>0</v>
      </c>
      <c r="L2915" s="22" t="s">
        <v>104</v>
      </c>
      <c r="M2915" s="22" t="s">
        <v>37037</v>
      </c>
    </row>
    <row r="2916" spans="1:13" x14ac:dyDescent="0.75">
      <c r="A2916" t="s">
        <v>16509</v>
      </c>
      <c r="B2916" t="s">
        <v>7511</v>
      </c>
      <c r="C2916" t="s">
        <v>6251</v>
      </c>
      <c r="D2916" t="s">
        <v>7512</v>
      </c>
      <c r="E2916" t="s">
        <v>16510</v>
      </c>
      <c r="F2916">
        <v>1</v>
      </c>
      <c r="G2916">
        <v>2067650</v>
      </c>
      <c r="H2916" t="s">
        <v>16511</v>
      </c>
      <c r="J2916" s="54" t="s">
        <v>6052</v>
      </c>
      <c r="K2916" s="54">
        <v>0</v>
      </c>
      <c r="L2916" s="22" t="s">
        <v>104</v>
      </c>
      <c r="M2916" s="22" t="s">
        <v>37037</v>
      </c>
    </row>
    <row r="2917" spans="1:13" x14ac:dyDescent="0.75">
      <c r="A2917" t="s">
        <v>15569</v>
      </c>
      <c r="B2917" t="s">
        <v>7511</v>
      </c>
      <c r="C2917" t="s">
        <v>6251</v>
      </c>
      <c r="D2917" t="s">
        <v>7512</v>
      </c>
      <c r="E2917" t="s">
        <v>15570</v>
      </c>
      <c r="F2917">
        <v>34</v>
      </c>
      <c r="G2917">
        <v>2119881</v>
      </c>
      <c r="H2917" t="s">
        <v>15571</v>
      </c>
      <c r="J2917" s="54" t="s">
        <v>6052</v>
      </c>
      <c r="K2917" s="54">
        <v>0</v>
      </c>
      <c r="L2917" s="22" t="s">
        <v>104</v>
      </c>
      <c r="M2917" s="22" t="s">
        <v>37037</v>
      </c>
    </row>
    <row r="2918" spans="1:13" x14ac:dyDescent="0.75">
      <c r="A2918" t="s">
        <v>19119</v>
      </c>
      <c r="B2918" t="s">
        <v>7511</v>
      </c>
      <c r="C2918" t="s">
        <v>6251</v>
      </c>
      <c r="D2918" t="s">
        <v>7512</v>
      </c>
      <c r="E2918" t="s">
        <v>19120</v>
      </c>
      <c r="F2918">
        <v>26</v>
      </c>
      <c r="G2918">
        <v>1968590</v>
      </c>
      <c r="H2918" t="s">
        <v>19121</v>
      </c>
      <c r="J2918" s="54" t="s">
        <v>6052</v>
      </c>
      <c r="K2918" s="54">
        <v>0</v>
      </c>
      <c r="L2918" s="22" t="s">
        <v>104</v>
      </c>
      <c r="M2918" s="22" t="s">
        <v>37037</v>
      </c>
    </row>
    <row r="2919" spans="1:13" x14ac:dyDescent="0.75">
      <c r="A2919" t="s">
        <v>19107</v>
      </c>
      <c r="B2919" t="s">
        <v>7511</v>
      </c>
      <c r="C2919" t="s">
        <v>6251</v>
      </c>
      <c r="D2919" t="s">
        <v>7512</v>
      </c>
      <c r="E2919" t="s">
        <v>19108</v>
      </c>
      <c r="F2919">
        <v>3</v>
      </c>
      <c r="G2919">
        <v>2089461</v>
      </c>
      <c r="H2919" t="s">
        <v>19109</v>
      </c>
      <c r="J2919" s="54" t="s">
        <v>6052</v>
      </c>
      <c r="K2919" s="54">
        <v>0</v>
      </c>
      <c r="L2919" s="22" t="s">
        <v>104</v>
      </c>
      <c r="M2919" s="22" t="s">
        <v>37037</v>
      </c>
    </row>
    <row r="2920" spans="1:13" x14ac:dyDescent="0.75">
      <c r="A2920" t="s">
        <v>19116</v>
      </c>
      <c r="B2920" t="s">
        <v>7511</v>
      </c>
      <c r="C2920" t="s">
        <v>6251</v>
      </c>
      <c r="D2920" t="s">
        <v>7512</v>
      </c>
      <c r="E2920" t="s">
        <v>19117</v>
      </c>
      <c r="F2920">
        <v>61</v>
      </c>
      <c r="G2920">
        <v>1973866</v>
      </c>
      <c r="H2920" t="s">
        <v>19118</v>
      </c>
      <c r="J2920" s="54" t="s">
        <v>6052</v>
      </c>
      <c r="K2920" s="54">
        <v>0</v>
      </c>
      <c r="L2920" s="22" t="s">
        <v>104</v>
      </c>
      <c r="M2920" s="22" t="s">
        <v>37037</v>
      </c>
    </row>
    <row r="2921" spans="1:13" x14ac:dyDescent="0.75">
      <c r="A2921" t="s">
        <v>19104</v>
      </c>
      <c r="B2921" t="s">
        <v>7511</v>
      </c>
      <c r="C2921" t="s">
        <v>6251</v>
      </c>
      <c r="D2921" t="s">
        <v>7512</v>
      </c>
      <c r="E2921" t="s">
        <v>19105</v>
      </c>
      <c r="F2921">
        <v>1</v>
      </c>
      <c r="G2921">
        <v>2000745</v>
      </c>
      <c r="H2921" t="s">
        <v>19106</v>
      </c>
      <c r="J2921" s="54" t="s">
        <v>6052</v>
      </c>
      <c r="K2921" s="54">
        <v>0</v>
      </c>
      <c r="L2921" s="22" t="s">
        <v>104</v>
      </c>
      <c r="M2921" s="22" t="s">
        <v>37037</v>
      </c>
    </row>
    <row r="2922" spans="1:13" x14ac:dyDescent="0.75">
      <c r="A2922" t="s">
        <v>19101</v>
      </c>
      <c r="B2922" t="s">
        <v>7511</v>
      </c>
      <c r="C2922" t="s">
        <v>6251</v>
      </c>
      <c r="D2922" t="s">
        <v>7512</v>
      </c>
      <c r="E2922" t="s">
        <v>19102</v>
      </c>
      <c r="F2922">
        <v>1</v>
      </c>
      <c r="G2922">
        <v>1953198</v>
      </c>
      <c r="H2922" t="s">
        <v>19103</v>
      </c>
      <c r="J2922" s="54" t="s">
        <v>6052</v>
      </c>
      <c r="K2922" s="54">
        <v>0</v>
      </c>
      <c r="L2922" s="22" t="s">
        <v>104</v>
      </c>
      <c r="M2922" s="22" t="s">
        <v>37037</v>
      </c>
    </row>
    <row r="2923" spans="1:13" x14ac:dyDescent="0.75">
      <c r="A2923" t="s">
        <v>19098</v>
      </c>
      <c r="B2923" t="s">
        <v>7511</v>
      </c>
      <c r="C2923" t="s">
        <v>6251</v>
      </c>
      <c r="D2923" t="s">
        <v>7512</v>
      </c>
      <c r="E2923" t="s">
        <v>19099</v>
      </c>
      <c r="F2923">
        <v>1</v>
      </c>
      <c r="G2923">
        <v>1994590</v>
      </c>
      <c r="H2923" t="s">
        <v>19100</v>
      </c>
      <c r="J2923" s="54" t="s">
        <v>6052</v>
      </c>
      <c r="K2923" s="54">
        <v>0</v>
      </c>
      <c r="L2923" s="22" t="s">
        <v>104</v>
      </c>
      <c r="M2923" s="22" t="s">
        <v>37037</v>
      </c>
    </row>
    <row r="2924" spans="1:13" x14ac:dyDescent="0.75">
      <c r="A2924" t="s">
        <v>19095</v>
      </c>
      <c r="B2924" t="s">
        <v>7511</v>
      </c>
      <c r="C2924" t="s">
        <v>6251</v>
      </c>
      <c r="D2924" t="s">
        <v>7512</v>
      </c>
      <c r="E2924" t="s">
        <v>19096</v>
      </c>
      <c r="F2924">
        <v>1</v>
      </c>
      <c r="G2924">
        <v>2177054</v>
      </c>
      <c r="H2924" t="s">
        <v>19097</v>
      </c>
      <c r="J2924" s="54" t="s">
        <v>6052</v>
      </c>
      <c r="K2924" s="54">
        <v>0</v>
      </c>
      <c r="L2924" s="22" t="s">
        <v>104</v>
      </c>
      <c r="M2924" s="22" t="s">
        <v>37037</v>
      </c>
    </row>
    <row r="2925" spans="1:13" x14ac:dyDescent="0.75">
      <c r="A2925" t="s">
        <v>19092</v>
      </c>
      <c r="B2925" t="s">
        <v>7511</v>
      </c>
      <c r="C2925" t="s">
        <v>6251</v>
      </c>
      <c r="D2925" t="s">
        <v>7512</v>
      </c>
      <c r="E2925" t="s">
        <v>19093</v>
      </c>
      <c r="F2925">
        <v>3</v>
      </c>
      <c r="G2925">
        <v>2037540</v>
      </c>
      <c r="H2925" t="s">
        <v>19094</v>
      </c>
      <c r="J2925" s="54" t="s">
        <v>6052</v>
      </c>
      <c r="K2925" s="54">
        <v>0</v>
      </c>
      <c r="L2925" s="22" t="s">
        <v>104</v>
      </c>
      <c r="M2925" s="22" t="s">
        <v>37037</v>
      </c>
    </row>
    <row r="2926" spans="1:13" x14ac:dyDescent="0.75">
      <c r="A2926" t="s">
        <v>19089</v>
      </c>
      <c r="B2926" t="s">
        <v>7511</v>
      </c>
      <c r="C2926" t="s">
        <v>6251</v>
      </c>
      <c r="D2926" t="s">
        <v>7512</v>
      </c>
      <c r="E2926" t="s">
        <v>19090</v>
      </c>
      <c r="F2926">
        <v>1</v>
      </c>
      <c r="G2926">
        <v>1926530</v>
      </c>
      <c r="H2926" t="s">
        <v>19091</v>
      </c>
      <c r="J2926" s="54" t="s">
        <v>6052</v>
      </c>
      <c r="K2926" s="54">
        <v>0</v>
      </c>
      <c r="L2926" s="22" t="s">
        <v>104</v>
      </c>
      <c r="M2926" s="22" t="s">
        <v>37037</v>
      </c>
    </row>
    <row r="2927" spans="1:13" x14ac:dyDescent="0.75">
      <c r="A2927" t="s">
        <v>19086</v>
      </c>
      <c r="B2927" t="s">
        <v>7511</v>
      </c>
      <c r="C2927" t="s">
        <v>6251</v>
      </c>
      <c r="D2927" t="s">
        <v>7512</v>
      </c>
      <c r="E2927" t="s">
        <v>19087</v>
      </c>
      <c r="F2927">
        <v>3</v>
      </c>
      <c r="G2927">
        <v>1981608</v>
      </c>
      <c r="H2927" t="s">
        <v>19088</v>
      </c>
      <c r="J2927" s="54" t="s">
        <v>6052</v>
      </c>
      <c r="K2927" s="54">
        <v>0</v>
      </c>
      <c r="L2927" s="22" t="s">
        <v>104</v>
      </c>
      <c r="M2927" s="22" t="s">
        <v>37037</v>
      </c>
    </row>
    <row r="2928" spans="1:13" x14ac:dyDescent="0.75">
      <c r="A2928" t="s">
        <v>19083</v>
      </c>
      <c r="B2928" t="s">
        <v>7511</v>
      </c>
      <c r="C2928" t="s">
        <v>6251</v>
      </c>
      <c r="D2928" t="s">
        <v>7512</v>
      </c>
      <c r="E2928" t="s">
        <v>19084</v>
      </c>
      <c r="F2928">
        <v>1</v>
      </c>
      <c r="G2928">
        <v>2015253</v>
      </c>
      <c r="H2928" t="s">
        <v>19085</v>
      </c>
      <c r="J2928" s="54" t="s">
        <v>6052</v>
      </c>
      <c r="K2928" s="54">
        <v>0</v>
      </c>
      <c r="L2928" s="22" t="s">
        <v>104</v>
      </c>
      <c r="M2928" s="22" t="s">
        <v>37037</v>
      </c>
    </row>
    <row r="2929" spans="1:13" x14ac:dyDescent="0.75">
      <c r="A2929" t="s">
        <v>19080</v>
      </c>
      <c r="B2929" t="s">
        <v>7511</v>
      </c>
      <c r="C2929" t="s">
        <v>6251</v>
      </c>
      <c r="D2929" t="s">
        <v>7512</v>
      </c>
      <c r="E2929" t="s">
        <v>19081</v>
      </c>
      <c r="F2929">
        <v>1</v>
      </c>
      <c r="G2929">
        <v>2022727</v>
      </c>
      <c r="H2929" t="s">
        <v>19082</v>
      </c>
      <c r="J2929" s="54" t="s">
        <v>6052</v>
      </c>
      <c r="K2929" s="54">
        <v>0</v>
      </c>
      <c r="L2929" s="22" t="s">
        <v>104</v>
      </c>
      <c r="M2929" s="22" t="s">
        <v>37037</v>
      </c>
    </row>
    <row r="2930" spans="1:13" x14ac:dyDescent="0.75">
      <c r="A2930" t="s">
        <v>19077</v>
      </c>
      <c r="B2930" t="s">
        <v>7511</v>
      </c>
      <c r="C2930" t="s">
        <v>6251</v>
      </c>
      <c r="D2930" t="s">
        <v>7512</v>
      </c>
      <c r="E2930" t="s">
        <v>19078</v>
      </c>
      <c r="F2930">
        <v>1</v>
      </c>
      <c r="G2930">
        <v>2018144</v>
      </c>
      <c r="H2930" t="s">
        <v>19079</v>
      </c>
      <c r="J2930" s="54" t="s">
        <v>6052</v>
      </c>
      <c r="K2930" s="54">
        <v>0</v>
      </c>
      <c r="L2930" s="22" t="s">
        <v>104</v>
      </c>
      <c r="M2930" s="22" t="s">
        <v>37037</v>
      </c>
    </row>
    <row r="2931" spans="1:13" x14ac:dyDescent="0.75">
      <c r="A2931" t="s">
        <v>15427</v>
      </c>
      <c r="B2931" t="s">
        <v>7511</v>
      </c>
      <c r="C2931" t="s">
        <v>6251</v>
      </c>
      <c r="D2931" t="s">
        <v>7512</v>
      </c>
      <c r="E2931" t="s">
        <v>15428</v>
      </c>
      <c r="F2931">
        <v>1</v>
      </c>
      <c r="G2931">
        <v>2148960</v>
      </c>
      <c r="H2931" t="s">
        <v>15429</v>
      </c>
      <c r="J2931" s="54" t="s">
        <v>6052</v>
      </c>
      <c r="K2931" s="54">
        <v>0</v>
      </c>
      <c r="L2931" s="22" t="s">
        <v>104</v>
      </c>
      <c r="M2931" s="22" t="s">
        <v>37037</v>
      </c>
    </row>
    <row r="2932" spans="1:13" x14ac:dyDescent="0.75">
      <c r="A2932" t="s">
        <v>28455</v>
      </c>
      <c r="B2932" t="s">
        <v>7511</v>
      </c>
      <c r="C2932" t="s">
        <v>6251</v>
      </c>
      <c r="D2932" t="s">
        <v>7512</v>
      </c>
      <c r="E2932" t="s">
        <v>28456</v>
      </c>
      <c r="F2932">
        <v>22</v>
      </c>
      <c r="G2932">
        <v>2151510</v>
      </c>
      <c r="H2932" t="s">
        <v>28457</v>
      </c>
      <c r="J2932" s="54" t="s">
        <v>6052</v>
      </c>
      <c r="K2932" s="54">
        <v>0</v>
      </c>
      <c r="L2932" s="22" t="s">
        <v>104</v>
      </c>
      <c r="M2932" s="22" t="s">
        <v>37037</v>
      </c>
    </row>
    <row r="2933" spans="1:13" x14ac:dyDescent="0.75">
      <c r="A2933" t="s">
        <v>28466</v>
      </c>
      <c r="B2933" t="s">
        <v>7511</v>
      </c>
      <c r="C2933" t="s">
        <v>6251</v>
      </c>
      <c r="D2933" t="s">
        <v>7512</v>
      </c>
      <c r="E2933" t="s">
        <v>28467</v>
      </c>
      <c r="F2933">
        <v>21</v>
      </c>
      <c r="G2933">
        <v>1866538</v>
      </c>
      <c r="H2933" t="s">
        <v>28468</v>
      </c>
      <c r="J2933" s="54" t="s">
        <v>6052</v>
      </c>
      <c r="K2933" s="54">
        <v>0</v>
      </c>
      <c r="L2933" s="22" t="s">
        <v>104</v>
      </c>
      <c r="M2933" s="22" t="s">
        <v>37037</v>
      </c>
    </row>
    <row r="2934" spans="1:13" x14ac:dyDescent="0.75">
      <c r="A2934" t="s">
        <v>28487</v>
      </c>
      <c r="B2934" t="s">
        <v>7511</v>
      </c>
      <c r="C2934" t="s">
        <v>6251</v>
      </c>
      <c r="D2934" t="s">
        <v>7512</v>
      </c>
      <c r="E2934" t="s">
        <v>28488</v>
      </c>
      <c r="F2934">
        <v>16</v>
      </c>
      <c r="G2934">
        <v>1948050</v>
      </c>
      <c r="H2934" t="s">
        <v>28489</v>
      </c>
      <c r="J2934" s="54" t="s">
        <v>6052</v>
      </c>
      <c r="K2934" s="54">
        <v>0</v>
      </c>
      <c r="L2934" s="22" t="s">
        <v>104</v>
      </c>
      <c r="M2934" s="22" t="s">
        <v>37037</v>
      </c>
    </row>
    <row r="2935" spans="1:13" x14ac:dyDescent="0.75">
      <c r="A2935" t="s">
        <v>28533</v>
      </c>
      <c r="B2935" t="s">
        <v>7511</v>
      </c>
      <c r="C2935" t="s">
        <v>6251</v>
      </c>
      <c r="D2935" t="s">
        <v>7512</v>
      </c>
      <c r="E2935" t="s">
        <v>28534</v>
      </c>
      <c r="F2935">
        <v>24</v>
      </c>
      <c r="G2935">
        <v>1969878</v>
      </c>
      <c r="H2935" t="s">
        <v>28535</v>
      </c>
      <c r="J2935" s="54" t="s">
        <v>6052</v>
      </c>
      <c r="K2935" s="54">
        <v>0</v>
      </c>
      <c r="L2935" s="22" t="s">
        <v>104</v>
      </c>
      <c r="M2935" s="22" t="s">
        <v>37037</v>
      </c>
    </row>
    <row r="2936" spans="1:13" x14ac:dyDescent="0.75">
      <c r="A2936" t="s">
        <v>28544</v>
      </c>
      <c r="B2936" t="s">
        <v>7511</v>
      </c>
      <c r="C2936" t="s">
        <v>6251</v>
      </c>
      <c r="D2936" t="s">
        <v>7512</v>
      </c>
      <c r="E2936" t="s">
        <v>28545</v>
      </c>
      <c r="F2936">
        <v>29</v>
      </c>
      <c r="G2936">
        <v>1973834</v>
      </c>
      <c r="H2936" t="s">
        <v>28546</v>
      </c>
      <c r="J2936" s="54" t="s">
        <v>6052</v>
      </c>
      <c r="K2936" s="54">
        <v>0</v>
      </c>
      <c r="L2936" s="22" t="s">
        <v>104</v>
      </c>
      <c r="M2936" s="22" t="s">
        <v>37037</v>
      </c>
    </row>
    <row r="2937" spans="1:13" x14ac:dyDescent="0.75">
      <c r="A2937" t="s">
        <v>27472</v>
      </c>
      <c r="B2937" t="s">
        <v>7511</v>
      </c>
      <c r="C2937" t="s">
        <v>6251</v>
      </c>
      <c r="D2937" t="s">
        <v>7512</v>
      </c>
      <c r="E2937" t="s">
        <v>27473</v>
      </c>
      <c r="F2937">
        <v>2</v>
      </c>
      <c r="G2937">
        <v>2148353</v>
      </c>
      <c r="H2937" t="s">
        <v>27474</v>
      </c>
      <c r="J2937" s="54" t="s">
        <v>6052</v>
      </c>
      <c r="K2937" s="54">
        <v>0</v>
      </c>
      <c r="L2937" s="22" t="s">
        <v>104</v>
      </c>
      <c r="M2937" s="22" t="s">
        <v>37037</v>
      </c>
    </row>
    <row r="2938" spans="1:13" x14ac:dyDescent="0.75">
      <c r="A2938" t="s">
        <v>28013</v>
      </c>
      <c r="B2938" t="s">
        <v>7511</v>
      </c>
      <c r="C2938" t="s">
        <v>6251</v>
      </c>
      <c r="D2938" t="s">
        <v>7512</v>
      </c>
      <c r="E2938" t="s">
        <v>28014</v>
      </c>
      <c r="F2938">
        <v>1</v>
      </c>
      <c r="G2938">
        <v>2062405</v>
      </c>
      <c r="H2938" t="s">
        <v>28015</v>
      </c>
      <c r="J2938" s="54" t="s">
        <v>6052</v>
      </c>
      <c r="K2938" s="54">
        <v>0</v>
      </c>
      <c r="L2938" s="22" t="s">
        <v>104</v>
      </c>
      <c r="M2938" s="22" t="s">
        <v>37037</v>
      </c>
    </row>
    <row r="2939" spans="1:13" x14ac:dyDescent="0.75">
      <c r="A2939" t="s">
        <v>27481</v>
      </c>
      <c r="B2939" t="s">
        <v>7511</v>
      </c>
      <c r="C2939" t="s">
        <v>6251</v>
      </c>
      <c r="D2939" t="s">
        <v>7512</v>
      </c>
      <c r="E2939" t="s">
        <v>27482</v>
      </c>
      <c r="F2939">
        <v>2</v>
      </c>
      <c r="G2939">
        <v>2236386</v>
      </c>
      <c r="H2939" t="s">
        <v>27483</v>
      </c>
      <c r="J2939" s="54" t="s">
        <v>6052</v>
      </c>
      <c r="K2939" s="54">
        <v>0</v>
      </c>
      <c r="L2939" s="22" t="s">
        <v>104</v>
      </c>
      <c r="M2939" s="22" t="s">
        <v>37037</v>
      </c>
    </row>
    <row r="2940" spans="1:13" x14ac:dyDescent="0.75">
      <c r="A2940" t="s">
        <v>24276</v>
      </c>
      <c r="B2940" t="s">
        <v>7511</v>
      </c>
      <c r="C2940" t="s">
        <v>6251</v>
      </c>
      <c r="D2940" t="s">
        <v>7512</v>
      </c>
      <c r="E2940" t="s">
        <v>24277</v>
      </c>
      <c r="F2940">
        <v>28</v>
      </c>
      <c r="G2940">
        <v>2005504</v>
      </c>
      <c r="H2940" t="s">
        <v>24278</v>
      </c>
      <c r="J2940" s="54" t="s">
        <v>6052</v>
      </c>
      <c r="K2940" s="54">
        <v>0</v>
      </c>
      <c r="L2940" s="22" t="s">
        <v>104</v>
      </c>
      <c r="M2940" s="22" t="s">
        <v>37037</v>
      </c>
    </row>
    <row r="2941" spans="1:13" x14ac:dyDescent="0.75">
      <c r="A2941" t="s">
        <v>29511</v>
      </c>
      <c r="B2941" t="s">
        <v>7511</v>
      </c>
      <c r="C2941" t="s">
        <v>6251</v>
      </c>
      <c r="D2941" t="s">
        <v>7512</v>
      </c>
      <c r="E2941" t="s">
        <v>29512</v>
      </c>
      <c r="F2941">
        <v>18</v>
      </c>
      <c r="G2941">
        <v>2064084</v>
      </c>
      <c r="H2941" t="s">
        <v>29513</v>
      </c>
      <c r="J2941" s="54" t="s">
        <v>6052</v>
      </c>
      <c r="K2941" s="54">
        <v>0</v>
      </c>
      <c r="L2941" s="22" t="s">
        <v>104</v>
      </c>
      <c r="M2941" s="22" t="s">
        <v>37037</v>
      </c>
    </row>
    <row r="2942" spans="1:13" x14ac:dyDescent="0.75">
      <c r="A2942" t="s">
        <v>29508</v>
      </c>
      <c r="B2942" t="s">
        <v>7511</v>
      </c>
      <c r="C2942" t="s">
        <v>6251</v>
      </c>
      <c r="D2942" t="s">
        <v>7512</v>
      </c>
      <c r="E2942" t="s">
        <v>29509</v>
      </c>
      <c r="F2942">
        <v>20</v>
      </c>
      <c r="G2942">
        <v>1862073</v>
      </c>
      <c r="H2942" t="s">
        <v>29510</v>
      </c>
      <c r="J2942" s="54" t="s">
        <v>6052</v>
      </c>
      <c r="K2942" s="54">
        <v>0</v>
      </c>
      <c r="L2942" s="22" t="s">
        <v>104</v>
      </c>
      <c r="M2942" s="22" t="s">
        <v>37037</v>
      </c>
    </row>
    <row r="2943" spans="1:13" x14ac:dyDescent="0.75">
      <c r="A2943" t="s">
        <v>29514</v>
      </c>
      <c r="B2943" t="s">
        <v>7511</v>
      </c>
      <c r="C2943" t="s">
        <v>6251</v>
      </c>
      <c r="D2943" t="s">
        <v>7512</v>
      </c>
      <c r="E2943" t="s">
        <v>29515</v>
      </c>
      <c r="F2943">
        <v>47</v>
      </c>
      <c r="G2943">
        <v>2119341</v>
      </c>
      <c r="H2943" t="s">
        <v>29516</v>
      </c>
      <c r="J2943" s="54" t="s">
        <v>6052</v>
      </c>
      <c r="K2943" s="54">
        <v>0</v>
      </c>
      <c r="L2943" s="22" t="s">
        <v>104</v>
      </c>
      <c r="M2943" s="22" t="s">
        <v>37037</v>
      </c>
    </row>
    <row r="2944" spans="1:13" x14ac:dyDescent="0.75">
      <c r="A2944" t="s">
        <v>30652</v>
      </c>
      <c r="B2944" t="s">
        <v>7511</v>
      </c>
      <c r="C2944" t="s">
        <v>6251</v>
      </c>
      <c r="D2944" t="s">
        <v>7512</v>
      </c>
      <c r="E2944" t="s">
        <v>30653</v>
      </c>
      <c r="F2944">
        <v>47</v>
      </c>
      <c r="G2944">
        <v>1870563</v>
      </c>
      <c r="H2944" t="s">
        <v>30654</v>
      </c>
      <c r="J2944" s="54" t="s">
        <v>6052</v>
      </c>
      <c r="K2944" s="54">
        <v>0</v>
      </c>
      <c r="L2944" s="22" t="s">
        <v>104</v>
      </c>
      <c r="M2944" s="22" t="s">
        <v>37037</v>
      </c>
    </row>
    <row r="2945" spans="1:13" x14ac:dyDescent="0.75">
      <c r="A2945" t="s">
        <v>30264</v>
      </c>
      <c r="B2945" t="s">
        <v>7511</v>
      </c>
      <c r="C2945" t="s">
        <v>6251</v>
      </c>
      <c r="D2945" t="s">
        <v>7512</v>
      </c>
      <c r="E2945" t="s">
        <v>30265</v>
      </c>
      <c r="F2945">
        <v>55</v>
      </c>
      <c r="G2945">
        <v>2109283</v>
      </c>
      <c r="H2945" t="s">
        <v>30266</v>
      </c>
      <c r="J2945" s="54" t="s">
        <v>6052</v>
      </c>
      <c r="K2945" s="54">
        <v>0</v>
      </c>
      <c r="L2945" s="22" t="s">
        <v>104</v>
      </c>
      <c r="M2945" s="22" t="s">
        <v>37037</v>
      </c>
    </row>
    <row r="2946" spans="1:13" x14ac:dyDescent="0.75">
      <c r="A2946" t="s">
        <v>30424</v>
      </c>
      <c r="B2946" t="s">
        <v>7511</v>
      </c>
      <c r="C2946" t="s">
        <v>6251</v>
      </c>
      <c r="D2946" t="s">
        <v>7512</v>
      </c>
      <c r="E2946" t="s">
        <v>30425</v>
      </c>
      <c r="F2946">
        <v>50</v>
      </c>
      <c r="G2946">
        <v>2133083</v>
      </c>
      <c r="H2946" t="s">
        <v>30426</v>
      </c>
      <c r="J2946" s="54" t="s">
        <v>6052</v>
      </c>
      <c r="K2946" s="54">
        <v>0</v>
      </c>
      <c r="L2946" s="22" t="s">
        <v>104</v>
      </c>
      <c r="M2946" s="22" t="s">
        <v>37037</v>
      </c>
    </row>
    <row r="2947" spans="1:13" x14ac:dyDescent="0.75">
      <c r="A2947" t="s">
        <v>29573</v>
      </c>
      <c r="B2947" t="s">
        <v>7511</v>
      </c>
      <c r="C2947" t="s">
        <v>6251</v>
      </c>
      <c r="D2947" t="s">
        <v>7512</v>
      </c>
      <c r="E2947" t="s">
        <v>29574</v>
      </c>
      <c r="F2947">
        <v>52</v>
      </c>
      <c r="G2947">
        <v>2191166</v>
      </c>
      <c r="H2947" t="s">
        <v>29575</v>
      </c>
      <c r="J2947" s="54" t="s">
        <v>6052</v>
      </c>
      <c r="K2947" s="54">
        <v>0</v>
      </c>
      <c r="L2947" s="22" t="s">
        <v>104</v>
      </c>
      <c r="M2947" s="22" t="s">
        <v>37037</v>
      </c>
    </row>
    <row r="2948" spans="1:13" x14ac:dyDescent="0.75">
      <c r="A2948" t="s">
        <v>29707</v>
      </c>
      <c r="B2948" t="s">
        <v>7511</v>
      </c>
      <c r="C2948" t="s">
        <v>6251</v>
      </c>
      <c r="D2948" t="s">
        <v>7512</v>
      </c>
      <c r="E2948" t="s">
        <v>29708</v>
      </c>
      <c r="F2948">
        <v>21</v>
      </c>
      <c r="G2948">
        <v>1968698</v>
      </c>
      <c r="H2948" t="s">
        <v>29709</v>
      </c>
      <c r="J2948" s="54" t="s">
        <v>6052</v>
      </c>
      <c r="K2948" s="54">
        <v>0</v>
      </c>
      <c r="L2948" s="22" t="s">
        <v>104</v>
      </c>
      <c r="M2948" s="22" t="s">
        <v>37037</v>
      </c>
    </row>
    <row r="2949" spans="1:13" x14ac:dyDescent="0.75">
      <c r="A2949" t="s">
        <v>29556</v>
      </c>
      <c r="B2949" t="s">
        <v>7511</v>
      </c>
      <c r="C2949" t="s">
        <v>6251</v>
      </c>
      <c r="D2949" t="s">
        <v>7512</v>
      </c>
      <c r="E2949" t="s">
        <v>29557</v>
      </c>
      <c r="F2949">
        <v>31</v>
      </c>
      <c r="G2949">
        <v>1923057</v>
      </c>
      <c r="H2949" t="s">
        <v>29558</v>
      </c>
      <c r="J2949" s="54" t="s">
        <v>6052</v>
      </c>
      <c r="K2949" s="54">
        <v>0</v>
      </c>
      <c r="L2949" s="22" t="s">
        <v>104</v>
      </c>
      <c r="M2949" s="22" t="s">
        <v>37037</v>
      </c>
    </row>
    <row r="2950" spans="1:13" x14ac:dyDescent="0.75">
      <c r="A2950" t="s">
        <v>30536</v>
      </c>
      <c r="B2950" t="s">
        <v>7511</v>
      </c>
      <c r="C2950" t="s">
        <v>6251</v>
      </c>
      <c r="D2950" t="s">
        <v>7512</v>
      </c>
      <c r="E2950" t="s">
        <v>30537</v>
      </c>
      <c r="F2950">
        <v>25</v>
      </c>
      <c r="G2950">
        <v>1913835</v>
      </c>
      <c r="H2950" t="s">
        <v>30538</v>
      </c>
      <c r="J2950" s="54" t="s">
        <v>6052</v>
      </c>
      <c r="K2950" s="54">
        <v>0</v>
      </c>
      <c r="L2950" s="22" t="s">
        <v>104</v>
      </c>
      <c r="M2950" s="22" t="s">
        <v>37037</v>
      </c>
    </row>
    <row r="2951" spans="1:13" x14ac:dyDescent="0.75">
      <c r="A2951" t="s">
        <v>29122</v>
      </c>
      <c r="B2951" t="s">
        <v>7511</v>
      </c>
      <c r="C2951" t="s">
        <v>6251</v>
      </c>
      <c r="D2951" t="s">
        <v>7512</v>
      </c>
      <c r="E2951" t="s">
        <v>29123</v>
      </c>
      <c r="F2951">
        <v>30</v>
      </c>
      <c r="G2951">
        <v>2030856</v>
      </c>
      <c r="H2951" t="s">
        <v>29124</v>
      </c>
      <c r="J2951" s="54" t="s">
        <v>6052</v>
      </c>
      <c r="K2951" s="54">
        <v>0</v>
      </c>
      <c r="L2951" s="22" t="s">
        <v>104</v>
      </c>
      <c r="M2951" s="22" t="s">
        <v>37037</v>
      </c>
    </row>
    <row r="2952" spans="1:13" x14ac:dyDescent="0.75">
      <c r="A2952" t="s">
        <v>26215</v>
      </c>
      <c r="B2952" t="s">
        <v>7511</v>
      </c>
      <c r="C2952" t="s">
        <v>6251</v>
      </c>
      <c r="D2952" t="s">
        <v>7512</v>
      </c>
      <c r="E2952" t="s">
        <v>26216</v>
      </c>
      <c r="F2952">
        <v>72</v>
      </c>
      <c r="G2952">
        <v>2155846</v>
      </c>
      <c r="H2952" t="s">
        <v>26217</v>
      </c>
      <c r="J2952" s="54" t="s">
        <v>6052</v>
      </c>
      <c r="K2952" s="54">
        <v>0</v>
      </c>
      <c r="L2952" s="22" t="s">
        <v>104</v>
      </c>
      <c r="M2952" s="22" t="s">
        <v>37037</v>
      </c>
    </row>
    <row r="2953" spans="1:13" x14ac:dyDescent="0.75">
      <c r="A2953" t="s">
        <v>7692</v>
      </c>
      <c r="B2953" t="s">
        <v>7511</v>
      </c>
      <c r="C2953" t="s">
        <v>6251</v>
      </c>
      <c r="D2953" t="s">
        <v>7512</v>
      </c>
      <c r="E2953" t="s">
        <v>7693</v>
      </c>
      <c r="F2953">
        <v>1</v>
      </c>
      <c r="G2953">
        <v>2086875</v>
      </c>
      <c r="H2953" t="s">
        <v>7694</v>
      </c>
      <c r="J2953" s="54" t="s">
        <v>6052</v>
      </c>
      <c r="K2953" s="54">
        <v>0</v>
      </c>
      <c r="L2953" s="22" t="s">
        <v>104</v>
      </c>
      <c r="M2953" s="22" t="s">
        <v>37037</v>
      </c>
    </row>
    <row r="2954" spans="1:13" x14ac:dyDescent="0.75">
      <c r="A2954" t="s">
        <v>10531</v>
      </c>
      <c r="B2954" t="s">
        <v>10532</v>
      </c>
      <c r="C2954" t="s">
        <v>10533</v>
      </c>
      <c r="D2954" t="s">
        <v>10534</v>
      </c>
      <c r="E2954" t="s">
        <v>10535</v>
      </c>
      <c r="F2954">
        <v>136</v>
      </c>
      <c r="G2954">
        <v>3958808</v>
      </c>
      <c r="H2954" t="s">
        <v>10536</v>
      </c>
      <c r="J2954" s="54" t="s">
        <v>6052</v>
      </c>
      <c r="K2954" s="54">
        <v>0</v>
      </c>
      <c r="L2954" s="22" t="s">
        <v>1563</v>
      </c>
      <c r="M2954" s="22" t="s">
        <v>37035</v>
      </c>
    </row>
    <row r="2955" spans="1:13" x14ac:dyDescent="0.75">
      <c r="A2955" t="s">
        <v>13672</v>
      </c>
      <c r="B2955" t="s">
        <v>10532</v>
      </c>
      <c r="C2955" t="s">
        <v>10533</v>
      </c>
      <c r="D2955" t="s">
        <v>10534</v>
      </c>
      <c r="E2955" t="s">
        <v>13673</v>
      </c>
      <c r="F2955">
        <v>129</v>
      </c>
      <c r="G2955">
        <v>4337941</v>
      </c>
      <c r="H2955" t="s">
        <v>13674</v>
      </c>
      <c r="J2955" s="54" t="s">
        <v>6052</v>
      </c>
      <c r="K2955" s="54">
        <v>0</v>
      </c>
      <c r="L2955" s="22" t="s">
        <v>1563</v>
      </c>
      <c r="M2955" s="22" t="s">
        <v>37035</v>
      </c>
    </row>
    <row r="2956" spans="1:13" x14ac:dyDescent="0.75">
      <c r="A2956" t="s">
        <v>13675</v>
      </c>
      <c r="B2956" t="s">
        <v>10532</v>
      </c>
      <c r="C2956" t="s">
        <v>10533</v>
      </c>
      <c r="D2956" t="s">
        <v>10534</v>
      </c>
      <c r="E2956" t="s">
        <v>13676</v>
      </c>
      <c r="F2956">
        <v>97</v>
      </c>
      <c r="G2956">
        <v>4323477</v>
      </c>
      <c r="H2956" t="s">
        <v>13677</v>
      </c>
      <c r="J2956" s="54" t="s">
        <v>6052</v>
      </c>
      <c r="K2956" s="54">
        <v>0</v>
      </c>
      <c r="L2956" s="22" t="s">
        <v>1563</v>
      </c>
      <c r="M2956" s="22" t="s">
        <v>37035</v>
      </c>
    </row>
    <row r="2957" spans="1:13" x14ac:dyDescent="0.75">
      <c r="A2957" t="s">
        <v>30121</v>
      </c>
      <c r="B2957" t="s">
        <v>10532</v>
      </c>
      <c r="C2957" t="s">
        <v>10533</v>
      </c>
      <c r="D2957" t="s">
        <v>10534</v>
      </c>
      <c r="E2957" t="s">
        <v>30122</v>
      </c>
      <c r="F2957">
        <v>96</v>
      </c>
      <c r="G2957">
        <v>4208877</v>
      </c>
      <c r="H2957" t="s">
        <v>30123</v>
      </c>
      <c r="J2957" s="54" t="s">
        <v>6052</v>
      </c>
      <c r="K2957" s="54">
        <v>0</v>
      </c>
      <c r="L2957" s="22" t="s">
        <v>1563</v>
      </c>
      <c r="M2957" s="22" t="s">
        <v>37035</v>
      </c>
    </row>
    <row r="2958" spans="1:13" x14ac:dyDescent="0.75">
      <c r="A2958" t="s">
        <v>14416</v>
      </c>
      <c r="B2958" t="s">
        <v>7511</v>
      </c>
      <c r="C2958" t="s">
        <v>6251</v>
      </c>
      <c r="D2958" t="s">
        <v>7512</v>
      </c>
      <c r="E2958" t="s">
        <v>14417</v>
      </c>
      <c r="F2958">
        <v>22</v>
      </c>
      <c r="G2958">
        <v>2069115</v>
      </c>
      <c r="H2958" t="s">
        <v>14418</v>
      </c>
      <c r="J2958" s="54" t="s">
        <v>6052</v>
      </c>
      <c r="K2958" s="54">
        <v>0</v>
      </c>
      <c r="L2958" s="22" t="s">
        <v>104</v>
      </c>
      <c r="M2958" s="22" t="s">
        <v>37037</v>
      </c>
    </row>
    <row r="2959" spans="1:13" x14ac:dyDescent="0.75">
      <c r="A2959" t="s">
        <v>25857</v>
      </c>
      <c r="B2959" t="s">
        <v>7511</v>
      </c>
      <c r="C2959" t="s">
        <v>6251</v>
      </c>
      <c r="D2959" t="s">
        <v>7512</v>
      </c>
      <c r="E2959" t="s">
        <v>25858</v>
      </c>
      <c r="F2959">
        <v>236</v>
      </c>
      <c r="G2959">
        <v>2039267</v>
      </c>
      <c r="H2959" t="s">
        <v>25859</v>
      </c>
      <c r="J2959" s="54" t="s">
        <v>6052</v>
      </c>
      <c r="K2959" s="54">
        <v>0</v>
      </c>
      <c r="L2959" s="22" t="s">
        <v>104</v>
      </c>
      <c r="M2959" s="22" t="s">
        <v>37037</v>
      </c>
    </row>
    <row r="2960" spans="1:13" x14ac:dyDescent="0.75">
      <c r="A2960" t="s">
        <v>15179</v>
      </c>
      <c r="B2960" t="s">
        <v>8589</v>
      </c>
      <c r="C2960" t="s">
        <v>6251</v>
      </c>
      <c r="D2960" t="s">
        <v>8590</v>
      </c>
      <c r="E2960" t="s">
        <v>15180</v>
      </c>
      <c r="F2960">
        <v>27</v>
      </c>
      <c r="G2960">
        <v>1967999</v>
      </c>
      <c r="H2960" t="s">
        <v>15181</v>
      </c>
      <c r="J2960" s="54" t="s">
        <v>6052</v>
      </c>
      <c r="K2960" s="54">
        <v>0</v>
      </c>
      <c r="L2960" s="22" t="s">
        <v>104</v>
      </c>
      <c r="M2960" s="22" t="s">
        <v>37044</v>
      </c>
    </row>
    <row r="2961" spans="1:13" x14ac:dyDescent="0.75">
      <c r="A2961" t="s">
        <v>13369</v>
      </c>
      <c r="B2961" t="s">
        <v>8589</v>
      </c>
      <c r="C2961" t="s">
        <v>6251</v>
      </c>
      <c r="D2961" t="s">
        <v>8590</v>
      </c>
      <c r="E2961" t="s">
        <v>13370</v>
      </c>
      <c r="F2961">
        <v>33</v>
      </c>
      <c r="G2961">
        <v>2057591</v>
      </c>
      <c r="H2961" t="s">
        <v>13371</v>
      </c>
      <c r="J2961" s="54" t="s">
        <v>6052</v>
      </c>
      <c r="K2961" s="54">
        <v>0</v>
      </c>
      <c r="L2961" s="22" t="s">
        <v>104</v>
      </c>
      <c r="M2961" s="22" t="s">
        <v>37044</v>
      </c>
    </row>
    <row r="2962" spans="1:13" x14ac:dyDescent="0.75">
      <c r="A2962" t="s">
        <v>29966</v>
      </c>
      <c r="B2962" t="s">
        <v>8589</v>
      </c>
      <c r="C2962" t="s">
        <v>6251</v>
      </c>
      <c r="D2962" t="s">
        <v>8590</v>
      </c>
      <c r="E2962" t="s">
        <v>29967</v>
      </c>
      <c r="F2962">
        <v>196</v>
      </c>
      <c r="G2962">
        <v>1658973</v>
      </c>
      <c r="H2962" t="s">
        <v>29968</v>
      </c>
      <c r="J2962" s="54" t="s">
        <v>6052</v>
      </c>
      <c r="K2962" s="54">
        <v>0</v>
      </c>
      <c r="L2962" s="22" t="s">
        <v>104</v>
      </c>
      <c r="M2962" s="22" t="s">
        <v>37044</v>
      </c>
    </row>
    <row r="2963" spans="1:13" x14ac:dyDescent="0.75">
      <c r="A2963" t="s">
        <v>8588</v>
      </c>
      <c r="B2963" t="s">
        <v>8589</v>
      </c>
      <c r="C2963" t="s">
        <v>6251</v>
      </c>
      <c r="D2963" t="s">
        <v>8590</v>
      </c>
      <c r="E2963" t="s">
        <v>8591</v>
      </c>
      <c r="F2963">
        <v>78</v>
      </c>
      <c r="G2963">
        <v>2021208</v>
      </c>
      <c r="H2963" t="s">
        <v>8592</v>
      </c>
      <c r="J2963" s="54" t="s">
        <v>6052</v>
      </c>
      <c r="K2963" s="54">
        <v>0</v>
      </c>
      <c r="L2963" s="22" t="s">
        <v>104</v>
      </c>
      <c r="M2963" s="22" t="s">
        <v>37044</v>
      </c>
    </row>
    <row r="2964" spans="1:13" x14ac:dyDescent="0.75">
      <c r="A2964" t="s">
        <v>20955</v>
      </c>
      <c r="B2964" t="s">
        <v>8589</v>
      </c>
      <c r="C2964" t="s">
        <v>6251</v>
      </c>
      <c r="D2964" t="s">
        <v>8590</v>
      </c>
      <c r="E2964" t="s">
        <v>20956</v>
      </c>
      <c r="F2964">
        <v>233</v>
      </c>
      <c r="G2964">
        <v>1802816</v>
      </c>
      <c r="H2964" t="s">
        <v>20957</v>
      </c>
      <c r="J2964" s="54" t="s">
        <v>6052</v>
      </c>
      <c r="K2964" s="54">
        <v>0</v>
      </c>
      <c r="L2964" s="22" t="s">
        <v>104</v>
      </c>
      <c r="M2964" s="22" t="s">
        <v>37044</v>
      </c>
    </row>
    <row r="2965" spans="1:13" x14ac:dyDescent="0.75">
      <c r="A2965" t="s">
        <v>29410</v>
      </c>
      <c r="B2965" t="s">
        <v>8589</v>
      </c>
      <c r="C2965" t="s">
        <v>6251</v>
      </c>
      <c r="D2965" t="s">
        <v>8590</v>
      </c>
      <c r="E2965" t="s">
        <v>29411</v>
      </c>
      <c r="F2965">
        <v>15</v>
      </c>
      <c r="G2965">
        <v>1996587</v>
      </c>
      <c r="H2965" t="s">
        <v>29412</v>
      </c>
      <c r="J2965" s="54" t="s">
        <v>6052</v>
      </c>
      <c r="K2965" s="54">
        <v>0</v>
      </c>
      <c r="L2965" s="22" t="s">
        <v>104</v>
      </c>
      <c r="M2965" s="22" t="s">
        <v>37044</v>
      </c>
    </row>
    <row r="2966" spans="1:13" x14ac:dyDescent="0.75">
      <c r="A2966" t="s">
        <v>28369</v>
      </c>
      <c r="B2966" t="s">
        <v>8589</v>
      </c>
      <c r="C2966" t="s">
        <v>6251</v>
      </c>
      <c r="D2966" t="s">
        <v>8590</v>
      </c>
      <c r="E2966" t="s">
        <v>28370</v>
      </c>
      <c r="F2966">
        <v>182</v>
      </c>
      <c r="G2966">
        <v>1748237</v>
      </c>
      <c r="H2966" t="s">
        <v>28371</v>
      </c>
      <c r="J2966" s="54" t="s">
        <v>6052</v>
      </c>
      <c r="K2966" s="54">
        <v>0</v>
      </c>
      <c r="L2966" s="22" t="s">
        <v>104</v>
      </c>
      <c r="M2966" s="22" t="s">
        <v>37044</v>
      </c>
    </row>
    <row r="2967" spans="1:13" x14ac:dyDescent="0.75">
      <c r="A2967" t="s">
        <v>27484</v>
      </c>
      <c r="B2967" t="s">
        <v>8589</v>
      </c>
      <c r="C2967" t="s">
        <v>6251</v>
      </c>
      <c r="D2967" t="s">
        <v>8590</v>
      </c>
      <c r="E2967" t="s">
        <v>27485</v>
      </c>
      <c r="F2967">
        <v>3</v>
      </c>
      <c r="G2967">
        <v>2138467</v>
      </c>
      <c r="H2967" t="s">
        <v>27486</v>
      </c>
      <c r="J2967" s="54" t="s">
        <v>6052</v>
      </c>
      <c r="K2967" s="54">
        <v>0</v>
      </c>
      <c r="L2967" s="22" t="s">
        <v>104</v>
      </c>
      <c r="M2967" s="22" t="s">
        <v>37044</v>
      </c>
    </row>
    <row r="2968" spans="1:13" x14ac:dyDescent="0.75">
      <c r="A2968" t="s">
        <v>28809</v>
      </c>
      <c r="B2968" t="s">
        <v>8589</v>
      </c>
      <c r="C2968" t="s">
        <v>6251</v>
      </c>
      <c r="D2968" t="s">
        <v>8590</v>
      </c>
      <c r="E2968" t="s">
        <v>28810</v>
      </c>
      <c r="F2968">
        <v>198</v>
      </c>
      <c r="G2968">
        <v>1804185</v>
      </c>
      <c r="H2968" t="s">
        <v>28811</v>
      </c>
      <c r="J2968" s="54" t="s">
        <v>6052</v>
      </c>
      <c r="K2968" s="54">
        <v>0</v>
      </c>
      <c r="L2968" s="22" t="s">
        <v>104</v>
      </c>
      <c r="M2968" s="22" t="s">
        <v>37044</v>
      </c>
    </row>
    <row r="2969" spans="1:13" x14ac:dyDescent="0.75">
      <c r="A2969" t="s">
        <v>7926</v>
      </c>
      <c r="B2969" t="s">
        <v>7927</v>
      </c>
      <c r="C2969" t="s">
        <v>6251</v>
      </c>
      <c r="D2969" t="s">
        <v>7928</v>
      </c>
      <c r="E2969" t="s">
        <v>7929</v>
      </c>
      <c r="F2969">
        <v>26</v>
      </c>
      <c r="G2969">
        <v>2182608</v>
      </c>
      <c r="H2969" t="s">
        <v>7930</v>
      </c>
      <c r="J2969" s="54" t="s">
        <v>6052</v>
      </c>
      <c r="K2969" s="54">
        <v>0</v>
      </c>
      <c r="L2969" s="22" t="s">
        <v>104</v>
      </c>
      <c r="M2969" s="22" t="s">
        <v>37045</v>
      </c>
    </row>
    <row r="2970" spans="1:13" x14ac:dyDescent="0.75">
      <c r="A2970" t="s">
        <v>20879</v>
      </c>
      <c r="B2970" t="s">
        <v>7927</v>
      </c>
      <c r="C2970" t="s">
        <v>6251</v>
      </c>
      <c r="D2970" t="s">
        <v>7928</v>
      </c>
      <c r="E2970" t="s">
        <v>20880</v>
      </c>
      <c r="F2970">
        <v>73</v>
      </c>
      <c r="G2970">
        <v>1963148</v>
      </c>
      <c r="H2970" t="s">
        <v>20881</v>
      </c>
      <c r="J2970" s="54" t="s">
        <v>6052</v>
      </c>
      <c r="K2970" s="54">
        <v>0</v>
      </c>
      <c r="L2970" s="22" t="s">
        <v>104</v>
      </c>
      <c r="M2970" s="22" t="s">
        <v>37045</v>
      </c>
    </row>
    <row r="2971" spans="1:13" x14ac:dyDescent="0.75">
      <c r="A2971" t="s">
        <v>28508</v>
      </c>
      <c r="B2971" t="s">
        <v>7927</v>
      </c>
      <c r="C2971" t="s">
        <v>6251</v>
      </c>
      <c r="D2971" t="s">
        <v>7928</v>
      </c>
      <c r="E2971" t="s">
        <v>28509</v>
      </c>
      <c r="F2971">
        <v>17</v>
      </c>
      <c r="G2971">
        <v>2077686</v>
      </c>
      <c r="H2971" t="s">
        <v>28510</v>
      </c>
      <c r="J2971" s="54" t="s">
        <v>6052</v>
      </c>
      <c r="K2971" s="54">
        <v>0</v>
      </c>
      <c r="L2971" s="22" t="s">
        <v>104</v>
      </c>
      <c r="M2971" s="22" t="s">
        <v>37045</v>
      </c>
    </row>
    <row r="2972" spans="1:13" x14ac:dyDescent="0.75">
      <c r="A2972" t="s">
        <v>27304</v>
      </c>
      <c r="B2972" t="s">
        <v>7927</v>
      </c>
      <c r="C2972" t="s">
        <v>6251</v>
      </c>
      <c r="D2972" t="s">
        <v>7928</v>
      </c>
      <c r="E2972" t="s">
        <v>27305</v>
      </c>
      <c r="F2972">
        <v>1</v>
      </c>
      <c r="G2972">
        <v>2181355</v>
      </c>
      <c r="H2972" t="s">
        <v>27306</v>
      </c>
      <c r="J2972" s="54" t="s">
        <v>6052</v>
      </c>
      <c r="K2972" s="54">
        <v>0</v>
      </c>
      <c r="L2972" s="22" t="s">
        <v>104</v>
      </c>
      <c r="M2972" s="22" t="s">
        <v>37045</v>
      </c>
    </row>
    <row r="2973" spans="1:13" x14ac:dyDescent="0.75">
      <c r="A2973" t="s">
        <v>27475</v>
      </c>
      <c r="B2973" t="s">
        <v>7927</v>
      </c>
      <c r="C2973" t="s">
        <v>6251</v>
      </c>
      <c r="D2973" t="s">
        <v>7928</v>
      </c>
      <c r="E2973" t="s">
        <v>27476</v>
      </c>
      <c r="F2973">
        <v>5</v>
      </c>
      <c r="G2973">
        <v>2244325</v>
      </c>
      <c r="H2973" t="s">
        <v>27477</v>
      </c>
      <c r="J2973" s="54" t="s">
        <v>6052</v>
      </c>
      <c r="K2973" s="54">
        <v>0</v>
      </c>
      <c r="L2973" s="22" t="s">
        <v>104</v>
      </c>
      <c r="M2973" s="22" t="s">
        <v>37045</v>
      </c>
    </row>
    <row r="2974" spans="1:13" x14ac:dyDescent="0.75">
      <c r="A2974" t="s">
        <v>29666</v>
      </c>
      <c r="B2974" t="s">
        <v>7927</v>
      </c>
      <c r="C2974" t="s">
        <v>6251</v>
      </c>
      <c r="D2974" t="s">
        <v>7928</v>
      </c>
      <c r="E2974" t="s">
        <v>29667</v>
      </c>
      <c r="F2974">
        <v>104</v>
      </c>
      <c r="G2974">
        <v>1982353</v>
      </c>
      <c r="H2974" t="s">
        <v>29668</v>
      </c>
      <c r="J2974" s="54" t="s">
        <v>6052</v>
      </c>
      <c r="K2974" s="54">
        <v>0</v>
      </c>
      <c r="L2974" s="22" t="s">
        <v>104</v>
      </c>
      <c r="M2974" s="22" t="s">
        <v>37045</v>
      </c>
    </row>
    <row r="2975" spans="1:13" x14ac:dyDescent="0.75">
      <c r="A2975" t="s">
        <v>28785</v>
      </c>
      <c r="B2975" t="s">
        <v>7927</v>
      </c>
      <c r="C2975" t="s">
        <v>6251</v>
      </c>
      <c r="D2975" t="s">
        <v>7928</v>
      </c>
      <c r="E2975" t="s">
        <v>28786</v>
      </c>
      <c r="F2975">
        <v>99</v>
      </c>
      <c r="G2975">
        <v>1965812</v>
      </c>
      <c r="H2975" t="s">
        <v>28787</v>
      </c>
      <c r="J2975" s="54" t="s">
        <v>6052</v>
      </c>
      <c r="K2975" s="54">
        <v>0</v>
      </c>
      <c r="L2975" s="22" t="s">
        <v>104</v>
      </c>
      <c r="M2975" s="22" t="s">
        <v>37045</v>
      </c>
    </row>
    <row r="2976" spans="1:13" x14ac:dyDescent="0.75">
      <c r="A2976" t="s">
        <v>16989</v>
      </c>
      <c r="B2976" t="s">
        <v>11055</v>
      </c>
      <c r="C2976" t="s">
        <v>6251</v>
      </c>
      <c r="D2976" t="s">
        <v>11056</v>
      </c>
      <c r="E2976" t="s">
        <v>16990</v>
      </c>
      <c r="F2976">
        <v>13</v>
      </c>
      <c r="G2976">
        <v>1895161</v>
      </c>
      <c r="H2976" t="s">
        <v>16991</v>
      </c>
      <c r="J2976" s="54" t="s">
        <v>6052</v>
      </c>
      <c r="K2976" s="54">
        <v>0</v>
      </c>
      <c r="L2976" s="22" t="s">
        <v>104</v>
      </c>
      <c r="M2976" s="22" t="s">
        <v>37039</v>
      </c>
    </row>
    <row r="2977" spans="1:13" x14ac:dyDescent="0.75">
      <c r="A2977" t="s">
        <v>16986</v>
      </c>
      <c r="B2977" t="s">
        <v>11055</v>
      </c>
      <c r="C2977" t="s">
        <v>6251</v>
      </c>
      <c r="D2977" t="s">
        <v>11056</v>
      </c>
      <c r="E2977" t="s">
        <v>16987</v>
      </c>
      <c r="F2977">
        <v>13</v>
      </c>
      <c r="G2977">
        <v>1921666</v>
      </c>
      <c r="H2977" t="s">
        <v>16988</v>
      </c>
      <c r="J2977" s="54" t="s">
        <v>6052</v>
      </c>
      <c r="K2977" s="54">
        <v>0</v>
      </c>
      <c r="L2977" s="22" t="s">
        <v>104</v>
      </c>
      <c r="M2977" s="22" t="s">
        <v>37039</v>
      </c>
    </row>
    <row r="2978" spans="1:13" x14ac:dyDescent="0.75">
      <c r="A2978" t="s">
        <v>16983</v>
      </c>
      <c r="B2978" t="s">
        <v>11055</v>
      </c>
      <c r="C2978" t="s">
        <v>6251</v>
      </c>
      <c r="D2978" t="s">
        <v>11056</v>
      </c>
      <c r="E2978" t="s">
        <v>16984</v>
      </c>
      <c r="F2978">
        <v>13</v>
      </c>
      <c r="G2978">
        <v>1897573</v>
      </c>
      <c r="H2978" t="s">
        <v>16985</v>
      </c>
      <c r="J2978" s="54" t="s">
        <v>6052</v>
      </c>
      <c r="K2978" s="54">
        <v>0</v>
      </c>
      <c r="L2978" s="22" t="s">
        <v>104</v>
      </c>
      <c r="M2978" s="22" t="s">
        <v>37039</v>
      </c>
    </row>
    <row r="2979" spans="1:13" x14ac:dyDescent="0.75">
      <c r="A2979" t="s">
        <v>11054</v>
      </c>
      <c r="B2979" t="s">
        <v>11055</v>
      </c>
      <c r="C2979" t="s">
        <v>6251</v>
      </c>
      <c r="D2979" t="s">
        <v>11056</v>
      </c>
      <c r="E2979" t="s">
        <v>11057</v>
      </c>
      <c r="F2979">
        <v>47</v>
      </c>
      <c r="G2979">
        <v>1937310</v>
      </c>
      <c r="H2979" t="s">
        <v>11058</v>
      </c>
      <c r="J2979" s="54" t="s">
        <v>6052</v>
      </c>
      <c r="K2979" s="54">
        <v>0</v>
      </c>
      <c r="L2979" s="22" t="s">
        <v>104</v>
      </c>
      <c r="M2979" s="22" t="s">
        <v>37039</v>
      </c>
    </row>
    <row r="2980" spans="1:13" x14ac:dyDescent="0.75">
      <c r="A2980" t="s">
        <v>15116</v>
      </c>
      <c r="B2980" t="s">
        <v>11055</v>
      </c>
      <c r="C2980" t="s">
        <v>6251</v>
      </c>
      <c r="D2980" t="s">
        <v>11056</v>
      </c>
      <c r="E2980" t="s">
        <v>15117</v>
      </c>
      <c r="F2980">
        <v>20</v>
      </c>
      <c r="G2980">
        <v>1882180</v>
      </c>
      <c r="H2980" t="s">
        <v>15118</v>
      </c>
      <c r="J2980" s="54" t="s">
        <v>6052</v>
      </c>
      <c r="K2980" s="54">
        <v>0</v>
      </c>
      <c r="L2980" s="22" t="s">
        <v>104</v>
      </c>
      <c r="M2980" s="22" t="s">
        <v>37039</v>
      </c>
    </row>
    <row r="2981" spans="1:13" x14ac:dyDescent="0.75">
      <c r="A2981" t="s">
        <v>16980</v>
      </c>
      <c r="B2981" t="s">
        <v>11055</v>
      </c>
      <c r="C2981" t="s">
        <v>6251</v>
      </c>
      <c r="D2981" t="s">
        <v>11056</v>
      </c>
      <c r="E2981" t="s">
        <v>16981</v>
      </c>
      <c r="F2981">
        <v>60</v>
      </c>
      <c r="G2981">
        <v>1934421</v>
      </c>
      <c r="H2981" t="s">
        <v>16982</v>
      </c>
      <c r="J2981" s="54" t="s">
        <v>6052</v>
      </c>
      <c r="K2981" s="54">
        <v>0</v>
      </c>
      <c r="L2981" s="22" t="s">
        <v>104</v>
      </c>
      <c r="M2981" s="22" t="s">
        <v>37039</v>
      </c>
    </row>
    <row r="2982" spans="1:13" x14ac:dyDescent="0.75">
      <c r="A2982" t="s">
        <v>16977</v>
      </c>
      <c r="B2982" t="s">
        <v>11055</v>
      </c>
      <c r="C2982" t="s">
        <v>6251</v>
      </c>
      <c r="D2982" t="s">
        <v>11056</v>
      </c>
      <c r="E2982" t="s">
        <v>16978</v>
      </c>
      <c r="F2982">
        <v>80</v>
      </c>
      <c r="G2982">
        <v>1892724</v>
      </c>
      <c r="H2982" t="s">
        <v>16979</v>
      </c>
      <c r="J2982" s="54" t="s">
        <v>6052</v>
      </c>
      <c r="K2982" s="54">
        <v>0</v>
      </c>
      <c r="L2982" s="22" t="s">
        <v>104</v>
      </c>
      <c r="M2982" s="22" t="s">
        <v>37039</v>
      </c>
    </row>
    <row r="2983" spans="1:13" x14ac:dyDescent="0.75">
      <c r="A2983" t="s">
        <v>12349</v>
      </c>
      <c r="B2983" t="s">
        <v>11055</v>
      </c>
      <c r="C2983" t="s">
        <v>6251</v>
      </c>
      <c r="D2983" t="s">
        <v>11056</v>
      </c>
      <c r="E2983" t="s">
        <v>12350</v>
      </c>
      <c r="F2983">
        <v>18</v>
      </c>
      <c r="G2983">
        <v>1926945</v>
      </c>
      <c r="H2983" t="s">
        <v>12351</v>
      </c>
      <c r="J2983" s="54" t="s">
        <v>6052</v>
      </c>
      <c r="K2983" s="54">
        <v>0</v>
      </c>
      <c r="L2983" s="22" t="s">
        <v>104</v>
      </c>
      <c r="M2983" s="22" t="s">
        <v>37039</v>
      </c>
    </row>
    <row r="2984" spans="1:13" x14ac:dyDescent="0.75">
      <c r="A2984" t="s">
        <v>14721</v>
      </c>
      <c r="B2984" t="s">
        <v>11055</v>
      </c>
      <c r="C2984" t="s">
        <v>6251</v>
      </c>
      <c r="D2984" t="s">
        <v>11056</v>
      </c>
      <c r="E2984" t="s">
        <v>14722</v>
      </c>
      <c r="F2984">
        <v>1</v>
      </c>
      <c r="G2984">
        <v>1805716</v>
      </c>
      <c r="H2984" t="s">
        <v>14723</v>
      </c>
      <c r="J2984" s="54" t="s">
        <v>6052</v>
      </c>
      <c r="K2984" s="54">
        <v>0</v>
      </c>
      <c r="L2984" s="22" t="s">
        <v>104</v>
      </c>
      <c r="M2984" s="22" t="s">
        <v>37039</v>
      </c>
    </row>
    <row r="2985" spans="1:13" x14ac:dyDescent="0.75">
      <c r="A2985" t="s">
        <v>20882</v>
      </c>
      <c r="B2985" t="s">
        <v>11055</v>
      </c>
      <c r="C2985" t="s">
        <v>6251</v>
      </c>
      <c r="D2985" t="s">
        <v>11056</v>
      </c>
      <c r="E2985" t="s">
        <v>20883</v>
      </c>
      <c r="F2985">
        <v>17</v>
      </c>
      <c r="G2985">
        <v>1876943</v>
      </c>
      <c r="H2985" t="s">
        <v>20884</v>
      </c>
      <c r="J2985" s="54" t="s">
        <v>6052</v>
      </c>
      <c r="K2985" s="54">
        <v>0</v>
      </c>
      <c r="L2985" s="22" t="s">
        <v>104</v>
      </c>
      <c r="M2985" s="22" t="s">
        <v>37039</v>
      </c>
    </row>
    <row r="2986" spans="1:13" x14ac:dyDescent="0.75">
      <c r="A2986" t="s">
        <v>20864</v>
      </c>
      <c r="B2986" t="s">
        <v>11055</v>
      </c>
      <c r="C2986" t="s">
        <v>6251</v>
      </c>
      <c r="D2986" t="s">
        <v>11056</v>
      </c>
      <c r="E2986" t="s">
        <v>20865</v>
      </c>
      <c r="F2986">
        <v>47</v>
      </c>
      <c r="G2986">
        <v>2055066</v>
      </c>
      <c r="H2986" t="s">
        <v>20866</v>
      </c>
      <c r="J2986" s="54" t="s">
        <v>6052</v>
      </c>
      <c r="K2986" s="54">
        <v>0</v>
      </c>
      <c r="L2986" s="22" t="s">
        <v>104</v>
      </c>
      <c r="M2986" s="22" t="s">
        <v>37039</v>
      </c>
    </row>
    <row r="2987" spans="1:13" x14ac:dyDescent="0.75">
      <c r="A2987" t="s">
        <v>29413</v>
      </c>
      <c r="B2987" t="s">
        <v>11055</v>
      </c>
      <c r="C2987" t="s">
        <v>6251</v>
      </c>
      <c r="D2987" t="s">
        <v>11056</v>
      </c>
      <c r="E2987" t="s">
        <v>29414</v>
      </c>
      <c r="F2987">
        <v>19</v>
      </c>
      <c r="G2987">
        <v>1927163</v>
      </c>
      <c r="H2987" t="s">
        <v>29415</v>
      </c>
      <c r="J2987" s="54" t="s">
        <v>6052</v>
      </c>
      <c r="K2987" s="54">
        <v>0</v>
      </c>
      <c r="L2987" s="22" t="s">
        <v>104</v>
      </c>
      <c r="M2987" s="22" t="s">
        <v>37039</v>
      </c>
    </row>
    <row r="2988" spans="1:13" x14ac:dyDescent="0.75">
      <c r="A2988" t="s">
        <v>28493</v>
      </c>
      <c r="B2988" t="s">
        <v>11055</v>
      </c>
      <c r="C2988" t="s">
        <v>6251</v>
      </c>
      <c r="D2988" t="s">
        <v>11056</v>
      </c>
      <c r="E2988" t="s">
        <v>28494</v>
      </c>
      <c r="F2988">
        <v>97</v>
      </c>
      <c r="G2988">
        <v>1663723</v>
      </c>
      <c r="H2988" t="s">
        <v>28495</v>
      </c>
      <c r="J2988" s="54" t="s">
        <v>6052</v>
      </c>
      <c r="K2988" s="54">
        <v>0</v>
      </c>
      <c r="L2988" s="22" t="s">
        <v>104</v>
      </c>
      <c r="M2988" s="22" t="s">
        <v>37039</v>
      </c>
    </row>
    <row r="2989" spans="1:13" x14ac:dyDescent="0.75">
      <c r="A2989" t="s">
        <v>21068</v>
      </c>
      <c r="B2989" t="s">
        <v>11055</v>
      </c>
      <c r="C2989" t="s">
        <v>6251</v>
      </c>
      <c r="D2989" t="s">
        <v>11056</v>
      </c>
      <c r="E2989" t="s">
        <v>21069</v>
      </c>
      <c r="F2989">
        <v>12</v>
      </c>
      <c r="G2989">
        <v>1915946</v>
      </c>
      <c r="H2989" t="s">
        <v>21070</v>
      </c>
      <c r="J2989" s="54" t="s">
        <v>6052</v>
      </c>
      <c r="K2989" s="54">
        <v>0</v>
      </c>
      <c r="L2989" s="22" t="s">
        <v>104</v>
      </c>
      <c r="M2989" s="22" t="s">
        <v>37039</v>
      </c>
    </row>
    <row r="2990" spans="1:13" x14ac:dyDescent="0.75">
      <c r="A2990" t="s">
        <v>21065</v>
      </c>
      <c r="B2990" t="s">
        <v>11055</v>
      </c>
      <c r="C2990" t="s">
        <v>6251</v>
      </c>
      <c r="D2990" t="s">
        <v>11056</v>
      </c>
      <c r="E2990" t="s">
        <v>21066</v>
      </c>
      <c r="F2990">
        <v>14</v>
      </c>
      <c r="G2990">
        <v>1865564</v>
      </c>
      <c r="H2990" t="s">
        <v>21067</v>
      </c>
      <c r="J2990" s="54" t="s">
        <v>6052</v>
      </c>
      <c r="K2990" s="54">
        <v>0</v>
      </c>
      <c r="L2990" s="22" t="s">
        <v>104</v>
      </c>
      <c r="M2990" s="22" t="s">
        <v>37039</v>
      </c>
    </row>
    <row r="2991" spans="1:13" x14ac:dyDescent="0.75">
      <c r="A2991" t="s">
        <v>22277</v>
      </c>
      <c r="B2991" t="s">
        <v>11055</v>
      </c>
      <c r="C2991" t="s">
        <v>6251</v>
      </c>
      <c r="D2991" t="s">
        <v>11056</v>
      </c>
      <c r="E2991" t="s">
        <v>21066</v>
      </c>
      <c r="F2991">
        <v>1</v>
      </c>
      <c r="G2991">
        <v>1902918</v>
      </c>
      <c r="H2991" t="s">
        <v>22278</v>
      </c>
      <c r="J2991" s="54" t="s">
        <v>6052</v>
      </c>
      <c r="K2991" s="54">
        <v>0</v>
      </c>
      <c r="L2991" s="22" t="s">
        <v>104</v>
      </c>
      <c r="M2991" s="22" t="s">
        <v>37039</v>
      </c>
    </row>
    <row r="2992" spans="1:13" x14ac:dyDescent="0.75">
      <c r="A2992" t="s">
        <v>21071</v>
      </c>
      <c r="B2992" t="s">
        <v>11055</v>
      </c>
      <c r="C2992" t="s">
        <v>6251</v>
      </c>
      <c r="D2992" t="s">
        <v>11056</v>
      </c>
      <c r="E2992" t="s">
        <v>21072</v>
      </c>
      <c r="F2992">
        <v>15</v>
      </c>
      <c r="G2992">
        <v>1855861</v>
      </c>
      <c r="H2992" t="s">
        <v>21073</v>
      </c>
      <c r="J2992" s="54" t="s">
        <v>6052</v>
      </c>
      <c r="K2992" s="54">
        <v>0</v>
      </c>
      <c r="L2992" s="22" t="s">
        <v>104</v>
      </c>
      <c r="M2992" s="22" t="s">
        <v>37039</v>
      </c>
    </row>
    <row r="2993" spans="1:13" x14ac:dyDescent="0.75">
      <c r="A2993" t="s">
        <v>15122</v>
      </c>
      <c r="B2993" t="s">
        <v>8362</v>
      </c>
      <c r="C2993" t="s">
        <v>6251</v>
      </c>
      <c r="D2993" t="s">
        <v>8363</v>
      </c>
      <c r="E2993" t="s">
        <v>15123</v>
      </c>
      <c r="F2993">
        <v>29</v>
      </c>
      <c r="G2993">
        <v>2158543</v>
      </c>
      <c r="H2993" t="s">
        <v>15124</v>
      </c>
      <c r="J2993" s="54" t="s">
        <v>6052</v>
      </c>
      <c r="K2993" s="54">
        <v>0</v>
      </c>
      <c r="L2993" s="22" t="s">
        <v>104</v>
      </c>
      <c r="M2993" s="22" t="s">
        <v>37042</v>
      </c>
    </row>
    <row r="2994" spans="1:13" x14ac:dyDescent="0.75">
      <c r="A2994" t="s">
        <v>15140</v>
      </c>
      <c r="B2994" t="s">
        <v>8362</v>
      </c>
      <c r="C2994" t="s">
        <v>6251</v>
      </c>
      <c r="D2994" t="s">
        <v>8363</v>
      </c>
      <c r="E2994" t="s">
        <v>15141</v>
      </c>
      <c r="F2994">
        <v>26</v>
      </c>
      <c r="G2994">
        <v>1999520</v>
      </c>
      <c r="H2994" t="s">
        <v>15142</v>
      </c>
      <c r="J2994" s="54" t="s">
        <v>6052</v>
      </c>
      <c r="K2994" s="54">
        <v>0</v>
      </c>
      <c r="L2994" s="22" t="s">
        <v>104</v>
      </c>
      <c r="M2994" s="22" t="s">
        <v>37042</v>
      </c>
    </row>
    <row r="2995" spans="1:13" x14ac:dyDescent="0.75">
      <c r="A2995" t="s">
        <v>15143</v>
      </c>
      <c r="B2995" t="s">
        <v>8362</v>
      </c>
      <c r="C2995" t="s">
        <v>6251</v>
      </c>
      <c r="D2995" t="s">
        <v>8363</v>
      </c>
      <c r="E2995" t="s">
        <v>15144</v>
      </c>
      <c r="F2995">
        <v>26</v>
      </c>
      <c r="G2995">
        <v>2001559</v>
      </c>
      <c r="H2995" t="s">
        <v>15145</v>
      </c>
      <c r="J2995" s="54" t="s">
        <v>6052</v>
      </c>
      <c r="K2995" s="54">
        <v>0</v>
      </c>
      <c r="L2995" s="22" t="s">
        <v>104</v>
      </c>
      <c r="M2995" s="22" t="s">
        <v>37042</v>
      </c>
    </row>
    <row r="2996" spans="1:13" x14ac:dyDescent="0.75">
      <c r="A2996" t="s">
        <v>8361</v>
      </c>
      <c r="B2996" t="s">
        <v>8362</v>
      </c>
      <c r="C2996" t="s">
        <v>6251</v>
      </c>
      <c r="D2996" t="s">
        <v>8363</v>
      </c>
      <c r="E2996" t="s">
        <v>8364</v>
      </c>
      <c r="F2996">
        <v>87</v>
      </c>
      <c r="G2996">
        <v>2143543</v>
      </c>
      <c r="H2996" t="s">
        <v>8365</v>
      </c>
      <c r="J2996" s="54" t="s">
        <v>6052</v>
      </c>
      <c r="K2996" s="54">
        <v>0</v>
      </c>
      <c r="L2996" s="22" t="s">
        <v>104</v>
      </c>
      <c r="M2996" s="22" t="s">
        <v>37042</v>
      </c>
    </row>
    <row r="2997" spans="1:13" x14ac:dyDescent="0.75">
      <c r="A2997" t="s">
        <v>8768</v>
      </c>
      <c r="B2997" t="s">
        <v>8362</v>
      </c>
      <c r="C2997" t="s">
        <v>6251</v>
      </c>
      <c r="D2997" t="s">
        <v>8363</v>
      </c>
      <c r="E2997" t="s">
        <v>8769</v>
      </c>
      <c r="F2997">
        <v>25</v>
      </c>
      <c r="G2997">
        <v>2080113</v>
      </c>
      <c r="H2997" t="s">
        <v>8770</v>
      </c>
      <c r="J2997" s="54" t="s">
        <v>6052</v>
      </c>
      <c r="K2997" s="54">
        <v>0</v>
      </c>
      <c r="L2997" s="22" t="s">
        <v>104</v>
      </c>
      <c r="M2997" s="22" t="s">
        <v>37042</v>
      </c>
    </row>
    <row r="2998" spans="1:13" x14ac:dyDescent="0.75">
      <c r="A2998" t="s">
        <v>23719</v>
      </c>
      <c r="B2998" t="s">
        <v>8362</v>
      </c>
      <c r="C2998" t="s">
        <v>6251</v>
      </c>
      <c r="D2998" t="s">
        <v>8363</v>
      </c>
      <c r="E2998" t="s">
        <v>23720</v>
      </c>
      <c r="F2998">
        <v>40</v>
      </c>
      <c r="G2998">
        <v>2024133</v>
      </c>
      <c r="H2998" t="s">
        <v>23721</v>
      </c>
      <c r="J2998" s="54" t="s">
        <v>6052</v>
      </c>
      <c r="K2998" s="54">
        <v>0</v>
      </c>
      <c r="L2998" s="22" t="s">
        <v>104</v>
      </c>
      <c r="M2998" s="22" t="s">
        <v>37042</v>
      </c>
    </row>
    <row r="2999" spans="1:13" x14ac:dyDescent="0.75">
      <c r="A2999" t="s">
        <v>10140</v>
      </c>
      <c r="B2999" t="s">
        <v>7845</v>
      </c>
      <c r="C2999" t="s">
        <v>7817</v>
      </c>
      <c r="D2999" t="s">
        <v>7846</v>
      </c>
      <c r="E2999" t="s">
        <v>10141</v>
      </c>
      <c r="F2999">
        <v>62</v>
      </c>
      <c r="G2999">
        <v>3266753</v>
      </c>
      <c r="H2999" t="s">
        <v>10142</v>
      </c>
      <c r="J2999" s="54" t="s">
        <v>6052</v>
      </c>
      <c r="K2999" s="54">
        <v>0</v>
      </c>
      <c r="L2999" s="22" t="s">
        <v>104</v>
      </c>
      <c r="M2999" s="22" t="s">
        <v>37046</v>
      </c>
    </row>
    <row r="3000" spans="1:13" x14ac:dyDescent="0.75">
      <c r="A3000" t="s">
        <v>7844</v>
      </c>
      <c r="B3000" t="s">
        <v>7845</v>
      </c>
      <c r="C3000" t="s">
        <v>7817</v>
      </c>
      <c r="D3000" t="s">
        <v>7846</v>
      </c>
      <c r="E3000" t="s">
        <v>7847</v>
      </c>
      <c r="F3000">
        <v>73</v>
      </c>
      <c r="G3000">
        <v>3286469</v>
      </c>
      <c r="H3000" t="s">
        <v>7848</v>
      </c>
      <c r="J3000" s="54" t="s">
        <v>6052</v>
      </c>
      <c r="K3000" s="54">
        <v>0</v>
      </c>
      <c r="L3000" s="22" t="s">
        <v>104</v>
      </c>
      <c r="M3000" s="22" t="s">
        <v>37046</v>
      </c>
    </row>
    <row r="3001" spans="1:13" x14ac:dyDescent="0.75">
      <c r="A3001" t="s">
        <v>8431</v>
      </c>
      <c r="B3001" t="s">
        <v>7845</v>
      </c>
      <c r="C3001" t="s">
        <v>7817</v>
      </c>
      <c r="D3001" t="s">
        <v>7846</v>
      </c>
      <c r="E3001" t="s">
        <v>7847</v>
      </c>
      <c r="F3001">
        <v>4</v>
      </c>
      <c r="G3001">
        <v>3350206</v>
      </c>
      <c r="H3001" t="s">
        <v>8432</v>
      </c>
      <c r="J3001" s="54" t="s">
        <v>6052</v>
      </c>
      <c r="K3001" s="54">
        <v>0</v>
      </c>
      <c r="L3001" s="22" t="s">
        <v>104</v>
      </c>
      <c r="M3001" s="22" t="s">
        <v>37046</v>
      </c>
    </row>
    <row r="3002" spans="1:13" x14ac:dyDescent="0.75">
      <c r="A3002" t="s">
        <v>29722</v>
      </c>
      <c r="B3002" t="s">
        <v>7845</v>
      </c>
      <c r="C3002" t="s">
        <v>7817</v>
      </c>
      <c r="D3002" t="s">
        <v>7846</v>
      </c>
      <c r="E3002" t="s">
        <v>29723</v>
      </c>
      <c r="F3002">
        <v>259</v>
      </c>
      <c r="G3002">
        <v>2845263</v>
      </c>
      <c r="H3002" t="s">
        <v>29724</v>
      </c>
      <c r="J3002" s="54" t="s">
        <v>6052</v>
      </c>
      <c r="K3002" s="54">
        <v>0</v>
      </c>
      <c r="L3002" s="22" t="s">
        <v>104</v>
      </c>
      <c r="M3002" s="22" t="s">
        <v>37046</v>
      </c>
    </row>
    <row r="3003" spans="1:13" x14ac:dyDescent="0.75">
      <c r="A3003" t="s">
        <v>14797</v>
      </c>
      <c r="B3003" t="s">
        <v>14798</v>
      </c>
      <c r="C3003" t="s">
        <v>7817</v>
      </c>
      <c r="D3003" t="s">
        <v>14799</v>
      </c>
      <c r="E3003" t="s">
        <v>14800</v>
      </c>
      <c r="F3003">
        <v>3</v>
      </c>
      <c r="G3003">
        <v>3017058</v>
      </c>
      <c r="H3003" t="s">
        <v>14801</v>
      </c>
      <c r="J3003" s="54" t="s">
        <v>6052</v>
      </c>
      <c r="K3003" s="54">
        <v>0</v>
      </c>
      <c r="L3003" s="22" t="s">
        <v>104</v>
      </c>
      <c r="M3003" s="22" t="s">
        <v>37048</v>
      </c>
    </row>
    <row r="3004" spans="1:13" x14ac:dyDescent="0.75">
      <c r="A3004" t="s">
        <v>29099</v>
      </c>
      <c r="B3004" t="s">
        <v>14798</v>
      </c>
      <c r="C3004" t="s">
        <v>7817</v>
      </c>
      <c r="D3004" t="s">
        <v>14799</v>
      </c>
      <c r="E3004" t="s">
        <v>29100</v>
      </c>
      <c r="F3004">
        <v>108</v>
      </c>
      <c r="G3004">
        <v>2528667</v>
      </c>
      <c r="H3004" t="s">
        <v>29101</v>
      </c>
      <c r="J3004" s="54" t="s">
        <v>6052</v>
      </c>
      <c r="K3004" s="54">
        <v>0</v>
      </c>
      <c r="L3004" s="22" t="s">
        <v>104</v>
      </c>
      <c r="M3004" s="22" t="s">
        <v>37048</v>
      </c>
    </row>
    <row r="3005" spans="1:13" x14ac:dyDescent="0.75">
      <c r="A3005" t="s">
        <v>15524</v>
      </c>
      <c r="B3005" t="s">
        <v>15525</v>
      </c>
      <c r="C3005" t="s">
        <v>10107</v>
      </c>
      <c r="D3005" t="s">
        <v>15526</v>
      </c>
      <c r="E3005" t="s">
        <v>15527</v>
      </c>
      <c r="F3005">
        <v>124</v>
      </c>
      <c r="G3005">
        <v>1906764</v>
      </c>
      <c r="H3005" t="s">
        <v>15528</v>
      </c>
      <c r="J3005" s="54" t="s">
        <v>6052</v>
      </c>
      <c r="K3005" s="54">
        <v>0</v>
      </c>
      <c r="L3005" s="22" t="s">
        <v>104</v>
      </c>
      <c r="M3005" s="22" t="s">
        <v>37052</v>
      </c>
    </row>
    <row r="3006" spans="1:13" x14ac:dyDescent="0.75">
      <c r="A3006" t="s">
        <v>7599</v>
      </c>
      <c r="B3006" t="s">
        <v>7600</v>
      </c>
      <c r="C3006" t="s">
        <v>6251</v>
      </c>
      <c r="D3006" t="s">
        <v>7601</v>
      </c>
      <c r="E3006" t="s">
        <v>7602</v>
      </c>
      <c r="F3006">
        <v>65</v>
      </c>
      <c r="G3006">
        <v>1963583</v>
      </c>
      <c r="H3006" t="s">
        <v>7603</v>
      </c>
      <c r="J3006" s="54" t="s">
        <v>6052</v>
      </c>
      <c r="K3006" s="54">
        <v>0</v>
      </c>
      <c r="L3006" s="22" t="s">
        <v>36804</v>
      </c>
      <c r="M3006" s="22" t="s">
        <v>37040</v>
      </c>
    </row>
    <row r="3007" spans="1:13" x14ac:dyDescent="0.75">
      <c r="A3007" t="s">
        <v>29919</v>
      </c>
      <c r="B3007" t="s">
        <v>15525</v>
      </c>
      <c r="C3007" t="s">
        <v>10107</v>
      </c>
      <c r="D3007" t="s">
        <v>15526</v>
      </c>
      <c r="E3007" t="s">
        <v>29920</v>
      </c>
      <c r="F3007">
        <v>52</v>
      </c>
      <c r="G3007">
        <v>1801930</v>
      </c>
      <c r="H3007" t="s">
        <v>29921</v>
      </c>
      <c r="J3007" s="54" t="s">
        <v>6052</v>
      </c>
      <c r="K3007" s="54">
        <v>0</v>
      </c>
      <c r="L3007" s="22" t="s">
        <v>104</v>
      </c>
      <c r="M3007" s="22" t="s">
        <v>37052</v>
      </c>
    </row>
    <row r="3008" spans="1:13" x14ac:dyDescent="0.75">
      <c r="A3008" t="s">
        <v>10105</v>
      </c>
      <c r="B3008" t="s">
        <v>10106</v>
      </c>
      <c r="C3008" t="s">
        <v>10107</v>
      </c>
      <c r="D3008" t="s">
        <v>10108</v>
      </c>
      <c r="E3008" t="s">
        <v>10109</v>
      </c>
      <c r="F3008">
        <v>29</v>
      </c>
      <c r="G3008">
        <v>1829558</v>
      </c>
      <c r="H3008" t="s">
        <v>10110</v>
      </c>
      <c r="J3008" s="54" t="s">
        <v>6052</v>
      </c>
      <c r="K3008" s="54">
        <v>0</v>
      </c>
      <c r="L3008" s="22" t="s">
        <v>104</v>
      </c>
      <c r="M3008" s="22" t="s">
        <v>37051</v>
      </c>
    </row>
    <row r="3009" spans="1:13" x14ac:dyDescent="0.75">
      <c r="A3009" t="s">
        <v>29972</v>
      </c>
      <c r="B3009" t="s">
        <v>10106</v>
      </c>
      <c r="C3009" t="s">
        <v>10107</v>
      </c>
      <c r="D3009" t="s">
        <v>10108</v>
      </c>
      <c r="E3009" t="s">
        <v>29973</v>
      </c>
      <c r="F3009">
        <v>85</v>
      </c>
      <c r="G3009">
        <v>1947223</v>
      </c>
      <c r="H3009" t="s">
        <v>29974</v>
      </c>
      <c r="J3009" s="54" t="s">
        <v>6052</v>
      </c>
      <c r="K3009" s="54">
        <v>0</v>
      </c>
      <c r="L3009" s="22" t="s">
        <v>104</v>
      </c>
      <c r="M3009" s="22" t="s">
        <v>37051</v>
      </c>
    </row>
    <row r="3010" spans="1:13" x14ac:dyDescent="0.75">
      <c r="A3010" t="s">
        <v>27177</v>
      </c>
      <c r="B3010" t="s">
        <v>10944</v>
      </c>
      <c r="C3010" t="s">
        <v>6251</v>
      </c>
      <c r="D3010" t="s">
        <v>10945</v>
      </c>
      <c r="E3010" t="s">
        <v>27178</v>
      </c>
      <c r="F3010">
        <v>18</v>
      </c>
      <c r="G3010">
        <v>1576562</v>
      </c>
      <c r="H3010" t="s">
        <v>27179</v>
      </c>
      <c r="J3010" s="54" t="s">
        <v>6052</v>
      </c>
      <c r="K3010" s="54">
        <v>0</v>
      </c>
      <c r="L3010" s="22" t="s">
        <v>36804</v>
      </c>
      <c r="M3010" s="22" t="s">
        <v>37041</v>
      </c>
    </row>
    <row r="3011" spans="1:13" x14ac:dyDescent="0.75">
      <c r="A3011" t="s">
        <v>28914</v>
      </c>
      <c r="B3011" t="s">
        <v>10106</v>
      </c>
      <c r="C3011" t="s">
        <v>10107</v>
      </c>
      <c r="D3011" t="s">
        <v>10108</v>
      </c>
      <c r="E3011" t="s">
        <v>28915</v>
      </c>
      <c r="F3011">
        <v>94</v>
      </c>
      <c r="G3011">
        <v>1840341</v>
      </c>
      <c r="H3011" t="s">
        <v>28916</v>
      </c>
      <c r="J3011" s="54" t="s">
        <v>6052</v>
      </c>
      <c r="K3011" s="54">
        <v>0</v>
      </c>
      <c r="L3011" s="22" t="s">
        <v>104</v>
      </c>
      <c r="M3011" s="22" t="s">
        <v>37051</v>
      </c>
    </row>
    <row r="3012" spans="1:13" x14ac:dyDescent="0.75">
      <c r="A3012" t="s">
        <v>11696</v>
      </c>
      <c r="B3012" t="s">
        <v>10266</v>
      </c>
      <c r="C3012" t="s">
        <v>6634</v>
      </c>
      <c r="D3012" t="s">
        <v>10267</v>
      </c>
      <c r="E3012" t="s">
        <v>11697</v>
      </c>
      <c r="F3012">
        <v>1</v>
      </c>
      <c r="G3012">
        <v>2861432</v>
      </c>
      <c r="H3012" t="s">
        <v>11698</v>
      </c>
      <c r="J3012" s="54" t="s">
        <v>6052</v>
      </c>
      <c r="K3012" s="54">
        <v>0</v>
      </c>
      <c r="L3012" s="22" t="s">
        <v>104</v>
      </c>
      <c r="M3012" s="22" t="s">
        <v>37061</v>
      </c>
    </row>
    <row r="3013" spans="1:13" x14ac:dyDescent="0.75">
      <c r="A3013" t="s">
        <v>10265</v>
      </c>
      <c r="B3013" t="s">
        <v>10266</v>
      </c>
      <c r="C3013" t="s">
        <v>6634</v>
      </c>
      <c r="D3013" t="s">
        <v>10267</v>
      </c>
      <c r="E3013" t="s">
        <v>10268</v>
      </c>
      <c r="F3013">
        <v>117</v>
      </c>
      <c r="G3013">
        <v>2784020</v>
      </c>
      <c r="H3013" t="s">
        <v>10269</v>
      </c>
      <c r="J3013" s="54" t="s">
        <v>6052</v>
      </c>
      <c r="K3013" s="54">
        <v>0</v>
      </c>
      <c r="L3013" s="22" t="s">
        <v>104</v>
      </c>
      <c r="M3013" s="22" t="s">
        <v>37061</v>
      </c>
    </row>
    <row r="3014" spans="1:13" x14ac:dyDescent="0.75">
      <c r="A3014" t="s">
        <v>16403</v>
      </c>
      <c r="B3014" t="s">
        <v>16404</v>
      </c>
      <c r="C3014" t="s">
        <v>6634</v>
      </c>
      <c r="D3014" t="s">
        <v>16405</v>
      </c>
      <c r="E3014" t="s">
        <v>16406</v>
      </c>
      <c r="F3014">
        <v>7</v>
      </c>
      <c r="G3014">
        <v>2691540</v>
      </c>
      <c r="H3014" t="s">
        <v>16407</v>
      </c>
      <c r="J3014" s="54" t="s">
        <v>6052</v>
      </c>
      <c r="K3014" s="54">
        <v>0</v>
      </c>
      <c r="L3014" s="22" t="s">
        <v>104</v>
      </c>
      <c r="M3014" s="22" t="s">
        <v>37062</v>
      </c>
    </row>
    <row r="3015" spans="1:13" x14ac:dyDescent="0.75">
      <c r="A3015" t="s">
        <v>29734</v>
      </c>
      <c r="B3015" t="s">
        <v>16404</v>
      </c>
      <c r="C3015" t="s">
        <v>6634</v>
      </c>
      <c r="D3015" t="s">
        <v>16405</v>
      </c>
      <c r="E3015" t="s">
        <v>29735</v>
      </c>
      <c r="F3015">
        <v>489</v>
      </c>
      <c r="G3015">
        <v>1970687</v>
      </c>
      <c r="H3015" t="s">
        <v>29736</v>
      </c>
      <c r="J3015" s="54" t="s">
        <v>6052</v>
      </c>
      <c r="K3015" s="54">
        <v>0</v>
      </c>
      <c r="L3015" s="22" t="s">
        <v>104</v>
      </c>
      <c r="M3015" s="22" t="s">
        <v>37062</v>
      </c>
    </row>
    <row r="3016" spans="1:13" x14ac:dyDescent="0.75">
      <c r="A3016" t="s">
        <v>5745</v>
      </c>
      <c r="B3016" t="s">
        <v>306</v>
      </c>
      <c r="C3016" t="s">
        <v>6634</v>
      </c>
      <c r="D3016" t="s">
        <v>7034</v>
      </c>
      <c r="E3016" t="s">
        <v>29615</v>
      </c>
      <c r="F3016">
        <v>49</v>
      </c>
      <c r="G3016">
        <v>3451367</v>
      </c>
      <c r="H3016" t="s">
        <v>29616</v>
      </c>
      <c r="J3016" s="54" t="s">
        <v>30844</v>
      </c>
      <c r="K3016" s="54">
        <v>1</v>
      </c>
      <c r="L3016" s="22" t="s">
        <v>104</v>
      </c>
      <c r="M3016" s="22" t="s">
        <v>307</v>
      </c>
    </row>
    <row r="3017" spans="1:13" x14ac:dyDescent="0.75">
      <c r="A3017" t="s">
        <v>5545</v>
      </c>
      <c r="B3017" t="s">
        <v>306</v>
      </c>
      <c r="C3017" t="s">
        <v>6634</v>
      </c>
      <c r="D3017" t="s">
        <v>7034</v>
      </c>
      <c r="E3017" t="s">
        <v>29094</v>
      </c>
      <c r="F3017">
        <v>99</v>
      </c>
      <c r="G3017">
        <v>3296002</v>
      </c>
      <c r="H3017" t="s">
        <v>29095</v>
      </c>
      <c r="J3017" s="54" t="s">
        <v>30844</v>
      </c>
      <c r="K3017" s="54">
        <v>1</v>
      </c>
      <c r="L3017" s="22" t="s">
        <v>104</v>
      </c>
      <c r="M3017" s="22" t="s">
        <v>307</v>
      </c>
    </row>
    <row r="3018" spans="1:13" x14ac:dyDescent="0.75">
      <c r="A3018" t="s">
        <v>1231</v>
      </c>
      <c r="B3018" t="s">
        <v>306</v>
      </c>
      <c r="C3018" t="s">
        <v>6634</v>
      </c>
      <c r="D3018" t="s">
        <v>7034</v>
      </c>
      <c r="E3018" t="s">
        <v>10274</v>
      </c>
      <c r="F3018">
        <v>47</v>
      </c>
      <c r="G3018">
        <v>3475255</v>
      </c>
      <c r="H3018" t="s">
        <v>10275</v>
      </c>
      <c r="J3018" s="54" t="s">
        <v>10274</v>
      </c>
      <c r="K3018" s="54">
        <v>1</v>
      </c>
      <c r="L3018" s="22" t="s">
        <v>104</v>
      </c>
      <c r="M3018" s="22" t="s">
        <v>307</v>
      </c>
    </row>
    <row r="3019" spans="1:13" x14ac:dyDescent="0.75">
      <c r="A3019" t="s">
        <v>305</v>
      </c>
      <c r="B3019" t="s">
        <v>306</v>
      </c>
      <c r="C3019" t="s">
        <v>6634</v>
      </c>
      <c r="D3019" t="s">
        <v>7034</v>
      </c>
      <c r="E3019" t="s">
        <v>7035</v>
      </c>
      <c r="F3019">
        <v>189</v>
      </c>
      <c r="G3019">
        <v>3635499</v>
      </c>
      <c r="H3019" t="s">
        <v>7036</v>
      </c>
      <c r="J3019" s="54" t="s">
        <v>7035</v>
      </c>
      <c r="K3019" s="54">
        <v>1</v>
      </c>
      <c r="L3019" s="22" t="s">
        <v>104</v>
      </c>
      <c r="M3019" s="22" t="s">
        <v>307</v>
      </c>
    </row>
    <row r="3020" spans="1:13" x14ac:dyDescent="0.75">
      <c r="A3020" t="s">
        <v>887</v>
      </c>
      <c r="B3020" t="s">
        <v>306</v>
      </c>
      <c r="C3020" t="s">
        <v>6634</v>
      </c>
      <c r="D3020" t="s">
        <v>7034</v>
      </c>
      <c r="E3020" t="s">
        <v>9372</v>
      </c>
      <c r="F3020">
        <v>35</v>
      </c>
      <c r="G3020">
        <v>3508589</v>
      </c>
      <c r="H3020" t="s">
        <v>9373</v>
      </c>
      <c r="J3020" s="54" t="s">
        <v>9372</v>
      </c>
      <c r="K3020" s="54">
        <v>1</v>
      </c>
      <c r="L3020" s="22" t="s">
        <v>104</v>
      </c>
      <c r="M3020" s="22" t="s">
        <v>307</v>
      </c>
    </row>
    <row r="3021" spans="1:13" x14ac:dyDescent="0.75">
      <c r="A3021" t="s">
        <v>1293</v>
      </c>
      <c r="B3021" t="s">
        <v>306</v>
      </c>
      <c r="C3021" t="s">
        <v>6634</v>
      </c>
      <c r="D3021" t="s">
        <v>7034</v>
      </c>
      <c r="E3021" t="s">
        <v>10409</v>
      </c>
      <c r="F3021">
        <v>149</v>
      </c>
      <c r="G3021">
        <v>3475052</v>
      </c>
      <c r="H3021" t="s">
        <v>10410</v>
      </c>
      <c r="J3021" s="54" t="s">
        <v>10409</v>
      </c>
      <c r="K3021" s="54">
        <v>1</v>
      </c>
      <c r="L3021" s="22" t="s">
        <v>104</v>
      </c>
      <c r="M3021" s="22" t="s">
        <v>307</v>
      </c>
    </row>
    <row r="3022" spans="1:13" x14ac:dyDescent="0.75">
      <c r="A3022" t="s">
        <v>6632</v>
      </c>
      <c r="B3022" t="s">
        <v>6633</v>
      </c>
      <c r="C3022" t="s">
        <v>6634</v>
      </c>
      <c r="D3022" t="s">
        <v>6635</v>
      </c>
      <c r="E3022" t="s">
        <v>6636</v>
      </c>
      <c r="F3022">
        <v>79</v>
      </c>
      <c r="G3022">
        <v>2559358</v>
      </c>
      <c r="H3022" t="s">
        <v>6637</v>
      </c>
      <c r="J3022" s="54" t="s">
        <v>6052</v>
      </c>
      <c r="K3022" s="54">
        <v>0</v>
      </c>
      <c r="L3022" s="22" t="s">
        <v>104</v>
      </c>
      <c r="M3022" s="22" t="s">
        <v>37055</v>
      </c>
    </row>
    <row r="3023" spans="1:13" x14ac:dyDescent="0.75">
      <c r="A3023" t="s">
        <v>29791</v>
      </c>
      <c r="B3023" t="s">
        <v>6633</v>
      </c>
      <c r="C3023" t="s">
        <v>6634</v>
      </c>
      <c r="D3023" t="s">
        <v>6635</v>
      </c>
      <c r="E3023" t="s">
        <v>29792</v>
      </c>
      <c r="F3023">
        <v>120</v>
      </c>
      <c r="G3023">
        <v>1975953</v>
      </c>
      <c r="H3023" t="s">
        <v>29793</v>
      </c>
      <c r="J3023" s="54" t="s">
        <v>6052</v>
      </c>
      <c r="K3023" s="54">
        <v>0</v>
      </c>
      <c r="L3023" s="22" t="s">
        <v>104</v>
      </c>
      <c r="M3023" s="22" t="s">
        <v>37055</v>
      </c>
    </row>
    <row r="3024" spans="1:13" x14ac:dyDescent="0.75">
      <c r="A3024" t="s">
        <v>10283</v>
      </c>
      <c r="B3024" t="s">
        <v>6633</v>
      </c>
      <c r="C3024" t="s">
        <v>6634</v>
      </c>
      <c r="D3024" t="s">
        <v>6635</v>
      </c>
      <c r="E3024" t="s">
        <v>10284</v>
      </c>
      <c r="F3024">
        <v>80</v>
      </c>
      <c r="G3024">
        <v>2518161</v>
      </c>
      <c r="H3024" t="s">
        <v>10285</v>
      </c>
      <c r="J3024" s="54" t="s">
        <v>6052</v>
      </c>
      <c r="K3024" s="54">
        <v>0</v>
      </c>
      <c r="L3024" s="22" t="s">
        <v>104</v>
      </c>
      <c r="M3024" s="22" t="s">
        <v>37055</v>
      </c>
    </row>
    <row r="3025" spans="1:13" x14ac:dyDescent="0.75">
      <c r="A3025" t="s">
        <v>9386</v>
      </c>
      <c r="B3025" t="s">
        <v>7024</v>
      </c>
      <c r="C3025" t="s">
        <v>6634</v>
      </c>
      <c r="D3025" t="s">
        <v>7025</v>
      </c>
      <c r="E3025" t="s">
        <v>9387</v>
      </c>
      <c r="F3025">
        <v>13</v>
      </c>
      <c r="G3025">
        <v>2650108</v>
      </c>
      <c r="H3025" t="s">
        <v>9388</v>
      </c>
      <c r="J3025" s="54" t="s">
        <v>6052</v>
      </c>
      <c r="K3025" s="54">
        <v>0</v>
      </c>
      <c r="L3025" s="22" t="s">
        <v>104</v>
      </c>
      <c r="M3025" s="22" t="s">
        <v>37056</v>
      </c>
    </row>
    <row r="3026" spans="1:13" x14ac:dyDescent="0.75">
      <c r="A3026" t="s">
        <v>29212</v>
      </c>
      <c r="B3026" t="s">
        <v>7024</v>
      </c>
      <c r="C3026" t="s">
        <v>6634</v>
      </c>
      <c r="D3026" t="s">
        <v>7025</v>
      </c>
      <c r="E3026" t="s">
        <v>29213</v>
      </c>
      <c r="F3026">
        <v>103</v>
      </c>
      <c r="G3026">
        <v>2448351</v>
      </c>
      <c r="H3026" t="s">
        <v>29214</v>
      </c>
      <c r="J3026" s="54" t="s">
        <v>6052</v>
      </c>
      <c r="K3026" s="54">
        <v>0</v>
      </c>
      <c r="L3026" s="22" t="s">
        <v>104</v>
      </c>
      <c r="M3026" s="22" t="s">
        <v>37056</v>
      </c>
    </row>
    <row r="3027" spans="1:13" x14ac:dyDescent="0.75">
      <c r="A3027" t="s">
        <v>7023</v>
      </c>
      <c r="B3027" t="s">
        <v>7024</v>
      </c>
      <c r="C3027" t="s">
        <v>6634</v>
      </c>
      <c r="D3027" t="s">
        <v>7025</v>
      </c>
      <c r="E3027" t="s">
        <v>7026</v>
      </c>
      <c r="F3027">
        <v>2</v>
      </c>
      <c r="G3027">
        <v>2480269</v>
      </c>
      <c r="H3027" t="s">
        <v>7027</v>
      </c>
      <c r="J3027" s="54" t="s">
        <v>6052</v>
      </c>
      <c r="K3027" s="54">
        <v>0</v>
      </c>
      <c r="L3027" s="22" t="s">
        <v>104</v>
      </c>
      <c r="M3027" s="22" t="s">
        <v>37056</v>
      </c>
    </row>
    <row r="3028" spans="1:13" x14ac:dyDescent="0.75">
      <c r="A3028" t="s">
        <v>10302</v>
      </c>
      <c r="B3028" t="s">
        <v>7024</v>
      </c>
      <c r="C3028" t="s">
        <v>6634</v>
      </c>
      <c r="D3028" t="s">
        <v>7025</v>
      </c>
      <c r="E3028" t="s">
        <v>10303</v>
      </c>
      <c r="F3028">
        <v>22</v>
      </c>
      <c r="G3028">
        <v>2647472</v>
      </c>
      <c r="H3028" t="s">
        <v>10304</v>
      </c>
      <c r="J3028" s="54" t="s">
        <v>6052</v>
      </c>
      <c r="K3028" s="54">
        <v>0</v>
      </c>
      <c r="L3028" s="22" t="s">
        <v>104</v>
      </c>
      <c r="M3028" s="22" t="s">
        <v>37056</v>
      </c>
    </row>
    <row r="3029" spans="1:13" x14ac:dyDescent="0.75">
      <c r="A3029" t="s">
        <v>19511</v>
      </c>
      <c r="B3029" t="s">
        <v>7024</v>
      </c>
      <c r="C3029" t="s">
        <v>6634</v>
      </c>
      <c r="D3029" t="s">
        <v>7025</v>
      </c>
      <c r="E3029" t="s">
        <v>19512</v>
      </c>
      <c r="F3029">
        <v>49</v>
      </c>
      <c r="G3029">
        <v>2494468</v>
      </c>
      <c r="H3029" t="s">
        <v>19513</v>
      </c>
      <c r="J3029" s="54" t="s">
        <v>6052</v>
      </c>
      <c r="K3029" s="54">
        <v>0</v>
      </c>
      <c r="L3029" s="22" t="s">
        <v>104</v>
      </c>
      <c r="M3029" s="22" t="s">
        <v>37056</v>
      </c>
    </row>
    <row r="3030" spans="1:13" x14ac:dyDescent="0.75">
      <c r="A3030" t="s">
        <v>19508</v>
      </c>
      <c r="B3030" t="s">
        <v>7024</v>
      </c>
      <c r="C3030" t="s">
        <v>6634</v>
      </c>
      <c r="D3030" t="s">
        <v>7025</v>
      </c>
      <c r="E3030" t="s">
        <v>19509</v>
      </c>
      <c r="F3030">
        <v>160</v>
      </c>
      <c r="G3030">
        <v>2275608</v>
      </c>
      <c r="H3030" t="s">
        <v>19510</v>
      </c>
      <c r="J3030" s="54" t="s">
        <v>6052</v>
      </c>
      <c r="K3030" s="54">
        <v>0</v>
      </c>
      <c r="L3030" s="22" t="s">
        <v>104</v>
      </c>
      <c r="M3030" s="22" t="s">
        <v>37056</v>
      </c>
    </row>
    <row r="3031" spans="1:13" x14ac:dyDescent="0.75">
      <c r="A3031" t="s">
        <v>19505</v>
      </c>
      <c r="B3031" t="s">
        <v>7024</v>
      </c>
      <c r="C3031" t="s">
        <v>6634</v>
      </c>
      <c r="D3031" t="s">
        <v>7025</v>
      </c>
      <c r="E3031" t="s">
        <v>19506</v>
      </c>
      <c r="F3031">
        <v>113</v>
      </c>
      <c r="G3031">
        <v>2464974</v>
      </c>
      <c r="H3031" t="s">
        <v>19507</v>
      </c>
      <c r="J3031" s="54" t="s">
        <v>6052</v>
      </c>
      <c r="K3031" s="54">
        <v>0</v>
      </c>
      <c r="L3031" s="22" t="s">
        <v>104</v>
      </c>
      <c r="M3031" s="22" t="s">
        <v>37056</v>
      </c>
    </row>
    <row r="3032" spans="1:13" x14ac:dyDescent="0.75">
      <c r="A3032" t="s">
        <v>12331</v>
      </c>
      <c r="B3032" t="s">
        <v>7600</v>
      </c>
      <c r="C3032" t="s">
        <v>6251</v>
      </c>
      <c r="D3032" t="s">
        <v>7601</v>
      </c>
      <c r="E3032" t="s">
        <v>12332</v>
      </c>
      <c r="F3032">
        <v>37</v>
      </c>
      <c r="G3032">
        <v>1926181</v>
      </c>
      <c r="H3032" t="s">
        <v>12333</v>
      </c>
      <c r="J3032" s="54" t="s">
        <v>6052</v>
      </c>
      <c r="K3032" s="54">
        <v>0</v>
      </c>
      <c r="L3032" s="22" t="s">
        <v>36804</v>
      </c>
      <c r="M3032" s="22" t="s">
        <v>37040</v>
      </c>
    </row>
    <row r="3033" spans="1:13" x14ac:dyDescent="0.75">
      <c r="A3033" t="s">
        <v>19502</v>
      </c>
      <c r="B3033" t="s">
        <v>7024</v>
      </c>
      <c r="C3033" t="s">
        <v>6634</v>
      </c>
      <c r="D3033" t="s">
        <v>7025</v>
      </c>
      <c r="E3033" t="s">
        <v>19503</v>
      </c>
      <c r="F3033">
        <v>50</v>
      </c>
      <c r="G3033">
        <v>2368848</v>
      </c>
      <c r="H3033" t="s">
        <v>19504</v>
      </c>
      <c r="J3033" s="54" t="s">
        <v>6052</v>
      </c>
      <c r="K3033" s="54">
        <v>0</v>
      </c>
      <c r="L3033" s="22" t="s">
        <v>104</v>
      </c>
      <c r="M3033" s="22" t="s">
        <v>37056</v>
      </c>
    </row>
    <row r="3034" spans="1:13" x14ac:dyDescent="0.75">
      <c r="A3034" t="s">
        <v>19496</v>
      </c>
      <c r="B3034" t="s">
        <v>7024</v>
      </c>
      <c r="C3034" t="s">
        <v>6634</v>
      </c>
      <c r="D3034" t="s">
        <v>7025</v>
      </c>
      <c r="E3034" t="s">
        <v>19497</v>
      </c>
      <c r="F3034">
        <v>270</v>
      </c>
      <c r="G3034">
        <v>2302548</v>
      </c>
      <c r="H3034" t="s">
        <v>19498</v>
      </c>
      <c r="J3034" s="54" t="s">
        <v>6052</v>
      </c>
      <c r="K3034" s="54">
        <v>0</v>
      </c>
      <c r="L3034" s="22" t="s">
        <v>104</v>
      </c>
      <c r="M3034" s="22" t="s">
        <v>37056</v>
      </c>
    </row>
    <row r="3035" spans="1:13" x14ac:dyDescent="0.75">
      <c r="A3035" t="s">
        <v>19499</v>
      </c>
      <c r="B3035" t="s">
        <v>7024</v>
      </c>
      <c r="C3035" t="s">
        <v>6634</v>
      </c>
      <c r="D3035" t="s">
        <v>7025</v>
      </c>
      <c r="E3035" t="s">
        <v>19500</v>
      </c>
      <c r="F3035">
        <v>121</v>
      </c>
      <c r="G3035">
        <v>2259893</v>
      </c>
      <c r="H3035" t="s">
        <v>19501</v>
      </c>
      <c r="J3035" s="54" t="s">
        <v>6052</v>
      </c>
      <c r="K3035" s="54">
        <v>0</v>
      </c>
      <c r="L3035" s="22" t="s">
        <v>104</v>
      </c>
      <c r="M3035" s="22" t="s">
        <v>37056</v>
      </c>
    </row>
    <row r="3036" spans="1:13" x14ac:dyDescent="0.75">
      <c r="A3036" t="s">
        <v>26553</v>
      </c>
      <c r="B3036" t="s">
        <v>7024</v>
      </c>
      <c r="C3036" t="s">
        <v>6634</v>
      </c>
      <c r="D3036" t="s">
        <v>7025</v>
      </c>
      <c r="E3036" t="s">
        <v>26554</v>
      </c>
      <c r="F3036">
        <v>32</v>
      </c>
      <c r="G3036">
        <v>2440093</v>
      </c>
      <c r="H3036" t="s">
        <v>26555</v>
      </c>
      <c r="J3036" s="54" t="s">
        <v>6052</v>
      </c>
      <c r="K3036" s="54">
        <v>0</v>
      </c>
      <c r="L3036" s="22" t="s">
        <v>104</v>
      </c>
      <c r="M3036" s="22" t="s">
        <v>37056</v>
      </c>
    </row>
    <row r="3037" spans="1:13" x14ac:dyDescent="0.75">
      <c r="A3037" t="s">
        <v>13372</v>
      </c>
      <c r="B3037" t="s">
        <v>10944</v>
      </c>
      <c r="C3037" t="s">
        <v>6251</v>
      </c>
      <c r="D3037" t="s">
        <v>10945</v>
      </c>
      <c r="E3037" t="s">
        <v>13373</v>
      </c>
      <c r="F3037">
        <v>20</v>
      </c>
      <c r="G3037">
        <v>1534707</v>
      </c>
      <c r="H3037" t="s">
        <v>13374</v>
      </c>
      <c r="J3037" s="54" t="s">
        <v>6052</v>
      </c>
      <c r="K3037" s="54">
        <v>0</v>
      </c>
      <c r="L3037" s="22" t="s">
        <v>36804</v>
      </c>
      <c r="M3037" s="22" t="s">
        <v>37041</v>
      </c>
    </row>
    <row r="3038" spans="1:13" x14ac:dyDescent="0.75">
      <c r="A3038" t="s">
        <v>21282</v>
      </c>
      <c r="B3038" t="s">
        <v>7024</v>
      </c>
      <c r="C3038" t="s">
        <v>6634</v>
      </c>
      <c r="D3038" t="s">
        <v>7025</v>
      </c>
      <c r="E3038" t="s">
        <v>21283</v>
      </c>
      <c r="F3038">
        <v>11</v>
      </c>
      <c r="G3038">
        <v>2722841</v>
      </c>
      <c r="H3038" t="s">
        <v>21284</v>
      </c>
      <c r="J3038" s="54" t="s">
        <v>6052</v>
      </c>
      <c r="K3038" s="54">
        <v>0</v>
      </c>
      <c r="L3038" s="22" t="s">
        <v>104</v>
      </c>
      <c r="M3038" s="22" t="s">
        <v>37056</v>
      </c>
    </row>
    <row r="3039" spans="1:13" x14ac:dyDescent="0.75">
      <c r="A3039" t="s">
        <v>21277</v>
      </c>
      <c r="B3039" t="s">
        <v>7024</v>
      </c>
      <c r="C3039" t="s">
        <v>6634</v>
      </c>
      <c r="D3039" t="s">
        <v>7025</v>
      </c>
      <c r="E3039" t="s">
        <v>21278</v>
      </c>
      <c r="F3039">
        <v>11</v>
      </c>
      <c r="G3039">
        <v>2627131</v>
      </c>
      <c r="H3039" t="s">
        <v>21279</v>
      </c>
      <c r="J3039" s="54" t="s">
        <v>6052</v>
      </c>
      <c r="K3039" s="54">
        <v>0</v>
      </c>
      <c r="L3039" s="22" t="s">
        <v>104</v>
      </c>
      <c r="M3039" s="22" t="s">
        <v>37056</v>
      </c>
    </row>
    <row r="3040" spans="1:13" x14ac:dyDescent="0.75">
      <c r="A3040" t="s">
        <v>21298</v>
      </c>
      <c r="B3040" t="s">
        <v>7024</v>
      </c>
      <c r="C3040" t="s">
        <v>6634</v>
      </c>
      <c r="D3040" t="s">
        <v>7025</v>
      </c>
      <c r="E3040" t="s">
        <v>21299</v>
      </c>
      <c r="F3040">
        <v>21</v>
      </c>
      <c r="G3040">
        <v>2593621</v>
      </c>
      <c r="H3040" t="s">
        <v>21300</v>
      </c>
      <c r="J3040" s="54" t="s">
        <v>6052</v>
      </c>
      <c r="K3040" s="54">
        <v>0</v>
      </c>
      <c r="L3040" s="22" t="s">
        <v>104</v>
      </c>
      <c r="M3040" s="22" t="s">
        <v>37056</v>
      </c>
    </row>
    <row r="3041" spans="1:13" x14ac:dyDescent="0.75">
      <c r="A3041" t="s">
        <v>29348</v>
      </c>
      <c r="B3041" t="s">
        <v>7024</v>
      </c>
      <c r="C3041" t="s">
        <v>6634</v>
      </c>
      <c r="D3041" t="s">
        <v>7025</v>
      </c>
      <c r="E3041" t="s">
        <v>29349</v>
      </c>
      <c r="F3041">
        <v>55</v>
      </c>
      <c r="G3041">
        <v>2335203</v>
      </c>
      <c r="H3041" t="s">
        <v>29350</v>
      </c>
      <c r="J3041" s="54" t="s">
        <v>6052</v>
      </c>
      <c r="K3041" s="54">
        <v>0</v>
      </c>
      <c r="L3041" s="22" t="s">
        <v>104</v>
      </c>
      <c r="M3041" s="22" t="s">
        <v>37056</v>
      </c>
    </row>
    <row r="3042" spans="1:13" x14ac:dyDescent="0.75">
      <c r="A3042" t="s">
        <v>12325</v>
      </c>
      <c r="B3042" t="s">
        <v>7600</v>
      </c>
      <c r="C3042" t="s">
        <v>6251</v>
      </c>
      <c r="D3042" t="s">
        <v>7601</v>
      </c>
      <c r="E3042" t="s">
        <v>12326</v>
      </c>
      <c r="F3042">
        <v>27</v>
      </c>
      <c r="G3042">
        <v>1856412</v>
      </c>
      <c r="H3042" t="s">
        <v>12327</v>
      </c>
      <c r="J3042" s="54" t="s">
        <v>6052</v>
      </c>
      <c r="K3042" s="54">
        <v>0</v>
      </c>
      <c r="L3042" s="22" t="s">
        <v>36804</v>
      </c>
      <c r="M3042" s="22" t="s">
        <v>37040</v>
      </c>
    </row>
    <row r="3043" spans="1:13" x14ac:dyDescent="0.75">
      <c r="A3043" t="s">
        <v>29669</v>
      </c>
      <c r="B3043" t="s">
        <v>7024</v>
      </c>
      <c r="C3043" t="s">
        <v>6634</v>
      </c>
      <c r="D3043" t="s">
        <v>7025</v>
      </c>
      <c r="E3043" t="s">
        <v>29670</v>
      </c>
      <c r="F3043">
        <v>13</v>
      </c>
      <c r="G3043">
        <v>2600230</v>
      </c>
      <c r="H3043" t="s">
        <v>29671</v>
      </c>
      <c r="J3043" s="54" t="s">
        <v>6052</v>
      </c>
      <c r="K3043" s="54">
        <v>0</v>
      </c>
      <c r="L3043" s="22" t="s">
        <v>104</v>
      </c>
      <c r="M3043" s="22" t="s">
        <v>37056</v>
      </c>
    </row>
    <row r="3044" spans="1:13" x14ac:dyDescent="0.75">
      <c r="A3044" t="s">
        <v>7379</v>
      </c>
      <c r="B3044" t="s">
        <v>7380</v>
      </c>
      <c r="C3044" t="s">
        <v>6634</v>
      </c>
      <c r="D3044" t="s">
        <v>6535</v>
      </c>
      <c r="E3044" t="s">
        <v>7381</v>
      </c>
      <c r="F3044">
        <v>6</v>
      </c>
      <c r="G3044">
        <v>2839537</v>
      </c>
      <c r="H3044" t="s">
        <v>7382</v>
      </c>
      <c r="J3044" s="54" t="s">
        <v>6052</v>
      </c>
      <c r="K3044" s="54">
        <v>0</v>
      </c>
      <c r="L3044" s="22" t="s">
        <v>104</v>
      </c>
      <c r="M3044" s="22" t="s">
        <v>37053</v>
      </c>
    </row>
    <row r="3045" spans="1:13" x14ac:dyDescent="0.75">
      <c r="A3045" t="s">
        <v>10099</v>
      </c>
      <c r="B3045" t="s">
        <v>7380</v>
      </c>
      <c r="C3045" t="s">
        <v>6634</v>
      </c>
      <c r="D3045" t="s">
        <v>6535</v>
      </c>
      <c r="E3045" t="s">
        <v>10100</v>
      </c>
      <c r="F3045">
        <v>14</v>
      </c>
      <c r="G3045">
        <v>2990162</v>
      </c>
      <c r="H3045" t="s">
        <v>10101</v>
      </c>
      <c r="J3045" s="54" t="s">
        <v>6052</v>
      </c>
      <c r="K3045" s="54">
        <v>0</v>
      </c>
      <c r="L3045" s="22" t="s">
        <v>104</v>
      </c>
      <c r="M3045" s="22" t="s">
        <v>37053</v>
      </c>
    </row>
    <row r="3046" spans="1:13" x14ac:dyDescent="0.75">
      <c r="A3046" t="s">
        <v>27215</v>
      </c>
      <c r="B3046" t="s">
        <v>7380</v>
      </c>
      <c r="C3046" t="s">
        <v>6634</v>
      </c>
      <c r="D3046" t="s">
        <v>6535</v>
      </c>
      <c r="E3046" t="s">
        <v>27216</v>
      </c>
      <c r="F3046">
        <v>17</v>
      </c>
      <c r="G3046">
        <v>2812609</v>
      </c>
      <c r="H3046" t="s">
        <v>27217</v>
      </c>
      <c r="J3046" s="54" t="s">
        <v>6052</v>
      </c>
      <c r="K3046" s="54">
        <v>0</v>
      </c>
      <c r="L3046" s="22" t="s">
        <v>104</v>
      </c>
      <c r="M3046" s="22" t="s">
        <v>37053</v>
      </c>
    </row>
    <row r="3047" spans="1:13" x14ac:dyDescent="0.75">
      <c r="A3047" t="s">
        <v>9511</v>
      </c>
      <c r="B3047" t="s">
        <v>7380</v>
      </c>
      <c r="C3047" t="s">
        <v>6634</v>
      </c>
      <c r="D3047" t="s">
        <v>6535</v>
      </c>
      <c r="E3047" t="s">
        <v>9512</v>
      </c>
      <c r="F3047">
        <v>21</v>
      </c>
      <c r="G3047">
        <v>2857367</v>
      </c>
      <c r="H3047" t="s">
        <v>9513</v>
      </c>
      <c r="J3047" s="54" t="s">
        <v>6052</v>
      </c>
      <c r="K3047" s="54">
        <v>0</v>
      </c>
      <c r="L3047" s="22" t="s">
        <v>104</v>
      </c>
      <c r="M3047" s="22" t="s">
        <v>37053</v>
      </c>
    </row>
    <row r="3048" spans="1:13" x14ac:dyDescent="0.75">
      <c r="A3048" t="s">
        <v>28290</v>
      </c>
      <c r="B3048" t="s">
        <v>7380</v>
      </c>
      <c r="C3048" t="s">
        <v>6634</v>
      </c>
      <c r="D3048" t="s">
        <v>6535</v>
      </c>
      <c r="E3048" t="s">
        <v>28291</v>
      </c>
      <c r="F3048">
        <v>21</v>
      </c>
      <c r="G3048">
        <v>2857367</v>
      </c>
      <c r="H3048" t="s">
        <v>28292</v>
      </c>
      <c r="J3048" s="54" t="s">
        <v>6052</v>
      </c>
      <c r="K3048" s="54">
        <v>0</v>
      </c>
      <c r="L3048" s="22" t="s">
        <v>104</v>
      </c>
      <c r="M3048" s="22" t="s">
        <v>37053</v>
      </c>
    </row>
    <row r="3049" spans="1:13" x14ac:dyDescent="0.75">
      <c r="A3049" t="s">
        <v>27103</v>
      </c>
      <c r="B3049" t="s">
        <v>7380</v>
      </c>
      <c r="C3049" t="s">
        <v>6634</v>
      </c>
      <c r="D3049" t="s">
        <v>6535</v>
      </c>
      <c r="E3049" t="s">
        <v>27104</v>
      </c>
      <c r="F3049">
        <v>13</v>
      </c>
      <c r="G3049">
        <v>2922118</v>
      </c>
      <c r="H3049" t="s">
        <v>27105</v>
      </c>
      <c r="J3049" s="54" t="s">
        <v>6052</v>
      </c>
      <c r="K3049" s="54">
        <v>0</v>
      </c>
      <c r="L3049" s="22" t="s">
        <v>104</v>
      </c>
      <c r="M3049" s="22" t="s">
        <v>37053</v>
      </c>
    </row>
    <row r="3050" spans="1:13" x14ac:dyDescent="0.75">
      <c r="A3050" t="s">
        <v>9811</v>
      </c>
      <c r="B3050" t="s">
        <v>9812</v>
      </c>
      <c r="C3050" t="s">
        <v>6634</v>
      </c>
      <c r="D3050" t="s">
        <v>9813</v>
      </c>
      <c r="E3050" t="s">
        <v>9814</v>
      </c>
      <c r="F3050">
        <v>51</v>
      </c>
      <c r="G3050">
        <v>2709958</v>
      </c>
      <c r="H3050" t="s">
        <v>9815</v>
      </c>
      <c r="J3050" s="54" t="s">
        <v>6052</v>
      </c>
      <c r="K3050" s="54">
        <v>0</v>
      </c>
      <c r="L3050" s="22" t="s">
        <v>104</v>
      </c>
      <c r="M3050" s="22" t="s">
        <v>37060</v>
      </c>
    </row>
    <row r="3051" spans="1:13" x14ac:dyDescent="0.75">
      <c r="A3051" t="s">
        <v>10289</v>
      </c>
      <c r="B3051" t="s">
        <v>9812</v>
      </c>
      <c r="C3051" t="s">
        <v>6634</v>
      </c>
      <c r="D3051" t="s">
        <v>9813</v>
      </c>
      <c r="E3051" t="s">
        <v>10290</v>
      </c>
      <c r="F3051">
        <v>49</v>
      </c>
      <c r="G3051">
        <v>2560108</v>
      </c>
      <c r="H3051" t="s">
        <v>10291</v>
      </c>
      <c r="J3051" s="54" t="s">
        <v>6052</v>
      </c>
      <c r="K3051" s="54">
        <v>0</v>
      </c>
      <c r="L3051" s="22" t="s">
        <v>104</v>
      </c>
      <c r="M3051" s="22" t="s">
        <v>37060</v>
      </c>
    </row>
    <row r="3052" spans="1:13" x14ac:dyDescent="0.75">
      <c r="A3052" t="s">
        <v>28917</v>
      </c>
      <c r="B3052" t="s">
        <v>9812</v>
      </c>
      <c r="C3052" t="s">
        <v>6634</v>
      </c>
      <c r="D3052" t="s">
        <v>9813</v>
      </c>
      <c r="E3052" t="s">
        <v>28918</v>
      </c>
      <c r="F3052">
        <v>77</v>
      </c>
      <c r="G3052">
        <v>2394927</v>
      </c>
      <c r="H3052" t="s">
        <v>28919</v>
      </c>
      <c r="J3052" s="54" t="s">
        <v>6052</v>
      </c>
      <c r="K3052" s="54">
        <v>0</v>
      </c>
      <c r="L3052" s="22" t="s">
        <v>104</v>
      </c>
      <c r="M3052" s="22" t="s">
        <v>37060</v>
      </c>
    </row>
    <row r="3053" spans="1:13" x14ac:dyDescent="0.75">
      <c r="A3053" t="s">
        <v>8974</v>
      </c>
      <c r="B3053" t="s">
        <v>8975</v>
      </c>
      <c r="C3053" t="s">
        <v>6634</v>
      </c>
      <c r="D3053" t="s">
        <v>8976</v>
      </c>
      <c r="E3053" t="s">
        <v>8977</v>
      </c>
      <c r="F3053">
        <v>166</v>
      </c>
      <c r="G3053">
        <v>2853490</v>
      </c>
      <c r="H3053" t="s">
        <v>8978</v>
      </c>
      <c r="J3053" s="54" t="s">
        <v>6052</v>
      </c>
      <c r="K3053" s="54">
        <v>0</v>
      </c>
      <c r="L3053" s="22" t="s">
        <v>104</v>
      </c>
      <c r="M3053" s="22" t="s">
        <v>37058</v>
      </c>
    </row>
    <row r="3054" spans="1:13" x14ac:dyDescent="0.75">
      <c r="A3054" t="s">
        <v>10316</v>
      </c>
      <c r="B3054" t="s">
        <v>8975</v>
      </c>
      <c r="C3054" t="s">
        <v>6634</v>
      </c>
      <c r="D3054" t="s">
        <v>8976</v>
      </c>
      <c r="E3054" t="s">
        <v>10317</v>
      </c>
      <c r="F3054">
        <v>82</v>
      </c>
      <c r="G3054">
        <v>2975513</v>
      </c>
      <c r="H3054" t="s">
        <v>10318</v>
      </c>
      <c r="J3054" s="54" t="s">
        <v>6052</v>
      </c>
      <c r="K3054" s="54">
        <v>0</v>
      </c>
      <c r="L3054" s="22" t="s">
        <v>104</v>
      </c>
      <c r="M3054" s="22" t="s">
        <v>37058</v>
      </c>
    </row>
    <row r="3055" spans="1:13" x14ac:dyDescent="0.75">
      <c r="A3055" t="s">
        <v>28991</v>
      </c>
      <c r="B3055" t="s">
        <v>8975</v>
      </c>
      <c r="C3055" t="s">
        <v>6634</v>
      </c>
      <c r="D3055" t="s">
        <v>8976</v>
      </c>
      <c r="E3055" t="s">
        <v>28992</v>
      </c>
      <c r="F3055">
        <v>73</v>
      </c>
      <c r="G3055">
        <v>2409554</v>
      </c>
      <c r="H3055" t="s">
        <v>28993</v>
      </c>
      <c r="J3055" s="54" t="s">
        <v>6052</v>
      </c>
      <c r="K3055" s="54">
        <v>0</v>
      </c>
      <c r="L3055" s="22" t="s">
        <v>104</v>
      </c>
      <c r="M3055" s="22" t="s">
        <v>37058</v>
      </c>
    </row>
    <row r="3056" spans="1:13" x14ac:dyDescent="0.75">
      <c r="A3056" t="s">
        <v>15087</v>
      </c>
      <c r="B3056" t="s">
        <v>10271</v>
      </c>
      <c r="C3056" t="s">
        <v>6634</v>
      </c>
      <c r="D3056" t="s">
        <v>9323</v>
      </c>
      <c r="E3056" t="s">
        <v>15088</v>
      </c>
      <c r="F3056">
        <v>104</v>
      </c>
      <c r="G3056">
        <v>3511526</v>
      </c>
      <c r="H3056" t="s">
        <v>15089</v>
      </c>
      <c r="J3056" s="54" t="s">
        <v>6052</v>
      </c>
      <c r="K3056" s="54">
        <v>0</v>
      </c>
      <c r="L3056" s="22" t="s">
        <v>104</v>
      </c>
      <c r="M3056" s="22" t="s">
        <v>37054</v>
      </c>
    </row>
    <row r="3057" spans="1:13" x14ac:dyDescent="0.75">
      <c r="A3057" t="s">
        <v>29771</v>
      </c>
      <c r="B3057" t="s">
        <v>10271</v>
      </c>
      <c r="C3057" t="s">
        <v>6634</v>
      </c>
      <c r="D3057" t="s">
        <v>9323</v>
      </c>
      <c r="E3057" t="s">
        <v>29772</v>
      </c>
      <c r="F3057">
        <v>82</v>
      </c>
      <c r="G3057">
        <v>3194357</v>
      </c>
      <c r="H3057" t="s">
        <v>29773</v>
      </c>
      <c r="J3057" s="54" t="s">
        <v>6052</v>
      </c>
      <c r="K3057" s="54">
        <v>0</v>
      </c>
      <c r="L3057" s="22" t="s">
        <v>104</v>
      </c>
      <c r="M3057" s="22" t="s">
        <v>37054</v>
      </c>
    </row>
    <row r="3058" spans="1:13" x14ac:dyDescent="0.75">
      <c r="A3058" t="s">
        <v>10270</v>
      </c>
      <c r="B3058" t="s">
        <v>10271</v>
      </c>
      <c r="C3058" t="s">
        <v>6634</v>
      </c>
      <c r="D3058" t="s">
        <v>9323</v>
      </c>
      <c r="E3058" t="s">
        <v>10272</v>
      </c>
      <c r="F3058">
        <v>142</v>
      </c>
      <c r="G3058">
        <v>3489881</v>
      </c>
      <c r="H3058" t="s">
        <v>10273</v>
      </c>
      <c r="J3058" s="54" t="s">
        <v>6052</v>
      </c>
      <c r="K3058" s="54">
        <v>0</v>
      </c>
      <c r="L3058" s="22" t="s">
        <v>104</v>
      </c>
      <c r="M3058" s="22" t="s">
        <v>37054</v>
      </c>
    </row>
    <row r="3059" spans="1:13" x14ac:dyDescent="0.75">
      <c r="A3059" t="s">
        <v>19370</v>
      </c>
      <c r="B3059" t="s">
        <v>10271</v>
      </c>
      <c r="C3059" t="s">
        <v>6634</v>
      </c>
      <c r="D3059" t="s">
        <v>9323</v>
      </c>
      <c r="E3059" t="s">
        <v>19371</v>
      </c>
      <c r="F3059">
        <v>188</v>
      </c>
      <c r="G3059">
        <v>3170731</v>
      </c>
      <c r="H3059" t="s">
        <v>19372</v>
      </c>
      <c r="J3059" s="54" t="s">
        <v>6052</v>
      </c>
      <c r="K3059" s="54">
        <v>0</v>
      </c>
      <c r="L3059" s="22" t="s">
        <v>104</v>
      </c>
      <c r="M3059" s="22" t="s">
        <v>37054</v>
      </c>
    </row>
    <row r="3060" spans="1:13" x14ac:dyDescent="0.75">
      <c r="A3060" t="s">
        <v>19367</v>
      </c>
      <c r="B3060" t="s">
        <v>10271</v>
      </c>
      <c r="C3060" t="s">
        <v>6634</v>
      </c>
      <c r="D3060" t="s">
        <v>9323</v>
      </c>
      <c r="E3060" t="s">
        <v>19368</v>
      </c>
      <c r="F3060">
        <v>150</v>
      </c>
      <c r="G3060">
        <v>3277821</v>
      </c>
      <c r="H3060" t="s">
        <v>19369</v>
      </c>
      <c r="J3060" s="54" t="s">
        <v>6052</v>
      </c>
      <c r="K3060" s="54">
        <v>0</v>
      </c>
      <c r="L3060" s="22" t="s">
        <v>104</v>
      </c>
      <c r="M3060" s="22" t="s">
        <v>37054</v>
      </c>
    </row>
    <row r="3061" spans="1:13" x14ac:dyDescent="0.75">
      <c r="A3061" t="s">
        <v>29799</v>
      </c>
      <c r="B3061" t="s">
        <v>6985</v>
      </c>
      <c r="C3061" t="s">
        <v>6634</v>
      </c>
      <c r="D3061" t="s">
        <v>6986</v>
      </c>
      <c r="E3061" t="s">
        <v>29800</v>
      </c>
      <c r="F3061">
        <v>219</v>
      </c>
      <c r="G3061">
        <v>3680910</v>
      </c>
      <c r="H3061" t="s">
        <v>29801</v>
      </c>
      <c r="J3061" s="54" t="s">
        <v>6052</v>
      </c>
      <c r="K3061" s="54">
        <v>0</v>
      </c>
      <c r="L3061" s="22" t="s">
        <v>104</v>
      </c>
      <c r="M3061" s="22" t="s">
        <v>37057</v>
      </c>
    </row>
    <row r="3062" spans="1:13" x14ac:dyDescent="0.75">
      <c r="A3062" t="s">
        <v>6984</v>
      </c>
      <c r="B3062" t="s">
        <v>6985</v>
      </c>
      <c r="C3062" t="s">
        <v>6634</v>
      </c>
      <c r="D3062" t="s">
        <v>6986</v>
      </c>
      <c r="E3062" t="s">
        <v>6987</v>
      </c>
      <c r="F3062">
        <v>205</v>
      </c>
      <c r="G3062">
        <v>4099098</v>
      </c>
      <c r="H3062" t="s">
        <v>6988</v>
      </c>
      <c r="J3062" s="54" t="s">
        <v>6052</v>
      </c>
      <c r="K3062" s="54">
        <v>0</v>
      </c>
      <c r="L3062" s="22" t="s">
        <v>104</v>
      </c>
      <c r="M3062" s="22" t="s">
        <v>37057</v>
      </c>
    </row>
    <row r="3063" spans="1:13" x14ac:dyDescent="0.75">
      <c r="A3063" t="s">
        <v>28951</v>
      </c>
      <c r="B3063" t="s">
        <v>6985</v>
      </c>
      <c r="C3063" t="s">
        <v>6634</v>
      </c>
      <c r="D3063" t="s">
        <v>6986</v>
      </c>
      <c r="E3063" t="s">
        <v>28952</v>
      </c>
      <c r="F3063">
        <v>256</v>
      </c>
      <c r="G3063">
        <v>3132726</v>
      </c>
      <c r="H3063" t="s">
        <v>28953</v>
      </c>
      <c r="J3063" s="54" t="s">
        <v>6052</v>
      </c>
      <c r="K3063" s="54">
        <v>0</v>
      </c>
      <c r="L3063" s="22" t="s">
        <v>104</v>
      </c>
      <c r="M3063" s="22" t="s">
        <v>37057</v>
      </c>
    </row>
    <row r="3064" spans="1:13" x14ac:dyDescent="0.75">
      <c r="A3064" t="s">
        <v>20625</v>
      </c>
      <c r="B3064" t="s">
        <v>20626</v>
      </c>
      <c r="C3064" t="s">
        <v>6634</v>
      </c>
      <c r="D3064" t="s">
        <v>20627</v>
      </c>
      <c r="E3064" t="s">
        <v>20628</v>
      </c>
      <c r="F3064">
        <v>1</v>
      </c>
      <c r="G3064">
        <v>2560308</v>
      </c>
      <c r="H3064" t="s">
        <v>20629</v>
      </c>
      <c r="J3064" s="54" t="s">
        <v>6052</v>
      </c>
      <c r="K3064" s="54">
        <v>0</v>
      </c>
      <c r="L3064" s="22" t="s">
        <v>104</v>
      </c>
      <c r="M3064" s="22" t="s">
        <v>37059</v>
      </c>
    </row>
    <row r="3065" spans="1:13" x14ac:dyDescent="0.75">
      <c r="A3065" t="s">
        <v>10943</v>
      </c>
      <c r="B3065" t="s">
        <v>10944</v>
      </c>
      <c r="C3065" t="s">
        <v>6251</v>
      </c>
      <c r="D3065" t="s">
        <v>10945</v>
      </c>
      <c r="E3065" t="s">
        <v>10946</v>
      </c>
      <c r="F3065">
        <v>7</v>
      </c>
      <c r="G3065">
        <v>1557754</v>
      </c>
      <c r="H3065" t="s">
        <v>10947</v>
      </c>
      <c r="J3065" s="54" t="s">
        <v>6052</v>
      </c>
      <c r="K3065" s="54">
        <v>0</v>
      </c>
      <c r="L3065" s="22" t="s">
        <v>36804</v>
      </c>
      <c r="M3065" s="22" t="s">
        <v>37041</v>
      </c>
    </row>
    <row r="3066" spans="1:13" x14ac:dyDescent="0.75">
      <c r="A3066" t="s">
        <v>8312</v>
      </c>
      <c r="B3066" t="s">
        <v>8313</v>
      </c>
      <c r="C3066" t="s">
        <v>8314</v>
      </c>
      <c r="D3066" t="s">
        <v>8315</v>
      </c>
      <c r="E3066" t="s">
        <v>8316</v>
      </c>
      <c r="F3066">
        <v>80</v>
      </c>
      <c r="G3066">
        <v>2687075</v>
      </c>
      <c r="H3066" t="s">
        <v>8317</v>
      </c>
      <c r="J3066" s="54" t="s">
        <v>6052</v>
      </c>
      <c r="K3066" s="54">
        <v>0</v>
      </c>
      <c r="L3066" s="22" t="s">
        <v>104</v>
      </c>
      <c r="M3066" s="22" t="s">
        <v>37065</v>
      </c>
    </row>
    <row r="3067" spans="1:13" x14ac:dyDescent="0.75">
      <c r="A3067" t="s">
        <v>29963</v>
      </c>
      <c r="B3067" t="s">
        <v>8313</v>
      </c>
      <c r="C3067" t="s">
        <v>8314</v>
      </c>
      <c r="D3067" t="s">
        <v>8315</v>
      </c>
      <c r="E3067" t="s">
        <v>29964</v>
      </c>
      <c r="F3067">
        <v>79</v>
      </c>
      <c r="G3067">
        <v>2072513</v>
      </c>
      <c r="H3067" t="s">
        <v>29965</v>
      </c>
      <c r="J3067" s="54" t="s">
        <v>6052</v>
      </c>
      <c r="K3067" s="54">
        <v>0</v>
      </c>
      <c r="L3067" s="22" t="s">
        <v>104</v>
      </c>
      <c r="M3067" s="22" t="s">
        <v>37065</v>
      </c>
    </row>
    <row r="3068" spans="1:13" x14ac:dyDescent="0.75">
      <c r="A3068" t="s">
        <v>7493</v>
      </c>
      <c r="B3068" t="s">
        <v>7494</v>
      </c>
      <c r="C3068" t="s">
        <v>6903</v>
      </c>
      <c r="D3068" t="s">
        <v>7495</v>
      </c>
      <c r="E3068" t="s">
        <v>7496</v>
      </c>
      <c r="F3068">
        <v>56</v>
      </c>
      <c r="G3068">
        <v>2220455</v>
      </c>
      <c r="H3068" t="s">
        <v>7497</v>
      </c>
      <c r="J3068" s="54" t="s">
        <v>6052</v>
      </c>
      <c r="K3068" s="54">
        <v>0</v>
      </c>
      <c r="L3068" s="22" t="s">
        <v>104</v>
      </c>
      <c r="M3068" s="22" t="s">
        <v>37069</v>
      </c>
    </row>
    <row r="3069" spans="1:13" x14ac:dyDescent="0.75">
      <c r="A3069" t="s">
        <v>29894</v>
      </c>
      <c r="B3069" t="s">
        <v>7494</v>
      </c>
      <c r="C3069" t="s">
        <v>6903</v>
      </c>
      <c r="D3069" t="s">
        <v>7495</v>
      </c>
      <c r="E3069" t="s">
        <v>29895</v>
      </c>
      <c r="F3069">
        <v>153</v>
      </c>
      <c r="G3069">
        <v>1715556</v>
      </c>
      <c r="H3069" t="s">
        <v>29896</v>
      </c>
      <c r="J3069" s="54" t="s">
        <v>6052</v>
      </c>
      <c r="K3069" s="54">
        <v>0</v>
      </c>
      <c r="L3069" s="22" t="s">
        <v>104</v>
      </c>
      <c r="M3069" s="22" t="s">
        <v>37069</v>
      </c>
    </row>
    <row r="3070" spans="1:13" x14ac:dyDescent="0.75">
      <c r="A3070" t="s">
        <v>20024</v>
      </c>
      <c r="B3070" t="s">
        <v>7494</v>
      </c>
      <c r="C3070" t="s">
        <v>6903</v>
      </c>
      <c r="D3070" t="s">
        <v>7495</v>
      </c>
      <c r="E3070" t="s">
        <v>20025</v>
      </c>
      <c r="F3070">
        <v>1</v>
      </c>
      <c r="G3070">
        <v>2220058</v>
      </c>
      <c r="H3070" t="s">
        <v>20026</v>
      </c>
      <c r="J3070" s="54" t="s">
        <v>6052</v>
      </c>
      <c r="K3070" s="54">
        <v>0</v>
      </c>
      <c r="L3070" s="22" t="s">
        <v>104</v>
      </c>
      <c r="M3070" s="22" t="s">
        <v>37069</v>
      </c>
    </row>
    <row r="3071" spans="1:13" x14ac:dyDescent="0.75">
      <c r="A3071" t="s">
        <v>27272</v>
      </c>
      <c r="B3071" t="s">
        <v>7494</v>
      </c>
      <c r="C3071" t="s">
        <v>6903</v>
      </c>
      <c r="D3071" t="s">
        <v>7495</v>
      </c>
      <c r="E3071" t="s">
        <v>27273</v>
      </c>
      <c r="F3071">
        <v>80</v>
      </c>
      <c r="G3071">
        <v>2030828</v>
      </c>
      <c r="H3071" t="s">
        <v>27274</v>
      </c>
      <c r="J3071" s="54" t="s">
        <v>6052</v>
      </c>
      <c r="K3071" s="54">
        <v>0</v>
      </c>
      <c r="L3071" s="22" t="s">
        <v>104</v>
      </c>
      <c r="M3071" s="22" t="s">
        <v>37069</v>
      </c>
    </row>
    <row r="3072" spans="1:13" x14ac:dyDescent="0.75">
      <c r="A3072" t="s">
        <v>27490</v>
      </c>
      <c r="B3072" t="s">
        <v>7494</v>
      </c>
      <c r="C3072" t="s">
        <v>6903</v>
      </c>
      <c r="D3072" t="s">
        <v>7495</v>
      </c>
      <c r="E3072" t="s">
        <v>27491</v>
      </c>
      <c r="F3072">
        <v>2</v>
      </c>
      <c r="G3072">
        <v>2243142</v>
      </c>
      <c r="H3072" t="s">
        <v>27492</v>
      </c>
      <c r="J3072" s="54" t="s">
        <v>6052</v>
      </c>
      <c r="K3072" s="54">
        <v>0</v>
      </c>
      <c r="L3072" s="22" t="s">
        <v>104</v>
      </c>
      <c r="M3072" s="22" t="s">
        <v>37069</v>
      </c>
    </row>
    <row r="3073" spans="1:13" x14ac:dyDescent="0.75">
      <c r="A3073" t="s">
        <v>29345</v>
      </c>
      <c r="B3073" t="s">
        <v>7494</v>
      </c>
      <c r="C3073" t="s">
        <v>6903</v>
      </c>
      <c r="D3073" t="s">
        <v>7495</v>
      </c>
      <c r="E3073" t="s">
        <v>29346</v>
      </c>
      <c r="F3073">
        <v>181</v>
      </c>
      <c r="G3073">
        <v>1753766</v>
      </c>
      <c r="H3073" t="s">
        <v>29347</v>
      </c>
      <c r="J3073" s="54" t="s">
        <v>6052</v>
      </c>
      <c r="K3073" s="54">
        <v>0</v>
      </c>
      <c r="L3073" s="22" t="s">
        <v>104</v>
      </c>
      <c r="M3073" s="22" t="s">
        <v>37069</v>
      </c>
    </row>
    <row r="3074" spans="1:13" x14ac:dyDescent="0.75">
      <c r="A3074" t="s">
        <v>8735</v>
      </c>
      <c r="B3074" t="s">
        <v>7758</v>
      </c>
      <c r="C3074" t="s">
        <v>6903</v>
      </c>
      <c r="D3074" t="s">
        <v>7759</v>
      </c>
      <c r="E3074">
        <v>11220434</v>
      </c>
      <c r="F3074">
        <v>159</v>
      </c>
      <c r="G3074">
        <v>2016589</v>
      </c>
      <c r="H3074" t="s">
        <v>8736</v>
      </c>
      <c r="J3074" s="54" t="s">
        <v>6052</v>
      </c>
      <c r="K3074" s="54">
        <v>0</v>
      </c>
      <c r="L3074" s="22" t="s">
        <v>104</v>
      </c>
      <c r="M3074" s="22" t="s">
        <v>37067</v>
      </c>
    </row>
    <row r="3075" spans="1:13" x14ac:dyDescent="0.75">
      <c r="A3075" t="s">
        <v>22984</v>
      </c>
      <c r="B3075" t="s">
        <v>7758</v>
      </c>
      <c r="C3075" t="s">
        <v>6903</v>
      </c>
      <c r="D3075" t="s">
        <v>7759</v>
      </c>
      <c r="E3075" t="s">
        <v>22985</v>
      </c>
      <c r="F3075">
        <v>1</v>
      </c>
      <c r="G3075">
        <v>2006535</v>
      </c>
      <c r="H3075" t="s">
        <v>22986</v>
      </c>
      <c r="J3075" s="54" t="s">
        <v>6052</v>
      </c>
      <c r="K3075" s="54">
        <v>0</v>
      </c>
      <c r="L3075" s="22" t="s">
        <v>104</v>
      </c>
      <c r="M3075" s="22" t="s">
        <v>37067</v>
      </c>
    </row>
    <row r="3076" spans="1:13" x14ac:dyDescent="0.75">
      <c r="A3076" t="s">
        <v>25824</v>
      </c>
      <c r="B3076" t="s">
        <v>7758</v>
      </c>
      <c r="C3076" t="s">
        <v>6903</v>
      </c>
      <c r="D3076" t="s">
        <v>7759</v>
      </c>
      <c r="E3076" t="s">
        <v>25825</v>
      </c>
      <c r="F3076">
        <v>214</v>
      </c>
      <c r="G3076">
        <v>1981813</v>
      </c>
      <c r="H3076" t="s">
        <v>25826</v>
      </c>
      <c r="J3076" s="54" t="s">
        <v>6052</v>
      </c>
      <c r="K3076" s="54">
        <v>0</v>
      </c>
      <c r="L3076" s="22" t="s">
        <v>104</v>
      </c>
      <c r="M3076" s="22" t="s">
        <v>37067</v>
      </c>
    </row>
    <row r="3077" spans="1:13" x14ac:dyDescent="0.75">
      <c r="A3077" t="s">
        <v>25818</v>
      </c>
      <c r="B3077" t="s">
        <v>7758</v>
      </c>
      <c r="C3077" t="s">
        <v>6903</v>
      </c>
      <c r="D3077" t="s">
        <v>7759</v>
      </c>
      <c r="E3077" t="s">
        <v>25819</v>
      </c>
      <c r="F3077">
        <v>247</v>
      </c>
      <c r="G3077">
        <v>1973779</v>
      </c>
      <c r="H3077" t="s">
        <v>25820</v>
      </c>
      <c r="J3077" s="54" t="s">
        <v>6052</v>
      </c>
      <c r="K3077" s="54">
        <v>0</v>
      </c>
      <c r="L3077" s="22" t="s">
        <v>104</v>
      </c>
      <c r="M3077" s="22" t="s">
        <v>37067</v>
      </c>
    </row>
    <row r="3078" spans="1:13" x14ac:dyDescent="0.75">
      <c r="A3078" t="s">
        <v>16824</v>
      </c>
      <c r="B3078" t="s">
        <v>7600</v>
      </c>
      <c r="C3078" t="s">
        <v>6251</v>
      </c>
      <c r="D3078" t="s">
        <v>7601</v>
      </c>
      <c r="E3078" t="s">
        <v>16825</v>
      </c>
      <c r="F3078">
        <v>74</v>
      </c>
      <c r="G3078">
        <v>1957726</v>
      </c>
      <c r="H3078" t="s">
        <v>16826</v>
      </c>
      <c r="J3078" s="54" t="s">
        <v>6052</v>
      </c>
      <c r="K3078" s="54">
        <v>0</v>
      </c>
      <c r="L3078" s="22" t="s">
        <v>36804</v>
      </c>
      <c r="M3078" s="22" t="s">
        <v>37040</v>
      </c>
    </row>
    <row r="3079" spans="1:13" x14ac:dyDescent="0.75">
      <c r="A3079" t="s">
        <v>16809</v>
      </c>
      <c r="B3079" t="s">
        <v>7600</v>
      </c>
      <c r="C3079" t="s">
        <v>6251</v>
      </c>
      <c r="D3079" t="s">
        <v>7601</v>
      </c>
      <c r="E3079" t="s">
        <v>16810</v>
      </c>
      <c r="F3079">
        <v>67</v>
      </c>
      <c r="G3079">
        <v>1962639</v>
      </c>
      <c r="H3079" t="s">
        <v>16811</v>
      </c>
      <c r="J3079" s="54" t="s">
        <v>6052</v>
      </c>
      <c r="K3079" s="54">
        <v>0</v>
      </c>
      <c r="L3079" s="22" t="s">
        <v>36804</v>
      </c>
      <c r="M3079" s="22" t="s">
        <v>37040</v>
      </c>
    </row>
    <row r="3080" spans="1:13" x14ac:dyDescent="0.75">
      <c r="A3080" t="s">
        <v>7632</v>
      </c>
      <c r="B3080" t="s">
        <v>7600</v>
      </c>
      <c r="C3080" t="s">
        <v>6251</v>
      </c>
      <c r="D3080" t="s">
        <v>7601</v>
      </c>
      <c r="E3080" t="s">
        <v>7633</v>
      </c>
      <c r="F3080">
        <v>1</v>
      </c>
      <c r="G3080">
        <v>1985832</v>
      </c>
      <c r="H3080" t="s">
        <v>7634</v>
      </c>
      <c r="J3080" s="54" t="s">
        <v>6052</v>
      </c>
      <c r="K3080" s="54">
        <v>0</v>
      </c>
      <c r="L3080" s="22" t="s">
        <v>36804</v>
      </c>
      <c r="M3080" s="22" t="s">
        <v>37040</v>
      </c>
    </row>
    <row r="3081" spans="1:13" x14ac:dyDescent="0.75">
      <c r="A3081" t="s">
        <v>16818</v>
      </c>
      <c r="B3081" t="s">
        <v>7600</v>
      </c>
      <c r="C3081" t="s">
        <v>6251</v>
      </c>
      <c r="D3081" t="s">
        <v>7601</v>
      </c>
      <c r="E3081" t="s">
        <v>16819</v>
      </c>
      <c r="F3081">
        <v>138</v>
      </c>
      <c r="G3081">
        <v>1961979</v>
      </c>
      <c r="H3081" t="s">
        <v>16820</v>
      </c>
      <c r="J3081" s="54" t="s">
        <v>6052</v>
      </c>
      <c r="K3081" s="54">
        <v>0</v>
      </c>
      <c r="L3081" s="22" t="s">
        <v>36804</v>
      </c>
      <c r="M3081" s="22" t="s">
        <v>37040</v>
      </c>
    </row>
    <row r="3082" spans="1:13" x14ac:dyDescent="0.75">
      <c r="A3082" t="s">
        <v>16821</v>
      </c>
      <c r="B3082" t="s">
        <v>7600</v>
      </c>
      <c r="C3082" t="s">
        <v>6251</v>
      </c>
      <c r="D3082" t="s">
        <v>7601</v>
      </c>
      <c r="E3082" t="s">
        <v>16822</v>
      </c>
      <c r="F3082">
        <v>137</v>
      </c>
      <c r="G3082">
        <v>1969657</v>
      </c>
      <c r="H3082" t="s">
        <v>16823</v>
      </c>
      <c r="J3082" s="54" t="s">
        <v>6052</v>
      </c>
      <c r="K3082" s="54">
        <v>0</v>
      </c>
      <c r="L3082" s="22" t="s">
        <v>36804</v>
      </c>
      <c r="M3082" s="22" t="s">
        <v>37040</v>
      </c>
    </row>
    <row r="3083" spans="1:13" x14ac:dyDescent="0.75">
      <c r="A3083" t="s">
        <v>7641</v>
      </c>
      <c r="B3083" t="s">
        <v>7600</v>
      </c>
      <c r="C3083" t="s">
        <v>6251</v>
      </c>
      <c r="D3083" t="s">
        <v>7601</v>
      </c>
      <c r="E3083" t="s">
        <v>7642</v>
      </c>
      <c r="F3083">
        <v>1</v>
      </c>
      <c r="G3083">
        <v>2007018</v>
      </c>
      <c r="H3083" t="s">
        <v>7643</v>
      </c>
      <c r="J3083" s="54" t="s">
        <v>6052</v>
      </c>
      <c r="K3083" s="54">
        <v>0</v>
      </c>
      <c r="L3083" s="22" t="s">
        <v>36804</v>
      </c>
      <c r="M3083" s="22" t="s">
        <v>37040</v>
      </c>
    </row>
    <row r="3084" spans="1:13" x14ac:dyDescent="0.75">
      <c r="A3084" t="s">
        <v>16812</v>
      </c>
      <c r="B3084" t="s">
        <v>7600</v>
      </c>
      <c r="C3084" t="s">
        <v>6251</v>
      </c>
      <c r="D3084" t="s">
        <v>7601</v>
      </c>
      <c r="E3084" t="s">
        <v>16813</v>
      </c>
      <c r="F3084">
        <v>130</v>
      </c>
      <c r="G3084">
        <v>1962133</v>
      </c>
      <c r="H3084" t="s">
        <v>16814</v>
      </c>
      <c r="J3084" s="54" t="s">
        <v>6052</v>
      </c>
      <c r="K3084" s="54">
        <v>0</v>
      </c>
      <c r="L3084" s="22" t="s">
        <v>36804</v>
      </c>
      <c r="M3084" s="22" t="s">
        <v>37040</v>
      </c>
    </row>
    <row r="3085" spans="1:13" x14ac:dyDescent="0.75">
      <c r="A3085" t="s">
        <v>25541</v>
      </c>
      <c r="B3085" t="s">
        <v>7758</v>
      </c>
      <c r="C3085" t="s">
        <v>6903</v>
      </c>
      <c r="D3085" t="s">
        <v>7759</v>
      </c>
      <c r="E3085" t="s">
        <v>25542</v>
      </c>
      <c r="F3085">
        <v>197</v>
      </c>
      <c r="G3085">
        <v>1978873</v>
      </c>
      <c r="H3085" t="s">
        <v>25543</v>
      </c>
      <c r="J3085" s="54" t="s">
        <v>6052</v>
      </c>
      <c r="K3085" s="54">
        <v>0</v>
      </c>
      <c r="L3085" s="22" t="s">
        <v>104</v>
      </c>
      <c r="M3085" s="22" t="s">
        <v>37067</v>
      </c>
    </row>
    <row r="3086" spans="1:13" x14ac:dyDescent="0.75">
      <c r="A3086" t="s">
        <v>25821</v>
      </c>
      <c r="B3086" t="s">
        <v>7758</v>
      </c>
      <c r="C3086" t="s">
        <v>6903</v>
      </c>
      <c r="D3086" t="s">
        <v>7759</v>
      </c>
      <c r="E3086" t="s">
        <v>25822</v>
      </c>
      <c r="F3086">
        <v>178</v>
      </c>
      <c r="G3086">
        <v>1926327</v>
      </c>
      <c r="H3086" t="s">
        <v>25823</v>
      </c>
      <c r="J3086" s="54" t="s">
        <v>6052</v>
      </c>
      <c r="K3086" s="54">
        <v>0</v>
      </c>
      <c r="L3086" s="22" t="s">
        <v>104</v>
      </c>
      <c r="M3086" s="22" t="s">
        <v>37067</v>
      </c>
    </row>
    <row r="3087" spans="1:13" x14ac:dyDescent="0.75">
      <c r="A3087" t="s">
        <v>25538</v>
      </c>
      <c r="B3087" t="s">
        <v>7758</v>
      </c>
      <c r="C3087" t="s">
        <v>6903</v>
      </c>
      <c r="D3087" t="s">
        <v>7759</v>
      </c>
      <c r="E3087" t="s">
        <v>25539</v>
      </c>
      <c r="F3087">
        <v>185</v>
      </c>
      <c r="G3087">
        <v>1927784</v>
      </c>
      <c r="H3087" t="s">
        <v>25540</v>
      </c>
      <c r="J3087" s="54" t="s">
        <v>6052</v>
      </c>
      <c r="K3087" s="54">
        <v>0</v>
      </c>
      <c r="L3087" s="22" t="s">
        <v>104</v>
      </c>
      <c r="M3087" s="22" t="s">
        <v>37067</v>
      </c>
    </row>
    <row r="3088" spans="1:13" x14ac:dyDescent="0.75">
      <c r="A3088" t="s">
        <v>21664</v>
      </c>
      <c r="B3088" t="s">
        <v>7600</v>
      </c>
      <c r="C3088" t="s">
        <v>6251</v>
      </c>
      <c r="D3088" t="s">
        <v>7601</v>
      </c>
      <c r="E3088" t="s">
        <v>21665</v>
      </c>
      <c r="F3088">
        <v>1</v>
      </c>
      <c r="G3088">
        <v>1993271</v>
      </c>
      <c r="H3088" t="s">
        <v>21666</v>
      </c>
      <c r="J3088" s="54" t="s">
        <v>6052</v>
      </c>
      <c r="K3088" s="54">
        <v>0</v>
      </c>
      <c r="L3088" s="22" t="s">
        <v>36804</v>
      </c>
      <c r="M3088" s="22" t="s">
        <v>37040</v>
      </c>
    </row>
    <row r="3089" spans="1:13" x14ac:dyDescent="0.75">
      <c r="A3089" t="s">
        <v>25535</v>
      </c>
      <c r="B3089" t="s">
        <v>7758</v>
      </c>
      <c r="C3089" t="s">
        <v>6903</v>
      </c>
      <c r="D3089" t="s">
        <v>7759</v>
      </c>
      <c r="E3089" t="s">
        <v>25536</v>
      </c>
      <c r="F3089">
        <v>188</v>
      </c>
      <c r="G3089">
        <v>1919505</v>
      </c>
      <c r="H3089" t="s">
        <v>25537</v>
      </c>
      <c r="J3089" s="54" t="s">
        <v>6052</v>
      </c>
      <c r="K3089" s="54">
        <v>0</v>
      </c>
      <c r="L3089" s="22" t="s">
        <v>104</v>
      </c>
      <c r="M3089" s="22" t="s">
        <v>37067</v>
      </c>
    </row>
    <row r="3090" spans="1:13" x14ac:dyDescent="0.75">
      <c r="A3090" t="s">
        <v>25526</v>
      </c>
      <c r="B3090" t="s">
        <v>7758</v>
      </c>
      <c r="C3090" t="s">
        <v>6903</v>
      </c>
      <c r="D3090" t="s">
        <v>7759</v>
      </c>
      <c r="E3090" t="s">
        <v>25527</v>
      </c>
      <c r="F3090">
        <v>257</v>
      </c>
      <c r="G3090">
        <v>2076833</v>
      </c>
      <c r="H3090" t="s">
        <v>25528</v>
      </c>
      <c r="J3090" s="54" t="s">
        <v>6052</v>
      </c>
      <c r="K3090" s="54">
        <v>0</v>
      </c>
      <c r="L3090" s="22" t="s">
        <v>104</v>
      </c>
      <c r="M3090" s="22" t="s">
        <v>37067</v>
      </c>
    </row>
    <row r="3091" spans="1:13" x14ac:dyDescent="0.75">
      <c r="A3091" t="s">
        <v>9867</v>
      </c>
      <c r="B3091" t="s">
        <v>7758</v>
      </c>
      <c r="C3091" t="s">
        <v>6903</v>
      </c>
      <c r="D3091" t="s">
        <v>7759</v>
      </c>
      <c r="E3091" t="s">
        <v>9868</v>
      </c>
      <c r="F3091">
        <v>236</v>
      </c>
      <c r="G3091">
        <v>1991234</v>
      </c>
      <c r="H3091" t="s">
        <v>9869</v>
      </c>
      <c r="J3091" s="54" t="s">
        <v>6052</v>
      </c>
      <c r="K3091" s="54">
        <v>0</v>
      </c>
      <c r="L3091" s="22" t="s">
        <v>104</v>
      </c>
      <c r="M3091" s="22" t="s">
        <v>37067</v>
      </c>
    </row>
    <row r="3092" spans="1:13" x14ac:dyDescent="0.75">
      <c r="A3092" t="s">
        <v>25529</v>
      </c>
      <c r="B3092" t="s">
        <v>7758</v>
      </c>
      <c r="C3092" t="s">
        <v>6903</v>
      </c>
      <c r="D3092" t="s">
        <v>7759</v>
      </c>
      <c r="E3092" t="s">
        <v>25530</v>
      </c>
      <c r="F3092">
        <v>201</v>
      </c>
      <c r="G3092">
        <v>1940298</v>
      </c>
      <c r="H3092" t="s">
        <v>25531</v>
      </c>
      <c r="J3092" s="54" t="s">
        <v>6052</v>
      </c>
      <c r="K3092" s="54">
        <v>0</v>
      </c>
      <c r="L3092" s="22" t="s">
        <v>104</v>
      </c>
      <c r="M3092" s="22" t="s">
        <v>37067</v>
      </c>
    </row>
    <row r="3093" spans="1:13" x14ac:dyDescent="0.75">
      <c r="A3093" t="s">
        <v>25812</v>
      </c>
      <c r="B3093" t="s">
        <v>7758</v>
      </c>
      <c r="C3093" t="s">
        <v>6903</v>
      </c>
      <c r="D3093" t="s">
        <v>7759</v>
      </c>
      <c r="E3093" t="s">
        <v>25813</v>
      </c>
      <c r="F3093">
        <v>199</v>
      </c>
      <c r="G3093">
        <v>1923955</v>
      </c>
      <c r="H3093" t="s">
        <v>25814</v>
      </c>
      <c r="J3093" s="54" t="s">
        <v>6052</v>
      </c>
      <c r="K3093" s="54">
        <v>0</v>
      </c>
      <c r="L3093" s="22" t="s">
        <v>104</v>
      </c>
      <c r="M3093" s="22" t="s">
        <v>37067</v>
      </c>
    </row>
    <row r="3094" spans="1:13" x14ac:dyDescent="0.75">
      <c r="A3094" t="s">
        <v>7757</v>
      </c>
      <c r="B3094" t="s">
        <v>7758</v>
      </c>
      <c r="C3094" t="s">
        <v>6903</v>
      </c>
      <c r="D3094" t="s">
        <v>7759</v>
      </c>
      <c r="E3094" t="s">
        <v>7760</v>
      </c>
      <c r="F3094">
        <v>85</v>
      </c>
      <c r="G3094">
        <v>1975353</v>
      </c>
      <c r="H3094" t="s">
        <v>7761</v>
      </c>
      <c r="J3094" s="54" t="s">
        <v>6052</v>
      </c>
      <c r="K3094" s="54">
        <v>0</v>
      </c>
      <c r="L3094" s="22" t="s">
        <v>104</v>
      </c>
      <c r="M3094" s="22" t="s">
        <v>37067</v>
      </c>
    </row>
    <row r="3095" spans="1:13" x14ac:dyDescent="0.75">
      <c r="A3095" t="s">
        <v>12236</v>
      </c>
      <c r="B3095" t="s">
        <v>10944</v>
      </c>
      <c r="C3095" t="s">
        <v>6251</v>
      </c>
      <c r="D3095" t="s">
        <v>10945</v>
      </c>
      <c r="E3095" t="s">
        <v>12237</v>
      </c>
      <c r="F3095">
        <v>1</v>
      </c>
      <c r="G3095">
        <v>1738543</v>
      </c>
      <c r="H3095" t="s">
        <v>12238</v>
      </c>
      <c r="J3095" s="54" t="s">
        <v>6052</v>
      </c>
      <c r="K3095" s="54">
        <v>0</v>
      </c>
      <c r="L3095" s="22" t="s">
        <v>36804</v>
      </c>
      <c r="M3095" s="22" t="s">
        <v>37041</v>
      </c>
    </row>
    <row r="3096" spans="1:13" x14ac:dyDescent="0.75">
      <c r="A3096" t="s">
        <v>12239</v>
      </c>
      <c r="B3096" t="s">
        <v>10944</v>
      </c>
      <c r="C3096" t="s">
        <v>6251</v>
      </c>
      <c r="D3096" t="s">
        <v>10945</v>
      </c>
      <c r="E3096" t="s">
        <v>12240</v>
      </c>
      <c r="F3096">
        <v>1</v>
      </c>
      <c r="G3096">
        <v>1738559</v>
      </c>
      <c r="H3096" t="s">
        <v>12241</v>
      </c>
      <c r="J3096" s="54" t="s">
        <v>6052</v>
      </c>
      <c r="K3096" s="54">
        <v>0</v>
      </c>
      <c r="L3096" s="22" t="s">
        <v>36804</v>
      </c>
      <c r="M3096" s="22" t="s">
        <v>37041</v>
      </c>
    </row>
    <row r="3097" spans="1:13" x14ac:dyDescent="0.75">
      <c r="A3097" t="s">
        <v>12242</v>
      </c>
      <c r="B3097" t="s">
        <v>10944</v>
      </c>
      <c r="C3097" t="s">
        <v>6251</v>
      </c>
      <c r="D3097" t="s">
        <v>10945</v>
      </c>
      <c r="E3097" t="s">
        <v>12243</v>
      </c>
      <c r="F3097">
        <v>1</v>
      </c>
      <c r="G3097">
        <v>1775503</v>
      </c>
      <c r="H3097" t="s">
        <v>12244</v>
      </c>
      <c r="J3097" s="54" t="s">
        <v>6052</v>
      </c>
      <c r="K3097" s="54">
        <v>0</v>
      </c>
      <c r="L3097" s="22" t="s">
        <v>36804</v>
      </c>
      <c r="M3097" s="22" t="s">
        <v>37041</v>
      </c>
    </row>
    <row r="3098" spans="1:13" x14ac:dyDescent="0.75">
      <c r="A3098" t="s">
        <v>27189</v>
      </c>
      <c r="B3098" t="s">
        <v>7758</v>
      </c>
      <c r="C3098" t="s">
        <v>6903</v>
      </c>
      <c r="D3098" t="s">
        <v>7759</v>
      </c>
      <c r="E3098" t="s">
        <v>7760</v>
      </c>
      <c r="F3098">
        <v>59</v>
      </c>
      <c r="G3098">
        <v>1953889</v>
      </c>
      <c r="H3098" t="s">
        <v>27190</v>
      </c>
      <c r="J3098" s="54" t="s">
        <v>6052</v>
      </c>
      <c r="K3098" s="54">
        <v>0</v>
      </c>
      <c r="L3098" s="22" t="s">
        <v>104</v>
      </c>
      <c r="M3098" s="22" t="s">
        <v>37067</v>
      </c>
    </row>
    <row r="3099" spans="1:13" x14ac:dyDescent="0.75">
      <c r="A3099" t="s">
        <v>17366</v>
      </c>
      <c r="B3099" t="s">
        <v>7600</v>
      </c>
      <c r="C3099" t="s">
        <v>6251</v>
      </c>
      <c r="D3099" t="s">
        <v>7601</v>
      </c>
      <c r="E3099" t="s">
        <v>17367</v>
      </c>
      <c r="F3099">
        <v>1</v>
      </c>
      <c r="G3099">
        <v>1984979</v>
      </c>
      <c r="H3099" t="s">
        <v>17368</v>
      </c>
      <c r="J3099" s="54" t="s">
        <v>6052</v>
      </c>
      <c r="K3099" s="54">
        <v>0</v>
      </c>
      <c r="L3099" s="22" t="s">
        <v>36804</v>
      </c>
      <c r="M3099" s="22" t="s">
        <v>37040</v>
      </c>
    </row>
    <row r="3100" spans="1:13" x14ac:dyDescent="0.75">
      <c r="A3100" t="s">
        <v>17363</v>
      </c>
      <c r="B3100" t="s">
        <v>7600</v>
      </c>
      <c r="C3100" t="s">
        <v>6251</v>
      </c>
      <c r="D3100" t="s">
        <v>7601</v>
      </c>
      <c r="E3100" t="s">
        <v>17364</v>
      </c>
      <c r="F3100">
        <v>1</v>
      </c>
      <c r="G3100">
        <v>1987687</v>
      </c>
      <c r="H3100" t="s">
        <v>17365</v>
      </c>
      <c r="J3100" s="54" t="s">
        <v>6052</v>
      </c>
      <c r="K3100" s="54">
        <v>0</v>
      </c>
      <c r="L3100" s="22" t="s">
        <v>36804</v>
      </c>
      <c r="M3100" s="22" t="s">
        <v>37040</v>
      </c>
    </row>
    <row r="3101" spans="1:13" x14ac:dyDescent="0.75">
      <c r="A3101" t="s">
        <v>17360</v>
      </c>
      <c r="B3101" t="s">
        <v>7600</v>
      </c>
      <c r="C3101" t="s">
        <v>6251</v>
      </c>
      <c r="D3101" t="s">
        <v>7601</v>
      </c>
      <c r="E3101" t="s">
        <v>17361</v>
      </c>
      <c r="F3101">
        <v>1</v>
      </c>
      <c r="G3101">
        <v>1877864</v>
      </c>
      <c r="H3101" t="s">
        <v>17362</v>
      </c>
      <c r="J3101" s="54" t="s">
        <v>6052</v>
      </c>
      <c r="K3101" s="54">
        <v>0</v>
      </c>
      <c r="L3101" s="22" t="s">
        <v>36804</v>
      </c>
      <c r="M3101" s="22" t="s">
        <v>37040</v>
      </c>
    </row>
    <row r="3102" spans="1:13" x14ac:dyDescent="0.75">
      <c r="A3102" t="s">
        <v>17357</v>
      </c>
      <c r="B3102" t="s">
        <v>7600</v>
      </c>
      <c r="C3102" t="s">
        <v>6251</v>
      </c>
      <c r="D3102" t="s">
        <v>7601</v>
      </c>
      <c r="E3102" t="s">
        <v>17358</v>
      </c>
      <c r="F3102">
        <v>1</v>
      </c>
      <c r="G3102">
        <v>2000194</v>
      </c>
      <c r="H3102" t="s">
        <v>17359</v>
      </c>
      <c r="J3102" s="54" t="s">
        <v>6052</v>
      </c>
      <c r="K3102" s="54">
        <v>0</v>
      </c>
      <c r="L3102" s="22" t="s">
        <v>36804</v>
      </c>
      <c r="M3102" s="22" t="s">
        <v>37040</v>
      </c>
    </row>
    <row r="3103" spans="1:13" x14ac:dyDescent="0.75">
      <c r="A3103" t="s">
        <v>17354</v>
      </c>
      <c r="B3103" t="s">
        <v>7600</v>
      </c>
      <c r="C3103" t="s">
        <v>6251</v>
      </c>
      <c r="D3103" t="s">
        <v>7601</v>
      </c>
      <c r="E3103" t="s">
        <v>17355</v>
      </c>
      <c r="F3103">
        <v>1</v>
      </c>
      <c r="G3103">
        <v>1985844</v>
      </c>
      <c r="H3103" t="s">
        <v>17356</v>
      </c>
      <c r="J3103" s="54" t="s">
        <v>6052</v>
      </c>
      <c r="K3103" s="54">
        <v>0</v>
      </c>
      <c r="L3103" s="22" t="s">
        <v>36804</v>
      </c>
      <c r="M3103" s="22" t="s">
        <v>37040</v>
      </c>
    </row>
    <row r="3104" spans="1:13" x14ac:dyDescent="0.75">
      <c r="A3104" t="s">
        <v>18117</v>
      </c>
      <c r="B3104" t="s">
        <v>7758</v>
      </c>
      <c r="C3104" t="s">
        <v>6903</v>
      </c>
      <c r="D3104" t="s">
        <v>7759</v>
      </c>
      <c r="E3104" t="s">
        <v>18118</v>
      </c>
      <c r="F3104">
        <v>1</v>
      </c>
      <c r="G3104">
        <v>2018460</v>
      </c>
      <c r="H3104" t="s">
        <v>18119</v>
      </c>
      <c r="J3104" s="54" t="s">
        <v>6052</v>
      </c>
      <c r="K3104" s="54">
        <v>0</v>
      </c>
      <c r="L3104" s="22" t="s">
        <v>104</v>
      </c>
      <c r="M3104" s="22" t="s">
        <v>37067</v>
      </c>
    </row>
    <row r="3105" spans="1:13" x14ac:dyDescent="0.75">
      <c r="A3105" t="s">
        <v>18112</v>
      </c>
      <c r="B3105" t="s">
        <v>7758</v>
      </c>
      <c r="C3105" t="s">
        <v>6903</v>
      </c>
      <c r="D3105" t="s">
        <v>7759</v>
      </c>
      <c r="E3105" t="s">
        <v>18113</v>
      </c>
      <c r="F3105">
        <v>1</v>
      </c>
      <c r="G3105">
        <v>2058531</v>
      </c>
      <c r="H3105" t="s">
        <v>18114</v>
      </c>
      <c r="J3105" s="54" t="s">
        <v>6052</v>
      </c>
      <c r="K3105" s="54">
        <v>0</v>
      </c>
      <c r="L3105" s="22" t="s">
        <v>104</v>
      </c>
      <c r="M3105" s="22" t="s">
        <v>37067</v>
      </c>
    </row>
    <row r="3106" spans="1:13" x14ac:dyDescent="0.75">
      <c r="A3106" t="s">
        <v>25523</v>
      </c>
      <c r="B3106" t="s">
        <v>7758</v>
      </c>
      <c r="C3106" t="s">
        <v>6903</v>
      </c>
      <c r="D3106" t="s">
        <v>7759</v>
      </c>
      <c r="E3106" t="s">
        <v>25524</v>
      </c>
      <c r="F3106">
        <v>274</v>
      </c>
      <c r="G3106">
        <v>2078926</v>
      </c>
      <c r="H3106" t="s">
        <v>25525</v>
      </c>
      <c r="J3106" s="54" t="s">
        <v>6052</v>
      </c>
      <c r="K3106" s="54">
        <v>0</v>
      </c>
      <c r="L3106" s="22" t="s">
        <v>104</v>
      </c>
      <c r="M3106" s="22" t="s">
        <v>37067</v>
      </c>
    </row>
    <row r="3107" spans="1:13" x14ac:dyDescent="0.75">
      <c r="A3107" t="s">
        <v>25532</v>
      </c>
      <c r="B3107" t="s">
        <v>7758</v>
      </c>
      <c r="C3107" t="s">
        <v>6903</v>
      </c>
      <c r="D3107" t="s">
        <v>7759</v>
      </c>
      <c r="E3107" t="s">
        <v>25533</v>
      </c>
      <c r="F3107">
        <v>170</v>
      </c>
      <c r="G3107">
        <v>1926728</v>
      </c>
      <c r="H3107" t="s">
        <v>25534</v>
      </c>
      <c r="J3107" s="54" t="s">
        <v>6052</v>
      </c>
      <c r="K3107" s="54">
        <v>0</v>
      </c>
      <c r="L3107" s="22" t="s">
        <v>104</v>
      </c>
      <c r="M3107" s="22" t="s">
        <v>37067</v>
      </c>
    </row>
    <row r="3108" spans="1:13" x14ac:dyDescent="0.75">
      <c r="A3108" t="s">
        <v>25815</v>
      </c>
      <c r="B3108" t="s">
        <v>7758</v>
      </c>
      <c r="C3108" t="s">
        <v>6903</v>
      </c>
      <c r="D3108" t="s">
        <v>7759</v>
      </c>
      <c r="E3108" t="s">
        <v>25816</v>
      </c>
      <c r="F3108">
        <v>174</v>
      </c>
      <c r="G3108">
        <v>1924862</v>
      </c>
      <c r="H3108" t="s">
        <v>25817</v>
      </c>
      <c r="J3108" s="54" t="s">
        <v>6052</v>
      </c>
      <c r="K3108" s="54">
        <v>0</v>
      </c>
      <c r="L3108" s="22" t="s">
        <v>104</v>
      </c>
      <c r="M3108" s="22" t="s">
        <v>37067</v>
      </c>
    </row>
    <row r="3109" spans="1:13" x14ac:dyDescent="0.75">
      <c r="A3109" t="s">
        <v>25809</v>
      </c>
      <c r="B3109" t="s">
        <v>7758</v>
      </c>
      <c r="C3109" t="s">
        <v>6903</v>
      </c>
      <c r="D3109" t="s">
        <v>7759</v>
      </c>
      <c r="E3109" t="s">
        <v>25810</v>
      </c>
      <c r="F3109">
        <v>188</v>
      </c>
      <c r="G3109">
        <v>1956729</v>
      </c>
      <c r="H3109" t="s">
        <v>25811</v>
      </c>
      <c r="J3109" s="54" t="s">
        <v>6052</v>
      </c>
      <c r="K3109" s="54">
        <v>0</v>
      </c>
      <c r="L3109" s="22" t="s">
        <v>104</v>
      </c>
      <c r="M3109" s="22" t="s">
        <v>37067</v>
      </c>
    </row>
    <row r="3110" spans="1:13" x14ac:dyDescent="0.75">
      <c r="A3110" t="s">
        <v>25803</v>
      </c>
      <c r="B3110" t="s">
        <v>7758</v>
      </c>
      <c r="C3110" t="s">
        <v>6903</v>
      </c>
      <c r="D3110" t="s">
        <v>7759</v>
      </c>
      <c r="E3110" t="s">
        <v>25804</v>
      </c>
      <c r="F3110">
        <v>227</v>
      </c>
      <c r="G3110">
        <v>1975766</v>
      </c>
      <c r="H3110" t="s">
        <v>25805</v>
      </c>
      <c r="J3110" s="54" t="s">
        <v>6052</v>
      </c>
      <c r="K3110" s="54">
        <v>0</v>
      </c>
      <c r="L3110" s="22" t="s">
        <v>104</v>
      </c>
      <c r="M3110" s="22" t="s">
        <v>37067</v>
      </c>
    </row>
    <row r="3111" spans="1:13" x14ac:dyDescent="0.75">
      <c r="A3111" t="s">
        <v>19030</v>
      </c>
      <c r="B3111" t="s">
        <v>7758</v>
      </c>
      <c r="C3111" t="s">
        <v>6903</v>
      </c>
      <c r="D3111" t="s">
        <v>7759</v>
      </c>
      <c r="E3111" t="s">
        <v>19031</v>
      </c>
      <c r="F3111">
        <v>95</v>
      </c>
      <c r="G3111">
        <v>1965870</v>
      </c>
      <c r="H3111" t="s">
        <v>19032</v>
      </c>
      <c r="J3111" s="54" t="s">
        <v>6052</v>
      </c>
      <c r="K3111" s="54">
        <v>0</v>
      </c>
      <c r="L3111" s="22" t="s">
        <v>104</v>
      </c>
      <c r="M3111" s="22" t="s">
        <v>37067</v>
      </c>
    </row>
    <row r="3112" spans="1:13" x14ac:dyDescent="0.75">
      <c r="A3112" t="s">
        <v>19033</v>
      </c>
      <c r="B3112" t="s">
        <v>7758</v>
      </c>
      <c r="C3112" t="s">
        <v>6903</v>
      </c>
      <c r="D3112" t="s">
        <v>7759</v>
      </c>
      <c r="E3112" t="s">
        <v>19034</v>
      </c>
      <c r="F3112">
        <v>89</v>
      </c>
      <c r="G3112">
        <v>1965646</v>
      </c>
      <c r="H3112" t="s">
        <v>19035</v>
      </c>
      <c r="J3112" s="54" t="s">
        <v>6052</v>
      </c>
      <c r="K3112" s="54">
        <v>0</v>
      </c>
      <c r="L3112" s="22" t="s">
        <v>104</v>
      </c>
      <c r="M3112" s="22" t="s">
        <v>37067</v>
      </c>
    </row>
    <row r="3113" spans="1:13" x14ac:dyDescent="0.75">
      <c r="A3113" t="s">
        <v>19027</v>
      </c>
      <c r="B3113" t="s">
        <v>7758</v>
      </c>
      <c r="C3113" t="s">
        <v>6903</v>
      </c>
      <c r="D3113" t="s">
        <v>7759</v>
      </c>
      <c r="E3113" t="s">
        <v>19028</v>
      </c>
      <c r="F3113">
        <v>100</v>
      </c>
      <c r="G3113">
        <v>1964801</v>
      </c>
      <c r="H3113" t="s">
        <v>19029</v>
      </c>
      <c r="J3113" s="54" t="s">
        <v>6052</v>
      </c>
      <c r="K3113" s="54">
        <v>0</v>
      </c>
      <c r="L3113" s="22" t="s">
        <v>104</v>
      </c>
      <c r="M3113" s="22" t="s">
        <v>37067</v>
      </c>
    </row>
    <row r="3114" spans="1:13" x14ac:dyDescent="0.75">
      <c r="A3114" t="s">
        <v>18066</v>
      </c>
      <c r="B3114" t="s">
        <v>7758</v>
      </c>
      <c r="C3114" t="s">
        <v>6903</v>
      </c>
      <c r="D3114" t="s">
        <v>7759</v>
      </c>
      <c r="E3114" t="s">
        <v>18067</v>
      </c>
      <c r="F3114">
        <v>1</v>
      </c>
      <c r="G3114">
        <v>2014880</v>
      </c>
      <c r="H3114" t="s">
        <v>18068</v>
      </c>
      <c r="J3114" s="54" t="s">
        <v>6052</v>
      </c>
      <c r="K3114" s="54">
        <v>0</v>
      </c>
      <c r="L3114" s="22" t="s">
        <v>104</v>
      </c>
      <c r="M3114" s="22" t="s">
        <v>37067</v>
      </c>
    </row>
    <row r="3115" spans="1:13" x14ac:dyDescent="0.75">
      <c r="A3115" t="s">
        <v>25806</v>
      </c>
      <c r="B3115" t="s">
        <v>7758</v>
      </c>
      <c r="C3115" t="s">
        <v>6903</v>
      </c>
      <c r="D3115" t="s">
        <v>7759</v>
      </c>
      <c r="E3115" t="s">
        <v>25807</v>
      </c>
      <c r="F3115">
        <v>203</v>
      </c>
      <c r="G3115">
        <v>1966161</v>
      </c>
      <c r="H3115" t="s">
        <v>25808</v>
      </c>
      <c r="J3115" s="54" t="s">
        <v>6052</v>
      </c>
      <c r="K3115" s="54">
        <v>0</v>
      </c>
      <c r="L3115" s="22" t="s">
        <v>104</v>
      </c>
      <c r="M3115" s="22" t="s">
        <v>37067</v>
      </c>
    </row>
    <row r="3116" spans="1:13" x14ac:dyDescent="0.75">
      <c r="A3116" t="s">
        <v>25800</v>
      </c>
      <c r="B3116" t="s">
        <v>7758</v>
      </c>
      <c r="C3116" t="s">
        <v>6903</v>
      </c>
      <c r="D3116" t="s">
        <v>7759</v>
      </c>
      <c r="E3116" t="s">
        <v>25801</v>
      </c>
      <c r="F3116">
        <v>219</v>
      </c>
      <c r="G3116">
        <v>1967805</v>
      </c>
      <c r="H3116" t="s">
        <v>25802</v>
      </c>
      <c r="J3116" s="54" t="s">
        <v>6052</v>
      </c>
      <c r="K3116" s="54">
        <v>0</v>
      </c>
      <c r="L3116" s="22" t="s">
        <v>104</v>
      </c>
      <c r="M3116" s="22" t="s">
        <v>37067</v>
      </c>
    </row>
    <row r="3117" spans="1:13" x14ac:dyDescent="0.75">
      <c r="A3117" t="s">
        <v>25797</v>
      </c>
      <c r="B3117" t="s">
        <v>7758</v>
      </c>
      <c r="C3117" t="s">
        <v>6903</v>
      </c>
      <c r="D3117" t="s">
        <v>7759</v>
      </c>
      <c r="E3117" t="s">
        <v>25798</v>
      </c>
      <c r="F3117">
        <v>199</v>
      </c>
      <c r="G3117">
        <v>1960038</v>
      </c>
      <c r="H3117" t="s">
        <v>25799</v>
      </c>
      <c r="J3117" s="54" t="s">
        <v>6052</v>
      </c>
      <c r="K3117" s="54">
        <v>0</v>
      </c>
      <c r="L3117" s="22" t="s">
        <v>104</v>
      </c>
      <c r="M3117" s="22" t="s">
        <v>37067</v>
      </c>
    </row>
    <row r="3118" spans="1:13" x14ac:dyDescent="0.75">
      <c r="A3118" t="s">
        <v>25794</v>
      </c>
      <c r="B3118" t="s">
        <v>7758</v>
      </c>
      <c r="C3118" t="s">
        <v>6903</v>
      </c>
      <c r="D3118" t="s">
        <v>7759</v>
      </c>
      <c r="E3118" t="s">
        <v>25795</v>
      </c>
      <c r="F3118">
        <v>237</v>
      </c>
      <c r="G3118">
        <v>1985027</v>
      </c>
      <c r="H3118" t="s">
        <v>25796</v>
      </c>
      <c r="J3118" s="54" t="s">
        <v>6052</v>
      </c>
      <c r="K3118" s="54">
        <v>0</v>
      </c>
      <c r="L3118" s="22" t="s">
        <v>104</v>
      </c>
      <c r="M3118" s="22" t="s">
        <v>37067</v>
      </c>
    </row>
    <row r="3119" spans="1:13" x14ac:dyDescent="0.75">
      <c r="A3119" t="s">
        <v>25791</v>
      </c>
      <c r="B3119" t="s">
        <v>7758</v>
      </c>
      <c r="C3119" t="s">
        <v>6903</v>
      </c>
      <c r="D3119" t="s">
        <v>7759</v>
      </c>
      <c r="E3119" t="s">
        <v>25792</v>
      </c>
      <c r="F3119">
        <v>208</v>
      </c>
      <c r="G3119">
        <v>1982091</v>
      </c>
      <c r="H3119" t="s">
        <v>25793</v>
      </c>
      <c r="J3119" s="54" t="s">
        <v>6052</v>
      </c>
      <c r="K3119" s="54">
        <v>0</v>
      </c>
      <c r="L3119" s="22" t="s">
        <v>104</v>
      </c>
      <c r="M3119" s="22" t="s">
        <v>37067</v>
      </c>
    </row>
    <row r="3120" spans="1:13" x14ac:dyDescent="0.75">
      <c r="A3120" t="s">
        <v>25782</v>
      </c>
      <c r="B3120" t="s">
        <v>7758</v>
      </c>
      <c r="C3120" t="s">
        <v>6903</v>
      </c>
      <c r="D3120" t="s">
        <v>7759</v>
      </c>
      <c r="E3120" t="s">
        <v>25783</v>
      </c>
      <c r="F3120">
        <v>191</v>
      </c>
      <c r="G3120">
        <v>1963794</v>
      </c>
      <c r="H3120" t="s">
        <v>25784</v>
      </c>
      <c r="J3120" s="54" t="s">
        <v>6052</v>
      </c>
      <c r="K3120" s="54">
        <v>0</v>
      </c>
      <c r="L3120" s="22" t="s">
        <v>104</v>
      </c>
      <c r="M3120" s="22" t="s">
        <v>37067</v>
      </c>
    </row>
    <row r="3121" spans="1:13" x14ac:dyDescent="0.75">
      <c r="A3121" t="s">
        <v>16815</v>
      </c>
      <c r="B3121" t="s">
        <v>7600</v>
      </c>
      <c r="C3121" t="s">
        <v>6251</v>
      </c>
      <c r="D3121" t="s">
        <v>7601</v>
      </c>
      <c r="E3121" t="s">
        <v>16816</v>
      </c>
      <c r="F3121">
        <v>96</v>
      </c>
      <c r="G3121">
        <v>1909282</v>
      </c>
      <c r="H3121" t="s">
        <v>16817</v>
      </c>
      <c r="J3121" s="54" t="s">
        <v>6052</v>
      </c>
      <c r="K3121" s="54">
        <v>0</v>
      </c>
      <c r="L3121" s="22" t="s">
        <v>36804</v>
      </c>
      <c r="M3121" s="22" t="s">
        <v>37040</v>
      </c>
    </row>
    <row r="3122" spans="1:13" x14ac:dyDescent="0.75">
      <c r="A3122" t="s">
        <v>25785</v>
      </c>
      <c r="B3122" t="s">
        <v>7758</v>
      </c>
      <c r="C3122" t="s">
        <v>6903</v>
      </c>
      <c r="D3122" t="s">
        <v>7759</v>
      </c>
      <c r="E3122" t="s">
        <v>25786</v>
      </c>
      <c r="F3122">
        <v>206</v>
      </c>
      <c r="G3122">
        <v>1962296</v>
      </c>
      <c r="H3122" t="s">
        <v>25787</v>
      </c>
      <c r="J3122" s="54" t="s">
        <v>6052</v>
      </c>
      <c r="K3122" s="54">
        <v>0</v>
      </c>
      <c r="L3122" s="22" t="s">
        <v>104</v>
      </c>
      <c r="M3122" s="22" t="s">
        <v>37067</v>
      </c>
    </row>
    <row r="3123" spans="1:13" x14ac:dyDescent="0.75">
      <c r="A3123" t="s">
        <v>25779</v>
      </c>
      <c r="B3123" t="s">
        <v>7758</v>
      </c>
      <c r="C3123" t="s">
        <v>6903</v>
      </c>
      <c r="D3123" t="s">
        <v>7759</v>
      </c>
      <c r="E3123" t="s">
        <v>25780</v>
      </c>
      <c r="F3123">
        <v>207</v>
      </c>
      <c r="G3123">
        <v>1962625</v>
      </c>
      <c r="H3123" t="s">
        <v>25781</v>
      </c>
      <c r="J3123" s="54" t="s">
        <v>6052</v>
      </c>
      <c r="K3123" s="54">
        <v>0</v>
      </c>
      <c r="L3123" s="22" t="s">
        <v>104</v>
      </c>
      <c r="M3123" s="22" t="s">
        <v>37067</v>
      </c>
    </row>
    <row r="3124" spans="1:13" x14ac:dyDescent="0.75">
      <c r="A3124" t="s">
        <v>25773</v>
      </c>
      <c r="B3124" t="s">
        <v>7758</v>
      </c>
      <c r="C3124" t="s">
        <v>6903</v>
      </c>
      <c r="D3124" t="s">
        <v>7759</v>
      </c>
      <c r="E3124" t="s">
        <v>25774</v>
      </c>
      <c r="F3124">
        <v>214</v>
      </c>
      <c r="G3124">
        <v>1979234</v>
      </c>
      <c r="H3124" t="s">
        <v>25775</v>
      </c>
      <c r="J3124" s="54" t="s">
        <v>6052</v>
      </c>
      <c r="K3124" s="54">
        <v>0</v>
      </c>
      <c r="L3124" s="22" t="s">
        <v>104</v>
      </c>
      <c r="M3124" s="22" t="s">
        <v>37067</v>
      </c>
    </row>
    <row r="3125" spans="1:13" x14ac:dyDescent="0.75">
      <c r="A3125" t="s">
        <v>25776</v>
      </c>
      <c r="B3125" t="s">
        <v>7758</v>
      </c>
      <c r="C3125" t="s">
        <v>6903</v>
      </c>
      <c r="D3125" t="s">
        <v>7759</v>
      </c>
      <c r="E3125" t="s">
        <v>25777</v>
      </c>
      <c r="F3125">
        <v>229</v>
      </c>
      <c r="G3125">
        <v>1975200</v>
      </c>
      <c r="H3125" t="s">
        <v>25778</v>
      </c>
      <c r="J3125" s="54" t="s">
        <v>6052</v>
      </c>
      <c r="K3125" s="54">
        <v>0</v>
      </c>
      <c r="L3125" s="22" t="s">
        <v>104</v>
      </c>
      <c r="M3125" s="22" t="s">
        <v>37067</v>
      </c>
    </row>
    <row r="3126" spans="1:13" x14ac:dyDescent="0.75">
      <c r="A3126" t="s">
        <v>25770</v>
      </c>
      <c r="B3126" t="s">
        <v>7758</v>
      </c>
      <c r="C3126" t="s">
        <v>6903</v>
      </c>
      <c r="D3126" t="s">
        <v>7759</v>
      </c>
      <c r="E3126" t="s">
        <v>25771</v>
      </c>
      <c r="F3126">
        <v>193</v>
      </c>
      <c r="G3126">
        <v>1958793</v>
      </c>
      <c r="H3126" t="s">
        <v>25772</v>
      </c>
      <c r="J3126" s="54" t="s">
        <v>6052</v>
      </c>
      <c r="K3126" s="54">
        <v>0</v>
      </c>
      <c r="L3126" s="22" t="s">
        <v>104</v>
      </c>
      <c r="M3126" s="22" t="s">
        <v>37067</v>
      </c>
    </row>
    <row r="3127" spans="1:13" x14ac:dyDescent="0.75">
      <c r="A3127" t="s">
        <v>9882</v>
      </c>
      <c r="B3127" t="s">
        <v>7758</v>
      </c>
      <c r="C3127" t="s">
        <v>6903</v>
      </c>
      <c r="D3127" t="s">
        <v>7759</v>
      </c>
      <c r="E3127" t="s">
        <v>9883</v>
      </c>
      <c r="F3127">
        <v>258</v>
      </c>
      <c r="G3127">
        <v>1991285</v>
      </c>
      <c r="H3127" t="s">
        <v>9884</v>
      </c>
      <c r="J3127" s="54" t="s">
        <v>6052</v>
      </c>
      <c r="K3127" s="54">
        <v>0</v>
      </c>
      <c r="L3127" s="22" t="s">
        <v>104</v>
      </c>
      <c r="M3127" s="22" t="s">
        <v>37067</v>
      </c>
    </row>
    <row r="3128" spans="1:13" x14ac:dyDescent="0.75">
      <c r="A3128" t="s">
        <v>25767</v>
      </c>
      <c r="B3128" t="s">
        <v>7758</v>
      </c>
      <c r="C3128" t="s">
        <v>6903</v>
      </c>
      <c r="D3128" t="s">
        <v>7759</v>
      </c>
      <c r="E3128" t="s">
        <v>25768</v>
      </c>
      <c r="F3128">
        <v>259</v>
      </c>
      <c r="G3128">
        <v>1968033</v>
      </c>
      <c r="H3128" t="s">
        <v>25769</v>
      </c>
      <c r="J3128" s="54" t="s">
        <v>6052</v>
      </c>
      <c r="K3128" s="54">
        <v>0</v>
      </c>
      <c r="L3128" s="22" t="s">
        <v>104</v>
      </c>
      <c r="M3128" s="22" t="s">
        <v>37067</v>
      </c>
    </row>
    <row r="3129" spans="1:13" x14ac:dyDescent="0.75">
      <c r="A3129" t="s">
        <v>9876</v>
      </c>
      <c r="B3129" t="s">
        <v>7758</v>
      </c>
      <c r="C3129" t="s">
        <v>6903</v>
      </c>
      <c r="D3129" t="s">
        <v>7759</v>
      </c>
      <c r="E3129" t="s">
        <v>9877</v>
      </c>
      <c r="F3129">
        <v>157</v>
      </c>
      <c r="G3129">
        <v>1991016</v>
      </c>
      <c r="H3129" t="s">
        <v>9878</v>
      </c>
      <c r="J3129" s="54" t="s">
        <v>6052</v>
      </c>
      <c r="K3129" s="54">
        <v>0</v>
      </c>
      <c r="L3129" s="22" t="s">
        <v>104</v>
      </c>
      <c r="M3129" s="22" t="s">
        <v>37067</v>
      </c>
    </row>
    <row r="3130" spans="1:13" x14ac:dyDescent="0.75">
      <c r="A3130" t="s">
        <v>25764</v>
      </c>
      <c r="B3130" t="s">
        <v>7758</v>
      </c>
      <c r="C3130" t="s">
        <v>6903</v>
      </c>
      <c r="D3130" t="s">
        <v>7759</v>
      </c>
      <c r="E3130" t="s">
        <v>25765</v>
      </c>
      <c r="F3130">
        <v>198</v>
      </c>
      <c r="G3130">
        <v>1996233</v>
      </c>
      <c r="H3130" t="s">
        <v>25766</v>
      </c>
      <c r="J3130" s="54" t="s">
        <v>6052</v>
      </c>
      <c r="K3130" s="54">
        <v>0</v>
      </c>
      <c r="L3130" s="22" t="s">
        <v>104</v>
      </c>
      <c r="M3130" s="22" t="s">
        <v>37067</v>
      </c>
    </row>
    <row r="3131" spans="1:13" x14ac:dyDescent="0.75">
      <c r="A3131" t="s">
        <v>25761</v>
      </c>
      <c r="B3131" t="s">
        <v>7758</v>
      </c>
      <c r="C3131" t="s">
        <v>6903</v>
      </c>
      <c r="D3131" t="s">
        <v>7759</v>
      </c>
      <c r="E3131" t="s">
        <v>25762</v>
      </c>
      <c r="F3131">
        <v>209</v>
      </c>
      <c r="G3131">
        <v>1996919</v>
      </c>
      <c r="H3131" t="s">
        <v>25763</v>
      </c>
      <c r="J3131" s="54" t="s">
        <v>6052</v>
      </c>
      <c r="K3131" s="54">
        <v>0</v>
      </c>
      <c r="L3131" s="22" t="s">
        <v>104</v>
      </c>
      <c r="M3131" s="22" t="s">
        <v>37067</v>
      </c>
    </row>
    <row r="3132" spans="1:13" x14ac:dyDescent="0.75">
      <c r="A3132" t="s">
        <v>25788</v>
      </c>
      <c r="B3132" t="s">
        <v>7758</v>
      </c>
      <c r="C3132" t="s">
        <v>6903</v>
      </c>
      <c r="D3132" t="s">
        <v>7759</v>
      </c>
      <c r="E3132" t="s">
        <v>25789</v>
      </c>
      <c r="F3132">
        <v>205</v>
      </c>
      <c r="G3132">
        <v>1971649</v>
      </c>
      <c r="H3132" t="s">
        <v>25790</v>
      </c>
      <c r="J3132" s="54" t="s">
        <v>6052</v>
      </c>
      <c r="K3132" s="54">
        <v>0</v>
      </c>
      <c r="L3132" s="22" t="s">
        <v>104</v>
      </c>
      <c r="M3132" s="22" t="s">
        <v>37067</v>
      </c>
    </row>
    <row r="3133" spans="1:13" x14ac:dyDescent="0.75">
      <c r="A3133" t="s">
        <v>25755</v>
      </c>
      <c r="B3133" t="s">
        <v>7758</v>
      </c>
      <c r="C3133" t="s">
        <v>6903</v>
      </c>
      <c r="D3133" t="s">
        <v>7759</v>
      </c>
      <c r="E3133" t="s">
        <v>25756</v>
      </c>
      <c r="F3133">
        <v>228</v>
      </c>
      <c r="G3133">
        <v>1971118</v>
      </c>
      <c r="H3133" t="s">
        <v>25757</v>
      </c>
      <c r="J3133" s="54" t="s">
        <v>6052</v>
      </c>
      <c r="K3133" s="54">
        <v>0</v>
      </c>
      <c r="L3133" s="22" t="s">
        <v>104</v>
      </c>
      <c r="M3133" s="22" t="s">
        <v>37067</v>
      </c>
    </row>
    <row r="3134" spans="1:13" x14ac:dyDescent="0.75">
      <c r="A3134" t="s">
        <v>9873</v>
      </c>
      <c r="B3134" t="s">
        <v>7758</v>
      </c>
      <c r="C3134" t="s">
        <v>6903</v>
      </c>
      <c r="D3134" t="s">
        <v>7759</v>
      </c>
      <c r="E3134" t="s">
        <v>9874</v>
      </c>
      <c r="F3134">
        <v>168</v>
      </c>
      <c r="G3134">
        <v>1991194</v>
      </c>
      <c r="H3134" t="s">
        <v>9875</v>
      </c>
      <c r="J3134" s="54" t="s">
        <v>6052</v>
      </c>
      <c r="K3134" s="54">
        <v>0</v>
      </c>
      <c r="L3134" s="22" t="s">
        <v>104</v>
      </c>
      <c r="M3134" s="22" t="s">
        <v>37067</v>
      </c>
    </row>
    <row r="3135" spans="1:13" x14ac:dyDescent="0.75">
      <c r="A3135" t="s">
        <v>9879</v>
      </c>
      <c r="B3135" t="s">
        <v>7758</v>
      </c>
      <c r="C3135" t="s">
        <v>6903</v>
      </c>
      <c r="D3135" t="s">
        <v>7759</v>
      </c>
      <c r="E3135" t="s">
        <v>9880</v>
      </c>
      <c r="F3135">
        <v>205</v>
      </c>
      <c r="G3135">
        <v>1991357</v>
      </c>
      <c r="H3135" t="s">
        <v>9881</v>
      </c>
      <c r="J3135" s="54" t="s">
        <v>6052</v>
      </c>
      <c r="K3135" s="54">
        <v>0</v>
      </c>
      <c r="L3135" s="22" t="s">
        <v>104</v>
      </c>
      <c r="M3135" s="22" t="s">
        <v>37067</v>
      </c>
    </row>
    <row r="3136" spans="1:13" x14ac:dyDescent="0.75">
      <c r="A3136" t="s">
        <v>25749</v>
      </c>
      <c r="B3136" t="s">
        <v>7758</v>
      </c>
      <c r="C3136" t="s">
        <v>6903</v>
      </c>
      <c r="D3136" t="s">
        <v>7759</v>
      </c>
      <c r="E3136" t="s">
        <v>25750</v>
      </c>
      <c r="F3136">
        <v>233</v>
      </c>
      <c r="G3136">
        <v>1959784</v>
      </c>
      <c r="H3136" t="s">
        <v>25751</v>
      </c>
      <c r="J3136" s="54" t="s">
        <v>6052</v>
      </c>
      <c r="K3136" s="54">
        <v>0</v>
      </c>
      <c r="L3136" s="22" t="s">
        <v>104</v>
      </c>
      <c r="M3136" s="22" t="s">
        <v>37067</v>
      </c>
    </row>
    <row r="3137" spans="1:13" x14ac:dyDescent="0.75">
      <c r="A3137" t="s">
        <v>25752</v>
      </c>
      <c r="B3137" t="s">
        <v>7758</v>
      </c>
      <c r="C3137" t="s">
        <v>6903</v>
      </c>
      <c r="D3137" t="s">
        <v>7759</v>
      </c>
      <c r="E3137" t="s">
        <v>25753</v>
      </c>
      <c r="F3137">
        <v>192</v>
      </c>
      <c r="G3137">
        <v>1939893</v>
      </c>
      <c r="H3137" t="s">
        <v>25754</v>
      </c>
      <c r="J3137" s="54" t="s">
        <v>6052</v>
      </c>
      <c r="K3137" s="54">
        <v>0</v>
      </c>
      <c r="L3137" s="22" t="s">
        <v>104</v>
      </c>
      <c r="M3137" s="22" t="s">
        <v>37067</v>
      </c>
    </row>
    <row r="3138" spans="1:13" x14ac:dyDescent="0.75">
      <c r="A3138" t="s">
        <v>25743</v>
      </c>
      <c r="B3138" t="s">
        <v>7758</v>
      </c>
      <c r="C3138" t="s">
        <v>6903</v>
      </c>
      <c r="D3138" t="s">
        <v>7759</v>
      </c>
      <c r="E3138" t="s">
        <v>25744</v>
      </c>
      <c r="F3138">
        <v>191</v>
      </c>
      <c r="G3138">
        <v>1929130</v>
      </c>
      <c r="H3138" t="s">
        <v>25745</v>
      </c>
      <c r="J3138" s="54" t="s">
        <v>6052</v>
      </c>
      <c r="K3138" s="54">
        <v>0</v>
      </c>
      <c r="L3138" s="22" t="s">
        <v>104</v>
      </c>
      <c r="M3138" s="22" t="s">
        <v>37067</v>
      </c>
    </row>
    <row r="3139" spans="1:13" x14ac:dyDescent="0.75">
      <c r="A3139" t="s">
        <v>25746</v>
      </c>
      <c r="B3139" t="s">
        <v>7758</v>
      </c>
      <c r="C3139" t="s">
        <v>6903</v>
      </c>
      <c r="D3139" t="s">
        <v>7759</v>
      </c>
      <c r="E3139" t="s">
        <v>25747</v>
      </c>
      <c r="F3139">
        <v>208</v>
      </c>
      <c r="G3139">
        <v>1928480</v>
      </c>
      <c r="H3139" t="s">
        <v>25748</v>
      </c>
      <c r="J3139" s="54" t="s">
        <v>6052</v>
      </c>
      <c r="K3139" s="54">
        <v>0</v>
      </c>
      <c r="L3139" s="22" t="s">
        <v>104</v>
      </c>
      <c r="M3139" s="22" t="s">
        <v>37067</v>
      </c>
    </row>
    <row r="3140" spans="1:13" x14ac:dyDescent="0.75">
      <c r="A3140" t="s">
        <v>25740</v>
      </c>
      <c r="B3140" t="s">
        <v>7758</v>
      </c>
      <c r="C3140" t="s">
        <v>6903</v>
      </c>
      <c r="D3140" t="s">
        <v>7759</v>
      </c>
      <c r="E3140" t="s">
        <v>25741</v>
      </c>
      <c r="F3140">
        <v>284</v>
      </c>
      <c r="G3140">
        <v>1998194</v>
      </c>
      <c r="H3140" t="s">
        <v>25742</v>
      </c>
      <c r="J3140" s="54" t="s">
        <v>6052</v>
      </c>
      <c r="K3140" s="54">
        <v>0</v>
      </c>
      <c r="L3140" s="22" t="s">
        <v>104</v>
      </c>
      <c r="M3140" s="22" t="s">
        <v>37067</v>
      </c>
    </row>
    <row r="3141" spans="1:13" x14ac:dyDescent="0.75">
      <c r="A3141" t="s">
        <v>15295</v>
      </c>
      <c r="B3141" t="s">
        <v>7600</v>
      </c>
      <c r="C3141" t="s">
        <v>6251</v>
      </c>
      <c r="D3141" t="s">
        <v>7601</v>
      </c>
      <c r="E3141" t="s">
        <v>15296</v>
      </c>
      <c r="F3141">
        <v>1</v>
      </c>
      <c r="G3141">
        <v>2008126</v>
      </c>
      <c r="H3141" t="s">
        <v>15297</v>
      </c>
      <c r="J3141" s="54" t="s">
        <v>6052</v>
      </c>
      <c r="K3141" s="54">
        <v>0</v>
      </c>
      <c r="L3141" s="22" t="s">
        <v>36804</v>
      </c>
      <c r="M3141" s="22" t="s">
        <v>37040</v>
      </c>
    </row>
    <row r="3142" spans="1:13" x14ac:dyDescent="0.75">
      <c r="A3142" t="s">
        <v>9870</v>
      </c>
      <c r="B3142" t="s">
        <v>7758</v>
      </c>
      <c r="C3142" t="s">
        <v>6903</v>
      </c>
      <c r="D3142" t="s">
        <v>7759</v>
      </c>
      <c r="E3142" t="s">
        <v>9871</v>
      </c>
      <c r="F3142">
        <v>193</v>
      </c>
      <c r="G3142">
        <v>1991254</v>
      </c>
      <c r="H3142" t="s">
        <v>9872</v>
      </c>
      <c r="J3142" s="54" t="s">
        <v>6052</v>
      </c>
      <c r="K3142" s="54">
        <v>0</v>
      </c>
      <c r="L3142" s="22" t="s">
        <v>104</v>
      </c>
      <c r="M3142" s="22" t="s">
        <v>37067</v>
      </c>
    </row>
    <row r="3143" spans="1:13" x14ac:dyDescent="0.75">
      <c r="A3143" t="s">
        <v>25737</v>
      </c>
      <c r="B3143" t="s">
        <v>7758</v>
      </c>
      <c r="C3143" t="s">
        <v>6903</v>
      </c>
      <c r="D3143" t="s">
        <v>7759</v>
      </c>
      <c r="E3143" t="s">
        <v>25738</v>
      </c>
      <c r="F3143">
        <v>224</v>
      </c>
      <c r="G3143">
        <v>1974858</v>
      </c>
      <c r="H3143" t="s">
        <v>25739</v>
      </c>
      <c r="J3143" s="54" t="s">
        <v>6052</v>
      </c>
      <c r="K3143" s="54">
        <v>0</v>
      </c>
      <c r="L3143" s="22" t="s">
        <v>104</v>
      </c>
      <c r="M3143" s="22" t="s">
        <v>37067</v>
      </c>
    </row>
    <row r="3144" spans="1:13" x14ac:dyDescent="0.75">
      <c r="A3144" t="s">
        <v>25734</v>
      </c>
      <c r="B3144" t="s">
        <v>7758</v>
      </c>
      <c r="C3144" t="s">
        <v>6903</v>
      </c>
      <c r="D3144" t="s">
        <v>7759</v>
      </c>
      <c r="E3144" t="s">
        <v>25735</v>
      </c>
      <c r="F3144">
        <v>221</v>
      </c>
      <c r="G3144">
        <v>1983581</v>
      </c>
      <c r="H3144" t="s">
        <v>25736</v>
      </c>
      <c r="J3144" s="54" t="s">
        <v>6052</v>
      </c>
      <c r="K3144" s="54">
        <v>0</v>
      </c>
      <c r="L3144" s="22" t="s">
        <v>104</v>
      </c>
      <c r="M3144" s="22" t="s">
        <v>37067</v>
      </c>
    </row>
    <row r="3145" spans="1:13" x14ac:dyDescent="0.75">
      <c r="A3145" t="s">
        <v>25732</v>
      </c>
      <c r="B3145" t="s">
        <v>7758</v>
      </c>
      <c r="C3145" t="s">
        <v>6903</v>
      </c>
      <c r="D3145" t="s">
        <v>7759</v>
      </c>
      <c r="E3145" t="s">
        <v>9255</v>
      </c>
      <c r="F3145">
        <v>205</v>
      </c>
      <c r="G3145">
        <v>1931626</v>
      </c>
      <c r="H3145" t="s">
        <v>25733</v>
      </c>
      <c r="J3145" s="54" t="s">
        <v>6052</v>
      </c>
      <c r="K3145" s="54">
        <v>0</v>
      </c>
      <c r="L3145" s="22" t="s">
        <v>104</v>
      </c>
      <c r="M3145" s="22" t="s">
        <v>37067</v>
      </c>
    </row>
    <row r="3146" spans="1:13" x14ac:dyDescent="0.75">
      <c r="A3146" t="s">
        <v>25729</v>
      </c>
      <c r="B3146" t="s">
        <v>7758</v>
      </c>
      <c r="C3146" t="s">
        <v>6903</v>
      </c>
      <c r="D3146" t="s">
        <v>7759</v>
      </c>
      <c r="E3146" t="s">
        <v>25730</v>
      </c>
      <c r="F3146">
        <v>208</v>
      </c>
      <c r="G3146">
        <v>1935919</v>
      </c>
      <c r="H3146" t="s">
        <v>25731</v>
      </c>
      <c r="J3146" s="54" t="s">
        <v>6052</v>
      </c>
      <c r="K3146" s="54">
        <v>0</v>
      </c>
      <c r="L3146" s="22" t="s">
        <v>104</v>
      </c>
      <c r="M3146" s="22" t="s">
        <v>37067</v>
      </c>
    </row>
    <row r="3147" spans="1:13" x14ac:dyDescent="0.75">
      <c r="A3147" t="s">
        <v>25726</v>
      </c>
      <c r="B3147" t="s">
        <v>7758</v>
      </c>
      <c r="C3147" t="s">
        <v>6903</v>
      </c>
      <c r="D3147" t="s">
        <v>7759</v>
      </c>
      <c r="E3147" t="s">
        <v>25727</v>
      </c>
      <c r="F3147">
        <v>190</v>
      </c>
      <c r="G3147">
        <v>1927304</v>
      </c>
      <c r="H3147" t="s">
        <v>25728</v>
      </c>
      <c r="J3147" s="54" t="s">
        <v>6052</v>
      </c>
      <c r="K3147" s="54">
        <v>0</v>
      </c>
      <c r="L3147" s="22" t="s">
        <v>104</v>
      </c>
      <c r="M3147" s="22" t="s">
        <v>37067</v>
      </c>
    </row>
    <row r="3148" spans="1:13" x14ac:dyDescent="0.75">
      <c r="A3148" t="s">
        <v>25723</v>
      </c>
      <c r="B3148" t="s">
        <v>7758</v>
      </c>
      <c r="C3148" t="s">
        <v>6903</v>
      </c>
      <c r="D3148" t="s">
        <v>7759</v>
      </c>
      <c r="E3148" t="s">
        <v>25724</v>
      </c>
      <c r="F3148">
        <v>260</v>
      </c>
      <c r="G3148">
        <v>1962270</v>
      </c>
      <c r="H3148" t="s">
        <v>25725</v>
      </c>
      <c r="J3148" s="54" t="s">
        <v>6052</v>
      </c>
      <c r="K3148" s="54">
        <v>0</v>
      </c>
      <c r="L3148" s="22" t="s">
        <v>104</v>
      </c>
      <c r="M3148" s="22" t="s">
        <v>37067</v>
      </c>
    </row>
    <row r="3149" spans="1:13" x14ac:dyDescent="0.75">
      <c r="A3149" t="s">
        <v>25720</v>
      </c>
      <c r="B3149" t="s">
        <v>7758</v>
      </c>
      <c r="C3149" t="s">
        <v>6903</v>
      </c>
      <c r="D3149" t="s">
        <v>7759</v>
      </c>
      <c r="E3149" t="s">
        <v>25721</v>
      </c>
      <c r="F3149">
        <v>220</v>
      </c>
      <c r="G3149">
        <v>1971416</v>
      </c>
      <c r="H3149" t="s">
        <v>25722</v>
      </c>
      <c r="J3149" s="54" t="s">
        <v>6052</v>
      </c>
      <c r="K3149" s="54">
        <v>0</v>
      </c>
      <c r="L3149" s="22" t="s">
        <v>104</v>
      </c>
      <c r="M3149" s="22" t="s">
        <v>37067</v>
      </c>
    </row>
    <row r="3150" spans="1:13" x14ac:dyDescent="0.75">
      <c r="A3150" t="s">
        <v>25717</v>
      </c>
      <c r="B3150" t="s">
        <v>7758</v>
      </c>
      <c r="C3150" t="s">
        <v>6903</v>
      </c>
      <c r="D3150" t="s">
        <v>7759</v>
      </c>
      <c r="E3150" t="s">
        <v>25718</v>
      </c>
      <c r="F3150">
        <v>172</v>
      </c>
      <c r="G3150">
        <v>1941865</v>
      </c>
      <c r="H3150" t="s">
        <v>25719</v>
      </c>
      <c r="J3150" s="54" t="s">
        <v>6052</v>
      </c>
      <c r="K3150" s="54">
        <v>0</v>
      </c>
      <c r="L3150" s="22" t="s">
        <v>104</v>
      </c>
      <c r="M3150" s="22" t="s">
        <v>37067</v>
      </c>
    </row>
    <row r="3151" spans="1:13" x14ac:dyDescent="0.75">
      <c r="A3151" t="s">
        <v>9888</v>
      </c>
      <c r="B3151" t="s">
        <v>7758</v>
      </c>
      <c r="C3151" t="s">
        <v>6903</v>
      </c>
      <c r="D3151" t="s">
        <v>7759</v>
      </c>
      <c r="E3151" t="s">
        <v>9889</v>
      </c>
      <c r="F3151">
        <v>260</v>
      </c>
      <c r="G3151">
        <v>1991268</v>
      </c>
      <c r="H3151" t="s">
        <v>9890</v>
      </c>
      <c r="J3151" s="54" t="s">
        <v>6052</v>
      </c>
      <c r="K3151" s="54">
        <v>0</v>
      </c>
      <c r="L3151" s="22" t="s">
        <v>104</v>
      </c>
      <c r="M3151" s="22" t="s">
        <v>37067</v>
      </c>
    </row>
    <row r="3152" spans="1:13" x14ac:dyDescent="0.75">
      <c r="A3152" t="s">
        <v>25715</v>
      </c>
      <c r="B3152" t="s">
        <v>7758</v>
      </c>
      <c r="C3152" t="s">
        <v>6903</v>
      </c>
      <c r="D3152" t="s">
        <v>7759</v>
      </c>
      <c r="E3152" t="s">
        <v>9889</v>
      </c>
      <c r="F3152">
        <v>210</v>
      </c>
      <c r="G3152">
        <v>1960805</v>
      </c>
      <c r="H3152" t="s">
        <v>25716</v>
      </c>
      <c r="J3152" s="54" t="s">
        <v>6052</v>
      </c>
      <c r="K3152" s="54">
        <v>0</v>
      </c>
      <c r="L3152" s="22" t="s">
        <v>104</v>
      </c>
      <c r="M3152" s="22" t="s">
        <v>37067</v>
      </c>
    </row>
    <row r="3153" spans="1:13" x14ac:dyDescent="0.75">
      <c r="A3153" t="s">
        <v>25712</v>
      </c>
      <c r="B3153" t="s">
        <v>7758</v>
      </c>
      <c r="C3153" t="s">
        <v>6903</v>
      </c>
      <c r="D3153" t="s">
        <v>7759</v>
      </c>
      <c r="E3153" t="s">
        <v>25713</v>
      </c>
      <c r="F3153">
        <v>224</v>
      </c>
      <c r="G3153">
        <v>1947712</v>
      </c>
      <c r="H3153" t="s">
        <v>25714</v>
      </c>
      <c r="J3153" s="54" t="s">
        <v>6052</v>
      </c>
      <c r="K3153" s="54">
        <v>0</v>
      </c>
      <c r="L3153" s="22" t="s">
        <v>104</v>
      </c>
      <c r="M3153" s="22" t="s">
        <v>37067</v>
      </c>
    </row>
    <row r="3154" spans="1:13" x14ac:dyDescent="0.75">
      <c r="A3154" t="s">
        <v>25709</v>
      </c>
      <c r="B3154" t="s">
        <v>7758</v>
      </c>
      <c r="C3154" t="s">
        <v>6903</v>
      </c>
      <c r="D3154" t="s">
        <v>7759</v>
      </c>
      <c r="E3154" t="s">
        <v>25710</v>
      </c>
      <c r="F3154">
        <v>277</v>
      </c>
      <c r="G3154">
        <v>1981643</v>
      </c>
      <c r="H3154" t="s">
        <v>25711</v>
      </c>
      <c r="J3154" s="54" t="s">
        <v>6052</v>
      </c>
      <c r="K3154" s="54">
        <v>0</v>
      </c>
      <c r="L3154" s="22" t="s">
        <v>104</v>
      </c>
      <c r="M3154" s="22" t="s">
        <v>37067</v>
      </c>
    </row>
    <row r="3155" spans="1:13" x14ac:dyDescent="0.75">
      <c r="A3155" t="s">
        <v>25706</v>
      </c>
      <c r="B3155" t="s">
        <v>7758</v>
      </c>
      <c r="C3155" t="s">
        <v>6903</v>
      </c>
      <c r="D3155" t="s">
        <v>7759</v>
      </c>
      <c r="E3155" t="s">
        <v>25707</v>
      </c>
      <c r="F3155">
        <v>200</v>
      </c>
      <c r="G3155">
        <v>1956024</v>
      </c>
      <c r="H3155" t="s">
        <v>25708</v>
      </c>
      <c r="J3155" s="54" t="s">
        <v>6052</v>
      </c>
      <c r="K3155" s="54">
        <v>0</v>
      </c>
      <c r="L3155" s="22" t="s">
        <v>104</v>
      </c>
      <c r="M3155" s="22" t="s">
        <v>37067</v>
      </c>
    </row>
    <row r="3156" spans="1:13" x14ac:dyDescent="0.75">
      <c r="A3156" t="s">
        <v>25700</v>
      </c>
      <c r="B3156" t="s">
        <v>7758</v>
      </c>
      <c r="C3156" t="s">
        <v>6903</v>
      </c>
      <c r="D3156" t="s">
        <v>7759</v>
      </c>
      <c r="E3156" t="s">
        <v>25701</v>
      </c>
      <c r="F3156">
        <v>240</v>
      </c>
      <c r="G3156">
        <v>1990257</v>
      </c>
      <c r="H3156" t="s">
        <v>25702</v>
      </c>
      <c r="J3156" s="54" t="s">
        <v>6052</v>
      </c>
      <c r="K3156" s="54">
        <v>0</v>
      </c>
      <c r="L3156" s="22" t="s">
        <v>104</v>
      </c>
      <c r="M3156" s="22" t="s">
        <v>37067</v>
      </c>
    </row>
    <row r="3157" spans="1:13" x14ac:dyDescent="0.75">
      <c r="A3157" t="s">
        <v>25703</v>
      </c>
      <c r="B3157" t="s">
        <v>7758</v>
      </c>
      <c r="C3157" t="s">
        <v>6903</v>
      </c>
      <c r="D3157" t="s">
        <v>7759</v>
      </c>
      <c r="E3157" t="s">
        <v>25704</v>
      </c>
      <c r="F3157">
        <v>235</v>
      </c>
      <c r="G3157">
        <v>1997440</v>
      </c>
      <c r="H3157" t="s">
        <v>25705</v>
      </c>
      <c r="J3157" s="54" t="s">
        <v>6052</v>
      </c>
      <c r="K3157" s="54">
        <v>0</v>
      </c>
      <c r="L3157" s="22" t="s">
        <v>104</v>
      </c>
      <c r="M3157" s="22" t="s">
        <v>37067</v>
      </c>
    </row>
    <row r="3158" spans="1:13" x14ac:dyDescent="0.75">
      <c r="A3158" t="s">
        <v>25697</v>
      </c>
      <c r="B3158" t="s">
        <v>7758</v>
      </c>
      <c r="C3158" t="s">
        <v>6903</v>
      </c>
      <c r="D3158" t="s">
        <v>7759</v>
      </c>
      <c r="E3158" t="s">
        <v>25698</v>
      </c>
      <c r="F3158">
        <v>180</v>
      </c>
      <c r="G3158">
        <v>1919283</v>
      </c>
      <c r="H3158" t="s">
        <v>25699</v>
      </c>
      <c r="J3158" s="54" t="s">
        <v>6052</v>
      </c>
      <c r="K3158" s="54">
        <v>0</v>
      </c>
      <c r="L3158" s="22" t="s">
        <v>104</v>
      </c>
      <c r="M3158" s="22" t="s">
        <v>37067</v>
      </c>
    </row>
    <row r="3159" spans="1:13" x14ac:dyDescent="0.75">
      <c r="A3159" t="s">
        <v>25694</v>
      </c>
      <c r="B3159" t="s">
        <v>7758</v>
      </c>
      <c r="C3159" t="s">
        <v>6903</v>
      </c>
      <c r="D3159" t="s">
        <v>7759</v>
      </c>
      <c r="E3159" t="s">
        <v>25695</v>
      </c>
      <c r="F3159">
        <v>191</v>
      </c>
      <c r="G3159">
        <v>1961905</v>
      </c>
      <c r="H3159" t="s">
        <v>25696</v>
      </c>
      <c r="J3159" s="54" t="s">
        <v>6052</v>
      </c>
      <c r="K3159" s="54">
        <v>0</v>
      </c>
      <c r="L3159" s="22" t="s">
        <v>104</v>
      </c>
      <c r="M3159" s="22" t="s">
        <v>37067</v>
      </c>
    </row>
    <row r="3160" spans="1:13" x14ac:dyDescent="0.75">
      <c r="A3160" t="s">
        <v>25691</v>
      </c>
      <c r="B3160" t="s">
        <v>7758</v>
      </c>
      <c r="C3160" t="s">
        <v>6903</v>
      </c>
      <c r="D3160" t="s">
        <v>7759</v>
      </c>
      <c r="E3160" t="s">
        <v>25692</v>
      </c>
      <c r="F3160">
        <v>207</v>
      </c>
      <c r="G3160">
        <v>1985343</v>
      </c>
      <c r="H3160" t="s">
        <v>25693</v>
      </c>
      <c r="J3160" s="54" t="s">
        <v>6052</v>
      </c>
      <c r="K3160" s="54">
        <v>0</v>
      </c>
      <c r="L3160" s="22" t="s">
        <v>104</v>
      </c>
      <c r="M3160" s="22" t="s">
        <v>37067</v>
      </c>
    </row>
    <row r="3161" spans="1:13" x14ac:dyDescent="0.75">
      <c r="A3161" t="s">
        <v>25685</v>
      </c>
      <c r="B3161" t="s">
        <v>7758</v>
      </c>
      <c r="C3161" t="s">
        <v>6903</v>
      </c>
      <c r="D3161" t="s">
        <v>7759</v>
      </c>
      <c r="E3161" t="s">
        <v>25686</v>
      </c>
      <c r="F3161">
        <v>217</v>
      </c>
      <c r="G3161">
        <v>1985461</v>
      </c>
      <c r="H3161" t="s">
        <v>25687</v>
      </c>
      <c r="J3161" s="54" t="s">
        <v>6052</v>
      </c>
      <c r="K3161" s="54">
        <v>0</v>
      </c>
      <c r="L3161" s="22" t="s">
        <v>104</v>
      </c>
      <c r="M3161" s="22" t="s">
        <v>37067</v>
      </c>
    </row>
    <row r="3162" spans="1:13" x14ac:dyDescent="0.75">
      <c r="A3162" t="s">
        <v>25688</v>
      </c>
      <c r="B3162" t="s">
        <v>7758</v>
      </c>
      <c r="C3162" t="s">
        <v>6903</v>
      </c>
      <c r="D3162" t="s">
        <v>7759</v>
      </c>
      <c r="E3162" t="s">
        <v>25689</v>
      </c>
      <c r="F3162">
        <v>211</v>
      </c>
      <c r="G3162">
        <v>1951817</v>
      </c>
      <c r="H3162" t="s">
        <v>25690</v>
      </c>
      <c r="J3162" s="54" t="s">
        <v>6052</v>
      </c>
      <c r="K3162" s="54">
        <v>0</v>
      </c>
      <c r="L3162" s="22" t="s">
        <v>104</v>
      </c>
      <c r="M3162" s="22" t="s">
        <v>37067</v>
      </c>
    </row>
    <row r="3163" spans="1:13" x14ac:dyDescent="0.75">
      <c r="A3163" t="s">
        <v>9885</v>
      </c>
      <c r="B3163" t="s">
        <v>7758</v>
      </c>
      <c r="C3163" t="s">
        <v>6903</v>
      </c>
      <c r="D3163" t="s">
        <v>7759</v>
      </c>
      <c r="E3163" t="s">
        <v>9886</v>
      </c>
      <c r="F3163">
        <v>177</v>
      </c>
      <c r="G3163">
        <v>1991029</v>
      </c>
      <c r="H3163" t="s">
        <v>9887</v>
      </c>
      <c r="J3163" s="54" t="s">
        <v>6052</v>
      </c>
      <c r="K3163" s="54">
        <v>0</v>
      </c>
      <c r="L3163" s="22" t="s">
        <v>104</v>
      </c>
      <c r="M3163" s="22" t="s">
        <v>37067</v>
      </c>
    </row>
    <row r="3164" spans="1:13" x14ac:dyDescent="0.75">
      <c r="A3164" t="s">
        <v>25682</v>
      </c>
      <c r="B3164" t="s">
        <v>7758</v>
      </c>
      <c r="C3164" t="s">
        <v>6903</v>
      </c>
      <c r="D3164" t="s">
        <v>7759</v>
      </c>
      <c r="E3164" t="s">
        <v>25683</v>
      </c>
      <c r="F3164">
        <v>213</v>
      </c>
      <c r="G3164">
        <v>1982234</v>
      </c>
      <c r="H3164" t="s">
        <v>25684</v>
      </c>
      <c r="J3164" s="54" t="s">
        <v>6052</v>
      </c>
      <c r="K3164" s="54">
        <v>0</v>
      </c>
      <c r="L3164" s="22" t="s">
        <v>104</v>
      </c>
      <c r="M3164" s="22" t="s">
        <v>37067</v>
      </c>
    </row>
    <row r="3165" spans="1:13" x14ac:dyDescent="0.75">
      <c r="A3165" t="s">
        <v>25676</v>
      </c>
      <c r="B3165" t="s">
        <v>7758</v>
      </c>
      <c r="C3165" t="s">
        <v>6903</v>
      </c>
      <c r="D3165" t="s">
        <v>7759</v>
      </c>
      <c r="E3165" t="s">
        <v>25677</v>
      </c>
      <c r="F3165">
        <v>206</v>
      </c>
      <c r="G3165">
        <v>1981258</v>
      </c>
      <c r="H3165" t="s">
        <v>25678</v>
      </c>
      <c r="J3165" s="54" t="s">
        <v>6052</v>
      </c>
      <c r="K3165" s="54">
        <v>0</v>
      </c>
      <c r="L3165" s="22" t="s">
        <v>104</v>
      </c>
      <c r="M3165" s="22" t="s">
        <v>37067</v>
      </c>
    </row>
    <row r="3166" spans="1:13" x14ac:dyDescent="0.75">
      <c r="A3166" t="s">
        <v>25673</v>
      </c>
      <c r="B3166" t="s">
        <v>7758</v>
      </c>
      <c r="C3166" t="s">
        <v>6903</v>
      </c>
      <c r="D3166" t="s">
        <v>7759</v>
      </c>
      <c r="E3166" t="s">
        <v>25674</v>
      </c>
      <c r="F3166">
        <v>211</v>
      </c>
      <c r="G3166">
        <v>1931571</v>
      </c>
      <c r="H3166" t="s">
        <v>25675</v>
      </c>
      <c r="J3166" s="54" t="s">
        <v>6052</v>
      </c>
      <c r="K3166" s="54">
        <v>0</v>
      </c>
      <c r="L3166" s="22" t="s">
        <v>104</v>
      </c>
      <c r="M3166" s="22" t="s">
        <v>37067</v>
      </c>
    </row>
    <row r="3167" spans="1:13" x14ac:dyDescent="0.75">
      <c r="A3167" t="s">
        <v>25679</v>
      </c>
      <c r="B3167" t="s">
        <v>7758</v>
      </c>
      <c r="C3167" t="s">
        <v>6903</v>
      </c>
      <c r="D3167" t="s">
        <v>7759</v>
      </c>
      <c r="E3167" t="s">
        <v>25680</v>
      </c>
      <c r="F3167">
        <v>185</v>
      </c>
      <c r="G3167">
        <v>1943101</v>
      </c>
      <c r="H3167" t="s">
        <v>25681</v>
      </c>
      <c r="J3167" s="54" t="s">
        <v>6052</v>
      </c>
      <c r="K3167" s="54">
        <v>0</v>
      </c>
      <c r="L3167" s="22" t="s">
        <v>104</v>
      </c>
      <c r="M3167" s="22" t="s">
        <v>37067</v>
      </c>
    </row>
    <row r="3168" spans="1:13" x14ac:dyDescent="0.75">
      <c r="A3168" t="s">
        <v>25670</v>
      </c>
      <c r="B3168" t="s">
        <v>7758</v>
      </c>
      <c r="C3168" t="s">
        <v>6903</v>
      </c>
      <c r="D3168" t="s">
        <v>7759</v>
      </c>
      <c r="E3168" t="s">
        <v>25671</v>
      </c>
      <c r="F3168">
        <v>174</v>
      </c>
      <c r="G3168">
        <v>1942533</v>
      </c>
      <c r="H3168" t="s">
        <v>25672</v>
      </c>
      <c r="J3168" s="54" t="s">
        <v>6052</v>
      </c>
      <c r="K3168" s="54">
        <v>0</v>
      </c>
      <c r="L3168" s="22" t="s">
        <v>104</v>
      </c>
      <c r="M3168" s="22" t="s">
        <v>37067</v>
      </c>
    </row>
    <row r="3169" spans="1:13" x14ac:dyDescent="0.75">
      <c r="A3169" t="s">
        <v>25667</v>
      </c>
      <c r="B3169" t="s">
        <v>7758</v>
      </c>
      <c r="C3169" t="s">
        <v>6903</v>
      </c>
      <c r="D3169" t="s">
        <v>7759</v>
      </c>
      <c r="E3169" t="s">
        <v>25668</v>
      </c>
      <c r="F3169">
        <v>231</v>
      </c>
      <c r="G3169">
        <v>1961205</v>
      </c>
      <c r="H3169" t="s">
        <v>25669</v>
      </c>
      <c r="J3169" s="54" t="s">
        <v>6052</v>
      </c>
      <c r="K3169" s="54">
        <v>0</v>
      </c>
      <c r="L3169" s="22" t="s">
        <v>104</v>
      </c>
      <c r="M3169" s="22" t="s">
        <v>37067</v>
      </c>
    </row>
    <row r="3170" spans="1:13" x14ac:dyDescent="0.75">
      <c r="A3170" t="s">
        <v>11732</v>
      </c>
      <c r="B3170" t="s">
        <v>7758</v>
      </c>
      <c r="C3170" t="s">
        <v>6903</v>
      </c>
      <c r="D3170" t="s">
        <v>7759</v>
      </c>
      <c r="E3170" t="s">
        <v>11733</v>
      </c>
      <c r="F3170">
        <v>1</v>
      </c>
      <c r="G3170">
        <v>2140065</v>
      </c>
      <c r="H3170" t="s">
        <v>11734</v>
      </c>
      <c r="J3170" s="54" t="s">
        <v>6052</v>
      </c>
      <c r="K3170" s="54">
        <v>0</v>
      </c>
      <c r="L3170" s="22" t="s">
        <v>104</v>
      </c>
      <c r="M3170" s="22" t="s">
        <v>37067</v>
      </c>
    </row>
    <row r="3171" spans="1:13" x14ac:dyDescent="0.75">
      <c r="A3171" t="s">
        <v>10573</v>
      </c>
      <c r="B3171" t="s">
        <v>7758</v>
      </c>
      <c r="C3171" t="s">
        <v>6903</v>
      </c>
      <c r="D3171" t="s">
        <v>7759</v>
      </c>
      <c r="E3171" t="s">
        <v>6504</v>
      </c>
      <c r="F3171">
        <v>33</v>
      </c>
      <c r="G3171">
        <v>2128528</v>
      </c>
      <c r="H3171" t="s">
        <v>10574</v>
      </c>
      <c r="J3171" s="54" t="s">
        <v>6052</v>
      </c>
      <c r="K3171" s="54">
        <v>0</v>
      </c>
      <c r="L3171" s="22" t="s">
        <v>104</v>
      </c>
      <c r="M3171" s="22" t="s">
        <v>37067</v>
      </c>
    </row>
    <row r="3172" spans="1:13" x14ac:dyDescent="0.75">
      <c r="A3172" t="s">
        <v>27729</v>
      </c>
      <c r="B3172" t="s">
        <v>7758</v>
      </c>
      <c r="C3172" t="s">
        <v>6903</v>
      </c>
      <c r="D3172" t="s">
        <v>7759</v>
      </c>
      <c r="E3172" t="s">
        <v>27730</v>
      </c>
      <c r="F3172">
        <v>1</v>
      </c>
      <c r="G3172">
        <v>2006553</v>
      </c>
      <c r="H3172" t="s">
        <v>27731</v>
      </c>
      <c r="J3172" s="54" t="s">
        <v>6052</v>
      </c>
      <c r="K3172" s="54">
        <v>0</v>
      </c>
      <c r="L3172" s="22" t="s">
        <v>104</v>
      </c>
      <c r="M3172" s="22" t="s">
        <v>37067</v>
      </c>
    </row>
    <row r="3173" spans="1:13" x14ac:dyDescent="0.75">
      <c r="A3173" t="s">
        <v>27487</v>
      </c>
      <c r="B3173" t="s">
        <v>7758</v>
      </c>
      <c r="C3173" t="s">
        <v>6903</v>
      </c>
      <c r="D3173" t="s">
        <v>7759</v>
      </c>
      <c r="E3173" t="s">
        <v>27488</v>
      </c>
      <c r="F3173">
        <v>5</v>
      </c>
      <c r="G3173">
        <v>2092391</v>
      </c>
      <c r="H3173" t="s">
        <v>27489</v>
      </c>
      <c r="J3173" s="54" t="s">
        <v>6052</v>
      </c>
      <c r="K3173" s="54">
        <v>0</v>
      </c>
      <c r="L3173" s="22" t="s">
        <v>104</v>
      </c>
      <c r="M3173" s="22" t="s">
        <v>37067</v>
      </c>
    </row>
    <row r="3174" spans="1:13" x14ac:dyDescent="0.75">
      <c r="A3174" t="s">
        <v>25661</v>
      </c>
      <c r="B3174" t="s">
        <v>7758</v>
      </c>
      <c r="C3174" t="s">
        <v>6903</v>
      </c>
      <c r="D3174" t="s">
        <v>7759</v>
      </c>
      <c r="E3174" t="s">
        <v>25662</v>
      </c>
      <c r="F3174">
        <v>284</v>
      </c>
      <c r="G3174">
        <v>2052192</v>
      </c>
      <c r="H3174" t="s">
        <v>25663</v>
      </c>
      <c r="J3174" s="54" t="s">
        <v>6052</v>
      </c>
      <c r="K3174" s="54">
        <v>0</v>
      </c>
      <c r="L3174" s="22" t="s">
        <v>104</v>
      </c>
      <c r="M3174" s="22" t="s">
        <v>37067</v>
      </c>
    </row>
    <row r="3175" spans="1:13" x14ac:dyDescent="0.75">
      <c r="A3175" t="s">
        <v>8522</v>
      </c>
      <c r="B3175" t="s">
        <v>7758</v>
      </c>
      <c r="C3175" t="s">
        <v>6903</v>
      </c>
      <c r="D3175" t="s">
        <v>7759</v>
      </c>
      <c r="E3175" t="s">
        <v>8523</v>
      </c>
      <c r="F3175">
        <v>163</v>
      </c>
      <c r="G3175">
        <v>2097547</v>
      </c>
      <c r="H3175" t="s">
        <v>8524</v>
      </c>
      <c r="J3175" s="54" t="s">
        <v>6052</v>
      </c>
      <c r="K3175" s="54">
        <v>0</v>
      </c>
      <c r="L3175" s="22" t="s">
        <v>104</v>
      </c>
      <c r="M3175" s="22" t="s">
        <v>37067</v>
      </c>
    </row>
    <row r="3176" spans="1:13" x14ac:dyDescent="0.75">
      <c r="A3176" t="s">
        <v>25758</v>
      </c>
      <c r="B3176" t="s">
        <v>7758</v>
      </c>
      <c r="C3176" t="s">
        <v>6903</v>
      </c>
      <c r="D3176" t="s">
        <v>7759</v>
      </c>
      <c r="E3176" t="s">
        <v>25759</v>
      </c>
      <c r="F3176">
        <v>204</v>
      </c>
      <c r="G3176">
        <v>1979494</v>
      </c>
      <c r="H3176" t="s">
        <v>25760</v>
      </c>
      <c r="J3176" s="54" t="s">
        <v>6052</v>
      </c>
      <c r="K3176" s="54">
        <v>0</v>
      </c>
      <c r="L3176" s="22" t="s">
        <v>104</v>
      </c>
      <c r="M3176" s="22" t="s">
        <v>37067</v>
      </c>
    </row>
    <row r="3177" spans="1:13" x14ac:dyDescent="0.75">
      <c r="A3177" t="s">
        <v>25664</v>
      </c>
      <c r="B3177" t="s">
        <v>7758</v>
      </c>
      <c r="C3177" t="s">
        <v>6903</v>
      </c>
      <c r="D3177" t="s">
        <v>7759</v>
      </c>
      <c r="E3177" t="s">
        <v>25665</v>
      </c>
      <c r="F3177">
        <v>282</v>
      </c>
      <c r="G3177">
        <v>2036081</v>
      </c>
      <c r="H3177" t="s">
        <v>25666</v>
      </c>
      <c r="J3177" s="54" t="s">
        <v>6052</v>
      </c>
      <c r="K3177" s="54">
        <v>0</v>
      </c>
      <c r="L3177" s="22" t="s">
        <v>104</v>
      </c>
      <c r="M3177" s="22" t="s">
        <v>37067</v>
      </c>
    </row>
    <row r="3178" spans="1:13" x14ac:dyDescent="0.75">
      <c r="A3178" t="s">
        <v>15639</v>
      </c>
      <c r="B3178" t="s">
        <v>7600</v>
      </c>
      <c r="C3178" t="s">
        <v>6251</v>
      </c>
      <c r="D3178" t="s">
        <v>7601</v>
      </c>
      <c r="E3178" t="s">
        <v>15640</v>
      </c>
      <c r="F3178">
        <v>32</v>
      </c>
      <c r="G3178">
        <v>1810476</v>
      </c>
      <c r="H3178" t="s">
        <v>15641</v>
      </c>
      <c r="J3178" s="54" t="s">
        <v>6052</v>
      </c>
      <c r="K3178" s="54">
        <v>0</v>
      </c>
      <c r="L3178" s="22" t="s">
        <v>36804</v>
      </c>
      <c r="M3178" s="22" t="s">
        <v>37040</v>
      </c>
    </row>
    <row r="3179" spans="1:13" x14ac:dyDescent="0.75">
      <c r="A3179" t="s">
        <v>15717</v>
      </c>
      <c r="B3179" t="s">
        <v>7600</v>
      </c>
      <c r="C3179" t="s">
        <v>6251</v>
      </c>
      <c r="D3179" t="s">
        <v>7601</v>
      </c>
      <c r="E3179" t="s">
        <v>15718</v>
      </c>
      <c r="F3179">
        <v>14</v>
      </c>
      <c r="G3179">
        <v>1876170</v>
      </c>
      <c r="H3179" t="s">
        <v>15719</v>
      </c>
      <c r="J3179" s="54" t="s">
        <v>6052</v>
      </c>
      <c r="K3179" s="54">
        <v>0</v>
      </c>
      <c r="L3179" s="22" t="s">
        <v>36804</v>
      </c>
      <c r="M3179" s="22" t="s">
        <v>37040</v>
      </c>
    </row>
    <row r="3180" spans="1:13" x14ac:dyDescent="0.75">
      <c r="A3180" t="s">
        <v>25655</v>
      </c>
      <c r="B3180" t="s">
        <v>7758</v>
      </c>
      <c r="C3180" t="s">
        <v>6903</v>
      </c>
      <c r="D3180" t="s">
        <v>7759</v>
      </c>
      <c r="E3180" t="s">
        <v>25656</v>
      </c>
      <c r="F3180">
        <v>203</v>
      </c>
      <c r="G3180">
        <v>1932055</v>
      </c>
      <c r="H3180" t="s">
        <v>25657</v>
      </c>
      <c r="J3180" s="54" t="s">
        <v>6052</v>
      </c>
      <c r="K3180" s="54">
        <v>0</v>
      </c>
      <c r="L3180" s="22" t="s">
        <v>104</v>
      </c>
      <c r="M3180" s="22" t="s">
        <v>37067</v>
      </c>
    </row>
    <row r="3181" spans="1:13" x14ac:dyDescent="0.75">
      <c r="A3181" t="s">
        <v>25658</v>
      </c>
      <c r="B3181" t="s">
        <v>7758</v>
      </c>
      <c r="C3181" t="s">
        <v>6903</v>
      </c>
      <c r="D3181" t="s">
        <v>7759</v>
      </c>
      <c r="E3181" t="s">
        <v>25659</v>
      </c>
      <c r="F3181">
        <v>198</v>
      </c>
      <c r="G3181">
        <v>1941097</v>
      </c>
      <c r="H3181" t="s">
        <v>25660</v>
      </c>
      <c r="J3181" s="54" t="s">
        <v>6052</v>
      </c>
      <c r="K3181" s="54">
        <v>0</v>
      </c>
      <c r="L3181" s="22" t="s">
        <v>104</v>
      </c>
      <c r="M3181" s="22" t="s">
        <v>37067</v>
      </c>
    </row>
    <row r="3182" spans="1:13" x14ac:dyDescent="0.75">
      <c r="A3182" t="s">
        <v>25652</v>
      </c>
      <c r="B3182" t="s">
        <v>7758</v>
      </c>
      <c r="C3182" t="s">
        <v>6903</v>
      </c>
      <c r="D3182" t="s">
        <v>7759</v>
      </c>
      <c r="E3182" t="s">
        <v>25653</v>
      </c>
      <c r="F3182">
        <v>207</v>
      </c>
      <c r="G3182">
        <v>1970142</v>
      </c>
      <c r="H3182" t="s">
        <v>25654</v>
      </c>
      <c r="J3182" s="54" t="s">
        <v>6052</v>
      </c>
      <c r="K3182" s="54">
        <v>0</v>
      </c>
      <c r="L3182" s="22" t="s">
        <v>104</v>
      </c>
      <c r="M3182" s="22" t="s">
        <v>37067</v>
      </c>
    </row>
    <row r="3183" spans="1:13" x14ac:dyDescent="0.75">
      <c r="A3183" t="s">
        <v>25628</v>
      </c>
      <c r="B3183" t="s">
        <v>10576</v>
      </c>
      <c r="C3183" t="s">
        <v>6903</v>
      </c>
      <c r="D3183" t="s">
        <v>10577</v>
      </c>
      <c r="E3183" t="s">
        <v>25629</v>
      </c>
      <c r="F3183">
        <v>107</v>
      </c>
      <c r="G3183">
        <v>2088117</v>
      </c>
      <c r="H3183" t="s">
        <v>25630</v>
      </c>
      <c r="J3183" s="54" t="s">
        <v>6052</v>
      </c>
      <c r="K3183" s="54">
        <v>0</v>
      </c>
      <c r="L3183" s="22" t="s">
        <v>104</v>
      </c>
      <c r="M3183" s="22" t="s">
        <v>37068</v>
      </c>
    </row>
    <row r="3184" spans="1:13" x14ac:dyDescent="0.75">
      <c r="A3184" t="s">
        <v>25631</v>
      </c>
      <c r="B3184" t="s">
        <v>10576</v>
      </c>
      <c r="C3184" t="s">
        <v>6903</v>
      </c>
      <c r="D3184" t="s">
        <v>10577</v>
      </c>
      <c r="E3184" t="s">
        <v>25632</v>
      </c>
      <c r="F3184">
        <v>3</v>
      </c>
      <c r="G3184">
        <v>2211394</v>
      </c>
      <c r="H3184" t="s">
        <v>25633</v>
      </c>
      <c r="J3184" s="54" t="s">
        <v>6052</v>
      </c>
      <c r="K3184" s="54">
        <v>0</v>
      </c>
      <c r="L3184" s="22" t="s">
        <v>104</v>
      </c>
      <c r="M3184" s="22" t="s">
        <v>37068</v>
      </c>
    </row>
    <row r="3185" spans="1:13" x14ac:dyDescent="0.75">
      <c r="A3185" t="s">
        <v>25634</v>
      </c>
      <c r="B3185" t="s">
        <v>10576</v>
      </c>
      <c r="C3185" t="s">
        <v>6903</v>
      </c>
      <c r="D3185" t="s">
        <v>10577</v>
      </c>
      <c r="E3185" t="s">
        <v>25635</v>
      </c>
      <c r="F3185">
        <v>3</v>
      </c>
      <c r="G3185">
        <v>2211538</v>
      </c>
      <c r="H3185" t="s">
        <v>25636</v>
      </c>
      <c r="J3185" s="54" t="s">
        <v>6052</v>
      </c>
      <c r="K3185" s="54">
        <v>0</v>
      </c>
      <c r="L3185" s="22" t="s">
        <v>104</v>
      </c>
      <c r="M3185" s="22" t="s">
        <v>37068</v>
      </c>
    </row>
    <row r="3186" spans="1:13" x14ac:dyDescent="0.75">
      <c r="A3186" t="s">
        <v>25625</v>
      </c>
      <c r="B3186" t="s">
        <v>10576</v>
      </c>
      <c r="C3186" t="s">
        <v>6903</v>
      </c>
      <c r="D3186" t="s">
        <v>10577</v>
      </c>
      <c r="E3186" t="s">
        <v>25626</v>
      </c>
      <c r="F3186">
        <v>45</v>
      </c>
      <c r="G3186">
        <v>2096725</v>
      </c>
      <c r="H3186" t="s">
        <v>25627</v>
      </c>
      <c r="J3186" s="54" t="s">
        <v>6052</v>
      </c>
      <c r="K3186" s="54">
        <v>0</v>
      </c>
      <c r="L3186" s="22" t="s">
        <v>104</v>
      </c>
      <c r="M3186" s="22" t="s">
        <v>37068</v>
      </c>
    </row>
    <row r="3187" spans="1:13" x14ac:dyDescent="0.75">
      <c r="A3187" t="s">
        <v>25622</v>
      </c>
      <c r="B3187" t="s">
        <v>10576</v>
      </c>
      <c r="C3187" t="s">
        <v>6903</v>
      </c>
      <c r="D3187" t="s">
        <v>10577</v>
      </c>
      <c r="E3187" t="s">
        <v>25623</v>
      </c>
      <c r="F3187">
        <v>17</v>
      </c>
      <c r="G3187">
        <v>2214609</v>
      </c>
      <c r="H3187" t="s">
        <v>25624</v>
      </c>
      <c r="J3187" s="54" t="s">
        <v>6052</v>
      </c>
      <c r="K3187" s="54">
        <v>0</v>
      </c>
      <c r="L3187" s="22" t="s">
        <v>104</v>
      </c>
      <c r="M3187" s="22" t="s">
        <v>37068</v>
      </c>
    </row>
    <row r="3188" spans="1:13" x14ac:dyDescent="0.75">
      <c r="A3188" t="s">
        <v>25637</v>
      </c>
      <c r="B3188" t="s">
        <v>10576</v>
      </c>
      <c r="C3188" t="s">
        <v>6903</v>
      </c>
      <c r="D3188" t="s">
        <v>10577</v>
      </c>
      <c r="E3188" t="s">
        <v>25638</v>
      </c>
      <c r="F3188">
        <v>39</v>
      </c>
      <c r="G3188">
        <v>2166202</v>
      </c>
      <c r="H3188" t="s">
        <v>25639</v>
      </c>
      <c r="J3188" s="54" t="s">
        <v>6052</v>
      </c>
      <c r="K3188" s="54">
        <v>0</v>
      </c>
      <c r="L3188" s="22" t="s">
        <v>104</v>
      </c>
      <c r="M3188" s="22" t="s">
        <v>37068</v>
      </c>
    </row>
    <row r="3189" spans="1:13" x14ac:dyDescent="0.75">
      <c r="A3189" t="s">
        <v>25517</v>
      </c>
      <c r="B3189" t="s">
        <v>10576</v>
      </c>
      <c r="C3189" t="s">
        <v>6903</v>
      </c>
      <c r="D3189" t="s">
        <v>10577</v>
      </c>
      <c r="E3189" t="s">
        <v>25518</v>
      </c>
      <c r="F3189">
        <v>1</v>
      </c>
      <c r="G3189">
        <v>2201616</v>
      </c>
      <c r="H3189" t="s">
        <v>25519</v>
      </c>
      <c r="J3189" s="54" t="s">
        <v>6052</v>
      </c>
      <c r="K3189" s="54">
        <v>0</v>
      </c>
      <c r="L3189" s="22" t="s">
        <v>104</v>
      </c>
      <c r="M3189" s="22" t="s">
        <v>37068</v>
      </c>
    </row>
    <row r="3190" spans="1:13" x14ac:dyDescent="0.75">
      <c r="A3190" t="s">
        <v>25646</v>
      </c>
      <c r="B3190" t="s">
        <v>10576</v>
      </c>
      <c r="C3190" t="s">
        <v>6903</v>
      </c>
      <c r="D3190" t="s">
        <v>10577</v>
      </c>
      <c r="E3190" t="s">
        <v>25647</v>
      </c>
      <c r="F3190">
        <v>11</v>
      </c>
      <c r="G3190">
        <v>2189528</v>
      </c>
      <c r="H3190" t="s">
        <v>25648</v>
      </c>
      <c r="J3190" s="54" t="s">
        <v>6052</v>
      </c>
      <c r="K3190" s="54">
        <v>0</v>
      </c>
      <c r="L3190" s="22" t="s">
        <v>104</v>
      </c>
      <c r="M3190" s="22" t="s">
        <v>37068</v>
      </c>
    </row>
    <row r="3191" spans="1:13" x14ac:dyDescent="0.75">
      <c r="A3191" t="s">
        <v>25640</v>
      </c>
      <c r="B3191" t="s">
        <v>10576</v>
      </c>
      <c r="C3191" t="s">
        <v>6903</v>
      </c>
      <c r="D3191" t="s">
        <v>10577</v>
      </c>
      <c r="E3191" t="s">
        <v>25641</v>
      </c>
      <c r="F3191">
        <v>5</v>
      </c>
      <c r="G3191">
        <v>2210087</v>
      </c>
      <c r="H3191" t="s">
        <v>25642</v>
      </c>
      <c r="J3191" s="54" t="s">
        <v>6052</v>
      </c>
      <c r="K3191" s="54">
        <v>0</v>
      </c>
      <c r="L3191" s="22" t="s">
        <v>104</v>
      </c>
      <c r="M3191" s="22" t="s">
        <v>37068</v>
      </c>
    </row>
    <row r="3192" spans="1:13" x14ac:dyDescent="0.75">
      <c r="A3192" t="s">
        <v>27286</v>
      </c>
      <c r="B3192" t="s">
        <v>10576</v>
      </c>
      <c r="C3192" t="s">
        <v>6903</v>
      </c>
      <c r="D3192" t="s">
        <v>10577</v>
      </c>
      <c r="E3192" t="s">
        <v>27287</v>
      </c>
      <c r="F3192">
        <v>108</v>
      </c>
      <c r="G3192">
        <v>2109050</v>
      </c>
      <c r="H3192" t="s">
        <v>27288</v>
      </c>
      <c r="J3192" s="54" t="s">
        <v>6052</v>
      </c>
      <c r="K3192" s="54">
        <v>0</v>
      </c>
      <c r="L3192" s="22" t="s">
        <v>104</v>
      </c>
      <c r="M3192" s="22" t="s">
        <v>37068</v>
      </c>
    </row>
    <row r="3193" spans="1:13" x14ac:dyDescent="0.75">
      <c r="A3193" t="s">
        <v>25643</v>
      </c>
      <c r="B3193" t="s">
        <v>10576</v>
      </c>
      <c r="C3193" t="s">
        <v>6903</v>
      </c>
      <c r="D3193" t="s">
        <v>10577</v>
      </c>
      <c r="E3193" t="s">
        <v>25644</v>
      </c>
      <c r="F3193">
        <v>30</v>
      </c>
      <c r="G3193">
        <v>2160838</v>
      </c>
      <c r="H3193" t="s">
        <v>25645</v>
      </c>
      <c r="J3193" s="54" t="s">
        <v>6052</v>
      </c>
      <c r="K3193" s="54">
        <v>0</v>
      </c>
      <c r="L3193" s="22" t="s">
        <v>104</v>
      </c>
      <c r="M3193" s="22" t="s">
        <v>37068</v>
      </c>
    </row>
    <row r="3194" spans="1:13" x14ac:dyDescent="0.75">
      <c r="A3194" t="s">
        <v>10575</v>
      </c>
      <c r="B3194" t="s">
        <v>10576</v>
      </c>
      <c r="C3194" t="s">
        <v>6903</v>
      </c>
      <c r="D3194" t="s">
        <v>10577</v>
      </c>
      <c r="E3194" t="s">
        <v>10578</v>
      </c>
      <c r="F3194">
        <v>78</v>
      </c>
      <c r="G3194">
        <v>2130549</v>
      </c>
      <c r="H3194" t="s">
        <v>10579</v>
      </c>
      <c r="J3194" s="54" t="s">
        <v>6052</v>
      </c>
      <c r="K3194" s="54">
        <v>0</v>
      </c>
      <c r="L3194" s="22" t="s">
        <v>104</v>
      </c>
      <c r="M3194" s="22" t="s">
        <v>37068</v>
      </c>
    </row>
    <row r="3195" spans="1:13" x14ac:dyDescent="0.75">
      <c r="A3195" t="s">
        <v>25649</v>
      </c>
      <c r="B3195" t="s">
        <v>10576</v>
      </c>
      <c r="C3195" t="s">
        <v>6903</v>
      </c>
      <c r="D3195" t="s">
        <v>10577</v>
      </c>
      <c r="E3195" t="s">
        <v>25650</v>
      </c>
      <c r="F3195">
        <v>20</v>
      </c>
      <c r="G3195">
        <v>2194274</v>
      </c>
      <c r="H3195" t="s">
        <v>25651</v>
      </c>
      <c r="J3195" s="54" t="s">
        <v>6052</v>
      </c>
      <c r="K3195" s="54">
        <v>0</v>
      </c>
      <c r="L3195" s="22" t="s">
        <v>104</v>
      </c>
      <c r="M3195" s="22" t="s">
        <v>37068</v>
      </c>
    </row>
    <row r="3196" spans="1:13" x14ac:dyDescent="0.75">
      <c r="A3196" t="s">
        <v>25520</v>
      </c>
      <c r="B3196" t="s">
        <v>10576</v>
      </c>
      <c r="C3196" t="s">
        <v>6903</v>
      </c>
      <c r="D3196" t="s">
        <v>10577</v>
      </c>
      <c r="E3196" t="s">
        <v>25521</v>
      </c>
      <c r="F3196">
        <v>1</v>
      </c>
      <c r="G3196">
        <v>2142207</v>
      </c>
      <c r="H3196" t="s">
        <v>25522</v>
      </c>
      <c r="J3196" s="54" t="s">
        <v>6052</v>
      </c>
      <c r="K3196" s="54">
        <v>0</v>
      </c>
      <c r="L3196" s="22" t="s">
        <v>104</v>
      </c>
      <c r="M3196" s="22" t="s">
        <v>37068</v>
      </c>
    </row>
    <row r="3197" spans="1:13" x14ac:dyDescent="0.75">
      <c r="A3197" t="s">
        <v>27284</v>
      </c>
      <c r="B3197" t="s">
        <v>10576</v>
      </c>
      <c r="C3197" t="s">
        <v>6903</v>
      </c>
      <c r="D3197" t="s">
        <v>10577</v>
      </c>
      <c r="E3197" t="s">
        <v>25521</v>
      </c>
      <c r="F3197">
        <v>50</v>
      </c>
      <c r="G3197">
        <v>2187398</v>
      </c>
      <c r="H3197" t="s">
        <v>27285</v>
      </c>
      <c r="J3197" s="54" t="s">
        <v>6052</v>
      </c>
      <c r="K3197" s="54">
        <v>0</v>
      </c>
      <c r="L3197" s="22" t="s">
        <v>104</v>
      </c>
      <c r="M3197" s="22" t="s">
        <v>37068</v>
      </c>
    </row>
    <row r="3198" spans="1:13" x14ac:dyDescent="0.75">
      <c r="A3198" t="s">
        <v>6901</v>
      </c>
      <c r="B3198" t="s">
        <v>6902</v>
      </c>
      <c r="C3198" t="s">
        <v>6903</v>
      </c>
      <c r="D3198" t="s">
        <v>6535</v>
      </c>
      <c r="E3198" t="s">
        <v>6904</v>
      </c>
      <c r="F3198">
        <v>12</v>
      </c>
      <c r="G3198">
        <v>2406675</v>
      </c>
      <c r="H3198" t="s">
        <v>6905</v>
      </c>
      <c r="J3198" s="54" t="s">
        <v>6052</v>
      </c>
      <c r="K3198" s="54">
        <v>0</v>
      </c>
      <c r="L3198" s="22" t="s">
        <v>104</v>
      </c>
      <c r="M3198" s="22" t="s">
        <v>37070</v>
      </c>
    </row>
    <row r="3199" spans="1:13" x14ac:dyDescent="0.75">
      <c r="A3199" t="s">
        <v>18815</v>
      </c>
      <c r="B3199" t="s">
        <v>6902</v>
      </c>
      <c r="C3199" t="s">
        <v>6903</v>
      </c>
      <c r="D3199" t="s">
        <v>6535</v>
      </c>
      <c r="E3199" t="s">
        <v>18816</v>
      </c>
      <c r="F3199">
        <v>2</v>
      </c>
      <c r="G3199">
        <v>2420532</v>
      </c>
      <c r="H3199" t="s">
        <v>18817</v>
      </c>
      <c r="J3199" s="54" t="s">
        <v>6052</v>
      </c>
      <c r="K3199" s="54">
        <v>0</v>
      </c>
      <c r="L3199" s="22" t="s">
        <v>104</v>
      </c>
      <c r="M3199" s="22" t="s">
        <v>37070</v>
      </c>
    </row>
    <row r="3200" spans="1:13" x14ac:dyDescent="0.75">
      <c r="A3200" t="s">
        <v>20124</v>
      </c>
      <c r="B3200" t="s">
        <v>6902</v>
      </c>
      <c r="C3200" t="s">
        <v>6903</v>
      </c>
      <c r="D3200" t="s">
        <v>6535</v>
      </c>
      <c r="E3200" t="s">
        <v>20125</v>
      </c>
      <c r="F3200">
        <v>10</v>
      </c>
      <c r="G3200">
        <v>2502986</v>
      </c>
      <c r="H3200" t="s">
        <v>20126</v>
      </c>
      <c r="J3200" s="54" t="s">
        <v>6052</v>
      </c>
      <c r="K3200" s="54">
        <v>0</v>
      </c>
      <c r="L3200" s="22" t="s">
        <v>104</v>
      </c>
      <c r="M3200" s="22" t="s">
        <v>37070</v>
      </c>
    </row>
    <row r="3201" spans="1:13" x14ac:dyDescent="0.75">
      <c r="A3201" t="s">
        <v>16091</v>
      </c>
      <c r="B3201" t="s">
        <v>16092</v>
      </c>
      <c r="C3201" t="s">
        <v>7403</v>
      </c>
      <c r="D3201" t="s">
        <v>6119</v>
      </c>
      <c r="E3201" t="s">
        <v>16093</v>
      </c>
      <c r="F3201">
        <v>12</v>
      </c>
      <c r="G3201">
        <v>3097953</v>
      </c>
      <c r="H3201" t="s">
        <v>16094</v>
      </c>
      <c r="J3201" s="54" t="s">
        <v>6052</v>
      </c>
      <c r="K3201" s="54">
        <v>0</v>
      </c>
      <c r="L3201" s="22" t="s">
        <v>104</v>
      </c>
      <c r="M3201" s="22" t="s">
        <v>37082</v>
      </c>
    </row>
    <row r="3202" spans="1:13" x14ac:dyDescent="0.75">
      <c r="A3202" t="s">
        <v>25305</v>
      </c>
      <c r="B3202" t="s">
        <v>16092</v>
      </c>
      <c r="C3202" t="s">
        <v>7403</v>
      </c>
      <c r="D3202" t="s">
        <v>6119</v>
      </c>
      <c r="E3202" t="s">
        <v>25306</v>
      </c>
      <c r="F3202">
        <v>1</v>
      </c>
      <c r="G3202">
        <v>3079059</v>
      </c>
      <c r="H3202" t="s">
        <v>25307</v>
      </c>
      <c r="J3202" s="54" t="s">
        <v>6052</v>
      </c>
      <c r="K3202" s="54">
        <v>0</v>
      </c>
      <c r="L3202" s="22" t="s">
        <v>104</v>
      </c>
      <c r="M3202" s="22" t="s">
        <v>37082</v>
      </c>
    </row>
    <row r="3203" spans="1:13" x14ac:dyDescent="0.75">
      <c r="A3203" t="s">
        <v>11870</v>
      </c>
      <c r="B3203" t="s">
        <v>8427</v>
      </c>
      <c r="C3203" t="s">
        <v>7403</v>
      </c>
      <c r="D3203" t="s">
        <v>8428</v>
      </c>
      <c r="E3203" t="s">
        <v>11871</v>
      </c>
      <c r="F3203">
        <v>151</v>
      </c>
      <c r="G3203">
        <v>2919224</v>
      </c>
      <c r="H3203" t="s">
        <v>11872</v>
      </c>
      <c r="J3203" s="54" t="s">
        <v>6052</v>
      </c>
      <c r="K3203" s="54">
        <v>0</v>
      </c>
      <c r="L3203" s="22" t="s">
        <v>104</v>
      </c>
      <c r="M3203" s="22" t="s">
        <v>37077</v>
      </c>
    </row>
    <row r="3204" spans="1:13" x14ac:dyDescent="0.75">
      <c r="A3204" t="s">
        <v>16095</v>
      </c>
      <c r="B3204" t="s">
        <v>8427</v>
      </c>
      <c r="C3204" t="s">
        <v>7403</v>
      </c>
      <c r="D3204" t="s">
        <v>8428</v>
      </c>
      <c r="E3204" t="s">
        <v>16096</v>
      </c>
      <c r="F3204">
        <v>23</v>
      </c>
      <c r="G3204">
        <v>2800999</v>
      </c>
      <c r="H3204" t="s">
        <v>16097</v>
      </c>
      <c r="J3204" s="54" t="s">
        <v>6052</v>
      </c>
      <c r="K3204" s="54">
        <v>0</v>
      </c>
      <c r="L3204" s="22" t="s">
        <v>104</v>
      </c>
      <c r="M3204" s="22" t="s">
        <v>37077</v>
      </c>
    </row>
    <row r="3205" spans="1:13" x14ac:dyDescent="0.75">
      <c r="A3205" t="s">
        <v>8426</v>
      </c>
      <c r="B3205" t="s">
        <v>8427</v>
      </c>
      <c r="C3205" t="s">
        <v>7403</v>
      </c>
      <c r="D3205" t="s">
        <v>8428</v>
      </c>
      <c r="E3205" t="s">
        <v>8429</v>
      </c>
      <c r="F3205">
        <v>227</v>
      </c>
      <c r="G3205">
        <v>2945844</v>
      </c>
      <c r="H3205" t="s">
        <v>8430</v>
      </c>
      <c r="J3205" s="54" t="s">
        <v>6052</v>
      </c>
      <c r="K3205" s="54">
        <v>0</v>
      </c>
      <c r="L3205" s="22" t="s">
        <v>104</v>
      </c>
      <c r="M3205" s="22" t="s">
        <v>37077</v>
      </c>
    </row>
    <row r="3206" spans="1:13" x14ac:dyDescent="0.75">
      <c r="A3206" t="s">
        <v>20972</v>
      </c>
      <c r="B3206" t="s">
        <v>8427</v>
      </c>
      <c r="C3206" t="s">
        <v>7403</v>
      </c>
      <c r="D3206" t="s">
        <v>8428</v>
      </c>
      <c r="E3206" t="s">
        <v>20973</v>
      </c>
      <c r="F3206">
        <v>43</v>
      </c>
      <c r="G3206">
        <v>2679619</v>
      </c>
      <c r="H3206" t="s">
        <v>20974</v>
      </c>
      <c r="J3206" s="54" t="s">
        <v>6052</v>
      </c>
      <c r="K3206" s="54">
        <v>0</v>
      </c>
      <c r="L3206" s="22" t="s">
        <v>104</v>
      </c>
      <c r="M3206" s="22" t="s">
        <v>37077</v>
      </c>
    </row>
    <row r="3207" spans="1:13" x14ac:dyDescent="0.75">
      <c r="A3207" t="s">
        <v>28490</v>
      </c>
      <c r="B3207" t="s">
        <v>8427</v>
      </c>
      <c r="C3207" t="s">
        <v>7403</v>
      </c>
      <c r="D3207" t="s">
        <v>8428</v>
      </c>
      <c r="E3207" t="s">
        <v>28491</v>
      </c>
      <c r="F3207">
        <v>198</v>
      </c>
      <c r="G3207">
        <v>2571408</v>
      </c>
      <c r="H3207" t="s">
        <v>28492</v>
      </c>
      <c r="J3207" s="54" t="s">
        <v>6052</v>
      </c>
      <c r="K3207" s="54">
        <v>0</v>
      </c>
      <c r="L3207" s="22" t="s">
        <v>104</v>
      </c>
      <c r="M3207" s="22" t="s">
        <v>37077</v>
      </c>
    </row>
    <row r="3208" spans="1:13" x14ac:dyDescent="0.75">
      <c r="A3208" t="s">
        <v>29576</v>
      </c>
      <c r="B3208" t="s">
        <v>8427</v>
      </c>
      <c r="C3208" t="s">
        <v>7403</v>
      </c>
      <c r="D3208" t="s">
        <v>8428</v>
      </c>
      <c r="E3208" t="s">
        <v>29577</v>
      </c>
      <c r="F3208">
        <v>153</v>
      </c>
      <c r="G3208">
        <v>2664875</v>
      </c>
      <c r="H3208" t="s">
        <v>29578</v>
      </c>
      <c r="J3208" s="54" t="s">
        <v>6052</v>
      </c>
      <c r="K3208" s="54">
        <v>0</v>
      </c>
      <c r="L3208" s="22" t="s">
        <v>104</v>
      </c>
      <c r="M3208" s="22" t="s">
        <v>37077</v>
      </c>
    </row>
    <row r="3209" spans="1:13" x14ac:dyDescent="0.75">
      <c r="A3209" t="s">
        <v>7401</v>
      </c>
      <c r="B3209" t="s">
        <v>7402</v>
      </c>
      <c r="C3209" t="s">
        <v>7403</v>
      </c>
      <c r="D3209" t="s">
        <v>7404</v>
      </c>
      <c r="E3209" t="s">
        <v>7405</v>
      </c>
      <c r="F3209">
        <v>150</v>
      </c>
      <c r="G3209">
        <v>3082404</v>
      </c>
      <c r="H3209" t="s">
        <v>7406</v>
      </c>
      <c r="J3209" s="54" t="s">
        <v>6052</v>
      </c>
      <c r="K3209" s="54">
        <v>0</v>
      </c>
      <c r="L3209" s="22" t="s">
        <v>104</v>
      </c>
      <c r="M3209" s="22" t="s">
        <v>37079</v>
      </c>
    </row>
    <row r="3210" spans="1:13" x14ac:dyDescent="0.75">
      <c r="A3210" t="s">
        <v>8531</v>
      </c>
      <c r="B3210" t="s">
        <v>7402</v>
      </c>
      <c r="C3210" t="s">
        <v>7403</v>
      </c>
      <c r="D3210" t="s">
        <v>7404</v>
      </c>
      <c r="E3210" t="s">
        <v>8532</v>
      </c>
      <c r="F3210">
        <v>143</v>
      </c>
      <c r="G3210">
        <v>3074086</v>
      </c>
      <c r="H3210" t="s">
        <v>8533</v>
      </c>
      <c r="J3210" s="54" t="s">
        <v>6052</v>
      </c>
      <c r="K3210" s="54">
        <v>0</v>
      </c>
      <c r="L3210" s="22" t="s">
        <v>104</v>
      </c>
      <c r="M3210" s="22" t="s">
        <v>37079</v>
      </c>
    </row>
    <row r="3211" spans="1:13" x14ac:dyDescent="0.75">
      <c r="A3211" t="s">
        <v>28865</v>
      </c>
      <c r="B3211" t="s">
        <v>7402</v>
      </c>
      <c r="C3211" t="s">
        <v>7403</v>
      </c>
      <c r="D3211" t="s">
        <v>7404</v>
      </c>
      <c r="E3211" t="s">
        <v>28866</v>
      </c>
      <c r="F3211">
        <v>243</v>
      </c>
      <c r="G3211">
        <v>2391254</v>
      </c>
      <c r="H3211" t="s">
        <v>28867</v>
      </c>
      <c r="J3211" s="54" t="s">
        <v>6052</v>
      </c>
      <c r="K3211" s="54">
        <v>0</v>
      </c>
      <c r="L3211" s="22" t="s">
        <v>104</v>
      </c>
      <c r="M3211" s="22" t="s">
        <v>37079</v>
      </c>
    </row>
    <row r="3212" spans="1:13" x14ac:dyDescent="0.75">
      <c r="A3212" t="s">
        <v>28578</v>
      </c>
      <c r="B3212" t="s">
        <v>8850</v>
      </c>
      <c r="C3212" t="s">
        <v>7403</v>
      </c>
      <c r="D3212" t="s">
        <v>8851</v>
      </c>
      <c r="E3212" t="s">
        <v>28579</v>
      </c>
      <c r="F3212">
        <v>266</v>
      </c>
      <c r="G3212">
        <v>2661892</v>
      </c>
      <c r="H3212" t="s">
        <v>28580</v>
      </c>
      <c r="J3212" s="54" t="s">
        <v>6052</v>
      </c>
      <c r="K3212" s="54">
        <v>0</v>
      </c>
      <c r="L3212" s="22" t="s">
        <v>104</v>
      </c>
      <c r="M3212" s="22" t="s">
        <v>37083</v>
      </c>
    </row>
    <row r="3213" spans="1:13" x14ac:dyDescent="0.75">
      <c r="A3213" t="s">
        <v>10123</v>
      </c>
      <c r="B3213" t="s">
        <v>8850</v>
      </c>
      <c r="C3213" t="s">
        <v>7403</v>
      </c>
      <c r="D3213" t="s">
        <v>8851</v>
      </c>
      <c r="E3213" t="s">
        <v>10124</v>
      </c>
      <c r="F3213">
        <v>99</v>
      </c>
      <c r="G3213">
        <v>2871049</v>
      </c>
      <c r="H3213" t="s">
        <v>10125</v>
      </c>
      <c r="J3213" s="54" t="s">
        <v>6052</v>
      </c>
      <c r="K3213" s="54">
        <v>0</v>
      </c>
      <c r="L3213" s="22" t="s">
        <v>104</v>
      </c>
      <c r="M3213" s="22" t="s">
        <v>37083</v>
      </c>
    </row>
    <row r="3214" spans="1:13" x14ac:dyDescent="0.75">
      <c r="A3214" t="s">
        <v>8849</v>
      </c>
      <c r="B3214" t="s">
        <v>8850</v>
      </c>
      <c r="C3214" t="s">
        <v>7403</v>
      </c>
      <c r="D3214" t="s">
        <v>8851</v>
      </c>
      <c r="E3214" t="s">
        <v>8852</v>
      </c>
      <c r="F3214">
        <v>25</v>
      </c>
      <c r="G3214">
        <v>2932121</v>
      </c>
      <c r="H3214" t="s">
        <v>8853</v>
      </c>
      <c r="J3214" s="54" t="s">
        <v>6052</v>
      </c>
      <c r="K3214" s="54">
        <v>0</v>
      </c>
      <c r="L3214" s="22" t="s">
        <v>104</v>
      </c>
      <c r="M3214" s="22" t="s">
        <v>37083</v>
      </c>
    </row>
    <row r="3215" spans="1:13" x14ac:dyDescent="0.75">
      <c r="A3215" t="s">
        <v>27971</v>
      </c>
      <c r="B3215" t="s">
        <v>10944</v>
      </c>
      <c r="C3215" t="s">
        <v>6251</v>
      </c>
      <c r="D3215" t="s">
        <v>10945</v>
      </c>
      <c r="E3215" t="s">
        <v>27972</v>
      </c>
      <c r="F3215">
        <v>1</v>
      </c>
      <c r="G3215">
        <v>1594261</v>
      </c>
      <c r="H3215" t="s">
        <v>27973</v>
      </c>
      <c r="J3215" s="54" t="s">
        <v>6052</v>
      </c>
      <c r="K3215" s="54">
        <v>0</v>
      </c>
      <c r="L3215" s="22" t="s">
        <v>36804</v>
      </c>
      <c r="M3215" s="22" t="s">
        <v>37041</v>
      </c>
    </row>
    <row r="3216" spans="1:13" x14ac:dyDescent="0.75">
      <c r="A3216" t="s">
        <v>8776</v>
      </c>
      <c r="B3216" t="s">
        <v>8777</v>
      </c>
      <c r="C3216" t="s">
        <v>7403</v>
      </c>
      <c r="D3216" t="s">
        <v>8778</v>
      </c>
      <c r="E3216" t="s">
        <v>8779</v>
      </c>
      <c r="F3216">
        <v>38</v>
      </c>
      <c r="G3216">
        <v>2779958</v>
      </c>
      <c r="H3216" t="s">
        <v>8780</v>
      </c>
      <c r="J3216" s="54" t="s">
        <v>6052</v>
      </c>
      <c r="K3216" s="54">
        <v>0</v>
      </c>
      <c r="L3216" s="22" t="s">
        <v>104</v>
      </c>
      <c r="M3216" s="22" t="s">
        <v>37081</v>
      </c>
    </row>
    <row r="3217" spans="1:13" x14ac:dyDescent="0.75">
      <c r="A3217" t="s">
        <v>20857</v>
      </c>
      <c r="B3217" t="s">
        <v>8777</v>
      </c>
      <c r="C3217" t="s">
        <v>7403</v>
      </c>
      <c r="D3217" t="s">
        <v>8778</v>
      </c>
      <c r="E3217" t="s">
        <v>20858</v>
      </c>
      <c r="F3217">
        <v>98</v>
      </c>
      <c r="G3217">
        <v>2677206</v>
      </c>
      <c r="H3217" t="s">
        <v>20859</v>
      </c>
      <c r="J3217" s="54" t="s">
        <v>6052</v>
      </c>
      <c r="K3217" s="54">
        <v>0</v>
      </c>
      <c r="L3217" s="22" t="s">
        <v>104</v>
      </c>
      <c r="M3217" s="22" t="s">
        <v>37081</v>
      </c>
    </row>
    <row r="3218" spans="1:13" x14ac:dyDescent="0.75">
      <c r="A3218" t="s">
        <v>29762</v>
      </c>
      <c r="B3218" t="s">
        <v>8777</v>
      </c>
      <c r="C3218" t="s">
        <v>7403</v>
      </c>
      <c r="D3218" t="s">
        <v>8778</v>
      </c>
      <c r="E3218" t="s">
        <v>29763</v>
      </c>
      <c r="F3218">
        <v>234</v>
      </c>
      <c r="G3218">
        <v>2997613</v>
      </c>
      <c r="H3218" t="s">
        <v>29764</v>
      </c>
      <c r="J3218" s="54" t="s">
        <v>6052</v>
      </c>
      <c r="K3218" s="54">
        <v>0</v>
      </c>
      <c r="L3218" s="22" t="s">
        <v>104</v>
      </c>
      <c r="M3218" s="22" t="s">
        <v>37081</v>
      </c>
    </row>
    <row r="3219" spans="1:13" x14ac:dyDescent="0.75">
      <c r="A3219" t="s">
        <v>7664</v>
      </c>
      <c r="B3219" t="s">
        <v>7665</v>
      </c>
      <c r="C3219" t="s">
        <v>7403</v>
      </c>
      <c r="D3219" t="s">
        <v>7666</v>
      </c>
      <c r="E3219" t="s">
        <v>7667</v>
      </c>
      <c r="F3219">
        <v>104</v>
      </c>
      <c r="G3219">
        <v>3288100</v>
      </c>
      <c r="H3219" t="s">
        <v>7668</v>
      </c>
      <c r="J3219" s="54" t="s">
        <v>6052</v>
      </c>
      <c r="K3219" s="54">
        <v>0</v>
      </c>
      <c r="L3219" s="22" t="s">
        <v>104</v>
      </c>
      <c r="M3219" s="22" t="s">
        <v>37080</v>
      </c>
    </row>
    <row r="3220" spans="1:13" x14ac:dyDescent="0.75">
      <c r="A3220" t="s">
        <v>20499</v>
      </c>
      <c r="B3220" t="s">
        <v>7665</v>
      </c>
      <c r="C3220" t="s">
        <v>7403</v>
      </c>
      <c r="D3220" t="s">
        <v>7666</v>
      </c>
      <c r="E3220" t="s">
        <v>20500</v>
      </c>
      <c r="F3220">
        <v>18</v>
      </c>
      <c r="G3220">
        <v>3419874</v>
      </c>
      <c r="H3220" t="s">
        <v>20501</v>
      </c>
      <c r="J3220" s="54" t="s">
        <v>6052</v>
      </c>
      <c r="K3220" s="54">
        <v>0</v>
      </c>
      <c r="L3220" s="22" t="s">
        <v>104</v>
      </c>
      <c r="M3220" s="22" t="s">
        <v>37080</v>
      </c>
    </row>
    <row r="3221" spans="1:13" x14ac:dyDescent="0.75">
      <c r="A3221" t="s">
        <v>29313</v>
      </c>
      <c r="B3221" t="s">
        <v>15186</v>
      </c>
      <c r="C3221" t="s">
        <v>7403</v>
      </c>
      <c r="D3221" t="s">
        <v>15187</v>
      </c>
      <c r="E3221" t="s">
        <v>29314</v>
      </c>
      <c r="F3221">
        <v>1</v>
      </c>
      <c r="G3221">
        <v>3017529</v>
      </c>
      <c r="H3221" t="s">
        <v>29315</v>
      </c>
      <c r="J3221" s="54" t="s">
        <v>6052</v>
      </c>
      <c r="K3221" s="54">
        <v>0</v>
      </c>
      <c r="L3221" s="22" t="s">
        <v>104</v>
      </c>
      <c r="M3221" s="22" t="s">
        <v>37078</v>
      </c>
    </row>
    <row r="3222" spans="1:13" x14ac:dyDescent="0.75">
      <c r="A3222" t="s">
        <v>15185</v>
      </c>
      <c r="B3222" t="s">
        <v>15186</v>
      </c>
      <c r="C3222" t="s">
        <v>7403</v>
      </c>
      <c r="D3222" t="s">
        <v>15187</v>
      </c>
      <c r="E3222" t="s">
        <v>15188</v>
      </c>
      <c r="F3222">
        <v>84</v>
      </c>
      <c r="G3222">
        <v>2705257</v>
      </c>
      <c r="H3222" t="s">
        <v>15189</v>
      </c>
      <c r="J3222" s="54" t="s">
        <v>6052</v>
      </c>
      <c r="K3222" s="54">
        <v>0</v>
      </c>
      <c r="L3222" s="22" t="s">
        <v>104</v>
      </c>
      <c r="M3222" s="22" t="s">
        <v>37078</v>
      </c>
    </row>
    <row r="3223" spans="1:13" x14ac:dyDescent="0.75">
      <c r="A3223" t="s">
        <v>15837</v>
      </c>
      <c r="B3223" t="s">
        <v>15186</v>
      </c>
      <c r="C3223" t="s">
        <v>7403</v>
      </c>
      <c r="D3223" t="s">
        <v>15187</v>
      </c>
      <c r="E3223" t="s">
        <v>15838</v>
      </c>
      <c r="F3223">
        <v>1</v>
      </c>
      <c r="G3223">
        <v>2810441</v>
      </c>
      <c r="H3223" t="s">
        <v>15839</v>
      </c>
      <c r="J3223" s="54" t="s">
        <v>6052</v>
      </c>
      <c r="K3223" s="54">
        <v>0</v>
      </c>
      <c r="L3223" s="22" t="s">
        <v>104</v>
      </c>
      <c r="M3223" s="22" t="s">
        <v>37078</v>
      </c>
    </row>
    <row r="3224" spans="1:13" x14ac:dyDescent="0.75">
      <c r="A3224" t="s">
        <v>27995</v>
      </c>
      <c r="B3224" t="s">
        <v>7600</v>
      </c>
      <c r="C3224" t="s">
        <v>6251</v>
      </c>
      <c r="D3224" t="s">
        <v>7601</v>
      </c>
      <c r="E3224" t="s">
        <v>27996</v>
      </c>
      <c r="F3224">
        <v>1</v>
      </c>
      <c r="G3224">
        <v>1993241</v>
      </c>
      <c r="H3224" t="s">
        <v>27997</v>
      </c>
      <c r="J3224" s="54" t="s">
        <v>6052</v>
      </c>
      <c r="K3224" s="54">
        <v>0</v>
      </c>
      <c r="L3224" s="22" t="s">
        <v>36804</v>
      </c>
      <c r="M3224" s="22" t="s">
        <v>37040</v>
      </c>
    </row>
    <row r="3225" spans="1:13" x14ac:dyDescent="0.75">
      <c r="A3225" t="s">
        <v>27466</v>
      </c>
      <c r="B3225" t="s">
        <v>7600</v>
      </c>
      <c r="C3225" t="s">
        <v>6251</v>
      </c>
      <c r="D3225" t="s">
        <v>7601</v>
      </c>
      <c r="E3225" t="s">
        <v>27467</v>
      </c>
      <c r="F3225">
        <v>3</v>
      </c>
      <c r="G3225">
        <v>1922958</v>
      </c>
      <c r="H3225" t="s">
        <v>27468</v>
      </c>
      <c r="J3225" s="54" t="s">
        <v>6052</v>
      </c>
      <c r="K3225" s="54">
        <v>0</v>
      </c>
      <c r="L3225" s="22" t="s">
        <v>36804</v>
      </c>
      <c r="M3225" s="22" t="s">
        <v>37040</v>
      </c>
    </row>
    <row r="3226" spans="1:13" x14ac:dyDescent="0.75">
      <c r="A3226" t="s">
        <v>28361</v>
      </c>
      <c r="B3226" t="s">
        <v>15186</v>
      </c>
      <c r="C3226" t="s">
        <v>7403</v>
      </c>
      <c r="D3226" t="s">
        <v>15187</v>
      </c>
      <c r="E3226" t="s">
        <v>28362</v>
      </c>
      <c r="F3226">
        <v>1</v>
      </c>
      <c r="G3226">
        <v>2810441</v>
      </c>
      <c r="H3226" t="s">
        <v>28363</v>
      </c>
      <c r="J3226" s="54" t="s">
        <v>6052</v>
      </c>
      <c r="K3226" s="54">
        <v>0</v>
      </c>
      <c r="L3226" s="22" t="s">
        <v>104</v>
      </c>
      <c r="M3226" s="22" t="s">
        <v>37078</v>
      </c>
    </row>
    <row r="3227" spans="1:13" x14ac:dyDescent="0.75">
      <c r="A3227" t="s">
        <v>29294</v>
      </c>
      <c r="B3227" t="s">
        <v>14803</v>
      </c>
      <c r="C3227" t="s">
        <v>14804</v>
      </c>
      <c r="D3227" t="s">
        <v>14805</v>
      </c>
      <c r="E3227" t="s">
        <v>29295</v>
      </c>
      <c r="F3227">
        <v>1</v>
      </c>
      <c r="G3227">
        <v>2386140</v>
      </c>
      <c r="H3227" t="s">
        <v>29296</v>
      </c>
      <c r="J3227" s="54" t="s">
        <v>6052</v>
      </c>
      <c r="K3227" s="54">
        <v>0</v>
      </c>
      <c r="L3227" s="22" t="s">
        <v>104</v>
      </c>
      <c r="M3227" s="22" t="s">
        <v>37085</v>
      </c>
    </row>
    <row r="3228" spans="1:13" x14ac:dyDescent="0.75">
      <c r="A3228" t="s">
        <v>14802</v>
      </c>
      <c r="B3228" t="s">
        <v>14803</v>
      </c>
      <c r="C3228" t="s">
        <v>14804</v>
      </c>
      <c r="D3228" t="s">
        <v>14805</v>
      </c>
      <c r="E3228" t="s">
        <v>14806</v>
      </c>
      <c r="F3228">
        <v>2</v>
      </c>
      <c r="G3228">
        <v>2232415</v>
      </c>
      <c r="H3228" t="s">
        <v>14807</v>
      </c>
      <c r="J3228" s="54" t="s">
        <v>6052</v>
      </c>
      <c r="K3228" s="54">
        <v>0</v>
      </c>
      <c r="L3228" s="22" t="s">
        <v>104</v>
      </c>
      <c r="M3228" s="22" t="s">
        <v>37085</v>
      </c>
    </row>
    <row r="3229" spans="1:13" x14ac:dyDescent="0.75">
      <c r="A3229" t="s">
        <v>27726</v>
      </c>
      <c r="B3229" t="s">
        <v>7600</v>
      </c>
      <c r="C3229" t="s">
        <v>6251</v>
      </c>
      <c r="D3229" t="s">
        <v>7601</v>
      </c>
      <c r="E3229" t="s">
        <v>27727</v>
      </c>
      <c r="F3229">
        <v>1</v>
      </c>
      <c r="G3229">
        <v>1993258</v>
      </c>
      <c r="H3229" t="s">
        <v>27728</v>
      </c>
      <c r="J3229" s="54" t="s">
        <v>6052</v>
      </c>
      <c r="K3229" s="54">
        <v>0</v>
      </c>
      <c r="L3229" s="22" t="s">
        <v>36804</v>
      </c>
      <c r="M3229" s="22" t="s">
        <v>37040</v>
      </c>
    </row>
    <row r="3230" spans="1:13" x14ac:dyDescent="0.75">
      <c r="A3230" t="s">
        <v>20704</v>
      </c>
      <c r="B3230" t="s">
        <v>14803</v>
      </c>
      <c r="C3230" t="s">
        <v>14804</v>
      </c>
      <c r="D3230" t="s">
        <v>14805</v>
      </c>
      <c r="E3230" t="s">
        <v>14806</v>
      </c>
      <c r="F3230">
        <v>1</v>
      </c>
      <c r="G3230">
        <v>2241976</v>
      </c>
      <c r="H3230" t="s">
        <v>20705</v>
      </c>
      <c r="J3230" s="54" t="s">
        <v>6052</v>
      </c>
      <c r="K3230" s="54">
        <v>0</v>
      </c>
      <c r="L3230" s="22" t="s">
        <v>104</v>
      </c>
      <c r="M3230" s="22" t="s">
        <v>37085</v>
      </c>
    </row>
    <row r="3231" spans="1:13" x14ac:dyDescent="0.75">
      <c r="A3231" t="s">
        <v>19317</v>
      </c>
      <c r="B3231" t="s">
        <v>14803</v>
      </c>
      <c r="C3231" t="s">
        <v>14804</v>
      </c>
      <c r="D3231" t="s">
        <v>14805</v>
      </c>
      <c r="E3231" t="s">
        <v>19318</v>
      </c>
      <c r="F3231">
        <v>191</v>
      </c>
      <c r="G3231">
        <v>1791370</v>
      </c>
      <c r="H3231" t="s">
        <v>19319</v>
      </c>
      <c r="J3231" s="54" t="s">
        <v>6052</v>
      </c>
      <c r="K3231" s="54">
        <v>0</v>
      </c>
      <c r="L3231" s="22" t="s">
        <v>104</v>
      </c>
      <c r="M3231" s="22" t="s">
        <v>37085</v>
      </c>
    </row>
    <row r="3232" spans="1:13" x14ac:dyDescent="0.75">
      <c r="A3232" t="s">
        <v>20783</v>
      </c>
      <c r="B3232" t="s">
        <v>14803</v>
      </c>
      <c r="C3232" t="s">
        <v>14804</v>
      </c>
      <c r="D3232" t="s">
        <v>14805</v>
      </c>
      <c r="E3232" t="s">
        <v>20784</v>
      </c>
      <c r="F3232">
        <v>44</v>
      </c>
      <c r="G3232">
        <v>1926754</v>
      </c>
      <c r="H3232" t="s">
        <v>20785</v>
      </c>
      <c r="J3232" s="54" t="s">
        <v>6052</v>
      </c>
      <c r="K3232" s="54">
        <v>0</v>
      </c>
      <c r="L3232" s="22" t="s">
        <v>104</v>
      </c>
      <c r="M3232" s="22" t="s">
        <v>37085</v>
      </c>
    </row>
    <row r="3233" spans="1:13" x14ac:dyDescent="0.75">
      <c r="A3233" t="s">
        <v>29359</v>
      </c>
      <c r="B3233" t="s">
        <v>14803</v>
      </c>
      <c r="C3233" t="s">
        <v>14804</v>
      </c>
      <c r="D3233" t="s">
        <v>14805</v>
      </c>
      <c r="E3233" t="s">
        <v>29360</v>
      </c>
      <c r="F3233">
        <v>56</v>
      </c>
      <c r="G3233">
        <v>1943189</v>
      </c>
      <c r="H3233" t="s">
        <v>29361</v>
      </c>
      <c r="J3233" s="54" t="s">
        <v>6052</v>
      </c>
      <c r="K3233" s="54">
        <v>0</v>
      </c>
      <c r="L3233" s="22" t="s">
        <v>104</v>
      </c>
      <c r="M3233" s="22" t="s">
        <v>37085</v>
      </c>
    </row>
    <row r="3234" spans="1:13" x14ac:dyDescent="0.75">
      <c r="A3234" t="s">
        <v>29768</v>
      </c>
      <c r="B3234" t="s">
        <v>14803</v>
      </c>
      <c r="C3234" t="s">
        <v>14804</v>
      </c>
      <c r="D3234" t="s">
        <v>14805</v>
      </c>
      <c r="E3234" t="s">
        <v>29769</v>
      </c>
      <c r="F3234">
        <v>61</v>
      </c>
      <c r="G3234">
        <v>1903605</v>
      </c>
      <c r="H3234" t="s">
        <v>29770</v>
      </c>
      <c r="J3234" s="54" t="s">
        <v>6052</v>
      </c>
      <c r="K3234" s="54">
        <v>0</v>
      </c>
      <c r="L3234" s="22" t="s">
        <v>104</v>
      </c>
      <c r="M3234" s="22" t="s">
        <v>37085</v>
      </c>
    </row>
    <row r="3235" spans="1:13" x14ac:dyDescent="0.75">
      <c r="A3235" t="s">
        <v>14734</v>
      </c>
      <c r="B3235" t="s">
        <v>14735</v>
      </c>
      <c r="C3235" t="s">
        <v>14736</v>
      </c>
      <c r="D3235" t="s">
        <v>14737</v>
      </c>
      <c r="E3235" t="s">
        <v>14738</v>
      </c>
      <c r="F3235">
        <v>1</v>
      </c>
      <c r="G3235">
        <v>3201383</v>
      </c>
      <c r="H3235" t="s">
        <v>14739</v>
      </c>
      <c r="J3235" s="54" t="s">
        <v>6052</v>
      </c>
      <c r="K3235" s="54">
        <v>0</v>
      </c>
      <c r="L3235" s="22" t="s">
        <v>104</v>
      </c>
      <c r="M3235" s="22" t="s">
        <v>37086</v>
      </c>
    </row>
    <row r="3236" spans="1:13" x14ac:dyDescent="0.75">
      <c r="A3236" t="s">
        <v>6442</v>
      </c>
      <c r="B3236" t="s">
        <v>6443</v>
      </c>
      <c r="C3236" t="s">
        <v>6444</v>
      </c>
      <c r="D3236" t="s">
        <v>6445</v>
      </c>
      <c r="E3236" t="s">
        <v>6446</v>
      </c>
      <c r="F3236">
        <v>1</v>
      </c>
      <c r="G3236">
        <v>1543805</v>
      </c>
      <c r="H3236" t="s">
        <v>6447</v>
      </c>
      <c r="J3236" s="54" t="s">
        <v>6052</v>
      </c>
      <c r="K3236" s="54">
        <v>0</v>
      </c>
      <c r="L3236" s="22" t="s">
        <v>104</v>
      </c>
      <c r="M3236" s="22" t="s">
        <v>37101</v>
      </c>
    </row>
    <row r="3237" spans="1:13" x14ac:dyDescent="0.75">
      <c r="A3237" t="s">
        <v>29645</v>
      </c>
      <c r="B3237" t="s">
        <v>6443</v>
      </c>
      <c r="C3237" t="s">
        <v>6444</v>
      </c>
      <c r="D3237" t="s">
        <v>6445</v>
      </c>
      <c r="E3237" t="s">
        <v>29646</v>
      </c>
      <c r="F3237">
        <v>20</v>
      </c>
      <c r="G3237">
        <v>1536504</v>
      </c>
      <c r="H3237" t="s">
        <v>29647</v>
      </c>
      <c r="J3237" s="54" t="s">
        <v>6052</v>
      </c>
      <c r="K3237" s="54">
        <v>0</v>
      </c>
      <c r="L3237" s="22" t="s">
        <v>104</v>
      </c>
      <c r="M3237" s="22" t="s">
        <v>37101</v>
      </c>
    </row>
    <row r="3238" spans="1:13" x14ac:dyDescent="0.75">
      <c r="A3238" t="s">
        <v>28511</v>
      </c>
      <c r="B3238" t="s">
        <v>6443</v>
      </c>
      <c r="C3238" t="s">
        <v>6444</v>
      </c>
      <c r="D3238" t="s">
        <v>6445</v>
      </c>
      <c r="E3238" t="s">
        <v>28512</v>
      </c>
      <c r="F3238">
        <v>13</v>
      </c>
      <c r="G3238">
        <v>1338544</v>
      </c>
      <c r="H3238" t="s">
        <v>28513</v>
      </c>
      <c r="J3238" s="54" t="s">
        <v>6052</v>
      </c>
      <c r="K3238" s="54">
        <v>0</v>
      </c>
      <c r="L3238" s="22" t="s">
        <v>104</v>
      </c>
      <c r="M3238" s="22" t="s">
        <v>37101</v>
      </c>
    </row>
    <row r="3239" spans="1:13" x14ac:dyDescent="0.75">
      <c r="A3239" t="s">
        <v>28886</v>
      </c>
      <c r="B3239" t="s">
        <v>6443</v>
      </c>
      <c r="C3239" t="s">
        <v>6444</v>
      </c>
      <c r="D3239" t="s">
        <v>6445</v>
      </c>
      <c r="E3239" t="s">
        <v>28887</v>
      </c>
      <c r="F3239">
        <v>188</v>
      </c>
      <c r="G3239">
        <v>1047741</v>
      </c>
      <c r="H3239" t="s">
        <v>28888</v>
      </c>
      <c r="J3239" s="54" t="s">
        <v>6052</v>
      </c>
      <c r="K3239" s="54">
        <v>0</v>
      </c>
      <c r="L3239" s="22" t="s">
        <v>104</v>
      </c>
      <c r="M3239" s="22" t="s">
        <v>37101</v>
      </c>
    </row>
    <row r="3240" spans="1:13" x14ac:dyDescent="0.75">
      <c r="A3240" t="s">
        <v>7149</v>
      </c>
      <c r="B3240" t="s">
        <v>7150</v>
      </c>
      <c r="C3240" t="s">
        <v>6444</v>
      </c>
      <c r="D3240" t="s">
        <v>7151</v>
      </c>
      <c r="E3240" t="s">
        <v>7152</v>
      </c>
      <c r="F3240">
        <v>9</v>
      </c>
      <c r="G3240">
        <v>1626291</v>
      </c>
      <c r="H3240" t="s">
        <v>7153</v>
      </c>
      <c r="J3240" s="54" t="s">
        <v>6052</v>
      </c>
      <c r="K3240" s="54">
        <v>0</v>
      </c>
      <c r="L3240" s="22" t="s">
        <v>104</v>
      </c>
      <c r="M3240" s="22" t="s">
        <v>37100</v>
      </c>
    </row>
    <row r="3241" spans="1:13" x14ac:dyDescent="0.75">
      <c r="A3241" t="s">
        <v>11690</v>
      </c>
      <c r="B3241" t="s">
        <v>7150</v>
      </c>
      <c r="C3241" t="s">
        <v>6444</v>
      </c>
      <c r="D3241" t="s">
        <v>7151</v>
      </c>
      <c r="E3241" t="s">
        <v>11691</v>
      </c>
      <c r="F3241">
        <v>23</v>
      </c>
      <c r="G3241">
        <v>1629936</v>
      </c>
      <c r="H3241" t="s">
        <v>11692</v>
      </c>
      <c r="J3241" s="54" t="s">
        <v>6052</v>
      </c>
      <c r="K3241" s="54">
        <v>0</v>
      </c>
      <c r="L3241" s="22" t="s">
        <v>104</v>
      </c>
      <c r="M3241" s="22" t="s">
        <v>37100</v>
      </c>
    </row>
    <row r="3242" spans="1:13" x14ac:dyDescent="0.75">
      <c r="A3242" t="s">
        <v>12879</v>
      </c>
      <c r="B3242" t="s">
        <v>7150</v>
      </c>
      <c r="C3242" t="s">
        <v>6444</v>
      </c>
      <c r="D3242" t="s">
        <v>7151</v>
      </c>
      <c r="E3242" t="s">
        <v>12880</v>
      </c>
      <c r="F3242">
        <v>33</v>
      </c>
      <c r="G3242">
        <v>1592142</v>
      </c>
      <c r="H3242" t="s">
        <v>12881</v>
      </c>
      <c r="J3242" s="54" t="s">
        <v>6052</v>
      </c>
      <c r="K3242" s="54">
        <v>0</v>
      </c>
      <c r="L3242" s="22" t="s">
        <v>104</v>
      </c>
      <c r="M3242" s="22" t="s">
        <v>37100</v>
      </c>
    </row>
    <row r="3243" spans="1:13" x14ac:dyDescent="0.75">
      <c r="A3243" t="s">
        <v>19717</v>
      </c>
      <c r="B3243" t="s">
        <v>7150</v>
      </c>
      <c r="C3243" t="s">
        <v>6444</v>
      </c>
      <c r="D3243" t="s">
        <v>7151</v>
      </c>
      <c r="E3243" t="s">
        <v>19718</v>
      </c>
      <c r="F3243">
        <v>34</v>
      </c>
      <c r="G3243">
        <v>1581027</v>
      </c>
      <c r="H3243" t="s">
        <v>19719</v>
      </c>
      <c r="J3243" s="54" t="s">
        <v>6052</v>
      </c>
      <c r="K3243" s="54">
        <v>0</v>
      </c>
      <c r="L3243" s="22" t="s">
        <v>104</v>
      </c>
      <c r="M3243" s="22" t="s">
        <v>37100</v>
      </c>
    </row>
    <row r="3244" spans="1:13" x14ac:dyDescent="0.75">
      <c r="A3244" t="s">
        <v>30631</v>
      </c>
      <c r="B3244" t="s">
        <v>9466</v>
      </c>
      <c r="C3244" t="s">
        <v>6444</v>
      </c>
      <c r="D3244" t="s">
        <v>9467</v>
      </c>
      <c r="E3244" t="s">
        <v>30632</v>
      </c>
      <c r="F3244">
        <v>79</v>
      </c>
      <c r="G3244">
        <v>1625686</v>
      </c>
      <c r="H3244" t="s">
        <v>30633</v>
      </c>
      <c r="J3244" s="54" t="s">
        <v>6052</v>
      </c>
      <c r="K3244" s="54">
        <v>0</v>
      </c>
      <c r="L3244" s="22" t="s">
        <v>104</v>
      </c>
      <c r="M3244" s="22" t="s">
        <v>37102</v>
      </c>
    </row>
    <row r="3245" spans="1:13" x14ac:dyDescent="0.75">
      <c r="A3245" t="s">
        <v>9465</v>
      </c>
      <c r="B3245" t="s">
        <v>9466</v>
      </c>
      <c r="C3245" t="s">
        <v>6444</v>
      </c>
      <c r="D3245" t="s">
        <v>9467</v>
      </c>
      <c r="E3245" t="s">
        <v>9468</v>
      </c>
      <c r="F3245">
        <v>5</v>
      </c>
      <c r="G3245">
        <v>1665560</v>
      </c>
      <c r="H3245" t="s">
        <v>9469</v>
      </c>
      <c r="J3245" s="54" t="s">
        <v>6052</v>
      </c>
      <c r="K3245" s="54">
        <v>0</v>
      </c>
      <c r="L3245" s="22" t="s">
        <v>104</v>
      </c>
      <c r="M3245" s="22" t="s">
        <v>37102</v>
      </c>
    </row>
    <row r="3246" spans="1:13" x14ac:dyDescent="0.75">
      <c r="A3246" t="s">
        <v>30471</v>
      </c>
      <c r="B3246" t="s">
        <v>9466</v>
      </c>
      <c r="C3246" t="s">
        <v>6444</v>
      </c>
      <c r="D3246" t="s">
        <v>9467</v>
      </c>
      <c r="E3246" t="s">
        <v>30472</v>
      </c>
      <c r="F3246">
        <v>1</v>
      </c>
      <c r="G3246">
        <v>1599921</v>
      </c>
      <c r="H3246" t="s">
        <v>30473</v>
      </c>
      <c r="J3246" s="54" t="s">
        <v>6052</v>
      </c>
      <c r="K3246" s="54">
        <v>0</v>
      </c>
      <c r="L3246" s="22" t="s">
        <v>104</v>
      </c>
      <c r="M3246" s="22" t="s">
        <v>37102</v>
      </c>
    </row>
    <row r="3247" spans="1:13" x14ac:dyDescent="0.75">
      <c r="A3247" t="s">
        <v>29049</v>
      </c>
      <c r="B3247" t="s">
        <v>9466</v>
      </c>
      <c r="C3247" t="s">
        <v>6444</v>
      </c>
      <c r="D3247" t="s">
        <v>9467</v>
      </c>
      <c r="E3247" t="s">
        <v>29050</v>
      </c>
      <c r="F3247">
        <v>28</v>
      </c>
      <c r="G3247">
        <v>1652381</v>
      </c>
      <c r="H3247" t="s">
        <v>29051</v>
      </c>
      <c r="J3247" s="54" t="s">
        <v>6052</v>
      </c>
      <c r="K3247" s="54">
        <v>0</v>
      </c>
      <c r="L3247" s="22" t="s">
        <v>104</v>
      </c>
      <c r="M3247" s="22" t="s">
        <v>37102</v>
      </c>
    </row>
    <row r="3248" spans="1:13" x14ac:dyDescent="0.75">
      <c r="A3248" t="s">
        <v>16098</v>
      </c>
      <c r="B3248" t="s">
        <v>16099</v>
      </c>
      <c r="C3248" t="s">
        <v>7434</v>
      </c>
      <c r="D3248" t="s">
        <v>7846</v>
      </c>
      <c r="E3248" t="s">
        <v>16100</v>
      </c>
      <c r="F3248">
        <v>23</v>
      </c>
      <c r="G3248">
        <v>3827229</v>
      </c>
      <c r="H3248" t="s">
        <v>16101</v>
      </c>
      <c r="J3248" s="54" t="s">
        <v>6052</v>
      </c>
      <c r="K3248" s="54">
        <v>0</v>
      </c>
      <c r="L3248" s="22" t="s">
        <v>104</v>
      </c>
      <c r="M3248" s="22" t="s">
        <v>37104</v>
      </c>
    </row>
    <row r="3249" spans="1:13" x14ac:dyDescent="0.75">
      <c r="A3249" t="s">
        <v>29785</v>
      </c>
      <c r="B3249" t="s">
        <v>16099</v>
      </c>
      <c r="C3249" t="s">
        <v>7434</v>
      </c>
      <c r="D3249" t="s">
        <v>7846</v>
      </c>
      <c r="E3249" t="s">
        <v>29786</v>
      </c>
      <c r="F3249">
        <v>254</v>
      </c>
      <c r="G3249">
        <v>3655831</v>
      </c>
      <c r="H3249" t="s">
        <v>29787</v>
      </c>
      <c r="J3249" s="54" t="s">
        <v>6052</v>
      </c>
      <c r="K3249" s="54">
        <v>0</v>
      </c>
      <c r="L3249" s="22" t="s">
        <v>104</v>
      </c>
      <c r="M3249" s="22" t="s">
        <v>37104</v>
      </c>
    </row>
    <row r="3250" spans="1:13" x14ac:dyDescent="0.75">
      <c r="A3250" t="s">
        <v>29187</v>
      </c>
      <c r="B3250" t="s">
        <v>16099</v>
      </c>
      <c r="C3250" t="s">
        <v>7434</v>
      </c>
      <c r="D3250" t="s">
        <v>7846</v>
      </c>
      <c r="E3250" t="s">
        <v>29188</v>
      </c>
      <c r="F3250">
        <v>224</v>
      </c>
      <c r="G3250">
        <v>3475311</v>
      </c>
      <c r="H3250" t="s">
        <v>29189</v>
      </c>
      <c r="J3250" s="54" t="s">
        <v>6052</v>
      </c>
      <c r="K3250" s="54">
        <v>0</v>
      </c>
      <c r="L3250" s="22" t="s">
        <v>104</v>
      </c>
      <c r="M3250" s="22" t="s">
        <v>37104</v>
      </c>
    </row>
    <row r="3251" spans="1:13" x14ac:dyDescent="0.75">
      <c r="A3251" t="s">
        <v>7432</v>
      </c>
      <c r="B3251" t="s">
        <v>7433</v>
      </c>
      <c r="C3251" t="s">
        <v>7434</v>
      </c>
      <c r="D3251" t="s">
        <v>6945</v>
      </c>
      <c r="E3251" t="s">
        <v>7435</v>
      </c>
      <c r="F3251">
        <v>30</v>
      </c>
      <c r="G3251">
        <v>3151925</v>
      </c>
      <c r="H3251" t="s">
        <v>7436</v>
      </c>
      <c r="J3251" s="54" t="s">
        <v>6052</v>
      </c>
      <c r="K3251" s="54">
        <v>0</v>
      </c>
      <c r="L3251" s="22" t="s">
        <v>104</v>
      </c>
      <c r="M3251" s="22" t="s">
        <v>37103</v>
      </c>
    </row>
    <row r="3252" spans="1:13" x14ac:dyDescent="0.75">
      <c r="A3252" t="s">
        <v>29236</v>
      </c>
      <c r="B3252" t="s">
        <v>7433</v>
      </c>
      <c r="C3252" t="s">
        <v>7434</v>
      </c>
      <c r="D3252" t="s">
        <v>6945</v>
      </c>
      <c r="E3252" t="s">
        <v>29237</v>
      </c>
      <c r="F3252">
        <v>235</v>
      </c>
      <c r="G3252">
        <v>2922232</v>
      </c>
      <c r="H3252" t="s">
        <v>29238</v>
      </c>
      <c r="J3252" s="54" t="s">
        <v>6052</v>
      </c>
      <c r="K3252" s="54">
        <v>0</v>
      </c>
      <c r="L3252" s="22" t="s">
        <v>104</v>
      </c>
      <c r="M3252" s="22" t="s">
        <v>37103</v>
      </c>
    </row>
    <row r="3253" spans="1:13" x14ac:dyDescent="0.75">
      <c r="A3253" t="s">
        <v>30041</v>
      </c>
      <c r="B3253" t="s">
        <v>7433</v>
      </c>
      <c r="C3253" t="s">
        <v>7434</v>
      </c>
      <c r="D3253" t="s">
        <v>6945</v>
      </c>
      <c r="E3253" t="s">
        <v>30042</v>
      </c>
      <c r="F3253">
        <v>22</v>
      </c>
      <c r="G3253">
        <v>3112992</v>
      </c>
      <c r="H3253" t="s">
        <v>30043</v>
      </c>
      <c r="J3253" s="54" t="s">
        <v>6052</v>
      </c>
      <c r="K3253" s="54">
        <v>0</v>
      </c>
      <c r="L3253" s="22" t="s">
        <v>104</v>
      </c>
      <c r="M3253" s="22" t="s">
        <v>37103</v>
      </c>
    </row>
    <row r="3254" spans="1:13" x14ac:dyDescent="0.75">
      <c r="A3254" t="s">
        <v>19170</v>
      </c>
      <c r="B3254" t="s">
        <v>7433</v>
      </c>
      <c r="C3254" t="s">
        <v>7434</v>
      </c>
      <c r="D3254" t="s">
        <v>6945</v>
      </c>
      <c r="E3254" t="s">
        <v>19171</v>
      </c>
      <c r="F3254">
        <v>227</v>
      </c>
      <c r="G3254">
        <v>3096132</v>
      </c>
      <c r="H3254" t="s">
        <v>19172</v>
      </c>
      <c r="J3254" s="54" t="s">
        <v>6052</v>
      </c>
      <c r="K3254" s="54">
        <v>0</v>
      </c>
      <c r="L3254" s="22" t="s">
        <v>104</v>
      </c>
      <c r="M3254" s="22" t="s">
        <v>37103</v>
      </c>
    </row>
    <row r="3255" spans="1:13" x14ac:dyDescent="0.75">
      <c r="A3255" t="s">
        <v>19173</v>
      </c>
      <c r="B3255" t="s">
        <v>7433</v>
      </c>
      <c r="C3255" t="s">
        <v>7434</v>
      </c>
      <c r="D3255" t="s">
        <v>6945</v>
      </c>
      <c r="E3255" t="s">
        <v>19174</v>
      </c>
      <c r="F3255">
        <v>170</v>
      </c>
      <c r="G3255">
        <v>3045803</v>
      </c>
      <c r="H3255" t="s">
        <v>19175</v>
      </c>
      <c r="J3255" s="54" t="s">
        <v>6052</v>
      </c>
      <c r="K3255" s="54">
        <v>0</v>
      </c>
      <c r="L3255" s="22" t="s">
        <v>104</v>
      </c>
      <c r="M3255" s="22" t="s">
        <v>37103</v>
      </c>
    </row>
    <row r="3256" spans="1:13" x14ac:dyDescent="0.75">
      <c r="A3256" t="s">
        <v>27983</v>
      </c>
      <c r="B3256" t="s">
        <v>7433</v>
      </c>
      <c r="C3256" t="s">
        <v>7434</v>
      </c>
      <c r="D3256" t="s">
        <v>6945</v>
      </c>
      <c r="E3256" t="s">
        <v>27984</v>
      </c>
      <c r="F3256">
        <v>1</v>
      </c>
      <c r="G3256">
        <v>3172010</v>
      </c>
      <c r="H3256" t="s">
        <v>27985</v>
      </c>
      <c r="J3256" s="54" t="s">
        <v>6052</v>
      </c>
      <c r="K3256" s="54">
        <v>0</v>
      </c>
      <c r="L3256" s="22" t="s">
        <v>104</v>
      </c>
      <c r="M3256" s="22" t="s">
        <v>37103</v>
      </c>
    </row>
    <row r="3257" spans="1:13" x14ac:dyDescent="0.75">
      <c r="A3257" t="s">
        <v>27357</v>
      </c>
      <c r="B3257" t="s">
        <v>7600</v>
      </c>
      <c r="C3257" t="s">
        <v>6251</v>
      </c>
      <c r="D3257" t="s">
        <v>7601</v>
      </c>
      <c r="E3257" t="s">
        <v>27358</v>
      </c>
      <c r="F3257">
        <v>44</v>
      </c>
      <c r="G3257">
        <v>1826166</v>
      </c>
      <c r="H3257" t="s">
        <v>27359</v>
      </c>
      <c r="J3257" s="54" t="s">
        <v>6052</v>
      </c>
      <c r="K3257" s="54">
        <v>0</v>
      </c>
      <c r="L3257" s="22" t="s">
        <v>36804</v>
      </c>
      <c r="M3257" s="22" t="s">
        <v>37040</v>
      </c>
    </row>
    <row r="3258" spans="1:13" x14ac:dyDescent="0.75">
      <c r="A3258" t="s">
        <v>26541</v>
      </c>
      <c r="B3258" t="s">
        <v>7433</v>
      </c>
      <c r="C3258" t="s">
        <v>7434</v>
      </c>
      <c r="D3258" t="s">
        <v>6945</v>
      </c>
      <c r="E3258" t="s">
        <v>26542</v>
      </c>
      <c r="F3258">
        <v>160</v>
      </c>
      <c r="G3258">
        <v>3187093</v>
      </c>
      <c r="H3258" t="s">
        <v>26543</v>
      </c>
      <c r="J3258" s="54" t="s">
        <v>6052</v>
      </c>
      <c r="K3258" s="54">
        <v>0</v>
      </c>
      <c r="L3258" s="22" t="s">
        <v>104</v>
      </c>
      <c r="M3258" s="22" t="s">
        <v>37103</v>
      </c>
    </row>
    <row r="3259" spans="1:13" x14ac:dyDescent="0.75">
      <c r="A3259" t="s">
        <v>24907</v>
      </c>
      <c r="B3259" t="s">
        <v>7433</v>
      </c>
      <c r="C3259" t="s">
        <v>7434</v>
      </c>
      <c r="D3259" t="s">
        <v>6945</v>
      </c>
      <c r="E3259" t="s">
        <v>24908</v>
      </c>
      <c r="F3259">
        <v>10</v>
      </c>
      <c r="G3259">
        <v>3080931</v>
      </c>
      <c r="H3259" t="s">
        <v>24909</v>
      </c>
      <c r="J3259" s="54" t="s">
        <v>6052</v>
      </c>
      <c r="K3259" s="54">
        <v>0</v>
      </c>
      <c r="L3259" s="22" t="s">
        <v>104</v>
      </c>
      <c r="M3259" s="22" t="s">
        <v>37103</v>
      </c>
    </row>
    <row r="3260" spans="1:13" x14ac:dyDescent="0.75">
      <c r="A3260" t="s">
        <v>30368</v>
      </c>
      <c r="B3260" t="s">
        <v>7433</v>
      </c>
      <c r="C3260" t="s">
        <v>7434</v>
      </c>
      <c r="D3260" t="s">
        <v>6945</v>
      </c>
      <c r="E3260" t="s">
        <v>30369</v>
      </c>
      <c r="F3260">
        <v>211</v>
      </c>
      <c r="G3260">
        <v>2980196</v>
      </c>
      <c r="H3260" t="s">
        <v>30370</v>
      </c>
      <c r="J3260" s="54" t="s">
        <v>6052</v>
      </c>
      <c r="K3260" s="54">
        <v>0</v>
      </c>
      <c r="L3260" s="22" t="s">
        <v>104</v>
      </c>
      <c r="M3260" s="22" t="s">
        <v>37103</v>
      </c>
    </row>
    <row r="3261" spans="1:13" x14ac:dyDescent="0.75">
      <c r="A3261" t="s">
        <v>29040</v>
      </c>
      <c r="B3261" t="s">
        <v>7433</v>
      </c>
      <c r="C3261" t="s">
        <v>7434</v>
      </c>
      <c r="D3261" t="s">
        <v>6945</v>
      </c>
      <c r="E3261" t="s">
        <v>29041</v>
      </c>
      <c r="F3261">
        <v>68</v>
      </c>
      <c r="G3261">
        <v>3015813</v>
      </c>
      <c r="H3261" t="s">
        <v>29042</v>
      </c>
      <c r="J3261" s="54" t="s">
        <v>6052</v>
      </c>
      <c r="K3261" s="54">
        <v>0</v>
      </c>
      <c r="L3261" s="22" t="s">
        <v>104</v>
      </c>
      <c r="M3261" s="22" t="s">
        <v>37103</v>
      </c>
    </row>
    <row r="3262" spans="1:13" x14ac:dyDescent="0.75">
      <c r="A3262" t="s">
        <v>134</v>
      </c>
      <c r="B3262" t="s">
        <v>135</v>
      </c>
      <c r="C3262" t="s">
        <v>6425</v>
      </c>
      <c r="D3262" t="s">
        <v>6426</v>
      </c>
      <c r="E3262" t="s">
        <v>6427</v>
      </c>
      <c r="F3262">
        <v>1</v>
      </c>
      <c r="G3262">
        <v>2465610</v>
      </c>
      <c r="H3262" t="s">
        <v>6428</v>
      </c>
      <c r="J3262" s="54" t="s">
        <v>6427</v>
      </c>
      <c r="K3262" s="54">
        <v>1</v>
      </c>
      <c r="L3262" s="22" t="s">
        <v>104</v>
      </c>
      <c r="M3262" s="22" t="s">
        <v>136</v>
      </c>
    </row>
    <row r="3263" spans="1:13" x14ac:dyDescent="0.75">
      <c r="A3263" t="s">
        <v>29838</v>
      </c>
      <c r="B3263" t="s">
        <v>135</v>
      </c>
      <c r="C3263" t="s">
        <v>6425</v>
      </c>
      <c r="D3263" t="s">
        <v>6426</v>
      </c>
      <c r="E3263" t="s">
        <v>29839</v>
      </c>
      <c r="F3263">
        <v>489</v>
      </c>
      <c r="G3263">
        <v>1989509</v>
      </c>
      <c r="H3263" t="s">
        <v>29840</v>
      </c>
      <c r="J3263" s="54" t="s">
        <v>6052</v>
      </c>
      <c r="K3263" s="54">
        <v>0</v>
      </c>
      <c r="L3263" s="22" t="s">
        <v>104</v>
      </c>
      <c r="M3263" s="22" t="s">
        <v>136</v>
      </c>
    </row>
    <row r="3264" spans="1:13" x14ac:dyDescent="0.75">
      <c r="A3264" t="s">
        <v>2414</v>
      </c>
      <c r="B3264" t="s">
        <v>284</v>
      </c>
      <c r="C3264" t="s">
        <v>6425</v>
      </c>
      <c r="D3264" t="s">
        <v>7018</v>
      </c>
      <c r="E3264" t="s">
        <v>17196</v>
      </c>
      <c r="F3264">
        <v>4</v>
      </c>
      <c r="G3264">
        <v>2604381</v>
      </c>
      <c r="H3264" t="s">
        <v>17197</v>
      </c>
      <c r="J3264" s="54" t="s">
        <v>17196</v>
      </c>
      <c r="K3264" s="54">
        <v>1</v>
      </c>
      <c r="L3264" s="22" t="s">
        <v>104</v>
      </c>
      <c r="M3264" s="22" t="s">
        <v>285</v>
      </c>
    </row>
    <row r="3265" spans="1:13" x14ac:dyDescent="0.75">
      <c r="A3265" t="s">
        <v>283</v>
      </c>
      <c r="B3265" t="s">
        <v>284</v>
      </c>
      <c r="C3265" t="s">
        <v>6425</v>
      </c>
      <c r="D3265" t="s">
        <v>7018</v>
      </c>
      <c r="E3265" t="s">
        <v>7019</v>
      </c>
      <c r="F3265">
        <v>42</v>
      </c>
      <c r="G3265">
        <v>2456453</v>
      </c>
      <c r="H3265" t="s">
        <v>7020</v>
      </c>
      <c r="J3265" s="54" t="s">
        <v>7019</v>
      </c>
      <c r="K3265" s="54">
        <v>1</v>
      </c>
      <c r="L3265" s="22" t="s">
        <v>104</v>
      </c>
      <c r="M3265" s="22" t="s">
        <v>285</v>
      </c>
    </row>
    <row r="3266" spans="1:13" x14ac:dyDescent="0.75">
      <c r="A3266" t="s">
        <v>1010</v>
      </c>
      <c r="B3266" t="s">
        <v>284</v>
      </c>
      <c r="C3266" t="s">
        <v>6425</v>
      </c>
      <c r="D3266" t="s">
        <v>7018</v>
      </c>
      <c r="E3266" t="s">
        <v>9582</v>
      </c>
      <c r="F3266">
        <v>23</v>
      </c>
      <c r="G3266">
        <v>2560738</v>
      </c>
      <c r="H3266" t="s">
        <v>9583</v>
      </c>
      <c r="J3266" s="54" t="s">
        <v>9582</v>
      </c>
      <c r="K3266" s="54">
        <v>1</v>
      </c>
      <c r="L3266" s="22" t="s">
        <v>104</v>
      </c>
      <c r="M3266" s="22" t="s">
        <v>285</v>
      </c>
    </row>
    <row r="3267" spans="1:13" x14ac:dyDescent="0.75">
      <c r="A3267" t="s">
        <v>4974</v>
      </c>
      <c r="B3267" t="s">
        <v>2427</v>
      </c>
      <c r="C3267" t="s">
        <v>6425</v>
      </c>
      <c r="D3267" t="s">
        <v>12566</v>
      </c>
      <c r="E3267" t="s">
        <v>26407</v>
      </c>
      <c r="F3267">
        <v>46</v>
      </c>
      <c r="G3267">
        <v>2004496</v>
      </c>
      <c r="H3267" t="s">
        <v>26408</v>
      </c>
      <c r="J3267" s="54" t="s">
        <v>26407</v>
      </c>
      <c r="K3267" s="54">
        <v>2</v>
      </c>
      <c r="L3267" s="22" t="s">
        <v>104</v>
      </c>
      <c r="M3267" s="22" t="s">
        <v>2428</v>
      </c>
    </row>
    <row r="3268" spans="1:13" x14ac:dyDescent="0.75">
      <c r="A3268" t="s">
        <v>2426</v>
      </c>
      <c r="B3268" t="s">
        <v>2427</v>
      </c>
      <c r="C3268" t="s">
        <v>6425</v>
      </c>
      <c r="D3268" t="s">
        <v>12566</v>
      </c>
      <c r="E3268" t="s">
        <v>17200</v>
      </c>
      <c r="F3268">
        <v>2</v>
      </c>
      <c r="G3268">
        <v>2284180</v>
      </c>
      <c r="H3268" t="s">
        <v>17201</v>
      </c>
      <c r="J3268" s="54" t="s">
        <v>17200</v>
      </c>
      <c r="K3268" s="54">
        <v>1</v>
      </c>
      <c r="L3268" s="22" t="s">
        <v>104</v>
      </c>
      <c r="M3268" s="22" t="s">
        <v>2428</v>
      </c>
    </row>
    <row r="3269" spans="1:13" x14ac:dyDescent="0.75">
      <c r="A3269" t="s">
        <v>2499</v>
      </c>
      <c r="B3269" t="s">
        <v>853</v>
      </c>
      <c r="C3269" t="s">
        <v>6425</v>
      </c>
      <c r="D3269" t="s">
        <v>9323</v>
      </c>
      <c r="E3269" t="s">
        <v>17312</v>
      </c>
      <c r="F3269">
        <v>2</v>
      </c>
      <c r="G3269">
        <v>2161166</v>
      </c>
      <c r="H3269" t="s">
        <v>17313</v>
      </c>
      <c r="J3269" s="54" t="s">
        <v>17312</v>
      </c>
      <c r="K3269" s="54">
        <v>1</v>
      </c>
      <c r="L3269" s="22" t="s">
        <v>104</v>
      </c>
      <c r="M3269" s="22" t="s">
        <v>854</v>
      </c>
    </row>
    <row r="3270" spans="1:13" x14ac:dyDescent="0.75">
      <c r="A3270" t="s">
        <v>852</v>
      </c>
      <c r="B3270" t="s">
        <v>853</v>
      </c>
      <c r="C3270" t="s">
        <v>6425</v>
      </c>
      <c r="D3270" t="s">
        <v>9323</v>
      </c>
      <c r="E3270" t="s">
        <v>9324</v>
      </c>
      <c r="F3270">
        <v>22</v>
      </c>
      <c r="G3270">
        <v>2144606</v>
      </c>
      <c r="H3270" t="s">
        <v>9325</v>
      </c>
      <c r="J3270" s="54" t="s">
        <v>9324</v>
      </c>
      <c r="K3270" s="54">
        <v>1</v>
      </c>
      <c r="L3270" s="22" t="s">
        <v>104</v>
      </c>
      <c r="M3270" s="22" t="s">
        <v>854</v>
      </c>
    </row>
    <row r="3271" spans="1:13" x14ac:dyDescent="0.75">
      <c r="A3271" t="s">
        <v>5592</v>
      </c>
      <c r="B3271" t="s">
        <v>3447</v>
      </c>
      <c r="C3271" t="s">
        <v>6425</v>
      </c>
      <c r="D3271" t="s">
        <v>20667</v>
      </c>
      <c r="E3271" t="s">
        <v>29284</v>
      </c>
      <c r="F3271">
        <v>1</v>
      </c>
      <c r="G3271">
        <v>2126997</v>
      </c>
      <c r="H3271" t="s">
        <v>29285</v>
      </c>
      <c r="J3271" s="54" t="s">
        <v>30844</v>
      </c>
      <c r="K3271" s="54">
        <v>1</v>
      </c>
      <c r="L3271" s="22" t="s">
        <v>104</v>
      </c>
      <c r="M3271" s="22" t="s">
        <v>36827</v>
      </c>
    </row>
    <row r="3272" spans="1:13" x14ac:dyDescent="0.75">
      <c r="A3272" t="s">
        <v>3446</v>
      </c>
      <c r="B3272" t="s">
        <v>3447</v>
      </c>
      <c r="C3272" t="s">
        <v>6425</v>
      </c>
      <c r="D3272" t="s">
        <v>20667</v>
      </c>
      <c r="E3272" t="s">
        <v>20668</v>
      </c>
      <c r="F3272">
        <v>1</v>
      </c>
      <c r="G3272">
        <v>2172496</v>
      </c>
      <c r="H3272" t="s">
        <v>20669</v>
      </c>
      <c r="J3272" s="54" t="s">
        <v>20668</v>
      </c>
      <c r="K3272" s="54">
        <v>1</v>
      </c>
      <c r="L3272" s="22" t="s">
        <v>104</v>
      </c>
      <c r="M3272" s="22" t="s">
        <v>36827</v>
      </c>
    </row>
    <row r="3273" spans="1:13" x14ac:dyDescent="0.75">
      <c r="A3273" t="s">
        <v>29362</v>
      </c>
      <c r="B3273" t="s">
        <v>3447</v>
      </c>
      <c r="C3273" t="s">
        <v>6425</v>
      </c>
      <c r="D3273" t="s">
        <v>20667</v>
      </c>
      <c r="E3273" t="s">
        <v>29363</v>
      </c>
      <c r="F3273">
        <v>238</v>
      </c>
      <c r="G3273">
        <v>1187035</v>
      </c>
      <c r="H3273" t="s">
        <v>29364</v>
      </c>
      <c r="J3273" s="54" t="s">
        <v>6052</v>
      </c>
      <c r="K3273" s="54">
        <v>0</v>
      </c>
      <c r="L3273" s="22" t="s">
        <v>104</v>
      </c>
      <c r="M3273" s="22" t="s">
        <v>36827</v>
      </c>
    </row>
    <row r="3274" spans="1:13" x14ac:dyDescent="0.75">
      <c r="A3274" t="s">
        <v>29598</v>
      </c>
      <c r="B3274" t="s">
        <v>3447</v>
      </c>
      <c r="C3274" t="s">
        <v>6425</v>
      </c>
      <c r="D3274" t="s">
        <v>20667</v>
      </c>
      <c r="E3274" t="s">
        <v>29599</v>
      </c>
      <c r="F3274">
        <v>218</v>
      </c>
      <c r="G3274">
        <v>1277788</v>
      </c>
      <c r="H3274" t="s">
        <v>29600</v>
      </c>
      <c r="J3274" s="54" t="s">
        <v>6052</v>
      </c>
      <c r="K3274" s="54">
        <v>0</v>
      </c>
      <c r="L3274" s="22" t="s">
        <v>104</v>
      </c>
      <c r="M3274" s="22" t="s">
        <v>36827</v>
      </c>
    </row>
    <row r="3275" spans="1:13" x14ac:dyDescent="0.75">
      <c r="A3275" t="s">
        <v>5759</v>
      </c>
      <c r="B3275" t="s">
        <v>3456</v>
      </c>
      <c r="C3275" t="s">
        <v>6425</v>
      </c>
      <c r="D3275" t="s">
        <v>18602</v>
      </c>
      <c r="E3275" t="s">
        <v>29672</v>
      </c>
      <c r="F3275">
        <v>138</v>
      </c>
      <c r="G3275">
        <v>1573472</v>
      </c>
      <c r="H3275" t="s">
        <v>29673</v>
      </c>
      <c r="J3275" s="54" t="s">
        <v>30844</v>
      </c>
      <c r="K3275" s="54">
        <v>2</v>
      </c>
      <c r="L3275" s="22" t="s">
        <v>104</v>
      </c>
      <c r="M3275" s="22" t="s">
        <v>36815</v>
      </c>
    </row>
    <row r="3276" spans="1:13" x14ac:dyDescent="0.75">
      <c r="A3276" t="s">
        <v>3455</v>
      </c>
      <c r="B3276" t="s">
        <v>3456</v>
      </c>
      <c r="C3276" t="s">
        <v>6425</v>
      </c>
      <c r="D3276" t="s">
        <v>18602</v>
      </c>
      <c r="E3276" t="s">
        <v>20670</v>
      </c>
      <c r="F3276">
        <v>2</v>
      </c>
      <c r="G3276">
        <v>2076334</v>
      </c>
      <c r="H3276" t="s">
        <v>20671</v>
      </c>
      <c r="J3276" s="54" t="s">
        <v>20670</v>
      </c>
      <c r="K3276" s="54">
        <v>1</v>
      </c>
      <c r="L3276" s="22" t="s">
        <v>104</v>
      </c>
      <c r="M3276" s="22" t="s">
        <v>36815</v>
      </c>
    </row>
    <row r="3277" spans="1:13" x14ac:dyDescent="0.75">
      <c r="A3277" t="s">
        <v>29342</v>
      </c>
      <c r="B3277" t="s">
        <v>3456</v>
      </c>
      <c r="C3277" t="s">
        <v>6425</v>
      </c>
      <c r="D3277" t="s">
        <v>18602</v>
      </c>
      <c r="E3277" t="s">
        <v>29343</v>
      </c>
      <c r="F3277">
        <v>221</v>
      </c>
      <c r="G3277">
        <v>1219079</v>
      </c>
      <c r="H3277" t="s">
        <v>29344</v>
      </c>
      <c r="J3277" s="54" t="s">
        <v>6052</v>
      </c>
      <c r="K3277" s="54">
        <v>0</v>
      </c>
      <c r="L3277" s="22" t="s">
        <v>104</v>
      </c>
      <c r="M3277" s="22" t="s">
        <v>36815</v>
      </c>
    </row>
    <row r="3278" spans="1:13" x14ac:dyDescent="0.75">
      <c r="A3278" t="s">
        <v>18601</v>
      </c>
      <c r="B3278" t="s">
        <v>3456</v>
      </c>
      <c r="C3278" t="s">
        <v>6425</v>
      </c>
      <c r="D3278" t="s">
        <v>18602</v>
      </c>
      <c r="E3278" t="s">
        <v>18603</v>
      </c>
      <c r="F3278">
        <v>107</v>
      </c>
      <c r="G3278">
        <v>1977728</v>
      </c>
      <c r="H3278" t="s">
        <v>18604</v>
      </c>
      <c r="J3278" s="54" t="s">
        <v>6052</v>
      </c>
      <c r="K3278" s="54">
        <v>0</v>
      </c>
      <c r="L3278" s="22" t="s">
        <v>104</v>
      </c>
      <c r="M3278" s="22" t="s">
        <v>36815</v>
      </c>
    </row>
    <row r="3279" spans="1:13" x14ac:dyDescent="0.75">
      <c r="A3279" t="s">
        <v>2823</v>
      </c>
      <c r="B3279" t="s">
        <v>2824</v>
      </c>
      <c r="C3279" t="s">
        <v>6425</v>
      </c>
      <c r="D3279" t="s">
        <v>18753</v>
      </c>
      <c r="E3279" t="s">
        <v>18754</v>
      </c>
      <c r="F3279">
        <v>4</v>
      </c>
      <c r="G3279">
        <v>2584194</v>
      </c>
      <c r="H3279" t="s">
        <v>18755</v>
      </c>
      <c r="J3279" s="54" t="s">
        <v>18754</v>
      </c>
      <c r="K3279" s="54">
        <v>1</v>
      </c>
      <c r="L3279" s="22" t="s">
        <v>104</v>
      </c>
      <c r="M3279" s="22" t="s">
        <v>36832</v>
      </c>
    </row>
    <row r="3280" spans="1:13" x14ac:dyDescent="0.75">
      <c r="A3280" t="s">
        <v>5127</v>
      </c>
      <c r="B3280" t="s">
        <v>1103</v>
      </c>
      <c r="C3280" t="s">
        <v>6425</v>
      </c>
      <c r="D3280" t="s">
        <v>9851</v>
      </c>
      <c r="E3280" t="s">
        <v>27155</v>
      </c>
      <c r="F3280">
        <v>5</v>
      </c>
      <c r="G3280">
        <v>2538645</v>
      </c>
      <c r="H3280" t="s">
        <v>27156</v>
      </c>
      <c r="J3280" s="54" t="s">
        <v>27155</v>
      </c>
      <c r="K3280" s="54">
        <v>1</v>
      </c>
      <c r="L3280" s="22" t="s">
        <v>104</v>
      </c>
      <c r="M3280" s="22" t="s">
        <v>36823</v>
      </c>
    </row>
    <row r="3281" spans="1:13" x14ac:dyDescent="0.75">
      <c r="A3281" t="s">
        <v>4999</v>
      </c>
      <c r="B3281" t="s">
        <v>1103</v>
      </c>
      <c r="C3281" t="s">
        <v>6425</v>
      </c>
      <c r="D3281" t="s">
        <v>9851</v>
      </c>
      <c r="E3281" t="s">
        <v>1103</v>
      </c>
      <c r="F3281">
        <v>1</v>
      </c>
      <c r="G3281">
        <v>2452811</v>
      </c>
      <c r="H3281" t="s">
        <v>26482</v>
      </c>
      <c r="J3281" s="54" t="s">
        <v>1103</v>
      </c>
      <c r="K3281" s="54">
        <v>1</v>
      </c>
      <c r="L3281" s="22" t="s">
        <v>104</v>
      </c>
      <c r="M3281" s="22" t="s">
        <v>36823</v>
      </c>
    </row>
    <row r="3282" spans="1:13" x14ac:dyDescent="0.75">
      <c r="A3282" t="s">
        <v>1102</v>
      </c>
      <c r="B3282" t="s">
        <v>1103</v>
      </c>
      <c r="C3282" t="s">
        <v>6425</v>
      </c>
      <c r="D3282" t="s">
        <v>9851</v>
      </c>
      <c r="E3282" t="s">
        <v>9852</v>
      </c>
      <c r="F3282">
        <v>216</v>
      </c>
      <c r="G3282">
        <v>2400083</v>
      </c>
      <c r="H3282" t="s">
        <v>9853</v>
      </c>
      <c r="J3282" s="54" t="s">
        <v>9852</v>
      </c>
      <c r="K3282" s="54">
        <v>1</v>
      </c>
      <c r="L3282" s="22" t="s">
        <v>104</v>
      </c>
      <c r="M3282" s="22" t="s">
        <v>36823</v>
      </c>
    </row>
    <row r="3283" spans="1:13" x14ac:dyDescent="0.75">
      <c r="A3283" t="s">
        <v>28862</v>
      </c>
      <c r="B3283" t="s">
        <v>1103</v>
      </c>
      <c r="C3283" t="s">
        <v>6425</v>
      </c>
      <c r="D3283" t="s">
        <v>9851</v>
      </c>
      <c r="E3283" t="s">
        <v>28863</v>
      </c>
      <c r="F3283">
        <v>306</v>
      </c>
      <c r="G3283">
        <v>2012492</v>
      </c>
      <c r="H3283" t="s">
        <v>28864</v>
      </c>
      <c r="J3283" s="54" t="s">
        <v>6052</v>
      </c>
      <c r="K3283" s="54">
        <v>0</v>
      </c>
      <c r="L3283" s="22" t="s">
        <v>104</v>
      </c>
      <c r="M3283" s="22" t="s">
        <v>36823</v>
      </c>
    </row>
    <row r="3284" spans="1:13" x14ac:dyDescent="0.75">
      <c r="A3284" t="s">
        <v>3640</v>
      </c>
      <c r="B3284" t="s">
        <v>2405</v>
      </c>
      <c r="C3284" t="s">
        <v>6425</v>
      </c>
      <c r="D3284" t="s">
        <v>17191</v>
      </c>
      <c r="E3284" t="s">
        <v>20885</v>
      </c>
      <c r="F3284">
        <v>114</v>
      </c>
      <c r="G3284">
        <v>2386079</v>
      </c>
      <c r="H3284" t="s">
        <v>20886</v>
      </c>
      <c r="J3284" s="54" t="s">
        <v>30844</v>
      </c>
      <c r="K3284" s="54">
        <v>2</v>
      </c>
      <c r="L3284" s="22" t="s">
        <v>104</v>
      </c>
      <c r="M3284" s="22" t="s">
        <v>36817</v>
      </c>
    </row>
    <row r="3285" spans="1:13" x14ac:dyDescent="0.75">
      <c r="A3285" t="s">
        <v>12227</v>
      </c>
      <c r="B3285" t="s">
        <v>10944</v>
      </c>
      <c r="C3285" t="s">
        <v>6251</v>
      </c>
      <c r="D3285" t="s">
        <v>10945</v>
      </c>
      <c r="E3285" t="s">
        <v>12228</v>
      </c>
      <c r="F3285">
        <v>1</v>
      </c>
      <c r="G3285">
        <v>1589620</v>
      </c>
      <c r="H3285" t="s">
        <v>12229</v>
      </c>
      <c r="J3285" s="54" t="s">
        <v>6052</v>
      </c>
      <c r="K3285" s="54">
        <v>0</v>
      </c>
      <c r="L3285" s="22" t="s">
        <v>36804</v>
      </c>
      <c r="M3285" s="22" t="s">
        <v>37041</v>
      </c>
    </row>
    <row r="3286" spans="1:13" x14ac:dyDescent="0.75">
      <c r="A3286" t="s">
        <v>12230</v>
      </c>
      <c r="B3286" t="s">
        <v>10944</v>
      </c>
      <c r="C3286" t="s">
        <v>6251</v>
      </c>
      <c r="D3286" t="s">
        <v>10945</v>
      </c>
      <c r="E3286" t="s">
        <v>12231</v>
      </c>
      <c r="F3286">
        <v>1</v>
      </c>
      <c r="G3286">
        <v>1673048</v>
      </c>
      <c r="H3286" t="s">
        <v>12232</v>
      </c>
      <c r="J3286" s="54" t="s">
        <v>6052</v>
      </c>
      <c r="K3286" s="54">
        <v>0</v>
      </c>
      <c r="L3286" s="22" t="s">
        <v>36804</v>
      </c>
      <c r="M3286" s="22" t="s">
        <v>37041</v>
      </c>
    </row>
    <row r="3287" spans="1:13" x14ac:dyDescent="0.75">
      <c r="A3287" t="s">
        <v>12233</v>
      </c>
      <c r="B3287" t="s">
        <v>10944</v>
      </c>
      <c r="C3287" t="s">
        <v>6251</v>
      </c>
      <c r="D3287" t="s">
        <v>10945</v>
      </c>
      <c r="E3287" t="s">
        <v>12234</v>
      </c>
      <c r="F3287">
        <v>1</v>
      </c>
      <c r="G3287">
        <v>1667484</v>
      </c>
      <c r="H3287" t="s">
        <v>12235</v>
      </c>
      <c r="J3287" s="54" t="s">
        <v>6052</v>
      </c>
      <c r="K3287" s="54">
        <v>0</v>
      </c>
      <c r="L3287" s="22" t="s">
        <v>36804</v>
      </c>
      <c r="M3287" s="22" t="s">
        <v>37041</v>
      </c>
    </row>
    <row r="3288" spans="1:13" x14ac:dyDescent="0.75">
      <c r="A3288" t="s">
        <v>5299</v>
      </c>
      <c r="B3288" t="s">
        <v>2405</v>
      </c>
      <c r="C3288" t="s">
        <v>6425</v>
      </c>
      <c r="D3288" t="s">
        <v>17191</v>
      </c>
      <c r="E3288" t="s">
        <v>6504</v>
      </c>
      <c r="F3288">
        <v>64</v>
      </c>
      <c r="G3288">
        <v>2375404</v>
      </c>
      <c r="H3288" t="s">
        <v>28139</v>
      </c>
      <c r="J3288" s="54" t="s">
        <v>6504</v>
      </c>
      <c r="K3288" s="54">
        <v>1</v>
      </c>
      <c r="L3288" s="22" t="s">
        <v>104</v>
      </c>
      <c r="M3288" s="22" t="s">
        <v>36817</v>
      </c>
    </row>
    <row r="3289" spans="1:13" x14ac:dyDescent="0.75">
      <c r="A3289" t="s">
        <v>7815</v>
      </c>
      <c r="B3289" t="s">
        <v>7816</v>
      </c>
      <c r="C3289" t="s">
        <v>7817</v>
      </c>
      <c r="D3289" t="s">
        <v>7818</v>
      </c>
      <c r="E3289" t="s">
        <v>7819</v>
      </c>
      <c r="F3289">
        <v>27</v>
      </c>
      <c r="G3289">
        <v>3388644</v>
      </c>
      <c r="H3289" t="s">
        <v>7820</v>
      </c>
      <c r="J3289" s="54" t="s">
        <v>6052</v>
      </c>
      <c r="K3289" s="54">
        <v>0</v>
      </c>
      <c r="L3289" s="22" t="s">
        <v>1563</v>
      </c>
      <c r="M3289" s="22" t="s">
        <v>37047</v>
      </c>
    </row>
    <row r="3290" spans="1:13" x14ac:dyDescent="0.75">
      <c r="A3290" t="s">
        <v>5633</v>
      </c>
      <c r="B3290" t="s">
        <v>2405</v>
      </c>
      <c r="C3290" t="s">
        <v>6425</v>
      </c>
      <c r="D3290" t="s">
        <v>17191</v>
      </c>
      <c r="E3290" t="s">
        <v>29365</v>
      </c>
      <c r="F3290">
        <v>189</v>
      </c>
      <c r="G3290">
        <v>2378985</v>
      </c>
      <c r="H3290" t="s">
        <v>29366</v>
      </c>
      <c r="J3290" s="54" t="s">
        <v>30844</v>
      </c>
      <c r="K3290" s="54">
        <v>1</v>
      </c>
      <c r="L3290" s="22" t="s">
        <v>104</v>
      </c>
      <c r="M3290" s="22" t="s">
        <v>36817</v>
      </c>
    </row>
    <row r="3291" spans="1:13" x14ac:dyDescent="0.75">
      <c r="A3291" t="s">
        <v>5895</v>
      </c>
      <c r="B3291" t="s">
        <v>2405</v>
      </c>
      <c r="C3291" t="s">
        <v>6425</v>
      </c>
      <c r="D3291" t="s">
        <v>17191</v>
      </c>
      <c r="E3291" t="s">
        <v>29977</v>
      </c>
      <c r="F3291">
        <v>113</v>
      </c>
      <c r="G3291">
        <v>2312876</v>
      </c>
      <c r="H3291" t="s">
        <v>29978</v>
      </c>
      <c r="J3291" s="54" t="s">
        <v>30844</v>
      </c>
      <c r="K3291" s="54">
        <v>1</v>
      </c>
      <c r="L3291" s="22" t="s">
        <v>104</v>
      </c>
      <c r="M3291" s="22" t="s">
        <v>36817</v>
      </c>
    </row>
    <row r="3292" spans="1:13" x14ac:dyDescent="0.75">
      <c r="A3292" t="s">
        <v>29861</v>
      </c>
      <c r="B3292" t="s">
        <v>7816</v>
      </c>
      <c r="C3292" t="s">
        <v>7817</v>
      </c>
      <c r="D3292" t="s">
        <v>7818</v>
      </c>
      <c r="E3292" t="s">
        <v>29862</v>
      </c>
      <c r="F3292">
        <v>84</v>
      </c>
      <c r="G3292">
        <v>3035318</v>
      </c>
      <c r="H3292" t="s">
        <v>29863</v>
      </c>
      <c r="J3292" s="54" t="s">
        <v>6052</v>
      </c>
      <c r="K3292" s="54">
        <v>0</v>
      </c>
      <c r="L3292" s="22" t="s">
        <v>1563</v>
      </c>
      <c r="M3292" s="22" t="s">
        <v>37047</v>
      </c>
    </row>
    <row r="3293" spans="1:13" x14ac:dyDescent="0.75">
      <c r="A3293" t="s">
        <v>28767</v>
      </c>
      <c r="B3293" t="s">
        <v>7816</v>
      </c>
      <c r="C3293" t="s">
        <v>7817</v>
      </c>
      <c r="D3293" t="s">
        <v>7818</v>
      </c>
      <c r="E3293" t="s">
        <v>28768</v>
      </c>
      <c r="F3293">
        <v>55</v>
      </c>
      <c r="G3293">
        <v>2757047</v>
      </c>
      <c r="H3293" t="s">
        <v>28769</v>
      </c>
      <c r="J3293" s="54" t="s">
        <v>6052</v>
      </c>
      <c r="K3293" s="54">
        <v>0</v>
      </c>
      <c r="L3293" s="22" t="s">
        <v>1563</v>
      </c>
      <c r="M3293" s="22" t="s">
        <v>37047</v>
      </c>
    </row>
    <row r="3294" spans="1:13" x14ac:dyDescent="0.75">
      <c r="A3294" t="s">
        <v>2404</v>
      </c>
      <c r="B3294" t="s">
        <v>2405</v>
      </c>
      <c r="C3294" t="s">
        <v>6425</v>
      </c>
      <c r="D3294" t="s">
        <v>17191</v>
      </c>
      <c r="E3294" t="s">
        <v>17192</v>
      </c>
      <c r="F3294">
        <v>4</v>
      </c>
      <c r="G3294">
        <v>2404956</v>
      </c>
      <c r="H3294" t="s">
        <v>17193</v>
      </c>
      <c r="J3294" s="54" t="s">
        <v>17192</v>
      </c>
      <c r="K3294" s="54">
        <v>1</v>
      </c>
      <c r="L3294" s="22" t="s">
        <v>104</v>
      </c>
      <c r="M3294" s="22" t="s">
        <v>36817</v>
      </c>
    </row>
    <row r="3295" spans="1:13" x14ac:dyDescent="0.75">
      <c r="A3295" t="s">
        <v>2834</v>
      </c>
      <c r="B3295" t="s">
        <v>2405</v>
      </c>
      <c r="C3295" t="s">
        <v>6425</v>
      </c>
      <c r="D3295" t="s">
        <v>17191</v>
      </c>
      <c r="E3295" t="s">
        <v>18759</v>
      </c>
      <c r="F3295">
        <v>5</v>
      </c>
      <c r="G3295">
        <v>2528148</v>
      </c>
      <c r="H3295" t="s">
        <v>18760</v>
      </c>
      <c r="J3295" s="54" t="s">
        <v>18759</v>
      </c>
      <c r="K3295" s="54">
        <v>1</v>
      </c>
      <c r="L3295" s="22" t="s">
        <v>104</v>
      </c>
      <c r="M3295" s="22" t="s">
        <v>36817</v>
      </c>
    </row>
    <row r="3296" spans="1:13" x14ac:dyDescent="0.75">
      <c r="A3296" t="s">
        <v>21685</v>
      </c>
      <c r="B3296" t="s">
        <v>7816</v>
      </c>
      <c r="C3296" t="s">
        <v>7817</v>
      </c>
      <c r="D3296" t="s">
        <v>7818</v>
      </c>
      <c r="E3296" t="s">
        <v>21686</v>
      </c>
      <c r="F3296">
        <v>40</v>
      </c>
      <c r="G3296">
        <v>3406041</v>
      </c>
      <c r="H3296" t="s">
        <v>21687</v>
      </c>
      <c r="J3296" s="54" t="s">
        <v>6052</v>
      </c>
      <c r="K3296" s="54">
        <v>0</v>
      </c>
      <c r="L3296" s="22" t="s">
        <v>1563</v>
      </c>
      <c r="M3296" s="22" t="s">
        <v>37047</v>
      </c>
    </row>
    <row r="3297" spans="1:13" x14ac:dyDescent="0.75">
      <c r="A3297" t="s">
        <v>28608</v>
      </c>
      <c r="B3297" t="s">
        <v>7816</v>
      </c>
      <c r="C3297" t="s">
        <v>7817</v>
      </c>
      <c r="D3297" t="s">
        <v>7818</v>
      </c>
      <c r="E3297" t="s">
        <v>28609</v>
      </c>
      <c r="F3297">
        <v>133</v>
      </c>
      <c r="G3297">
        <v>2702422</v>
      </c>
      <c r="H3297" t="s">
        <v>28610</v>
      </c>
      <c r="J3297" s="54" t="s">
        <v>6052</v>
      </c>
      <c r="K3297" s="54">
        <v>0</v>
      </c>
      <c r="L3297" s="22" t="s">
        <v>1563</v>
      </c>
      <c r="M3297" s="22" t="s">
        <v>37047</v>
      </c>
    </row>
    <row r="3298" spans="1:13" x14ac:dyDescent="0.75">
      <c r="A3298" t="s">
        <v>1793</v>
      </c>
      <c r="B3298" t="s">
        <v>1794</v>
      </c>
      <c r="C3298" t="s">
        <v>6425</v>
      </c>
      <c r="D3298" t="s">
        <v>13824</v>
      </c>
      <c r="E3298" t="s">
        <v>13825</v>
      </c>
      <c r="F3298">
        <v>1</v>
      </c>
      <c r="G3298">
        <v>2152181</v>
      </c>
      <c r="H3298" t="s">
        <v>13826</v>
      </c>
      <c r="J3298" s="54" t="s">
        <v>13825</v>
      </c>
      <c r="K3298" s="54">
        <v>1</v>
      </c>
      <c r="L3298" s="22" t="s">
        <v>104</v>
      </c>
      <c r="M3298" s="22" t="s">
        <v>36833</v>
      </c>
    </row>
    <row r="3299" spans="1:13" x14ac:dyDescent="0.75">
      <c r="A3299" t="s">
        <v>27863</v>
      </c>
      <c r="B3299" t="s">
        <v>7816</v>
      </c>
      <c r="C3299" t="s">
        <v>7817</v>
      </c>
      <c r="D3299" t="s">
        <v>7818</v>
      </c>
      <c r="E3299" t="s">
        <v>27864</v>
      </c>
      <c r="F3299">
        <v>99</v>
      </c>
      <c r="G3299">
        <v>2858581</v>
      </c>
      <c r="H3299" t="s">
        <v>27865</v>
      </c>
      <c r="J3299" s="54" t="s">
        <v>6052</v>
      </c>
      <c r="K3299" s="54">
        <v>0</v>
      </c>
      <c r="L3299" s="22" t="s">
        <v>1563</v>
      </c>
      <c r="M3299" s="22" t="s">
        <v>37047</v>
      </c>
    </row>
    <row r="3300" spans="1:13" x14ac:dyDescent="0.75">
      <c r="A3300" t="s">
        <v>20239</v>
      </c>
      <c r="B3300" t="s">
        <v>8571</v>
      </c>
      <c r="C3300" t="s">
        <v>8572</v>
      </c>
      <c r="D3300" t="s">
        <v>8573</v>
      </c>
      <c r="E3300" t="s">
        <v>20240</v>
      </c>
      <c r="F3300">
        <v>1</v>
      </c>
      <c r="G3300">
        <v>1616437</v>
      </c>
      <c r="H3300" t="s">
        <v>20241</v>
      </c>
      <c r="J3300" s="54" t="s">
        <v>6052</v>
      </c>
      <c r="K3300" s="54">
        <v>0</v>
      </c>
      <c r="L3300" s="22" t="s">
        <v>34</v>
      </c>
      <c r="M3300" s="22" t="s">
        <v>37049</v>
      </c>
    </row>
    <row r="3301" spans="1:13" x14ac:dyDescent="0.75">
      <c r="A3301" t="s">
        <v>16596</v>
      </c>
      <c r="B3301" t="s">
        <v>8571</v>
      </c>
      <c r="C3301" t="s">
        <v>8572</v>
      </c>
      <c r="D3301" t="s">
        <v>8573</v>
      </c>
      <c r="E3301" t="s">
        <v>16597</v>
      </c>
      <c r="F3301">
        <v>1</v>
      </c>
      <c r="G3301">
        <v>1680829</v>
      </c>
      <c r="H3301" t="s">
        <v>16598</v>
      </c>
      <c r="J3301" s="54" t="s">
        <v>6052</v>
      </c>
      <c r="K3301" s="54">
        <v>0</v>
      </c>
      <c r="L3301" s="22" t="s">
        <v>34</v>
      </c>
      <c r="M3301" s="22" t="s">
        <v>37049</v>
      </c>
    </row>
    <row r="3302" spans="1:13" x14ac:dyDescent="0.75">
      <c r="A3302" t="s">
        <v>26201</v>
      </c>
      <c r="B3302" t="s">
        <v>8571</v>
      </c>
      <c r="C3302" t="s">
        <v>8572</v>
      </c>
      <c r="D3302" t="s">
        <v>8573</v>
      </c>
      <c r="E3302" t="s">
        <v>26202</v>
      </c>
      <c r="F3302">
        <v>1</v>
      </c>
      <c r="G3302">
        <v>1607314</v>
      </c>
      <c r="H3302" t="s">
        <v>26203</v>
      </c>
      <c r="J3302" s="54" t="s">
        <v>6052</v>
      </c>
      <c r="K3302" s="54">
        <v>0</v>
      </c>
      <c r="L3302" s="22" t="s">
        <v>34</v>
      </c>
      <c r="M3302" s="22" t="s">
        <v>37049</v>
      </c>
    </row>
    <row r="3303" spans="1:13" x14ac:dyDescent="0.75">
      <c r="A3303" t="s">
        <v>8570</v>
      </c>
      <c r="B3303" t="s">
        <v>8571</v>
      </c>
      <c r="C3303" t="s">
        <v>8572</v>
      </c>
      <c r="D3303" t="s">
        <v>8573</v>
      </c>
      <c r="E3303" t="s">
        <v>8574</v>
      </c>
      <c r="F3303">
        <v>163</v>
      </c>
      <c r="G3303">
        <v>1600513</v>
      </c>
      <c r="H3303" t="s">
        <v>8575</v>
      </c>
      <c r="J3303" s="54" t="s">
        <v>6052</v>
      </c>
      <c r="K3303" s="54">
        <v>0</v>
      </c>
      <c r="L3303" s="22" t="s">
        <v>34</v>
      </c>
      <c r="M3303" s="22" t="s">
        <v>37049</v>
      </c>
    </row>
    <row r="3304" spans="1:13" x14ac:dyDescent="0.75">
      <c r="A3304" t="s">
        <v>27204</v>
      </c>
      <c r="B3304" t="s">
        <v>8571</v>
      </c>
      <c r="C3304" t="s">
        <v>8572</v>
      </c>
      <c r="D3304" t="s">
        <v>8573</v>
      </c>
      <c r="E3304" t="s">
        <v>27205</v>
      </c>
      <c r="F3304">
        <v>1</v>
      </c>
      <c r="G3304">
        <v>1667712</v>
      </c>
      <c r="H3304" t="s">
        <v>27206</v>
      </c>
      <c r="J3304" s="54" t="s">
        <v>6052</v>
      </c>
      <c r="K3304" s="54">
        <v>0</v>
      </c>
      <c r="L3304" s="22" t="s">
        <v>34</v>
      </c>
      <c r="M3304" s="22" t="s">
        <v>37049</v>
      </c>
    </row>
    <row r="3305" spans="1:13" x14ac:dyDescent="0.75">
      <c r="A3305" t="s">
        <v>22990</v>
      </c>
      <c r="B3305" t="s">
        <v>8571</v>
      </c>
      <c r="C3305" t="s">
        <v>8572</v>
      </c>
      <c r="D3305" t="s">
        <v>8573</v>
      </c>
      <c r="E3305" t="s">
        <v>22991</v>
      </c>
      <c r="F3305">
        <v>1</v>
      </c>
      <c r="G3305">
        <v>1622213</v>
      </c>
      <c r="H3305" t="s">
        <v>22992</v>
      </c>
      <c r="J3305" s="54" t="s">
        <v>6052</v>
      </c>
      <c r="K3305" s="54">
        <v>0</v>
      </c>
      <c r="L3305" s="22" t="s">
        <v>34</v>
      </c>
      <c r="M3305" s="22" t="s">
        <v>37049</v>
      </c>
    </row>
    <row r="3306" spans="1:13" x14ac:dyDescent="0.75">
      <c r="A3306" t="s">
        <v>19019</v>
      </c>
      <c r="B3306" t="s">
        <v>8571</v>
      </c>
      <c r="C3306" t="s">
        <v>8572</v>
      </c>
      <c r="D3306" t="s">
        <v>8573</v>
      </c>
      <c r="E3306" t="s">
        <v>19020</v>
      </c>
      <c r="F3306">
        <v>153</v>
      </c>
      <c r="G3306">
        <v>1560746</v>
      </c>
      <c r="H3306" t="s">
        <v>19021</v>
      </c>
      <c r="J3306" s="54" t="s">
        <v>6052</v>
      </c>
      <c r="K3306" s="54">
        <v>0</v>
      </c>
      <c r="L3306" s="22" t="s">
        <v>34</v>
      </c>
      <c r="M3306" s="22" t="s">
        <v>37049</v>
      </c>
    </row>
    <row r="3307" spans="1:13" x14ac:dyDescent="0.75">
      <c r="A3307" t="s">
        <v>27780</v>
      </c>
      <c r="B3307" t="s">
        <v>8571</v>
      </c>
      <c r="C3307" t="s">
        <v>8572</v>
      </c>
      <c r="D3307" t="s">
        <v>8573</v>
      </c>
      <c r="E3307" t="s">
        <v>27781</v>
      </c>
      <c r="F3307">
        <v>1</v>
      </c>
      <c r="G3307">
        <v>1680937</v>
      </c>
      <c r="H3307" t="s">
        <v>27782</v>
      </c>
      <c r="J3307" s="54" t="s">
        <v>6052</v>
      </c>
      <c r="K3307" s="54">
        <v>0</v>
      </c>
      <c r="L3307" s="22" t="s">
        <v>34</v>
      </c>
      <c r="M3307" s="22" t="s">
        <v>37049</v>
      </c>
    </row>
    <row r="3308" spans="1:13" x14ac:dyDescent="0.75">
      <c r="A3308" t="s">
        <v>20245</v>
      </c>
      <c r="B3308" t="s">
        <v>8571</v>
      </c>
      <c r="C3308" t="s">
        <v>8572</v>
      </c>
      <c r="D3308" t="s">
        <v>8573</v>
      </c>
      <c r="E3308" t="s">
        <v>20246</v>
      </c>
      <c r="F3308">
        <v>1</v>
      </c>
      <c r="G3308">
        <v>1630535</v>
      </c>
      <c r="H3308" t="s">
        <v>20247</v>
      </c>
      <c r="J3308" s="54" t="s">
        <v>6052</v>
      </c>
      <c r="K3308" s="54">
        <v>0</v>
      </c>
      <c r="L3308" s="22" t="s">
        <v>34</v>
      </c>
      <c r="M3308" s="22" t="s">
        <v>37049</v>
      </c>
    </row>
    <row r="3309" spans="1:13" x14ac:dyDescent="0.75">
      <c r="A3309" t="s">
        <v>8672</v>
      </c>
      <c r="B3309" t="s">
        <v>8571</v>
      </c>
      <c r="C3309" t="s">
        <v>8572</v>
      </c>
      <c r="D3309" t="s">
        <v>8573</v>
      </c>
      <c r="E3309" t="s">
        <v>8673</v>
      </c>
      <c r="F3309">
        <v>1</v>
      </c>
      <c r="G3309">
        <v>1663456</v>
      </c>
      <c r="H3309" t="s">
        <v>8674</v>
      </c>
      <c r="J3309" s="54" t="s">
        <v>6052</v>
      </c>
      <c r="K3309" s="54">
        <v>0</v>
      </c>
      <c r="L3309" s="22" t="s">
        <v>34</v>
      </c>
      <c r="M3309" s="22" t="s">
        <v>37049</v>
      </c>
    </row>
    <row r="3310" spans="1:13" x14ac:dyDescent="0.75">
      <c r="A3310" t="s">
        <v>19803</v>
      </c>
      <c r="B3310" t="s">
        <v>10449</v>
      </c>
      <c r="C3310" t="s">
        <v>10450</v>
      </c>
      <c r="D3310" t="s">
        <v>10451</v>
      </c>
      <c r="E3310" t="s">
        <v>19804</v>
      </c>
      <c r="F3310">
        <v>20</v>
      </c>
      <c r="G3310">
        <v>2602651</v>
      </c>
      <c r="H3310" t="s">
        <v>19805</v>
      </c>
      <c r="J3310" s="54" t="s">
        <v>6052</v>
      </c>
      <c r="K3310" s="54">
        <v>0</v>
      </c>
      <c r="L3310" s="22" t="s">
        <v>34</v>
      </c>
      <c r="M3310" s="22" t="s">
        <v>37050</v>
      </c>
    </row>
    <row r="3311" spans="1:13" x14ac:dyDescent="0.75">
      <c r="A3311" t="s">
        <v>10448</v>
      </c>
      <c r="B3311" t="s">
        <v>10449</v>
      </c>
      <c r="C3311" t="s">
        <v>10450</v>
      </c>
      <c r="D3311" t="s">
        <v>10451</v>
      </c>
      <c r="E3311" t="s">
        <v>10452</v>
      </c>
      <c r="F3311">
        <v>2</v>
      </c>
      <c r="G3311">
        <v>2968500</v>
      </c>
      <c r="H3311" t="s">
        <v>10453</v>
      </c>
      <c r="J3311" s="54" t="s">
        <v>6052</v>
      </c>
      <c r="K3311" s="54">
        <v>0</v>
      </c>
      <c r="L3311" s="22" t="s">
        <v>34</v>
      </c>
      <c r="M3311" s="22" t="s">
        <v>37050</v>
      </c>
    </row>
    <row r="3312" spans="1:13" x14ac:dyDescent="0.75">
      <c r="A3312" t="s">
        <v>15575</v>
      </c>
      <c r="B3312" t="s">
        <v>10449</v>
      </c>
      <c r="C3312" t="s">
        <v>10450</v>
      </c>
      <c r="D3312" t="s">
        <v>10451</v>
      </c>
      <c r="E3312" t="s">
        <v>15576</v>
      </c>
      <c r="F3312">
        <v>41</v>
      </c>
      <c r="G3312">
        <v>2897972</v>
      </c>
      <c r="H3312" t="s">
        <v>15577</v>
      </c>
      <c r="J3312" s="54" t="s">
        <v>6052</v>
      </c>
      <c r="K3312" s="54">
        <v>0</v>
      </c>
      <c r="L3312" s="22" t="s">
        <v>34</v>
      </c>
      <c r="M3312" s="22" t="s">
        <v>37050</v>
      </c>
    </row>
    <row r="3313" spans="1:13" x14ac:dyDescent="0.75">
      <c r="A3313" t="s">
        <v>24866</v>
      </c>
      <c r="B3313" t="s">
        <v>10449</v>
      </c>
      <c r="C3313" t="s">
        <v>10450</v>
      </c>
      <c r="D3313" t="s">
        <v>10451</v>
      </c>
      <c r="E3313" t="s">
        <v>24867</v>
      </c>
      <c r="F3313">
        <v>32</v>
      </c>
      <c r="G3313">
        <v>3097113</v>
      </c>
      <c r="H3313" t="s">
        <v>24868</v>
      </c>
      <c r="J3313" s="54" t="s">
        <v>6052</v>
      </c>
      <c r="K3313" s="54">
        <v>0</v>
      </c>
      <c r="L3313" s="22" t="s">
        <v>34</v>
      </c>
      <c r="M3313" s="22" t="s">
        <v>37050</v>
      </c>
    </row>
    <row r="3314" spans="1:13" x14ac:dyDescent="0.75">
      <c r="A3314" t="s">
        <v>24863</v>
      </c>
      <c r="B3314" t="s">
        <v>10449</v>
      </c>
      <c r="C3314" t="s">
        <v>10450</v>
      </c>
      <c r="D3314" t="s">
        <v>10451</v>
      </c>
      <c r="E3314" t="s">
        <v>24864</v>
      </c>
      <c r="F3314">
        <v>31</v>
      </c>
      <c r="G3314">
        <v>3146046</v>
      </c>
      <c r="H3314" t="s">
        <v>24865</v>
      </c>
      <c r="J3314" s="54" t="s">
        <v>6052</v>
      </c>
      <c r="K3314" s="54">
        <v>0</v>
      </c>
      <c r="L3314" s="22" t="s">
        <v>34</v>
      </c>
      <c r="M3314" s="22" t="s">
        <v>37050</v>
      </c>
    </row>
    <row r="3315" spans="1:13" x14ac:dyDescent="0.75">
      <c r="A3315" t="s">
        <v>19806</v>
      </c>
      <c r="B3315" t="s">
        <v>10449</v>
      </c>
      <c r="C3315" t="s">
        <v>10450</v>
      </c>
      <c r="D3315" t="s">
        <v>10451</v>
      </c>
      <c r="E3315" t="s">
        <v>19807</v>
      </c>
      <c r="F3315">
        <v>31</v>
      </c>
      <c r="G3315">
        <v>3146046</v>
      </c>
      <c r="H3315" t="s">
        <v>19808</v>
      </c>
      <c r="J3315" s="54" t="s">
        <v>6052</v>
      </c>
      <c r="K3315" s="54">
        <v>0</v>
      </c>
      <c r="L3315" s="22" t="s">
        <v>34</v>
      </c>
      <c r="M3315" s="22" t="s">
        <v>37050</v>
      </c>
    </row>
    <row r="3316" spans="1:13" x14ac:dyDescent="0.75">
      <c r="A3316" t="s">
        <v>16795</v>
      </c>
      <c r="B3316" t="s">
        <v>10449</v>
      </c>
      <c r="C3316" t="s">
        <v>10450</v>
      </c>
      <c r="D3316" t="s">
        <v>10451</v>
      </c>
      <c r="E3316" t="s">
        <v>16796</v>
      </c>
      <c r="F3316">
        <v>7</v>
      </c>
      <c r="G3316">
        <v>2707502</v>
      </c>
      <c r="H3316" t="s">
        <v>16797</v>
      </c>
      <c r="J3316" s="54" t="s">
        <v>6052</v>
      </c>
      <c r="K3316" s="54">
        <v>0</v>
      </c>
      <c r="L3316" s="22" t="s">
        <v>34</v>
      </c>
      <c r="M3316" s="22" t="s">
        <v>37050</v>
      </c>
    </row>
    <row r="3317" spans="1:13" x14ac:dyDescent="0.75">
      <c r="A3317" t="s">
        <v>28340</v>
      </c>
      <c r="B3317" t="s">
        <v>10449</v>
      </c>
      <c r="C3317" t="s">
        <v>10450</v>
      </c>
      <c r="D3317" t="s">
        <v>10451</v>
      </c>
      <c r="E3317" t="s">
        <v>28341</v>
      </c>
      <c r="F3317">
        <v>2</v>
      </c>
      <c r="G3317">
        <v>2968500</v>
      </c>
      <c r="H3317" t="s">
        <v>28342</v>
      </c>
      <c r="J3317" s="54" t="s">
        <v>6052</v>
      </c>
      <c r="K3317" s="54">
        <v>0</v>
      </c>
      <c r="L3317" s="22" t="s">
        <v>34</v>
      </c>
      <c r="M3317" s="22" t="s">
        <v>37050</v>
      </c>
    </row>
    <row r="3318" spans="1:13" x14ac:dyDescent="0.75">
      <c r="A3318" t="s">
        <v>24203</v>
      </c>
      <c r="B3318" t="s">
        <v>10449</v>
      </c>
      <c r="C3318" t="s">
        <v>10450</v>
      </c>
      <c r="D3318" t="s">
        <v>10451</v>
      </c>
      <c r="E3318" t="s">
        <v>24204</v>
      </c>
      <c r="F3318">
        <v>39</v>
      </c>
      <c r="G3318">
        <v>2965035</v>
      </c>
      <c r="H3318" t="s">
        <v>24205</v>
      </c>
      <c r="J3318" s="54" t="s">
        <v>6052</v>
      </c>
      <c r="K3318" s="54">
        <v>0</v>
      </c>
      <c r="L3318" s="22" t="s">
        <v>34</v>
      </c>
      <c r="M3318" s="22" t="s">
        <v>37050</v>
      </c>
    </row>
    <row r="3319" spans="1:13" x14ac:dyDescent="0.75">
      <c r="A3319" t="s">
        <v>2192</v>
      </c>
      <c r="B3319" t="s">
        <v>1794</v>
      </c>
      <c r="C3319" t="s">
        <v>6425</v>
      </c>
      <c r="D3319" t="s">
        <v>13824</v>
      </c>
      <c r="E3319" t="s">
        <v>15959</v>
      </c>
      <c r="F3319">
        <v>138</v>
      </c>
      <c r="G3319">
        <v>1129771</v>
      </c>
      <c r="H3319" t="s">
        <v>15960</v>
      </c>
      <c r="J3319" s="54" t="s">
        <v>15959</v>
      </c>
      <c r="K3319" s="54">
        <v>1</v>
      </c>
      <c r="L3319" s="22" t="s">
        <v>104</v>
      </c>
      <c r="M3319" s="22" t="s">
        <v>36833</v>
      </c>
    </row>
    <row r="3320" spans="1:13" x14ac:dyDescent="0.75">
      <c r="A3320" t="s">
        <v>1553</v>
      </c>
      <c r="B3320" t="s">
        <v>1554</v>
      </c>
      <c r="C3320" t="s">
        <v>6425</v>
      </c>
      <c r="D3320" t="s">
        <v>11923</v>
      </c>
      <c r="E3320" t="s">
        <v>11924</v>
      </c>
      <c r="F3320">
        <v>1</v>
      </c>
      <c r="G3320">
        <v>2194935</v>
      </c>
      <c r="H3320" t="s">
        <v>11925</v>
      </c>
      <c r="J3320" s="54" t="s">
        <v>11924</v>
      </c>
      <c r="K3320" s="54">
        <v>1</v>
      </c>
      <c r="L3320" s="22" t="s">
        <v>104</v>
      </c>
      <c r="M3320" s="22" t="s">
        <v>36836</v>
      </c>
    </row>
    <row r="3321" spans="1:13" x14ac:dyDescent="0.75">
      <c r="A3321" t="s">
        <v>1067</v>
      </c>
      <c r="B3321" t="s">
        <v>1068</v>
      </c>
      <c r="C3321" t="s">
        <v>6425</v>
      </c>
      <c r="D3321" t="s">
        <v>9838</v>
      </c>
      <c r="E3321" t="s">
        <v>9839</v>
      </c>
      <c r="F3321">
        <v>180</v>
      </c>
      <c r="G3321">
        <v>2415750</v>
      </c>
      <c r="H3321" t="s">
        <v>9840</v>
      </c>
      <c r="J3321" s="54" t="s">
        <v>9839</v>
      </c>
      <c r="K3321" s="54">
        <v>1</v>
      </c>
      <c r="L3321" s="22" t="s">
        <v>104</v>
      </c>
      <c r="M3321" s="22" t="s">
        <v>36834</v>
      </c>
    </row>
    <row r="3322" spans="1:13" x14ac:dyDescent="0.75">
      <c r="A3322" t="s">
        <v>1525</v>
      </c>
      <c r="B3322" t="s">
        <v>873</v>
      </c>
      <c r="C3322" t="s">
        <v>6425</v>
      </c>
      <c r="D3322" t="s">
        <v>9328</v>
      </c>
      <c r="E3322" t="s">
        <v>11876</v>
      </c>
      <c r="F3322">
        <v>180</v>
      </c>
      <c r="G3322">
        <v>2377589</v>
      </c>
      <c r="H3322" t="s">
        <v>11877</v>
      </c>
      <c r="J3322" s="54" t="s">
        <v>11876</v>
      </c>
      <c r="K3322" s="54">
        <v>2</v>
      </c>
      <c r="L3322" s="22" t="s">
        <v>104</v>
      </c>
      <c r="M3322" s="22" t="s">
        <v>874</v>
      </c>
    </row>
    <row r="3323" spans="1:13" x14ac:dyDescent="0.75">
      <c r="A3323" t="s">
        <v>2389</v>
      </c>
      <c r="B3323" t="s">
        <v>873</v>
      </c>
      <c r="C3323" t="s">
        <v>6425</v>
      </c>
      <c r="D3323" t="s">
        <v>9328</v>
      </c>
      <c r="E3323" t="s">
        <v>17187</v>
      </c>
      <c r="F3323">
        <v>1</v>
      </c>
      <c r="G3323">
        <v>2361227</v>
      </c>
      <c r="H3323" t="s">
        <v>17188</v>
      </c>
      <c r="J3323" s="54" t="s">
        <v>17187</v>
      </c>
      <c r="K3323" s="54">
        <v>2</v>
      </c>
      <c r="L3323" s="22" t="s">
        <v>104</v>
      </c>
      <c r="M3323" s="22" t="s">
        <v>874</v>
      </c>
    </row>
    <row r="3324" spans="1:13" x14ac:dyDescent="0.75">
      <c r="A3324" t="s">
        <v>2398</v>
      </c>
      <c r="B3324" t="s">
        <v>873</v>
      </c>
      <c r="C3324" t="s">
        <v>6425</v>
      </c>
      <c r="D3324" t="s">
        <v>9328</v>
      </c>
      <c r="E3324" t="s">
        <v>17189</v>
      </c>
      <c r="F3324">
        <v>5</v>
      </c>
      <c r="G3324">
        <v>2490107</v>
      </c>
      <c r="H3324" t="s">
        <v>17190</v>
      </c>
      <c r="J3324" s="54" t="s">
        <v>17189</v>
      </c>
      <c r="K3324" s="54">
        <v>1</v>
      </c>
      <c r="L3324" s="22" t="s">
        <v>104</v>
      </c>
      <c r="M3324" s="22" t="s">
        <v>874</v>
      </c>
    </row>
    <row r="3325" spans="1:13" x14ac:dyDescent="0.75">
      <c r="A3325" t="s">
        <v>7247</v>
      </c>
      <c r="B3325" t="s">
        <v>1906</v>
      </c>
      <c r="C3325" t="s">
        <v>6634</v>
      </c>
      <c r="D3325" t="s">
        <v>6426</v>
      </c>
      <c r="E3325" t="s">
        <v>7248</v>
      </c>
      <c r="F3325">
        <v>118</v>
      </c>
      <c r="G3325">
        <v>3033961</v>
      </c>
      <c r="H3325" t="s">
        <v>7249</v>
      </c>
      <c r="J3325" s="54" t="s">
        <v>6052</v>
      </c>
      <c r="K3325" s="54">
        <v>0</v>
      </c>
      <c r="L3325" s="22" t="s">
        <v>1563</v>
      </c>
      <c r="M3325" s="22" t="s">
        <v>1907</v>
      </c>
    </row>
    <row r="3326" spans="1:13" x14ac:dyDescent="0.75">
      <c r="A3326" t="s">
        <v>4752</v>
      </c>
      <c r="B3326" t="s">
        <v>1906</v>
      </c>
      <c r="C3326" t="s">
        <v>6634</v>
      </c>
      <c r="D3326" t="s">
        <v>6426</v>
      </c>
      <c r="E3326" t="s">
        <v>7248</v>
      </c>
      <c r="F3326">
        <v>1</v>
      </c>
      <c r="G3326">
        <v>3307707</v>
      </c>
      <c r="H3326" t="s">
        <v>24091</v>
      </c>
      <c r="J3326" s="54" t="s">
        <v>6052</v>
      </c>
      <c r="K3326" s="54">
        <v>0</v>
      </c>
      <c r="L3326" s="22" t="s">
        <v>1563</v>
      </c>
      <c r="M3326" s="22" t="s">
        <v>1907</v>
      </c>
    </row>
    <row r="3327" spans="1:13" x14ac:dyDescent="0.75">
      <c r="A3327" t="s">
        <v>2421</v>
      </c>
      <c r="B3327" t="s">
        <v>873</v>
      </c>
      <c r="C3327" t="s">
        <v>6425</v>
      </c>
      <c r="D3327" t="s">
        <v>9328</v>
      </c>
      <c r="E3327" t="s">
        <v>17198</v>
      </c>
      <c r="F3327">
        <v>2</v>
      </c>
      <c r="G3327">
        <v>2337418</v>
      </c>
      <c r="H3327" t="s">
        <v>17199</v>
      </c>
      <c r="J3327" s="54" t="s">
        <v>17198</v>
      </c>
      <c r="K3327" s="54">
        <v>1</v>
      </c>
      <c r="L3327" s="22" t="s">
        <v>104</v>
      </c>
      <c r="M3327" s="22" t="s">
        <v>874</v>
      </c>
    </row>
    <row r="3328" spans="1:13" x14ac:dyDescent="0.75">
      <c r="A3328" t="s">
        <v>3986</v>
      </c>
      <c r="B3328" t="s">
        <v>1906</v>
      </c>
      <c r="C3328" t="s">
        <v>6634</v>
      </c>
      <c r="D3328" t="s">
        <v>6426</v>
      </c>
      <c r="E3328" t="s">
        <v>21775</v>
      </c>
      <c r="F3328">
        <v>163</v>
      </c>
      <c r="G3328">
        <v>3152030</v>
      </c>
      <c r="H3328" t="s">
        <v>21776</v>
      </c>
      <c r="J3328" s="54" t="s">
        <v>6052</v>
      </c>
      <c r="K3328" s="54">
        <v>0</v>
      </c>
      <c r="L3328" s="22" t="s">
        <v>1563</v>
      </c>
      <c r="M3328" s="22" t="s">
        <v>1907</v>
      </c>
    </row>
    <row r="3329" spans="1:13" x14ac:dyDescent="0.75">
      <c r="A3329" t="s">
        <v>10607</v>
      </c>
      <c r="B3329" t="s">
        <v>1906</v>
      </c>
      <c r="C3329" t="s">
        <v>6634</v>
      </c>
      <c r="D3329" t="s">
        <v>6426</v>
      </c>
      <c r="E3329" t="s">
        <v>10608</v>
      </c>
      <c r="F3329">
        <v>97</v>
      </c>
      <c r="G3329">
        <v>2954213</v>
      </c>
      <c r="H3329" t="s">
        <v>10609</v>
      </c>
      <c r="J3329" s="54" t="s">
        <v>6052</v>
      </c>
      <c r="K3329" s="54">
        <v>0</v>
      </c>
      <c r="L3329" s="22" t="s">
        <v>1563</v>
      </c>
      <c r="M3329" s="22" t="s">
        <v>1907</v>
      </c>
    </row>
    <row r="3330" spans="1:13" x14ac:dyDescent="0.75">
      <c r="A3330" t="s">
        <v>10615</v>
      </c>
      <c r="B3330" t="s">
        <v>1906</v>
      </c>
      <c r="C3330" t="s">
        <v>6634</v>
      </c>
      <c r="D3330" t="s">
        <v>6426</v>
      </c>
      <c r="E3330" t="s">
        <v>10616</v>
      </c>
      <c r="F3330">
        <v>102</v>
      </c>
      <c r="G3330">
        <v>2756480</v>
      </c>
      <c r="H3330" t="s">
        <v>10617</v>
      </c>
      <c r="J3330" s="54" t="s">
        <v>6052</v>
      </c>
      <c r="K3330" s="54">
        <v>0</v>
      </c>
      <c r="L3330" s="22" t="s">
        <v>1563</v>
      </c>
      <c r="M3330" s="22" t="s">
        <v>1907</v>
      </c>
    </row>
    <row r="3331" spans="1:13" x14ac:dyDescent="0.75">
      <c r="A3331" t="s">
        <v>1078</v>
      </c>
      <c r="B3331" t="s">
        <v>873</v>
      </c>
      <c r="C3331" t="s">
        <v>6425</v>
      </c>
      <c r="D3331" t="s">
        <v>9328</v>
      </c>
      <c r="E3331" t="s">
        <v>9841</v>
      </c>
      <c r="F3331">
        <v>115</v>
      </c>
      <c r="G3331">
        <v>2353455</v>
      </c>
      <c r="H3331" t="s">
        <v>9842</v>
      </c>
      <c r="J3331" s="54" t="s">
        <v>9841</v>
      </c>
      <c r="K3331" s="54">
        <v>1</v>
      </c>
      <c r="L3331" s="22" t="s">
        <v>104</v>
      </c>
      <c r="M3331" s="22" t="s">
        <v>874</v>
      </c>
    </row>
    <row r="3332" spans="1:13" x14ac:dyDescent="0.75">
      <c r="A3332" t="s">
        <v>872</v>
      </c>
      <c r="B3332" t="s">
        <v>873</v>
      </c>
      <c r="C3332" t="s">
        <v>6425</v>
      </c>
      <c r="D3332" t="s">
        <v>9328</v>
      </c>
      <c r="E3332" t="s">
        <v>9329</v>
      </c>
      <c r="F3332">
        <v>65</v>
      </c>
      <c r="G3332">
        <v>2316529</v>
      </c>
      <c r="H3332" t="s">
        <v>9330</v>
      </c>
      <c r="J3332" s="54" t="s">
        <v>9329</v>
      </c>
      <c r="K3332" s="54">
        <v>1</v>
      </c>
      <c r="L3332" s="22" t="s">
        <v>104</v>
      </c>
      <c r="M3332" s="22" t="s">
        <v>874</v>
      </c>
    </row>
    <row r="3333" spans="1:13" x14ac:dyDescent="0.75">
      <c r="A3333" t="s">
        <v>9757</v>
      </c>
      <c r="B3333" t="s">
        <v>6808</v>
      </c>
      <c r="C3333" t="s">
        <v>6201</v>
      </c>
      <c r="D3333" t="s">
        <v>6809</v>
      </c>
      <c r="E3333">
        <v>3872</v>
      </c>
      <c r="F3333">
        <v>2</v>
      </c>
      <c r="G3333">
        <v>2330492</v>
      </c>
      <c r="H3333" t="s">
        <v>9758</v>
      </c>
      <c r="J3333" s="54" t="s">
        <v>6052</v>
      </c>
      <c r="K3333" s="54">
        <v>0</v>
      </c>
      <c r="L3333" s="22" t="s">
        <v>104</v>
      </c>
      <c r="M3333" s="22" t="s">
        <v>37112</v>
      </c>
    </row>
    <row r="3334" spans="1:13" x14ac:dyDescent="0.75">
      <c r="A3334" t="s">
        <v>18057</v>
      </c>
      <c r="B3334" t="s">
        <v>6808</v>
      </c>
      <c r="C3334" t="s">
        <v>6201</v>
      </c>
      <c r="D3334" t="s">
        <v>6809</v>
      </c>
      <c r="E3334" t="s">
        <v>18058</v>
      </c>
      <c r="F3334">
        <v>1</v>
      </c>
      <c r="G3334">
        <v>1939032</v>
      </c>
      <c r="H3334" t="s">
        <v>18059</v>
      </c>
      <c r="J3334" s="54" t="s">
        <v>6052</v>
      </c>
      <c r="K3334" s="54">
        <v>0</v>
      </c>
      <c r="L3334" s="22" t="s">
        <v>104</v>
      </c>
      <c r="M3334" s="22" t="s">
        <v>37112</v>
      </c>
    </row>
    <row r="3335" spans="1:13" x14ac:dyDescent="0.75">
      <c r="A3335" t="s">
        <v>6807</v>
      </c>
      <c r="B3335" t="s">
        <v>6808</v>
      </c>
      <c r="C3335" t="s">
        <v>6201</v>
      </c>
      <c r="D3335" t="s">
        <v>6809</v>
      </c>
      <c r="E3335" t="s">
        <v>6810</v>
      </c>
      <c r="F3335">
        <v>145</v>
      </c>
      <c r="G3335">
        <v>1867005</v>
      </c>
      <c r="H3335" t="s">
        <v>6811</v>
      </c>
      <c r="J3335" s="54" t="s">
        <v>6052</v>
      </c>
      <c r="K3335" s="54">
        <v>0</v>
      </c>
      <c r="L3335" s="22" t="s">
        <v>104</v>
      </c>
      <c r="M3335" s="22" t="s">
        <v>37112</v>
      </c>
    </row>
    <row r="3336" spans="1:13" x14ac:dyDescent="0.75">
      <c r="A3336" t="s">
        <v>20121</v>
      </c>
      <c r="B3336" t="s">
        <v>6808</v>
      </c>
      <c r="C3336" t="s">
        <v>6201</v>
      </c>
      <c r="D3336" t="s">
        <v>6809</v>
      </c>
      <c r="E3336" t="s">
        <v>20122</v>
      </c>
      <c r="F3336">
        <v>1</v>
      </c>
      <c r="G3336">
        <v>2110953</v>
      </c>
      <c r="H3336" t="s">
        <v>20123</v>
      </c>
      <c r="J3336" s="54" t="s">
        <v>6052</v>
      </c>
      <c r="K3336" s="54">
        <v>0</v>
      </c>
      <c r="L3336" s="22" t="s">
        <v>104</v>
      </c>
      <c r="M3336" s="22" t="s">
        <v>37112</v>
      </c>
    </row>
    <row r="3337" spans="1:13" x14ac:dyDescent="0.75">
      <c r="A3337" t="s">
        <v>15193</v>
      </c>
      <c r="B3337" t="s">
        <v>6808</v>
      </c>
      <c r="C3337" t="s">
        <v>6201</v>
      </c>
      <c r="D3337" t="s">
        <v>6809</v>
      </c>
      <c r="E3337" t="s">
        <v>15194</v>
      </c>
      <c r="F3337">
        <v>1</v>
      </c>
      <c r="G3337">
        <v>2042277</v>
      </c>
      <c r="H3337" t="s">
        <v>15195</v>
      </c>
      <c r="J3337" s="54" t="s">
        <v>6052</v>
      </c>
      <c r="K3337" s="54">
        <v>0</v>
      </c>
      <c r="L3337" s="22" t="s">
        <v>104</v>
      </c>
      <c r="M3337" s="22" t="s">
        <v>37112</v>
      </c>
    </row>
    <row r="3338" spans="1:13" x14ac:dyDescent="0.75">
      <c r="A3338" t="s">
        <v>18728</v>
      </c>
      <c r="B3338" t="s">
        <v>6808</v>
      </c>
      <c r="C3338" t="s">
        <v>6201</v>
      </c>
      <c r="D3338" t="s">
        <v>6809</v>
      </c>
      <c r="E3338" t="s">
        <v>18729</v>
      </c>
      <c r="F3338">
        <v>21</v>
      </c>
      <c r="G3338">
        <v>1887974</v>
      </c>
      <c r="H3338" t="s">
        <v>18730</v>
      </c>
      <c r="J3338" s="54" t="s">
        <v>6052</v>
      </c>
      <c r="K3338" s="54">
        <v>0</v>
      </c>
      <c r="L3338" s="22" t="s">
        <v>104</v>
      </c>
      <c r="M3338" s="22" t="s">
        <v>37112</v>
      </c>
    </row>
    <row r="3339" spans="1:13" x14ac:dyDescent="0.75">
      <c r="A3339" t="s">
        <v>25032</v>
      </c>
      <c r="B3339" t="s">
        <v>6808</v>
      </c>
      <c r="C3339" t="s">
        <v>6201</v>
      </c>
      <c r="D3339" t="s">
        <v>6809</v>
      </c>
      <c r="E3339" t="s">
        <v>25033</v>
      </c>
      <c r="F3339">
        <v>1</v>
      </c>
      <c r="G3339">
        <v>2077616</v>
      </c>
      <c r="H3339" t="s">
        <v>25034</v>
      </c>
      <c r="J3339" s="54" t="s">
        <v>6052</v>
      </c>
      <c r="K3339" s="54">
        <v>0</v>
      </c>
      <c r="L3339" s="22" t="s">
        <v>104</v>
      </c>
      <c r="M3339" s="22" t="s">
        <v>37112</v>
      </c>
    </row>
    <row r="3340" spans="1:13" x14ac:dyDescent="0.75">
      <c r="A3340" t="s">
        <v>13669</v>
      </c>
      <c r="B3340" t="s">
        <v>6808</v>
      </c>
      <c r="C3340" t="s">
        <v>6201</v>
      </c>
      <c r="D3340" t="s">
        <v>6809</v>
      </c>
      <c r="E3340" t="s">
        <v>13670</v>
      </c>
      <c r="F3340">
        <v>1</v>
      </c>
      <c r="G3340">
        <v>2063606</v>
      </c>
      <c r="H3340" t="s">
        <v>13671</v>
      </c>
      <c r="J3340" s="54" t="s">
        <v>6052</v>
      </c>
      <c r="K3340" s="54">
        <v>0</v>
      </c>
      <c r="L3340" s="22" t="s">
        <v>104</v>
      </c>
      <c r="M3340" s="22" t="s">
        <v>37112</v>
      </c>
    </row>
    <row r="3341" spans="1:13" x14ac:dyDescent="0.75">
      <c r="A3341" t="s">
        <v>25106</v>
      </c>
      <c r="B3341" t="s">
        <v>6808</v>
      </c>
      <c r="C3341" t="s">
        <v>6201</v>
      </c>
      <c r="D3341" t="s">
        <v>6809</v>
      </c>
      <c r="E3341" t="s">
        <v>25107</v>
      </c>
      <c r="F3341">
        <v>112</v>
      </c>
      <c r="G3341">
        <v>1817617</v>
      </c>
      <c r="H3341" t="s">
        <v>25108</v>
      </c>
      <c r="J3341" s="54" t="s">
        <v>6052</v>
      </c>
      <c r="K3341" s="54">
        <v>0</v>
      </c>
      <c r="L3341" s="22" t="s">
        <v>104</v>
      </c>
      <c r="M3341" s="22" t="s">
        <v>37112</v>
      </c>
    </row>
    <row r="3342" spans="1:13" x14ac:dyDescent="0.75">
      <c r="A3342" t="s">
        <v>21082</v>
      </c>
      <c r="B3342" t="s">
        <v>6808</v>
      </c>
      <c r="C3342" t="s">
        <v>6201</v>
      </c>
      <c r="D3342" t="s">
        <v>6809</v>
      </c>
      <c r="E3342" t="s">
        <v>21083</v>
      </c>
      <c r="F3342">
        <v>1</v>
      </c>
      <c r="G3342">
        <v>2094354</v>
      </c>
      <c r="H3342" t="s">
        <v>21084</v>
      </c>
      <c r="J3342" s="54" t="s">
        <v>6052</v>
      </c>
      <c r="K3342" s="54">
        <v>0</v>
      </c>
      <c r="L3342" s="22" t="s">
        <v>104</v>
      </c>
      <c r="M3342" s="22" t="s">
        <v>37112</v>
      </c>
    </row>
    <row r="3343" spans="1:13" x14ac:dyDescent="0.75">
      <c r="A3343" t="s">
        <v>30584</v>
      </c>
      <c r="B3343" t="s">
        <v>7092</v>
      </c>
      <c r="C3343" t="s">
        <v>7093</v>
      </c>
      <c r="D3343" t="s">
        <v>7094</v>
      </c>
      <c r="E3343" t="s">
        <v>30585</v>
      </c>
      <c r="F3343">
        <v>8</v>
      </c>
      <c r="G3343">
        <v>1726712</v>
      </c>
      <c r="H3343" t="s">
        <v>30586</v>
      </c>
      <c r="J3343" s="54" t="s">
        <v>6052</v>
      </c>
      <c r="K3343" s="54">
        <v>0</v>
      </c>
      <c r="L3343" s="22" t="s">
        <v>104</v>
      </c>
      <c r="M3343" s="22" t="s">
        <v>37121</v>
      </c>
    </row>
    <row r="3344" spans="1:13" x14ac:dyDescent="0.75">
      <c r="A3344" t="s">
        <v>28740</v>
      </c>
      <c r="B3344" t="s">
        <v>7092</v>
      </c>
      <c r="C3344" t="s">
        <v>7093</v>
      </c>
      <c r="D3344" t="s">
        <v>7094</v>
      </c>
      <c r="E3344" t="s">
        <v>28741</v>
      </c>
      <c r="F3344">
        <v>36</v>
      </c>
      <c r="G3344">
        <v>1906698</v>
      </c>
      <c r="H3344" t="s">
        <v>28742</v>
      </c>
      <c r="J3344" s="54" t="s">
        <v>6052</v>
      </c>
      <c r="K3344" s="54">
        <v>0</v>
      </c>
      <c r="L3344" s="22" t="s">
        <v>104</v>
      </c>
      <c r="M3344" s="22" t="s">
        <v>37121</v>
      </c>
    </row>
    <row r="3345" spans="1:13" x14ac:dyDescent="0.75">
      <c r="A3345" t="s">
        <v>3995</v>
      </c>
      <c r="B3345" t="s">
        <v>1906</v>
      </c>
      <c r="C3345" t="s">
        <v>6634</v>
      </c>
      <c r="D3345" t="s">
        <v>6426</v>
      </c>
      <c r="E3345" t="s">
        <v>21843</v>
      </c>
      <c r="F3345">
        <v>1</v>
      </c>
      <c r="G3345">
        <v>3308411</v>
      </c>
      <c r="H3345" t="s">
        <v>21844</v>
      </c>
      <c r="J3345" s="54" t="s">
        <v>6052</v>
      </c>
      <c r="K3345" s="54">
        <v>0</v>
      </c>
      <c r="L3345" s="22" t="s">
        <v>1563</v>
      </c>
      <c r="M3345" s="22" t="s">
        <v>1907</v>
      </c>
    </row>
    <row r="3346" spans="1:13" x14ac:dyDescent="0.75">
      <c r="A3346" t="s">
        <v>29870</v>
      </c>
      <c r="B3346" t="s">
        <v>7092</v>
      </c>
      <c r="C3346" t="s">
        <v>7093</v>
      </c>
      <c r="D3346" t="s">
        <v>7094</v>
      </c>
      <c r="E3346" t="s">
        <v>29871</v>
      </c>
      <c r="F3346">
        <v>22</v>
      </c>
      <c r="G3346">
        <v>1691667</v>
      </c>
      <c r="H3346" t="s">
        <v>29872</v>
      </c>
      <c r="J3346" s="54" t="s">
        <v>6052</v>
      </c>
      <c r="K3346" s="54">
        <v>0</v>
      </c>
      <c r="L3346" s="22" t="s">
        <v>104</v>
      </c>
      <c r="M3346" s="22" t="s">
        <v>37121</v>
      </c>
    </row>
    <row r="3347" spans="1:13" x14ac:dyDescent="0.75">
      <c r="A3347" t="s">
        <v>7091</v>
      </c>
      <c r="B3347" t="s">
        <v>7092</v>
      </c>
      <c r="C3347" t="s">
        <v>7093</v>
      </c>
      <c r="D3347" t="s">
        <v>7094</v>
      </c>
      <c r="E3347" t="s">
        <v>7095</v>
      </c>
      <c r="F3347">
        <v>49</v>
      </c>
      <c r="G3347">
        <v>1765528</v>
      </c>
      <c r="H3347" t="s">
        <v>7096</v>
      </c>
      <c r="J3347" s="54" t="s">
        <v>6052</v>
      </c>
      <c r="K3347" s="54">
        <v>0</v>
      </c>
      <c r="L3347" s="22" t="s">
        <v>104</v>
      </c>
      <c r="M3347" s="22" t="s">
        <v>37121</v>
      </c>
    </row>
    <row r="3348" spans="1:13" x14ac:dyDescent="0.75">
      <c r="A3348" t="s">
        <v>19637</v>
      </c>
      <c r="B3348" t="s">
        <v>7092</v>
      </c>
      <c r="C3348" t="s">
        <v>7093</v>
      </c>
      <c r="D3348" t="s">
        <v>7094</v>
      </c>
      <c r="E3348" t="s">
        <v>19638</v>
      </c>
      <c r="F3348">
        <v>140</v>
      </c>
      <c r="G3348">
        <v>1617894</v>
      </c>
      <c r="H3348" t="s">
        <v>19639</v>
      </c>
      <c r="J3348" s="54" t="s">
        <v>6052</v>
      </c>
      <c r="K3348" s="54">
        <v>0</v>
      </c>
      <c r="L3348" s="22" t="s">
        <v>104</v>
      </c>
      <c r="M3348" s="22" t="s">
        <v>37121</v>
      </c>
    </row>
    <row r="3349" spans="1:13" x14ac:dyDescent="0.75">
      <c r="A3349" t="s">
        <v>19634</v>
      </c>
      <c r="B3349" t="s">
        <v>7092</v>
      </c>
      <c r="C3349" t="s">
        <v>7093</v>
      </c>
      <c r="D3349" t="s">
        <v>7094</v>
      </c>
      <c r="E3349" t="s">
        <v>19635</v>
      </c>
      <c r="F3349">
        <v>106</v>
      </c>
      <c r="G3349">
        <v>1515867</v>
      </c>
      <c r="H3349" t="s">
        <v>19636</v>
      </c>
      <c r="J3349" s="54" t="s">
        <v>6052</v>
      </c>
      <c r="K3349" s="54">
        <v>0</v>
      </c>
      <c r="L3349" s="22" t="s">
        <v>104</v>
      </c>
      <c r="M3349" s="22" t="s">
        <v>37121</v>
      </c>
    </row>
    <row r="3350" spans="1:13" x14ac:dyDescent="0.75">
      <c r="A3350" t="s">
        <v>19631</v>
      </c>
      <c r="B3350" t="s">
        <v>7092</v>
      </c>
      <c r="C3350" t="s">
        <v>7093</v>
      </c>
      <c r="D3350" t="s">
        <v>7094</v>
      </c>
      <c r="E3350" t="s">
        <v>19632</v>
      </c>
      <c r="F3350">
        <v>158</v>
      </c>
      <c r="G3350">
        <v>1613244</v>
      </c>
      <c r="H3350" t="s">
        <v>19633</v>
      </c>
      <c r="J3350" s="54" t="s">
        <v>6052</v>
      </c>
      <c r="K3350" s="54">
        <v>0</v>
      </c>
      <c r="L3350" s="22" t="s">
        <v>104</v>
      </c>
      <c r="M3350" s="22" t="s">
        <v>37121</v>
      </c>
    </row>
    <row r="3351" spans="1:13" x14ac:dyDescent="0.75">
      <c r="A3351" t="s">
        <v>19628</v>
      </c>
      <c r="B3351" t="s">
        <v>7092</v>
      </c>
      <c r="C3351" t="s">
        <v>7093</v>
      </c>
      <c r="D3351" t="s">
        <v>7094</v>
      </c>
      <c r="E3351" t="s">
        <v>19629</v>
      </c>
      <c r="F3351">
        <v>195</v>
      </c>
      <c r="G3351">
        <v>1535703</v>
      </c>
      <c r="H3351" t="s">
        <v>19630</v>
      </c>
      <c r="J3351" s="54" t="s">
        <v>6052</v>
      </c>
      <c r="K3351" s="54">
        <v>0</v>
      </c>
      <c r="L3351" s="22" t="s">
        <v>104</v>
      </c>
      <c r="M3351" s="22" t="s">
        <v>37121</v>
      </c>
    </row>
    <row r="3352" spans="1:13" x14ac:dyDescent="0.75">
      <c r="A3352" t="s">
        <v>19625</v>
      </c>
      <c r="B3352" t="s">
        <v>7092</v>
      </c>
      <c r="C3352" t="s">
        <v>7093</v>
      </c>
      <c r="D3352" t="s">
        <v>7094</v>
      </c>
      <c r="E3352" t="s">
        <v>19626</v>
      </c>
      <c r="F3352">
        <v>198</v>
      </c>
      <c r="G3352">
        <v>1557149</v>
      </c>
      <c r="H3352" t="s">
        <v>19627</v>
      </c>
      <c r="J3352" s="54" t="s">
        <v>6052</v>
      </c>
      <c r="K3352" s="54">
        <v>0</v>
      </c>
      <c r="L3352" s="22" t="s">
        <v>104</v>
      </c>
      <c r="M3352" s="22" t="s">
        <v>37121</v>
      </c>
    </row>
    <row r="3353" spans="1:13" x14ac:dyDescent="0.75">
      <c r="A3353" t="s">
        <v>20999</v>
      </c>
      <c r="B3353" t="s">
        <v>7092</v>
      </c>
      <c r="C3353" t="s">
        <v>7093</v>
      </c>
      <c r="D3353" t="s">
        <v>7094</v>
      </c>
      <c r="E3353" t="s">
        <v>21000</v>
      </c>
      <c r="F3353">
        <v>28</v>
      </c>
      <c r="G3353">
        <v>1707670</v>
      </c>
      <c r="H3353" t="s">
        <v>21001</v>
      </c>
      <c r="J3353" s="54" t="s">
        <v>6052</v>
      </c>
      <c r="K3353" s="54">
        <v>0</v>
      </c>
      <c r="L3353" s="22" t="s">
        <v>104</v>
      </c>
      <c r="M3353" s="22" t="s">
        <v>37121</v>
      </c>
    </row>
    <row r="3354" spans="1:13" x14ac:dyDescent="0.75">
      <c r="A3354" t="s">
        <v>20815</v>
      </c>
      <c r="B3354" t="s">
        <v>7092</v>
      </c>
      <c r="C3354" t="s">
        <v>7093</v>
      </c>
      <c r="D3354" t="s">
        <v>7094</v>
      </c>
      <c r="E3354" t="s">
        <v>20816</v>
      </c>
      <c r="F3354">
        <v>22</v>
      </c>
      <c r="G3354">
        <v>1654445</v>
      </c>
      <c r="H3354" t="s">
        <v>20817</v>
      </c>
      <c r="J3354" s="54" t="s">
        <v>6052</v>
      </c>
      <c r="K3354" s="54">
        <v>0</v>
      </c>
      <c r="L3354" s="22" t="s">
        <v>104</v>
      </c>
      <c r="M3354" s="22" t="s">
        <v>37121</v>
      </c>
    </row>
    <row r="3355" spans="1:13" x14ac:dyDescent="0.75">
      <c r="A3355" t="s">
        <v>28378</v>
      </c>
      <c r="B3355" t="s">
        <v>7092</v>
      </c>
      <c r="C3355" t="s">
        <v>7093</v>
      </c>
      <c r="D3355" t="s">
        <v>7094</v>
      </c>
      <c r="E3355" t="s">
        <v>28379</v>
      </c>
      <c r="F3355">
        <v>14</v>
      </c>
      <c r="G3355">
        <v>1684653</v>
      </c>
      <c r="H3355" t="s">
        <v>28380</v>
      </c>
      <c r="J3355" s="54" t="s">
        <v>6052</v>
      </c>
      <c r="K3355" s="54">
        <v>0</v>
      </c>
      <c r="L3355" s="22" t="s">
        <v>104</v>
      </c>
      <c r="M3355" s="22" t="s">
        <v>37121</v>
      </c>
    </row>
    <row r="3356" spans="1:13" x14ac:dyDescent="0.75">
      <c r="A3356" t="s">
        <v>29478</v>
      </c>
      <c r="B3356" t="s">
        <v>7092</v>
      </c>
      <c r="C3356" t="s">
        <v>7093</v>
      </c>
      <c r="D3356" t="s">
        <v>7094</v>
      </c>
      <c r="E3356" t="s">
        <v>29479</v>
      </c>
      <c r="F3356">
        <v>12</v>
      </c>
      <c r="G3356">
        <v>1670054</v>
      </c>
      <c r="H3356" t="s">
        <v>29480</v>
      </c>
      <c r="J3356" s="54" t="s">
        <v>6052</v>
      </c>
      <c r="K3356" s="54">
        <v>0</v>
      </c>
      <c r="L3356" s="22" t="s">
        <v>104</v>
      </c>
      <c r="M3356" s="22" t="s">
        <v>37121</v>
      </c>
    </row>
    <row r="3357" spans="1:13" x14ac:dyDescent="0.75">
      <c r="A3357" t="s">
        <v>30572</v>
      </c>
      <c r="B3357" t="s">
        <v>7092</v>
      </c>
      <c r="C3357" t="s">
        <v>7093</v>
      </c>
      <c r="D3357" t="s">
        <v>7094</v>
      </c>
      <c r="E3357" t="s">
        <v>30573</v>
      </c>
      <c r="F3357">
        <v>9</v>
      </c>
      <c r="G3357">
        <v>1696494</v>
      </c>
      <c r="H3357" t="s">
        <v>30574</v>
      </c>
      <c r="J3357" s="54" t="s">
        <v>6052</v>
      </c>
      <c r="K3357" s="54">
        <v>0</v>
      </c>
      <c r="L3357" s="22" t="s">
        <v>104</v>
      </c>
      <c r="M3357" s="22" t="s">
        <v>37121</v>
      </c>
    </row>
    <row r="3358" spans="1:13" x14ac:dyDescent="0.75">
      <c r="A3358" t="s">
        <v>29336</v>
      </c>
      <c r="B3358" t="s">
        <v>7092</v>
      </c>
      <c r="C3358" t="s">
        <v>7093</v>
      </c>
      <c r="D3358" t="s">
        <v>7094</v>
      </c>
      <c r="E3358" t="s">
        <v>29337</v>
      </c>
      <c r="F3358">
        <v>94</v>
      </c>
      <c r="G3358">
        <v>1614537</v>
      </c>
      <c r="H3358" t="s">
        <v>29338</v>
      </c>
      <c r="J3358" s="54" t="s">
        <v>6052</v>
      </c>
      <c r="K3358" s="54">
        <v>0</v>
      </c>
      <c r="L3358" s="22" t="s">
        <v>104</v>
      </c>
      <c r="M3358" s="22" t="s">
        <v>37121</v>
      </c>
    </row>
    <row r="3359" spans="1:13" x14ac:dyDescent="0.75">
      <c r="A3359" t="s">
        <v>29161</v>
      </c>
      <c r="B3359" t="s">
        <v>7092</v>
      </c>
      <c r="C3359" t="s">
        <v>7093</v>
      </c>
      <c r="D3359" t="s">
        <v>7094</v>
      </c>
      <c r="E3359" t="s">
        <v>29162</v>
      </c>
      <c r="F3359">
        <v>63</v>
      </c>
      <c r="G3359">
        <v>1611607</v>
      </c>
      <c r="H3359" t="s">
        <v>29163</v>
      </c>
      <c r="J3359" s="54" t="s">
        <v>6052</v>
      </c>
      <c r="K3359" s="54">
        <v>0</v>
      </c>
      <c r="L3359" s="22" t="s">
        <v>104</v>
      </c>
      <c r="M3359" s="22" t="s">
        <v>37121</v>
      </c>
    </row>
    <row r="3360" spans="1:13" x14ac:dyDescent="0.75">
      <c r="A3360" t="s">
        <v>9530</v>
      </c>
      <c r="B3360" t="s">
        <v>9531</v>
      </c>
      <c r="C3360" t="s">
        <v>9532</v>
      </c>
      <c r="D3360" t="s">
        <v>8428</v>
      </c>
      <c r="E3360" t="s">
        <v>9533</v>
      </c>
      <c r="F3360">
        <v>21</v>
      </c>
      <c r="G3360">
        <v>710549</v>
      </c>
      <c r="H3360" t="s">
        <v>9534</v>
      </c>
      <c r="J3360" s="54" t="s">
        <v>6052</v>
      </c>
      <c r="K3360" s="54">
        <v>0</v>
      </c>
      <c r="L3360" s="22" t="s">
        <v>104</v>
      </c>
      <c r="M3360" s="22" t="s">
        <v>37124</v>
      </c>
    </row>
    <row r="3361" spans="1:13" x14ac:dyDescent="0.75">
      <c r="A3361" t="s">
        <v>22265</v>
      </c>
      <c r="B3361" t="s">
        <v>10027</v>
      </c>
      <c r="C3361" t="s">
        <v>9532</v>
      </c>
      <c r="D3361" t="s">
        <v>10028</v>
      </c>
      <c r="E3361" t="s">
        <v>22266</v>
      </c>
      <c r="F3361">
        <v>7</v>
      </c>
      <c r="G3361">
        <v>718941</v>
      </c>
      <c r="H3361" t="s">
        <v>22267</v>
      </c>
      <c r="J3361" s="54" t="s">
        <v>6052</v>
      </c>
      <c r="K3361" s="54">
        <v>0</v>
      </c>
      <c r="L3361" s="22" t="s">
        <v>104</v>
      </c>
      <c r="M3361" s="22" t="s">
        <v>37123</v>
      </c>
    </row>
    <row r="3362" spans="1:13" x14ac:dyDescent="0.75">
      <c r="A3362" t="s">
        <v>5356</v>
      </c>
      <c r="B3362" t="s">
        <v>1906</v>
      </c>
      <c r="C3362" t="s">
        <v>6634</v>
      </c>
      <c r="D3362" t="s">
        <v>6426</v>
      </c>
      <c r="E3362" t="s">
        <v>28461</v>
      </c>
      <c r="F3362">
        <v>31</v>
      </c>
      <c r="G3362">
        <v>2818339</v>
      </c>
      <c r="H3362" t="s">
        <v>28462</v>
      </c>
      <c r="J3362" s="54" t="s">
        <v>6052</v>
      </c>
      <c r="K3362" s="54">
        <v>0</v>
      </c>
      <c r="L3362" s="22" t="s">
        <v>1563</v>
      </c>
      <c r="M3362" s="22" t="s">
        <v>1907</v>
      </c>
    </row>
    <row r="3363" spans="1:13" x14ac:dyDescent="0.75">
      <c r="A3363" t="s">
        <v>10026</v>
      </c>
      <c r="B3363" t="s">
        <v>10027</v>
      </c>
      <c r="C3363" t="s">
        <v>9532</v>
      </c>
      <c r="D3363" t="s">
        <v>10028</v>
      </c>
      <c r="E3363" t="s">
        <v>10029</v>
      </c>
      <c r="F3363">
        <v>17</v>
      </c>
      <c r="G3363">
        <v>713526</v>
      </c>
      <c r="H3363" t="s">
        <v>10030</v>
      </c>
      <c r="J3363" s="54" t="s">
        <v>6052</v>
      </c>
      <c r="K3363" s="54">
        <v>0</v>
      </c>
      <c r="L3363" s="22" t="s">
        <v>104</v>
      </c>
      <c r="M3363" s="22" t="s">
        <v>37123</v>
      </c>
    </row>
    <row r="3364" spans="1:13" x14ac:dyDescent="0.75">
      <c r="A3364" t="s">
        <v>28590</v>
      </c>
      <c r="B3364" t="s">
        <v>1906</v>
      </c>
      <c r="C3364" t="s">
        <v>6634</v>
      </c>
      <c r="D3364" t="s">
        <v>6426</v>
      </c>
      <c r="E3364" t="s">
        <v>28591</v>
      </c>
      <c r="F3364">
        <v>108</v>
      </c>
      <c r="G3364">
        <v>2540681</v>
      </c>
      <c r="H3364" t="s">
        <v>28592</v>
      </c>
      <c r="J3364" s="54" t="s">
        <v>6052</v>
      </c>
      <c r="K3364" s="54">
        <v>0</v>
      </c>
      <c r="L3364" s="22" t="s">
        <v>1563</v>
      </c>
      <c r="M3364" s="22" t="s">
        <v>1907</v>
      </c>
    </row>
    <row r="3365" spans="1:13" x14ac:dyDescent="0.75">
      <c r="A3365" t="s">
        <v>22268</v>
      </c>
      <c r="B3365" t="s">
        <v>10027</v>
      </c>
      <c r="C3365" t="s">
        <v>9532</v>
      </c>
      <c r="D3365" t="s">
        <v>10028</v>
      </c>
      <c r="E3365" t="s">
        <v>22269</v>
      </c>
      <c r="F3365">
        <v>6</v>
      </c>
      <c r="G3365">
        <v>718986</v>
      </c>
      <c r="H3365" t="s">
        <v>22270</v>
      </c>
      <c r="J3365" s="54" t="s">
        <v>6052</v>
      </c>
      <c r="K3365" s="54">
        <v>0</v>
      </c>
      <c r="L3365" s="22" t="s">
        <v>104</v>
      </c>
      <c r="M3365" s="22" t="s">
        <v>37123</v>
      </c>
    </row>
    <row r="3366" spans="1:13" x14ac:dyDescent="0.75">
      <c r="A3366" t="s">
        <v>22271</v>
      </c>
      <c r="B3366" t="s">
        <v>10027</v>
      </c>
      <c r="C3366" t="s">
        <v>9532</v>
      </c>
      <c r="D3366" t="s">
        <v>10028</v>
      </c>
      <c r="E3366" t="s">
        <v>22272</v>
      </c>
      <c r="F3366">
        <v>9</v>
      </c>
      <c r="G3366">
        <v>736914</v>
      </c>
      <c r="H3366" t="s">
        <v>22273</v>
      </c>
      <c r="J3366" s="54" t="s">
        <v>6052</v>
      </c>
      <c r="K3366" s="54">
        <v>0</v>
      </c>
      <c r="L3366" s="22" t="s">
        <v>104</v>
      </c>
      <c r="M3366" s="22" t="s">
        <v>37123</v>
      </c>
    </row>
    <row r="3367" spans="1:13" x14ac:dyDescent="0.75">
      <c r="A3367" t="s">
        <v>28054</v>
      </c>
      <c r="B3367" t="s">
        <v>10027</v>
      </c>
      <c r="C3367" t="s">
        <v>9532</v>
      </c>
      <c r="D3367" t="s">
        <v>10028</v>
      </c>
      <c r="E3367" t="s">
        <v>28055</v>
      </c>
      <c r="F3367">
        <v>1</v>
      </c>
      <c r="G3367">
        <v>728347</v>
      </c>
      <c r="H3367" t="s">
        <v>28056</v>
      </c>
      <c r="J3367" s="54" t="s">
        <v>6052</v>
      </c>
      <c r="K3367" s="54">
        <v>0</v>
      </c>
      <c r="L3367" s="22" t="s">
        <v>104</v>
      </c>
      <c r="M3367" s="22" t="s">
        <v>37123</v>
      </c>
    </row>
    <row r="3368" spans="1:13" x14ac:dyDescent="0.75">
      <c r="A3368" t="s">
        <v>12212</v>
      </c>
      <c r="B3368" t="s">
        <v>10215</v>
      </c>
      <c r="C3368" t="s">
        <v>10216</v>
      </c>
      <c r="D3368" t="s">
        <v>6535</v>
      </c>
      <c r="E3368" t="s">
        <v>12213</v>
      </c>
      <c r="F3368">
        <v>136</v>
      </c>
      <c r="G3368">
        <v>2140433</v>
      </c>
      <c r="H3368" t="s">
        <v>12214</v>
      </c>
      <c r="J3368" s="54" t="s">
        <v>6052</v>
      </c>
      <c r="K3368" s="54">
        <v>0</v>
      </c>
      <c r="L3368" s="22" t="s">
        <v>104</v>
      </c>
      <c r="M3368" s="22" t="s">
        <v>37126</v>
      </c>
    </row>
    <row r="3369" spans="1:13" x14ac:dyDescent="0.75">
      <c r="A3369" t="s">
        <v>10214</v>
      </c>
      <c r="B3369" t="s">
        <v>10215</v>
      </c>
      <c r="C3369" t="s">
        <v>10216</v>
      </c>
      <c r="D3369" t="s">
        <v>6535</v>
      </c>
      <c r="E3369" t="s">
        <v>10217</v>
      </c>
      <c r="F3369">
        <v>60</v>
      </c>
      <c r="G3369">
        <v>2107831</v>
      </c>
      <c r="H3369" t="s">
        <v>10218</v>
      </c>
      <c r="J3369" s="54" t="s">
        <v>6052</v>
      </c>
      <c r="K3369" s="54">
        <v>0</v>
      </c>
      <c r="L3369" s="22" t="s">
        <v>104</v>
      </c>
      <c r="M3369" s="22" t="s">
        <v>37126</v>
      </c>
    </row>
    <row r="3370" spans="1:13" x14ac:dyDescent="0.75">
      <c r="A3370" t="s">
        <v>27337</v>
      </c>
      <c r="B3370" t="s">
        <v>10215</v>
      </c>
      <c r="C3370" t="s">
        <v>10216</v>
      </c>
      <c r="D3370" t="s">
        <v>6535</v>
      </c>
      <c r="E3370" t="s">
        <v>27338</v>
      </c>
      <c r="F3370">
        <v>112</v>
      </c>
      <c r="G3370">
        <v>2124480</v>
      </c>
      <c r="H3370" t="s">
        <v>27339</v>
      </c>
      <c r="J3370" s="54" t="s">
        <v>6052</v>
      </c>
      <c r="K3370" s="54">
        <v>0</v>
      </c>
      <c r="L3370" s="22" t="s">
        <v>104</v>
      </c>
      <c r="M3370" s="22" t="s">
        <v>37126</v>
      </c>
    </row>
    <row r="3371" spans="1:13" x14ac:dyDescent="0.75">
      <c r="A3371" t="s">
        <v>28322</v>
      </c>
      <c r="B3371" t="s">
        <v>10215</v>
      </c>
      <c r="C3371" t="s">
        <v>10216</v>
      </c>
      <c r="D3371" t="s">
        <v>6535</v>
      </c>
      <c r="E3371" t="s">
        <v>28323</v>
      </c>
      <c r="F3371">
        <v>60</v>
      </c>
      <c r="G3371">
        <v>2083511</v>
      </c>
      <c r="H3371" t="s">
        <v>28324</v>
      </c>
      <c r="J3371" s="54" t="s">
        <v>6052</v>
      </c>
      <c r="K3371" s="54">
        <v>0</v>
      </c>
      <c r="L3371" s="22" t="s">
        <v>104</v>
      </c>
      <c r="M3371" s="22" t="s">
        <v>37126</v>
      </c>
    </row>
    <row r="3372" spans="1:13" x14ac:dyDescent="0.75">
      <c r="A3372" t="s">
        <v>29149</v>
      </c>
      <c r="B3372" t="s">
        <v>10215</v>
      </c>
      <c r="C3372" t="s">
        <v>10216</v>
      </c>
      <c r="D3372" t="s">
        <v>6535</v>
      </c>
      <c r="E3372" t="s">
        <v>29150</v>
      </c>
      <c r="F3372">
        <v>14</v>
      </c>
      <c r="G3372">
        <v>1953936</v>
      </c>
      <c r="H3372" t="s">
        <v>29151</v>
      </c>
      <c r="J3372" s="54" t="s">
        <v>6052</v>
      </c>
      <c r="K3372" s="54">
        <v>0</v>
      </c>
      <c r="L3372" s="22" t="s">
        <v>104</v>
      </c>
      <c r="M3372" s="22" t="s">
        <v>37126</v>
      </c>
    </row>
    <row r="3373" spans="1:13" x14ac:dyDescent="0.75">
      <c r="A3373" t="s">
        <v>29634</v>
      </c>
      <c r="B3373" t="s">
        <v>9855</v>
      </c>
      <c r="C3373" t="s">
        <v>6728</v>
      </c>
      <c r="D3373" t="s">
        <v>9856</v>
      </c>
      <c r="E3373" t="s">
        <v>29635</v>
      </c>
      <c r="F3373">
        <v>84</v>
      </c>
      <c r="G3373">
        <v>2443777</v>
      </c>
      <c r="H3373" t="s">
        <v>29636</v>
      </c>
      <c r="J3373" s="54" t="s">
        <v>6052</v>
      </c>
      <c r="K3373" s="54">
        <v>0</v>
      </c>
      <c r="L3373" s="22" t="s">
        <v>104</v>
      </c>
      <c r="M3373" s="22" t="s">
        <v>37132</v>
      </c>
    </row>
    <row r="3374" spans="1:13" x14ac:dyDescent="0.75">
      <c r="A3374" t="s">
        <v>29067</v>
      </c>
      <c r="B3374" t="s">
        <v>9855</v>
      </c>
      <c r="C3374" t="s">
        <v>6728</v>
      </c>
      <c r="D3374" t="s">
        <v>9856</v>
      </c>
      <c r="E3374" t="s">
        <v>29068</v>
      </c>
      <c r="F3374">
        <v>230</v>
      </c>
      <c r="G3374">
        <v>2128654</v>
      </c>
      <c r="H3374" t="s">
        <v>29069</v>
      </c>
      <c r="J3374" s="54" t="s">
        <v>6052</v>
      </c>
      <c r="K3374" s="54">
        <v>0</v>
      </c>
      <c r="L3374" s="22" t="s">
        <v>104</v>
      </c>
      <c r="M3374" s="22" t="s">
        <v>37132</v>
      </c>
    </row>
    <row r="3375" spans="1:13" x14ac:dyDescent="0.75">
      <c r="A3375" t="s">
        <v>9854</v>
      </c>
      <c r="B3375" t="s">
        <v>9855</v>
      </c>
      <c r="C3375" t="s">
        <v>6728</v>
      </c>
      <c r="D3375" t="s">
        <v>9856</v>
      </c>
      <c r="E3375" t="s">
        <v>9857</v>
      </c>
      <c r="F3375">
        <v>34</v>
      </c>
      <c r="G3375">
        <v>2313357</v>
      </c>
      <c r="H3375" t="s">
        <v>9858</v>
      </c>
      <c r="J3375" s="54" t="s">
        <v>6052</v>
      </c>
      <c r="K3375" s="54">
        <v>0</v>
      </c>
      <c r="L3375" s="22" t="s">
        <v>104</v>
      </c>
      <c r="M3375" s="22" t="s">
        <v>37132</v>
      </c>
    </row>
    <row r="3376" spans="1:13" x14ac:dyDescent="0.75">
      <c r="A3376" t="s">
        <v>1905</v>
      </c>
      <c r="B3376" t="s">
        <v>1906</v>
      </c>
      <c r="C3376" t="s">
        <v>6634</v>
      </c>
      <c r="D3376" t="s">
        <v>6426</v>
      </c>
      <c r="E3376" t="s">
        <v>14414</v>
      </c>
      <c r="F3376">
        <v>42</v>
      </c>
      <c r="G3376">
        <v>3231435</v>
      </c>
      <c r="H3376" t="s">
        <v>14415</v>
      </c>
      <c r="J3376" s="54" t="s">
        <v>6052</v>
      </c>
      <c r="K3376" s="54">
        <v>0</v>
      </c>
      <c r="L3376" s="22" t="s">
        <v>1563</v>
      </c>
      <c r="M3376" s="22" t="s">
        <v>1907</v>
      </c>
    </row>
    <row r="3377" spans="1:13" x14ac:dyDescent="0.75">
      <c r="A3377" t="s">
        <v>8559</v>
      </c>
      <c r="B3377" t="s">
        <v>8560</v>
      </c>
      <c r="C3377" t="s">
        <v>8561</v>
      </c>
      <c r="D3377" t="s">
        <v>8562</v>
      </c>
      <c r="E3377" t="s">
        <v>8563</v>
      </c>
      <c r="F3377">
        <v>1</v>
      </c>
      <c r="G3377">
        <v>3658997</v>
      </c>
      <c r="H3377" t="s">
        <v>8564</v>
      </c>
      <c r="J3377" s="54" t="s">
        <v>6052</v>
      </c>
      <c r="K3377" s="54">
        <v>0</v>
      </c>
      <c r="L3377" s="22" t="s">
        <v>686</v>
      </c>
      <c r="M3377" s="22" t="s">
        <v>37063</v>
      </c>
    </row>
    <row r="3378" spans="1:13" x14ac:dyDescent="0.75">
      <c r="A3378" t="s">
        <v>27278</v>
      </c>
      <c r="B3378" t="s">
        <v>1666</v>
      </c>
      <c r="C3378" t="s">
        <v>13143</v>
      </c>
      <c r="D3378" t="s">
        <v>13144</v>
      </c>
      <c r="E3378" t="s">
        <v>27279</v>
      </c>
      <c r="F3378">
        <v>30</v>
      </c>
      <c r="G3378">
        <v>3419539</v>
      </c>
      <c r="H3378" t="s">
        <v>27280</v>
      </c>
      <c r="J3378" s="54" t="s">
        <v>6052</v>
      </c>
      <c r="K3378" s="54">
        <v>0</v>
      </c>
      <c r="L3378" s="22" t="s">
        <v>144</v>
      </c>
      <c r="M3378" s="22" t="s">
        <v>1667</v>
      </c>
    </row>
    <row r="3379" spans="1:13" x14ac:dyDescent="0.75">
      <c r="A3379" t="s">
        <v>2899</v>
      </c>
      <c r="B3379" t="s">
        <v>1666</v>
      </c>
      <c r="C3379" t="s">
        <v>13143</v>
      </c>
      <c r="D3379" t="s">
        <v>13144</v>
      </c>
      <c r="E3379" t="s">
        <v>19051</v>
      </c>
      <c r="F3379">
        <v>1</v>
      </c>
      <c r="G3379">
        <v>3663756</v>
      </c>
      <c r="H3379" t="s">
        <v>19052</v>
      </c>
      <c r="J3379" s="54" t="s">
        <v>6052</v>
      </c>
      <c r="K3379" s="54">
        <v>0</v>
      </c>
      <c r="L3379" s="22" t="s">
        <v>144</v>
      </c>
      <c r="M3379" s="22" t="s">
        <v>1667</v>
      </c>
    </row>
    <row r="3380" spans="1:13" x14ac:dyDescent="0.75">
      <c r="A3380" t="s">
        <v>18880</v>
      </c>
      <c r="B3380" t="s">
        <v>1666</v>
      </c>
      <c r="C3380" t="s">
        <v>13143</v>
      </c>
      <c r="D3380" t="s">
        <v>13144</v>
      </c>
      <c r="E3380" t="s">
        <v>18881</v>
      </c>
      <c r="F3380">
        <v>1</v>
      </c>
      <c r="G3380">
        <v>3369845</v>
      </c>
      <c r="H3380" t="s">
        <v>18882</v>
      </c>
      <c r="J3380" s="54" t="s">
        <v>6052</v>
      </c>
      <c r="K3380" s="54">
        <v>0</v>
      </c>
      <c r="L3380" s="22" t="s">
        <v>144</v>
      </c>
      <c r="M3380" s="22" t="s">
        <v>1667</v>
      </c>
    </row>
    <row r="3381" spans="1:13" x14ac:dyDescent="0.75">
      <c r="A3381" t="s">
        <v>1665</v>
      </c>
      <c r="B3381" t="s">
        <v>1666</v>
      </c>
      <c r="C3381" t="s">
        <v>13143</v>
      </c>
      <c r="D3381" t="s">
        <v>13144</v>
      </c>
      <c r="E3381" t="s">
        <v>13145</v>
      </c>
      <c r="F3381">
        <v>1</v>
      </c>
      <c r="G3381">
        <v>3401189</v>
      </c>
      <c r="H3381" t="s">
        <v>13146</v>
      </c>
      <c r="J3381" s="54" t="s">
        <v>6052</v>
      </c>
      <c r="K3381" s="54">
        <v>0</v>
      </c>
      <c r="L3381" s="22" t="s">
        <v>144</v>
      </c>
      <c r="M3381" s="22" t="s">
        <v>1667</v>
      </c>
    </row>
    <row r="3382" spans="1:13" x14ac:dyDescent="0.75">
      <c r="A3382" t="s">
        <v>20077</v>
      </c>
      <c r="B3382" t="s">
        <v>9558</v>
      </c>
      <c r="C3382" t="s">
        <v>9559</v>
      </c>
      <c r="D3382" t="s">
        <v>9560</v>
      </c>
      <c r="E3382" t="s">
        <v>20078</v>
      </c>
      <c r="F3382">
        <v>1</v>
      </c>
      <c r="G3382">
        <v>2090457</v>
      </c>
      <c r="H3382" t="s">
        <v>20079</v>
      </c>
      <c r="J3382" s="54" t="s">
        <v>6052</v>
      </c>
      <c r="K3382" s="54">
        <v>0</v>
      </c>
      <c r="L3382" s="22" t="s">
        <v>1563</v>
      </c>
      <c r="M3382" s="22" t="s">
        <v>37064</v>
      </c>
    </row>
    <row r="3383" spans="1:13" x14ac:dyDescent="0.75">
      <c r="A3383" t="s">
        <v>9557</v>
      </c>
      <c r="B3383" t="s">
        <v>9558</v>
      </c>
      <c r="C3383" t="s">
        <v>9559</v>
      </c>
      <c r="D3383" t="s">
        <v>9560</v>
      </c>
      <c r="E3383" t="s">
        <v>9561</v>
      </c>
      <c r="F3383">
        <v>29</v>
      </c>
      <c r="G3383">
        <v>2109822</v>
      </c>
      <c r="H3383" t="s">
        <v>9562</v>
      </c>
      <c r="J3383" s="54" t="s">
        <v>6052</v>
      </c>
      <c r="K3383" s="54">
        <v>0</v>
      </c>
      <c r="L3383" s="22" t="s">
        <v>1563</v>
      </c>
      <c r="M3383" s="22" t="s">
        <v>37064</v>
      </c>
    </row>
    <row r="3384" spans="1:13" x14ac:dyDescent="0.75">
      <c r="A3384" t="s">
        <v>18120</v>
      </c>
      <c r="B3384" t="s">
        <v>9558</v>
      </c>
      <c r="C3384" t="s">
        <v>9559</v>
      </c>
      <c r="D3384" t="s">
        <v>9560</v>
      </c>
      <c r="E3384" t="s">
        <v>18121</v>
      </c>
      <c r="F3384">
        <v>34</v>
      </c>
      <c r="G3384">
        <v>2178643</v>
      </c>
      <c r="H3384" t="s">
        <v>18122</v>
      </c>
      <c r="J3384" s="54" t="s">
        <v>6052</v>
      </c>
      <c r="K3384" s="54">
        <v>0</v>
      </c>
      <c r="L3384" s="22" t="s">
        <v>1563</v>
      </c>
      <c r="M3384" s="22" t="s">
        <v>37064</v>
      </c>
    </row>
    <row r="3385" spans="1:13" x14ac:dyDescent="0.75">
      <c r="A3385" t="s">
        <v>30175</v>
      </c>
      <c r="B3385" t="s">
        <v>9558</v>
      </c>
      <c r="C3385" t="s">
        <v>9559</v>
      </c>
      <c r="D3385" t="s">
        <v>9560</v>
      </c>
      <c r="E3385" t="s">
        <v>30176</v>
      </c>
      <c r="F3385">
        <v>92</v>
      </c>
      <c r="G3385">
        <v>1976173</v>
      </c>
      <c r="H3385" t="s">
        <v>30177</v>
      </c>
      <c r="J3385" s="54" t="s">
        <v>6052</v>
      </c>
      <c r="K3385" s="54">
        <v>0</v>
      </c>
      <c r="L3385" s="22" t="s">
        <v>1563</v>
      </c>
      <c r="M3385" s="22" t="s">
        <v>37064</v>
      </c>
    </row>
    <row r="3386" spans="1:13" x14ac:dyDescent="0.75">
      <c r="A3386" t="s">
        <v>14729</v>
      </c>
      <c r="B3386" t="s">
        <v>14730</v>
      </c>
      <c r="C3386" t="s">
        <v>8834</v>
      </c>
      <c r="D3386" t="s">
        <v>14731</v>
      </c>
      <c r="E3386" t="s">
        <v>14732</v>
      </c>
      <c r="F3386">
        <v>1</v>
      </c>
      <c r="G3386">
        <v>1815831</v>
      </c>
      <c r="H3386" t="s">
        <v>14733</v>
      </c>
      <c r="J3386" s="54" t="s">
        <v>6052</v>
      </c>
      <c r="K3386" s="54">
        <v>0</v>
      </c>
      <c r="L3386" s="22" t="s">
        <v>104</v>
      </c>
      <c r="M3386" s="22" t="s">
        <v>37137</v>
      </c>
    </row>
    <row r="3387" spans="1:13" x14ac:dyDescent="0.75">
      <c r="A3387" t="s">
        <v>21322</v>
      </c>
      <c r="B3387" t="s">
        <v>14730</v>
      </c>
      <c r="C3387" t="s">
        <v>8834</v>
      </c>
      <c r="D3387" t="s">
        <v>14731</v>
      </c>
      <c r="E3387" t="s">
        <v>21323</v>
      </c>
      <c r="F3387">
        <v>86</v>
      </c>
      <c r="G3387">
        <v>1561857</v>
      </c>
      <c r="H3387" t="s">
        <v>21324</v>
      </c>
      <c r="J3387" s="54" t="s">
        <v>6052</v>
      </c>
      <c r="K3387" s="54">
        <v>0</v>
      </c>
      <c r="L3387" s="22" t="s">
        <v>104</v>
      </c>
      <c r="M3387" s="22" t="s">
        <v>37137</v>
      </c>
    </row>
    <row r="3388" spans="1:13" x14ac:dyDescent="0.75">
      <c r="A3388" t="s">
        <v>9829</v>
      </c>
      <c r="B3388" t="s">
        <v>6968</v>
      </c>
      <c r="C3388" t="s">
        <v>6969</v>
      </c>
      <c r="D3388" t="s">
        <v>6313</v>
      </c>
      <c r="E3388" t="s">
        <v>9830</v>
      </c>
      <c r="F3388">
        <v>29</v>
      </c>
      <c r="G3388">
        <v>1654274</v>
      </c>
      <c r="H3388" t="s">
        <v>9831</v>
      </c>
      <c r="J3388" s="54" t="s">
        <v>6052</v>
      </c>
      <c r="K3388" s="54">
        <v>0</v>
      </c>
      <c r="L3388" s="22" t="s">
        <v>1563</v>
      </c>
      <c r="M3388" s="22" t="s">
        <v>37066</v>
      </c>
    </row>
    <row r="3389" spans="1:13" x14ac:dyDescent="0.75">
      <c r="A3389" t="s">
        <v>8334</v>
      </c>
      <c r="B3389" t="s">
        <v>6968</v>
      </c>
      <c r="C3389" t="s">
        <v>6969</v>
      </c>
      <c r="D3389" t="s">
        <v>6313</v>
      </c>
      <c r="E3389" t="s">
        <v>8335</v>
      </c>
      <c r="F3389">
        <v>4</v>
      </c>
      <c r="G3389">
        <v>1675934</v>
      </c>
      <c r="H3389" t="s">
        <v>8336</v>
      </c>
      <c r="J3389" s="54" t="s">
        <v>6052</v>
      </c>
      <c r="K3389" s="54">
        <v>0</v>
      </c>
      <c r="L3389" s="22" t="s">
        <v>1563</v>
      </c>
      <c r="M3389" s="22" t="s">
        <v>37066</v>
      </c>
    </row>
    <row r="3390" spans="1:13" x14ac:dyDescent="0.75">
      <c r="A3390" t="s">
        <v>6967</v>
      </c>
      <c r="B3390" t="s">
        <v>6968</v>
      </c>
      <c r="C3390" t="s">
        <v>6969</v>
      </c>
      <c r="D3390" t="s">
        <v>6313</v>
      </c>
      <c r="E3390" t="s">
        <v>6970</v>
      </c>
      <c r="F3390">
        <v>37</v>
      </c>
      <c r="G3390">
        <v>1790058</v>
      </c>
      <c r="H3390" t="s">
        <v>6971</v>
      </c>
      <c r="J3390" s="54" t="s">
        <v>6052</v>
      </c>
      <c r="K3390" s="54">
        <v>0</v>
      </c>
      <c r="L3390" s="22" t="s">
        <v>1563</v>
      </c>
      <c r="M3390" s="22" t="s">
        <v>37066</v>
      </c>
    </row>
    <row r="3391" spans="1:13" x14ac:dyDescent="0.75">
      <c r="A3391" t="s">
        <v>28581</v>
      </c>
      <c r="B3391" t="s">
        <v>6968</v>
      </c>
      <c r="C3391" t="s">
        <v>6969</v>
      </c>
      <c r="D3391" t="s">
        <v>6313</v>
      </c>
      <c r="E3391" t="s">
        <v>28582</v>
      </c>
      <c r="F3391">
        <v>87</v>
      </c>
      <c r="G3391">
        <v>1614807</v>
      </c>
      <c r="H3391" t="s">
        <v>28583</v>
      </c>
      <c r="J3391" s="54" t="s">
        <v>6052</v>
      </c>
      <c r="K3391" s="54">
        <v>0</v>
      </c>
      <c r="L3391" s="22" t="s">
        <v>1563</v>
      </c>
      <c r="M3391" s="22" t="s">
        <v>37066</v>
      </c>
    </row>
    <row r="3392" spans="1:13" x14ac:dyDescent="0.75">
      <c r="A3392" t="s">
        <v>30427</v>
      </c>
      <c r="B3392" t="s">
        <v>6968</v>
      </c>
      <c r="C3392" t="s">
        <v>6969</v>
      </c>
      <c r="D3392" t="s">
        <v>6313</v>
      </c>
      <c r="E3392" t="s">
        <v>30428</v>
      </c>
      <c r="F3392">
        <v>51</v>
      </c>
      <c r="G3392">
        <v>1646710</v>
      </c>
      <c r="H3392" t="s">
        <v>30429</v>
      </c>
      <c r="J3392" s="54" t="s">
        <v>6052</v>
      </c>
      <c r="K3392" s="54">
        <v>0</v>
      </c>
      <c r="L3392" s="22" t="s">
        <v>1563</v>
      </c>
      <c r="M3392" s="22" t="s">
        <v>37066</v>
      </c>
    </row>
    <row r="3393" spans="1:13" x14ac:dyDescent="0.75">
      <c r="A3393" t="s">
        <v>29096</v>
      </c>
      <c r="B3393" t="s">
        <v>6968</v>
      </c>
      <c r="C3393" t="s">
        <v>6969</v>
      </c>
      <c r="D3393" t="s">
        <v>6313</v>
      </c>
      <c r="E3393" t="s">
        <v>29097</v>
      </c>
      <c r="F3393">
        <v>120</v>
      </c>
      <c r="G3393">
        <v>1598362</v>
      </c>
      <c r="H3393" t="s">
        <v>29098</v>
      </c>
      <c r="J3393" s="54" t="s">
        <v>6052</v>
      </c>
      <c r="K3393" s="54">
        <v>0</v>
      </c>
      <c r="L3393" s="22" t="s">
        <v>1563</v>
      </c>
      <c r="M3393" s="22" t="s">
        <v>37066</v>
      </c>
    </row>
    <row r="3394" spans="1:13" x14ac:dyDescent="0.75">
      <c r="A3394" t="s">
        <v>19622</v>
      </c>
      <c r="B3394" t="s">
        <v>14730</v>
      </c>
      <c r="C3394" t="s">
        <v>8834</v>
      </c>
      <c r="D3394" t="s">
        <v>14731</v>
      </c>
      <c r="E3394" t="s">
        <v>19623</v>
      </c>
      <c r="F3394">
        <v>82</v>
      </c>
      <c r="G3394">
        <v>1626275</v>
      </c>
      <c r="H3394" t="s">
        <v>19624</v>
      </c>
      <c r="J3394" s="54" t="s">
        <v>6052</v>
      </c>
      <c r="K3394" s="54">
        <v>0</v>
      </c>
      <c r="L3394" s="22" t="s">
        <v>104</v>
      </c>
      <c r="M3394" s="22" t="s">
        <v>37137</v>
      </c>
    </row>
    <row r="3395" spans="1:13" x14ac:dyDescent="0.75">
      <c r="A3395" t="s">
        <v>19619</v>
      </c>
      <c r="B3395" t="s">
        <v>14730</v>
      </c>
      <c r="C3395" t="s">
        <v>8834</v>
      </c>
      <c r="D3395" t="s">
        <v>14731</v>
      </c>
      <c r="E3395" t="s">
        <v>19620</v>
      </c>
      <c r="F3395">
        <v>91</v>
      </c>
      <c r="G3395">
        <v>1535808</v>
      </c>
      <c r="H3395" t="s">
        <v>19621</v>
      </c>
      <c r="J3395" s="54" t="s">
        <v>6052</v>
      </c>
      <c r="K3395" s="54">
        <v>0</v>
      </c>
      <c r="L3395" s="22" t="s">
        <v>104</v>
      </c>
      <c r="M3395" s="22" t="s">
        <v>37137</v>
      </c>
    </row>
    <row r="3396" spans="1:13" x14ac:dyDescent="0.75">
      <c r="A3396" t="s">
        <v>19610</v>
      </c>
      <c r="B3396" t="s">
        <v>14730</v>
      </c>
      <c r="C3396" t="s">
        <v>8834</v>
      </c>
      <c r="D3396" t="s">
        <v>14731</v>
      </c>
      <c r="E3396" t="s">
        <v>19611</v>
      </c>
      <c r="F3396">
        <v>94</v>
      </c>
      <c r="G3396">
        <v>1492257</v>
      </c>
      <c r="H3396" t="s">
        <v>19612</v>
      </c>
      <c r="J3396" s="54" t="s">
        <v>6052</v>
      </c>
      <c r="K3396" s="54">
        <v>0</v>
      </c>
      <c r="L3396" s="22" t="s">
        <v>104</v>
      </c>
      <c r="M3396" s="22" t="s">
        <v>37137</v>
      </c>
    </row>
    <row r="3397" spans="1:13" x14ac:dyDescent="0.75">
      <c r="A3397" t="s">
        <v>19613</v>
      </c>
      <c r="B3397" t="s">
        <v>14730</v>
      </c>
      <c r="C3397" t="s">
        <v>8834</v>
      </c>
      <c r="D3397" t="s">
        <v>14731</v>
      </c>
      <c r="E3397" t="s">
        <v>19614</v>
      </c>
      <c r="F3397">
        <v>153</v>
      </c>
      <c r="G3397">
        <v>1524311</v>
      </c>
      <c r="H3397" t="s">
        <v>19615</v>
      </c>
      <c r="J3397" s="54" t="s">
        <v>6052</v>
      </c>
      <c r="K3397" s="54">
        <v>0</v>
      </c>
      <c r="L3397" s="22" t="s">
        <v>104</v>
      </c>
      <c r="M3397" s="22" t="s">
        <v>37137</v>
      </c>
    </row>
    <row r="3398" spans="1:13" x14ac:dyDescent="0.75">
      <c r="A3398" t="s">
        <v>23234</v>
      </c>
      <c r="B3398" t="s">
        <v>14730</v>
      </c>
      <c r="C3398" t="s">
        <v>8834</v>
      </c>
      <c r="D3398" t="s">
        <v>14731</v>
      </c>
      <c r="E3398" t="s">
        <v>23235</v>
      </c>
      <c r="F3398">
        <v>1</v>
      </c>
      <c r="G3398">
        <v>1770007</v>
      </c>
      <c r="H3398" t="s">
        <v>23236</v>
      </c>
      <c r="J3398" s="54" t="s">
        <v>6052</v>
      </c>
      <c r="K3398" s="54">
        <v>0</v>
      </c>
      <c r="L3398" s="22" t="s">
        <v>104</v>
      </c>
      <c r="M3398" s="22" t="s">
        <v>37137</v>
      </c>
    </row>
    <row r="3399" spans="1:13" x14ac:dyDescent="0.75">
      <c r="A3399" t="s">
        <v>26544</v>
      </c>
      <c r="B3399" t="s">
        <v>14730</v>
      </c>
      <c r="C3399" t="s">
        <v>8834</v>
      </c>
      <c r="D3399" t="s">
        <v>14731</v>
      </c>
      <c r="E3399" t="s">
        <v>26545</v>
      </c>
      <c r="F3399">
        <v>118</v>
      </c>
      <c r="G3399">
        <v>1546418</v>
      </c>
      <c r="H3399" t="s">
        <v>26546</v>
      </c>
      <c r="J3399" s="54" t="s">
        <v>6052</v>
      </c>
      <c r="K3399" s="54">
        <v>0</v>
      </c>
      <c r="L3399" s="22" t="s">
        <v>104</v>
      </c>
      <c r="M3399" s="22" t="s">
        <v>37137</v>
      </c>
    </row>
    <row r="3400" spans="1:13" x14ac:dyDescent="0.75">
      <c r="A3400" t="s">
        <v>18589</v>
      </c>
      <c r="B3400" t="s">
        <v>14730</v>
      </c>
      <c r="C3400" t="s">
        <v>8834</v>
      </c>
      <c r="D3400" t="s">
        <v>14731</v>
      </c>
      <c r="E3400" t="s">
        <v>18590</v>
      </c>
      <c r="F3400">
        <v>63</v>
      </c>
      <c r="G3400">
        <v>1570902</v>
      </c>
      <c r="H3400" t="s">
        <v>18591</v>
      </c>
      <c r="J3400" s="54" t="s">
        <v>6052</v>
      </c>
      <c r="K3400" s="54">
        <v>0</v>
      </c>
      <c r="L3400" s="22" t="s">
        <v>104</v>
      </c>
      <c r="M3400" s="22" t="s">
        <v>37137</v>
      </c>
    </row>
    <row r="3401" spans="1:13" x14ac:dyDescent="0.75">
      <c r="A3401" t="s">
        <v>26469</v>
      </c>
      <c r="B3401" t="s">
        <v>26470</v>
      </c>
      <c r="C3401" t="s">
        <v>8834</v>
      </c>
      <c r="D3401" t="s">
        <v>26471</v>
      </c>
      <c r="E3401" t="s">
        <v>26472</v>
      </c>
      <c r="F3401">
        <v>3</v>
      </c>
      <c r="G3401">
        <v>1747241</v>
      </c>
      <c r="H3401" t="s">
        <v>26473</v>
      </c>
      <c r="J3401" s="54" t="s">
        <v>6052</v>
      </c>
      <c r="K3401" s="54">
        <v>0</v>
      </c>
      <c r="L3401" s="22" t="s">
        <v>104</v>
      </c>
      <c r="M3401" s="22" t="s">
        <v>37136</v>
      </c>
    </row>
    <row r="3402" spans="1:13" x14ac:dyDescent="0.75">
      <c r="A3402" t="s">
        <v>13830</v>
      </c>
      <c r="B3402" t="s">
        <v>13831</v>
      </c>
      <c r="C3402" t="s">
        <v>8834</v>
      </c>
      <c r="D3402" t="s">
        <v>13832</v>
      </c>
      <c r="E3402" t="s">
        <v>13833</v>
      </c>
      <c r="F3402">
        <v>133</v>
      </c>
      <c r="G3402">
        <v>1862768</v>
      </c>
      <c r="H3402" t="s">
        <v>13834</v>
      </c>
      <c r="J3402" s="54" t="s">
        <v>6052</v>
      </c>
      <c r="K3402" s="54">
        <v>0</v>
      </c>
      <c r="L3402" s="22" t="s">
        <v>104</v>
      </c>
      <c r="M3402" s="22" t="s">
        <v>37135</v>
      </c>
    </row>
    <row r="3403" spans="1:13" x14ac:dyDescent="0.75">
      <c r="A3403" t="s">
        <v>10194</v>
      </c>
      <c r="B3403" t="s">
        <v>8833</v>
      </c>
      <c r="C3403" t="s">
        <v>8834</v>
      </c>
      <c r="D3403" t="s">
        <v>8835</v>
      </c>
      <c r="E3403" t="s">
        <v>10195</v>
      </c>
      <c r="F3403">
        <v>30</v>
      </c>
      <c r="G3403">
        <v>1806210</v>
      </c>
      <c r="H3403" t="s">
        <v>10196</v>
      </c>
      <c r="J3403" s="54" t="s">
        <v>6052</v>
      </c>
      <c r="K3403" s="54">
        <v>0</v>
      </c>
      <c r="L3403" s="22" t="s">
        <v>104</v>
      </c>
      <c r="M3403" s="22" t="s">
        <v>37134</v>
      </c>
    </row>
    <row r="3404" spans="1:13" x14ac:dyDescent="0.75">
      <c r="A3404" t="s">
        <v>8832</v>
      </c>
      <c r="B3404" t="s">
        <v>8833</v>
      </c>
      <c r="C3404" t="s">
        <v>8834</v>
      </c>
      <c r="D3404" t="s">
        <v>8835</v>
      </c>
      <c r="E3404" t="s">
        <v>8836</v>
      </c>
      <c r="F3404">
        <v>44</v>
      </c>
      <c r="G3404">
        <v>1888523</v>
      </c>
      <c r="H3404" t="s">
        <v>8837</v>
      </c>
      <c r="J3404" s="54" t="s">
        <v>6052</v>
      </c>
      <c r="K3404" s="54">
        <v>0</v>
      </c>
      <c r="L3404" s="22" t="s">
        <v>104</v>
      </c>
      <c r="M3404" s="22" t="s">
        <v>37134</v>
      </c>
    </row>
    <row r="3405" spans="1:13" x14ac:dyDescent="0.75">
      <c r="A3405" t="s">
        <v>30021</v>
      </c>
      <c r="B3405" t="s">
        <v>8833</v>
      </c>
      <c r="C3405" t="s">
        <v>8834</v>
      </c>
      <c r="D3405" t="s">
        <v>8835</v>
      </c>
      <c r="E3405" t="s">
        <v>30022</v>
      </c>
      <c r="F3405">
        <v>68</v>
      </c>
      <c r="G3405">
        <v>1637933</v>
      </c>
      <c r="H3405" t="s">
        <v>30023</v>
      </c>
      <c r="J3405" s="54" t="s">
        <v>6052</v>
      </c>
      <c r="K3405" s="54">
        <v>0</v>
      </c>
      <c r="L3405" s="22" t="s">
        <v>104</v>
      </c>
      <c r="M3405" s="22" t="s">
        <v>37134</v>
      </c>
    </row>
    <row r="3406" spans="1:13" x14ac:dyDescent="0.75">
      <c r="A3406" t="s">
        <v>21319</v>
      </c>
      <c r="B3406" t="s">
        <v>8833</v>
      </c>
      <c r="C3406" t="s">
        <v>8834</v>
      </c>
      <c r="D3406" t="s">
        <v>8835</v>
      </c>
      <c r="E3406" t="s">
        <v>21320</v>
      </c>
      <c r="F3406">
        <v>21</v>
      </c>
      <c r="G3406">
        <v>1497968</v>
      </c>
      <c r="H3406" t="s">
        <v>21321</v>
      </c>
      <c r="J3406" s="54" t="s">
        <v>6052</v>
      </c>
      <c r="K3406" s="54">
        <v>0</v>
      </c>
      <c r="L3406" s="22" t="s">
        <v>104</v>
      </c>
      <c r="M3406" s="22" t="s">
        <v>37134</v>
      </c>
    </row>
    <row r="3407" spans="1:13" x14ac:dyDescent="0.75">
      <c r="A3407" t="s">
        <v>29134</v>
      </c>
      <c r="B3407" t="s">
        <v>8833</v>
      </c>
      <c r="C3407" t="s">
        <v>8834</v>
      </c>
      <c r="D3407" t="s">
        <v>8835</v>
      </c>
      <c r="E3407" t="s">
        <v>29135</v>
      </c>
      <c r="F3407">
        <v>21</v>
      </c>
      <c r="G3407">
        <v>1564676</v>
      </c>
      <c r="H3407" t="s">
        <v>29136</v>
      </c>
      <c r="J3407" s="54" t="s">
        <v>6052</v>
      </c>
      <c r="K3407" s="54">
        <v>0</v>
      </c>
      <c r="L3407" s="22" t="s">
        <v>104</v>
      </c>
      <c r="M3407" s="22" t="s">
        <v>37134</v>
      </c>
    </row>
    <row r="3408" spans="1:13" x14ac:dyDescent="0.75">
      <c r="A3408" t="s">
        <v>18756</v>
      </c>
      <c r="B3408" t="s">
        <v>8833</v>
      </c>
      <c r="C3408" t="s">
        <v>8834</v>
      </c>
      <c r="D3408" t="s">
        <v>8835</v>
      </c>
      <c r="E3408" t="s">
        <v>18757</v>
      </c>
      <c r="F3408">
        <v>2</v>
      </c>
      <c r="G3408">
        <v>1859163</v>
      </c>
      <c r="H3408" t="s">
        <v>18758</v>
      </c>
      <c r="J3408" s="54" t="s">
        <v>6052</v>
      </c>
      <c r="K3408" s="54">
        <v>0</v>
      </c>
      <c r="L3408" s="22" t="s">
        <v>104</v>
      </c>
      <c r="M3408" s="22" t="s">
        <v>37134</v>
      </c>
    </row>
    <row r="3409" spans="1:13" x14ac:dyDescent="0.75">
      <c r="A3409" t="s">
        <v>26487</v>
      </c>
      <c r="B3409" t="s">
        <v>26488</v>
      </c>
      <c r="C3409" t="s">
        <v>26489</v>
      </c>
      <c r="D3409" t="s">
        <v>26490</v>
      </c>
      <c r="E3409" t="s">
        <v>26491</v>
      </c>
      <c r="F3409">
        <v>1</v>
      </c>
      <c r="G3409">
        <v>2151431</v>
      </c>
      <c r="H3409" t="s">
        <v>26492</v>
      </c>
      <c r="J3409" s="54" t="s">
        <v>6052</v>
      </c>
      <c r="K3409" s="54">
        <v>0</v>
      </c>
      <c r="L3409" s="22" t="s">
        <v>104</v>
      </c>
      <c r="M3409" s="22" t="s">
        <v>37142</v>
      </c>
    </row>
    <row r="3410" spans="1:13" x14ac:dyDescent="0.75">
      <c r="A3410" t="s">
        <v>6678</v>
      </c>
      <c r="B3410" t="s">
        <v>6679</v>
      </c>
      <c r="C3410" t="s">
        <v>6680</v>
      </c>
      <c r="D3410" t="s">
        <v>6681</v>
      </c>
      <c r="E3410" t="s">
        <v>6682</v>
      </c>
      <c r="F3410">
        <v>1</v>
      </c>
      <c r="G3410">
        <v>977524</v>
      </c>
      <c r="H3410" t="s">
        <v>6683</v>
      </c>
      <c r="J3410" s="54" t="s">
        <v>6052</v>
      </c>
      <c r="K3410" s="54">
        <v>0</v>
      </c>
      <c r="L3410" s="22" t="s">
        <v>104</v>
      </c>
      <c r="M3410" s="22" t="s">
        <v>37147</v>
      </c>
    </row>
    <row r="3411" spans="1:13" x14ac:dyDescent="0.75">
      <c r="A3411" t="s">
        <v>7426</v>
      </c>
      <c r="B3411" t="s">
        <v>6679</v>
      </c>
      <c r="C3411" t="s">
        <v>6680</v>
      </c>
      <c r="D3411" t="s">
        <v>6681</v>
      </c>
      <c r="E3411" t="s">
        <v>7427</v>
      </c>
      <c r="F3411">
        <v>1</v>
      </c>
      <c r="G3411">
        <v>1118751</v>
      </c>
      <c r="H3411" t="s">
        <v>7428</v>
      </c>
      <c r="J3411" s="54" t="s">
        <v>6052</v>
      </c>
      <c r="K3411" s="54">
        <v>0</v>
      </c>
      <c r="L3411" s="22" t="s">
        <v>104</v>
      </c>
      <c r="M3411" s="22" t="s">
        <v>37147</v>
      </c>
    </row>
    <row r="3412" spans="1:13" x14ac:dyDescent="0.75">
      <c r="A3412" t="s">
        <v>16008</v>
      </c>
      <c r="B3412" t="s">
        <v>6679</v>
      </c>
      <c r="C3412" t="s">
        <v>6680</v>
      </c>
      <c r="D3412" t="s">
        <v>6681</v>
      </c>
      <c r="E3412" t="s">
        <v>16009</v>
      </c>
      <c r="F3412">
        <v>48</v>
      </c>
      <c r="G3412">
        <v>928572</v>
      </c>
      <c r="H3412" t="s">
        <v>16010</v>
      </c>
      <c r="J3412" s="54" t="s">
        <v>6052</v>
      </c>
      <c r="K3412" s="54">
        <v>0</v>
      </c>
      <c r="L3412" s="22" t="s">
        <v>104</v>
      </c>
      <c r="M3412" s="22" t="s">
        <v>37147</v>
      </c>
    </row>
    <row r="3413" spans="1:13" x14ac:dyDescent="0.75">
      <c r="A3413" t="s">
        <v>16011</v>
      </c>
      <c r="B3413" t="s">
        <v>6679</v>
      </c>
      <c r="C3413" t="s">
        <v>6680</v>
      </c>
      <c r="D3413" t="s">
        <v>6681</v>
      </c>
      <c r="E3413" t="s">
        <v>16012</v>
      </c>
      <c r="F3413">
        <v>46</v>
      </c>
      <c r="G3413">
        <v>921097</v>
      </c>
      <c r="H3413" t="s">
        <v>16013</v>
      </c>
      <c r="J3413" s="54" t="s">
        <v>6052</v>
      </c>
      <c r="K3413" s="54">
        <v>0</v>
      </c>
      <c r="L3413" s="22" t="s">
        <v>104</v>
      </c>
      <c r="M3413" s="22" t="s">
        <v>37147</v>
      </c>
    </row>
    <row r="3414" spans="1:13" x14ac:dyDescent="0.75">
      <c r="A3414" t="s">
        <v>7669</v>
      </c>
      <c r="B3414" t="s">
        <v>6679</v>
      </c>
      <c r="C3414" t="s">
        <v>6680</v>
      </c>
      <c r="D3414" t="s">
        <v>6681</v>
      </c>
      <c r="E3414" t="s">
        <v>7670</v>
      </c>
      <c r="F3414">
        <v>21</v>
      </c>
      <c r="G3414">
        <v>1004014</v>
      </c>
      <c r="H3414" t="s">
        <v>7671</v>
      </c>
      <c r="J3414" s="54" t="s">
        <v>6052</v>
      </c>
      <c r="K3414" s="54">
        <v>0</v>
      </c>
      <c r="L3414" s="22" t="s">
        <v>104</v>
      </c>
      <c r="M3414" s="22" t="s">
        <v>37147</v>
      </c>
    </row>
    <row r="3415" spans="1:13" x14ac:dyDescent="0.75">
      <c r="A3415" t="s">
        <v>16564</v>
      </c>
      <c r="B3415" t="s">
        <v>16565</v>
      </c>
      <c r="C3415" t="s">
        <v>16566</v>
      </c>
      <c r="D3415" t="s">
        <v>16567</v>
      </c>
      <c r="E3415" t="s">
        <v>16568</v>
      </c>
      <c r="F3415">
        <v>17</v>
      </c>
      <c r="G3415">
        <v>625762</v>
      </c>
      <c r="H3415" t="s">
        <v>16569</v>
      </c>
      <c r="J3415" s="54" t="s">
        <v>6052</v>
      </c>
      <c r="K3415" s="54">
        <v>0</v>
      </c>
      <c r="L3415" s="22" t="s">
        <v>104</v>
      </c>
      <c r="M3415" s="22" t="s">
        <v>37151</v>
      </c>
    </row>
    <row r="3416" spans="1:13" x14ac:dyDescent="0.75">
      <c r="A3416" t="s">
        <v>2944</v>
      </c>
      <c r="B3416" t="s">
        <v>2935</v>
      </c>
      <c r="C3416" t="s">
        <v>16566</v>
      </c>
      <c r="D3416" t="s">
        <v>19295</v>
      </c>
      <c r="E3416" t="s">
        <v>19300</v>
      </c>
      <c r="F3416">
        <v>51</v>
      </c>
      <c r="G3416">
        <v>640359</v>
      </c>
      <c r="H3416" t="s">
        <v>19301</v>
      </c>
      <c r="J3416" s="54" t="s">
        <v>6052</v>
      </c>
      <c r="K3416" s="54">
        <v>0</v>
      </c>
      <c r="L3416" s="22" t="s">
        <v>104</v>
      </c>
      <c r="M3416" s="22" t="s">
        <v>37148</v>
      </c>
    </row>
    <row r="3417" spans="1:13" x14ac:dyDescent="0.75">
      <c r="A3417" t="s">
        <v>2940</v>
      </c>
      <c r="B3417" t="s">
        <v>2935</v>
      </c>
      <c r="C3417" t="s">
        <v>16566</v>
      </c>
      <c r="D3417" t="s">
        <v>19295</v>
      </c>
      <c r="E3417" t="s">
        <v>19298</v>
      </c>
      <c r="F3417">
        <v>1</v>
      </c>
      <c r="G3417">
        <v>663355</v>
      </c>
      <c r="H3417" t="s">
        <v>19299</v>
      </c>
      <c r="J3417" s="54" t="s">
        <v>6052</v>
      </c>
      <c r="K3417" s="54">
        <v>0</v>
      </c>
      <c r="L3417" s="22" t="s">
        <v>104</v>
      </c>
      <c r="M3417" s="22" t="s">
        <v>37148</v>
      </c>
    </row>
    <row r="3418" spans="1:13" x14ac:dyDescent="0.75">
      <c r="A3418" t="s">
        <v>2934</v>
      </c>
      <c r="B3418" t="s">
        <v>2935</v>
      </c>
      <c r="C3418" t="s">
        <v>16566</v>
      </c>
      <c r="D3418" t="s">
        <v>19295</v>
      </c>
      <c r="E3418" t="s">
        <v>19296</v>
      </c>
      <c r="F3418">
        <v>1</v>
      </c>
      <c r="G3418">
        <v>691584</v>
      </c>
      <c r="H3418" t="s">
        <v>19297</v>
      </c>
      <c r="J3418" s="54" t="s">
        <v>6052</v>
      </c>
      <c r="K3418" s="54">
        <v>0</v>
      </c>
      <c r="L3418" s="22" t="s">
        <v>104</v>
      </c>
      <c r="M3418" s="22" t="s">
        <v>37148</v>
      </c>
    </row>
    <row r="3419" spans="1:13" x14ac:dyDescent="0.75">
      <c r="A3419" t="s">
        <v>19251</v>
      </c>
      <c r="B3419" t="s">
        <v>19252</v>
      </c>
      <c r="C3419" t="s">
        <v>16566</v>
      </c>
      <c r="D3419" t="s">
        <v>19253</v>
      </c>
      <c r="E3419" t="s">
        <v>19254</v>
      </c>
      <c r="F3419">
        <v>1</v>
      </c>
      <c r="G3419">
        <v>637739</v>
      </c>
      <c r="H3419" t="s">
        <v>19255</v>
      </c>
      <c r="J3419" s="54" t="s">
        <v>6052</v>
      </c>
      <c r="K3419" s="54">
        <v>0</v>
      </c>
      <c r="L3419" s="22" t="s">
        <v>104</v>
      </c>
      <c r="M3419" s="22" t="s">
        <v>37149</v>
      </c>
    </row>
    <row r="3420" spans="1:13" x14ac:dyDescent="0.75">
      <c r="A3420" t="s">
        <v>18613</v>
      </c>
      <c r="B3420" t="s">
        <v>18614</v>
      </c>
      <c r="C3420" t="s">
        <v>16566</v>
      </c>
      <c r="D3420" t="s">
        <v>18615</v>
      </c>
      <c r="E3420" t="s">
        <v>18616</v>
      </c>
      <c r="F3420">
        <v>74</v>
      </c>
      <c r="G3420">
        <v>607771</v>
      </c>
      <c r="H3420" t="s">
        <v>18617</v>
      </c>
      <c r="J3420" s="54" t="s">
        <v>6052</v>
      </c>
      <c r="K3420" s="54">
        <v>0</v>
      </c>
      <c r="L3420" s="22" t="s">
        <v>104</v>
      </c>
      <c r="M3420" s="22" t="s">
        <v>37150</v>
      </c>
    </row>
    <row r="3421" spans="1:13" x14ac:dyDescent="0.75">
      <c r="A3421" t="s">
        <v>18630</v>
      </c>
      <c r="B3421" t="s">
        <v>16556</v>
      </c>
      <c r="C3421" t="s">
        <v>16557</v>
      </c>
      <c r="D3421" t="s">
        <v>16558</v>
      </c>
      <c r="E3421" t="s">
        <v>18631</v>
      </c>
      <c r="F3421">
        <v>53</v>
      </c>
      <c r="G3421">
        <v>808514</v>
      </c>
      <c r="H3421" t="s">
        <v>18632</v>
      </c>
      <c r="J3421" s="54" t="s">
        <v>6052</v>
      </c>
      <c r="K3421" s="54">
        <v>0</v>
      </c>
      <c r="L3421" s="22" t="s">
        <v>104</v>
      </c>
      <c r="M3421" s="22" t="s">
        <v>37152</v>
      </c>
    </row>
    <row r="3422" spans="1:13" x14ac:dyDescent="0.75">
      <c r="A3422" t="s">
        <v>16561</v>
      </c>
      <c r="B3422" t="s">
        <v>16556</v>
      </c>
      <c r="C3422" t="s">
        <v>16557</v>
      </c>
      <c r="D3422" t="s">
        <v>16558</v>
      </c>
      <c r="E3422" t="s">
        <v>16562</v>
      </c>
      <c r="F3422">
        <v>35</v>
      </c>
      <c r="G3422">
        <v>740889</v>
      </c>
      <c r="H3422" t="s">
        <v>16563</v>
      </c>
      <c r="J3422" s="54" t="s">
        <v>6052</v>
      </c>
      <c r="K3422" s="54">
        <v>0</v>
      </c>
      <c r="L3422" s="22" t="s">
        <v>104</v>
      </c>
      <c r="M3422" s="22" t="s">
        <v>37152</v>
      </c>
    </row>
    <row r="3423" spans="1:13" x14ac:dyDescent="0.75">
      <c r="A3423" t="s">
        <v>16555</v>
      </c>
      <c r="B3423" t="s">
        <v>16556</v>
      </c>
      <c r="C3423" t="s">
        <v>16557</v>
      </c>
      <c r="D3423" t="s">
        <v>16558</v>
      </c>
      <c r="E3423" t="s">
        <v>16559</v>
      </c>
      <c r="F3423">
        <v>24</v>
      </c>
      <c r="G3423">
        <v>730081</v>
      </c>
      <c r="H3423" t="s">
        <v>16560</v>
      </c>
      <c r="J3423" s="54" t="s">
        <v>6052</v>
      </c>
      <c r="K3423" s="54">
        <v>0</v>
      </c>
      <c r="L3423" s="22" t="s">
        <v>104</v>
      </c>
      <c r="M3423" s="22" t="s">
        <v>37152</v>
      </c>
    </row>
    <row r="3424" spans="1:13" x14ac:dyDescent="0.75">
      <c r="A3424" t="s">
        <v>2311</v>
      </c>
      <c r="B3424" t="s">
        <v>2312</v>
      </c>
      <c r="C3424" t="s">
        <v>10700</v>
      </c>
      <c r="D3424" t="s">
        <v>16754</v>
      </c>
      <c r="E3424" t="s">
        <v>16755</v>
      </c>
      <c r="F3424">
        <v>1</v>
      </c>
      <c r="G3424">
        <v>782344</v>
      </c>
      <c r="H3424" t="s">
        <v>16756</v>
      </c>
      <c r="J3424" s="54" t="s">
        <v>16755</v>
      </c>
      <c r="K3424" s="54">
        <v>1</v>
      </c>
      <c r="L3424" s="22" t="s">
        <v>104</v>
      </c>
      <c r="M3424" s="22" t="s">
        <v>2313</v>
      </c>
    </row>
    <row r="3425" spans="1:13" x14ac:dyDescent="0.75">
      <c r="A3425" t="s">
        <v>16748</v>
      </c>
      <c r="B3425" t="s">
        <v>16749</v>
      </c>
      <c r="C3425" t="s">
        <v>10700</v>
      </c>
      <c r="D3425" t="s">
        <v>16750</v>
      </c>
      <c r="E3425" t="s">
        <v>16751</v>
      </c>
      <c r="F3425">
        <v>1</v>
      </c>
      <c r="G3425">
        <v>889964</v>
      </c>
      <c r="H3425" t="s">
        <v>16752</v>
      </c>
      <c r="J3425" s="54" t="s">
        <v>6052</v>
      </c>
      <c r="K3425" s="54">
        <v>0</v>
      </c>
      <c r="L3425" s="22" t="s">
        <v>104</v>
      </c>
      <c r="M3425" s="22" t="s">
        <v>37153</v>
      </c>
    </row>
    <row r="3426" spans="1:13" x14ac:dyDescent="0.75">
      <c r="A3426" t="s">
        <v>18441</v>
      </c>
      <c r="B3426" t="s">
        <v>16749</v>
      </c>
      <c r="C3426" t="s">
        <v>10700</v>
      </c>
      <c r="D3426" t="s">
        <v>16750</v>
      </c>
      <c r="E3426" t="s">
        <v>18442</v>
      </c>
      <c r="F3426">
        <v>1</v>
      </c>
      <c r="G3426">
        <v>847999</v>
      </c>
      <c r="H3426" t="s">
        <v>18443</v>
      </c>
      <c r="J3426" s="54" t="s">
        <v>6052</v>
      </c>
      <c r="K3426" s="54">
        <v>0</v>
      </c>
      <c r="L3426" s="22" t="s">
        <v>104</v>
      </c>
      <c r="M3426" s="22" t="s">
        <v>37153</v>
      </c>
    </row>
    <row r="3427" spans="1:13" x14ac:dyDescent="0.75">
      <c r="A3427" t="s">
        <v>18432</v>
      </c>
      <c r="B3427" t="s">
        <v>16749</v>
      </c>
      <c r="C3427" t="s">
        <v>10700</v>
      </c>
      <c r="D3427" t="s">
        <v>16750</v>
      </c>
      <c r="E3427" t="s">
        <v>18433</v>
      </c>
      <c r="F3427">
        <v>1</v>
      </c>
      <c r="G3427">
        <v>856991</v>
      </c>
      <c r="H3427" t="s">
        <v>18434</v>
      </c>
      <c r="J3427" s="54" t="s">
        <v>6052</v>
      </c>
      <c r="K3427" s="54">
        <v>0</v>
      </c>
      <c r="L3427" s="22" t="s">
        <v>104</v>
      </c>
      <c r="M3427" s="22" t="s">
        <v>37153</v>
      </c>
    </row>
    <row r="3428" spans="1:13" x14ac:dyDescent="0.75">
      <c r="A3428" t="s">
        <v>18429</v>
      </c>
      <c r="B3428" t="s">
        <v>16749</v>
      </c>
      <c r="C3428" t="s">
        <v>10700</v>
      </c>
      <c r="D3428" t="s">
        <v>16750</v>
      </c>
      <c r="E3428" t="s">
        <v>18430</v>
      </c>
      <c r="F3428">
        <v>1</v>
      </c>
      <c r="G3428">
        <v>877855</v>
      </c>
      <c r="H3428" t="s">
        <v>18431</v>
      </c>
      <c r="J3428" s="54" t="s">
        <v>6052</v>
      </c>
      <c r="K3428" s="54">
        <v>0</v>
      </c>
      <c r="L3428" s="22" t="s">
        <v>104</v>
      </c>
      <c r="M3428" s="22" t="s">
        <v>37153</v>
      </c>
    </row>
    <row r="3429" spans="1:13" x14ac:dyDescent="0.75">
      <c r="A3429" t="s">
        <v>18438</v>
      </c>
      <c r="B3429" t="s">
        <v>16749</v>
      </c>
      <c r="C3429" t="s">
        <v>10700</v>
      </c>
      <c r="D3429" t="s">
        <v>16750</v>
      </c>
      <c r="E3429" t="s">
        <v>18439</v>
      </c>
      <c r="F3429">
        <v>1</v>
      </c>
      <c r="G3429">
        <v>893660</v>
      </c>
      <c r="H3429" t="s">
        <v>18440</v>
      </c>
      <c r="J3429" s="54" t="s">
        <v>6052</v>
      </c>
      <c r="K3429" s="54">
        <v>0</v>
      </c>
      <c r="L3429" s="22" t="s">
        <v>104</v>
      </c>
      <c r="M3429" s="22" t="s">
        <v>37153</v>
      </c>
    </row>
    <row r="3430" spans="1:13" x14ac:dyDescent="0.75">
      <c r="A3430" t="s">
        <v>18420</v>
      </c>
      <c r="B3430" t="s">
        <v>16749</v>
      </c>
      <c r="C3430" t="s">
        <v>10700</v>
      </c>
      <c r="D3430" t="s">
        <v>16750</v>
      </c>
      <c r="E3430" t="s">
        <v>18421</v>
      </c>
      <c r="F3430">
        <v>1</v>
      </c>
      <c r="G3430">
        <v>839600</v>
      </c>
      <c r="H3430" t="s">
        <v>18422</v>
      </c>
      <c r="J3430" s="54" t="s">
        <v>6052</v>
      </c>
      <c r="K3430" s="54">
        <v>0</v>
      </c>
      <c r="L3430" s="22" t="s">
        <v>104</v>
      </c>
      <c r="M3430" s="22" t="s">
        <v>37153</v>
      </c>
    </row>
    <row r="3431" spans="1:13" x14ac:dyDescent="0.75">
      <c r="A3431" t="s">
        <v>18435</v>
      </c>
      <c r="B3431" t="s">
        <v>16749</v>
      </c>
      <c r="C3431" t="s">
        <v>10700</v>
      </c>
      <c r="D3431" t="s">
        <v>16750</v>
      </c>
      <c r="E3431" t="s">
        <v>18436</v>
      </c>
      <c r="F3431">
        <v>1</v>
      </c>
      <c r="G3431">
        <v>858111</v>
      </c>
      <c r="H3431" t="s">
        <v>18437</v>
      </c>
      <c r="J3431" s="54" t="s">
        <v>6052</v>
      </c>
      <c r="K3431" s="54">
        <v>0</v>
      </c>
      <c r="L3431" s="22" t="s">
        <v>104</v>
      </c>
      <c r="M3431" s="22" t="s">
        <v>37153</v>
      </c>
    </row>
    <row r="3432" spans="1:13" x14ac:dyDescent="0.75">
      <c r="A3432" t="s">
        <v>18039</v>
      </c>
      <c r="B3432" t="s">
        <v>16749</v>
      </c>
      <c r="C3432" t="s">
        <v>10700</v>
      </c>
      <c r="D3432" t="s">
        <v>16750</v>
      </c>
      <c r="E3432" t="s">
        <v>18040</v>
      </c>
      <c r="F3432">
        <v>1</v>
      </c>
      <c r="G3432">
        <v>853179</v>
      </c>
      <c r="H3432" t="s">
        <v>18041</v>
      </c>
      <c r="J3432" s="54" t="s">
        <v>6052</v>
      </c>
      <c r="K3432" s="54">
        <v>0</v>
      </c>
      <c r="L3432" s="22" t="s">
        <v>104</v>
      </c>
      <c r="M3432" s="22" t="s">
        <v>37153</v>
      </c>
    </row>
    <row r="3433" spans="1:13" x14ac:dyDescent="0.75">
      <c r="A3433" t="s">
        <v>18036</v>
      </c>
      <c r="B3433" t="s">
        <v>16749</v>
      </c>
      <c r="C3433" t="s">
        <v>10700</v>
      </c>
      <c r="D3433" t="s">
        <v>16750</v>
      </c>
      <c r="E3433" t="s">
        <v>18037</v>
      </c>
      <c r="F3433">
        <v>1</v>
      </c>
      <c r="G3433">
        <v>848784</v>
      </c>
      <c r="H3433" t="s">
        <v>18038</v>
      </c>
      <c r="J3433" s="54" t="s">
        <v>6052</v>
      </c>
      <c r="K3433" s="54">
        <v>0</v>
      </c>
      <c r="L3433" s="22" t="s">
        <v>104</v>
      </c>
      <c r="M3433" s="22" t="s">
        <v>37153</v>
      </c>
    </row>
    <row r="3434" spans="1:13" x14ac:dyDescent="0.75">
      <c r="A3434" t="s">
        <v>18033</v>
      </c>
      <c r="B3434" t="s">
        <v>16749</v>
      </c>
      <c r="C3434" t="s">
        <v>10700</v>
      </c>
      <c r="D3434" t="s">
        <v>16750</v>
      </c>
      <c r="E3434" t="s">
        <v>18034</v>
      </c>
      <c r="F3434">
        <v>1</v>
      </c>
      <c r="G3434">
        <v>831234</v>
      </c>
      <c r="H3434" t="s">
        <v>18035</v>
      </c>
      <c r="J3434" s="54" t="s">
        <v>6052</v>
      </c>
      <c r="K3434" s="54">
        <v>0</v>
      </c>
      <c r="L3434" s="22" t="s">
        <v>104</v>
      </c>
      <c r="M3434" s="22" t="s">
        <v>37153</v>
      </c>
    </row>
    <row r="3435" spans="1:13" x14ac:dyDescent="0.75">
      <c r="A3435" t="s">
        <v>18027</v>
      </c>
      <c r="B3435" t="s">
        <v>16749</v>
      </c>
      <c r="C3435" t="s">
        <v>10700</v>
      </c>
      <c r="D3435" t="s">
        <v>16750</v>
      </c>
      <c r="E3435" t="s">
        <v>18028</v>
      </c>
      <c r="F3435">
        <v>1</v>
      </c>
      <c r="G3435">
        <v>931438</v>
      </c>
      <c r="H3435" t="s">
        <v>18029</v>
      </c>
      <c r="J3435" s="54" t="s">
        <v>6052</v>
      </c>
      <c r="K3435" s="54">
        <v>0</v>
      </c>
      <c r="L3435" s="22" t="s">
        <v>104</v>
      </c>
      <c r="M3435" s="22" t="s">
        <v>37153</v>
      </c>
    </row>
    <row r="3436" spans="1:13" x14ac:dyDescent="0.75">
      <c r="A3436" t="s">
        <v>18743</v>
      </c>
      <c r="B3436" t="s">
        <v>16749</v>
      </c>
      <c r="C3436" t="s">
        <v>10700</v>
      </c>
      <c r="D3436" t="s">
        <v>16750</v>
      </c>
      <c r="E3436" t="s">
        <v>18744</v>
      </c>
      <c r="F3436">
        <v>1</v>
      </c>
      <c r="G3436">
        <v>847999</v>
      </c>
      <c r="H3436" t="s">
        <v>18745</v>
      </c>
      <c r="J3436" s="54" t="s">
        <v>6052</v>
      </c>
      <c r="K3436" s="54">
        <v>0</v>
      </c>
      <c r="L3436" s="22" t="s">
        <v>104</v>
      </c>
      <c r="M3436" s="22" t="s">
        <v>37153</v>
      </c>
    </row>
    <row r="3437" spans="1:13" x14ac:dyDescent="0.75">
      <c r="A3437" t="s">
        <v>26172</v>
      </c>
      <c r="B3437" t="s">
        <v>16749</v>
      </c>
      <c r="C3437" t="s">
        <v>10700</v>
      </c>
      <c r="D3437" t="s">
        <v>16750</v>
      </c>
      <c r="E3437" t="s">
        <v>26173</v>
      </c>
      <c r="F3437">
        <v>1</v>
      </c>
      <c r="G3437">
        <v>823929</v>
      </c>
      <c r="H3437" t="s">
        <v>26174</v>
      </c>
      <c r="J3437" s="54" t="s">
        <v>6052</v>
      </c>
      <c r="K3437" s="54">
        <v>0</v>
      </c>
      <c r="L3437" s="22" t="s">
        <v>104</v>
      </c>
      <c r="M3437" s="22" t="s">
        <v>37153</v>
      </c>
    </row>
    <row r="3438" spans="1:13" x14ac:dyDescent="0.75">
      <c r="A3438" t="s">
        <v>18653</v>
      </c>
      <c r="B3438" t="s">
        <v>16749</v>
      </c>
      <c r="C3438" t="s">
        <v>10700</v>
      </c>
      <c r="D3438" t="s">
        <v>16750</v>
      </c>
      <c r="E3438" t="s">
        <v>18654</v>
      </c>
      <c r="F3438">
        <v>31</v>
      </c>
      <c r="G3438">
        <v>759152</v>
      </c>
      <c r="H3438" t="s">
        <v>18655</v>
      </c>
      <c r="J3438" s="54" t="s">
        <v>6052</v>
      </c>
      <c r="K3438" s="54">
        <v>0</v>
      </c>
      <c r="L3438" s="22" t="s">
        <v>104</v>
      </c>
      <c r="M3438" s="22" t="s">
        <v>37153</v>
      </c>
    </row>
    <row r="3439" spans="1:13" x14ac:dyDescent="0.75">
      <c r="A3439" t="s">
        <v>1342</v>
      </c>
      <c r="B3439" t="s">
        <v>1343</v>
      </c>
      <c r="C3439" t="s">
        <v>10700</v>
      </c>
      <c r="D3439" t="s">
        <v>10701</v>
      </c>
      <c r="E3439" t="s">
        <v>10702</v>
      </c>
      <c r="F3439">
        <v>1</v>
      </c>
      <c r="G3439">
        <v>705138</v>
      </c>
      <c r="H3439" t="s">
        <v>10703</v>
      </c>
      <c r="J3439" s="54" t="s">
        <v>10702</v>
      </c>
      <c r="K3439" s="54">
        <v>1</v>
      </c>
      <c r="L3439" s="22" t="s">
        <v>104</v>
      </c>
      <c r="M3439" s="22" t="s">
        <v>1344</v>
      </c>
    </row>
    <row r="3440" spans="1:13" x14ac:dyDescent="0.75">
      <c r="A3440" t="s">
        <v>2306</v>
      </c>
      <c r="B3440" t="s">
        <v>1343</v>
      </c>
      <c r="C3440" t="s">
        <v>10700</v>
      </c>
      <c r="D3440" t="s">
        <v>10701</v>
      </c>
      <c r="E3440" t="s">
        <v>10702</v>
      </c>
      <c r="F3440">
        <v>1</v>
      </c>
      <c r="G3440">
        <v>705178</v>
      </c>
      <c r="H3440" t="s">
        <v>16753</v>
      </c>
      <c r="J3440" s="54" t="s">
        <v>10702</v>
      </c>
      <c r="K3440" s="54">
        <v>1</v>
      </c>
      <c r="L3440" s="22" t="s">
        <v>104</v>
      </c>
      <c r="M3440" s="22" t="s">
        <v>1344</v>
      </c>
    </row>
    <row r="3441" spans="1:13" x14ac:dyDescent="0.75">
      <c r="A3441" t="s">
        <v>4139</v>
      </c>
      <c r="B3441" t="s">
        <v>2376</v>
      </c>
      <c r="C3441" t="s">
        <v>10700</v>
      </c>
      <c r="D3441" t="s">
        <v>17168</v>
      </c>
      <c r="E3441" t="s">
        <v>22931</v>
      </c>
      <c r="F3441">
        <v>3</v>
      </c>
      <c r="G3441">
        <v>741912</v>
      </c>
      <c r="H3441" t="s">
        <v>22932</v>
      </c>
      <c r="J3441" s="54" t="s">
        <v>22931</v>
      </c>
      <c r="K3441" s="54">
        <v>2</v>
      </c>
      <c r="L3441" s="22" t="s">
        <v>104</v>
      </c>
      <c r="M3441" s="22" t="s">
        <v>36814</v>
      </c>
    </row>
    <row r="3442" spans="1:13" x14ac:dyDescent="0.75">
      <c r="A3442" t="s">
        <v>4131</v>
      </c>
      <c r="B3442" t="s">
        <v>2376</v>
      </c>
      <c r="C3442" t="s">
        <v>10700</v>
      </c>
      <c r="D3442" t="s">
        <v>17168</v>
      </c>
      <c r="E3442" t="s">
        <v>22929</v>
      </c>
      <c r="F3442">
        <v>4</v>
      </c>
      <c r="G3442">
        <v>756098</v>
      </c>
      <c r="H3442" t="s">
        <v>22930</v>
      </c>
      <c r="J3442" s="54" t="s">
        <v>22929</v>
      </c>
      <c r="K3442" s="54">
        <v>2</v>
      </c>
      <c r="L3442" s="22" t="s">
        <v>104</v>
      </c>
      <c r="M3442" s="22" t="s">
        <v>36814</v>
      </c>
    </row>
    <row r="3443" spans="1:13" x14ac:dyDescent="0.75">
      <c r="A3443" t="s">
        <v>4108</v>
      </c>
      <c r="B3443" t="s">
        <v>2376</v>
      </c>
      <c r="C3443" t="s">
        <v>10700</v>
      </c>
      <c r="D3443" t="s">
        <v>17168</v>
      </c>
      <c r="E3443" t="s">
        <v>22923</v>
      </c>
      <c r="F3443">
        <v>2</v>
      </c>
      <c r="G3443">
        <v>730938</v>
      </c>
      <c r="H3443" t="s">
        <v>22924</v>
      </c>
      <c r="J3443" s="54" t="s">
        <v>22923</v>
      </c>
      <c r="K3443" s="54">
        <v>2</v>
      </c>
      <c r="L3443" s="22" t="s">
        <v>104</v>
      </c>
      <c r="M3443" s="22" t="s">
        <v>36814</v>
      </c>
    </row>
    <row r="3444" spans="1:13" x14ac:dyDescent="0.75">
      <c r="A3444" t="s">
        <v>4082</v>
      </c>
      <c r="B3444" t="s">
        <v>2376</v>
      </c>
      <c r="C3444" t="s">
        <v>10700</v>
      </c>
      <c r="D3444" t="s">
        <v>17168</v>
      </c>
      <c r="E3444" t="s">
        <v>22917</v>
      </c>
      <c r="F3444">
        <v>1</v>
      </c>
      <c r="G3444">
        <v>733310</v>
      </c>
      <c r="H3444" t="s">
        <v>22918</v>
      </c>
      <c r="J3444" s="54" t="s">
        <v>22917</v>
      </c>
      <c r="K3444" s="54">
        <v>2</v>
      </c>
      <c r="L3444" s="22" t="s">
        <v>104</v>
      </c>
      <c r="M3444" s="22" t="s">
        <v>36814</v>
      </c>
    </row>
    <row r="3445" spans="1:13" x14ac:dyDescent="0.75">
      <c r="A3445" t="s">
        <v>4123</v>
      </c>
      <c r="B3445" t="s">
        <v>2376</v>
      </c>
      <c r="C3445" t="s">
        <v>10700</v>
      </c>
      <c r="D3445" t="s">
        <v>17168</v>
      </c>
      <c r="E3445" t="s">
        <v>22927</v>
      </c>
      <c r="F3445">
        <v>6</v>
      </c>
      <c r="G3445">
        <v>758480</v>
      </c>
      <c r="H3445" t="s">
        <v>22928</v>
      </c>
      <c r="J3445" s="54" t="s">
        <v>22927</v>
      </c>
      <c r="K3445" s="54">
        <v>2</v>
      </c>
      <c r="L3445" s="22" t="s">
        <v>104</v>
      </c>
      <c r="M3445" s="22" t="s">
        <v>36814</v>
      </c>
    </row>
    <row r="3446" spans="1:13" x14ac:dyDescent="0.75">
      <c r="A3446" t="s">
        <v>4148</v>
      </c>
      <c r="B3446" t="s">
        <v>2376</v>
      </c>
      <c r="C3446" t="s">
        <v>10700</v>
      </c>
      <c r="D3446" t="s">
        <v>17168</v>
      </c>
      <c r="E3446" t="s">
        <v>22933</v>
      </c>
      <c r="F3446">
        <v>2</v>
      </c>
      <c r="G3446">
        <v>755984</v>
      </c>
      <c r="H3446" t="s">
        <v>22934</v>
      </c>
      <c r="J3446" s="54" t="s">
        <v>22933</v>
      </c>
      <c r="K3446" s="54">
        <v>2</v>
      </c>
      <c r="L3446" s="22" t="s">
        <v>104</v>
      </c>
      <c r="M3446" s="22" t="s">
        <v>36814</v>
      </c>
    </row>
    <row r="3447" spans="1:13" x14ac:dyDescent="0.75">
      <c r="A3447" t="s">
        <v>4074</v>
      </c>
      <c r="B3447" t="s">
        <v>2376</v>
      </c>
      <c r="C3447" t="s">
        <v>10700</v>
      </c>
      <c r="D3447" t="s">
        <v>17168</v>
      </c>
      <c r="E3447" t="s">
        <v>22915</v>
      </c>
      <c r="F3447">
        <v>1</v>
      </c>
      <c r="G3447">
        <v>718383</v>
      </c>
      <c r="H3447" t="s">
        <v>22916</v>
      </c>
      <c r="J3447" s="54" t="s">
        <v>22915</v>
      </c>
      <c r="K3447" s="54">
        <v>2</v>
      </c>
      <c r="L3447" s="22" t="s">
        <v>104</v>
      </c>
      <c r="M3447" s="22" t="s">
        <v>36814</v>
      </c>
    </row>
    <row r="3448" spans="1:13" x14ac:dyDescent="0.75">
      <c r="A3448" t="s">
        <v>4116</v>
      </c>
      <c r="B3448" t="s">
        <v>2376</v>
      </c>
      <c r="C3448" t="s">
        <v>10700</v>
      </c>
      <c r="D3448" t="s">
        <v>17168</v>
      </c>
      <c r="E3448" t="s">
        <v>22925</v>
      </c>
      <c r="F3448">
        <v>3</v>
      </c>
      <c r="G3448">
        <v>718486</v>
      </c>
      <c r="H3448" t="s">
        <v>22926</v>
      </c>
      <c r="J3448" s="54" t="s">
        <v>22925</v>
      </c>
      <c r="K3448" s="54">
        <v>2</v>
      </c>
      <c r="L3448" s="22" t="s">
        <v>104</v>
      </c>
      <c r="M3448" s="22" t="s">
        <v>36814</v>
      </c>
    </row>
    <row r="3449" spans="1:13" x14ac:dyDescent="0.75">
      <c r="A3449" t="s">
        <v>4098</v>
      </c>
      <c r="B3449" t="s">
        <v>2376</v>
      </c>
      <c r="C3449" t="s">
        <v>10700</v>
      </c>
      <c r="D3449" t="s">
        <v>17168</v>
      </c>
      <c r="E3449" t="s">
        <v>22921</v>
      </c>
      <c r="F3449">
        <v>2</v>
      </c>
      <c r="G3449">
        <v>725580</v>
      </c>
      <c r="H3449" t="s">
        <v>22922</v>
      </c>
      <c r="J3449" s="54" t="s">
        <v>22921</v>
      </c>
      <c r="K3449" s="54">
        <v>2</v>
      </c>
      <c r="L3449" s="22" t="s">
        <v>104</v>
      </c>
      <c r="M3449" s="22" t="s">
        <v>36814</v>
      </c>
    </row>
    <row r="3450" spans="1:13" x14ac:dyDescent="0.75">
      <c r="A3450" t="s">
        <v>4090</v>
      </c>
      <c r="B3450" t="s">
        <v>2376</v>
      </c>
      <c r="C3450" t="s">
        <v>10700</v>
      </c>
      <c r="D3450" t="s">
        <v>17168</v>
      </c>
      <c r="E3450" t="s">
        <v>22919</v>
      </c>
      <c r="F3450">
        <v>1</v>
      </c>
      <c r="G3450">
        <v>771907</v>
      </c>
      <c r="H3450" t="s">
        <v>22920</v>
      </c>
      <c r="J3450" s="54" t="s">
        <v>22919</v>
      </c>
      <c r="K3450" s="54">
        <v>2</v>
      </c>
      <c r="L3450" s="22" t="s">
        <v>104</v>
      </c>
      <c r="M3450" s="22" t="s">
        <v>36814</v>
      </c>
    </row>
    <row r="3451" spans="1:13" x14ac:dyDescent="0.75">
      <c r="A3451" t="s">
        <v>2375</v>
      </c>
      <c r="B3451" t="s">
        <v>2376</v>
      </c>
      <c r="C3451" t="s">
        <v>10700</v>
      </c>
      <c r="D3451" t="s">
        <v>17168</v>
      </c>
      <c r="E3451" t="s">
        <v>17169</v>
      </c>
      <c r="F3451">
        <v>28</v>
      </c>
      <c r="G3451">
        <v>703325</v>
      </c>
      <c r="H3451" t="s">
        <v>17170</v>
      </c>
      <c r="J3451" s="54" t="s">
        <v>17169</v>
      </c>
      <c r="K3451" s="54">
        <v>2</v>
      </c>
      <c r="L3451" s="22" t="s">
        <v>104</v>
      </c>
      <c r="M3451" s="22" t="s">
        <v>36814</v>
      </c>
    </row>
    <row r="3452" spans="1:13" x14ac:dyDescent="0.75">
      <c r="A3452" t="s">
        <v>4036</v>
      </c>
      <c r="B3452" t="s">
        <v>2376</v>
      </c>
      <c r="C3452" t="s">
        <v>10700</v>
      </c>
      <c r="D3452" t="s">
        <v>17168</v>
      </c>
      <c r="E3452" t="s">
        <v>21926</v>
      </c>
      <c r="F3452">
        <v>39</v>
      </c>
      <c r="G3452">
        <v>760861</v>
      </c>
      <c r="H3452" t="s">
        <v>21927</v>
      </c>
      <c r="J3452" s="54" t="s">
        <v>21926</v>
      </c>
      <c r="K3452" s="54">
        <v>2</v>
      </c>
      <c r="L3452" s="22" t="s">
        <v>104</v>
      </c>
      <c r="M3452" s="22" t="s">
        <v>36814</v>
      </c>
    </row>
    <row r="3453" spans="1:13" x14ac:dyDescent="0.75">
      <c r="A3453" t="s">
        <v>4041</v>
      </c>
      <c r="B3453" t="s">
        <v>2376</v>
      </c>
      <c r="C3453" t="s">
        <v>10700</v>
      </c>
      <c r="D3453" t="s">
        <v>17168</v>
      </c>
      <c r="E3453" t="s">
        <v>21953</v>
      </c>
      <c r="F3453">
        <v>1</v>
      </c>
      <c r="G3453">
        <v>677938</v>
      </c>
      <c r="H3453" t="s">
        <v>21954</v>
      </c>
      <c r="J3453" s="54" t="s">
        <v>21953</v>
      </c>
      <c r="K3453" s="54">
        <v>2</v>
      </c>
      <c r="L3453" s="22" t="s">
        <v>104</v>
      </c>
      <c r="M3453" s="22" t="s">
        <v>36814</v>
      </c>
    </row>
    <row r="3454" spans="1:13" x14ac:dyDescent="0.75">
      <c r="A3454" t="s">
        <v>2905</v>
      </c>
      <c r="B3454" t="s">
        <v>2376</v>
      </c>
      <c r="C3454" t="s">
        <v>10700</v>
      </c>
      <c r="D3454" t="s">
        <v>17168</v>
      </c>
      <c r="E3454" t="s">
        <v>19268</v>
      </c>
      <c r="F3454">
        <v>17</v>
      </c>
      <c r="G3454">
        <v>727057</v>
      </c>
      <c r="H3454" t="s">
        <v>19269</v>
      </c>
      <c r="J3454" s="54" t="s">
        <v>19268</v>
      </c>
      <c r="K3454" s="54">
        <v>2</v>
      </c>
      <c r="L3454" s="22" t="s">
        <v>104</v>
      </c>
      <c r="M3454" s="22" t="s">
        <v>36814</v>
      </c>
    </row>
    <row r="3455" spans="1:13" x14ac:dyDescent="0.75">
      <c r="A3455" t="s">
        <v>17163</v>
      </c>
      <c r="B3455" t="s">
        <v>17164</v>
      </c>
      <c r="C3455" t="s">
        <v>10700</v>
      </c>
      <c r="D3455" t="s">
        <v>17165</v>
      </c>
      <c r="E3455" t="s">
        <v>17166</v>
      </c>
      <c r="F3455">
        <v>65</v>
      </c>
      <c r="G3455">
        <v>628606</v>
      </c>
      <c r="H3455" t="s">
        <v>17167</v>
      </c>
      <c r="J3455" s="54" t="s">
        <v>6052</v>
      </c>
      <c r="K3455" s="54">
        <v>0</v>
      </c>
      <c r="L3455" s="22" t="s">
        <v>104</v>
      </c>
      <c r="M3455" s="22" t="s">
        <v>37154</v>
      </c>
    </row>
    <row r="3456" spans="1:13" x14ac:dyDescent="0.75">
      <c r="A3456" t="s">
        <v>16544</v>
      </c>
      <c r="B3456" t="s">
        <v>16545</v>
      </c>
      <c r="C3456" t="s">
        <v>16546</v>
      </c>
      <c r="D3456" t="s">
        <v>16547</v>
      </c>
      <c r="E3456" t="s">
        <v>16548</v>
      </c>
      <c r="F3456">
        <v>6</v>
      </c>
      <c r="G3456">
        <v>726940</v>
      </c>
      <c r="H3456" t="s">
        <v>16549</v>
      </c>
      <c r="J3456" s="54" t="s">
        <v>6052</v>
      </c>
      <c r="K3456" s="54">
        <v>0</v>
      </c>
      <c r="L3456" s="22" t="s">
        <v>104</v>
      </c>
      <c r="M3456" s="22" t="s">
        <v>37158</v>
      </c>
    </row>
    <row r="3457" spans="1:13" x14ac:dyDescent="0.75">
      <c r="A3457" t="s">
        <v>19256</v>
      </c>
      <c r="B3457" t="s">
        <v>16551</v>
      </c>
      <c r="C3457" t="s">
        <v>16546</v>
      </c>
      <c r="D3457" t="s">
        <v>16552</v>
      </c>
      <c r="E3457" t="s">
        <v>19257</v>
      </c>
      <c r="F3457">
        <v>58</v>
      </c>
      <c r="G3457">
        <v>848618</v>
      </c>
      <c r="H3457" t="s">
        <v>19258</v>
      </c>
      <c r="J3457" s="54" t="s">
        <v>6052</v>
      </c>
      <c r="K3457" s="54">
        <v>0</v>
      </c>
      <c r="L3457" s="22" t="s">
        <v>104</v>
      </c>
      <c r="M3457" s="22" t="s">
        <v>37157</v>
      </c>
    </row>
    <row r="3458" spans="1:13" x14ac:dyDescent="0.75">
      <c r="A3458" t="s">
        <v>16550</v>
      </c>
      <c r="B3458" t="s">
        <v>16551</v>
      </c>
      <c r="C3458" t="s">
        <v>16546</v>
      </c>
      <c r="D3458" t="s">
        <v>16552</v>
      </c>
      <c r="E3458" t="s">
        <v>16553</v>
      </c>
      <c r="F3458">
        <v>36</v>
      </c>
      <c r="G3458">
        <v>563736</v>
      </c>
      <c r="H3458" t="s">
        <v>16554</v>
      </c>
      <c r="J3458" s="54" t="s">
        <v>6052</v>
      </c>
      <c r="K3458" s="54">
        <v>0</v>
      </c>
      <c r="L3458" s="22" t="s">
        <v>104</v>
      </c>
      <c r="M3458" s="22" t="s">
        <v>37157</v>
      </c>
    </row>
    <row r="3459" spans="1:13" x14ac:dyDescent="0.75">
      <c r="A3459" t="s">
        <v>19265</v>
      </c>
      <c r="B3459" t="s">
        <v>17153</v>
      </c>
      <c r="C3459" t="s">
        <v>16546</v>
      </c>
      <c r="D3459" t="s">
        <v>17154</v>
      </c>
      <c r="E3459" t="s">
        <v>19266</v>
      </c>
      <c r="F3459">
        <v>32</v>
      </c>
      <c r="G3459">
        <v>667180</v>
      </c>
      <c r="H3459" t="s">
        <v>19267</v>
      </c>
      <c r="J3459" s="54" t="s">
        <v>6052</v>
      </c>
      <c r="K3459" s="54">
        <v>0</v>
      </c>
      <c r="L3459" s="22" t="s">
        <v>104</v>
      </c>
      <c r="M3459" s="22" t="s">
        <v>37156</v>
      </c>
    </row>
    <row r="3460" spans="1:13" x14ac:dyDescent="0.75">
      <c r="A3460" t="s">
        <v>19262</v>
      </c>
      <c r="B3460" t="s">
        <v>17153</v>
      </c>
      <c r="C3460" t="s">
        <v>16546</v>
      </c>
      <c r="D3460" t="s">
        <v>17154</v>
      </c>
      <c r="E3460" t="s">
        <v>19263</v>
      </c>
      <c r="F3460">
        <v>37</v>
      </c>
      <c r="G3460">
        <v>721923</v>
      </c>
      <c r="H3460" t="s">
        <v>19264</v>
      </c>
      <c r="J3460" s="54" t="s">
        <v>6052</v>
      </c>
      <c r="K3460" s="54">
        <v>0</v>
      </c>
      <c r="L3460" s="22" t="s">
        <v>104</v>
      </c>
      <c r="M3460" s="22" t="s">
        <v>37156</v>
      </c>
    </row>
    <row r="3461" spans="1:13" x14ac:dyDescent="0.75">
      <c r="A3461" t="s">
        <v>19259</v>
      </c>
      <c r="B3461" t="s">
        <v>17153</v>
      </c>
      <c r="C3461" t="s">
        <v>16546</v>
      </c>
      <c r="D3461" t="s">
        <v>17154</v>
      </c>
      <c r="E3461" t="s">
        <v>19260</v>
      </c>
      <c r="F3461">
        <v>185</v>
      </c>
      <c r="G3461">
        <v>714681</v>
      </c>
      <c r="H3461" t="s">
        <v>19261</v>
      </c>
      <c r="J3461" s="54" t="s">
        <v>6052</v>
      </c>
      <c r="K3461" s="54">
        <v>0</v>
      </c>
      <c r="L3461" s="22" t="s">
        <v>104</v>
      </c>
      <c r="M3461" s="22" t="s">
        <v>37156</v>
      </c>
    </row>
    <row r="3462" spans="1:13" x14ac:dyDescent="0.75">
      <c r="A3462" t="s">
        <v>18592</v>
      </c>
      <c r="B3462" t="s">
        <v>17153</v>
      </c>
      <c r="C3462" t="s">
        <v>16546</v>
      </c>
      <c r="D3462" t="s">
        <v>17154</v>
      </c>
      <c r="E3462" t="s">
        <v>18593</v>
      </c>
      <c r="F3462">
        <v>35</v>
      </c>
      <c r="G3462">
        <v>738377</v>
      </c>
      <c r="H3462" t="s">
        <v>18594</v>
      </c>
      <c r="J3462" s="54" t="s">
        <v>6052</v>
      </c>
      <c r="K3462" s="54">
        <v>0</v>
      </c>
      <c r="L3462" s="22" t="s">
        <v>104</v>
      </c>
      <c r="M3462" s="22" t="s">
        <v>37156</v>
      </c>
    </row>
    <row r="3463" spans="1:13" x14ac:dyDescent="0.75">
      <c r="A3463" t="s">
        <v>18577</v>
      </c>
      <c r="B3463" t="s">
        <v>17153</v>
      </c>
      <c r="C3463" t="s">
        <v>16546</v>
      </c>
      <c r="D3463" t="s">
        <v>17154</v>
      </c>
      <c r="E3463" t="s">
        <v>18578</v>
      </c>
      <c r="F3463">
        <v>53</v>
      </c>
      <c r="G3463">
        <v>725630</v>
      </c>
      <c r="H3463" t="s">
        <v>18579</v>
      </c>
      <c r="J3463" s="54" t="s">
        <v>6052</v>
      </c>
      <c r="K3463" s="54">
        <v>0</v>
      </c>
      <c r="L3463" s="22" t="s">
        <v>104</v>
      </c>
      <c r="M3463" s="22" t="s">
        <v>37156</v>
      </c>
    </row>
    <row r="3464" spans="1:13" x14ac:dyDescent="0.75">
      <c r="A3464" t="s">
        <v>17152</v>
      </c>
      <c r="B3464" t="s">
        <v>17153</v>
      </c>
      <c r="C3464" t="s">
        <v>16546</v>
      </c>
      <c r="D3464" t="s">
        <v>17154</v>
      </c>
      <c r="E3464" t="s">
        <v>17155</v>
      </c>
      <c r="F3464">
        <v>53</v>
      </c>
      <c r="G3464">
        <v>620127</v>
      </c>
      <c r="H3464" t="s">
        <v>17156</v>
      </c>
      <c r="J3464" s="54" t="s">
        <v>6052</v>
      </c>
      <c r="K3464" s="54">
        <v>0</v>
      </c>
      <c r="L3464" s="22" t="s">
        <v>104</v>
      </c>
      <c r="M3464" s="22" t="s">
        <v>37156</v>
      </c>
    </row>
    <row r="3465" spans="1:13" x14ac:dyDescent="0.75">
      <c r="A3465" t="s">
        <v>19270</v>
      </c>
      <c r="B3465" t="s">
        <v>17148</v>
      </c>
      <c r="C3465" t="s">
        <v>16546</v>
      </c>
      <c r="D3465" t="s">
        <v>17149</v>
      </c>
      <c r="E3465" t="s">
        <v>19271</v>
      </c>
      <c r="F3465">
        <v>28</v>
      </c>
      <c r="G3465">
        <v>776077</v>
      </c>
      <c r="H3465" t="s">
        <v>19272</v>
      </c>
      <c r="J3465" s="54" t="s">
        <v>6052</v>
      </c>
      <c r="K3465" s="54">
        <v>0</v>
      </c>
      <c r="L3465" s="22" t="s">
        <v>104</v>
      </c>
      <c r="M3465" s="22" t="s">
        <v>37155</v>
      </c>
    </row>
    <row r="3466" spans="1:13" x14ac:dyDescent="0.75">
      <c r="A3466" t="s">
        <v>18618</v>
      </c>
      <c r="B3466" t="s">
        <v>17148</v>
      </c>
      <c r="C3466" t="s">
        <v>16546</v>
      </c>
      <c r="D3466" t="s">
        <v>17149</v>
      </c>
      <c r="E3466" t="s">
        <v>18619</v>
      </c>
      <c r="F3466">
        <v>31</v>
      </c>
      <c r="G3466">
        <v>778783</v>
      </c>
      <c r="H3466" t="s">
        <v>18620</v>
      </c>
      <c r="J3466" s="54" t="s">
        <v>6052</v>
      </c>
      <c r="K3466" s="54">
        <v>0</v>
      </c>
      <c r="L3466" s="22" t="s">
        <v>104</v>
      </c>
      <c r="M3466" s="22" t="s">
        <v>37155</v>
      </c>
    </row>
    <row r="3467" spans="1:13" x14ac:dyDescent="0.75">
      <c r="A3467" t="s">
        <v>18610</v>
      </c>
      <c r="B3467" t="s">
        <v>17148</v>
      </c>
      <c r="C3467" t="s">
        <v>16546</v>
      </c>
      <c r="D3467" t="s">
        <v>17149</v>
      </c>
      <c r="E3467" t="s">
        <v>18611</v>
      </c>
      <c r="F3467">
        <v>53</v>
      </c>
      <c r="G3467">
        <v>635716</v>
      </c>
      <c r="H3467" t="s">
        <v>18612</v>
      </c>
      <c r="J3467" s="54" t="s">
        <v>6052</v>
      </c>
      <c r="K3467" s="54">
        <v>0</v>
      </c>
      <c r="L3467" s="22" t="s">
        <v>104</v>
      </c>
      <c r="M3467" s="22" t="s">
        <v>37155</v>
      </c>
    </row>
    <row r="3468" spans="1:13" x14ac:dyDescent="0.75">
      <c r="A3468" t="s">
        <v>18598</v>
      </c>
      <c r="B3468" t="s">
        <v>17148</v>
      </c>
      <c r="C3468" t="s">
        <v>16546</v>
      </c>
      <c r="D3468" t="s">
        <v>17149</v>
      </c>
      <c r="E3468" t="s">
        <v>18599</v>
      </c>
      <c r="F3468">
        <v>72</v>
      </c>
      <c r="G3468">
        <v>737067</v>
      </c>
      <c r="H3468" t="s">
        <v>18600</v>
      </c>
      <c r="J3468" s="54" t="s">
        <v>6052</v>
      </c>
      <c r="K3468" s="54">
        <v>0</v>
      </c>
      <c r="L3468" s="22" t="s">
        <v>104</v>
      </c>
      <c r="M3468" s="22" t="s">
        <v>37155</v>
      </c>
    </row>
    <row r="3469" spans="1:13" x14ac:dyDescent="0.75">
      <c r="A3469" t="s">
        <v>18595</v>
      </c>
      <c r="B3469" t="s">
        <v>17148</v>
      </c>
      <c r="C3469" t="s">
        <v>16546</v>
      </c>
      <c r="D3469" t="s">
        <v>17149</v>
      </c>
      <c r="E3469" t="s">
        <v>18596</v>
      </c>
      <c r="F3469">
        <v>37</v>
      </c>
      <c r="G3469">
        <v>826344</v>
      </c>
      <c r="H3469" t="s">
        <v>18597</v>
      </c>
      <c r="J3469" s="54" t="s">
        <v>6052</v>
      </c>
      <c r="K3469" s="54">
        <v>0</v>
      </c>
      <c r="L3469" s="22" t="s">
        <v>104</v>
      </c>
      <c r="M3469" s="22" t="s">
        <v>37155</v>
      </c>
    </row>
    <row r="3470" spans="1:13" x14ac:dyDescent="0.75">
      <c r="A3470" t="s">
        <v>18580</v>
      </c>
      <c r="B3470" t="s">
        <v>17148</v>
      </c>
      <c r="C3470" t="s">
        <v>16546</v>
      </c>
      <c r="D3470" t="s">
        <v>17149</v>
      </c>
      <c r="E3470" t="s">
        <v>18581</v>
      </c>
      <c r="F3470">
        <v>56</v>
      </c>
      <c r="G3470">
        <v>758611</v>
      </c>
      <c r="H3470" t="s">
        <v>18582</v>
      </c>
      <c r="J3470" s="54" t="s">
        <v>6052</v>
      </c>
      <c r="K3470" s="54">
        <v>0</v>
      </c>
      <c r="L3470" s="22" t="s">
        <v>104</v>
      </c>
      <c r="M3470" s="22" t="s">
        <v>37155</v>
      </c>
    </row>
    <row r="3471" spans="1:13" x14ac:dyDescent="0.75">
      <c r="A3471" t="s">
        <v>17147</v>
      </c>
      <c r="B3471" t="s">
        <v>17148</v>
      </c>
      <c r="C3471" t="s">
        <v>16546</v>
      </c>
      <c r="D3471" t="s">
        <v>17149</v>
      </c>
      <c r="E3471" t="s">
        <v>17150</v>
      </c>
      <c r="F3471">
        <v>58</v>
      </c>
      <c r="G3471">
        <v>622110</v>
      </c>
      <c r="H3471" t="s">
        <v>17151</v>
      </c>
      <c r="J3471" s="54" t="s">
        <v>6052</v>
      </c>
      <c r="K3471" s="54">
        <v>0</v>
      </c>
      <c r="L3471" s="22" t="s">
        <v>104</v>
      </c>
      <c r="M3471" s="22" t="s">
        <v>37155</v>
      </c>
    </row>
    <row r="3472" spans="1:13" x14ac:dyDescent="0.75">
      <c r="A3472" t="s">
        <v>11130</v>
      </c>
      <c r="B3472" t="s">
        <v>7586</v>
      </c>
      <c r="C3472" t="s">
        <v>6156</v>
      </c>
      <c r="D3472" t="s">
        <v>7587</v>
      </c>
      <c r="E3472" t="s">
        <v>11131</v>
      </c>
      <c r="F3472">
        <v>77</v>
      </c>
      <c r="G3472">
        <v>2400000</v>
      </c>
      <c r="H3472" t="s">
        <v>11132</v>
      </c>
      <c r="J3472" s="54" t="s">
        <v>6052</v>
      </c>
      <c r="K3472" s="54">
        <v>0</v>
      </c>
      <c r="L3472" s="22" t="s">
        <v>104</v>
      </c>
      <c r="M3472" s="22" t="s">
        <v>37166</v>
      </c>
    </row>
    <row r="3473" spans="1:13" x14ac:dyDescent="0.75">
      <c r="A3473" t="s">
        <v>11199</v>
      </c>
      <c r="B3473" t="s">
        <v>7586</v>
      </c>
      <c r="C3473" t="s">
        <v>6156</v>
      </c>
      <c r="D3473" t="s">
        <v>7587</v>
      </c>
      <c r="E3473" t="s">
        <v>11200</v>
      </c>
      <c r="F3473">
        <v>174</v>
      </c>
      <c r="G3473">
        <v>2360941</v>
      </c>
      <c r="H3473" t="s">
        <v>11201</v>
      </c>
      <c r="J3473" s="54" t="s">
        <v>6052</v>
      </c>
      <c r="K3473" s="54">
        <v>0</v>
      </c>
      <c r="L3473" s="22" t="s">
        <v>104</v>
      </c>
      <c r="M3473" s="22" t="s">
        <v>37166</v>
      </c>
    </row>
    <row r="3474" spans="1:13" x14ac:dyDescent="0.75">
      <c r="A3474" t="s">
        <v>7585</v>
      </c>
      <c r="B3474" t="s">
        <v>7586</v>
      </c>
      <c r="C3474" t="s">
        <v>6156</v>
      </c>
      <c r="D3474" t="s">
        <v>7587</v>
      </c>
      <c r="E3474" t="s">
        <v>7588</v>
      </c>
      <c r="F3474">
        <v>68</v>
      </c>
      <c r="G3474">
        <v>2470575</v>
      </c>
      <c r="H3474" t="s">
        <v>7589</v>
      </c>
      <c r="J3474" s="54" t="s">
        <v>6052</v>
      </c>
      <c r="K3474" s="54">
        <v>0</v>
      </c>
      <c r="L3474" s="22" t="s">
        <v>104</v>
      </c>
      <c r="M3474" s="22" t="s">
        <v>37166</v>
      </c>
    </row>
    <row r="3475" spans="1:13" x14ac:dyDescent="0.75">
      <c r="A3475" t="s">
        <v>18818</v>
      </c>
      <c r="B3475" t="s">
        <v>7586</v>
      </c>
      <c r="C3475" t="s">
        <v>6156</v>
      </c>
      <c r="D3475" t="s">
        <v>7587</v>
      </c>
      <c r="E3475" t="s">
        <v>18819</v>
      </c>
      <c r="F3475">
        <v>1</v>
      </c>
      <c r="G3475">
        <v>2492712</v>
      </c>
      <c r="H3475" t="s">
        <v>18820</v>
      </c>
      <c r="J3475" s="54" t="s">
        <v>6052</v>
      </c>
      <c r="K3475" s="54">
        <v>0</v>
      </c>
      <c r="L3475" s="22" t="s">
        <v>104</v>
      </c>
      <c r="M3475" s="22" t="s">
        <v>37166</v>
      </c>
    </row>
    <row r="3476" spans="1:13" x14ac:dyDescent="0.75">
      <c r="A3476" t="s">
        <v>29582</v>
      </c>
      <c r="B3476" t="s">
        <v>7586</v>
      </c>
      <c r="C3476" t="s">
        <v>6156</v>
      </c>
      <c r="D3476" t="s">
        <v>7587</v>
      </c>
      <c r="E3476" t="s">
        <v>29583</v>
      </c>
      <c r="F3476">
        <v>216</v>
      </c>
      <c r="G3476">
        <v>2197701</v>
      </c>
      <c r="H3476" t="s">
        <v>29584</v>
      </c>
      <c r="J3476" s="54" t="s">
        <v>6052</v>
      </c>
      <c r="K3476" s="54">
        <v>0</v>
      </c>
      <c r="L3476" s="22" t="s">
        <v>104</v>
      </c>
      <c r="M3476" s="22" t="s">
        <v>37166</v>
      </c>
    </row>
    <row r="3477" spans="1:13" x14ac:dyDescent="0.75">
      <c r="A3477" t="s">
        <v>7123</v>
      </c>
      <c r="B3477" t="s">
        <v>7124</v>
      </c>
      <c r="C3477" t="s">
        <v>6156</v>
      </c>
      <c r="D3477" t="s">
        <v>7125</v>
      </c>
      <c r="E3477" t="s">
        <v>7126</v>
      </c>
      <c r="F3477">
        <v>35</v>
      </c>
      <c r="G3477">
        <v>1872773</v>
      </c>
      <c r="H3477" t="s">
        <v>7127</v>
      </c>
      <c r="J3477" s="54" t="s">
        <v>6052</v>
      </c>
      <c r="K3477" s="54">
        <v>0</v>
      </c>
      <c r="L3477" s="22" t="s">
        <v>104</v>
      </c>
      <c r="M3477" s="22" t="s">
        <v>37170</v>
      </c>
    </row>
    <row r="3478" spans="1:13" x14ac:dyDescent="0.75">
      <c r="A3478" t="s">
        <v>14853</v>
      </c>
      <c r="B3478" t="s">
        <v>7124</v>
      </c>
      <c r="C3478" t="s">
        <v>6156</v>
      </c>
      <c r="D3478" t="s">
        <v>7125</v>
      </c>
      <c r="E3478" t="s">
        <v>14854</v>
      </c>
      <c r="F3478">
        <v>11</v>
      </c>
      <c r="G3478">
        <v>1901573</v>
      </c>
      <c r="H3478" t="s">
        <v>14855</v>
      </c>
      <c r="J3478" s="54" t="s">
        <v>6052</v>
      </c>
      <c r="K3478" s="54">
        <v>0</v>
      </c>
      <c r="L3478" s="22" t="s">
        <v>104</v>
      </c>
      <c r="M3478" s="22" t="s">
        <v>37170</v>
      </c>
    </row>
    <row r="3479" spans="1:13" x14ac:dyDescent="0.75">
      <c r="A3479" t="s">
        <v>14859</v>
      </c>
      <c r="B3479" t="s">
        <v>7124</v>
      </c>
      <c r="C3479" t="s">
        <v>6156</v>
      </c>
      <c r="D3479" t="s">
        <v>7125</v>
      </c>
      <c r="E3479" t="s">
        <v>14860</v>
      </c>
      <c r="F3479">
        <v>16</v>
      </c>
      <c r="G3479">
        <v>1865434</v>
      </c>
      <c r="H3479" t="s">
        <v>14861</v>
      </c>
      <c r="J3479" s="54" t="s">
        <v>6052</v>
      </c>
      <c r="K3479" s="54">
        <v>0</v>
      </c>
      <c r="L3479" s="22" t="s">
        <v>104</v>
      </c>
      <c r="M3479" s="22" t="s">
        <v>37170</v>
      </c>
    </row>
    <row r="3480" spans="1:13" x14ac:dyDescent="0.75">
      <c r="A3480" t="s">
        <v>14868</v>
      </c>
      <c r="B3480" t="s">
        <v>7124</v>
      </c>
      <c r="C3480" t="s">
        <v>6156</v>
      </c>
      <c r="D3480" t="s">
        <v>7125</v>
      </c>
      <c r="E3480" t="s">
        <v>14869</v>
      </c>
      <c r="F3480">
        <v>13</v>
      </c>
      <c r="G3480">
        <v>1876226</v>
      </c>
      <c r="H3480" t="s">
        <v>14870</v>
      </c>
      <c r="J3480" s="54" t="s">
        <v>6052</v>
      </c>
      <c r="K3480" s="54">
        <v>0</v>
      </c>
      <c r="L3480" s="22" t="s">
        <v>104</v>
      </c>
      <c r="M3480" s="22" t="s">
        <v>37170</v>
      </c>
    </row>
    <row r="3481" spans="1:13" x14ac:dyDescent="0.75">
      <c r="A3481" t="s">
        <v>14874</v>
      </c>
      <c r="B3481" t="s">
        <v>7124</v>
      </c>
      <c r="C3481" t="s">
        <v>6156</v>
      </c>
      <c r="D3481" t="s">
        <v>7125</v>
      </c>
      <c r="E3481" t="s">
        <v>14875</v>
      </c>
      <c r="F3481">
        <v>11</v>
      </c>
      <c r="G3481">
        <v>1922289</v>
      </c>
      <c r="H3481" t="s">
        <v>14876</v>
      </c>
      <c r="J3481" s="54" t="s">
        <v>6052</v>
      </c>
      <c r="K3481" s="54">
        <v>0</v>
      </c>
      <c r="L3481" s="22" t="s">
        <v>104</v>
      </c>
      <c r="M3481" s="22" t="s">
        <v>37170</v>
      </c>
    </row>
    <row r="3482" spans="1:13" x14ac:dyDescent="0.75">
      <c r="A3482" t="s">
        <v>21937</v>
      </c>
      <c r="B3482" t="s">
        <v>7124</v>
      </c>
      <c r="C3482" t="s">
        <v>6156</v>
      </c>
      <c r="D3482" t="s">
        <v>7125</v>
      </c>
      <c r="E3482" t="s">
        <v>21938</v>
      </c>
      <c r="F3482">
        <v>30</v>
      </c>
      <c r="G3482">
        <v>1861283</v>
      </c>
      <c r="H3482" t="s">
        <v>21939</v>
      </c>
      <c r="J3482" s="54" t="s">
        <v>6052</v>
      </c>
      <c r="K3482" s="54">
        <v>0</v>
      </c>
      <c r="L3482" s="22" t="s">
        <v>104</v>
      </c>
      <c r="M3482" s="22" t="s">
        <v>37170</v>
      </c>
    </row>
    <row r="3483" spans="1:13" x14ac:dyDescent="0.75">
      <c r="A3483" t="s">
        <v>30786</v>
      </c>
      <c r="B3483" t="s">
        <v>7124</v>
      </c>
      <c r="C3483" t="s">
        <v>6156</v>
      </c>
      <c r="D3483" t="s">
        <v>7125</v>
      </c>
      <c r="E3483" t="s">
        <v>30787</v>
      </c>
      <c r="F3483">
        <v>32</v>
      </c>
      <c r="G3483">
        <v>1914781</v>
      </c>
      <c r="H3483" t="s">
        <v>30788</v>
      </c>
      <c r="J3483" s="54" t="s">
        <v>6052</v>
      </c>
      <c r="K3483" s="54">
        <v>0</v>
      </c>
      <c r="L3483" s="22" t="s">
        <v>104</v>
      </c>
      <c r="M3483" s="22" t="s">
        <v>37170</v>
      </c>
    </row>
    <row r="3484" spans="1:13" x14ac:dyDescent="0.75">
      <c r="A3484" t="s">
        <v>30756</v>
      </c>
      <c r="B3484" t="s">
        <v>7124</v>
      </c>
      <c r="C3484" t="s">
        <v>6156</v>
      </c>
      <c r="D3484" t="s">
        <v>7125</v>
      </c>
      <c r="E3484" t="s">
        <v>30757</v>
      </c>
      <c r="F3484">
        <v>42</v>
      </c>
      <c r="G3484">
        <v>1815848</v>
      </c>
      <c r="H3484" t="s">
        <v>30758</v>
      </c>
      <c r="J3484" s="54" t="s">
        <v>6052</v>
      </c>
      <c r="K3484" s="54">
        <v>0</v>
      </c>
      <c r="L3484" s="22" t="s">
        <v>104</v>
      </c>
      <c r="M3484" s="22" t="s">
        <v>37170</v>
      </c>
    </row>
    <row r="3485" spans="1:13" x14ac:dyDescent="0.75">
      <c r="A3485" t="s">
        <v>30807</v>
      </c>
      <c r="B3485" t="s">
        <v>7124</v>
      </c>
      <c r="C3485" t="s">
        <v>6156</v>
      </c>
      <c r="D3485" t="s">
        <v>7125</v>
      </c>
      <c r="E3485" t="s">
        <v>30808</v>
      </c>
      <c r="F3485">
        <v>26</v>
      </c>
      <c r="G3485">
        <v>1789067</v>
      </c>
      <c r="H3485" t="s">
        <v>30809</v>
      </c>
      <c r="J3485" s="54" t="s">
        <v>6052</v>
      </c>
      <c r="K3485" s="54">
        <v>0</v>
      </c>
      <c r="L3485" s="22" t="s">
        <v>104</v>
      </c>
      <c r="M3485" s="22" t="s">
        <v>37170</v>
      </c>
    </row>
    <row r="3486" spans="1:13" x14ac:dyDescent="0.75">
      <c r="A3486" t="s">
        <v>19995</v>
      </c>
      <c r="B3486" t="s">
        <v>7124</v>
      </c>
      <c r="C3486" t="s">
        <v>6156</v>
      </c>
      <c r="D3486" t="s">
        <v>7125</v>
      </c>
      <c r="E3486" t="s">
        <v>19996</v>
      </c>
      <c r="F3486">
        <v>1</v>
      </c>
      <c r="G3486">
        <v>1832901</v>
      </c>
      <c r="H3486" t="s">
        <v>19997</v>
      </c>
      <c r="J3486" s="54" t="s">
        <v>6052</v>
      </c>
      <c r="K3486" s="54">
        <v>0</v>
      </c>
      <c r="L3486" s="22" t="s">
        <v>104</v>
      </c>
      <c r="M3486" s="22" t="s">
        <v>37170</v>
      </c>
    </row>
    <row r="3487" spans="1:13" x14ac:dyDescent="0.75">
      <c r="A3487" t="s">
        <v>27687</v>
      </c>
      <c r="B3487" t="s">
        <v>7124</v>
      </c>
      <c r="C3487" t="s">
        <v>6156</v>
      </c>
      <c r="D3487" t="s">
        <v>7125</v>
      </c>
      <c r="E3487" t="s">
        <v>27688</v>
      </c>
      <c r="F3487">
        <v>1</v>
      </c>
      <c r="G3487">
        <v>1832904</v>
      </c>
      <c r="H3487" t="s">
        <v>27689</v>
      </c>
      <c r="J3487" s="54" t="s">
        <v>6052</v>
      </c>
      <c r="K3487" s="54">
        <v>0</v>
      </c>
      <c r="L3487" s="22" t="s">
        <v>104</v>
      </c>
      <c r="M3487" s="22" t="s">
        <v>37170</v>
      </c>
    </row>
    <row r="3488" spans="1:13" x14ac:dyDescent="0.75">
      <c r="A3488" t="s">
        <v>18991</v>
      </c>
      <c r="B3488" t="s">
        <v>7124</v>
      </c>
      <c r="C3488" t="s">
        <v>6156</v>
      </c>
      <c r="D3488" t="s">
        <v>7125</v>
      </c>
      <c r="E3488" t="s">
        <v>18992</v>
      </c>
      <c r="F3488">
        <v>26</v>
      </c>
      <c r="G3488">
        <v>1953373</v>
      </c>
      <c r="H3488" t="s">
        <v>18993</v>
      </c>
      <c r="J3488" s="54" t="s">
        <v>6052</v>
      </c>
      <c r="K3488" s="54">
        <v>0</v>
      </c>
      <c r="L3488" s="22" t="s">
        <v>104</v>
      </c>
      <c r="M3488" s="22" t="s">
        <v>37170</v>
      </c>
    </row>
    <row r="3489" spans="1:13" x14ac:dyDescent="0.75">
      <c r="A3489" t="s">
        <v>30780</v>
      </c>
      <c r="B3489" t="s">
        <v>7124</v>
      </c>
      <c r="C3489" t="s">
        <v>6156</v>
      </c>
      <c r="D3489" t="s">
        <v>7125</v>
      </c>
      <c r="E3489" t="s">
        <v>30781</v>
      </c>
      <c r="F3489">
        <v>57</v>
      </c>
      <c r="G3489">
        <v>2002810</v>
      </c>
      <c r="H3489" t="s">
        <v>30782</v>
      </c>
      <c r="J3489" s="54" t="s">
        <v>6052</v>
      </c>
      <c r="K3489" s="54">
        <v>0</v>
      </c>
      <c r="L3489" s="22" t="s">
        <v>104</v>
      </c>
      <c r="M3489" s="22" t="s">
        <v>37170</v>
      </c>
    </row>
    <row r="3490" spans="1:13" x14ac:dyDescent="0.75">
      <c r="A3490" t="s">
        <v>11093</v>
      </c>
      <c r="B3490" t="s">
        <v>7234</v>
      </c>
      <c r="C3490" t="s">
        <v>6156</v>
      </c>
      <c r="D3490" t="s">
        <v>7235</v>
      </c>
      <c r="E3490" t="s">
        <v>11094</v>
      </c>
      <c r="F3490">
        <v>114</v>
      </c>
      <c r="G3490">
        <v>2365781</v>
      </c>
      <c r="H3490" t="s">
        <v>11095</v>
      </c>
      <c r="J3490" s="54" t="s">
        <v>6052</v>
      </c>
      <c r="K3490" s="54">
        <v>0</v>
      </c>
      <c r="L3490" s="22" t="s">
        <v>104</v>
      </c>
      <c r="M3490" s="22" t="s">
        <v>37165</v>
      </c>
    </row>
    <row r="3491" spans="1:13" x14ac:dyDescent="0.75">
      <c r="A3491" t="s">
        <v>11157</v>
      </c>
      <c r="B3491" t="s">
        <v>7234</v>
      </c>
      <c r="C3491" t="s">
        <v>6156</v>
      </c>
      <c r="D3491" t="s">
        <v>7235</v>
      </c>
      <c r="E3491" t="s">
        <v>11158</v>
      </c>
      <c r="F3491">
        <v>80</v>
      </c>
      <c r="G3491">
        <v>2404281</v>
      </c>
      <c r="H3491" t="s">
        <v>11159</v>
      </c>
      <c r="J3491" s="54" t="s">
        <v>6052</v>
      </c>
      <c r="K3491" s="54">
        <v>0</v>
      </c>
      <c r="L3491" s="22" t="s">
        <v>104</v>
      </c>
      <c r="M3491" s="22" t="s">
        <v>37165</v>
      </c>
    </row>
    <row r="3492" spans="1:13" x14ac:dyDescent="0.75">
      <c r="A3492" t="s">
        <v>11160</v>
      </c>
      <c r="B3492" t="s">
        <v>7234</v>
      </c>
      <c r="C3492" t="s">
        <v>6156</v>
      </c>
      <c r="D3492" t="s">
        <v>7235</v>
      </c>
      <c r="E3492" t="s">
        <v>11161</v>
      </c>
      <c r="F3492">
        <v>82</v>
      </c>
      <c r="G3492">
        <v>2398408</v>
      </c>
      <c r="H3492" t="s">
        <v>11162</v>
      </c>
      <c r="J3492" s="54" t="s">
        <v>6052</v>
      </c>
      <c r="K3492" s="54">
        <v>0</v>
      </c>
      <c r="L3492" s="22" t="s">
        <v>104</v>
      </c>
      <c r="M3492" s="22" t="s">
        <v>37165</v>
      </c>
    </row>
    <row r="3493" spans="1:13" x14ac:dyDescent="0.75">
      <c r="A3493" t="s">
        <v>20358</v>
      </c>
      <c r="B3493" t="s">
        <v>7234</v>
      </c>
      <c r="C3493" t="s">
        <v>6156</v>
      </c>
      <c r="D3493" t="s">
        <v>7235</v>
      </c>
      <c r="E3493" t="s">
        <v>20359</v>
      </c>
      <c r="F3493">
        <v>96</v>
      </c>
      <c r="G3493">
        <v>2586963</v>
      </c>
      <c r="H3493" t="s">
        <v>20360</v>
      </c>
      <c r="J3493" s="54" t="s">
        <v>6052</v>
      </c>
      <c r="K3493" s="54">
        <v>0</v>
      </c>
      <c r="L3493" s="22" t="s">
        <v>104</v>
      </c>
      <c r="M3493" s="22" t="s">
        <v>37165</v>
      </c>
    </row>
    <row r="3494" spans="1:13" x14ac:dyDescent="0.75">
      <c r="A3494" t="s">
        <v>27191</v>
      </c>
      <c r="B3494" t="s">
        <v>7234</v>
      </c>
      <c r="C3494" t="s">
        <v>6156</v>
      </c>
      <c r="D3494" t="s">
        <v>7235</v>
      </c>
      <c r="E3494" t="s">
        <v>27192</v>
      </c>
      <c r="F3494">
        <v>25</v>
      </c>
      <c r="G3494">
        <v>2360727</v>
      </c>
      <c r="H3494" t="s">
        <v>27193</v>
      </c>
      <c r="J3494" s="54" t="s">
        <v>6052</v>
      </c>
      <c r="K3494" s="54">
        <v>0</v>
      </c>
      <c r="L3494" s="22" t="s">
        <v>104</v>
      </c>
      <c r="M3494" s="22" t="s">
        <v>37165</v>
      </c>
    </row>
    <row r="3495" spans="1:13" x14ac:dyDescent="0.75">
      <c r="A3495" t="s">
        <v>7233</v>
      </c>
      <c r="B3495" t="s">
        <v>7234</v>
      </c>
      <c r="C3495" t="s">
        <v>6156</v>
      </c>
      <c r="D3495" t="s">
        <v>7235</v>
      </c>
      <c r="E3495" t="s">
        <v>7236</v>
      </c>
      <c r="F3495">
        <v>153</v>
      </c>
      <c r="G3495">
        <v>2275949</v>
      </c>
      <c r="H3495" t="s">
        <v>7237</v>
      </c>
      <c r="J3495" s="54" t="s">
        <v>6052</v>
      </c>
      <c r="K3495" s="54">
        <v>0</v>
      </c>
      <c r="L3495" s="22" t="s">
        <v>104</v>
      </c>
      <c r="M3495" s="22" t="s">
        <v>37165</v>
      </c>
    </row>
    <row r="3496" spans="1:13" x14ac:dyDescent="0.75">
      <c r="A3496" t="s">
        <v>10731</v>
      </c>
      <c r="B3496" t="s">
        <v>7234</v>
      </c>
      <c r="C3496" t="s">
        <v>6156</v>
      </c>
      <c r="D3496" t="s">
        <v>7235</v>
      </c>
      <c r="E3496" t="s">
        <v>7236</v>
      </c>
      <c r="F3496">
        <v>1</v>
      </c>
      <c r="G3496">
        <v>2256647</v>
      </c>
      <c r="H3496" t="s">
        <v>10732</v>
      </c>
      <c r="J3496" s="54" t="s">
        <v>6052</v>
      </c>
      <c r="K3496" s="54">
        <v>0</v>
      </c>
      <c r="L3496" s="22" t="s">
        <v>104</v>
      </c>
      <c r="M3496" s="22" t="s">
        <v>37165</v>
      </c>
    </row>
    <row r="3497" spans="1:13" x14ac:dyDescent="0.75">
      <c r="A3497" t="s">
        <v>14841</v>
      </c>
      <c r="B3497" t="s">
        <v>7234</v>
      </c>
      <c r="C3497" t="s">
        <v>6156</v>
      </c>
      <c r="D3497" t="s">
        <v>7235</v>
      </c>
      <c r="E3497" t="s">
        <v>14842</v>
      </c>
      <c r="F3497">
        <v>48</v>
      </c>
      <c r="G3497">
        <v>2489623</v>
      </c>
      <c r="H3497" t="s">
        <v>14843</v>
      </c>
      <c r="J3497" s="54" t="s">
        <v>6052</v>
      </c>
      <c r="K3497" s="54">
        <v>0</v>
      </c>
      <c r="L3497" s="22" t="s">
        <v>104</v>
      </c>
      <c r="M3497" s="22" t="s">
        <v>37165</v>
      </c>
    </row>
    <row r="3498" spans="1:13" x14ac:dyDescent="0.75">
      <c r="A3498" t="s">
        <v>14844</v>
      </c>
      <c r="B3498" t="s">
        <v>7234</v>
      </c>
      <c r="C3498" t="s">
        <v>6156</v>
      </c>
      <c r="D3498" t="s">
        <v>7235</v>
      </c>
      <c r="E3498" t="s">
        <v>14845</v>
      </c>
      <c r="F3498">
        <v>31</v>
      </c>
      <c r="G3498">
        <v>2320322</v>
      </c>
      <c r="H3498" t="s">
        <v>14846</v>
      </c>
      <c r="J3498" s="54" t="s">
        <v>6052</v>
      </c>
      <c r="K3498" s="54">
        <v>0</v>
      </c>
      <c r="L3498" s="22" t="s">
        <v>104</v>
      </c>
      <c r="M3498" s="22" t="s">
        <v>37165</v>
      </c>
    </row>
    <row r="3499" spans="1:13" x14ac:dyDescent="0.75">
      <c r="A3499" t="s">
        <v>14892</v>
      </c>
      <c r="B3499" t="s">
        <v>7234</v>
      </c>
      <c r="C3499" t="s">
        <v>6156</v>
      </c>
      <c r="D3499" t="s">
        <v>7235</v>
      </c>
      <c r="E3499" t="s">
        <v>14893</v>
      </c>
      <c r="F3499">
        <v>53</v>
      </c>
      <c r="G3499">
        <v>2509681</v>
      </c>
      <c r="H3499" t="s">
        <v>14894</v>
      </c>
      <c r="J3499" s="54" t="s">
        <v>6052</v>
      </c>
      <c r="K3499" s="54">
        <v>0</v>
      </c>
      <c r="L3499" s="22" t="s">
        <v>104</v>
      </c>
      <c r="M3499" s="22" t="s">
        <v>37165</v>
      </c>
    </row>
    <row r="3500" spans="1:13" x14ac:dyDescent="0.75">
      <c r="A3500" t="s">
        <v>14856</v>
      </c>
      <c r="B3500" t="s">
        <v>7234</v>
      </c>
      <c r="C3500" t="s">
        <v>6156</v>
      </c>
      <c r="D3500" t="s">
        <v>7235</v>
      </c>
      <c r="E3500" t="s">
        <v>14857</v>
      </c>
      <c r="F3500">
        <v>35</v>
      </c>
      <c r="G3500">
        <v>2469171</v>
      </c>
      <c r="H3500" t="s">
        <v>14858</v>
      </c>
      <c r="J3500" s="54" t="s">
        <v>6052</v>
      </c>
      <c r="K3500" s="54">
        <v>0</v>
      </c>
      <c r="L3500" s="22" t="s">
        <v>104</v>
      </c>
      <c r="M3500" s="22" t="s">
        <v>37165</v>
      </c>
    </row>
    <row r="3501" spans="1:13" x14ac:dyDescent="0.75">
      <c r="A3501" t="s">
        <v>14865</v>
      </c>
      <c r="B3501" t="s">
        <v>7234</v>
      </c>
      <c r="C3501" t="s">
        <v>6156</v>
      </c>
      <c r="D3501" t="s">
        <v>7235</v>
      </c>
      <c r="E3501" t="s">
        <v>14866</v>
      </c>
      <c r="F3501">
        <v>35</v>
      </c>
      <c r="G3501">
        <v>2399453</v>
      </c>
      <c r="H3501" t="s">
        <v>14867</v>
      </c>
      <c r="J3501" s="54" t="s">
        <v>6052</v>
      </c>
      <c r="K3501" s="54">
        <v>0</v>
      </c>
      <c r="L3501" s="22" t="s">
        <v>104</v>
      </c>
      <c r="M3501" s="22" t="s">
        <v>37165</v>
      </c>
    </row>
    <row r="3502" spans="1:13" x14ac:dyDescent="0.75">
      <c r="A3502" t="s">
        <v>30038</v>
      </c>
      <c r="B3502" t="s">
        <v>7234</v>
      </c>
      <c r="C3502" t="s">
        <v>6156</v>
      </c>
      <c r="D3502" t="s">
        <v>7235</v>
      </c>
      <c r="E3502" t="s">
        <v>30039</v>
      </c>
      <c r="F3502">
        <v>62</v>
      </c>
      <c r="G3502">
        <v>2390250</v>
      </c>
      <c r="H3502" t="s">
        <v>30040</v>
      </c>
      <c r="J3502" s="54" t="s">
        <v>6052</v>
      </c>
      <c r="K3502" s="54">
        <v>0</v>
      </c>
      <c r="L3502" s="22" t="s">
        <v>104</v>
      </c>
      <c r="M3502" s="22" t="s">
        <v>37165</v>
      </c>
    </row>
    <row r="3503" spans="1:13" x14ac:dyDescent="0.75">
      <c r="A3503" t="s">
        <v>12628</v>
      </c>
      <c r="B3503" t="s">
        <v>7234</v>
      </c>
      <c r="C3503" t="s">
        <v>6156</v>
      </c>
      <c r="D3503" t="s">
        <v>7235</v>
      </c>
      <c r="E3503" t="s">
        <v>12629</v>
      </c>
      <c r="F3503">
        <v>132</v>
      </c>
      <c r="G3503">
        <v>2257660</v>
      </c>
      <c r="H3503" t="s">
        <v>12630</v>
      </c>
      <c r="J3503" s="54" t="s">
        <v>6052</v>
      </c>
      <c r="K3503" s="54">
        <v>0</v>
      </c>
      <c r="L3503" s="22" t="s">
        <v>104</v>
      </c>
      <c r="M3503" s="22" t="s">
        <v>37165</v>
      </c>
    </row>
    <row r="3504" spans="1:13" x14ac:dyDescent="0.75">
      <c r="A3504" t="s">
        <v>15316</v>
      </c>
      <c r="B3504" t="s">
        <v>7234</v>
      </c>
      <c r="C3504" t="s">
        <v>6156</v>
      </c>
      <c r="D3504" t="s">
        <v>7235</v>
      </c>
      <c r="E3504" t="s">
        <v>15317</v>
      </c>
      <c r="F3504">
        <v>1</v>
      </c>
      <c r="G3504">
        <v>2534634</v>
      </c>
      <c r="H3504" t="s">
        <v>15318</v>
      </c>
      <c r="J3504" s="54" t="s">
        <v>6052</v>
      </c>
      <c r="K3504" s="54">
        <v>0</v>
      </c>
      <c r="L3504" s="22" t="s">
        <v>104</v>
      </c>
      <c r="M3504" s="22" t="s">
        <v>37165</v>
      </c>
    </row>
    <row r="3505" spans="1:13" x14ac:dyDescent="0.75">
      <c r="A3505" t="s">
        <v>15298</v>
      </c>
      <c r="B3505" t="s">
        <v>7234</v>
      </c>
      <c r="C3505" t="s">
        <v>6156</v>
      </c>
      <c r="D3505" t="s">
        <v>7235</v>
      </c>
      <c r="E3505" t="s">
        <v>15299</v>
      </c>
      <c r="F3505">
        <v>1</v>
      </c>
      <c r="G3505">
        <v>2397276</v>
      </c>
      <c r="H3505" t="s">
        <v>15300</v>
      </c>
      <c r="J3505" s="54" t="s">
        <v>6052</v>
      </c>
      <c r="K3505" s="54">
        <v>0</v>
      </c>
      <c r="L3505" s="22" t="s">
        <v>104</v>
      </c>
      <c r="M3505" s="22" t="s">
        <v>37165</v>
      </c>
    </row>
    <row r="3506" spans="1:13" x14ac:dyDescent="0.75">
      <c r="A3506" t="s">
        <v>27519</v>
      </c>
      <c r="B3506" t="s">
        <v>7234</v>
      </c>
      <c r="C3506" t="s">
        <v>6156</v>
      </c>
      <c r="D3506" t="s">
        <v>7235</v>
      </c>
      <c r="E3506" t="s">
        <v>27520</v>
      </c>
      <c r="F3506">
        <v>2</v>
      </c>
      <c r="G3506">
        <v>2406516</v>
      </c>
      <c r="H3506" t="s">
        <v>27521</v>
      </c>
      <c r="J3506" s="54" t="s">
        <v>6052</v>
      </c>
      <c r="K3506" s="54">
        <v>0</v>
      </c>
      <c r="L3506" s="22" t="s">
        <v>104</v>
      </c>
      <c r="M3506" s="22" t="s">
        <v>37165</v>
      </c>
    </row>
    <row r="3507" spans="1:13" x14ac:dyDescent="0.75">
      <c r="A3507" t="s">
        <v>18108</v>
      </c>
      <c r="B3507" t="s">
        <v>7805</v>
      </c>
      <c r="C3507" t="s">
        <v>7806</v>
      </c>
      <c r="D3507" t="s">
        <v>7807</v>
      </c>
      <c r="E3507">
        <v>35</v>
      </c>
      <c r="F3507">
        <v>6</v>
      </c>
      <c r="G3507">
        <v>5378629</v>
      </c>
      <c r="H3507" t="s">
        <v>18109</v>
      </c>
      <c r="J3507" s="54" t="s">
        <v>6052</v>
      </c>
      <c r="K3507" s="54">
        <v>0</v>
      </c>
      <c r="L3507" s="22" t="s">
        <v>36807</v>
      </c>
      <c r="M3507" s="22" t="s">
        <v>37071</v>
      </c>
    </row>
    <row r="3508" spans="1:13" x14ac:dyDescent="0.75">
      <c r="A3508" t="s">
        <v>15453</v>
      </c>
      <c r="B3508" t="s">
        <v>7805</v>
      </c>
      <c r="C3508" t="s">
        <v>7806</v>
      </c>
      <c r="D3508" t="s">
        <v>7807</v>
      </c>
      <c r="E3508" t="s">
        <v>15454</v>
      </c>
      <c r="F3508">
        <v>61</v>
      </c>
      <c r="G3508">
        <v>5236772</v>
      </c>
      <c r="H3508" t="s">
        <v>15455</v>
      </c>
      <c r="J3508" s="54" t="s">
        <v>6052</v>
      </c>
      <c r="K3508" s="54">
        <v>0</v>
      </c>
      <c r="L3508" s="22" t="s">
        <v>36807</v>
      </c>
      <c r="M3508" s="22" t="s">
        <v>37071</v>
      </c>
    </row>
    <row r="3509" spans="1:13" x14ac:dyDescent="0.75">
      <c r="A3509" t="s">
        <v>10553</v>
      </c>
      <c r="B3509" t="s">
        <v>8722</v>
      </c>
      <c r="C3509" t="s">
        <v>7806</v>
      </c>
      <c r="D3509" t="s">
        <v>6094</v>
      </c>
      <c r="E3509" t="s">
        <v>10554</v>
      </c>
      <c r="F3509">
        <v>16</v>
      </c>
      <c r="G3509">
        <v>5545784</v>
      </c>
      <c r="H3509" t="s">
        <v>10555</v>
      </c>
      <c r="J3509" s="54" t="s">
        <v>6052</v>
      </c>
      <c r="K3509" s="54">
        <v>0</v>
      </c>
      <c r="L3509" s="22" t="s">
        <v>1563</v>
      </c>
      <c r="M3509" s="22" t="s">
        <v>37072</v>
      </c>
    </row>
    <row r="3510" spans="1:13" x14ac:dyDescent="0.75">
      <c r="A3510" t="s">
        <v>10675</v>
      </c>
      <c r="B3510" t="s">
        <v>8722</v>
      </c>
      <c r="C3510" t="s">
        <v>7806</v>
      </c>
      <c r="D3510" t="s">
        <v>6094</v>
      </c>
      <c r="E3510" t="s">
        <v>10554</v>
      </c>
      <c r="F3510">
        <v>88</v>
      </c>
      <c r="G3510">
        <v>5725870</v>
      </c>
      <c r="H3510" t="s">
        <v>10676</v>
      </c>
      <c r="J3510" s="54" t="s">
        <v>6052</v>
      </c>
      <c r="K3510" s="54">
        <v>0</v>
      </c>
      <c r="L3510" s="22" t="s">
        <v>1563</v>
      </c>
      <c r="M3510" s="22" t="s">
        <v>37072</v>
      </c>
    </row>
    <row r="3511" spans="1:13" x14ac:dyDescent="0.75">
      <c r="A3511" t="s">
        <v>13630</v>
      </c>
      <c r="B3511" t="s">
        <v>8722</v>
      </c>
      <c r="C3511" t="s">
        <v>7806</v>
      </c>
      <c r="D3511" t="s">
        <v>6094</v>
      </c>
      <c r="E3511" t="s">
        <v>13631</v>
      </c>
      <c r="F3511">
        <v>4</v>
      </c>
      <c r="G3511">
        <v>5896654</v>
      </c>
      <c r="H3511" t="s">
        <v>13632</v>
      </c>
      <c r="J3511" s="54" t="s">
        <v>6052</v>
      </c>
      <c r="K3511" s="54">
        <v>0</v>
      </c>
      <c r="L3511" s="22" t="s">
        <v>1563</v>
      </c>
      <c r="M3511" s="22" t="s">
        <v>37072</v>
      </c>
    </row>
    <row r="3512" spans="1:13" x14ac:dyDescent="0.75">
      <c r="A3512" t="s">
        <v>13162</v>
      </c>
      <c r="B3512" t="s">
        <v>8722</v>
      </c>
      <c r="C3512" t="s">
        <v>7806</v>
      </c>
      <c r="D3512" t="s">
        <v>6094</v>
      </c>
      <c r="E3512" t="s">
        <v>13163</v>
      </c>
      <c r="F3512">
        <v>5</v>
      </c>
      <c r="G3512">
        <v>5379063</v>
      </c>
      <c r="H3512" t="s">
        <v>13164</v>
      </c>
      <c r="J3512" s="54" t="s">
        <v>6052</v>
      </c>
      <c r="K3512" s="54">
        <v>0</v>
      </c>
      <c r="L3512" s="22" t="s">
        <v>1563</v>
      </c>
      <c r="M3512" s="22" t="s">
        <v>37072</v>
      </c>
    </row>
    <row r="3513" spans="1:13" x14ac:dyDescent="0.75">
      <c r="A3513" t="s">
        <v>8721</v>
      </c>
      <c r="B3513" t="s">
        <v>8722</v>
      </c>
      <c r="C3513" t="s">
        <v>7806</v>
      </c>
      <c r="D3513" t="s">
        <v>6094</v>
      </c>
      <c r="E3513" t="s">
        <v>8723</v>
      </c>
      <c r="F3513">
        <v>27</v>
      </c>
      <c r="G3513">
        <v>5512347</v>
      </c>
      <c r="H3513" t="s">
        <v>8724</v>
      </c>
      <c r="J3513" s="54" t="s">
        <v>6052</v>
      </c>
      <c r="K3513" s="54">
        <v>0</v>
      </c>
      <c r="L3513" s="22" t="s">
        <v>1563</v>
      </c>
      <c r="M3513" s="22" t="s">
        <v>37072</v>
      </c>
    </row>
    <row r="3514" spans="1:13" x14ac:dyDescent="0.75">
      <c r="A3514" t="s">
        <v>9020</v>
      </c>
      <c r="B3514" t="s">
        <v>7805</v>
      </c>
      <c r="C3514" t="s">
        <v>7806</v>
      </c>
      <c r="D3514" t="s">
        <v>7807</v>
      </c>
      <c r="E3514" t="s">
        <v>9021</v>
      </c>
      <c r="F3514">
        <v>3</v>
      </c>
      <c r="G3514">
        <v>5591105</v>
      </c>
      <c r="H3514" t="s">
        <v>9022</v>
      </c>
      <c r="J3514" s="54" t="s">
        <v>6052</v>
      </c>
      <c r="K3514" s="54">
        <v>0</v>
      </c>
      <c r="L3514" s="22" t="s">
        <v>36807</v>
      </c>
      <c r="M3514" s="22" t="s">
        <v>37071</v>
      </c>
    </row>
    <row r="3515" spans="1:13" x14ac:dyDescent="0.75">
      <c r="A3515" t="s">
        <v>15814</v>
      </c>
      <c r="B3515" t="s">
        <v>7805</v>
      </c>
      <c r="C3515" t="s">
        <v>7806</v>
      </c>
      <c r="D3515" t="s">
        <v>7807</v>
      </c>
      <c r="E3515" t="s">
        <v>15815</v>
      </c>
      <c r="F3515">
        <v>3</v>
      </c>
      <c r="G3515">
        <v>5400171</v>
      </c>
      <c r="H3515" t="s">
        <v>15816</v>
      </c>
      <c r="J3515" s="54" t="s">
        <v>6052</v>
      </c>
      <c r="K3515" s="54">
        <v>0</v>
      </c>
      <c r="L3515" s="22" t="s">
        <v>36807</v>
      </c>
      <c r="M3515" s="22" t="s">
        <v>37071</v>
      </c>
    </row>
    <row r="3516" spans="1:13" x14ac:dyDescent="0.75">
      <c r="A3516" t="s">
        <v>17977</v>
      </c>
      <c r="B3516" t="s">
        <v>7805</v>
      </c>
      <c r="C3516" t="s">
        <v>7806</v>
      </c>
      <c r="D3516" t="s">
        <v>7807</v>
      </c>
      <c r="E3516" t="s">
        <v>17978</v>
      </c>
      <c r="F3516">
        <v>2</v>
      </c>
      <c r="G3516">
        <v>5487999</v>
      </c>
      <c r="H3516" t="s">
        <v>17979</v>
      </c>
      <c r="J3516" s="54" t="s">
        <v>6052</v>
      </c>
      <c r="K3516" s="54">
        <v>0</v>
      </c>
      <c r="L3516" s="22" t="s">
        <v>36807</v>
      </c>
      <c r="M3516" s="22" t="s">
        <v>37071</v>
      </c>
    </row>
    <row r="3517" spans="1:13" x14ac:dyDescent="0.75">
      <c r="A3517" t="s">
        <v>10327</v>
      </c>
      <c r="B3517" t="s">
        <v>8722</v>
      </c>
      <c r="C3517" t="s">
        <v>7806</v>
      </c>
      <c r="D3517" t="s">
        <v>6094</v>
      </c>
      <c r="E3517" t="s">
        <v>10328</v>
      </c>
      <c r="F3517">
        <v>201</v>
      </c>
      <c r="G3517">
        <v>5470076</v>
      </c>
      <c r="H3517" t="s">
        <v>10329</v>
      </c>
      <c r="J3517" s="54" t="s">
        <v>6052</v>
      </c>
      <c r="K3517" s="54">
        <v>0</v>
      </c>
      <c r="L3517" s="22" t="s">
        <v>1563</v>
      </c>
      <c r="M3517" s="22" t="s">
        <v>37072</v>
      </c>
    </row>
    <row r="3518" spans="1:13" x14ac:dyDescent="0.75">
      <c r="A3518" t="s">
        <v>7804</v>
      </c>
      <c r="B3518" t="s">
        <v>7805</v>
      </c>
      <c r="C3518" t="s">
        <v>7806</v>
      </c>
      <c r="D3518" t="s">
        <v>7807</v>
      </c>
      <c r="E3518" t="s">
        <v>7808</v>
      </c>
      <c r="F3518">
        <v>1</v>
      </c>
      <c r="G3518">
        <v>5280350</v>
      </c>
      <c r="H3518" t="s">
        <v>7809</v>
      </c>
      <c r="J3518" s="54" t="s">
        <v>6052</v>
      </c>
      <c r="K3518" s="54">
        <v>0</v>
      </c>
      <c r="L3518" s="22" t="s">
        <v>36807</v>
      </c>
      <c r="M3518" s="22" t="s">
        <v>37071</v>
      </c>
    </row>
    <row r="3519" spans="1:13" x14ac:dyDescent="0.75">
      <c r="A3519" t="s">
        <v>13165</v>
      </c>
      <c r="B3519" t="s">
        <v>8722</v>
      </c>
      <c r="C3519" t="s">
        <v>7806</v>
      </c>
      <c r="D3519" t="s">
        <v>6094</v>
      </c>
      <c r="E3519" t="s">
        <v>13166</v>
      </c>
      <c r="F3519">
        <v>3</v>
      </c>
      <c r="G3519">
        <v>5526153</v>
      </c>
      <c r="H3519" t="s">
        <v>13167</v>
      </c>
      <c r="J3519" s="54" t="s">
        <v>6052</v>
      </c>
      <c r="K3519" s="54">
        <v>0</v>
      </c>
      <c r="L3519" s="22" t="s">
        <v>1563</v>
      </c>
      <c r="M3519" s="22" t="s">
        <v>37072</v>
      </c>
    </row>
    <row r="3520" spans="1:13" x14ac:dyDescent="0.75">
      <c r="A3520" t="s">
        <v>13841</v>
      </c>
      <c r="B3520" t="s">
        <v>8722</v>
      </c>
      <c r="C3520" t="s">
        <v>7806</v>
      </c>
      <c r="D3520" t="s">
        <v>6094</v>
      </c>
      <c r="E3520" t="s">
        <v>13842</v>
      </c>
      <c r="F3520">
        <v>11</v>
      </c>
      <c r="G3520">
        <v>5827024</v>
      </c>
      <c r="H3520" t="s">
        <v>13843</v>
      </c>
      <c r="J3520" s="54" t="s">
        <v>6052</v>
      </c>
      <c r="K3520" s="54">
        <v>0</v>
      </c>
      <c r="L3520" s="22" t="s">
        <v>1563</v>
      </c>
      <c r="M3520" s="22" t="s">
        <v>37072</v>
      </c>
    </row>
    <row r="3521" spans="1:13" x14ac:dyDescent="0.75">
      <c r="A3521" t="s">
        <v>12084</v>
      </c>
      <c r="B3521" t="s">
        <v>8722</v>
      </c>
      <c r="C3521" t="s">
        <v>7806</v>
      </c>
      <c r="D3521" t="s">
        <v>6094</v>
      </c>
      <c r="E3521" t="s">
        <v>12085</v>
      </c>
      <c r="F3521">
        <v>141</v>
      </c>
      <c r="G3521">
        <v>5463002</v>
      </c>
      <c r="H3521" t="s">
        <v>12086</v>
      </c>
      <c r="J3521" s="54" t="s">
        <v>6052</v>
      </c>
      <c r="K3521" s="54">
        <v>0</v>
      </c>
      <c r="L3521" s="22" t="s">
        <v>1563</v>
      </c>
      <c r="M3521" s="22" t="s">
        <v>37072</v>
      </c>
    </row>
    <row r="3522" spans="1:13" x14ac:dyDescent="0.75">
      <c r="A3522" t="s">
        <v>27909</v>
      </c>
      <c r="B3522" t="s">
        <v>7805</v>
      </c>
      <c r="C3522" t="s">
        <v>7806</v>
      </c>
      <c r="D3522" t="s">
        <v>7807</v>
      </c>
      <c r="E3522" t="s">
        <v>27910</v>
      </c>
      <c r="F3522">
        <v>13</v>
      </c>
      <c r="G3522">
        <v>5265473</v>
      </c>
      <c r="H3522" t="s">
        <v>27911</v>
      </c>
      <c r="J3522" s="54" t="s">
        <v>6052</v>
      </c>
      <c r="K3522" s="54">
        <v>0</v>
      </c>
      <c r="L3522" s="22" t="s">
        <v>36807</v>
      </c>
      <c r="M3522" s="22" t="s">
        <v>37071</v>
      </c>
    </row>
    <row r="3523" spans="1:13" x14ac:dyDescent="0.75">
      <c r="A3523" t="s">
        <v>24575</v>
      </c>
      <c r="B3523" t="s">
        <v>7805</v>
      </c>
      <c r="C3523" t="s">
        <v>7806</v>
      </c>
      <c r="D3523" t="s">
        <v>7807</v>
      </c>
      <c r="E3523" t="s">
        <v>24576</v>
      </c>
      <c r="F3523">
        <v>3</v>
      </c>
      <c r="G3523">
        <v>5487446</v>
      </c>
      <c r="H3523" t="s">
        <v>24577</v>
      </c>
      <c r="J3523" s="54" t="s">
        <v>6052</v>
      </c>
      <c r="K3523" s="54">
        <v>0</v>
      </c>
      <c r="L3523" s="22" t="s">
        <v>36807</v>
      </c>
      <c r="M3523" s="22" t="s">
        <v>37071</v>
      </c>
    </row>
    <row r="3524" spans="1:13" x14ac:dyDescent="0.75">
      <c r="A3524" t="s">
        <v>12224</v>
      </c>
      <c r="B3524" t="s">
        <v>8722</v>
      </c>
      <c r="C3524" t="s">
        <v>7806</v>
      </c>
      <c r="D3524" t="s">
        <v>6094</v>
      </c>
      <c r="E3524" t="s">
        <v>12225</v>
      </c>
      <c r="F3524">
        <v>3</v>
      </c>
      <c r="G3524">
        <v>5495481</v>
      </c>
      <c r="H3524" t="s">
        <v>12226</v>
      </c>
      <c r="J3524" s="54" t="s">
        <v>6052</v>
      </c>
      <c r="K3524" s="54">
        <v>0</v>
      </c>
      <c r="L3524" s="22" t="s">
        <v>1563</v>
      </c>
      <c r="M3524" s="22" t="s">
        <v>37072</v>
      </c>
    </row>
    <row r="3525" spans="1:13" x14ac:dyDescent="0.75">
      <c r="A3525" t="s">
        <v>18847</v>
      </c>
      <c r="B3525" t="s">
        <v>7805</v>
      </c>
      <c r="C3525" t="s">
        <v>7806</v>
      </c>
      <c r="D3525" t="s">
        <v>7807</v>
      </c>
      <c r="E3525" t="s">
        <v>18848</v>
      </c>
      <c r="F3525">
        <v>2</v>
      </c>
      <c r="G3525">
        <v>5462605</v>
      </c>
      <c r="H3525" t="s">
        <v>18849</v>
      </c>
      <c r="J3525" s="54" t="s">
        <v>6052</v>
      </c>
      <c r="K3525" s="54">
        <v>0</v>
      </c>
      <c r="L3525" s="22" t="s">
        <v>36807</v>
      </c>
      <c r="M3525" s="22" t="s">
        <v>37071</v>
      </c>
    </row>
    <row r="3526" spans="1:13" x14ac:dyDescent="0.75">
      <c r="A3526" t="s">
        <v>17916</v>
      </c>
      <c r="B3526" t="s">
        <v>7805</v>
      </c>
      <c r="C3526" t="s">
        <v>7806</v>
      </c>
      <c r="D3526" t="s">
        <v>7807</v>
      </c>
      <c r="E3526" t="s">
        <v>14663</v>
      </c>
      <c r="F3526">
        <v>1</v>
      </c>
      <c r="G3526">
        <v>5266224</v>
      </c>
      <c r="H3526" t="s">
        <v>17917</v>
      </c>
      <c r="J3526" s="54" t="s">
        <v>6052</v>
      </c>
      <c r="K3526" s="54">
        <v>0</v>
      </c>
      <c r="L3526" s="22" t="s">
        <v>36807</v>
      </c>
      <c r="M3526" s="22" t="s">
        <v>37071</v>
      </c>
    </row>
    <row r="3527" spans="1:13" x14ac:dyDescent="0.75">
      <c r="A3527" t="s">
        <v>24655</v>
      </c>
      <c r="B3527" t="s">
        <v>10472</v>
      </c>
      <c r="C3527" t="s">
        <v>10473</v>
      </c>
      <c r="D3527" t="s">
        <v>10474</v>
      </c>
      <c r="E3527" t="s">
        <v>24656</v>
      </c>
      <c r="F3527">
        <v>66</v>
      </c>
      <c r="G3527">
        <v>4943478</v>
      </c>
      <c r="H3527" t="s">
        <v>24657</v>
      </c>
      <c r="J3527" s="54" t="s">
        <v>6052</v>
      </c>
      <c r="K3527" s="54">
        <v>0</v>
      </c>
      <c r="L3527" s="22" t="s">
        <v>1563</v>
      </c>
      <c r="M3527" s="22" t="s">
        <v>37073</v>
      </c>
    </row>
    <row r="3528" spans="1:13" x14ac:dyDescent="0.75">
      <c r="A3528" t="s">
        <v>10471</v>
      </c>
      <c r="B3528" t="s">
        <v>10472</v>
      </c>
      <c r="C3528" t="s">
        <v>10473</v>
      </c>
      <c r="D3528" t="s">
        <v>10474</v>
      </c>
      <c r="E3528" t="s">
        <v>10475</v>
      </c>
      <c r="F3528">
        <v>253</v>
      </c>
      <c r="G3528">
        <v>4932354</v>
      </c>
      <c r="H3528" t="s">
        <v>10476</v>
      </c>
      <c r="J3528" s="54" t="s">
        <v>6052</v>
      </c>
      <c r="K3528" s="54">
        <v>0</v>
      </c>
      <c r="L3528" s="22" t="s">
        <v>1563</v>
      </c>
      <c r="M3528" s="22" t="s">
        <v>37073</v>
      </c>
    </row>
    <row r="3529" spans="1:13" x14ac:dyDescent="0.75">
      <c r="A3529" t="s">
        <v>28563</v>
      </c>
      <c r="B3529" t="s">
        <v>10472</v>
      </c>
      <c r="C3529" t="s">
        <v>10473</v>
      </c>
      <c r="D3529" t="s">
        <v>10474</v>
      </c>
      <c r="E3529" t="s">
        <v>28564</v>
      </c>
      <c r="F3529">
        <v>196</v>
      </c>
      <c r="G3529">
        <v>4968008</v>
      </c>
      <c r="H3529" t="s">
        <v>28565</v>
      </c>
      <c r="J3529" s="54" t="s">
        <v>6052</v>
      </c>
      <c r="K3529" s="54">
        <v>0</v>
      </c>
      <c r="L3529" s="22" t="s">
        <v>1563</v>
      </c>
      <c r="M3529" s="22" t="s">
        <v>37073</v>
      </c>
    </row>
    <row r="3530" spans="1:13" x14ac:dyDescent="0.75">
      <c r="A3530" t="s">
        <v>27493</v>
      </c>
      <c r="B3530" t="s">
        <v>10472</v>
      </c>
      <c r="C3530" t="s">
        <v>10473</v>
      </c>
      <c r="D3530" t="s">
        <v>10474</v>
      </c>
      <c r="E3530" t="s">
        <v>27494</v>
      </c>
      <c r="F3530">
        <v>5</v>
      </c>
      <c r="G3530">
        <v>5126625</v>
      </c>
      <c r="H3530" t="s">
        <v>27495</v>
      </c>
      <c r="J3530" s="54" t="s">
        <v>6052</v>
      </c>
      <c r="K3530" s="54">
        <v>0</v>
      </c>
      <c r="L3530" s="22" t="s">
        <v>1563</v>
      </c>
      <c r="M3530" s="22" t="s">
        <v>37073</v>
      </c>
    </row>
    <row r="3531" spans="1:13" x14ac:dyDescent="0.75">
      <c r="A3531" t="s">
        <v>16023</v>
      </c>
      <c r="B3531" t="s">
        <v>10472</v>
      </c>
      <c r="C3531" t="s">
        <v>10473</v>
      </c>
      <c r="D3531" t="s">
        <v>10474</v>
      </c>
      <c r="E3531" t="s">
        <v>16024</v>
      </c>
      <c r="F3531">
        <v>227</v>
      </c>
      <c r="G3531">
        <v>5368186</v>
      </c>
      <c r="H3531" t="s">
        <v>16025</v>
      </c>
      <c r="J3531" s="54" t="s">
        <v>6052</v>
      </c>
      <c r="K3531" s="54">
        <v>0</v>
      </c>
      <c r="L3531" s="22" t="s">
        <v>1563</v>
      </c>
      <c r="M3531" s="22" t="s">
        <v>37073</v>
      </c>
    </row>
    <row r="3532" spans="1:13" x14ac:dyDescent="0.75">
      <c r="A3532" t="s">
        <v>23202</v>
      </c>
      <c r="B3532" t="s">
        <v>10472</v>
      </c>
      <c r="C3532" t="s">
        <v>10473</v>
      </c>
      <c r="D3532" t="s">
        <v>10474</v>
      </c>
      <c r="E3532" t="s">
        <v>23203</v>
      </c>
      <c r="F3532">
        <v>2</v>
      </c>
      <c r="G3532">
        <v>5062542</v>
      </c>
      <c r="H3532" t="s">
        <v>23204</v>
      </c>
      <c r="J3532" s="54" t="s">
        <v>6052</v>
      </c>
      <c r="K3532" s="54">
        <v>0</v>
      </c>
      <c r="L3532" s="22" t="s">
        <v>1563</v>
      </c>
      <c r="M3532" s="22" t="s">
        <v>37073</v>
      </c>
    </row>
    <row r="3533" spans="1:13" x14ac:dyDescent="0.75">
      <c r="A3533" t="s">
        <v>30199</v>
      </c>
      <c r="B3533" t="s">
        <v>10472</v>
      </c>
      <c r="C3533" t="s">
        <v>10473</v>
      </c>
      <c r="D3533" t="s">
        <v>10474</v>
      </c>
      <c r="E3533" t="s">
        <v>30200</v>
      </c>
      <c r="F3533">
        <v>62</v>
      </c>
      <c r="G3533">
        <v>4828268</v>
      </c>
      <c r="H3533" t="s">
        <v>30201</v>
      </c>
      <c r="J3533" s="54" t="s">
        <v>6052</v>
      </c>
      <c r="K3533" s="54">
        <v>0</v>
      </c>
      <c r="L3533" s="22" t="s">
        <v>1563</v>
      </c>
      <c r="M3533" s="22" t="s">
        <v>37073</v>
      </c>
    </row>
    <row r="3534" spans="1:13" x14ac:dyDescent="0.75">
      <c r="A3534" t="s">
        <v>19137</v>
      </c>
      <c r="B3534" t="s">
        <v>10472</v>
      </c>
      <c r="C3534" t="s">
        <v>10473</v>
      </c>
      <c r="D3534" t="s">
        <v>10474</v>
      </c>
      <c r="E3534" t="s">
        <v>19138</v>
      </c>
      <c r="F3534">
        <v>12</v>
      </c>
      <c r="G3534">
        <v>5625027</v>
      </c>
      <c r="H3534" t="s">
        <v>19139</v>
      </c>
      <c r="J3534" s="54" t="s">
        <v>6052</v>
      </c>
      <c r="K3534" s="54">
        <v>0</v>
      </c>
      <c r="L3534" s="22" t="s">
        <v>1563</v>
      </c>
      <c r="M3534" s="22" t="s">
        <v>37073</v>
      </c>
    </row>
    <row r="3535" spans="1:13" x14ac:dyDescent="0.75">
      <c r="A3535" t="s">
        <v>19134</v>
      </c>
      <c r="B3535" t="s">
        <v>10472</v>
      </c>
      <c r="C3535" t="s">
        <v>10473</v>
      </c>
      <c r="D3535" t="s">
        <v>10474</v>
      </c>
      <c r="E3535" t="s">
        <v>19135</v>
      </c>
      <c r="F3535">
        <v>6</v>
      </c>
      <c r="G3535">
        <v>5371308</v>
      </c>
      <c r="H3535" t="s">
        <v>19136</v>
      </c>
      <c r="J3535" s="54" t="s">
        <v>6052</v>
      </c>
      <c r="K3535" s="54">
        <v>0</v>
      </c>
      <c r="L3535" s="22" t="s">
        <v>1563</v>
      </c>
      <c r="M3535" s="22" t="s">
        <v>37073</v>
      </c>
    </row>
    <row r="3536" spans="1:13" x14ac:dyDescent="0.75">
      <c r="A3536" t="s">
        <v>20507</v>
      </c>
      <c r="B3536" t="s">
        <v>12814</v>
      </c>
      <c r="C3536" t="s">
        <v>8750</v>
      </c>
      <c r="D3536" t="s">
        <v>12815</v>
      </c>
      <c r="E3536" t="s">
        <v>20508</v>
      </c>
      <c r="F3536">
        <v>31</v>
      </c>
      <c r="G3536">
        <v>2414908</v>
      </c>
      <c r="H3536" t="s">
        <v>20509</v>
      </c>
      <c r="J3536" s="54" t="s">
        <v>6052</v>
      </c>
      <c r="K3536" s="54">
        <v>0</v>
      </c>
      <c r="L3536" s="22" t="s">
        <v>144</v>
      </c>
      <c r="M3536" s="22" t="s">
        <v>37074</v>
      </c>
    </row>
    <row r="3537" spans="1:13" x14ac:dyDescent="0.75">
      <c r="A3537" t="s">
        <v>20567</v>
      </c>
      <c r="B3537" t="s">
        <v>12814</v>
      </c>
      <c r="C3537" t="s">
        <v>8750</v>
      </c>
      <c r="D3537" t="s">
        <v>12815</v>
      </c>
      <c r="E3537" t="s">
        <v>20568</v>
      </c>
      <c r="F3537">
        <v>1</v>
      </c>
      <c r="G3537">
        <v>2652363</v>
      </c>
      <c r="H3537" t="s">
        <v>20569</v>
      </c>
      <c r="J3537" s="54" t="s">
        <v>6052</v>
      </c>
      <c r="K3537" s="54">
        <v>0</v>
      </c>
      <c r="L3537" s="22" t="s">
        <v>144</v>
      </c>
      <c r="M3537" s="22" t="s">
        <v>37074</v>
      </c>
    </row>
    <row r="3538" spans="1:13" x14ac:dyDescent="0.75">
      <c r="A3538" t="s">
        <v>16658</v>
      </c>
      <c r="B3538" t="s">
        <v>12814</v>
      </c>
      <c r="C3538" t="s">
        <v>8750</v>
      </c>
      <c r="D3538" t="s">
        <v>12815</v>
      </c>
      <c r="E3538" t="s">
        <v>16659</v>
      </c>
      <c r="F3538">
        <v>26</v>
      </c>
      <c r="G3538">
        <v>2659245</v>
      </c>
      <c r="H3538" t="s">
        <v>16660</v>
      </c>
      <c r="J3538" s="54" t="s">
        <v>6052</v>
      </c>
      <c r="K3538" s="54">
        <v>0</v>
      </c>
      <c r="L3538" s="22" t="s">
        <v>144</v>
      </c>
      <c r="M3538" s="22" t="s">
        <v>37074</v>
      </c>
    </row>
    <row r="3539" spans="1:13" x14ac:dyDescent="0.75">
      <c r="A3539" t="s">
        <v>8748</v>
      </c>
      <c r="B3539" t="s">
        <v>8749</v>
      </c>
      <c r="C3539" t="s">
        <v>8750</v>
      </c>
      <c r="D3539" t="s">
        <v>8751</v>
      </c>
      <c r="E3539" t="s">
        <v>8752</v>
      </c>
      <c r="F3539">
        <v>221</v>
      </c>
      <c r="G3539">
        <v>3197170</v>
      </c>
      <c r="H3539" t="s">
        <v>8753</v>
      </c>
      <c r="J3539" s="54" t="s">
        <v>6052</v>
      </c>
      <c r="K3539" s="54">
        <v>0</v>
      </c>
      <c r="L3539" s="22" t="s">
        <v>144</v>
      </c>
      <c r="M3539" s="22" t="s">
        <v>37075</v>
      </c>
    </row>
    <row r="3540" spans="1:13" x14ac:dyDescent="0.75">
      <c r="A3540" t="s">
        <v>11780</v>
      </c>
      <c r="B3540" t="s">
        <v>11473</v>
      </c>
      <c r="C3540" t="s">
        <v>8750</v>
      </c>
      <c r="D3540" t="s">
        <v>11474</v>
      </c>
      <c r="E3540" t="s">
        <v>11781</v>
      </c>
      <c r="F3540">
        <v>18</v>
      </c>
      <c r="G3540">
        <v>2833425</v>
      </c>
      <c r="H3540" t="s">
        <v>11782</v>
      </c>
      <c r="J3540" s="54" t="s">
        <v>6052</v>
      </c>
      <c r="K3540" s="54">
        <v>0</v>
      </c>
      <c r="L3540" s="22" t="s">
        <v>144</v>
      </c>
      <c r="M3540" s="22" t="s">
        <v>37076</v>
      </c>
    </row>
    <row r="3541" spans="1:13" x14ac:dyDescent="0.75">
      <c r="A3541" t="s">
        <v>20423</v>
      </c>
      <c r="B3541" t="s">
        <v>11473</v>
      </c>
      <c r="C3541" t="s">
        <v>8750</v>
      </c>
      <c r="D3541" t="s">
        <v>11474</v>
      </c>
      <c r="E3541" t="s">
        <v>20424</v>
      </c>
      <c r="F3541">
        <v>38</v>
      </c>
      <c r="G3541">
        <v>2843288</v>
      </c>
      <c r="H3541" t="s">
        <v>20425</v>
      </c>
      <c r="J3541" s="54" t="s">
        <v>6052</v>
      </c>
      <c r="K3541" s="54">
        <v>0</v>
      </c>
      <c r="L3541" s="22" t="s">
        <v>144</v>
      </c>
      <c r="M3541" s="22" t="s">
        <v>37076</v>
      </c>
    </row>
    <row r="3542" spans="1:13" x14ac:dyDescent="0.75">
      <c r="A3542" t="s">
        <v>20417</v>
      </c>
      <c r="B3542" t="s">
        <v>11473</v>
      </c>
      <c r="C3542" t="s">
        <v>8750</v>
      </c>
      <c r="D3542" t="s">
        <v>11474</v>
      </c>
      <c r="E3542" t="s">
        <v>20418</v>
      </c>
      <c r="F3542">
        <v>37</v>
      </c>
      <c r="G3542">
        <v>2844036</v>
      </c>
      <c r="H3542" t="s">
        <v>20419</v>
      </c>
      <c r="J3542" s="54" t="s">
        <v>6052</v>
      </c>
      <c r="K3542" s="54">
        <v>0</v>
      </c>
      <c r="L3542" s="22" t="s">
        <v>144</v>
      </c>
      <c r="M3542" s="22" t="s">
        <v>37076</v>
      </c>
    </row>
    <row r="3543" spans="1:13" x14ac:dyDescent="0.75">
      <c r="A3543" t="s">
        <v>20414</v>
      </c>
      <c r="B3543" t="s">
        <v>11473</v>
      </c>
      <c r="C3543" t="s">
        <v>8750</v>
      </c>
      <c r="D3543" t="s">
        <v>11474</v>
      </c>
      <c r="E3543" t="s">
        <v>20415</v>
      </c>
      <c r="F3543">
        <v>32</v>
      </c>
      <c r="G3543">
        <v>2843686</v>
      </c>
      <c r="H3543" t="s">
        <v>20416</v>
      </c>
      <c r="J3543" s="54" t="s">
        <v>6052</v>
      </c>
      <c r="K3543" s="54">
        <v>0</v>
      </c>
      <c r="L3543" s="22" t="s">
        <v>144</v>
      </c>
      <c r="M3543" s="22" t="s">
        <v>37076</v>
      </c>
    </row>
    <row r="3544" spans="1:13" x14ac:dyDescent="0.75">
      <c r="A3544" t="s">
        <v>20408</v>
      </c>
      <c r="B3544" t="s">
        <v>11473</v>
      </c>
      <c r="C3544" t="s">
        <v>8750</v>
      </c>
      <c r="D3544" t="s">
        <v>11474</v>
      </c>
      <c r="E3544" t="s">
        <v>20409</v>
      </c>
      <c r="F3544">
        <v>36</v>
      </c>
      <c r="G3544">
        <v>2844494</v>
      </c>
      <c r="H3544" t="s">
        <v>20410</v>
      </c>
      <c r="J3544" s="54" t="s">
        <v>6052</v>
      </c>
      <c r="K3544" s="54">
        <v>0</v>
      </c>
      <c r="L3544" s="22" t="s">
        <v>144</v>
      </c>
      <c r="M3544" s="22" t="s">
        <v>37076</v>
      </c>
    </row>
    <row r="3545" spans="1:13" x14ac:dyDescent="0.75">
      <c r="A3545" t="s">
        <v>20405</v>
      </c>
      <c r="B3545" t="s">
        <v>11473</v>
      </c>
      <c r="C3545" t="s">
        <v>8750</v>
      </c>
      <c r="D3545" t="s">
        <v>11474</v>
      </c>
      <c r="E3545" t="s">
        <v>20406</v>
      </c>
      <c r="F3545">
        <v>32</v>
      </c>
      <c r="G3545">
        <v>2844162</v>
      </c>
      <c r="H3545" t="s">
        <v>20407</v>
      </c>
      <c r="J3545" s="54" t="s">
        <v>6052</v>
      </c>
      <c r="K3545" s="54">
        <v>0</v>
      </c>
      <c r="L3545" s="22" t="s">
        <v>144</v>
      </c>
      <c r="M3545" s="22" t="s">
        <v>37076</v>
      </c>
    </row>
    <row r="3546" spans="1:13" x14ac:dyDescent="0.75">
      <c r="A3546" t="s">
        <v>20399</v>
      </c>
      <c r="B3546" t="s">
        <v>11473</v>
      </c>
      <c r="C3546" t="s">
        <v>8750</v>
      </c>
      <c r="D3546" t="s">
        <v>11474</v>
      </c>
      <c r="E3546" t="s">
        <v>20400</v>
      </c>
      <c r="F3546">
        <v>36</v>
      </c>
      <c r="G3546">
        <v>2843704</v>
      </c>
      <c r="H3546" t="s">
        <v>20401</v>
      </c>
      <c r="J3546" s="54" t="s">
        <v>6052</v>
      </c>
      <c r="K3546" s="54">
        <v>0</v>
      </c>
      <c r="L3546" s="22" t="s">
        <v>144</v>
      </c>
      <c r="M3546" s="22" t="s">
        <v>37076</v>
      </c>
    </row>
    <row r="3547" spans="1:13" x14ac:dyDescent="0.75">
      <c r="A3547" t="s">
        <v>13741</v>
      </c>
      <c r="B3547" t="s">
        <v>12814</v>
      </c>
      <c r="C3547" t="s">
        <v>8750</v>
      </c>
      <c r="D3547" t="s">
        <v>12815</v>
      </c>
      <c r="E3547" t="s">
        <v>13742</v>
      </c>
      <c r="F3547">
        <v>1</v>
      </c>
      <c r="G3547">
        <v>2697877</v>
      </c>
      <c r="H3547" t="s">
        <v>13743</v>
      </c>
      <c r="J3547" s="54" t="s">
        <v>6052</v>
      </c>
      <c r="K3547" s="54">
        <v>0</v>
      </c>
      <c r="L3547" s="22" t="s">
        <v>144</v>
      </c>
      <c r="M3547" s="22" t="s">
        <v>37074</v>
      </c>
    </row>
    <row r="3548" spans="1:13" x14ac:dyDescent="0.75">
      <c r="A3548" t="s">
        <v>12813</v>
      </c>
      <c r="B3548" t="s">
        <v>12814</v>
      </c>
      <c r="C3548" t="s">
        <v>8750</v>
      </c>
      <c r="D3548" t="s">
        <v>12815</v>
      </c>
      <c r="E3548" t="s">
        <v>12816</v>
      </c>
      <c r="F3548">
        <v>22</v>
      </c>
      <c r="G3548">
        <v>2772250</v>
      </c>
      <c r="H3548" t="s">
        <v>12817</v>
      </c>
      <c r="J3548" s="54" t="s">
        <v>6052</v>
      </c>
      <c r="K3548" s="54">
        <v>0</v>
      </c>
      <c r="L3548" s="22" t="s">
        <v>144</v>
      </c>
      <c r="M3548" s="22" t="s">
        <v>37074</v>
      </c>
    </row>
    <row r="3549" spans="1:13" x14ac:dyDescent="0.75">
      <c r="A3549" t="s">
        <v>11472</v>
      </c>
      <c r="B3549" t="s">
        <v>11473</v>
      </c>
      <c r="C3549" t="s">
        <v>8750</v>
      </c>
      <c r="D3549" t="s">
        <v>11474</v>
      </c>
      <c r="E3549" t="s">
        <v>11475</v>
      </c>
      <c r="F3549">
        <v>1</v>
      </c>
      <c r="G3549">
        <v>2854447</v>
      </c>
      <c r="H3549" t="s">
        <v>11476</v>
      </c>
      <c r="J3549" s="54" t="s">
        <v>6052</v>
      </c>
      <c r="K3549" s="54">
        <v>0</v>
      </c>
      <c r="L3549" s="22" t="s">
        <v>144</v>
      </c>
      <c r="M3549" s="22" t="s">
        <v>37076</v>
      </c>
    </row>
    <row r="3550" spans="1:13" x14ac:dyDescent="0.75">
      <c r="A3550" t="s">
        <v>28001</v>
      </c>
      <c r="B3550" t="s">
        <v>12814</v>
      </c>
      <c r="C3550" t="s">
        <v>8750</v>
      </c>
      <c r="D3550" t="s">
        <v>12815</v>
      </c>
      <c r="E3550" t="s">
        <v>28002</v>
      </c>
      <c r="F3550">
        <v>1</v>
      </c>
      <c r="G3550">
        <v>2697831</v>
      </c>
      <c r="H3550" t="s">
        <v>28003</v>
      </c>
      <c r="J3550" s="54" t="s">
        <v>6052</v>
      </c>
      <c r="K3550" s="54">
        <v>0</v>
      </c>
      <c r="L3550" s="22" t="s">
        <v>144</v>
      </c>
      <c r="M3550" s="22" t="s">
        <v>37074</v>
      </c>
    </row>
    <row r="3551" spans="1:13" x14ac:dyDescent="0.75">
      <c r="A3551" t="s">
        <v>23246</v>
      </c>
      <c r="B3551" t="s">
        <v>12814</v>
      </c>
      <c r="C3551" t="s">
        <v>8750</v>
      </c>
      <c r="D3551" t="s">
        <v>12815</v>
      </c>
      <c r="E3551" t="s">
        <v>23247</v>
      </c>
      <c r="F3551">
        <v>1</v>
      </c>
      <c r="G3551">
        <v>2732108</v>
      </c>
      <c r="H3551" t="s">
        <v>23248</v>
      </c>
      <c r="J3551" s="54" t="s">
        <v>6052</v>
      </c>
      <c r="K3551" s="54">
        <v>0</v>
      </c>
      <c r="L3551" s="22" t="s">
        <v>144</v>
      </c>
      <c r="M3551" s="22" t="s">
        <v>37074</v>
      </c>
    </row>
    <row r="3552" spans="1:13" x14ac:dyDescent="0.75">
      <c r="A3552" t="s">
        <v>15973</v>
      </c>
      <c r="B3552" t="s">
        <v>12814</v>
      </c>
      <c r="C3552" t="s">
        <v>8750</v>
      </c>
      <c r="D3552" t="s">
        <v>12815</v>
      </c>
      <c r="E3552" t="s">
        <v>15974</v>
      </c>
      <c r="F3552">
        <v>195</v>
      </c>
      <c r="G3552">
        <v>2701536</v>
      </c>
      <c r="H3552" t="s">
        <v>15975</v>
      </c>
      <c r="J3552" s="54" t="s">
        <v>6052</v>
      </c>
      <c r="K3552" s="54">
        <v>0</v>
      </c>
      <c r="L3552" s="22" t="s">
        <v>144</v>
      </c>
      <c r="M3552" s="22" t="s">
        <v>37074</v>
      </c>
    </row>
    <row r="3553" spans="1:13" x14ac:dyDescent="0.75">
      <c r="A3553" t="s">
        <v>20379</v>
      </c>
      <c r="B3553" t="s">
        <v>11473</v>
      </c>
      <c r="C3553" t="s">
        <v>8750</v>
      </c>
      <c r="D3553" t="s">
        <v>11474</v>
      </c>
      <c r="E3553" t="s">
        <v>20380</v>
      </c>
      <c r="F3553">
        <v>1</v>
      </c>
      <c r="G3553">
        <v>2897960</v>
      </c>
      <c r="H3553" t="s">
        <v>20381</v>
      </c>
      <c r="J3553" s="54" t="s">
        <v>6052</v>
      </c>
      <c r="K3553" s="54">
        <v>0</v>
      </c>
      <c r="L3553" s="22" t="s">
        <v>144</v>
      </c>
      <c r="M3553" s="22" t="s">
        <v>37076</v>
      </c>
    </row>
    <row r="3554" spans="1:13" x14ac:dyDescent="0.75">
      <c r="A3554" t="s">
        <v>14364</v>
      </c>
      <c r="B3554" t="s">
        <v>12814</v>
      </c>
      <c r="C3554" t="s">
        <v>8750</v>
      </c>
      <c r="D3554" t="s">
        <v>12815</v>
      </c>
      <c r="E3554" t="s">
        <v>14365</v>
      </c>
      <c r="F3554">
        <v>10</v>
      </c>
      <c r="G3554">
        <v>2833561</v>
      </c>
      <c r="H3554" t="s">
        <v>14366</v>
      </c>
      <c r="J3554" s="54" t="s">
        <v>6052</v>
      </c>
      <c r="K3554" s="54">
        <v>0</v>
      </c>
      <c r="L3554" s="22" t="s">
        <v>144</v>
      </c>
      <c r="M3554" s="22" t="s">
        <v>37074</v>
      </c>
    </row>
    <row r="3555" spans="1:13" x14ac:dyDescent="0.75">
      <c r="A3555" t="s">
        <v>26212</v>
      </c>
      <c r="B3555" t="s">
        <v>12814</v>
      </c>
      <c r="C3555" t="s">
        <v>8750</v>
      </c>
      <c r="D3555" t="s">
        <v>12815</v>
      </c>
      <c r="E3555" t="s">
        <v>26213</v>
      </c>
      <c r="F3555">
        <v>31</v>
      </c>
      <c r="G3555">
        <v>2645906</v>
      </c>
      <c r="H3555" t="s">
        <v>26214</v>
      </c>
      <c r="J3555" s="54" t="s">
        <v>6052</v>
      </c>
      <c r="K3555" s="54">
        <v>0</v>
      </c>
      <c r="L3555" s="22" t="s">
        <v>144</v>
      </c>
      <c r="M3555" s="22" t="s">
        <v>37074</v>
      </c>
    </row>
    <row r="3556" spans="1:13" x14ac:dyDescent="0.75">
      <c r="A3556" t="s">
        <v>143</v>
      </c>
      <c r="B3556" t="s">
        <v>145</v>
      </c>
      <c r="C3556" t="s">
        <v>6429</v>
      </c>
      <c r="D3556" t="s">
        <v>6430</v>
      </c>
      <c r="E3556" t="s">
        <v>6431</v>
      </c>
      <c r="F3556">
        <v>1</v>
      </c>
      <c r="G3556">
        <v>2785024</v>
      </c>
      <c r="H3556" t="s">
        <v>6432</v>
      </c>
      <c r="J3556" s="54" t="s">
        <v>6052</v>
      </c>
      <c r="K3556" s="54">
        <v>0</v>
      </c>
      <c r="L3556" s="22" t="s">
        <v>144</v>
      </c>
      <c r="M3556" s="22" t="s">
        <v>146</v>
      </c>
    </row>
    <row r="3557" spans="1:13" x14ac:dyDescent="0.75">
      <c r="A3557" t="s">
        <v>3152</v>
      </c>
      <c r="B3557" t="s">
        <v>145</v>
      </c>
      <c r="C3557" t="s">
        <v>6429</v>
      </c>
      <c r="D3557" t="s">
        <v>6430</v>
      </c>
      <c r="E3557" t="s">
        <v>20027</v>
      </c>
      <c r="F3557">
        <v>1</v>
      </c>
      <c r="G3557">
        <v>2783568</v>
      </c>
      <c r="H3557" t="s">
        <v>20028</v>
      </c>
      <c r="J3557" s="54" t="s">
        <v>6052</v>
      </c>
      <c r="K3557" s="54">
        <v>0</v>
      </c>
      <c r="L3557" s="22" t="s">
        <v>144</v>
      </c>
      <c r="M3557" s="22" t="s">
        <v>146</v>
      </c>
    </row>
    <row r="3558" spans="1:13" x14ac:dyDescent="0.75">
      <c r="A3558" t="s">
        <v>3267</v>
      </c>
      <c r="B3558" t="s">
        <v>145</v>
      </c>
      <c r="C3558" t="s">
        <v>6429</v>
      </c>
      <c r="D3558" t="s">
        <v>6430</v>
      </c>
      <c r="E3558" t="s">
        <v>20322</v>
      </c>
      <c r="F3558">
        <v>1</v>
      </c>
      <c r="G3558">
        <v>2448756</v>
      </c>
      <c r="H3558" t="s">
        <v>20323</v>
      </c>
      <c r="J3558" s="54" t="s">
        <v>6052</v>
      </c>
      <c r="K3558" s="54">
        <v>0</v>
      </c>
      <c r="L3558" s="22" t="s">
        <v>144</v>
      </c>
      <c r="M3558" s="22" t="s">
        <v>146</v>
      </c>
    </row>
    <row r="3559" spans="1:13" x14ac:dyDescent="0.75">
      <c r="A3559" t="s">
        <v>5210</v>
      </c>
      <c r="B3559" t="s">
        <v>145</v>
      </c>
      <c r="C3559" t="s">
        <v>6429</v>
      </c>
      <c r="D3559" t="s">
        <v>6430</v>
      </c>
      <c r="E3559" t="s">
        <v>27499</v>
      </c>
      <c r="F3559">
        <v>2</v>
      </c>
      <c r="G3559">
        <v>2803893</v>
      </c>
      <c r="H3559" t="s">
        <v>27500</v>
      </c>
      <c r="J3559" s="54" t="s">
        <v>6052</v>
      </c>
      <c r="K3559" s="54">
        <v>0</v>
      </c>
      <c r="L3559" s="22" t="s">
        <v>144</v>
      </c>
      <c r="M3559" s="22" t="s">
        <v>146</v>
      </c>
    </row>
    <row r="3560" spans="1:13" x14ac:dyDescent="0.75">
      <c r="A3560" t="s">
        <v>27723</v>
      </c>
      <c r="B3560" t="s">
        <v>7234</v>
      </c>
      <c r="C3560" t="s">
        <v>6156</v>
      </c>
      <c r="D3560" t="s">
        <v>7235</v>
      </c>
      <c r="E3560" t="s">
        <v>27724</v>
      </c>
      <c r="F3560">
        <v>1</v>
      </c>
      <c r="G3560">
        <v>2249415</v>
      </c>
      <c r="H3560" t="s">
        <v>27725</v>
      </c>
      <c r="J3560" s="54" t="s">
        <v>6052</v>
      </c>
      <c r="K3560" s="54">
        <v>0</v>
      </c>
      <c r="L3560" s="22" t="s">
        <v>104</v>
      </c>
      <c r="M3560" s="22" t="s">
        <v>37165</v>
      </c>
    </row>
    <row r="3561" spans="1:13" x14ac:dyDescent="0.75">
      <c r="A3561" t="s">
        <v>29176</v>
      </c>
      <c r="B3561" t="s">
        <v>7234</v>
      </c>
      <c r="C3561" t="s">
        <v>6156</v>
      </c>
      <c r="D3561" t="s">
        <v>7235</v>
      </c>
      <c r="E3561" t="s">
        <v>29177</v>
      </c>
      <c r="F3561">
        <v>243</v>
      </c>
      <c r="G3561">
        <v>2156470</v>
      </c>
      <c r="H3561" t="s">
        <v>29178</v>
      </c>
      <c r="J3561" s="54" t="s">
        <v>6052</v>
      </c>
      <c r="K3561" s="54">
        <v>0</v>
      </c>
      <c r="L3561" s="22" t="s">
        <v>104</v>
      </c>
      <c r="M3561" s="22" t="s">
        <v>37165</v>
      </c>
    </row>
    <row r="3562" spans="1:13" x14ac:dyDescent="0.75">
      <c r="A3562" t="s">
        <v>28868</v>
      </c>
      <c r="B3562" t="s">
        <v>7234</v>
      </c>
      <c r="C3562" t="s">
        <v>6156</v>
      </c>
      <c r="D3562" t="s">
        <v>7235</v>
      </c>
      <c r="E3562" t="s">
        <v>28869</v>
      </c>
      <c r="F3562">
        <v>137</v>
      </c>
      <c r="G3562">
        <v>2044086</v>
      </c>
      <c r="H3562" t="s">
        <v>28870</v>
      </c>
      <c r="J3562" s="54" t="s">
        <v>6052</v>
      </c>
      <c r="K3562" s="54">
        <v>0</v>
      </c>
      <c r="L3562" s="22" t="s">
        <v>104</v>
      </c>
      <c r="M3562" s="22" t="s">
        <v>37165</v>
      </c>
    </row>
    <row r="3563" spans="1:13" x14ac:dyDescent="0.75">
      <c r="A3563" t="s">
        <v>14808</v>
      </c>
      <c r="B3563" t="s">
        <v>12828</v>
      </c>
      <c r="C3563" t="s">
        <v>6156</v>
      </c>
      <c r="D3563" t="s">
        <v>12829</v>
      </c>
      <c r="E3563" t="s">
        <v>14809</v>
      </c>
      <c r="F3563">
        <v>123</v>
      </c>
      <c r="G3563">
        <v>2587278</v>
      </c>
      <c r="H3563" t="s">
        <v>14810</v>
      </c>
      <c r="J3563" s="54" t="s">
        <v>6052</v>
      </c>
      <c r="K3563" s="54">
        <v>0</v>
      </c>
      <c r="L3563" s="22" t="s">
        <v>104</v>
      </c>
      <c r="M3563" s="22" t="s">
        <v>37173</v>
      </c>
    </row>
    <row r="3564" spans="1:13" x14ac:dyDescent="0.75">
      <c r="A3564" t="s">
        <v>29288</v>
      </c>
      <c r="B3564" t="s">
        <v>12828</v>
      </c>
      <c r="C3564" t="s">
        <v>6156</v>
      </c>
      <c r="D3564" t="s">
        <v>12829</v>
      </c>
      <c r="E3564" t="s">
        <v>29289</v>
      </c>
      <c r="F3564">
        <v>1</v>
      </c>
      <c r="G3564">
        <v>2595480</v>
      </c>
      <c r="H3564" t="s">
        <v>29290</v>
      </c>
      <c r="J3564" s="54" t="s">
        <v>6052</v>
      </c>
      <c r="K3564" s="54">
        <v>0</v>
      </c>
      <c r="L3564" s="22" t="s">
        <v>104</v>
      </c>
      <c r="M3564" s="22" t="s">
        <v>37173</v>
      </c>
    </row>
    <row r="3565" spans="1:13" x14ac:dyDescent="0.75">
      <c r="A3565" t="s">
        <v>29742</v>
      </c>
      <c r="B3565" t="s">
        <v>12828</v>
      </c>
      <c r="C3565" t="s">
        <v>6156</v>
      </c>
      <c r="D3565" t="s">
        <v>12829</v>
      </c>
      <c r="E3565" t="s">
        <v>29743</v>
      </c>
      <c r="F3565">
        <v>138</v>
      </c>
      <c r="G3565">
        <v>2431739</v>
      </c>
      <c r="H3565" t="s">
        <v>29744</v>
      </c>
      <c r="J3565" s="54" t="s">
        <v>6052</v>
      </c>
      <c r="K3565" s="54">
        <v>0</v>
      </c>
      <c r="L3565" s="22" t="s">
        <v>104</v>
      </c>
      <c r="M3565" s="22" t="s">
        <v>37173</v>
      </c>
    </row>
    <row r="3566" spans="1:13" x14ac:dyDescent="0.75">
      <c r="A3566" t="s">
        <v>12827</v>
      </c>
      <c r="B3566" t="s">
        <v>12828</v>
      </c>
      <c r="C3566" t="s">
        <v>6156</v>
      </c>
      <c r="D3566" t="s">
        <v>12829</v>
      </c>
      <c r="E3566" t="s">
        <v>12830</v>
      </c>
      <c r="F3566">
        <v>228</v>
      </c>
      <c r="G3566">
        <v>2419950</v>
      </c>
      <c r="H3566" t="s">
        <v>12831</v>
      </c>
      <c r="J3566" s="54" t="s">
        <v>6052</v>
      </c>
      <c r="K3566" s="54">
        <v>0</v>
      </c>
      <c r="L3566" s="22" t="s">
        <v>104</v>
      </c>
      <c r="M3566" s="22" t="s">
        <v>37173</v>
      </c>
    </row>
    <row r="3567" spans="1:13" x14ac:dyDescent="0.75">
      <c r="A3567" t="s">
        <v>19598</v>
      </c>
      <c r="B3567" t="s">
        <v>12828</v>
      </c>
      <c r="C3567" t="s">
        <v>6156</v>
      </c>
      <c r="D3567" t="s">
        <v>12829</v>
      </c>
      <c r="E3567" t="s">
        <v>19599</v>
      </c>
      <c r="F3567">
        <v>214</v>
      </c>
      <c r="G3567">
        <v>2189526</v>
      </c>
      <c r="H3567" t="s">
        <v>19600</v>
      </c>
      <c r="J3567" s="54" t="s">
        <v>6052</v>
      </c>
      <c r="K3567" s="54">
        <v>0</v>
      </c>
      <c r="L3567" s="22" t="s">
        <v>104</v>
      </c>
      <c r="M3567" s="22" t="s">
        <v>37173</v>
      </c>
    </row>
    <row r="3568" spans="1:13" x14ac:dyDescent="0.75">
      <c r="A3568" t="s">
        <v>21505</v>
      </c>
      <c r="B3568" t="s">
        <v>12828</v>
      </c>
      <c r="C3568" t="s">
        <v>6156</v>
      </c>
      <c r="D3568" t="s">
        <v>12829</v>
      </c>
      <c r="E3568" t="s">
        <v>21506</v>
      </c>
      <c r="F3568">
        <v>77</v>
      </c>
      <c r="G3568">
        <v>2485932</v>
      </c>
      <c r="H3568" t="s">
        <v>21507</v>
      </c>
      <c r="J3568" s="54" t="s">
        <v>6052</v>
      </c>
      <c r="K3568" s="54">
        <v>0</v>
      </c>
      <c r="L3568" s="22" t="s">
        <v>104</v>
      </c>
      <c r="M3568" s="22" t="s">
        <v>37173</v>
      </c>
    </row>
    <row r="3569" spans="1:13" x14ac:dyDescent="0.75">
      <c r="A3569" t="s">
        <v>20579</v>
      </c>
      <c r="B3569" t="s">
        <v>12828</v>
      </c>
      <c r="C3569" t="s">
        <v>6156</v>
      </c>
      <c r="D3569" t="s">
        <v>12829</v>
      </c>
      <c r="E3569" t="s">
        <v>20580</v>
      </c>
      <c r="F3569">
        <v>1</v>
      </c>
      <c r="G3569">
        <v>2566407</v>
      </c>
      <c r="H3569" t="s">
        <v>20581</v>
      </c>
      <c r="J3569" s="54" t="s">
        <v>6052</v>
      </c>
      <c r="K3569" s="54">
        <v>0</v>
      </c>
      <c r="L3569" s="22" t="s">
        <v>104</v>
      </c>
      <c r="M3569" s="22" t="s">
        <v>37173</v>
      </c>
    </row>
    <row r="3570" spans="1:13" x14ac:dyDescent="0.75">
      <c r="A3570" t="s">
        <v>14370</v>
      </c>
      <c r="B3570" t="s">
        <v>12828</v>
      </c>
      <c r="C3570" t="s">
        <v>6156</v>
      </c>
      <c r="D3570" t="s">
        <v>12829</v>
      </c>
      <c r="E3570" t="s">
        <v>14371</v>
      </c>
      <c r="F3570">
        <v>48</v>
      </c>
      <c r="G3570">
        <v>2466093</v>
      </c>
      <c r="H3570" t="s">
        <v>14372</v>
      </c>
      <c r="J3570" s="54" t="s">
        <v>6052</v>
      </c>
      <c r="K3570" s="54">
        <v>0</v>
      </c>
      <c r="L3570" s="22" t="s">
        <v>104</v>
      </c>
      <c r="M3570" s="22" t="s">
        <v>37173</v>
      </c>
    </row>
    <row r="3571" spans="1:13" x14ac:dyDescent="0.75">
      <c r="A3571" t="s">
        <v>16696</v>
      </c>
      <c r="B3571" t="s">
        <v>7135</v>
      </c>
      <c r="C3571" t="s">
        <v>6156</v>
      </c>
      <c r="D3571" t="s">
        <v>7136</v>
      </c>
      <c r="E3571" t="s">
        <v>16697</v>
      </c>
      <c r="F3571">
        <v>1</v>
      </c>
      <c r="G3571">
        <v>2231882</v>
      </c>
      <c r="H3571" t="s">
        <v>16698</v>
      </c>
      <c r="J3571" s="54" t="s">
        <v>6052</v>
      </c>
      <c r="K3571" s="54">
        <v>0</v>
      </c>
      <c r="L3571" s="22" t="s">
        <v>104</v>
      </c>
      <c r="M3571" s="22" t="s">
        <v>37169</v>
      </c>
    </row>
    <row r="3572" spans="1:13" x14ac:dyDescent="0.75">
      <c r="A3572" t="s">
        <v>30789</v>
      </c>
      <c r="B3572" t="s">
        <v>7135</v>
      </c>
      <c r="C3572" t="s">
        <v>6156</v>
      </c>
      <c r="D3572" t="s">
        <v>7136</v>
      </c>
      <c r="E3572" t="s">
        <v>30790</v>
      </c>
      <c r="F3572">
        <v>104</v>
      </c>
      <c r="G3572">
        <v>2213989</v>
      </c>
      <c r="H3572" t="s">
        <v>30791</v>
      </c>
      <c r="J3572" s="54" t="s">
        <v>6052</v>
      </c>
      <c r="K3572" s="54">
        <v>0</v>
      </c>
      <c r="L3572" s="22" t="s">
        <v>104</v>
      </c>
      <c r="M3572" s="22" t="s">
        <v>37169</v>
      </c>
    </row>
    <row r="3573" spans="1:13" x14ac:dyDescent="0.75">
      <c r="A3573" t="s">
        <v>30792</v>
      </c>
      <c r="B3573" t="s">
        <v>7135</v>
      </c>
      <c r="C3573" t="s">
        <v>6156</v>
      </c>
      <c r="D3573" t="s">
        <v>7136</v>
      </c>
      <c r="E3573" t="s">
        <v>30793</v>
      </c>
      <c r="F3573">
        <v>112</v>
      </c>
      <c r="G3573">
        <v>2215124</v>
      </c>
      <c r="H3573" t="s">
        <v>30794</v>
      </c>
      <c r="J3573" s="54" t="s">
        <v>6052</v>
      </c>
      <c r="K3573" s="54">
        <v>0</v>
      </c>
      <c r="L3573" s="22" t="s">
        <v>104</v>
      </c>
      <c r="M3573" s="22" t="s">
        <v>37169</v>
      </c>
    </row>
    <row r="3574" spans="1:13" x14ac:dyDescent="0.75">
      <c r="A3574" t="s">
        <v>12182</v>
      </c>
      <c r="B3574" t="s">
        <v>7135</v>
      </c>
      <c r="C3574" t="s">
        <v>6156</v>
      </c>
      <c r="D3574" t="s">
        <v>7136</v>
      </c>
      <c r="E3574" t="s">
        <v>12183</v>
      </c>
      <c r="F3574">
        <v>38</v>
      </c>
      <c r="G3574">
        <v>2253927</v>
      </c>
      <c r="H3574" t="s">
        <v>12184</v>
      </c>
      <c r="J3574" s="54" t="s">
        <v>6052</v>
      </c>
      <c r="K3574" s="54">
        <v>0</v>
      </c>
      <c r="L3574" s="22" t="s">
        <v>104</v>
      </c>
      <c r="M3574" s="22" t="s">
        <v>37169</v>
      </c>
    </row>
    <row r="3575" spans="1:13" x14ac:dyDescent="0.75">
      <c r="A3575" t="s">
        <v>12185</v>
      </c>
      <c r="B3575" t="s">
        <v>7135</v>
      </c>
      <c r="C3575" t="s">
        <v>6156</v>
      </c>
      <c r="D3575" t="s">
        <v>7136</v>
      </c>
      <c r="E3575" t="s">
        <v>12186</v>
      </c>
      <c r="F3575">
        <v>73</v>
      </c>
      <c r="G3575">
        <v>2345024</v>
      </c>
      <c r="H3575" t="s">
        <v>12187</v>
      </c>
      <c r="J3575" s="54" t="s">
        <v>6052</v>
      </c>
      <c r="K3575" s="54">
        <v>0</v>
      </c>
      <c r="L3575" s="22" t="s">
        <v>104</v>
      </c>
      <c r="M3575" s="22" t="s">
        <v>37169</v>
      </c>
    </row>
    <row r="3576" spans="1:13" x14ac:dyDescent="0.75">
      <c r="A3576" t="s">
        <v>12188</v>
      </c>
      <c r="B3576" t="s">
        <v>7135</v>
      </c>
      <c r="C3576" t="s">
        <v>6156</v>
      </c>
      <c r="D3576" t="s">
        <v>7136</v>
      </c>
      <c r="E3576" t="s">
        <v>12189</v>
      </c>
      <c r="F3576">
        <v>37</v>
      </c>
      <c r="G3576">
        <v>2333017</v>
      </c>
      <c r="H3576" t="s">
        <v>12190</v>
      </c>
      <c r="J3576" s="54" t="s">
        <v>6052</v>
      </c>
      <c r="K3576" s="54">
        <v>0</v>
      </c>
      <c r="L3576" s="22" t="s">
        <v>104</v>
      </c>
      <c r="M3576" s="22" t="s">
        <v>37169</v>
      </c>
    </row>
    <row r="3577" spans="1:13" x14ac:dyDescent="0.75">
      <c r="A3577" t="s">
        <v>12191</v>
      </c>
      <c r="B3577" t="s">
        <v>7135</v>
      </c>
      <c r="C3577" t="s">
        <v>6156</v>
      </c>
      <c r="D3577" t="s">
        <v>7136</v>
      </c>
      <c r="E3577" t="s">
        <v>12192</v>
      </c>
      <c r="F3577">
        <v>67</v>
      </c>
      <c r="G3577">
        <v>2316621</v>
      </c>
      <c r="H3577" t="s">
        <v>12193</v>
      </c>
      <c r="J3577" s="54" t="s">
        <v>6052</v>
      </c>
      <c r="K3577" s="54">
        <v>0</v>
      </c>
      <c r="L3577" s="22" t="s">
        <v>104</v>
      </c>
      <c r="M3577" s="22" t="s">
        <v>37169</v>
      </c>
    </row>
    <row r="3578" spans="1:13" x14ac:dyDescent="0.75">
      <c r="A3578" t="s">
        <v>28828</v>
      </c>
      <c r="B3578" t="s">
        <v>7135</v>
      </c>
      <c r="C3578" t="s">
        <v>6156</v>
      </c>
      <c r="D3578" t="s">
        <v>7136</v>
      </c>
      <c r="E3578" t="s">
        <v>28829</v>
      </c>
      <c r="F3578">
        <v>134</v>
      </c>
      <c r="G3578">
        <v>2197657</v>
      </c>
      <c r="H3578" t="s">
        <v>28830</v>
      </c>
      <c r="J3578" s="54" t="s">
        <v>6052</v>
      </c>
      <c r="K3578" s="54">
        <v>0</v>
      </c>
      <c r="L3578" s="22" t="s">
        <v>104</v>
      </c>
      <c r="M3578" s="22" t="s">
        <v>37169</v>
      </c>
    </row>
    <row r="3579" spans="1:13" x14ac:dyDescent="0.75">
      <c r="A3579" t="s">
        <v>13037</v>
      </c>
      <c r="B3579" t="s">
        <v>7135</v>
      </c>
      <c r="C3579" t="s">
        <v>6156</v>
      </c>
      <c r="D3579" t="s">
        <v>7136</v>
      </c>
      <c r="E3579" t="s">
        <v>13038</v>
      </c>
      <c r="F3579">
        <v>111</v>
      </c>
      <c r="G3579">
        <v>2259121</v>
      </c>
      <c r="H3579" t="s">
        <v>13039</v>
      </c>
      <c r="J3579" s="54" t="s">
        <v>6052</v>
      </c>
      <c r="K3579" s="54">
        <v>0</v>
      </c>
      <c r="L3579" s="22" t="s">
        <v>104</v>
      </c>
      <c r="M3579" s="22" t="s">
        <v>37169</v>
      </c>
    </row>
    <row r="3580" spans="1:13" x14ac:dyDescent="0.75">
      <c r="A3580" t="s">
        <v>12726</v>
      </c>
      <c r="B3580" t="s">
        <v>7135</v>
      </c>
      <c r="C3580" t="s">
        <v>6156</v>
      </c>
      <c r="D3580" t="s">
        <v>7136</v>
      </c>
      <c r="E3580" t="s">
        <v>12727</v>
      </c>
      <c r="F3580">
        <v>173</v>
      </c>
      <c r="G3580">
        <v>2328971</v>
      </c>
      <c r="H3580" t="s">
        <v>12728</v>
      </c>
      <c r="J3580" s="54" t="s">
        <v>6052</v>
      </c>
      <c r="K3580" s="54">
        <v>0</v>
      </c>
      <c r="L3580" s="22" t="s">
        <v>104</v>
      </c>
      <c r="M3580" s="22" t="s">
        <v>37169</v>
      </c>
    </row>
    <row r="3581" spans="1:13" x14ac:dyDescent="0.75">
      <c r="A3581" t="s">
        <v>23600</v>
      </c>
      <c r="B3581" t="s">
        <v>7135</v>
      </c>
      <c r="C3581" t="s">
        <v>6156</v>
      </c>
      <c r="D3581" t="s">
        <v>7136</v>
      </c>
      <c r="E3581" t="s">
        <v>23601</v>
      </c>
      <c r="F3581">
        <v>1</v>
      </c>
      <c r="G3581">
        <v>2213981</v>
      </c>
      <c r="H3581" t="s">
        <v>23602</v>
      </c>
      <c r="J3581" s="54" t="s">
        <v>6052</v>
      </c>
      <c r="K3581" s="54">
        <v>0</v>
      </c>
      <c r="L3581" s="22" t="s">
        <v>104</v>
      </c>
      <c r="M3581" s="22" t="s">
        <v>37169</v>
      </c>
    </row>
    <row r="3582" spans="1:13" x14ac:dyDescent="0.75">
      <c r="A3582" t="s">
        <v>23603</v>
      </c>
      <c r="B3582" t="s">
        <v>7135</v>
      </c>
      <c r="C3582" t="s">
        <v>6156</v>
      </c>
      <c r="D3582" t="s">
        <v>7136</v>
      </c>
      <c r="E3582" t="s">
        <v>23604</v>
      </c>
      <c r="F3582">
        <v>1</v>
      </c>
      <c r="G3582">
        <v>2277784</v>
      </c>
      <c r="H3582" t="s">
        <v>23605</v>
      </c>
      <c r="J3582" s="54" t="s">
        <v>6052</v>
      </c>
      <c r="K3582" s="54">
        <v>0</v>
      </c>
      <c r="L3582" s="22" t="s">
        <v>104</v>
      </c>
      <c r="M3582" s="22" t="s">
        <v>37169</v>
      </c>
    </row>
    <row r="3583" spans="1:13" x14ac:dyDescent="0.75">
      <c r="A3583" t="s">
        <v>30299</v>
      </c>
      <c r="B3583" t="s">
        <v>17946</v>
      </c>
      <c r="C3583" t="s">
        <v>17947</v>
      </c>
      <c r="D3583" t="s">
        <v>6815</v>
      </c>
      <c r="E3583" t="s">
        <v>30300</v>
      </c>
      <c r="F3583">
        <v>11</v>
      </c>
      <c r="G3583">
        <v>1587070</v>
      </c>
      <c r="H3583" t="s">
        <v>30301</v>
      </c>
      <c r="J3583" s="54" t="s">
        <v>6052</v>
      </c>
      <c r="K3583" s="54">
        <v>0</v>
      </c>
      <c r="L3583" s="22" t="s">
        <v>1308</v>
      </c>
      <c r="M3583" s="22" t="s">
        <v>37084</v>
      </c>
    </row>
    <row r="3584" spans="1:13" x14ac:dyDescent="0.75">
      <c r="A3584" t="s">
        <v>30284</v>
      </c>
      <c r="B3584" t="s">
        <v>17946</v>
      </c>
      <c r="C3584" t="s">
        <v>17947</v>
      </c>
      <c r="D3584" t="s">
        <v>6815</v>
      </c>
      <c r="E3584" t="s">
        <v>30285</v>
      </c>
      <c r="F3584">
        <v>15</v>
      </c>
      <c r="G3584">
        <v>1527680</v>
      </c>
      <c r="H3584" t="s">
        <v>30286</v>
      </c>
      <c r="J3584" s="54" t="s">
        <v>6052</v>
      </c>
      <c r="K3584" s="54">
        <v>0</v>
      </c>
      <c r="L3584" s="22" t="s">
        <v>1308</v>
      </c>
      <c r="M3584" s="22" t="s">
        <v>37084</v>
      </c>
    </row>
    <row r="3585" spans="1:13" x14ac:dyDescent="0.75">
      <c r="A3585" t="s">
        <v>30223</v>
      </c>
      <c r="B3585" t="s">
        <v>17946</v>
      </c>
      <c r="C3585" t="s">
        <v>17947</v>
      </c>
      <c r="D3585" t="s">
        <v>6815</v>
      </c>
      <c r="E3585" t="s">
        <v>30224</v>
      </c>
      <c r="F3585">
        <v>30</v>
      </c>
      <c r="G3585">
        <v>1504372</v>
      </c>
      <c r="H3585" t="s">
        <v>30225</v>
      </c>
      <c r="J3585" s="54" t="s">
        <v>6052</v>
      </c>
      <c r="K3585" s="54">
        <v>0</v>
      </c>
      <c r="L3585" s="22" t="s">
        <v>1308</v>
      </c>
      <c r="M3585" s="22" t="s">
        <v>37084</v>
      </c>
    </row>
    <row r="3586" spans="1:13" x14ac:dyDescent="0.75">
      <c r="A3586" t="s">
        <v>30256</v>
      </c>
      <c r="B3586" t="s">
        <v>17946</v>
      </c>
      <c r="C3586" t="s">
        <v>17947</v>
      </c>
      <c r="D3586" t="s">
        <v>6815</v>
      </c>
      <c r="E3586" t="s">
        <v>30257</v>
      </c>
      <c r="F3586">
        <v>24</v>
      </c>
      <c r="G3586">
        <v>1734492</v>
      </c>
      <c r="H3586" t="s">
        <v>30258</v>
      </c>
      <c r="J3586" s="54" t="s">
        <v>6052</v>
      </c>
      <c r="K3586" s="54">
        <v>0</v>
      </c>
      <c r="L3586" s="22" t="s">
        <v>1308</v>
      </c>
      <c r="M3586" s="22" t="s">
        <v>37084</v>
      </c>
    </row>
    <row r="3587" spans="1:13" x14ac:dyDescent="0.75">
      <c r="A3587" t="s">
        <v>30383</v>
      </c>
      <c r="B3587" t="s">
        <v>17946</v>
      </c>
      <c r="C3587" t="s">
        <v>17947</v>
      </c>
      <c r="D3587" t="s">
        <v>6815</v>
      </c>
      <c r="E3587" t="s">
        <v>30384</v>
      </c>
      <c r="F3587">
        <v>17</v>
      </c>
      <c r="G3587">
        <v>1566416</v>
      </c>
      <c r="H3587" t="s">
        <v>30385</v>
      </c>
      <c r="J3587" s="54" t="s">
        <v>6052</v>
      </c>
      <c r="K3587" s="54">
        <v>0</v>
      </c>
      <c r="L3587" s="22" t="s">
        <v>1308</v>
      </c>
      <c r="M3587" s="22" t="s">
        <v>37084</v>
      </c>
    </row>
    <row r="3588" spans="1:13" x14ac:dyDescent="0.75">
      <c r="A3588" t="s">
        <v>18087</v>
      </c>
      <c r="B3588" t="s">
        <v>17946</v>
      </c>
      <c r="C3588" t="s">
        <v>17947</v>
      </c>
      <c r="D3588" t="s">
        <v>6815</v>
      </c>
      <c r="E3588" t="s">
        <v>18088</v>
      </c>
      <c r="F3588">
        <v>1</v>
      </c>
      <c r="G3588">
        <v>1649642</v>
      </c>
      <c r="H3588" t="s">
        <v>18089</v>
      </c>
      <c r="J3588" s="54" t="s">
        <v>6052</v>
      </c>
      <c r="K3588" s="54">
        <v>0</v>
      </c>
      <c r="L3588" s="22" t="s">
        <v>1308</v>
      </c>
      <c r="M3588" s="22" t="s">
        <v>37084</v>
      </c>
    </row>
    <row r="3589" spans="1:13" x14ac:dyDescent="0.75">
      <c r="A3589" t="s">
        <v>17956</v>
      </c>
      <c r="B3589" t="s">
        <v>17946</v>
      </c>
      <c r="C3589" t="s">
        <v>17947</v>
      </c>
      <c r="D3589" t="s">
        <v>6815</v>
      </c>
      <c r="E3589" t="s">
        <v>17957</v>
      </c>
      <c r="F3589">
        <v>22</v>
      </c>
      <c r="G3589">
        <v>1480353</v>
      </c>
      <c r="H3589" t="s">
        <v>17958</v>
      </c>
      <c r="J3589" s="54" t="s">
        <v>6052</v>
      </c>
      <c r="K3589" s="54">
        <v>0</v>
      </c>
      <c r="L3589" s="22" t="s">
        <v>1308</v>
      </c>
      <c r="M3589" s="22" t="s">
        <v>37084</v>
      </c>
    </row>
    <row r="3590" spans="1:13" x14ac:dyDescent="0.75">
      <c r="A3590" t="s">
        <v>17945</v>
      </c>
      <c r="B3590" t="s">
        <v>17946</v>
      </c>
      <c r="C3590" t="s">
        <v>17947</v>
      </c>
      <c r="D3590" t="s">
        <v>6815</v>
      </c>
      <c r="E3590" t="s">
        <v>17948</v>
      </c>
      <c r="F3590">
        <v>28</v>
      </c>
      <c r="G3590">
        <v>1603810</v>
      </c>
      <c r="H3590" t="s">
        <v>17949</v>
      </c>
      <c r="J3590" s="54" t="s">
        <v>6052</v>
      </c>
      <c r="K3590" s="54">
        <v>0</v>
      </c>
      <c r="L3590" s="22" t="s">
        <v>1308</v>
      </c>
      <c r="M3590" s="22" t="s">
        <v>37084</v>
      </c>
    </row>
    <row r="3591" spans="1:13" x14ac:dyDescent="0.75">
      <c r="A3591" t="s">
        <v>17953</v>
      </c>
      <c r="B3591" t="s">
        <v>17946</v>
      </c>
      <c r="C3591" t="s">
        <v>17947</v>
      </c>
      <c r="D3591" t="s">
        <v>6815</v>
      </c>
      <c r="E3591" t="s">
        <v>17954</v>
      </c>
      <c r="F3591">
        <v>28</v>
      </c>
      <c r="G3591">
        <v>1515592</v>
      </c>
      <c r="H3591" t="s">
        <v>17955</v>
      </c>
      <c r="J3591" s="54" t="s">
        <v>6052</v>
      </c>
      <c r="K3591" s="54">
        <v>0</v>
      </c>
      <c r="L3591" s="22" t="s">
        <v>1308</v>
      </c>
      <c r="M3591" s="22" t="s">
        <v>37084</v>
      </c>
    </row>
    <row r="3592" spans="1:13" x14ac:dyDescent="0.75">
      <c r="A3592" t="s">
        <v>17950</v>
      </c>
      <c r="B3592" t="s">
        <v>17946</v>
      </c>
      <c r="C3592" t="s">
        <v>17947</v>
      </c>
      <c r="D3592" t="s">
        <v>6815</v>
      </c>
      <c r="E3592" t="s">
        <v>17951</v>
      </c>
      <c r="F3592">
        <v>44</v>
      </c>
      <c r="G3592">
        <v>1584131</v>
      </c>
      <c r="H3592" t="s">
        <v>17952</v>
      </c>
      <c r="J3592" s="54" t="s">
        <v>6052</v>
      </c>
      <c r="K3592" s="54">
        <v>0</v>
      </c>
      <c r="L3592" s="22" t="s">
        <v>1308</v>
      </c>
      <c r="M3592" s="22" t="s">
        <v>37084</v>
      </c>
    </row>
    <row r="3593" spans="1:13" x14ac:dyDescent="0.75">
      <c r="A3593" t="s">
        <v>18988</v>
      </c>
      <c r="B3593" t="s">
        <v>7135</v>
      </c>
      <c r="C3593" t="s">
        <v>6156</v>
      </c>
      <c r="D3593" t="s">
        <v>7136</v>
      </c>
      <c r="E3593" t="s">
        <v>18989</v>
      </c>
      <c r="F3593">
        <v>4</v>
      </c>
      <c r="G3593">
        <v>2376255</v>
      </c>
      <c r="H3593" t="s">
        <v>18990</v>
      </c>
      <c r="J3593" s="54" t="s">
        <v>6052</v>
      </c>
      <c r="K3593" s="54">
        <v>0</v>
      </c>
      <c r="L3593" s="22" t="s">
        <v>104</v>
      </c>
      <c r="M3593" s="22" t="s">
        <v>37169</v>
      </c>
    </row>
    <row r="3594" spans="1:13" x14ac:dyDescent="0.75">
      <c r="A3594" t="s">
        <v>27516</v>
      </c>
      <c r="B3594" t="s">
        <v>7135</v>
      </c>
      <c r="C3594" t="s">
        <v>6156</v>
      </c>
      <c r="D3594" t="s">
        <v>7136</v>
      </c>
      <c r="E3594" t="s">
        <v>27517</v>
      </c>
      <c r="F3594">
        <v>4</v>
      </c>
      <c r="G3594">
        <v>2291788</v>
      </c>
      <c r="H3594" t="s">
        <v>27518</v>
      </c>
      <c r="J3594" s="54" t="s">
        <v>6052</v>
      </c>
      <c r="K3594" s="54">
        <v>0</v>
      </c>
      <c r="L3594" s="22" t="s">
        <v>104</v>
      </c>
      <c r="M3594" s="22" t="s">
        <v>37169</v>
      </c>
    </row>
    <row r="3595" spans="1:13" x14ac:dyDescent="0.75">
      <c r="A3595" t="s">
        <v>27522</v>
      </c>
      <c r="B3595" t="s">
        <v>7135</v>
      </c>
      <c r="C3595" t="s">
        <v>6156</v>
      </c>
      <c r="D3595" t="s">
        <v>7136</v>
      </c>
      <c r="E3595" t="s">
        <v>27523</v>
      </c>
      <c r="F3595">
        <v>39</v>
      </c>
      <c r="G3595">
        <v>2283263</v>
      </c>
      <c r="H3595" t="s">
        <v>27524</v>
      </c>
      <c r="J3595" s="54" t="s">
        <v>6052</v>
      </c>
      <c r="K3595" s="54">
        <v>0</v>
      </c>
      <c r="L3595" s="22" t="s">
        <v>104</v>
      </c>
      <c r="M3595" s="22" t="s">
        <v>37169</v>
      </c>
    </row>
    <row r="3596" spans="1:13" x14ac:dyDescent="0.75">
      <c r="A3596" t="s">
        <v>27525</v>
      </c>
      <c r="B3596" t="s">
        <v>7135</v>
      </c>
      <c r="C3596" t="s">
        <v>6156</v>
      </c>
      <c r="D3596" t="s">
        <v>7136</v>
      </c>
      <c r="E3596" t="s">
        <v>27526</v>
      </c>
      <c r="F3596">
        <v>10</v>
      </c>
      <c r="G3596">
        <v>2284162</v>
      </c>
      <c r="H3596" t="s">
        <v>27527</v>
      </c>
      <c r="J3596" s="54" t="s">
        <v>6052</v>
      </c>
      <c r="K3596" s="54">
        <v>0</v>
      </c>
      <c r="L3596" s="22" t="s">
        <v>104</v>
      </c>
      <c r="M3596" s="22" t="s">
        <v>37169</v>
      </c>
    </row>
    <row r="3597" spans="1:13" x14ac:dyDescent="0.75">
      <c r="A3597" t="s">
        <v>28145</v>
      </c>
      <c r="B3597" t="s">
        <v>7135</v>
      </c>
      <c r="C3597" t="s">
        <v>6156</v>
      </c>
      <c r="D3597" t="s">
        <v>7136</v>
      </c>
      <c r="E3597" t="s">
        <v>28146</v>
      </c>
      <c r="F3597">
        <v>76</v>
      </c>
      <c r="G3597">
        <v>2211994</v>
      </c>
      <c r="H3597" t="s">
        <v>28147</v>
      </c>
      <c r="J3597" s="54" t="s">
        <v>6052</v>
      </c>
      <c r="K3597" s="54">
        <v>0</v>
      </c>
      <c r="L3597" s="22" t="s">
        <v>104</v>
      </c>
      <c r="M3597" s="22" t="s">
        <v>37169</v>
      </c>
    </row>
    <row r="3598" spans="1:13" x14ac:dyDescent="0.75">
      <c r="A3598" t="s">
        <v>7134</v>
      </c>
      <c r="B3598" t="s">
        <v>7135</v>
      </c>
      <c r="C3598" t="s">
        <v>6156</v>
      </c>
      <c r="D3598" t="s">
        <v>7136</v>
      </c>
      <c r="E3598" t="s">
        <v>7137</v>
      </c>
      <c r="F3598">
        <v>117</v>
      </c>
      <c r="G3598">
        <v>2205588</v>
      </c>
      <c r="H3598" t="s">
        <v>7138</v>
      </c>
      <c r="J3598" s="54" t="s">
        <v>6052</v>
      </c>
      <c r="K3598" s="54">
        <v>0</v>
      </c>
      <c r="L3598" s="22" t="s">
        <v>104</v>
      </c>
      <c r="M3598" s="22" t="s">
        <v>37169</v>
      </c>
    </row>
    <row r="3599" spans="1:13" x14ac:dyDescent="0.75">
      <c r="A3599" t="s">
        <v>29493</v>
      </c>
      <c r="B3599" t="s">
        <v>7135</v>
      </c>
      <c r="C3599" t="s">
        <v>6156</v>
      </c>
      <c r="D3599" t="s">
        <v>7136</v>
      </c>
      <c r="E3599" t="s">
        <v>29494</v>
      </c>
      <c r="F3599">
        <v>28</v>
      </c>
      <c r="G3599">
        <v>2148174</v>
      </c>
      <c r="H3599" t="s">
        <v>29495</v>
      </c>
      <c r="J3599" s="54" t="s">
        <v>6052</v>
      </c>
      <c r="K3599" s="54">
        <v>0</v>
      </c>
      <c r="L3599" s="22" t="s">
        <v>104</v>
      </c>
      <c r="M3599" s="22" t="s">
        <v>37169</v>
      </c>
    </row>
    <row r="3600" spans="1:13" x14ac:dyDescent="0.75">
      <c r="A3600" t="s">
        <v>23369</v>
      </c>
      <c r="B3600" t="s">
        <v>7135</v>
      </c>
      <c r="C3600" t="s">
        <v>6156</v>
      </c>
      <c r="D3600" t="s">
        <v>7136</v>
      </c>
      <c r="E3600" t="s">
        <v>23370</v>
      </c>
      <c r="F3600">
        <v>5</v>
      </c>
      <c r="G3600">
        <v>2420185</v>
      </c>
      <c r="H3600" t="s">
        <v>23371</v>
      </c>
      <c r="J3600" s="54" t="s">
        <v>6052</v>
      </c>
      <c r="K3600" s="54">
        <v>0</v>
      </c>
      <c r="L3600" s="22" t="s">
        <v>104</v>
      </c>
      <c r="M3600" s="22" t="s">
        <v>37169</v>
      </c>
    </row>
    <row r="3601" spans="1:13" x14ac:dyDescent="0.75">
      <c r="A3601" t="s">
        <v>18361</v>
      </c>
      <c r="B3601" t="s">
        <v>6835</v>
      </c>
      <c r="C3601" t="s">
        <v>6493</v>
      </c>
      <c r="D3601" t="s">
        <v>6836</v>
      </c>
      <c r="E3601" t="s">
        <v>18362</v>
      </c>
      <c r="F3601">
        <v>3</v>
      </c>
      <c r="G3601">
        <v>3219033</v>
      </c>
      <c r="H3601" t="s">
        <v>18363</v>
      </c>
      <c r="J3601" s="54" t="s">
        <v>6052</v>
      </c>
      <c r="K3601" s="54">
        <v>0</v>
      </c>
      <c r="L3601" s="22" t="s">
        <v>144</v>
      </c>
      <c r="M3601" s="22" t="s">
        <v>37087</v>
      </c>
    </row>
    <row r="3602" spans="1:13" x14ac:dyDescent="0.75">
      <c r="A3602" t="s">
        <v>6834</v>
      </c>
      <c r="B3602" t="s">
        <v>6835</v>
      </c>
      <c r="C3602" t="s">
        <v>6493</v>
      </c>
      <c r="D3602" t="s">
        <v>6836</v>
      </c>
      <c r="E3602" t="s">
        <v>6837</v>
      </c>
      <c r="F3602">
        <v>174</v>
      </c>
      <c r="G3602">
        <v>2991737</v>
      </c>
      <c r="H3602" t="s">
        <v>6838</v>
      </c>
      <c r="J3602" s="54" t="s">
        <v>6052</v>
      </c>
      <c r="K3602" s="54">
        <v>0</v>
      </c>
      <c r="L3602" s="22" t="s">
        <v>144</v>
      </c>
      <c r="M3602" s="22" t="s">
        <v>37087</v>
      </c>
    </row>
    <row r="3603" spans="1:13" x14ac:dyDescent="0.75">
      <c r="A3603" t="s">
        <v>16628</v>
      </c>
      <c r="B3603" t="s">
        <v>6835</v>
      </c>
      <c r="C3603" t="s">
        <v>6493</v>
      </c>
      <c r="D3603" t="s">
        <v>6836</v>
      </c>
      <c r="E3603" t="s">
        <v>6837</v>
      </c>
      <c r="F3603">
        <v>127</v>
      </c>
      <c r="G3603">
        <v>3003415</v>
      </c>
      <c r="H3603" t="s">
        <v>16629</v>
      </c>
      <c r="J3603" s="54" t="s">
        <v>6052</v>
      </c>
      <c r="K3603" s="54">
        <v>0</v>
      </c>
      <c r="L3603" s="22" t="s">
        <v>144</v>
      </c>
      <c r="M3603" s="22" t="s">
        <v>37087</v>
      </c>
    </row>
    <row r="3604" spans="1:13" x14ac:dyDescent="0.75">
      <c r="A3604" t="s">
        <v>10745</v>
      </c>
      <c r="B3604" t="s">
        <v>10340</v>
      </c>
      <c r="C3604" t="s">
        <v>6493</v>
      </c>
      <c r="D3604" t="s">
        <v>10341</v>
      </c>
      <c r="E3604" t="s">
        <v>10746</v>
      </c>
      <c r="F3604">
        <v>3</v>
      </c>
      <c r="G3604">
        <v>2952961</v>
      </c>
      <c r="H3604" t="s">
        <v>10747</v>
      </c>
      <c r="J3604" s="54" t="s">
        <v>6052</v>
      </c>
      <c r="K3604" s="54">
        <v>0</v>
      </c>
      <c r="L3604" s="22" t="s">
        <v>144</v>
      </c>
      <c r="M3604" s="22" t="s">
        <v>37088</v>
      </c>
    </row>
    <row r="3605" spans="1:13" x14ac:dyDescent="0.75">
      <c r="A3605" t="s">
        <v>7582</v>
      </c>
      <c r="B3605" t="s">
        <v>6835</v>
      </c>
      <c r="C3605" t="s">
        <v>6493</v>
      </c>
      <c r="D3605" t="s">
        <v>6836</v>
      </c>
      <c r="E3605" t="s">
        <v>7583</v>
      </c>
      <c r="F3605">
        <v>2</v>
      </c>
      <c r="G3605">
        <v>3127288</v>
      </c>
      <c r="H3605" t="s">
        <v>7584</v>
      </c>
      <c r="J3605" s="54" t="s">
        <v>6052</v>
      </c>
      <c r="K3605" s="54">
        <v>0</v>
      </c>
      <c r="L3605" s="22" t="s">
        <v>144</v>
      </c>
      <c r="M3605" s="22" t="s">
        <v>37087</v>
      </c>
    </row>
    <row r="3606" spans="1:13" x14ac:dyDescent="0.75">
      <c r="A3606" t="s">
        <v>17489</v>
      </c>
      <c r="B3606" t="s">
        <v>10340</v>
      </c>
      <c r="C3606" t="s">
        <v>6493</v>
      </c>
      <c r="D3606" t="s">
        <v>10341</v>
      </c>
      <c r="E3606" t="s">
        <v>17490</v>
      </c>
      <c r="F3606">
        <v>21</v>
      </c>
      <c r="G3606">
        <v>3084211</v>
      </c>
      <c r="H3606" t="s">
        <v>17491</v>
      </c>
      <c r="J3606" s="54" t="s">
        <v>6052</v>
      </c>
      <c r="K3606" s="54">
        <v>0</v>
      </c>
      <c r="L3606" s="22" t="s">
        <v>144</v>
      </c>
      <c r="M3606" s="22" t="s">
        <v>37088</v>
      </c>
    </row>
    <row r="3607" spans="1:13" x14ac:dyDescent="0.75">
      <c r="A3607" t="s">
        <v>25097</v>
      </c>
      <c r="B3607" t="s">
        <v>10340</v>
      </c>
      <c r="C3607" t="s">
        <v>6493</v>
      </c>
      <c r="D3607" t="s">
        <v>10341</v>
      </c>
      <c r="E3607" t="s">
        <v>25098</v>
      </c>
      <c r="F3607">
        <v>1</v>
      </c>
      <c r="G3607">
        <v>3134028</v>
      </c>
      <c r="H3607" t="s">
        <v>25099</v>
      </c>
      <c r="J3607" s="54" t="s">
        <v>6052</v>
      </c>
      <c r="K3607" s="54">
        <v>0</v>
      </c>
      <c r="L3607" s="22" t="s">
        <v>144</v>
      </c>
      <c r="M3607" s="22" t="s">
        <v>37088</v>
      </c>
    </row>
    <row r="3608" spans="1:13" x14ac:dyDescent="0.75">
      <c r="A3608" t="s">
        <v>25094</v>
      </c>
      <c r="B3608" t="s">
        <v>10340</v>
      </c>
      <c r="C3608" t="s">
        <v>6493</v>
      </c>
      <c r="D3608" t="s">
        <v>10341</v>
      </c>
      <c r="E3608" t="s">
        <v>25095</v>
      </c>
      <c r="F3608">
        <v>1</v>
      </c>
      <c r="G3608">
        <v>3094327</v>
      </c>
      <c r="H3608" t="s">
        <v>25096</v>
      </c>
      <c r="J3608" s="54" t="s">
        <v>6052</v>
      </c>
      <c r="K3608" s="54">
        <v>0</v>
      </c>
      <c r="L3608" s="22" t="s">
        <v>144</v>
      </c>
      <c r="M3608" s="22" t="s">
        <v>37088</v>
      </c>
    </row>
    <row r="3609" spans="1:13" x14ac:dyDescent="0.75">
      <c r="A3609" t="s">
        <v>11617</v>
      </c>
      <c r="B3609" t="s">
        <v>6835</v>
      </c>
      <c r="C3609" t="s">
        <v>6493</v>
      </c>
      <c r="D3609" t="s">
        <v>6836</v>
      </c>
      <c r="E3609" t="s">
        <v>11618</v>
      </c>
      <c r="F3609">
        <v>160</v>
      </c>
      <c r="G3609">
        <v>2820682</v>
      </c>
      <c r="H3609" t="s">
        <v>11619</v>
      </c>
      <c r="J3609" s="54" t="s">
        <v>6052</v>
      </c>
      <c r="K3609" s="54">
        <v>0</v>
      </c>
      <c r="L3609" s="22" t="s">
        <v>144</v>
      </c>
      <c r="M3609" s="22" t="s">
        <v>37087</v>
      </c>
    </row>
    <row r="3610" spans="1:13" x14ac:dyDescent="0.75">
      <c r="A3610" t="s">
        <v>11660</v>
      </c>
      <c r="B3610" t="s">
        <v>6492</v>
      </c>
      <c r="C3610" t="s">
        <v>6493</v>
      </c>
      <c r="D3610" t="s">
        <v>6494</v>
      </c>
      <c r="E3610" t="s">
        <v>11661</v>
      </c>
      <c r="F3610">
        <v>74</v>
      </c>
      <c r="G3610">
        <v>2949099</v>
      </c>
      <c r="H3610" t="s">
        <v>11662</v>
      </c>
      <c r="J3610" s="54" t="s">
        <v>6052</v>
      </c>
      <c r="K3610" s="54">
        <v>0</v>
      </c>
      <c r="L3610" s="22" t="s">
        <v>34</v>
      </c>
      <c r="M3610" s="22" t="s">
        <v>37089</v>
      </c>
    </row>
    <row r="3611" spans="1:13" x14ac:dyDescent="0.75">
      <c r="A3611" t="s">
        <v>11679</v>
      </c>
      <c r="B3611" t="s">
        <v>6835</v>
      </c>
      <c r="C3611" t="s">
        <v>6493</v>
      </c>
      <c r="D3611" t="s">
        <v>6836</v>
      </c>
      <c r="E3611" t="s">
        <v>11680</v>
      </c>
      <c r="F3611">
        <v>170</v>
      </c>
      <c r="G3611">
        <v>2881963</v>
      </c>
      <c r="H3611" t="s">
        <v>11681</v>
      </c>
      <c r="J3611" s="54" t="s">
        <v>6052</v>
      </c>
      <c r="K3611" s="54">
        <v>0</v>
      </c>
      <c r="L3611" s="22" t="s">
        <v>144</v>
      </c>
      <c r="M3611" s="22" t="s">
        <v>37087</v>
      </c>
    </row>
    <row r="3612" spans="1:13" x14ac:dyDescent="0.75">
      <c r="A3612" t="s">
        <v>20760</v>
      </c>
      <c r="B3612" t="s">
        <v>10340</v>
      </c>
      <c r="C3612" t="s">
        <v>6493</v>
      </c>
      <c r="D3612" t="s">
        <v>10341</v>
      </c>
      <c r="E3612" t="s">
        <v>20761</v>
      </c>
      <c r="F3612">
        <v>1</v>
      </c>
      <c r="G3612">
        <v>3138294</v>
      </c>
      <c r="H3612" t="s">
        <v>20762</v>
      </c>
      <c r="J3612" s="54" t="s">
        <v>6052</v>
      </c>
      <c r="K3612" s="54">
        <v>0</v>
      </c>
      <c r="L3612" s="22" t="s">
        <v>144</v>
      </c>
      <c r="M3612" s="22" t="s">
        <v>37088</v>
      </c>
    </row>
    <row r="3613" spans="1:13" x14ac:dyDescent="0.75">
      <c r="A3613" t="s">
        <v>15336</v>
      </c>
      <c r="B3613" t="s">
        <v>6492</v>
      </c>
      <c r="C3613" t="s">
        <v>6493</v>
      </c>
      <c r="D3613" t="s">
        <v>6494</v>
      </c>
      <c r="E3613" t="s">
        <v>15337</v>
      </c>
      <c r="F3613">
        <v>1</v>
      </c>
      <c r="G3613">
        <v>3010116</v>
      </c>
      <c r="H3613" t="s">
        <v>15338</v>
      </c>
      <c r="J3613" s="54" t="s">
        <v>6052</v>
      </c>
      <c r="K3613" s="54">
        <v>0</v>
      </c>
      <c r="L3613" s="22" t="s">
        <v>34</v>
      </c>
      <c r="M3613" s="22" t="s">
        <v>37089</v>
      </c>
    </row>
    <row r="3614" spans="1:13" x14ac:dyDescent="0.75">
      <c r="A3614" t="s">
        <v>10339</v>
      </c>
      <c r="B3614" t="s">
        <v>10340</v>
      </c>
      <c r="C3614" t="s">
        <v>6493</v>
      </c>
      <c r="D3614" t="s">
        <v>10341</v>
      </c>
      <c r="E3614" t="s">
        <v>10342</v>
      </c>
      <c r="F3614">
        <v>178</v>
      </c>
      <c r="G3614">
        <v>2780019</v>
      </c>
      <c r="H3614" t="s">
        <v>10343</v>
      </c>
      <c r="J3614" s="54" t="s">
        <v>6052</v>
      </c>
      <c r="K3614" s="54">
        <v>0</v>
      </c>
      <c r="L3614" s="22" t="s">
        <v>144</v>
      </c>
      <c r="M3614" s="22" t="s">
        <v>37088</v>
      </c>
    </row>
    <row r="3615" spans="1:13" x14ac:dyDescent="0.75">
      <c r="A3615" t="s">
        <v>10344</v>
      </c>
      <c r="B3615" t="s">
        <v>6492</v>
      </c>
      <c r="C3615" t="s">
        <v>6493</v>
      </c>
      <c r="D3615" t="s">
        <v>6494</v>
      </c>
      <c r="E3615" t="s">
        <v>10345</v>
      </c>
      <c r="F3615">
        <v>63</v>
      </c>
      <c r="G3615">
        <v>2934843</v>
      </c>
      <c r="H3615" t="s">
        <v>10346</v>
      </c>
      <c r="J3615" s="54" t="s">
        <v>6052</v>
      </c>
      <c r="K3615" s="54">
        <v>0</v>
      </c>
      <c r="L3615" s="22" t="s">
        <v>34</v>
      </c>
      <c r="M3615" s="22" t="s">
        <v>37089</v>
      </c>
    </row>
    <row r="3616" spans="1:13" x14ac:dyDescent="0.75">
      <c r="A3616" t="s">
        <v>10742</v>
      </c>
      <c r="B3616" t="s">
        <v>6835</v>
      </c>
      <c r="C3616" t="s">
        <v>6493</v>
      </c>
      <c r="D3616" t="s">
        <v>6836</v>
      </c>
      <c r="E3616" t="s">
        <v>10743</v>
      </c>
      <c r="F3616">
        <v>3</v>
      </c>
      <c r="G3616">
        <v>3017804</v>
      </c>
      <c r="H3616" t="s">
        <v>10744</v>
      </c>
      <c r="J3616" s="54" t="s">
        <v>6052</v>
      </c>
      <c r="K3616" s="54">
        <v>0</v>
      </c>
      <c r="L3616" s="22" t="s">
        <v>144</v>
      </c>
      <c r="M3616" s="22" t="s">
        <v>37087</v>
      </c>
    </row>
    <row r="3617" spans="1:13" x14ac:dyDescent="0.75">
      <c r="A3617" t="s">
        <v>23944</v>
      </c>
      <c r="B3617" t="s">
        <v>6835</v>
      </c>
      <c r="C3617" t="s">
        <v>6493</v>
      </c>
      <c r="D3617" t="s">
        <v>6836</v>
      </c>
      <c r="E3617" t="s">
        <v>23945</v>
      </c>
      <c r="F3617">
        <v>10</v>
      </c>
      <c r="G3617">
        <v>3434047</v>
      </c>
      <c r="H3617" t="s">
        <v>23946</v>
      </c>
      <c r="J3617" s="54" t="s">
        <v>6052</v>
      </c>
      <c r="K3617" s="54">
        <v>0</v>
      </c>
      <c r="L3617" s="22" t="s">
        <v>144</v>
      </c>
      <c r="M3617" s="22" t="s">
        <v>37087</v>
      </c>
    </row>
    <row r="3618" spans="1:13" x14ac:dyDescent="0.75">
      <c r="A3618" t="s">
        <v>6491</v>
      </c>
      <c r="B3618" t="s">
        <v>6492</v>
      </c>
      <c r="C3618" t="s">
        <v>6493</v>
      </c>
      <c r="D3618" t="s">
        <v>6494</v>
      </c>
      <c r="E3618" t="s">
        <v>6495</v>
      </c>
      <c r="F3618">
        <v>2</v>
      </c>
      <c r="G3618">
        <v>3033106</v>
      </c>
      <c r="H3618" t="s">
        <v>6496</v>
      </c>
      <c r="J3618" s="54" t="s">
        <v>6052</v>
      </c>
      <c r="K3618" s="54">
        <v>0</v>
      </c>
      <c r="L3618" s="22" t="s">
        <v>34</v>
      </c>
      <c r="M3618" s="22" t="s">
        <v>37089</v>
      </c>
    </row>
    <row r="3619" spans="1:13" x14ac:dyDescent="0.75">
      <c r="A3619" t="s">
        <v>13666</v>
      </c>
      <c r="B3619" t="s">
        <v>10340</v>
      </c>
      <c r="C3619" t="s">
        <v>6493</v>
      </c>
      <c r="D3619" t="s">
        <v>10341</v>
      </c>
      <c r="E3619" t="s">
        <v>13667</v>
      </c>
      <c r="F3619">
        <v>1</v>
      </c>
      <c r="G3619">
        <v>3132867</v>
      </c>
      <c r="H3619" t="s">
        <v>13668</v>
      </c>
      <c r="J3619" s="54" t="s">
        <v>6052</v>
      </c>
      <c r="K3619" s="54">
        <v>0</v>
      </c>
      <c r="L3619" s="22" t="s">
        <v>144</v>
      </c>
      <c r="M3619" s="22" t="s">
        <v>37088</v>
      </c>
    </row>
    <row r="3620" spans="1:13" x14ac:dyDescent="0.75">
      <c r="A3620" t="s">
        <v>9527</v>
      </c>
      <c r="B3620" t="s">
        <v>6492</v>
      </c>
      <c r="C3620" t="s">
        <v>6493</v>
      </c>
      <c r="D3620" t="s">
        <v>6494</v>
      </c>
      <c r="E3620" t="s">
        <v>9528</v>
      </c>
      <c r="F3620">
        <v>1</v>
      </c>
      <c r="G3620">
        <v>2883376</v>
      </c>
      <c r="H3620" t="s">
        <v>9529</v>
      </c>
      <c r="J3620" s="54" t="s">
        <v>6052</v>
      </c>
      <c r="K3620" s="54">
        <v>0</v>
      </c>
      <c r="L3620" s="22" t="s">
        <v>34</v>
      </c>
      <c r="M3620" s="22" t="s">
        <v>37089</v>
      </c>
    </row>
    <row r="3621" spans="1:13" x14ac:dyDescent="0.75">
      <c r="A3621" t="s">
        <v>12555</v>
      </c>
      <c r="B3621" t="s">
        <v>6492</v>
      </c>
      <c r="C3621" t="s">
        <v>6493</v>
      </c>
      <c r="D3621" t="s">
        <v>6494</v>
      </c>
      <c r="E3621" t="s">
        <v>12556</v>
      </c>
      <c r="F3621">
        <v>1</v>
      </c>
      <c r="G3621">
        <v>2934954</v>
      </c>
      <c r="H3621" t="s">
        <v>12557</v>
      </c>
      <c r="J3621" s="54" t="s">
        <v>6052</v>
      </c>
      <c r="K3621" s="54">
        <v>0</v>
      </c>
      <c r="L3621" s="22" t="s">
        <v>34</v>
      </c>
      <c r="M3621" s="22" t="s">
        <v>37089</v>
      </c>
    </row>
    <row r="3622" spans="1:13" x14ac:dyDescent="0.75">
      <c r="A3622" t="s">
        <v>19723</v>
      </c>
      <c r="B3622" t="s">
        <v>10340</v>
      </c>
      <c r="C3622" t="s">
        <v>6493</v>
      </c>
      <c r="D3622" t="s">
        <v>10341</v>
      </c>
      <c r="E3622" t="s">
        <v>19724</v>
      </c>
      <c r="F3622">
        <v>1</v>
      </c>
      <c r="G3622">
        <v>2940907</v>
      </c>
      <c r="H3622" t="s">
        <v>19725</v>
      </c>
      <c r="J3622" s="54" t="s">
        <v>6052</v>
      </c>
      <c r="K3622" s="54">
        <v>0</v>
      </c>
      <c r="L3622" s="22" t="s">
        <v>144</v>
      </c>
      <c r="M3622" s="22" t="s">
        <v>37088</v>
      </c>
    </row>
    <row r="3623" spans="1:13" x14ac:dyDescent="0.75">
      <c r="A3623" t="s">
        <v>17181</v>
      </c>
      <c r="B3623" t="s">
        <v>6835</v>
      </c>
      <c r="C3623" t="s">
        <v>6493</v>
      </c>
      <c r="D3623" t="s">
        <v>6836</v>
      </c>
      <c r="E3623" t="s">
        <v>17182</v>
      </c>
      <c r="F3623">
        <v>130</v>
      </c>
      <c r="G3623">
        <v>2872191</v>
      </c>
      <c r="H3623" t="s">
        <v>17183</v>
      </c>
      <c r="J3623" s="54" t="s">
        <v>6052</v>
      </c>
      <c r="K3623" s="54">
        <v>0</v>
      </c>
      <c r="L3623" s="22" t="s">
        <v>144</v>
      </c>
      <c r="M3623" s="22" t="s">
        <v>37087</v>
      </c>
    </row>
    <row r="3624" spans="1:13" x14ac:dyDescent="0.75">
      <c r="A3624" t="s">
        <v>17202</v>
      </c>
      <c r="B3624" t="s">
        <v>6492</v>
      </c>
      <c r="C3624" t="s">
        <v>6493</v>
      </c>
      <c r="D3624" t="s">
        <v>6494</v>
      </c>
      <c r="E3624" t="s">
        <v>17203</v>
      </c>
      <c r="F3624">
        <v>190</v>
      </c>
      <c r="G3624">
        <v>2909187</v>
      </c>
      <c r="H3624" t="s">
        <v>17204</v>
      </c>
      <c r="J3624" s="54" t="s">
        <v>6052</v>
      </c>
      <c r="K3624" s="54">
        <v>0</v>
      </c>
      <c r="L3624" s="22" t="s">
        <v>34</v>
      </c>
      <c r="M3624" s="22" t="s">
        <v>37089</v>
      </c>
    </row>
    <row r="3625" spans="1:13" x14ac:dyDescent="0.75">
      <c r="A3625" t="s">
        <v>26526</v>
      </c>
      <c r="B3625" t="s">
        <v>10340</v>
      </c>
      <c r="C3625" t="s">
        <v>6493</v>
      </c>
      <c r="D3625" t="s">
        <v>10341</v>
      </c>
      <c r="E3625" t="s">
        <v>26527</v>
      </c>
      <c r="F3625">
        <v>1</v>
      </c>
      <c r="G3625">
        <v>3055873</v>
      </c>
      <c r="H3625" t="s">
        <v>26528</v>
      </c>
      <c r="J3625" s="54" t="s">
        <v>6052</v>
      </c>
      <c r="K3625" s="54">
        <v>0</v>
      </c>
      <c r="L3625" s="22" t="s">
        <v>144</v>
      </c>
      <c r="M3625" s="22" t="s">
        <v>37088</v>
      </c>
    </row>
    <row r="3626" spans="1:13" x14ac:dyDescent="0.75">
      <c r="A3626" t="s">
        <v>26529</v>
      </c>
      <c r="B3626" t="s">
        <v>10340</v>
      </c>
      <c r="C3626" t="s">
        <v>6493</v>
      </c>
      <c r="D3626" t="s">
        <v>10341</v>
      </c>
      <c r="E3626" t="s">
        <v>26530</v>
      </c>
      <c r="F3626">
        <v>1</v>
      </c>
      <c r="G3626">
        <v>3134053</v>
      </c>
      <c r="H3626" t="s">
        <v>26531</v>
      </c>
      <c r="J3626" s="54" t="s">
        <v>6052</v>
      </c>
      <c r="K3626" s="54">
        <v>0</v>
      </c>
      <c r="L3626" s="22" t="s">
        <v>144</v>
      </c>
      <c r="M3626" s="22" t="s">
        <v>37088</v>
      </c>
    </row>
    <row r="3627" spans="1:13" x14ac:dyDescent="0.75">
      <c r="A3627" t="s">
        <v>27954</v>
      </c>
      <c r="B3627" t="s">
        <v>6492</v>
      </c>
      <c r="C3627" t="s">
        <v>6493</v>
      </c>
      <c r="D3627" t="s">
        <v>6494</v>
      </c>
      <c r="E3627" t="s">
        <v>27955</v>
      </c>
      <c r="F3627">
        <v>1</v>
      </c>
      <c r="G3627">
        <v>2988387</v>
      </c>
      <c r="H3627" t="s">
        <v>27956</v>
      </c>
      <c r="J3627" s="54" t="s">
        <v>6052</v>
      </c>
      <c r="K3627" s="54">
        <v>0</v>
      </c>
      <c r="L3627" s="22" t="s">
        <v>34</v>
      </c>
      <c r="M3627" s="22" t="s">
        <v>37089</v>
      </c>
    </row>
    <row r="3628" spans="1:13" x14ac:dyDescent="0.75">
      <c r="A3628" t="s">
        <v>14301</v>
      </c>
      <c r="B3628" t="s">
        <v>6492</v>
      </c>
      <c r="C3628" t="s">
        <v>6493</v>
      </c>
      <c r="D3628" t="s">
        <v>6494</v>
      </c>
      <c r="E3628" t="s">
        <v>14302</v>
      </c>
      <c r="F3628">
        <v>111</v>
      </c>
      <c r="G3628">
        <v>2974909</v>
      </c>
      <c r="H3628" t="s">
        <v>14303</v>
      </c>
      <c r="J3628" s="54" t="s">
        <v>6052</v>
      </c>
      <c r="K3628" s="54">
        <v>0</v>
      </c>
      <c r="L3628" s="22" t="s">
        <v>34</v>
      </c>
      <c r="M3628" s="22" t="s">
        <v>37089</v>
      </c>
    </row>
    <row r="3629" spans="1:13" x14ac:dyDescent="0.75">
      <c r="A3629" t="s">
        <v>23845</v>
      </c>
      <c r="B3629" t="s">
        <v>6835</v>
      </c>
      <c r="C3629" t="s">
        <v>6493</v>
      </c>
      <c r="D3629" t="s">
        <v>6836</v>
      </c>
      <c r="E3629" t="s">
        <v>23846</v>
      </c>
      <c r="F3629">
        <v>2</v>
      </c>
      <c r="G3629">
        <v>3082467</v>
      </c>
      <c r="H3629" t="s">
        <v>23847</v>
      </c>
      <c r="J3629" s="54" t="s">
        <v>6052</v>
      </c>
      <c r="K3629" s="54">
        <v>0</v>
      </c>
      <c r="L3629" s="22" t="s">
        <v>144</v>
      </c>
      <c r="M3629" s="22" t="s">
        <v>37087</v>
      </c>
    </row>
    <row r="3630" spans="1:13" x14ac:dyDescent="0.75">
      <c r="A3630" t="s">
        <v>24155</v>
      </c>
      <c r="B3630" t="s">
        <v>11621</v>
      </c>
      <c r="C3630" t="s">
        <v>6575</v>
      </c>
      <c r="D3630" t="s">
        <v>11622</v>
      </c>
      <c r="E3630" t="s">
        <v>24156</v>
      </c>
      <c r="F3630">
        <v>6</v>
      </c>
      <c r="G3630">
        <v>3583752</v>
      </c>
      <c r="H3630" t="s">
        <v>24157</v>
      </c>
      <c r="J3630" s="54" t="s">
        <v>6052</v>
      </c>
      <c r="K3630" s="54">
        <v>0</v>
      </c>
      <c r="L3630" s="22" t="s">
        <v>1563</v>
      </c>
      <c r="M3630" s="22" t="s">
        <v>37090</v>
      </c>
    </row>
    <row r="3631" spans="1:13" x14ac:dyDescent="0.75">
      <c r="A3631" t="s">
        <v>23407</v>
      </c>
      <c r="B3631" t="s">
        <v>11621</v>
      </c>
      <c r="C3631" t="s">
        <v>6575</v>
      </c>
      <c r="D3631" t="s">
        <v>11622</v>
      </c>
      <c r="E3631" t="s">
        <v>23408</v>
      </c>
      <c r="F3631">
        <v>7</v>
      </c>
      <c r="G3631">
        <v>3812583</v>
      </c>
      <c r="H3631" t="s">
        <v>23409</v>
      </c>
      <c r="J3631" s="54" t="s">
        <v>6052</v>
      </c>
      <c r="K3631" s="54">
        <v>0</v>
      </c>
      <c r="L3631" s="22" t="s">
        <v>1563</v>
      </c>
      <c r="M3631" s="22" t="s">
        <v>37090</v>
      </c>
    </row>
    <row r="3632" spans="1:13" x14ac:dyDescent="0.75">
      <c r="A3632" t="s">
        <v>6573</v>
      </c>
      <c r="B3632" t="s">
        <v>6574</v>
      </c>
      <c r="C3632" t="s">
        <v>6575</v>
      </c>
      <c r="D3632" t="s">
        <v>6576</v>
      </c>
      <c r="E3632" t="s">
        <v>6577</v>
      </c>
      <c r="F3632">
        <v>36</v>
      </c>
      <c r="G3632">
        <v>3212261</v>
      </c>
      <c r="H3632" t="s">
        <v>6578</v>
      </c>
      <c r="J3632" s="54" t="s">
        <v>6052</v>
      </c>
      <c r="K3632" s="54">
        <v>0</v>
      </c>
      <c r="L3632" s="22" t="s">
        <v>144</v>
      </c>
      <c r="M3632" s="22" t="s">
        <v>37091</v>
      </c>
    </row>
    <row r="3633" spans="1:13" x14ac:dyDescent="0.75">
      <c r="A3633" t="s">
        <v>16630</v>
      </c>
      <c r="B3633" t="s">
        <v>11621</v>
      </c>
      <c r="C3633" t="s">
        <v>6575</v>
      </c>
      <c r="D3633" t="s">
        <v>11622</v>
      </c>
      <c r="E3633" t="s">
        <v>16631</v>
      </c>
      <c r="F3633">
        <v>43</v>
      </c>
      <c r="G3633">
        <v>3701834</v>
      </c>
      <c r="H3633" t="s">
        <v>16632</v>
      </c>
      <c r="J3633" s="54" t="s">
        <v>6052</v>
      </c>
      <c r="K3633" s="54">
        <v>0</v>
      </c>
      <c r="L3633" s="22" t="s">
        <v>1563</v>
      </c>
      <c r="M3633" s="22" t="s">
        <v>37090</v>
      </c>
    </row>
    <row r="3634" spans="1:13" x14ac:dyDescent="0.75">
      <c r="A3634" t="s">
        <v>11644</v>
      </c>
      <c r="B3634" t="s">
        <v>6574</v>
      </c>
      <c r="C3634" t="s">
        <v>6575</v>
      </c>
      <c r="D3634" t="s">
        <v>6576</v>
      </c>
      <c r="E3634" t="s">
        <v>11645</v>
      </c>
      <c r="F3634">
        <v>49</v>
      </c>
      <c r="G3634">
        <v>3208905</v>
      </c>
      <c r="H3634" t="s">
        <v>11646</v>
      </c>
      <c r="J3634" s="54" t="s">
        <v>6052</v>
      </c>
      <c r="K3634" s="54">
        <v>0</v>
      </c>
      <c r="L3634" s="22" t="s">
        <v>144</v>
      </c>
      <c r="M3634" s="22" t="s">
        <v>37091</v>
      </c>
    </row>
    <row r="3635" spans="1:13" x14ac:dyDescent="0.75">
      <c r="A3635" t="s">
        <v>11657</v>
      </c>
      <c r="B3635" t="s">
        <v>6574</v>
      </c>
      <c r="C3635" t="s">
        <v>6575</v>
      </c>
      <c r="D3635" t="s">
        <v>6576</v>
      </c>
      <c r="E3635" t="s">
        <v>11658</v>
      </c>
      <c r="F3635">
        <v>230</v>
      </c>
      <c r="G3635">
        <v>3186310</v>
      </c>
      <c r="H3635" t="s">
        <v>11659</v>
      </c>
      <c r="J3635" s="54" t="s">
        <v>6052</v>
      </c>
      <c r="K3635" s="54">
        <v>0</v>
      </c>
      <c r="L3635" s="22" t="s">
        <v>144</v>
      </c>
      <c r="M3635" s="22" t="s">
        <v>37091</v>
      </c>
    </row>
    <row r="3636" spans="1:13" x14ac:dyDescent="0.75">
      <c r="A3636" t="s">
        <v>15966</v>
      </c>
      <c r="B3636" t="s">
        <v>6574</v>
      </c>
      <c r="C3636" t="s">
        <v>6575</v>
      </c>
      <c r="D3636" t="s">
        <v>6576</v>
      </c>
      <c r="E3636" t="s">
        <v>11658</v>
      </c>
      <c r="F3636">
        <v>6</v>
      </c>
      <c r="G3636">
        <v>3350338</v>
      </c>
      <c r="H3636" t="s">
        <v>15967</v>
      </c>
      <c r="J3636" s="54" t="s">
        <v>6052</v>
      </c>
      <c r="K3636" s="54">
        <v>0</v>
      </c>
      <c r="L3636" s="22" t="s">
        <v>144</v>
      </c>
      <c r="M3636" s="22" t="s">
        <v>37091</v>
      </c>
    </row>
    <row r="3637" spans="1:13" x14ac:dyDescent="0.75">
      <c r="A3637" t="s">
        <v>18833</v>
      </c>
      <c r="B3637" t="s">
        <v>6574</v>
      </c>
      <c r="C3637" t="s">
        <v>6575</v>
      </c>
      <c r="D3637" t="s">
        <v>6576</v>
      </c>
      <c r="E3637" t="s">
        <v>18834</v>
      </c>
      <c r="F3637">
        <v>2</v>
      </c>
      <c r="G3637">
        <v>3250154</v>
      </c>
      <c r="H3637" t="s">
        <v>18835</v>
      </c>
      <c r="J3637" s="54" t="s">
        <v>6052</v>
      </c>
      <c r="K3637" s="54">
        <v>0</v>
      </c>
      <c r="L3637" s="22" t="s">
        <v>144</v>
      </c>
      <c r="M3637" s="22" t="s">
        <v>37091</v>
      </c>
    </row>
    <row r="3638" spans="1:13" x14ac:dyDescent="0.75">
      <c r="A3638" t="s">
        <v>11620</v>
      </c>
      <c r="B3638" t="s">
        <v>11621</v>
      </c>
      <c r="C3638" t="s">
        <v>6575</v>
      </c>
      <c r="D3638" t="s">
        <v>11622</v>
      </c>
      <c r="E3638" t="s">
        <v>11623</v>
      </c>
      <c r="F3638">
        <v>152</v>
      </c>
      <c r="G3638">
        <v>3647705</v>
      </c>
      <c r="H3638" t="s">
        <v>11624</v>
      </c>
      <c r="J3638" s="54" t="s">
        <v>6052</v>
      </c>
      <c r="K3638" s="54">
        <v>0</v>
      </c>
      <c r="L3638" s="22" t="s">
        <v>1563</v>
      </c>
      <c r="M3638" s="22" t="s">
        <v>37090</v>
      </c>
    </row>
    <row r="3639" spans="1:13" x14ac:dyDescent="0.75">
      <c r="A3639" t="s">
        <v>15968</v>
      </c>
      <c r="B3639" t="s">
        <v>11621</v>
      </c>
      <c r="C3639" t="s">
        <v>6575</v>
      </c>
      <c r="D3639" t="s">
        <v>11622</v>
      </c>
      <c r="E3639" t="s">
        <v>11623</v>
      </c>
      <c r="F3639">
        <v>2</v>
      </c>
      <c r="G3639">
        <v>3671373</v>
      </c>
      <c r="H3639" t="s">
        <v>15969</v>
      </c>
      <c r="J3639" s="54" t="s">
        <v>6052</v>
      </c>
      <c r="K3639" s="54">
        <v>0</v>
      </c>
      <c r="L3639" s="22" t="s">
        <v>1563</v>
      </c>
      <c r="M3639" s="22" t="s">
        <v>37090</v>
      </c>
    </row>
    <row r="3640" spans="1:13" x14ac:dyDescent="0.75">
      <c r="A3640" t="s">
        <v>10347</v>
      </c>
      <c r="B3640" t="s">
        <v>6574</v>
      </c>
      <c r="C3640" t="s">
        <v>6575</v>
      </c>
      <c r="D3640" t="s">
        <v>6576</v>
      </c>
      <c r="E3640" t="s">
        <v>10348</v>
      </c>
      <c r="F3640">
        <v>39</v>
      </c>
      <c r="G3640">
        <v>3209456</v>
      </c>
      <c r="H3640" t="s">
        <v>10349</v>
      </c>
      <c r="J3640" s="54" t="s">
        <v>6052</v>
      </c>
      <c r="K3640" s="54">
        <v>0</v>
      </c>
      <c r="L3640" s="22" t="s">
        <v>144</v>
      </c>
      <c r="M3640" s="22" t="s">
        <v>37091</v>
      </c>
    </row>
    <row r="3641" spans="1:13" x14ac:dyDescent="0.75">
      <c r="A3641" t="s">
        <v>23416</v>
      </c>
      <c r="B3641" t="s">
        <v>11621</v>
      </c>
      <c r="C3641" t="s">
        <v>6575</v>
      </c>
      <c r="D3641" t="s">
        <v>11622</v>
      </c>
      <c r="E3641" t="s">
        <v>23417</v>
      </c>
      <c r="F3641">
        <v>5</v>
      </c>
      <c r="G3641">
        <v>3860943</v>
      </c>
      <c r="H3641" t="s">
        <v>23418</v>
      </c>
      <c r="J3641" s="54" t="s">
        <v>6052</v>
      </c>
      <c r="K3641" s="54">
        <v>0</v>
      </c>
      <c r="L3641" s="22" t="s">
        <v>1563</v>
      </c>
      <c r="M3641" s="22" t="s">
        <v>37090</v>
      </c>
    </row>
    <row r="3642" spans="1:13" x14ac:dyDescent="0.75">
      <c r="A3642" t="s">
        <v>26303</v>
      </c>
      <c r="B3642" t="s">
        <v>11621</v>
      </c>
      <c r="C3642" t="s">
        <v>6575</v>
      </c>
      <c r="D3642" t="s">
        <v>11622</v>
      </c>
      <c r="E3642" t="s">
        <v>26304</v>
      </c>
      <c r="F3642">
        <v>9</v>
      </c>
      <c r="G3642">
        <v>3796630</v>
      </c>
      <c r="H3642" t="s">
        <v>26305</v>
      </c>
      <c r="J3642" s="54" t="s">
        <v>6052</v>
      </c>
      <c r="K3642" s="54">
        <v>0</v>
      </c>
      <c r="L3642" s="22" t="s">
        <v>1563</v>
      </c>
      <c r="M3642" s="22" t="s">
        <v>37090</v>
      </c>
    </row>
    <row r="3643" spans="1:13" x14ac:dyDescent="0.75">
      <c r="A3643" t="s">
        <v>17212</v>
      </c>
      <c r="B3643" t="s">
        <v>11621</v>
      </c>
      <c r="C3643" t="s">
        <v>6575</v>
      </c>
      <c r="D3643" t="s">
        <v>11622</v>
      </c>
      <c r="E3643" t="s">
        <v>17213</v>
      </c>
      <c r="F3643">
        <v>213</v>
      </c>
      <c r="G3643">
        <v>3541994</v>
      </c>
      <c r="H3643" t="s">
        <v>17214</v>
      </c>
      <c r="J3643" s="54" t="s">
        <v>6052</v>
      </c>
      <c r="K3643" s="54">
        <v>0</v>
      </c>
      <c r="L3643" s="22" t="s">
        <v>1563</v>
      </c>
      <c r="M3643" s="22" t="s">
        <v>37090</v>
      </c>
    </row>
    <row r="3644" spans="1:13" x14ac:dyDescent="0.75">
      <c r="A3644" t="s">
        <v>17215</v>
      </c>
      <c r="B3644" t="s">
        <v>6574</v>
      </c>
      <c r="C3644" t="s">
        <v>6575</v>
      </c>
      <c r="D3644" t="s">
        <v>6576</v>
      </c>
      <c r="E3644" t="s">
        <v>17216</v>
      </c>
      <c r="F3644">
        <v>165</v>
      </c>
      <c r="G3644">
        <v>3128971</v>
      </c>
      <c r="H3644" t="s">
        <v>17217</v>
      </c>
      <c r="J3644" s="54" t="s">
        <v>6052</v>
      </c>
      <c r="K3644" s="54">
        <v>0</v>
      </c>
      <c r="L3644" s="22" t="s">
        <v>144</v>
      </c>
      <c r="M3644" s="22" t="s">
        <v>37091</v>
      </c>
    </row>
    <row r="3645" spans="1:13" x14ac:dyDescent="0.75">
      <c r="A3645" t="s">
        <v>17184</v>
      </c>
      <c r="B3645" t="s">
        <v>6574</v>
      </c>
      <c r="C3645" t="s">
        <v>6575</v>
      </c>
      <c r="D3645" t="s">
        <v>6576</v>
      </c>
      <c r="E3645" t="s">
        <v>17185</v>
      </c>
      <c r="F3645">
        <v>60</v>
      </c>
      <c r="G3645">
        <v>3191823</v>
      </c>
      <c r="H3645" t="s">
        <v>17186</v>
      </c>
      <c r="J3645" s="54" t="s">
        <v>6052</v>
      </c>
      <c r="K3645" s="54">
        <v>0</v>
      </c>
      <c r="L3645" s="22" t="s">
        <v>144</v>
      </c>
      <c r="M3645" s="22" t="s">
        <v>37091</v>
      </c>
    </row>
    <row r="3646" spans="1:13" x14ac:dyDescent="0.75">
      <c r="A3646" t="s">
        <v>27501</v>
      </c>
      <c r="B3646" t="s">
        <v>6574</v>
      </c>
      <c r="C3646" t="s">
        <v>6575</v>
      </c>
      <c r="D3646" t="s">
        <v>6576</v>
      </c>
      <c r="E3646" t="s">
        <v>27502</v>
      </c>
      <c r="F3646">
        <v>12</v>
      </c>
      <c r="G3646">
        <v>3249549</v>
      </c>
      <c r="H3646" t="s">
        <v>27503</v>
      </c>
      <c r="J3646" s="54" t="s">
        <v>6052</v>
      </c>
      <c r="K3646" s="54">
        <v>0</v>
      </c>
      <c r="L3646" s="22" t="s">
        <v>144</v>
      </c>
      <c r="M3646" s="22" t="s">
        <v>37091</v>
      </c>
    </row>
    <row r="3647" spans="1:13" x14ac:dyDescent="0.75">
      <c r="A3647" t="s">
        <v>24279</v>
      </c>
      <c r="B3647" t="s">
        <v>11621</v>
      </c>
      <c r="C3647" t="s">
        <v>6575</v>
      </c>
      <c r="D3647" t="s">
        <v>11622</v>
      </c>
      <c r="E3647" t="s">
        <v>24280</v>
      </c>
      <c r="F3647">
        <v>1</v>
      </c>
      <c r="G3647">
        <v>3622037</v>
      </c>
      <c r="H3647" t="s">
        <v>24281</v>
      </c>
      <c r="J3647" s="54" t="s">
        <v>6052</v>
      </c>
      <c r="K3647" s="54">
        <v>0</v>
      </c>
      <c r="L3647" s="22" t="s">
        <v>1563</v>
      </c>
      <c r="M3647" s="22" t="s">
        <v>37090</v>
      </c>
    </row>
    <row r="3648" spans="1:13" x14ac:dyDescent="0.75">
      <c r="A3648" t="s">
        <v>15950</v>
      </c>
      <c r="B3648" t="s">
        <v>11621</v>
      </c>
      <c r="C3648" t="s">
        <v>6575</v>
      </c>
      <c r="D3648" t="s">
        <v>11622</v>
      </c>
      <c r="E3648" t="s">
        <v>15951</v>
      </c>
      <c r="F3648">
        <v>5</v>
      </c>
      <c r="G3648">
        <v>3701596</v>
      </c>
      <c r="H3648" t="s">
        <v>15952</v>
      </c>
      <c r="J3648" s="54" t="s">
        <v>6052</v>
      </c>
      <c r="K3648" s="54">
        <v>0</v>
      </c>
      <c r="L3648" s="22" t="s">
        <v>1563</v>
      </c>
      <c r="M3648" s="22" t="s">
        <v>37090</v>
      </c>
    </row>
    <row r="3649" spans="1:13" x14ac:dyDescent="0.75">
      <c r="A3649" t="s">
        <v>15953</v>
      </c>
      <c r="B3649" t="s">
        <v>6574</v>
      </c>
      <c r="C3649" t="s">
        <v>6575</v>
      </c>
      <c r="D3649" t="s">
        <v>6576</v>
      </c>
      <c r="E3649" t="s">
        <v>15954</v>
      </c>
      <c r="F3649">
        <v>4</v>
      </c>
      <c r="G3649">
        <v>3303780</v>
      </c>
      <c r="H3649" t="s">
        <v>15955</v>
      </c>
      <c r="J3649" s="54" t="s">
        <v>6052</v>
      </c>
      <c r="K3649" s="54">
        <v>0</v>
      </c>
      <c r="L3649" s="22" t="s">
        <v>144</v>
      </c>
      <c r="M3649" s="22" t="s">
        <v>37091</v>
      </c>
    </row>
    <row r="3650" spans="1:13" x14ac:dyDescent="0.75">
      <c r="A3650" t="s">
        <v>6722</v>
      </c>
      <c r="B3650" t="s">
        <v>6723</v>
      </c>
      <c r="C3650" t="s">
        <v>6130</v>
      </c>
      <c r="D3650" t="s">
        <v>6724</v>
      </c>
      <c r="E3650">
        <v>1153</v>
      </c>
      <c r="F3650">
        <v>9</v>
      </c>
      <c r="G3650">
        <v>1746219</v>
      </c>
      <c r="H3650" t="s">
        <v>6725</v>
      </c>
      <c r="J3650" s="54" t="s">
        <v>6052</v>
      </c>
      <c r="K3650" s="54">
        <v>0</v>
      </c>
      <c r="L3650" s="22" t="s">
        <v>1308</v>
      </c>
      <c r="M3650" s="22" t="s">
        <v>37092</v>
      </c>
    </row>
    <row r="3651" spans="1:13" x14ac:dyDescent="0.75">
      <c r="A3651" t="s">
        <v>18785</v>
      </c>
      <c r="B3651" t="s">
        <v>11637</v>
      </c>
      <c r="C3651" t="s">
        <v>6130</v>
      </c>
      <c r="D3651" t="s">
        <v>11638</v>
      </c>
      <c r="E3651" t="s">
        <v>18786</v>
      </c>
      <c r="F3651">
        <v>1</v>
      </c>
      <c r="G3651">
        <v>2349358</v>
      </c>
      <c r="H3651" t="s">
        <v>18787</v>
      </c>
      <c r="J3651" s="54" t="s">
        <v>6052</v>
      </c>
      <c r="K3651" s="54">
        <v>0</v>
      </c>
      <c r="L3651" s="22" t="s">
        <v>1308</v>
      </c>
      <c r="M3651" s="22" t="s">
        <v>37093</v>
      </c>
    </row>
    <row r="3652" spans="1:13" x14ac:dyDescent="0.75">
      <c r="A3652" t="s">
        <v>18782</v>
      </c>
      <c r="B3652" t="s">
        <v>6129</v>
      </c>
      <c r="C3652" t="s">
        <v>6130</v>
      </c>
      <c r="D3652" t="s">
        <v>6131</v>
      </c>
      <c r="E3652" t="s">
        <v>18783</v>
      </c>
      <c r="F3652">
        <v>1</v>
      </c>
      <c r="G3652">
        <v>1995616</v>
      </c>
      <c r="H3652" t="s">
        <v>18784</v>
      </c>
      <c r="J3652" s="54" t="s">
        <v>6052</v>
      </c>
      <c r="K3652" s="54">
        <v>0</v>
      </c>
      <c r="L3652" s="22" t="s">
        <v>1563</v>
      </c>
      <c r="M3652" s="22" t="s">
        <v>37094</v>
      </c>
    </row>
    <row r="3653" spans="1:13" x14ac:dyDescent="0.75">
      <c r="A3653" t="s">
        <v>16400</v>
      </c>
      <c r="B3653" t="s">
        <v>11637</v>
      </c>
      <c r="C3653" t="s">
        <v>6130</v>
      </c>
      <c r="D3653" t="s">
        <v>11638</v>
      </c>
      <c r="E3653" t="s">
        <v>16401</v>
      </c>
      <c r="F3653">
        <v>2</v>
      </c>
      <c r="G3653">
        <v>2367925</v>
      </c>
      <c r="H3653" t="s">
        <v>16402</v>
      </c>
      <c r="J3653" s="54" t="s">
        <v>6052</v>
      </c>
      <c r="K3653" s="54">
        <v>0</v>
      </c>
      <c r="L3653" s="22" t="s">
        <v>1308</v>
      </c>
      <c r="M3653" s="22" t="s">
        <v>37093</v>
      </c>
    </row>
    <row r="3654" spans="1:13" x14ac:dyDescent="0.75">
      <c r="A3654" t="s">
        <v>20609</v>
      </c>
      <c r="B3654" t="s">
        <v>6723</v>
      </c>
      <c r="C3654" t="s">
        <v>6130</v>
      </c>
      <c r="D3654" t="s">
        <v>6724</v>
      </c>
      <c r="E3654" t="s">
        <v>20610</v>
      </c>
      <c r="F3654">
        <v>44</v>
      </c>
      <c r="G3654">
        <v>1616878</v>
      </c>
      <c r="H3654" t="s">
        <v>20611</v>
      </c>
      <c r="J3654" s="54" t="s">
        <v>6052</v>
      </c>
      <c r="K3654" s="54">
        <v>0</v>
      </c>
      <c r="L3654" s="22" t="s">
        <v>1308</v>
      </c>
      <c r="M3654" s="22" t="s">
        <v>37092</v>
      </c>
    </row>
    <row r="3655" spans="1:13" x14ac:dyDescent="0.75">
      <c r="A3655" t="s">
        <v>6818</v>
      </c>
      <c r="B3655" t="s">
        <v>6129</v>
      </c>
      <c r="C3655" t="s">
        <v>6130</v>
      </c>
      <c r="D3655" t="s">
        <v>6131</v>
      </c>
      <c r="E3655" t="s">
        <v>6819</v>
      </c>
      <c r="F3655">
        <v>52</v>
      </c>
      <c r="G3655">
        <v>1780499</v>
      </c>
      <c r="H3655" t="s">
        <v>6820</v>
      </c>
      <c r="J3655" s="54" t="s">
        <v>6052</v>
      </c>
      <c r="K3655" s="54">
        <v>0</v>
      </c>
      <c r="L3655" s="22" t="s">
        <v>1563</v>
      </c>
      <c r="M3655" s="22" t="s">
        <v>37094</v>
      </c>
    </row>
    <row r="3656" spans="1:13" x14ac:dyDescent="0.75">
      <c r="A3656" t="s">
        <v>11634</v>
      </c>
      <c r="B3656" t="s">
        <v>6129</v>
      </c>
      <c r="C3656" t="s">
        <v>6130</v>
      </c>
      <c r="D3656" t="s">
        <v>6131</v>
      </c>
      <c r="E3656" t="s">
        <v>6819</v>
      </c>
      <c r="F3656">
        <v>37</v>
      </c>
      <c r="G3656">
        <v>1773599</v>
      </c>
      <c r="H3656" t="s">
        <v>11635</v>
      </c>
      <c r="J3656" s="54" t="s">
        <v>6052</v>
      </c>
      <c r="K3656" s="54">
        <v>0</v>
      </c>
      <c r="L3656" s="22" t="s">
        <v>1563</v>
      </c>
      <c r="M3656" s="22" t="s">
        <v>37094</v>
      </c>
    </row>
    <row r="3657" spans="1:13" x14ac:dyDescent="0.75">
      <c r="A3657" t="s">
        <v>6279</v>
      </c>
      <c r="B3657" t="s">
        <v>6280</v>
      </c>
      <c r="C3657" t="s">
        <v>6130</v>
      </c>
      <c r="D3657" t="s">
        <v>6281</v>
      </c>
      <c r="E3657" t="s">
        <v>6282</v>
      </c>
      <c r="F3657">
        <v>1</v>
      </c>
      <c r="G3657">
        <v>1894360</v>
      </c>
      <c r="H3657" t="s">
        <v>6283</v>
      </c>
      <c r="J3657" s="54" t="s">
        <v>6052</v>
      </c>
      <c r="K3657" s="54">
        <v>0</v>
      </c>
      <c r="L3657" s="22" t="s">
        <v>1308</v>
      </c>
      <c r="M3657" s="22" t="s">
        <v>37095</v>
      </c>
    </row>
    <row r="3658" spans="1:13" x14ac:dyDescent="0.75">
      <c r="A3658" t="s">
        <v>17487</v>
      </c>
      <c r="B3658" t="s">
        <v>6280</v>
      </c>
      <c r="C3658" t="s">
        <v>6130</v>
      </c>
      <c r="D3658" t="s">
        <v>6281</v>
      </c>
      <c r="E3658" t="s">
        <v>6282</v>
      </c>
      <c r="F3658">
        <v>34</v>
      </c>
      <c r="G3658">
        <v>1824918</v>
      </c>
      <c r="H3658" t="s">
        <v>17488</v>
      </c>
      <c r="J3658" s="54" t="s">
        <v>6052</v>
      </c>
      <c r="K3658" s="54">
        <v>0</v>
      </c>
      <c r="L3658" s="22" t="s">
        <v>1308</v>
      </c>
      <c r="M3658" s="22" t="s">
        <v>37095</v>
      </c>
    </row>
    <row r="3659" spans="1:13" x14ac:dyDescent="0.75">
      <c r="A3659" t="s">
        <v>13467</v>
      </c>
      <c r="B3659" t="s">
        <v>11637</v>
      </c>
      <c r="C3659" t="s">
        <v>6130</v>
      </c>
      <c r="D3659" t="s">
        <v>11638</v>
      </c>
      <c r="E3659" t="s">
        <v>13468</v>
      </c>
      <c r="F3659">
        <v>130</v>
      </c>
      <c r="G3659">
        <v>2069542</v>
      </c>
      <c r="H3659" t="s">
        <v>13469</v>
      </c>
      <c r="J3659" s="54" t="s">
        <v>6052</v>
      </c>
      <c r="K3659" s="54">
        <v>0</v>
      </c>
      <c r="L3659" s="22" t="s">
        <v>1308</v>
      </c>
      <c r="M3659" s="22" t="s">
        <v>37093</v>
      </c>
    </row>
    <row r="3660" spans="1:13" x14ac:dyDescent="0.75">
      <c r="A3660" t="s">
        <v>21099</v>
      </c>
      <c r="B3660" t="s">
        <v>11637</v>
      </c>
      <c r="C3660" t="s">
        <v>6130</v>
      </c>
      <c r="D3660" t="s">
        <v>11638</v>
      </c>
      <c r="E3660" t="s">
        <v>13468</v>
      </c>
      <c r="F3660">
        <v>1</v>
      </c>
      <c r="G3660">
        <v>2239089</v>
      </c>
      <c r="H3660" t="s">
        <v>21100</v>
      </c>
      <c r="J3660" s="54" t="s">
        <v>6052</v>
      </c>
      <c r="K3660" s="54">
        <v>0</v>
      </c>
      <c r="L3660" s="22" t="s">
        <v>1308</v>
      </c>
      <c r="M3660" s="22" t="s">
        <v>37093</v>
      </c>
    </row>
    <row r="3661" spans="1:13" x14ac:dyDescent="0.75">
      <c r="A3661" t="s">
        <v>10666</v>
      </c>
      <c r="B3661" t="s">
        <v>9863</v>
      </c>
      <c r="C3661" t="s">
        <v>6130</v>
      </c>
      <c r="D3661" t="s">
        <v>9864</v>
      </c>
      <c r="E3661" t="s">
        <v>10667</v>
      </c>
      <c r="F3661">
        <v>20</v>
      </c>
      <c r="G3661">
        <v>1956698</v>
      </c>
      <c r="H3661" t="s">
        <v>10668</v>
      </c>
      <c r="J3661" s="54" t="s">
        <v>6052</v>
      </c>
      <c r="K3661" s="54">
        <v>0</v>
      </c>
      <c r="L3661" s="22" t="s">
        <v>1563</v>
      </c>
      <c r="M3661" s="22" t="s">
        <v>37096</v>
      </c>
    </row>
    <row r="3662" spans="1:13" x14ac:dyDescent="0.75">
      <c r="A3662" t="s">
        <v>12526</v>
      </c>
      <c r="B3662" t="s">
        <v>6129</v>
      </c>
      <c r="C3662" t="s">
        <v>6130</v>
      </c>
      <c r="D3662" t="s">
        <v>6131</v>
      </c>
      <c r="E3662" t="s">
        <v>12527</v>
      </c>
      <c r="F3662">
        <v>2</v>
      </c>
      <c r="G3662">
        <v>2159316</v>
      </c>
      <c r="H3662" t="s">
        <v>12528</v>
      </c>
      <c r="J3662" s="54" t="s">
        <v>6052</v>
      </c>
      <c r="K3662" s="54">
        <v>0</v>
      </c>
      <c r="L3662" s="22" t="s">
        <v>1563</v>
      </c>
      <c r="M3662" s="22" t="s">
        <v>37094</v>
      </c>
    </row>
    <row r="3663" spans="1:13" x14ac:dyDescent="0.75">
      <c r="A3663" t="s">
        <v>18075</v>
      </c>
      <c r="B3663" t="s">
        <v>6949</v>
      </c>
      <c r="C3663" t="s">
        <v>6130</v>
      </c>
      <c r="D3663" t="s">
        <v>6950</v>
      </c>
      <c r="E3663" t="s">
        <v>18076</v>
      </c>
      <c r="F3663">
        <v>2</v>
      </c>
      <c r="G3663">
        <v>1503611</v>
      </c>
      <c r="H3663" t="s">
        <v>18077</v>
      </c>
      <c r="J3663" s="54" t="s">
        <v>6052</v>
      </c>
      <c r="K3663" s="54">
        <v>0</v>
      </c>
      <c r="L3663" s="22" t="s">
        <v>1308</v>
      </c>
      <c r="M3663" s="22" t="s">
        <v>37097</v>
      </c>
    </row>
    <row r="3664" spans="1:13" x14ac:dyDescent="0.75">
      <c r="A3664" t="s">
        <v>18072</v>
      </c>
      <c r="B3664" t="s">
        <v>6949</v>
      </c>
      <c r="C3664" t="s">
        <v>6130</v>
      </c>
      <c r="D3664" t="s">
        <v>6950</v>
      </c>
      <c r="E3664" t="s">
        <v>18073</v>
      </c>
      <c r="F3664">
        <v>1</v>
      </c>
      <c r="G3664">
        <v>1379123</v>
      </c>
      <c r="H3664" t="s">
        <v>18074</v>
      </c>
      <c r="J3664" s="54" t="s">
        <v>6052</v>
      </c>
      <c r="K3664" s="54">
        <v>0</v>
      </c>
      <c r="L3664" s="22" t="s">
        <v>1308</v>
      </c>
      <c r="M3664" s="22" t="s">
        <v>37097</v>
      </c>
    </row>
    <row r="3665" spans="1:13" x14ac:dyDescent="0.75">
      <c r="A3665" t="s">
        <v>18069</v>
      </c>
      <c r="B3665" t="s">
        <v>6949</v>
      </c>
      <c r="C3665" t="s">
        <v>6130</v>
      </c>
      <c r="D3665" t="s">
        <v>6950</v>
      </c>
      <c r="E3665" t="s">
        <v>18070</v>
      </c>
      <c r="F3665">
        <v>2</v>
      </c>
      <c r="G3665">
        <v>1474256</v>
      </c>
      <c r="H3665" t="s">
        <v>18071</v>
      </c>
      <c r="J3665" s="54" t="s">
        <v>6052</v>
      </c>
      <c r="K3665" s="54">
        <v>0</v>
      </c>
      <c r="L3665" s="22" t="s">
        <v>1308</v>
      </c>
      <c r="M3665" s="22" t="s">
        <v>37097</v>
      </c>
    </row>
    <row r="3666" spans="1:13" x14ac:dyDescent="0.75">
      <c r="A3666" t="s">
        <v>18078</v>
      </c>
      <c r="B3666" t="s">
        <v>6949</v>
      </c>
      <c r="C3666" t="s">
        <v>6130</v>
      </c>
      <c r="D3666" t="s">
        <v>6950</v>
      </c>
      <c r="E3666" t="s">
        <v>18079</v>
      </c>
      <c r="F3666">
        <v>2</v>
      </c>
      <c r="G3666">
        <v>1507452</v>
      </c>
      <c r="H3666" t="s">
        <v>18080</v>
      </c>
      <c r="J3666" s="54" t="s">
        <v>6052</v>
      </c>
      <c r="K3666" s="54">
        <v>0</v>
      </c>
      <c r="L3666" s="22" t="s">
        <v>1308</v>
      </c>
      <c r="M3666" s="22" t="s">
        <v>37097</v>
      </c>
    </row>
    <row r="3667" spans="1:13" x14ac:dyDescent="0.75">
      <c r="A3667" t="s">
        <v>18084</v>
      </c>
      <c r="B3667" t="s">
        <v>6949</v>
      </c>
      <c r="C3667" t="s">
        <v>6130</v>
      </c>
      <c r="D3667" t="s">
        <v>6950</v>
      </c>
      <c r="E3667" t="s">
        <v>18085</v>
      </c>
      <c r="F3667">
        <v>1</v>
      </c>
      <c r="G3667">
        <v>1314822</v>
      </c>
      <c r="H3667" t="s">
        <v>18086</v>
      </c>
      <c r="J3667" s="54" t="s">
        <v>6052</v>
      </c>
      <c r="K3667" s="54">
        <v>0</v>
      </c>
      <c r="L3667" s="22" t="s">
        <v>1308</v>
      </c>
      <c r="M3667" s="22" t="s">
        <v>37097</v>
      </c>
    </row>
    <row r="3668" spans="1:13" x14ac:dyDescent="0.75">
      <c r="A3668" t="s">
        <v>18081</v>
      </c>
      <c r="B3668" t="s">
        <v>6949</v>
      </c>
      <c r="C3668" t="s">
        <v>6130</v>
      </c>
      <c r="D3668" t="s">
        <v>6950</v>
      </c>
      <c r="E3668" t="s">
        <v>18082</v>
      </c>
      <c r="F3668">
        <v>1</v>
      </c>
      <c r="G3668">
        <v>1318700</v>
      </c>
      <c r="H3668" t="s">
        <v>18083</v>
      </c>
      <c r="J3668" s="54" t="s">
        <v>6052</v>
      </c>
      <c r="K3668" s="54">
        <v>0</v>
      </c>
      <c r="L3668" s="22" t="s">
        <v>1308</v>
      </c>
      <c r="M3668" s="22" t="s">
        <v>37097</v>
      </c>
    </row>
    <row r="3669" spans="1:13" x14ac:dyDescent="0.75">
      <c r="A3669" t="s">
        <v>9862</v>
      </c>
      <c r="B3669" t="s">
        <v>9863</v>
      </c>
      <c r="C3669" t="s">
        <v>6130</v>
      </c>
      <c r="D3669" t="s">
        <v>9864</v>
      </c>
      <c r="E3669" t="s">
        <v>9865</v>
      </c>
      <c r="F3669">
        <v>55</v>
      </c>
      <c r="G3669">
        <v>1951821</v>
      </c>
      <c r="H3669" t="s">
        <v>9866</v>
      </c>
      <c r="J3669" s="54" t="s">
        <v>6052</v>
      </c>
      <c r="K3669" s="54">
        <v>0</v>
      </c>
      <c r="L3669" s="22" t="s">
        <v>1563</v>
      </c>
      <c r="M3669" s="22" t="s">
        <v>37096</v>
      </c>
    </row>
    <row r="3670" spans="1:13" x14ac:dyDescent="0.75">
      <c r="A3670" t="s">
        <v>6948</v>
      </c>
      <c r="B3670" t="s">
        <v>6949</v>
      </c>
      <c r="C3670" t="s">
        <v>6130</v>
      </c>
      <c r="D3670" t="s">
        <v>6950</v>
      </c>
      <c r="E3670" t="s">
        <v>6951</v>
      </c>
      <c r="F3670">
        <v>21</v>
      </c>
      <c r="G3670">
        <v>1277649</v>
      </c>
      <c r="H3670" t="s">
        <v>6952</v>
      </c>
      <c r="J3670" s="54" t="s">
        <v>6052</v>
      </c>
      <c r="K3670" s="54">
        <v>0</v>
      </c>
      <c r="L3670" s="22" t="s">
        <v>1308</v>
      </c>
      <c r="M3670" s="22" t="s">
        <v>37097</v>
      </c>
    </row>
    <row r="3671" spans="1:13" x14ac:dyDescent="0.75">
      <c r="A3671" t="s">
        <v>11655</v>
      </c>
      <c r="B3671" t="s">
        <v>6949</v>
      </c>
      <c r="C3671" t="s">
        <v>6130</v>
      </c>
      <c r="D3671" t="s">
        <v>6950</v>
      </c>
      <c r="E3671" t="s">
        <v>6951</v>
      </c>
      <c r="F3671">
        <v>58</v>
      </c>
      <c r="G3671">
        <v>1267657</v>
      </c>
      <c r="H3671" t="s">
        <v>11656</v>
      </c>
      <c r="J3671" s="54" t="s">
        <v>6052</v>
      </c>
      <c r="K3671" s="54">
        <v>0</v>
      </c>
      <c r="L3671" s="22" t="s">
        <v>1308</v>
      </c>
      <c r="M3671" s="22" t="s">
        <v>37097</v>
      </c>
    </row>
    <row r="3672" spans="1:13" x14ac:dyDescent="0.75">
      <c r="A3672" t="s">
        <v>6824</v>
      </c>
      <c r="B3672" t="s">
        <v>6825</v>
      </c>
      <c r="C3672" t="s">
        <v>6130</v>
      </c>
      <c r="D3672" t="s">
        <v>6826</v>
      </c>
      <c r="E3672" t="s">
        <v>6827</v>
      </c>
      <c r="F3672">
        <v>116</v>
      </c>
      <c r="G3672">
        <v>2248406</v>
      </c>
      <c r="H3672" t="s">
        <v>6828</v>
      </c>
      <c r="J3672" s="54" t="s">
        <v>6052</v>
      </c>
      <c r="K3672" s="54">
        <v>0</v>
      </c>
      <c r="L3672" s="22" t="s">
        <v>1563</v>
      </c>
      <c r="M3672" s="22" t="s">
        <v>37098</v>
      </c>
    </row>
    <row r="3673" spans="1:13" x14ac:dyDescent="0.75">
      <c r="A3673" t="s">
        <v>11677</v>
      </c>
      <c r="B3673" t="s">
        <v>6825</v>
      </c>
      <c r="C3673" t="s">
        <v>6130</v>
      </c>
      <c r="D3673" t="s">
        <v>6826</v>
      </c>
      <c r="E3673" t="s">
        <v>6827</v>
      </c>
      <c r="F3673">
        <v>105</v>
      </c>
      <c r="G3673">
        <v>2161766</v>
      </c>
      <c r="H3673" t="s">
        <v>11678</v>
      </c>
      <c r="J3673" s="54" t="s">
        <v>6052</v>
      </c>
      <c r="K3673" s="54">
        <v>0</v>
      </c>
      <c r="L3673" s="22" t="s">
        <v>1563</v>
      </c>
      <c r="M3673" s="22" t="s">
        <v>37098</v>
      </c>
    </row>
    <row r="3674" spans="1:13" x14ac:dyDescent="0.75">
      <c r="A3674" t="s">
        <v>11628</v>
      </c>
      <c r="B3674" t="s">
        <v>9863</v>
      </c>
      <c r="C3674" t="s">
        <v>6130</v>
      </c>
      <c r="D3674" t="s">
        <v>9864</v>
      </c>
      <c r="E3674" t="s">
        <v>11629</v>
      </c>
      <c r="F3674">
        <v>32</v>
      </c>
      <c r="G3674">
        <v>1954043</v>
      </c>
      <c r="H3674" t="s">
        <v>11630</v>
      </c>
      <c r="J3674" s="54" t="s">
        <v>6052</v>
      </c>
      <c r="K3674" s="54">
        <v>0</v>
      </c>
      <c r="L3674" s="22" t="s">
        <v>1563</v>
      </c>
      <c r="M3674" s="22" t="s">
        <v>37096</v>
      </c>
    </row>
    <row r="3675" spans="1:13" x14ac:dyDescent="0.75">
      <c r="A3675" t="s">
        <v>14904</v>
      </c>
      <c r="B3675" t="s">
        <v>9863</v>
      </c>
      <c r="C3675" t="s">
        <v>6130</v>
      </c>
      <c r="D3675" t="s">
        <v>9864</v>
      </c>
      <c r="E3675" t="s">
        <v>11629</v>
      </c>
      <c r="F3675">
        <v>1</v>
      </c>
      <c r="G3675">
        <v>2009973</v>
      </c>
      <c r="H3675" t="s">
        <v>14905</v>
      </c>
      <c r="J3675" s="54" t="s">
        <v>6052</v>
      </c>
      <c r="K3675" s="54">
        <v>0</v>
      </c>
      <c r="L3675" s="22" t="s">
        <v>1563</v>
      </c>
      <c r="M3675" s="22" t="s">
        <v>37096</v>
      </c>
    </row>
    <row r="3676" spans="1:13" x14ac:dyDescent="0.75">
      <c r="A3676" t="s">
        <v>25112</v>
      </c>
      <c r="B3676" t="s">
        <v>6280</v>
      </c>
      <c r="C3676" t="s">
        <v>6130</v>
      </c>
      <c r="D3676" t="s">
        <v>6281</v>
      </c>
      <c r="E3676" t="s">
        <v>25113</v>
      </c>
      <c r="F3676">
        <v>26</v>
      </c>
      <c r="G3676">
        <v>1825792</v>
      </c>
      <c r="H3676" t="s">
        <v>25114</v>
      </c>
      <c r="J3676" s="54" t="s">
        <v>6052</v>
      </c>
      <c r="K3676" s="54">
        <v>0</v>
      </c>
      <c r="L3676" s="22" t="s">
        <v>1308</v>
      </c>
      <c r="M3676" s="22" t="s">
        <v>37095</v>
      </c>
    </row>
    <row r="3677" spans="1:13" x14ac:dyDescent="0.75">
      <c r="A3677" t="s">
        <v>11682</v>
      </c>
      <c r="B3677" t="s">
        <v>6723</v>
      </c>
      <c r="C3677" t="s">
        <v>6130</v>
      </c>
      <c r="D3677" t="s">
        <v>6724</v>
      </c>
      <c r="E3677" t="s">
        <v>11683</v>
      </c>
      <c r="F3677">
        <v>101</v>
      </c>
      <c r="G3677">
        <v>1610627</v>
      </c>
      <c r="H3677" t="s">
        <v>11684</v>
      </c>
      <c r="J3677" s="54" t="s">
        <v>6052</v>
      </c>
      <c r="K3677" s="54">
        <v>0</v>
      </c>
      <c r="L3677" s="22" t="s">
        <v>1308</v>
      </c>
      <c r="M3677" s="22" t="s">
        <v>37092</v>
      </c>
    </row>
    <row r="3678" spans="1:13" x14ac:dyDescent="0.75">
      <c r="A3678" t="s">
        <v>11636</v>
      </c>
      <c r="B3678" t="s">
        <v>11637</v>
      </c>
      <c r="C3678" t="s">
        <v>6130</v>
      </c>
      <c r="D3678" t="s">
        <v>11638</v>
      </c>
      <c r="E3678" t="s">
        <v>11639</v>
      </c>
      <c r="F3678">
        <v>153</v>
      </c>
      <c r="G3678">
        <v>2057071</v>
      </c>
      <c r="H3678" t="s">
        <v>11640</v>
      </c>
      <c r="J3678" s="54" t="s">
        <v>6052</v>
      </c>
      <c r="K3678" s="54">
        <v>0</v>
      </c>
      <c r="L3678" s="22" t="s">
        <v>1308</v>
      </c>
      <c r="M3678" s="22" t="s">
        <v>37093</v>
      </c>
    </row>
    <row r="3679" spans="1:13" x14ac:dyDescent="0.75">
      <c r="A3679" t="s">
        <v>22541</v>
      </c>
      <c r="B3679" t="s">
        <v>6723</v>
      </c>
      <c r="C3679" t="s">
        <v>6130</v>
      </c>
      <c r="D3679" t="s">
        <v>6724</v>
      </c>
      <c r="E3679" t="s">
        <v>22542</v>
      </c>
      <c r="F3679">
        <v>29</v>
      </c>
      <c r="G3679">
        <v>1529884</v>
      </c>
      <c r="H3679" t="s">
        <v>22543</v>
      </c>
      <c r="J3679" s="54" t="s">
        <v>6052</v>
      </c>
      <c r="K3679" s="54">
        <v>0</v>
      </c>
      <c r="L3679" s="22" t="s">
        <v>1308</v>
      </c>
      <c r="M3679" s="22" t="s">
        <v>37092</v>
      </c>
    </row>
    <row r="3680" spans="1:13" x14ac:dyDescent="0.75">
      <c r="A3680" t="s">
        <v>22538</v>
      </c>
      <c r="B3680" t="s">
        <v>6723</v>
      </c>
      <c r="C3680" t="s">
        <v>6130</v>
      </c>
      <c r="D3680" t="s">
        <v>6724</v>
      </c>
      <c r="E3680" t="s">
        <v>22539</v>
      </c>
      <c r="F3680">
        <v>30</v>
      </c>
      <c r="G3680">
        <v>1594674</v>
      </c>
      <c r="H3680" t="s">
        <v>22540</v>
      </c>
      <c r="J3680" s="54" t="s">
        <v>6052</v>
      </c>
      <c r="K3680" s="54">
        <v>0</v>
      </c>
      <c r="L3680" s="22" t="s">
        <v>1308</v>
      </c>
      <c r="M3680" s="22" t="s">
        <v>37092</v>
      </c>
    </row>
    <row r="3681" spans="1:13" x14ac:dyDescent="0.75">
      <c r="A3681" t="s">
        <v>18051</v>
      </c>
      <c r="B3681" t="s">
        <v>6129</v>
      </c>
      <c r="C3681" t="s">
        <v>6130</v>
      </c>
      <c r="D3681" t="s">
        <v>6131</v>
      </c>
      <c r="E3681" t="s">
        <v>18052</v>
      </c>
      <c r="F3681">
        <v>3</v>
      </c>
      <c r="G3681">
        <v>2177933</v>
      </c>
      <c r="H3681" t="s">
        <v>18053</v>
      </c>
      <c r="J3681" s="54" t="s">
        <v>6052</v>
      </c>
      <c r="K3681" s="54">
        <v>0</v>
      </c>
      <c r="L3681" s="22" t="s">
        <v>1563</v>
      </c>
      <c r="M3681" s="22" t="s">
        <v>37094</v>
      </c>
    </row>
    <row r="3682" spans="1:13" x14ac:dyDescent="0.75">
      <c r="A3682" t="s">
        <v>19036</v>
      </c>
      <c r="B3682" t="s">
        <v>6129</v>
      </c>
      <c r="C3682" t="s">
        <v>6130</v>
      </c>
      <c r="D3682" t="s">
        <v>6131</v>
      </c>
      <c r="E3682" t="s">
        <v>19037</v>
      </c>
      <c r="F3682">
        <v>3</v>
      </c>
      <c r="G3682">
        <v>2015225</v>
      </c>
      <c r="H3682" t="s">
        <v>19038</v>
      </c>
      <c r="J3682" s="54" t="s">
        <v>6052</v>
      </c>
      <c r="K3682" s="54">
        <v>0</v>
      </c>
      <c r="L3682" s="22" t="s">
        <v>1563</v>
      </c>
      <c r="M3682" s="22" t="s">
        <v>37094</v>
      </c>
    </row>
    <row r="3683" spans="1:13" x14ac:dyDescent="0.75">
      <c r="A3683" t="s">
        <v>20510</v>
      </c>
      <c r="B3683" t="s">
        <v>6280</v>
      </c>
      <c r="C3683" t="s">
        <v>6130</v>
      </c>
      <c r="D3683" t="s">
        <v>6281</v>
      </c>
      <c r="E3683" t="s">
        <v>20511</v>
      </c>
      <c r="F3683">
        <v>3</v>
      </c>
      <c r="G3683">
        <v>1989082</v>
      </c>
      <c r="H3683" t="s">
        <v>20512</v>
      </c>
      <c r="J3683" s="54" t="s">
        <v>6052</v>
      </c>
      <c r="K3683" s="54">
        <v>0</v>
      </c>
      <c r="L3683" s="22" t="s">
        <v>1308</v>
      </c>
      <c r="M3683" s="22" t="s">
        <v>37095</v>
      </c>
    </row>
    <row r="3684" spans="1:13" x14ac:dyDescent="0.75">
      <c r="A3684" t="s">
        <v>15521</v>
      </c>
      <c r="B3684" t="s">
        <v>6129</v>
      </c>
      <c r="C3684" t="s">
        <v>6130</v>
      </c>
      <c r="D3684" t="s">
        <v>6131</v>
      </c>
      <c r="E3684" t="s">
        <v>15522</v>
      </c>
      <c r="F3684">
        <v>1</v>
      </c>
      <c r="G3684">
        <v>1898461</v>
      </c>
      <c r="H3684" t="s">
        <v>15523</v>
      </c>
      <c r="J3684" s="54" t="s">
        <v>6052</v>
      </c>
      <c r="K3684" s="54">
        <v>0</v>
      </c>
      <c r="L3684" s="22" t="s">
        <v>1563</v>
      </c>
      <c r="M3684" s="22" t="s">
        <v>37094</v>
      </c>
    </row>
    <row r="3685" spans="1:13" x14ac:dyDescent="0.75">
      <c r="A3685" t="s">
        <v>17971</v>
      </c>
      <c r="B3685" t="s">
        <v>6949</v>
      </c>
      <c r="C3685" t="s">
        <v>6130</v>
      </c>
      <c r="D3685" t="s">
        <v>6950</v>
      </c>
      <c r="E3685" t="s">
        <v>17972</v>
      </c>
      <c r="F3685">
        <v>1</v>
      </c>
      <c r="G3685">
        <v>1331119</v>
      </c>
      <c r="H3685" t="s">
        <v>17973</v>
      </c>
      <c r="J3685" s="54" t="s">
        <v>6052</v>
      </c>
      <c r="K3685" s="54">
        <v>0</v>
      </c>
      <c r="L3685" s="22" t="s">
        <v>1308</v>
      </c>
      <c r="M3685" s="22" t="s">
        <v>37097</v>
      </c>
    </row>
    <row r="3686" spans="1:13" x14ac:dyDescent="0.75">
      <c r="A3686" t="s">
        <v>10333</v>
      </c>
      <c r="B3686" t="s">
        <v>6280</v>
      </c>
      <c r="C3686" t="s">
        <v>6130</v>
      </c>
      <c r="D3686" t="s">
        <v>6281</v>
      </c>
      <c r="E3686" t="s">
        <v>10334</v>
      </c>
      <c r="F3686">
        <v>20</v>
      </c>
      <c r="G3686">
        <v>1823247</v>
      </c>
      <c r="H3686" t="s">
        <v>10335</v>
      </c>
      <c r="J3686" s="54" t="s">
        <v>6052</v>
      </c>
      <c r="K3686" s="54">
        <v>0</v>
      </c>
      <c r="L3686" s="22" t="s">
        <v>1308</v>
      </c>
      <c r="M3686" s="22" t="s">
        <v>37095</v>
      </c>
    </row>
    <row r="3687" spans="1:13" x14ac:dyDescent="0.75">
      <c r="A3687" t="s">
        <v>10336</v>
      </c>
      <c r="B3687" t="s">
        <v>9863</v>
      </c>
      <c r="C3687" t="s">
        <v>6130</v>
      </c>
      <c r="D3687" t="s">
        <v>9864</v>
      </c>
      <c r="E3687" t="s">
        <v>10337</v>
      </c>
      <c r="F3687">
        <v>26</v>
      </c>
      <c r="G3687">
        <v>1947720</v>
      </c>
      <c r="H3687" t="s">
        <v>10338</v>
      </c>
      <c r="J3687" s="54" t="s">
        <v>6052</v>
      </c>
      <c r="K3687" s="54">
        <v>0</v>
      </c>
      <c r="L3687" s="22" t="s">
        <v>1563</v>
      </c>
      <c r="M3687" s="22" t="s">
        <v>37096</v>
      </c>
    </row>
    <row r="3688" spans="1:13" x14ac:dyDescent="0.75">
      <c r="A3688" t="s">
        <v>20155</v>
      </c>
      <c r="B3688" t="s">
        <v>6825</v>
      </c>
      <c r="C3688" t="s">
        <v>6130</v>
      </c>
      <c r="D3688" t="s">
        <v>6826</v>
      </c>
      <c r="E3688" t="s">
        <v>20156</v>
      </c>
      <c r="F3688">
        <v>2</v>
      </c>
      <c r="G3688">
        <v>2246389</v>
      </c>
      <c r="H3688" t="s">
        <v>20157</v>
      </c>
      <c r="J3688" s="54" t="s">
        <v>6052</v>
      </c>
      <c r="K3688" s="54">
        <v>0</v>
      </c>
      <c r="L3688" s="22" t="s">
        <v>1563</v>
      </c>
      <c r="M3688" s="22" t="s">
        <v>37098</v>
      </c>
    </row>
    <row r="3689" spans="1:13" x14ac:dyDescent="0.75">
      <c r="A3689" t="s">
        <v>18054</v>
      </c>
      <c r="B3689" t="s">
        <v>6949</v>
      </c>
      <c r="C3689" t="s">
        <v>6130</v>
      </c>
      <c r="D3689" t="s">
        <v>6950</v>
      </c>
      <c r="E3689" t="s">
        <v>18055</v>
      </c>
      <c r="F3689">
        <v>1</v>
      </c>
      <c r="G3689">
        <v>1339101</v>
      </c>
      <c r="H3689" t="s">
        <v>18056</v>
      </c>
      <c r="J3689" s="54" t="s">
        <v>6052</v>
      </c>
      <c r="K3689" s="54">
        <v>0</v>
      </c>
      <c r="L3689" s="22" t="s">
        <v>1308</v>
      </c>
      <c r="M3689" s="22" t="s">
        <v>37097</v>
      </c>
    </row>
    <row r="3690" spans="1:13" x14ac:dyDescent="0.75">
      <c r="A3690" t="s">
        <v>13892</v>
      </c>
      <c r="B3690" t="s">
        <v>9863</v>
      </c>
      <c r="C3690" t="s">
        <v>6130</v>
      </c>
      <c r="D3690" t="s">
        <v>9864</v>
      </c>
      <c r="E3690" t="s">
        <v>13893</v>
      </c>
      <c r="F3690">
        <v>1</v>
      </c>
      <c r="G3690">
        <v>1991195</v>
      </c>
      <c r="H3690" t="s">
        <v>13894</v>
      </c>
      <c r="J3690" s="54" t="s">
        <v>6052</v>
      </c>
      <c r="K3690" s="54">
        <v>0</v>
      </c>
      <c r="L3690" s="22" t="s">
        <v>1563</v>
      </c>
      <c r="M3690" s="22" t="s">
        <v>37096</v>
      </c>
    </row>
    <row r="3691" spans="1:13" x14ac:dyDescent="0.75">
      <c r="A3691" t="s">
        <v>23804</v>
      </c>
      <c r="B3691" t="s">
        <v>9863</v>
      </c>
      <c r="C3691" t="s">
        <v>6130</v>
      </c>
      <c r="D3691" t="s">
        <v>9864</v>
      </c>
      <c r="E3691" t="s">
        <v>23805</v>
      </c>
      <c r="F3691">
        <v>1</v>
      </c>
      <c r="G3691">
        <v>2030963</v>
      </c>
      <c r="H3691" t="s">
        <v>23806</v>
      </c>
      <c r="J3691" s="54" t="s">
        <v>6052</v>
      </c>
      <c r="K3691" s="54">
        <v>0</v>
      </c>
      <c r="L3691" s="22" t="s">
        <v>1563</v>
      </c>
      <c r="M3691" s="22" t="s">
        <v>37096</v>
      </c>
    </row>
    <row r="3692" spans="1:13" x14ac:dyDescent="0.75">
      <c r="A3692" t="s">
        <v>21696</v>
      </c>
      <c r="B3692" t="s">
        <v>11637</v>
      </c>
      <c r="C3692" t="s">
        <v>6130</v>
      </c>
      <c r="D3692" t="s">
        <v>11638</v>
      </c>
      <c r="E3692" t="s">
        <v>21697</v>
      </c>
      <c r="F3692">
        <v>1</v>
      </c>
      <c r="G3692">
        <v>2526154</v>
      </c>
      <c r="H3692" t="s">
        <v>21698</v>
      </c>
      <c r="J3692" s="54" t="s">
        <v>6052</v>
      </c>
      <c r="K3692" s="54">
        <v>0</v>
      </c>
      <c r="L3692" s="22" t="s">
        <v>1308</v>
      </c>
      <c r="M3692" s="22" t="s">
        <v>37093</v>
      </c>
    </row>
    <row r="3693" spans="1:13" x14ac:dyDescent="0.75">
      <c r="A3693" t="s">
        <v>24519</v>
      </c>
      <c r="B3693" t="s">
        <v>11637</v>
      </c>
      <c r="C3693" t="s">
        <v>6130</v>
      </c>
      <c r="D3693" t="s">
        <v>11638</v>
      </c>
      <c r="E3693" t="s">
        <v>24520</v>
      </c>
      <c r="F3693">
        <v>1</v>
      </c>
      <c r="G3693">
        <v>2471292</v>
      </c>
      <c r="H3693" t="s">
        <v>24521</v>
      </c>
      <c r="J3693" s="54" t="s">
        <v>6052</v>
      </c>
      <c r="K3693" s="54">
        <v>0</v>
      </c>
      <c r="L3693" s="22" t="s">
        <v>1308</v>
      </c>
      <c r="M3693" s="22" t="s">
        <v>37093</v>
      </c>
    </row>
    <row r="3694" spans="1:13" x14ac:dyDescent="0.75">
      <c r="A3694" t="s">
        <v>28259</v>
      </c>
      <c r="B3694" t="s">
        <v>6825</v>
      </c>
      <c r="C3694" t="s">
        <v>6130</v>
      </c>
      <c r="D3694" t="s">
        <v>6826</v>
      </c>
      <c r="E3694" t="s">
        <v>28260</v>
      </c>
      <c r="F3694">
        <v>116</v>
      </c>
      <c r="G3694">
        <v>2248406</v>
      </c>
      <c r="H3694" t="s">
        <v>28261</v>
      </c>
      <c r="J3694" s="54" t="s">
        <v>6052</v>
      </c>
      <c r="K3694" s="54">
        <v>0</v>
      </c>
      <c r="L3694" s="22" t="s">
        <v>1563</v>
      </c>
      <c r="M3694" s="22" t="s">
        <v>37098</v>
      </c>
    </row>
    <row r="3695" spans="1:13" x14ac:dyDescent="0.75">
      <c r="A3695" t="s">
        <v>12093</v>
      </c>
      <c r="B3695" t="s">
        <v>9863</v>
      </c>
      <c r="C3695" t="s">
        <v>6130</v>
      </c>
      <c r="D3695" t="s">
        <v>9864</v>
      </c>
      <c r="E3695" t="s">
        <v>12094</v>
      </c>
      <c r="F3695">
        <v>18</v>
      </c>
      <c r="G3695">
        <v>1955274</v>
      </c>
      <c r="H3695" t="s">
        <v>12095</v>
      </c>
      <c r="J3695" s="54" t="s">
        <v>6052</v>
      </c>
      <c r="K3695" s="54">
        <v>0</v>
      </c>
      <c r="L3695" s="22" t="s">
        <v>1563</v>
      </c>
      <c r="M3695" s="22" t="s">
        <v>37096</v>
      </c>
    </row>
    <row r="3696" spans="1:13" x14ac:dyDescent="0.75">
      <c r="A3696" t="s">
        <v>24212</v>
      </c>
      <c r="B3696" t="s">
        <v>9863</v>
      </c>
      <c r="C3696" t="s">
        <v>6130</v>
      </c>
      <c r="D3696" t="s">
        <v>9864</v>
      </c>
      <c r="E3696" t="s">
        <v>24213</v>
      </c>
      <c r="F3696">
        <v>1</v>
      </c>
      <c r="G3696">
        <v>2031081</v>
      </c>
      <c r="H3696" t="s">
        <v>24214</v>
      </c>
      <c r="J3696" s="54" t="s">
        <v>6052</v>
      </c>
      <c r="K3696" s="54">
        <v>0</v>
      </c>
      <c r="L3696" s="22" t="s">
        <v>1563</v>
      </c>
      <c r="M3696" s="22" t="s">
        <v>37096</v>
      </c>
    </row>
    <row r="3697" spans="1:13" x14ac:dyDescent="0.75">
      <c r="A3697" t="s">
        <v>6128</v>
      </c>
      <c r="B3697" t="s">
        <v>6129</v>
      </c>
      <c r="C3697" t="s">
        <v>6130</v>
      </c>
      <c r="D3697" t="s">
        <v>6131</v>
      </c>
      <c r="E3697" t="s">
        <v>6132</v>
      </c>
      <c r="F3697">
        <v>1</v>
      </c>
      <c r="G3697">
        <v>1992676</v>
      </c>
      <c r="H3697" t="s">
        <v>6133</v>
      </c>
      <c r="J3697" s="54" t="s">
        <v>6052</v>
      </c>
      <c r="K3697" s="54">
        <v>0</v>
      </c>
      <c r="L3697" s="22" t="s">
        <v>1563</v>
      </c>
      <c r="M3697" s="22" t="s">
        <v>37094</v>
      </c>
    </row>
    <row r="3698" spans="1:13" x14ac:dyDescent="0.75">
      <c r="A3698" t="s">
        <v>27496</v>
      </c>
      <c r="B3698" t="s">
        <v>6280</v>
      </c>
      <c r="C3698" t="s">
        <v>6130</v>
      </c>
      <c r="D3698" t="s">
        <v>6281</v>
      </c>
      <c r="E3698" t="s">
        <v>27497</v>
      </c>
      <c r="F3698">
        <v>3</v>
      </c>
      <c r="G3698">
        <v>1899682</v>
      </c>
      <c r="H3698" t="s">
        <v>27498</v>
      </c>
      <c r="J3698" s="54" t="s">
        <v>6052</v>
      </c>
      <c r="K3698" s="54">
        <v>0</v>
      </c>
      <c r="L3698" s="22" t="s">
        <v>1308</v>
      </c>
      <c r="M3698" s="22" t="s">
        <v>37095</v>
      </c>
    </row>
    <row r="3699" spans="1:13" x14ac:dyDescent="0.75">
      <c r="A3699" t="s">
        <v>7827</v>
      </c>
      <c r="B3699" t="s">
        <v>6129</v>
      </c>
      <c r="C3699" t="s">
        <v>6130</v>
      </c>
      <c r="D3699" t="s">
        <v>6131</v>
      </c>
      <c r="E3699" t="s">
        <v>7828</v>
      </c>
      <c r="F3699">
        <v>3</v>
      </c>
      <c r="G3699">
        <v>1973006</v>
      </c>
      <c r="H3699" t="s">
        <v>7829</v>
      </c>
      <c r="J3699" s="54" t="s">
        <v>6052</v>
      </c>
      <c r="K3699" s="54">
        <v>0</v>
      </c>
      <c r="L3699" s="22" t="s">
        <v>1563</v>
      </c>
      <c r="M3699" s="22" t="s">
        <v>37094</v>
      </c>
    </row>
    <row r="3700" spans="1:13" x14ac:dyDescent="0.75">
      <c r="A3700" t="s">
        <v>13182</v>
      </c>
      <c r="B3700" t="s">
        <v>6723</v>
      </c>
      <c r="C3700" t="s">
        <v>6130</v>
      </c>
      <c r="D3700" t="s">
        <v>6724</v>
      </c>
      <c r="E3700" t="s">
        <v>13183</v>
      </c>
      <c r="F3700">
        <v>1</v>
      </c>
      <c r="G3700">
        <v>1672949</v>
      </c>
      <c r="H3700" t="s">
        <v>13184</v>
      </c>
      <c r="J3700" s="54" t="s">
        <v>6052</v>
      </c>
      <c r="K3700" s="54">
        <v>0</v>
      </c>
      <c r="L3700" s="22" t="s">
        <v>1308</v>
      </c>
      <c r="M3700" s="22" t="s">
        <v>37092</v>
      </c>
    </row>
    <row r="3701" spans="1:13" x14ac:dyDescent="0.75">
      <c r="A3701" t="s">
        <v>13660</v>
      </c>
      <c r="B3701" t="s">
        <v>6129</v>
      </c>
      <c r="C3701" t="s">
        <v>6130</v>
      </c>
      <c r="D3701" t="s">
        <v>6131</v>
      </c>
      <c r="E3701" t="s">
        <v>13661</v>
      </c>
      <c r="F3701">
        <v>3</v>
      </c>
      <c r="G3701">
        <v>2042390</v>
      </c>
      <c r="H3701" t="s">
        <v>13662</v>
      </c>
      <c r="J3701" s="54" t="s">
        <v>6052</v>
      </c>
      <c r="K3701" s="54">
        <v>0</v>
      </c>
      <c r="L3701" s="22" t="s">
        <v>1563</v>
      </c>
      <c r="M3701" s="22" t="s">
        <v>37094</v>
      </c>
    </row>
    <row r="3702" spans="1:13" x14ac:dyDescent="0.75">
      <c r="A3702" t="s">
        <v>24995</v>
      </c>
      <c r="B3702" t="s">
        <v>11637</v>
      </c>
      <c r="C3702" t="s">
        <v>6130</v>
      </c>
      <c r="D3702" t="s">
        <v>11638</v>
      </c>
      <c r="E3702" t="s">
        <v>24996</v>
      </c>
      <c r="F3702">
        <v>1</v>
      </c>
      <c r="G3702">
        <v>2322225</v>
      </c>
      <c r="H3702" t="s">
        <v>24997</v>
      </c>
      <c r="J3702" s="54" t="s">
        <v>6052</v>
      </c>
      <c r="K3702" s="54">
        <v>0</v>
      </c>
      <c r="L3702" s="22" t="s">
        <v>1308</v>
      </c>
      <c r="M3702" s="22" t="s">
        <v>37093</v>
      </c>
    </row>
    <row r="3703" spans="1:13" x14ac:dyDescent="0.75">
      <c r="A3703" t="s">
        <v>25001</v>
      </c>
      <c r="B3703" t="s">
        <v>6280</v>
      </c>
      <c r="C3703" t="s">
        <v>6130</v>
      </c>
      <c r="D3703" t="s">
        <v>6281</v>
      </c>
      <c r="E3703" t="s">
        <v>25002</v>
      </c>
      <c r="F3703">
        <v>2</v>
      </c>
      <c r="G3703">
        <v>1815045</v>
      </c>
      <c r="H3703" t="s">
        <v>25003</v>
      </c>
      <c r="J3703" s="54" t="s">
        <v>6052</v>
      </c>
      <c r="K3703" s="54">
        <v>0</v>
      </c>
      <c r="L3703" s="22" t="s">
        <v>1308</v>
      </c>
      <c r="M3703" s="22" t="s">
        <v>37095</v>
      </c>
    </row>
    <row r="3704" spans="1:13" x14ac:dyDescent="0.75">
      <c r="A3704" t="s">
        <v>24998</v>
      </c>
      <c r="B3704" t="s">
        <v>11637</v>
      </c>
      <c r="C3704" t="s">
        <v>6130</v>
      </c>
      <c r="D3704" t="s">
        <v>11638</v>
      </c>
      <c r="E3704" t="s">
        <v>24999</v>
      </c>
      <c r="F3704">
        <v>2</v>
      </c>
      <c r="G3704">
        <v>2269013</v>
      </c>
      <c r="H3704" t="s">
        <v>25000</v>
      </c>
      <c r="J3704" s="54" t="s">
        <v>6052</v>
      </c>
      <c r="K3704" s="54">
        <v>0</v>
      </c>
      <c r="L3704" s="22" t="s">
        <v>1308</v>
      </c>
      <c r="M3704" s="22" t="s">
        <v>37093</v>
      </c>
    </row>
    <row r="3705" spans="1:13" x14ac:dyDescent="0.75">
      <c r="A3705" t="s">
        <v>11711</v>
      </c>
      <c r="B3705" t="s">
        <v>10351</v>
      </c>
      <c r="C3705" t="s">
        <v>10352</v>
      </c>
      <c r="D3705" t="s">
        <v>10353</v>
      </c>
      <c r="E3705" t="s">
        <v>11712</v>
      </c>
      <c r="F3705">
        <v>171</v>
      </c>
      <c r="G3705">
        <v>2547291</v>
      </c>
      <c r="H3705" t="s">
        <v>11713</v>
      </c>
      <c r="J3705" s="54" t="s">
        <v>6052</v>
      </c>
      <c r="K3705" s="54">
        <v>0</v>
      </c>
      <c r="L3705" s="22" t="s">
        <v>144</v>
      </c>
      <c r="M3705" s="22" t="s">
        <v>37099</v>
      </c>
    </row>
    <row r="3706" spans="1:13" x14ac:dyDescent="0.75">
      <c r="A3706" t="s">
        <v>13963</v>
      </c>
      <c r="B3706" t="s">
        <v>10351</v>
      </c>
      <c r="C3706" t="s">
        <v>10352</v>
      </c>
      <c r="D3706" t="s">
        <v>10353</v>
      </c>
      <c r="E3706" t="s">
        <v>11712</v>
      </c>
      <c r="F3706">
        <v>76</v>
      </c>
      <c r="G3706">
        <v>2463410</v>
      </c>
      <c r="H3706" t="s">
        <v>13964</v>
      </c>
      <c r="J3706" s="54" t="s">
        <v>6052</v>
      </c>
      <c r="K3706" s="54">
        <v>0</v>
      </c>
      <c r="L3706" s="22" t="s">
        <v>144</v>
      </c>
      <c r="M3706" s="22" t="s">
        <v>37099</v>
      </c>
    </row>
    <row r="3707" spans="1:13" x14ac:dyDescent="0.75">
      <c r="A3707" t="s">
        <v>16623</v>
      </c>
      <c r="B3707" t="s">
        <v>10351</v>
      </c>
      <c r="C3707" t="s">
        <v>10352</v>
      </c>
      <c r="D3707" t="s">
        <v>10353</v>
      </c>
      <c r="E3707" t="s">
        <v>11712</v>
      </c>
      <c r="F3707">
        <v>88</v>
      </c>
      <c r="G3707">
        <v>2627820</v>
      </c>
      <c r="H3707" t="s">
        <v>16624</v>
      </c>
      <c r="J3707" s="54" t="s">
        <v>6052</v>
      </c>
      <c r="K3707" s="54">
        <v>0</v>
      </c>
      <c r="L3707" s="22" t="s">
        <v>144</v>
      </c>
      <c r="M3707" s="22" t="s">
        <v>37099</v>
      </c>
    </row>
    <row r="3708" spans="1:13" x14ac:dyDescent="0.75">
      <c r="A3708" t="s">
        <v>27140</v>
      </c>
      <c r="B3708" t="s">
        <v>10351</v>
      </c>
      <c r="C3708" t="s">
        <v>10352</v>
      </c>
      <c r="D3708" t="s">
        <v>10353</v>
      </c>
      <c r="E3708" t="s">
        <v>11712</v>
      </c>
      <c r="F3708">
        <v>53</v>
      </c>
      <c r="G3708">
        <v>2514221</v>
      </c>
      <c r="H3708" t="s">
        <v>27141</v>
      </c>
      <c r="J3708" s="54" t="s">
        <v>6052</v>
      </c>
      <c r="K3708" s="54">
        <v>0</v>
      </c>
      <c r="L3708" s="22" t="s">
        <v>144</v>
      </c>
      <c r="M3708" s="22" t="s">
        <v>37099</v>
      </c>
    </row>
    <row r="3709" spans="1:13" x14ac:dyDescent="0.75">
      <c r="A3709" t="s">
        <v>20587</v>
      </c>
      <c r="B3709" t="s">
        <v>10351</v>
      </c>
      <c r="C3709" t="s">
        <v>10352</v>
      </c>
      <c r="D3709" t="s">
        <v>10353</v>
      </c>
      <c r="E3709" t="s">
        <v>20588</v>
      </c>
      <c r="F3709">
        <v>7</v>
      </c>
      <c r="G3709">
        <v>2641059</v>
      </c>
      <c r="H3709" t="s">
        <v>20589</v>
      </c>
      <c r="J3709" s="54" t="s">
        <v>6052</v>
      </c>
      <c r="K3709" s="54">
        <v>0</v>
      </c>
      <c r="L3709" s="22" t="s">
        <v>144</v>
      </c>
      <c r="M3709" s="22" t="s">
        <v>37099</v>
      </c>
    </row>
    <row r="3710" spans="1:13" x14ac:dyDescent="0.75">
      <c r="A3710" t="s">
        <v>25012</v>
      </c>
      <c r="B3710" t="s">
        <v>10351</v>
      </c>
      <c r="C3710" t="s">
        <v>10352</v>
      </c>
      <c r="D3710" t="s">
        <v>10353</v>
      </c>
      <c r="E3710" t="s">
        <v>25013</v>
      </c>
      <c r="F3710">
        <v>3</v>
      </c>
      <c r="G3710">
        <v>2590459</v>
      </c>
      <c r="H3710" t="s">
        <v>25014</v>
      </c>
      <c r="J3710" s="54" t="s">
        <v>6052</v>
      </c>
      <c r="K3710" s="54">
        <v>0</v>
      </c>
      <c r="L3710" s="22" t="s">
        <v>144</v>
      </c>
      <c r="M3710" s="22" t="s">
        <v>37099</v>
      </c>
    </row>
    <row r="3711" spans="1:13" x14ac:dyDescent="0.75">
      <c r="A3711" t="s">
        <v>10350</v>
      </c>
      <c r="B3711" t="s">
        <v>10351</v>
      </c>
      <c r="C3711" t="s">
        <v>10352</v>
      </c>
      <c r="D3711" t="s">
        <v>10353</v>
      </c>
      <c r="E3711" t="s">
        <v>10354</v>
      </c>
      <c r="F3711">
        <v>88</v>
      </c>
      <c r="G3711">
        <v>2527003</v>
      </c>
      <c r="H3711" t="s">
        <v>10355</v>
      </c>
      <c r="J3711" s="54" t="s">
        <v>6052</v>
      </c>
      <c r="K3711" s="54">
        <v>0</v>
      </c>
      <c r="L3711" s="22" t="s">
        <v>144</v>
      </c>
      <c r="M3711" s="22" t="s">
        <v>37099</v>
      </c>
    </row>
    <row r="3712" spans="1:13" x14ac:dyDescent="0.75">
      <c r="A3712" t="s">
        <v>10762</v>
      </c>
      <c r="B3712" t="s">
        <v>10351</v>
      </c>
      <c r="C3712" t="s">
        <v>10352</v>
      </c>
      <c r="D3712" t="s">
        <v>10353</v>
      </c>
      <c r="E3712" t="s">
        <v>10354</v>
      </c>
      <c r="F3712">
        <v>88</v>
      </c>
      <c r="G3712">
        <v>2545792</v>
      </c>
      <c r="H3712" t="s">
        <v>10763</v>
      </c>
      <c r="J3712" s="54" t="s">
        <v>6052</v>
      </c>
      <c r="K3712" s="54">
        <v>0</v>
      </c>
      <c r="L3712" s="22" t="s">
        <v>144</v>
      </c>
      <c r="M3712" s="22" t="s">
        <v>37099</v>
      </c>
    </row>
    <row r="3713" spans="1:13" x14ac:dyDescent="0.75">
      <c r="A3713" t="s">
        <v>11799</v>
      </c>
      <c r="B3713" t="s">
        <v>10351</v>
      </c>
      <c r="C3713" t="s">
        <v>10352</v>
      </c>
      <c r="D3713" t="s">
        <v>10353</v>
      </c>
      <c r="E3713" t="s">
        <v>11800</v>
      </c>
      <c r="F3713">
        <v>40</v>
      </c>
      <c r="G3713">
        <v>2547623</v>
      </c>
      <c r="H3713" t="s">
        <v>11801</v>
      </c>
      <c r="J3713" s="54" t="s">
        <v>6052</v>
      </c>
      <c r="K3713" s="54">
        <v>0</v>
      </c>
      <c r="L3713" s="22" t="s">
        <v>144</v>
      </c>
      <c r="M3713" s="22" t="s">
        <v>37099</v>
      </c>
    </row>
    <row r="3714" spans="1:13" x14ac:dyDescent="0.75">
      <c r="A3714" t="s">
        <v>17754</v>
      </c>
      <c r="B3714" t="s">
        <v>10351</v>
      </c>
      <c r="C3714" t="s">
        <v>10352</v>
      </c>
      <c r="D3714" t="s">
        <v>10353</v>
      </c>
      <c r="E3714" t="s">
        <v>17755</v>
      </c>
      <c r="F3714">
        <v>120</v>
      </c>
      <c r="G3714">
        <v>2445329</v>
      </c>
      <c r="H3714" t="s">
        <v>17756</v>
      </c>
      <c r="J3714" s="54" t="s">
        <v>6052</v>
      </c>
      <c r="K3714" s="54">
        <v>0</v>
      </c>
      <c r="L3714" s="22" t="s">
        <v>144</v>
      </c>
      <c r="M3714" s="22" t="s">
        <v>37099</v>
      </c>
    </row>
    <row r="3715" spans="1:13" x14ac:dyDescent="0.75">
      <c r="A3715" t="s">
        <v>29322</v>
      </c>
      <c r="B3715" t="s">
        <v>7135</v>
      </c>
      <c r="C3715" t="s">
        <v>6156</v>
      </c>
      <c r="D3715" t="s">
        <v>7136</v>
      </c>
      <c r="E3715" t="s">
        <v>29323</v>
      </c>
      <c r="F3715">
        <v>50</v>
      </c>
      <c r="G3715">
        <v>2197236</v>
      </c>
      <c r="H3715" t="s">
        <v>29324</v>
      </c>
      <c r="J3715" s="54" t="s">
        <v>6052</v>
      </c>
      <c r="K3715" s="54">
        <v>0</v>
      </c>
      <c r="L3715" s="22" t="s">
        <v>104</v>
      </c>
      <c r="M3715" s="22" t="s">
        <v>37169</v>
      </c>
    </row>
    <row r="3716" spans="1:13" x14ac:dyDescent="0.75">
      <c r="A3716" t="s">
        <v>28794</v>
      </c>
      <c r="B3716" t="s">
        <v>7135</v>
      </c>
      <c r="C3716" t="s">
        <v>6156</v>
      </c>
      <c r="D3716" t="s">
        <v>7136</v>
      </c>
      <c r="E3716" t="s">
        <v>28795</v>
      </c>
      <c r="F3716">
        <v>64</v>
      </c>
      <c r="G3716">
        <v>2265075</v>
      </c>
      <c r="H3716" t="s">
        <v>28796</v>
      </c>
      <c r="J3716" s="54" t="s">
        <v>6052</v>
      </c>
      <c r="K3716" s="54">
        <v>0</v>
      </c>
      <c r="L3716" s="22" t="s">
        <v>104</v>
      </c>
      <c r="M3716" s="22" t="s">
        <v>37169</v>
      </c>
    </row>
    <row r="3717" spans="1:13" x14ac:dyDescent="0.75">
      <c r="A3717" t="s">
        <v>23597</v>
      </c>
      <c r="B3717" t="s">
        <v>7135</v>
      </c>
      <c r="C3717" t="s">
        <v>6156</v>
      </c>
      <c r="D3717" t="s">
        <v>7136</v>
      </c>
      <c r="E3717" t="s">
        <v>23598</v>
      </c>
      <c r="F3717">
        <v>1</v>
      </c>
      <c r="G3717">
        <v>2409157</v>
      </c>
      <c r="H3717" t="s">
        <v>23599</v>
      </c>
      <c r="J3717" s="54" t="s">
        <v>6052</v>
      </c>
      <c r="K3717" s="54">
        <v>0</v>
      </c>
      <c r="L3717" s="22" t="s">
        <v>104</v>
      </c>
      <c r="M3717" s="22" t="s">
        <v>37169</v>
      </c>
    </row>
    <row r="3718" spans="1:13" x14ac:dyDescent="0.75">
      <c r="A3718" t="s">
        <v>30754</v>
      </c>
      <c r="B3718" t="s">
        <v>7145</v>
      </c>
      <c r="C3718" t="s">
        <v>6156</v>
      </c>
      <c r="D3718" t="s">
        <v>7146</v>
      </c>
      <c r="E3718">
        <v>8206</v>
      </c>
      <c r="F3718">
        <v>120</v>
      </c>
      <c r="G3718">
        <v>2162688</v>
      </c>
      <c r="H3718" t="s">
        <v>30755</v>
      </c>
      <c r="J3718" s="54" t="s">
        <v>6052</v>
      </c>
      <c r="K3718" s="54">
        <v>0</v>
      </c>
      <c r="L3718" s="22" t="s">
        <v>104</v>
      </c>
      <c r="M3718" s="22" t="s">
        <v>37161</v>
      </c>
    </row>
    <row r="3719" spans="1:13" x14ac:dyDescent="0.75">
      <c r="A3719" t="s">
        <v>30774</v>
      </c>
      <c r="B3719" t="s">
        <v>7145</v>
      </c>
      <c r="C3719" t="s">
        <v>6156</v>
      </c>
      <c r="D3719" t="s">
        <v>7146</v>
      </c>
      <c r="E3719" t="s">
        <v>30775</v>
      </c>
      <c r="F3719">
        <v>129</v>
      </c>
      <c r="G3719">
        <v>2215879</v>
      </c>
      <c r="H3719" t="s">
        <v>30776</v>
      </c>
      <c r="J3719" s="54" t="s">
        <v>6052</v>
      </c>
      <c r="K3719" s="54">
        <v>0</v>
      </c>
      <c r="L3719" s="22" t="s">
        <v>104</v>
      </c>
      <c r="M3719" s="22" t="s">
        <v>37161</v>
      </c>
    </row>
    <row r="3720" spans="1:13" x14ac:dyDescent="0.75">
      <c r="A3720" t="s">
        <v>7621</v>
      </c>
      <c r="B3720" t="s">
        <v>7145</v>
      </c>
      <c r="C3720" t="s">
        <v>6156</v>
      </c>
      <c r="D3720" t="s">
        <v>7146</v>
      </c>
      <c r="E3720" t="s">
        <v>7622</v>
      </c>
      <c r="F3720">
        <v>1</v>
      </c>
      <c r="G3720">
        <v>2220606</v>
      </c>
      <c r="H3720" t="s">
        <v>7623</v>
      </c>
      <c r="J3720" s="54" t="s">
        <v>6052</v>
      </c>
      <c r="K3720" s="54">
        <v>0</v>
      </c>
      <c r="L3720" s="22" t="s">
        <v>104</v>
      </c>
      <c r="M3720" s="22" t="s">
        <v>37161</v>
      </c>
    </row>
    <row r="3721" spans="1:13" x14ac:dyDescent="0.75">
      <c r="A3721" t="s">
        <v>30804</v>
      </c>
      <c r="B3721" t="s">
        <v>7145</v>
      </c>
      <c r="C3721" t="s">
        <v>6156</v>
      </c>
      <c r="D3721" t="s">
        <v>7146</v>
      </c>
      <c r="E3721" t="s">
        <v>30805</v>
      </c>
      <c r="F3721">
        <v>100</v>
      </c>
      <c r="G3721">
        <v>2151514</v>
      </c>
      <c r="H3721" t="s">
        <v>30806</v>
      </c>
      <c r="J3721" s="54" t="s">
        <v>6052</v>
      </c>
      <c r="K3721" s="54">
        <v>0</v>
      </c>
      <c r="L3721" s="22" t="s">
        <v>104</v>
      </c>
      <c r="M3721" s="22" t="s">
        <v>37161</v>
      </c>
    </row>
    <row r="3722" spans="1:13" x14ac:dyDescent="0.75">
      <c r="A3722" t="s">
        <v>30762</v>
      </c>
      <c r="B3722" t="s">
        <v>7145</v>
      </c>
      <c r="C3722" t="s">
        <v>6156</v>
      </c>
      <c r="D3722" t="s">
        <v>7146</v>
      </c>
      <c r="E3722" t="s">
        <v>30763</v>
      </c>
      <c r="F3722">
        <v>124</v>
      </c>
      <c r="G3722">
        <v>2179828</v>
      </c>
      <c r="H3722" t="s">
        <v>30764</v>
      </c>
      <c r="J3722" s="54" t="s">
        <v>6052</v>
      </c>
      <c r="K3722" s="54">
        <v>0</v>
      </c>
      <c r="L3722" s="22" t="s">
        <v>104</v>
      </c>
      <c r="M3722" s="22" t="s">
        <v>37161</v>
      </c>
    </row>
    <row r="3723" spans="1:13" x14ac:dyDescent="0.75">
      <c r="A3723" t="s">
        <v>7144</v>
      </c>
      <c r="B3723" t="s">
        <v>7145</v>
      </c>
      <c r="C3723" t="s">
        <v>6156</v>
      </c>
      <c r="D3723" t="s">
        <v>7146</v>
      </c>
      <c r="E3723" t="s">
        <v>7147</v>
      </c>
      <c r="F3723">
        <v>101</v>
      </c>
      <c r="G3723">
        <v>2171992</v>
      </c>
      <c r="H3723" t="s">
        <v>7148</v>
      </c>
      <c r="J3723" s="54" t="s">
        <v>6052</v>
      </c>
      <c r="K3723" s="54">
        <v>0</v>
      </c>
      <c r="L3723" s="22" t="s">
        <v>104</v>
      </c>
      <c r="M3723" s="22" t="s">
        <v>37161</v>
      </c>
    </row>
    <row r="3724" spans="1:13" x14ac:dyDescent="0.75">
      <c r="A3724" t="s">
        <v>10551</v>
      </c>
      <c r="B3724" t="s">
        <v>7145</v>
      </c>
      <c r="C3724" t="s">
        <v>6156</v>
      </c>
      <c r="D3724" t="s">
        <v>7146</v>
      </c>
      <c r="E3724" t="s">
        <v>7147</v>
      </c>
      <c r="F3724">
        <v>4</v>
      </c>
      <c r="G3724">
        <v>2182033</v>
      </c>
      <c r="H3724" t="s">
        <v>10552</v>
      </c>
      <c r="J3724" s="54" t="s">
        <v>6052</v>
      </c>
      <c r="K3724" s="54">
        <v>0</v>
      </c>
      <c r="L3724" s="22" t="s">
        <v>104</v>
      </c>
      <c r="M3724" s="22" t="s">
        <v>37161</v>
      </c>
    </row>
    <row r="3725" spans="1:13" x14ac:dyDescent="0.75">
      <c r="A3725" t="s">
        <v>15792</v>
      </c>
      <c r="B3725" t="s">
        <v>7145</v>
      </c>
      <c r="C3725" t="s">
        <v>6156</v>
      </c>
      <c r="D3725" t="s">
        <v>7146</v>
      </c>
      <c r="E3725" t="s">
        <v>15793</v>
      </c>
      <c r="F3725">
        <v>71</v>
      </c>
      <c r="G3725">
        <v>2182710</v>
      </c>
      <c r="H3725" t="s">
        <v>15794</v>
      </c>
      <c r="J3725" s="54" t="s">
        <v>6052</v>
      </c>
      <c r="K3725" s="54">
        <v>0</v>
      </c>
      <c r="L3725" s="22" t="s">
        <v>104</v>
      </c>
      <c r="M3725" s="22" t="s">
        <v>37161</v>
      </c>
    </row>
    <row r="3726" spans="1:13" x14ac:dyDescent="0.75">
      <c r="A3726" t="s">
        <v>15301</v>
      </c>
      <c r="B3726" t="s">
        <v>7145</v>
      </c>
      <c r="C3726" t="s">
        <v>6156</v>
      </c>
      <c r="D3726" t="s">
        <v>7146</v>
      </c>
      <c r="E3726" t="s">
        <v>15302</v>
      </c>
      <c r="F3726">
        <v>1</v>
      </c>
      <c r="G3726">
        <v>2200224</v>
      </c>
      <c r="H3726" t="s">
        <v>15303</v>
      </c>
      <c r="J3726" s="54" t="s">
        <v>6052</v>
      </c>
      <c r="K3726" s="54">
        <v>0</v>
      </c>
      <c r="L3726" s="22" t="s">
        <v>104</v>
      </c>
      <c r="M3726" s="22" t="s">
        <v>37161</v>
      </c>
    </row>
    <row r="3727" spans="1:13" x14ac:dyDescent="0.75">
      <c r="A3727" t="s">
        <v>15657</v>
      </c>
      <c r="B3727" t="s">
        <v>7145</v>
      </c>
      <c r="C3727" t="s">
        <v>6156</v>
      </c>
      <c r="D3727" t="s">
        <v>7146</v>
      </c>
      <c r="E3727" t="s">
        <v>15658</v>
      </c>
      <c r="F3727">
        <v>40</v>
      </c>
      <c r="G3727">
        <v>2153695</v>
      </c>
      <c r="H3727" t="s">
        <v>15659</v>
      </c>
      <c r="J3727" s="54" t="s">
        <v>6052</v>
      </c>
      <c r="K3727" s="54">
        <v>0</v>
      </c>
      <c r="L3727" s="22" t="s">
        <v>104</v>
      </c>
      <c r="M3727" s="22" t="s">
        <v>37161</v>
      </c>
    </row>
    <row r="3728" spans="1:13" x14ac:dyDescent="0.75">
      <c r="A3728" t="s">
        <v>15660</v>
      </c>
      <c r="B3728" t="s">
        <v>7145</v>
      </c>
      <c r="C3728" t="s">
        <v>6156</v>
      </c>
      <c r="D3728" t="s">
        <v>7146</v>
      </c>
      <c r="E3728" t="s">
        <v>15661</v>
      </c>
      <c r="F3728">
        <v>20</v>
      </c>
      <c r="G3728">
        <v>2227184</v>
      </c>
      <c r="H3728" t="s">
        <v>15662</v>
      </c>
      <c r="J3728" s="54" t="s">
        <v>6052</v>
      </c>
      <c r="K3728" s="54">
        <v>0</v>
      </c>
      <c r="L3728" s="22" t="s">
        <v>104</v>
      </c>
      <c r="M3728" s="22" t="s">
        <v>37161</v>
      </c>
    </row>
    <row r="3729" spans="1:13" x14ac:dyDescent="0.75">
      <c r="A3729" t="s">
        <v>15684</v>
      </c>
      <c r="B3729" t="s">
        <v>7145</v>
      </c>
      <c r="C3729" t="s">
        <v>6156</v>
      </c>
      <c r="D3729" t="s">
        <v>7146</v>
      </c>
      <c r="E3729" t="s">
        <v>15685</v>
      </c>
      <c r="F3729">
        <v>45</v>
      </c>
      <c r="G3729">
        <v>2177704</v>
      </c>
      <c r="H3729" t="s">
        <v>15686</v>
      </c>
      <c r="J3729" s="54" t="s">
        <v>6052</v>
      </c>
      <c r="K3729" s="54">
        <v>0</v>
      </c>
      <c r="L3729" s="22" t="s">
        <v>104</v>
      </c>
      <c r="M3729" s="22" t="s">
        <v>37161</v>
      </c>
    </row>
    <row r="3730" spans="1:13" x14ac:dyDescent="0.75">
      <c r="A3730" t="s">
        <v>15705</v>
      </c>
      <c r="B3730" t="s">
        <v>7145</v>
      </c>
      <c r="C3730" t="s">
        <v>6156</v>
      </c>
      <c r="D3730" t="s">
        <v>7146</v>
      </c>
      <c r="E3730" t="s">
        <v>15706</v>
      </c>
      <c r="F3730">
        <v>46</v>
      </c>
      <c r="G3730">
        <v>2198057</v>
      </c>
      <c r="H3730" t="s">
        <v>15707</v>
      </c>
      <c r="J3730" s="54" t="s">
        <v>6052</v>
      </c>
      <c r="K3730" s="54">
        <v>0</v>
      </c>
      <c r="L3730" s="22" t="s">
        <v>104</v>
      </c>
      <c r="M3730" s="22" t="s">
        <v>37161</v>
      </c>
    </row>
    <row r="3731" spans="1:13" x14ac:dyDescent="0.75">
      <c r="A3731" t="s">
        <v>15789</v>
      </c>
      <c r="B3731" t="s">
        <v>7145</v>
      </c>
      <c r="C3731" t="s">
        <v>6156</v>
      </c>
      <c r="D3731" t="s">
        <v>7146</v>
      </c>
      <c r="E3731" t="s">
        <v>15790</v>
      </c>
      <c r="F3731">
        <v>33</v>
      </c>
      <c r="G3731">
        <v>2173500</v>
      </c>
      <c r="H3731" t="s">
        <v>15791</v>
      </c>
      <c r="J3731" s="54" t="s">
        <v>6052</v>
      </c>
      <c r="K3731" s="54">
        <v>0</v>
      </c>
      <c r="L3731" s="22" t="s">
        <v>104</v>
      </c>
      <c r="M3731" s="22" t="s">
        <v>37161</v>
      </c>
    </row>
    <row r="3732" spans="1:13" x14ac:dyDescent="0.75">
      <c r="A3732" t="s">
        <v>15672</v>
      </c>
      <c r="B3732" t="s">
        <v>7145</v>
      </c>
      <c r="C3732" t="s">
        <v>6156</v>
      </c>
      <c r="D3732" t="s">
        <v>7146</v>
      </c>
      <c r="E3732" t="s">
        <v>15673</v>
      </c>
      <c r="F3732">
        <v>31</v>
      </c>
      <c r="G3732">
        <v>2202297</v>
      </c>
      <c r="H3732" t="s">
        <v>15674</v>
      </c>
      <c r="J3732" s="54" t="s">
        <v>6052</v>
      </c>
      <c r="K3732" s="54">
        <v>0</v>
      </c>
      <c r="L3732" s="22" t="s">
        <v>104</v>
      </c>
      <c r="M3732" s="22" t="s">
        <v>37161</v>
      </c>
    </row>
    <row r="3733" spans="1:13" x14ac:dyDescent="0.75">
      <c r="A3733" t="s">
        <v>15693</v>
      </c>
      <c r="B3733" t="s">
        <v>7145</v>
      </c>
      <c r="C3733" t="s">
        <v>6156</v>
      </c>
      <c r="D3733" t="s">
        <v>7146</v>
      </c>
      <c r="E3733" t="s">
        <v>15694</v>
      </c>
      <c r="F3733">
        <v>48</v>
      </c>
      <c r="G3733">
        <v>2192826</v>
      </c>
      <c r="H3733" t="s">
        <v>15695</v>
      </c>
      <c r="J3733" s="54" t="s">
        <v>6052</v>
      </c>
      <c r="K3733" s="54">
        <v>0</v>
      </c>
      <c r="L3733" s="22" t="s">
        <v>104</v>
      </c>
      <c r="M3733" s="22" t="s">
        <v>37161</v>
      </c>
    </row>
    <row r="3734" spans="1:13" x14ac:dyDescent="0.75">
      <c r="A3734" t="s">
        <v>15699</v>
      </c>
      <c r="B3734" t="s">
        <v>7145</v>
      </c>
      <c r="C3734" t="s">
        <v>6156</v>
      </c>
      <c r="D3734" t="s">
        <v>7146</v>
      </c>
      <c r="E3734" t="s">
        <v>15700</v>
      </c>
      <c r="F3734">
        <v>49</v>
      </c>
      <c r="G3734">
        <v>2172334</v>
      </c>
      <c r="H3734" t="s">
        <v>15701</v>
      </c>
      <c r="J3734" s="54" t="s">
        <v>6052</v>
      </c>
      <c r="K3734" s="54">
        <v>0</v>
      </c>
      <c r="L3734" s="22" t="s">
        <v>104</v>
      </c>
      <c r="M3734" s="22" t="s">
        <v>37161</v>
      </c>
    </row>
    <row r="3735" spans="1:13" x14ac:dyDescent="0.75">
      <c r="A3735" t="s">
        <v>15654</v>
      </c>
      <c r="B3735" t="s">
        <v>7145</v>
      </c>
      <c r="C3735" t="s">
        <v>6156</v>
      </c>
      <c r="D3735" t="s">
        <v>7146</v>
      </c>
      <c r="E3735" t="s">
        <v>15655</v>
      </c>
      <c r="F3735">
        <v>34</v>
      </c>
      <c r="G3735">
        <v>2260405</v>
      </c>
      <c r="H3735" t="s">
        <v>15656</v>
      </c>
      <c r="J3735" s="54" t="s">
        <v>6052</v>
      </c>
      <c r="K3735" s="54">
        <v>0</v>
      </c>
      <c r="L3735" s="22" t="s">
        <v>104</v>
      </c>
      <c r="M3735" s="22" t="s">
        <v>37161</v>
      </c>
    </row>
    <row r="3736" spans="1:13" x14ac:dyDescent="0.75">
      <c r="A3736" t="s">
        <v>15696</v>
      </c>
      <c r="B3736" t="s">
        <v>7145</v>
      </c>
      <c r="C3736" t="s">
        <v>6156</v>
      </c>
      <c r="D3736" t="s">
        <v>7146</v>
      </c>
      <c r="E3736" t="s">
        <v>15697</v>
      </c>
      <c r="F3736">
        <v>33</v>
      </c>
      <c r="G3736">
        <v>2185479</v>
      </c>
      <c r="H3736" t="s">
        <v>15698</v>
      </c>
      <c r="J3736" s="54" t="s">
        <v>6052</v>
      </c>
      <c r="K3736" s="54">
        <v>0</v>
      </c>
      <c r="L3736" s="22" t="s">
        <v>104</v>
      </c>
      <c r="M3736" s="22" t="s">
        <v>37161</v>
      </c>
    </row>
    <row r="3737" spans="1:13" x14ac:dyDescent="0.75">
      <c r="A3737" t="s">
        <v>15669</v>
      </c>
      <c r="B3737" t="s">
        <v>7145</v>
      </c>
      <c r="C3737" t="s">
        <v>6156</v>
      </c>
      <c r="D3737" t="s">
        <v>7146</v>
      </c>
      <c r="E3737" t="s">
        <v>15670</v>
      </c>
      <c r="F3737">
        <v>50</v>
      </c>
      <c r="G3737">
        <v>2303282</v>
      </c>
      <c r="H3737" t="s">
        <v>15671</v>
      </c>
      <c r="J3737" s="54" t="s">
        <v>6052</v>
      </c>
      <c r="K3737" s="54">
        <v>0</v>
      </c>
      <c r="L3737" s="22" t="s">
        <v>104</v>
      </c>
      <c r="M3737" s="22" t="s">
        <v>37161</v>
      </c>
    </row>
    <row r="3738" spans="1:13" x14ac:dyDescent="0.75">
      <c r="A3738" t="s">
        <v>15690</v>
      </c>
      <c r="B3738" t="s">
        <v>7145</v>
      </c>
      <c r="C3738" t="s">
        <v>6156</v>
      </c>
      <c r="D3738" t="s">
        <v>7146</v>
      </c>
      <c r="E3738" t="s">
        <v>15691</v>
      </c>
      <c r="F3738">
        <v>31</v>
      </c>
      <c r="G3738">
        <v>2138875</v>
      </c>
      <c r="H3738" t="s">
        <v>15692</v>
      </c>
      <c r="J3738" s="54" t="s">
        <v>6052</v>
      </c>
      <c r="K3738" s="54">
        <v>0</v>
      </c>
      <c r="L3738" s="22" t="s">
        <v>104</v>
      </c>
      <c r="M3738" s="22" t="s">
        <v>37161</v>
      </c>
    </row>
    <row r="3739" spans="1:13" x14ac:dyDescent="0.75">
      <c r="A3739" t="s">
        <v>15702</v>
      </c>
      <c r="B3739" t="s">
        <v>7145</v>
      </c>
      <c r="C3739" t="s">
        <v>6156</v>
      </c>
      <c r="D3739" t="s">
        <v>7146</v>
      </c>
      <c r="E3739" t="s">
        <v>15703</v>
      </c>
      <c r="F3739">
        <v>17</v>
      </c>
      <c r="G3739">
        <v>2168597</v>
      </c>
      <c r="H3739" t="s">
        <v>15704</v>
      </c>
      <c r="J3739" s="54" t="s">
        <v>6052</v>
      </c>
      <c r="K3739" s="54">
        <v>0</v>
      </c>
      <c r="L3739" s="22" t="s">
        <v>104</v>
      </c>
      <c r="M3739" s="22" t="s">
        <v>37161</v>
      </c>
    </row>
    <row r="3740" spans="1:13" x14ac:dyDescent="0.75">
      <c r="A3740" t="s">
        <v>29104</v>
      </c>
      <c r="B3740" t="s">
        <v>11505</v>
      </c>
      <c r="C3740" t="s">
        <v>11506</v>
      </c>
      <c r="D3740" t="s">
        <v>11507</v>
      </c>
      <c r="E3740" t="s">
        <v>29105</v>
      </c>
      <c r="F3740">
        <v>100</v>
      </c>
      <c r="G3740">
        <v>1785088</v>
      </c>
      <c r="H3740" t="s">
        <v>29106</v>
      </c>
      <c r="J3740" s="54" t="s">
        <v>6052</v>
      </c>
      <c r="K3740" s="54">
        <v>0</v>
      </c>
      <c r="L3740" s="22" t="s">
        <v>36807</v>
      </c>
      <c r="M3740" s="22" t="s">
        <v>37105</v>
      </c>
    </row>
    <row r="3741" spans="1:13" x14ac:dyDescent="0.75">
      <c r="A3741" t="s">
        <v>27893</v>
      </c>
      <c r="B3741" t="s">
        <v>11505</v>
      </c>
      <c r="C3741" t="s">
        <v>11506</v>
      </c>
      <c r="D3741" t="s">
        <v>11507</v>
      </c>
      <c r="E3741" t="s">
        <v>27894</v>
      </c>
      <c r="F3741">
        <v>26</v>
      </c>
      <c r="G3741">
        <v>1877010</v>
      </c>
      <c r="H3741" t="s">
        <v>27895</v>
      </c>
      <c r="J3741" s="54" t="s">
        <v>6052</v>
      </c>
      <c r="K3741" s="54">
        <v>0</v>
      </c>
      <c r="L3741" s="22" t="s">
        <v>36807</v>
      </c>
      <c r="M3741" s="22" t="s">
        <v>37105</v>
      </c>
    </row>
    <row r="3742" spans="1:13" x14ac:dyDescent="0.75">
      <c r="A3742" t="s">
        <v>11510</v>
      </c>
      <c r="B3742" t="s">
        <v>11505</v>
      </c>
      <c r="C3742" t="s">
        <v>11506</v>
      </c>
      <c r="D3742" t="s">
        <v>11507</v>
      </c>
      <c r="E3742" t="s">
        <v>11511</v>
      </c>
      <c r="F3742">
        <v>1</v>
      </c>
      <c r="G3742">
        <v>1860551</v>
      </c>
      <c r="H3742" t="s">
        <v>11512</v>
      </c>
      <c r="J3742" s="54" t="s">
        <v>6052</v>
      </c>
      <c r="K3742" s="54">
        <v>0</v>
      </c>
      <c r="L3742" s="22" t="s">
        <v>36807</v>
      </c>
      <c r="M3742" s="22" t="s">
        <v>37105</v>
      </c>
    </row>
    <row r="3743" spans="1:13" x14ac:dyDescent="0.75">
      <c r="A3743" t="s">
        <v>11504</v>
      </c>
      <c r="B3743" t="s">
        <v>11505</v>
      </c>
      <c r="C3743" t="s">
        <v>11506</v>
      </c>
      <c r="D3743" t="s">
        <v>11507</v>
      </c>
      <c r="E3743" t="s">
        <v>11508</v>
      </c>
      <c r="F3743">
        <v>1</v>
      </c>
      <c r="G3743">
        <v>1915154</v>
      </c>
      <c r="H3743" t="s">
        <v>11509</v>
      </c>
      <c r="J3743" s="54" t="s">
        <v>6052</v>
      </c>
      <c r="K3743" s="54">
        <v>0</v>
      </c>
      <c r="L3743" s="22" t="s">
        <v>36807</v>
      </c>
      <c r="M3743" s="22" t="s">
        <v>37105</v>
      </c>
    </row>
    <row r="3744" spans="1:13" x14ac:dyDescent="0.75">
      <c r="A3744" t="s">
        <v>30196</v>
      </c>
      <c r="B3744" t="s">
        <v>11505</v>
      </c>
      <c r="C3744" t="s">
        <v>11506</v>
      </c>
      <c r="D3744" t="s">
        <v>11507</v>
      </c>
      <c r="E3744" t="s">
        <v>30197</v>
      </c>
      <c r="F3744">
        <v>64</v>
      </c>
      <c r="G3744">
        <v>1816676</v>
      </c>
      <c r="H3744" t="s">
        <v>30198</v>
      </c>
      <c r="J3744" s="54" t="s">
        <v>6052</v>
      </c>
      <c r="K3744" s="54">
        <v>0</v>
      </c>
      <c r="L3744" s="22" t="s">
        <v>36807</v>
      </c>
      <c r="M3744" s="22" t="s">
        <v>37105</v>
      </c>
    </row>
    <row r="3745" spans="1:13" x14ac:dyDescent="0.75">
      <c r="A3745" t="s">
        <v>16633</v>
      </c>
      <c r="B3745" t="s">
        <v>7723</v>
      </c>
      <c r="C3745" t="s">
        <v>7724</v>
      </c>
      <c r="D3745" t="s">
        <v>7725</v>
      </c>
      <c r="E3745" t="s">
        <v>16634</v>
      </c>
      <c r="F3745">
        <v>77</v>
      </c>
      <c r="G3745">
        <v>2551787</v>
      </c>
      <c r="H3745" t="s">
        <v>16635</v>
      </c>
      <c r="J3745" s="54" t="s">
        <v>6052</v>
      </c>
      <c r="K3745" s="54">
        <v>0</v>
      </c>
      <c r="L3745" s="22" t="s">
        <v>144</v>
      </c>
      <c r="M3745" s="22" t="s">
        <v>37106</v>
      </c>
    </row>
    <row r="3746" spans="1:13" x14ac:dyDescent="0.75">
      <c r="A3746" t="s">
        <v>17636</v>
      </c>
      <c r="B3746" t="s">
        <v>7723</v>
      </c>
      <c r="C3746" t="s">
        <v>7724</v>
      </c>
      <c r="D3746" t="s">
        <v>7725</v>
      </c>
      <c r="E3746" t="s">
        <v>16634</v>
      </c>
      <c r="F3746">
        <v>67</v>
      </c>
      <c r="G3746">
        <v>2498872</v>
      </c>
      <c r="H3746" t="s">
        <v>17637</v>
      </c>
      <c r="J3746" s="54" t="s">
        <v>6052</v>
      </c>
      <c r="K3746" s="54">
        <v>0</v>
      </c>
      <c r="L3746" s="22" t="s">
        <v>144</v>
      </c>
      <c r="M3746" s="22" t="s">
        <v>37106</v>
      </c>
    </row>
    <row r="3747" spans="1:13" x14ac:dyDescent="0.75">
      <c r="A3747" t="s">
        <v>20747</v>
      </c>
      <c r="B3747" t="s">
        <v>7723</v>
      </c>
      <c r="C3747" t="s">
        <v>7724</v>
      </c>
      <c r="D3747" t="s">
        <v>7725</v>
      </c>
      <c r="E3747" t="s">
        <v>16634</v>
      </c>
      <c r="F3747">
        <v>2</v>
      </c>
      <c r="G3747">
        <v>2537205</v>
      </c>
      <c r="H3747" t="s">
        <v>20748</v>
      </c>
      <c r="J3747" s="54" t="s">
        <v>6052</v>
      </c>
      <c r="K3747" s="54">
        <v>0</v>
      </c>
      <c r="L3747" s="22" t="s">
        <v>144</v>
      </c>
      <c r="M3747" s="22" t="s">
        <v>37106</v>
      </c>
    </row>
    <row r="3748" spans="1:13" x14ac:dyDescent="0.75">
      <c r="A3748" t="s">
        <v>8869</v>
      </c>
      <c r="B3748" t="s">
        <v>7723</v>
      </c>
      <c r="C3748" t="s">
        <v>7724</v>
      </c>
      <c r="D3748" t="s">
        <v>7725</v>
      </c>
      <c r="E3748" t="s">
        <v>8870</v>
      </c>
      <c r="F3748">
        <v>4</v>
      </c>
      <c r="G3748">
        <v>2563168</v>
      </c>
      <c r="H3748" t="s">
        <v>8871</v>
      </c>
      <c r="J3748" s="54" t="s">
        <v>6052</v>
      </c>
      <c r="K3748" s="54">
        <v>0</v>
      </c>
      <c r="L3748" s="22" t="s">
        <v>144</v>
      </c>
      <c r="M3748" s="22" t="s">
        <v>37106</v>
      </c>
    </row>
    <row r="3749" spans="1:13" x14ac:dyDescent="0.75">
      <c r="A3749" t="s">
        <v>11663</v>
      </c>
      <c r="B3749" t="s">
        <v>8367</v>
      </c>
      <c r="C3749" t="s">
        <v>7724</v>
      </c>
      <c r="D3749" t="s">
        <v>8368</v>
      </c>
      <c r="E3749" t="s">
        <v>11664</v>
      </c>
      <c r="F3749">
        <v>255</v>
      </c>
      <c r="G3749">
        <v>3081674</v>
      </c>
      <c r="H3749" t="s">
        <v>11665</v>
      </c>
      <c r="J3749" s="54" t="s">
        <v>6052</v>
      </c>
      <c r="K3749" s="54">
        <v>0</v>
      </c>
      <c r="L3749" s="22" t="s">
        <v>144</v>
      </c>
      <c r="M3749" s="22" t="s">
        <v>37107</v>
      </c>
    </row>
    <row r="3750" spans="1:13" x14ac:dyDescent="0.75">
      <c r="A3750" t="s">
        <v>11641</v>
      </c>
      <c r="B3750" t="s">
        <v>8419</v>
      </c>
      <c r="C3750" t="s">
        <v>7724</v>
      </c>
      <c r="D3750" t="s">
        <v>8420</v>
      </c>
      <c r="E3750" t="s">
        <v>11642</v>
      </c>
      <c r="F3750">
        <v>122</v>
      </c>
      <c r="G3750">
        <v>3006215</v>
      </c>
      <c r="H3750" t="s">
        <v>11643</v>
      </c>
      <c r="J3750" s="54" t="s">
        <v>6052</v>
      </c>
      <c r="K3750" s="54">
        <v>0</v>
      </c>
      <c r="L3750" s="22" t="s">
        <v>144</v>
      </c>
      <c r="M3750" s="22" t="s">
        <v>37108</v>
      </c>
    </row>
    <row r="3751" spans="1:13" x14ac:dyDescent="0.75">
      <c r="A3751" t="s">
        <v>11674</v>
      </c>
      <c r="B3751" t="s">
        <v>11562</v>
      </c>
      <c r="C3751" t="s">
        <v>7724</v>
      </c>
      <c r="D3751" t="s">
        <v>11563</v>
      </c>
      <c r="E3751" t="s">
        <v>11675</v>
      </c>
      <c r="F3751">
        <v>98</v>
      </c>
      <c r="G3751">
        <v>2854844</v>
      </c>
      <c r="H3751" t="s">
        <v>11676</v>
      </c>
      <c r="J3751" s="54" t="s">
        <v>6052</v>
      </c>
      <c r="K3751" s="54">
        <v>0</v>
      </c>
      <c r="L3751" s="22" t="s">
        <v>144</v>
      </c>
      <c r="M3751" s="22" t="s">
        <v>37109</v>
      </c>
    </row>
    <row r="3752" spans="1:13" x14ac:dyDescent="0.75">
      <c r="A3752" t="s">
        <v>11652</v>
      </c>
      <c r="B3752" t="s">
        <v>7723</v>
      </c>
      <c r="C3752" t="s">
        <v>7724</v>
      </c>
      <c r="D3752" t="s">
        <v>7725</v>
      </c>
      <c r="E3752" t="s">
        <v>11653</v>
      </c>
      <c r="F3752">
        <v>90</v>
      </c>
      <c r="G3752">
        <v>2446657</v>
      </c>
      <c r="H3752" t="s">
        <v>11654</v>
      </c>
      <c r="J3752" s="54" t="s">
        <v>6052</v>
      </c>
      <c r="K3752" s="54">
        <v>0</v>
      </c>
      <c r="L3752" s="22" t="s">
        <v>144</v>
      </c>
      <c r="M3752" s="22" t="s">
        <v>37106</v>
      </c>
    </row>
    <row r="3753" spans="1:13" x14ac:dyDescent="0.75">
      <c r="A3753" t="s">
        <v>24904</v>
      </c>
      <c r="B3753" t="s">
        <v>7723</v>
      </c>
      <c r="C3753" t="s">
        <v>7724</v>
      </c>
      <c r="D3753" t="s">
        <v>7725</v>
      </c>
      <c r="E3753" t="s">
        <v>24905</v>
      </c>
      <c r="F3753">
        <v>8</v>
      </c>
      <c r="G3753">
        <v>2365130</v>
      </c>
      <c r="H3753" t="s">
        <v>24906</v>
      </c>
      <c r="J3753" s="54" t="s">
        <v>6052</v>
      </c>
      <c r="K3753" s="54">
        <v>0</v>
      </c>
      <c r="L3753" s="22" t="s">
        <v>144</v>
      </c>
      <c r="M3753" s="22" t="s">
        <v>37106</v>
      </c>
    </row>
    <row r="3754" spans="1:13" x14ac:dyDescent="0.75">
      <c r="A3754" t="s">
        <v>8418</v>
      </c>
      <c r="B3754" t="s">
        <v>8419</v>
      </c>
      <c r="C3754" t="s">
        <v>7724</v>
      </c>
      <c r="D3754" t="s">
        <v>8420</v>
      </c>
      <c r="E3754" t="s">
        <v>8421</v>
      </c>
      <c r="F3754">
        <v>285</v>
      </c>
      <c r="G3754">
        <v>2987059</v>
      </c>
      <c r="H3754" t="s">
        <v>8422</v>
      </c>
      <c r="J3754" s="54" t="s">
        <v>6052</v>
      </c>
      <c r="K3754" s="54">
        <v>0</v>
      </c>
      <c r="L3754" s="22" t="s">
        <v>144</v>
      </c>
      <c r="M3754" s="22" t="s">
        <v>37108</v>
      </c>
    </row>
    <row r="3755" spans="1:13" x14ac:dyDescent="0.75">
      <c r="A3755" t="s">
        <v>8366</v>
      </c>
      <c r="B3755" t="s">
        <v>8367</v>
      </c>
      <c r="C3755" t="s">
        <v>7724</v>
      </c>
      <c r="D3755" t="s">
        <v>8368</v>
      </c>
      <c r="E3755" t="s">
        <v>8369</v>
      </c>
      <c r="F3755">
        <v>212</v>
      </c>
      <c r="G3755">
        <v>2854910</v>
      </c>
      <c r="H3755" t="s">
        <v>8370</v>
      </c>
      <c r="J3755" s="54" t="s">
        <v>6052</v>
      </c>
      <c r="K3755" s="54">
        <v>0</v>
      </c>
      <c r="L3755" s="22" t="s">
        <v>144</v>
      </c>
      <c r="M3755" s="22" t="s">
        <v>37107</v>
      </c>
    </row>
    <row r="3756" spans="1:13" x14ac:dyDescent="0.75">
      <c r="A3756" t="s">
        <v>16798</v>
      </c>
      <c r="B3756" t="s">
        <v>8367</v>
      </c>
      <c r="C3756" t="s">
        <v>7724</v>
      </c>
      <c r="D3756" t="s">
        <v>8368</v>
      </c>
      <c r="E3756" t="s">
        <v>16799</v>
      </c>
      <c r="F3756">
        <v>90</v>
      </c>
      <c r="G3756">
        <v>2963205</v>
      </c>
      <c r="H3756" t="s">
        <v>16800</v>
      </c>
      <c r="J3756" s="54" t="s">
        <v>6052</v>
      </c>
      <c r="K3756" s="54">
        <v>0</v>
      </c>
      <c r="L3756" s="22" t="s">
        <v>144</v>
      </c>
      <c r="M3756" s="22" t="s">
        <v>37107</v>
      </c>
    </row>
    <row r="3757" spans="1:13" x14ac:dyDescent="0.75">
      <c r="A3757" t="s">
        <v>11555</v>
      </c>
      <c r="B3757" t="s">
        <v>8367</v>
      </c>
      <c r="C3757" t="s">
        <v>7724</v>
      </c>
      <c r="D3757" t="s">
        <v>8368</v>
      </c>
      <c r="E3757" t="s">
        <v>11556</v>
      </c>
      <c r="F3757">
        <v>236</v>
      </c>
      <c r="G3757">
        <v>3101821</v>
      </c>
      <c r="H3757" t="s">
        <v>11557</v>
      </c>
      <c r="J3757" s="54" t="s">
        <v>6052</v>
      </c>
      <c r="K3757" s="54">
        <v>0</v>
      </c>
      <c r="L3757" s="22" t="s">
        <v>144</v>
      </c>
      <c r="M3757" s="22" t="s">
        <v>37107</v>
      </c>
    </row>
    <row r="3758" spans="1:13" x14ac:dyDescent="0.75">
      <c r="A3758" t="s">
        <v>11558</v>
      </c>
      <c r="B3758" t="s">
        <v>8419</v>
      </c>
      <c r="C3758" t="s">
        <v>7724</v>
      </c>
      <c r="D3758" t="s">
        <v>8420</v>
      </c>
      <c r="E3758" t="s">
        <v>11559</v>
      </c>
      <c r="F3758">
        <v>108</v>
      </c>
      <c r="G3758">
        <v>3009421</v>
      </c>
      <c r="H3758" t="s">
        <v>11560</v>
      </c>
      <c r="J3758" s="54" t="s">
        <v>6052</v>
      </c>
      <c r="K3758" s="54">
        <v>0</v>
      </c>
      <c r="L3758" s="22" t="s">
        <v>144</v>
      </c>
      <c r="M3758" s="22" t="s">
        <v>37108</v>
      </c>
    </row>
    <row r="3759" spans="1:13" x14ac:dyDescent="0.75">
      <c r="A3759" t="s">
        <v>11561</v>
      </c>
      <c r="B3759" t="s">
        <v>11562</v>
      </c>
      <c r="C3759" t="s">
        <v>7724</v>
      </c>
      <c r="D3759" t="s">
        <v>11563</v>
      </c>
      <c r="E3759" t="s">
        <v>11564</v>
      </c>
      <c r="F3759">
        <v>105</v>
      </c>
      <c r="G3759">
        <v>2844001</v>
      </c>
      <c r="H3759" t="s">
        <v>11565</v>
      </c>
      <c r="J3759" s="54" t="s">
        <v>6052</v>
      </c>
      <c r="K3759" s="54">
        <v>0</v>
      </c>
      <c r="L3759" s="22" t="s">
        <v>144</v>
      </c>
      <c r="M3759" s="22" t="s">
        <v>37109</v>
      </c>
    </row>
    <row r="3760" spans="1:13" x14ac:dyDescent="0.75">
      <c r="A3760" t="s">
        <v>17633</v>
      </c>
      <c r="B3760" t="s">
        <v>7723</v>
      </c>
      <c r="C3760" t="s">
        <v>7724</v>
      </c>
      <c r="D3760" t="s">
        <v>7725</v>
      </c>
      <c r="E3760" t="s">
        <v>17634</v>
      </c>
      <c r="F3760">
        <v>20</v>
      </c>
      <c r="G3760">
        <v>2761436</v>
      </c>
      <c r="H3760" t="s">
        <v>17635</v>
      </c>
      <c r="J3760" s="54" t="s">
        <v>6052</v>
      </c>
      <c r="K3760" s="54">
        <v>0</v>
      </c>
      <c r="L3760" s="22" t="s">
        <v>144</v>
      </c>
      <c r="M3760" s="22" t="s">
        <v>37106</v>
      </c>
    </row>
    <row r="3761" spans="1:13" x14ac:dyDescent="0.75">
      <c r="A3761" t="s">
        <v>17348</v>
      </c>
      <c r="B3761" t="s">
        <v>7723</v>
      </c>
      <c r="C3761" t="s">
        <v>7724</v>
      </c>
      <c r="D3761" t="s">
        <v>7725</v>
      </c>
      <c r="E3761" t="s">
        <v>17349</v>
      </c>
      <c r="F3761">
        <v>4</v>
      </c>
      <c r="G3761">
        <v>2583542</v>
      </c>
      <c r="H3761" t="s">
        <v>17350</v>
      </c>
      <c r="J3761" s="54" t="s">
        <v>6052</v>
      </c>
      <c r="K3761" s="54">
        <v>0</v>
      </c>
      <c r="L3761" s="22" t="s">
        <v>144</v>
      </c>
      <c r="M3761" s="22" t="s">
        <v>37106</v>
      </c>
    </row>
    <row r="3762" spans="1:13" x14ac:dyDescent="0.75">
      <c r="A3762" t="s">
        <v>28366</v>
      </c>
      <c r="B3762" t="s">
        <v>8367</v>
      </c>
      <c r="C3762" t="s">
        <v>7724</v>
      </c>
      <c r="D3762" t="s">
        <v>8368</v>
      </c>
      <c r="E3762" t="s">
        <v>28367</v>
      </c>
      <c r="F3762">
        <v>212</v>
      </c>
      <c r="G3762">
        <v>2852137</v>
      </c>
      <c r="H3762" t="s">
        <v>28368</v>
      </c>
      <c r="J3762" s="54" t="s">
        <v>6052</v>
      </c>
      <c r="K3762" s="54">
        <v>0</v>
      </c>
      <c r="L3762" s="22" t="s">
        <v>144</v>
      </c>
      <c r="M3762" s="22" t="s">
        <v>37107</v>
      </c>
    </row>
    <row r="3763" spans="1:13" x14ac:dyDescent="0.75">
      <c r="A3763" t="s">
        <v>17218</v>
      </c>
      <c r="B3763" t="s">
        <v>11562</v>
      </c>
      <c r="C3763" t="s">
        <v>7724</v>
      </c>
      <c r="D3763" t="s">
        <v>11563</v>
      </c>
      <c r="E3763" t="s">
        <v>17219</v>
      </c>
      <c r="F3763">
        <v>166</v>
      </c>
      <c r="G3763">
        <v>2833656</v>
      </c>
      <c r="H3763" t="s">
        <v>17220</v>
      </c>
      <c r="J3763" s="54" t="s">
        <v>6052</v>
      </c>
      <c r="K3763" s="54">
        <v>0</v>
      </c>
      <c r="L3763" s="22" t="s">
        <v>144</v>
      </c>
      <c r="M3763" s="22" t="s">
        <v>37109</v>
      </c>
    </row>
    <row r="3764" spans="1:13" x14ac:dyDescent="0.75">
      <c r="A3764" t="s">
        <v>7722</v>
      </c>
      <c r="B3764" t="s">
        <v>7723</v>
      </c>
      <c r="C3764" t="s">
        <v>7724</v>
      </c>
      <c r="D3764" t="s">
        <v>7725</v>
      </c>
      <c r="E3764" t="s">
        <v>7726</v>
      </c>
      <c r="F3764">
        <v>4</v>
      </c>
      <c r="G3764">
        <v>2588309</v>
      </c>
      <c r="H3764" t="s">
        <v>7727</v>
      </c>
      <c r="J3764" s="54" t="s">
        <v>6052</v>
      </c>
      <c r="K3764" s="54">
        <v>0</v>
      </c>
      <c r="L3764" s="22" t="s">
        <v>144</v>
      </c>
      <c r="M3764" s="22" t="s">
        <v>37106</v>
      </c>
    </row>
    <row r="3765" spans="1:13" x14ac:dyDescent="0.75">
      <c r="A3765" t="s">
        <v>23289</v>
      </c>
      <c r="B3765" t="s">
        <v>7723</v>
      </c>
      <c r="C3765" t="s">
        <v>7724</v>
      </c>
      <c r="D3765" t="s">
        <v>7725</v>
      </c>
      <c r="E3765" t="s">
        <v>23290</v>
      </c>
      <c r="F3765">
        <v>3</v>
      </c>
      <c r="G3765">
        <v>2534159</v>
      </c>
      <c r="H3765" t="s">
        <v>23291</v>
      </c>
      <c r="J3765" s="54" t="s">
        <v>6052</v>
      </c>
      <c r="K3765" s="54">
        <v>0</v>
      </c>
      <c r="L3765" s="22" t="s">
        <v>144</v>
      </c>
      <c r="M3765" s="22" t="s">
        <v>37106</v>
      </c>
    </row>
    <row r="3766" spans="1:13" x14ac:dyDescent="0.75">
      <c r="A3766" t="s">
        <v>15687</v>
      </c>
      <c r="B3766" t="s">
        <v>7145</v>
      </c>
      <c r="C3766" t="s">
        <v>6156</v>
      </c>
      <c r="D3766" t="s">
        <v>7146</v>
      </c>
      <c r="E3766" t="s">
        <v>15688</v>
      </c>
      <c r="F3766">
        <v>27</v>
      </c>
      <c r="G3766">
        <v>2226877</v>
      </c>
      <c r="H3766" t="s">
        <v>15689</v>
      </c>
      <c r="J3766" s="54" t="s">
        <v>6052</v>
      </c>
      <c r="K3766" s="54">
        <v>0</v>
      </c>
      <c r="L3766" s="22" t="s">
        <v>104</v>
      </c>
      <c r="M3766" s="22" t="s">
        <v>37161</v>
      </c>
    </row>
    <row r="3767" spans="1:13" x14ac:dyDescent="0.75">
      <c r="A3767" t="s">
        <v>15678</v>
      </c>
      <c r="B3767" t="s">
        <v>7145</v>
      </c>
      <c r="C3767" t="s">
        <v>6156</v>
      </c>
      <c r="D3767" t="s">
        <v>7146</v>
      </c>
      <c r="E3767" t="s">
        <v>15679</v>
      </c>
      <c r="F3767">
        <v>34</v>
      </c>
      <c r="G3767">
        <v>2272111</v>
      </c>
      <c r="H3767" t="s">
        <v>15680</v>
      </c>
      <c r="J3767" s="54" t="s">
        <v>6052</v>
      </c>
      <c r="K3767" s="54">
        <v>0</v>
      </c>
      <c r="L3767" s="22" t="s">
        <v>104</v>
      </c>
      <c r="M3767" s="22" t="s">
        <v>37161</v>
      </c>
    </row>
    <row r="3768" spans="1:13" x14ac:dyDescent="0.75">
      <c r="A3768" t="s">
        <v>15786</v>
      </c>
      <c r="B3768" t="s">
        <v>7145</v>
      </c>
      <c r="C3768" t="s">
        <v>6156</v>
      </c>
      <c r="D3768" t="s">
        <v>7146</v>
      </c>
      <c r="E3768" t="s">
        <v>15787</v>
      </c>
      <c r="F3768">
        <v>19</v>
      </c>
      <c r="G3768">
        <v>2194463</v>
      </c>
      <c r="H3768" t="s">
        <v>15788</v>
      </c>
      <c r="J3768" s="54" t="s">
        <v>6052</v>
      </c>
      <c r="K3768" s="54">
        <v>0</v>
      </c>
      <c r="L3768" s="22" t="s">
        <v>104</v>
      </c>
      <c r="M3768" s="22" t="s">
        <v>37161</v>
      </c>
    </row>
    <row r="3769" spans="1:13" x14ac:dyDescent="0.75">
      <c r="A3769" t="s">
        <v>15651</v>
      </c>
      <c r="B3769" t="s">
        <v>7145</v>
      </c>
      <c r="C3769" t="s">
        <v>6156</v>
      </c>
      <c r="D3769" t="s">
        <v>7146</v>
      </c>
      <c r="E3769" t="s">
        <v>15652</v>
      </c>
      <c r="F3769">
        <v>36</v>
      </c>
      <c r="G3769">
        <v>2240538</v>
      </c>
      <c r="H3769" t="s">
        <v>15653</v>
      </c>
      <c r="J3769" s="54" t="s">
        <v>6052</v>
      </c>
      <c r="K3769" s="54">
        <v>0</v>
      </c>
      <c r="L3769" s="22" t="s">
        <v>104</v>
      </c>
      <c r="M3769" s="22" t="s">
        <v>37161</v>
      </c>
    </row>
    <row r="3770" spans="1:13" x14ac:dyDescent="0.75">
      <c r="A3770" t="s">
        <v>15729</v>
      </c>
      <c r="B3770" t="s">
        <v>7145</v>
      </c>
      <c r="C3770" t="s">
        <v>6156</v>
      </c>
      <c r="D3770" t="s">
        <v>7146</v>
      </c>
      <c r="E3770" t="s">
        <v>15730</v>
      </c>
      <c r="F3770">
        <v>37</v>
      </c>
      <c r="G3770">
        <v>2174338</v>
      </c>
      <c r="H3770" t="s">
        <v>15731</v>
      </c>
      <c r="J3770" s="54" t="s">
        <v>6052</v>
      </c>
      <c r="K3770" s="54">
        <v>0</v>
      </c>
      <c r="L3770" s="22" t="s">
        <v>104</v>
      </c>
      <c r="M3770" s="22" t="s">
        <v>37161</v>
      </c>
    </row>
    <row r="3771" spans="1:13" x14ac:dyDescent="0.75">
      <c r="A3771" t="s">
        <v>15666</v>
      </c>
      <c r="B3771" t="s">
        <v>7145</v>
      </c>
      <c r="C3771" t="s">
        <v>6156</v>
      </c>
      <c r="D3771" t="s">
        <v>7146</v>
      </c>
      <c r="E3771" t="s">
        <v>15667</v>
      </c>
      <c r="F3771">
        <v>33</v>
      </c>
      <c r="G3771">
        <v>2189734</v>
      </c>
      <c r="H3771" t="s">
        <v>15668</v>
      </c>
      <c r="J3771" s="54" t="s">
        <v>6052</v>
      </c>
      <c r="K3771" s="54">
        <v>0</v>
      </c>
      <c r="L3771" s="22" t="s">
        <v>104</v>
      </c>
      <c r="M3771" s="22" t="s">
        <v>37161</v>
      </c>
    </row>
    <row r="3772" spans="1:13" x14ac:dyDescent="0.75">
      <c r="A3772" t="s">
        <v>9832</v>
      </c>
      <c r="B3772" t="s">
        <v>9833</v>
      </c>
      <c r="C3772" t="s">
        <v>9834</v>
      </c>
      <c r="D3772" t="s">
        <v>9835</v>
      </c>
      <c r="E3772" t="s">
        <v>9836</v>
      </c>
      <c r="F3772">
        <v>139</v>
      </c>
      <c r="G3772">
        <v>2473047</v>
      </c>
      <c r="H3772" t="s">
        <v>9837</v>
      </c>
      <c r="J3772" s="54" t="s">
        <v>6052</v>
      </c>
      <c r="K3772" s="54">
        <v>0</v>
      </c>
      <c r="L3772" s="22" t="s">
        <v>144</v>
      </c>
      <c r="M3772" s="22" t="s">
        <v>37110</v>
      </c>
    </row>
    <row r="3773" spans="1:13" x14ac:dyDescent="0.75">
      <c r="A3773" t="s">
        <v>11625</v>
      </c>
      <c r="B3773" t="s">
        <v>9833</v>
      </c>
      <c r="C3773" t="s">
        <v>9834</v>
      </c>
      <c r="D3773" t="s">
        <v>9835</v>
      </c>
      <c r="E3773" t="s">
        <v>11626</v>
      </c>
      <c r="F3773">
        <v>27</v>
      </c>
      <c r="G3773">
        <v>2474438</v>
      </c>
      <c r="H3773" t="s">
        <v>11627</v>
      </c>
      <c r="J3773" s="54" t="s">
        <v>6052</v>
      </c>
      <c r="K3773" s="54">
        <v>0</v>
      </c>
      <c r="L3773" s="22" t="s">
        <v>144</v>
      </c>
      <c r="M3773" s="22" t="s">
        <v>37110</v>
      </c>
    </row>
    <row r="3774" spans="1:13" x14ac:dyDescent="0.75">
      <c r="A3774" t="s">
        <v>16050</v>
      </c>
      <c r="B3774" t="s">
        <v>9833</v>
      </c>
      <c r="C3774" t="s">
        <v>9834</v>
      </c>
      <c r="D3774" t="s">
        <v>9835</v>
      </c>
      <c r="E3774" t="s">
        <v>16051</v>
      </c>
      <c r="F3774">
        <v>3</v>
      </c>
      <c r="G3774">
        <v>2529623</v>
      </c>
      <c r="H3774" t="s">
        <v>16052</v>
      </c>
      <c r="J3774" s="54" t="s">
        <v>6052</v>
      </c>
      <c r="K3774" s="54">
        <v>0</v>
      </c>
      <c r="L3774" s="22" t="s">
        <v>144</v>
      </c>
      <c r="M3774" s="22" t="s">
        <v>37110</v>
      </c>
    </row>
    <row r="3775" spans="1:13" x14ac:dyDescent="0.75">
      <c r="A3775" t="s">
        <v>27714</v>
      </c>
      <c r="B3775" t="s">
        <v>9833</v>
      </c>
      <c r="C3775" t="s">
        <v>9834</v>
      </c>
      <c r="D3775" t="s">
        <v>9835</v>
      </c>
      <c r="E3775" t="s">
        <v>27715</v>
      </c>
      <c r="F3775">
        <v>1</v>
      </c>
      <c r="G3775">
        <v>2494328</v>
      </c>
      <c r="H3775" t="s">
        <v>27716</v>
      </c>
      <c r="J3775" s="54" t="s">
        <v>6052</v>
      </c>
      <c r="K3775" s="54">
        <v>0</v>
      </c>
      <c r="L3775" s="22" t="s">
        <v>144</v>
      </c>
      <c r="M3775" s="22" t="s">
        <v>37110</v>
      </c>
    </row>
    <row r="3776" spans="1:13" x14ac:dyDescent="0.75">
      <c r="A3776" t="s">
        <v>19074</v>
      </c>
      <c r="B3776" t="s">
        <v>9833</v>
      </c>
      <c r="C3776" t="s">
        <v>9834</v>
      </c>
      <c r="D3776" t="s">
        <v>9835</v>
      </c>
      <c r="E3776" t="s">
        <v>19075</v>
      </c>
      <c r="F3776">
        <v>8</v>
      </c>
      <c r="G3776">
        <v>2616331</v>
      </c>
      <c r="H3776" t="s">
        <v>19076</v>
      </c>
      <c r="J3776" s="54" t="s">
        <v>6052</v>
      </c>
      <c r="K3776" s="54">
        <v>0</v>
      </c>
      <c r="L3776" s="22" t="s">
        <v>144</v>
      </c>
      <c r="M3776" s="22" t="s">
        <v>37110</v>
      </c>
    </row>
    <row r="3777" spans="1:13" x14ac:dyDescent="0.75">
      <c r="A3777" t="s">
        <v>24164</v>
      </c>
      <c r="B3777" t="s">
        <v>9833</v>
      </c>
      <c r="C3777" t="s">
        <v>9834</v>
      </c>
      <c r="D3777" t="s">
        <v>9835</v>
      </c>
      <c r="E3777" t="s">
        <v>24165</v>
      </c>
      <c r="F3777">
        <v>5</v>
      </c>
      <c r="G3777">
        <v>2628394</v>
      </c>
      <c r="H3777" t="s">
        <v>24166</v>
      </c>
      <c r="J3777" s="54" t="s">
        <v>6052</v>
      </c>
      <c r="K3777" s="54">
        <v>0</v>
      </c>
      <c r="L3777" s="22" t="s">
        <v>144</v>
      </c>
      <c r="M3777" s="22" t="s">
        <v>37110</v>
      </c>
    </row>
    <row r="3778" spans="1:13" x14ac:dyDescent="0.75">
      <c r="A3778" t="s">
        <v>16943</v>
      </c>
      <c r="B3778" t="s">
        <v>9833</v>
      </c>
      <c r="C3778" t="s">
        <v>9834</v>
      </c>
      <c r="D3778" t="s">
        <v>9835</v>
      </c>
      <c r="E3778" t="s">
        <v>16944</v>
      </c>
      <c r="F3778">
        <v>6</v>
      </c>
      <c r="G3778">
        <v>2416054</v>
      </c>
      <c r="H3778" t="s">
        <v>16945</v>
      </c>
      <c r="J3778" s="54" t="s">
        <v>6052</v>
      </c>
      <c r="K3778" s="54">
        <v>0</v>
      </c>
      <c r="L3778" s="22" t="s">
        <v>144</v>
      </c>
      <c r="M3778" s="22" t="s">
        <v>37110</v>
      </c>
    </row>
    <row r="3779" spans="1:13" x14ac:dyDescent="0.75">
      <c r="A3779" t="s">
        <v>16940</v>
      </c>
      <c r="B3779" t="s">
        <v>9833</v>
      </c>
      <c r="C3779" t="s">
        <v>9834</v>
      </c>
      <c r="D3779" t="s">
        <v>9835</v>
      </c>
      <c r="E3779" t="s">
        <v>16941</v>
      </c>
      <c r="F3779">
        <v>3</v>
      </c>
      <c r="G3779">
        <v>2528774</v>
      </c>
      <c r="H3779" t="s">
        <v>16942</v>
      </c>
      <c r="J3779" s="54" t="s">
        <v>6052</v>
      </c>
      <c r="K3779" s="54">
        <v>0</v>
      </c>
      <c r="L3779" s="22" t="s">
        <v>144</v>
      </c>
      <c r="M3779" s="22" t="s">
        <v>37110</v>
      </c>
    </row>
    <row r="3780" spans="1:13" x14ac:dyDescent="0.75">
      <c r="A3780" t="s">
        <v>16937</v>
      </c>
      <c r="B3780" t="s">
        <v>9833</v>
      </c>
      <c r="C3780" t="s">
        <v>9834</v>
      </c>
      <c r="D3780" t="s">
        <v>9835</v>
      </c>
      <c r="E3780" t="s">
        <v>16938</v>
      </c>
      <c r="F3780">
        <v>5</v>
      </c>
      <c r="G3780">
        <v>2728238</v>
      </c>
      <c r="H3780" t="s">
        <v>16939</v>
      </c>
      <c r="J3780" s="54" t="s">
        <v>6052</v>
      </c>
      <c r="K3780" s="54">
        <v>0</v>
      </c>
      <c r="L3780" s="22" t="s">
        <v>144</v>
      </c>
      <c r="M3780" s="22" t="s">
        <v>37110</v>
      </c>
    </row>
    <row r="3781" spans="1:13" x14ac:dyDescent="0.75">
      <c r="A3781" t="s">
        <v>22517</v>
      </c>
      <c r="B3781" t="s">
        <v>9833</v>
      </c>
      <c r="C3781" t="s">
        <v>9834</v>
      </c>
      <c r="D3781" t="s">
        <v>9835</v>
      </c>
      <c r="E3781" t="s">
        <v>22518</v>
      </c>
      <c r="F3781">
        <v>8</v>
      </c>
      <c r="G3781">
        <v>2546891</v>
      </c>
      <c r="H3781" t="s">
        <v>22519</v>
      </c>
      <c r="J3781" s="54" t="s">
        <v>6052</v>
      </c>
      <c r="K3781" s="54">
        <v>0</v>
      </c>
      <c r="L3781" s="22" t="s">
        <v>144</v>
      </c>
      <c r="M3781" s="22" t="s">
        <v>37110</v>
      </c>
    </row>
    <row r="3782" spans="1:13" x14ac:dyDescent="0.75">
      <c r="A3782" t="s">
        <v>6821</v>
      </c>
      <c r="B3782" t="s">
        <v>6161</v>
      </c>
      <c r="C3782" t="s">
        <v>6162</v>
      </c>
      <c r="D3782" t="s">
        <v>6163</v>
      </c>
      <c r="E3782" t="s">
        <v>6822</v>
      </c>
      <c r="F3782">
        <v>54</v>
      </c>
      <c r="G3782">
        <v>2017251</v>
      </c>
      <c r="H3782" t="s">
        <v>6823</v>
      </c>
      <c r="J3782" s="54" t="s">
        <v>6052</v>
      </c>
      <c r="K3782" s="54">
        <v>0</v>
      </c>
      <c r="L3782" s="22" t="s">
        <v>1563</v>
      </c>
      <c r="M3782" s="22" t="s">
        <v>37111</v>
      </c>
    </row>
    <row r="3783" spans="1:13" x14ac:dyDescent="0.75">
      <c r="A3783" t="s">
        <v>21958</v>
      </c>
      <c r="B3783" t="s">
        <v>6161</v>
      </c>
      <c r="C3783" t="s">
        <v>6162</v>
      </c>
      <c r="D3783" t="s">
        <v>6163</v>
      </c>
      <c r="E3783" t="s">
        <v>21959</v>
      </c>
      <c r="F3783">
        <v>7</v>
      </c>
      <c r="G3783">
        <v>2298974</v>
      </c>
      <c r="H3783" t="s">
        <v>21960</v>
      </c>
      <c r="J3783" s="54" t="s">
        <v>6052</v>
      </c>
      <c r="K3783" s="54">
        <v>0</v>
      </c>
      <c r="L3783" s="22" t="s">
        <v>1563</v>
      </c>
      <c r="M3783" s="22" t="s">
        <v>37111</v>
      </c>
    </row>
    <row r="3784" spans="1:13" x14ac:dyDescent="0.75">
      <c r="A3784" t="s">
        <v>13443</v>
      </c>
      <c r="B3784" t="s">
        <v>6161</v>
      </c>
      <c r="C3784" t="s">
        <v>6162</v>
      </c>
      <c r="D3784" t="s">
        <v>6163</v>
      </c>
      <c r="E3784" t="s">
        <v>13444</v>
      </c>
      <c r="F3784">
        <v>62</v>
      </c>
      <c r="G3784">
        <v>1971822</v>
      </c>
      <c r="H3784" t="s">
        <v>13445</v>
      </c>
      <c r="J3784" s="54" t="s">
        <v>6052</v>
      </c>
      <c r="K3784" s="54">
        <v>0</v>
      </c>
      <c r="L3784" s="22" t="s">
        <v>1563</v>
      </c>
      <c r="M3784" s="22" t="s">
        <v>37111</v>
      </c>
    </row>
    <row r="3785" spans="1:13" x14ac:dyDescent="0.75">
      <c r="A3785" t="s">
        <v>11671</v>
      </c>
      <c r="B3785" t="s">
        <v>6161</v>
      </c>
      <c r="C3785" t="s">
        <v>6162</v>
      </c>
      <c r="D3785" t="s">
        <v>6163</v>
      </c>
      <c r="E3785" t="s">
        <v>11672</v>
      </c>
      <c r="F3785">
        <v>62</v>
      </c>
      <c r="G3785">
        <v>1982601</v>
      </c>
      <c r="H3785" t="s">
        <v>11673</v>
      </c>
      <c r="J3785" s="54" t="s">
        <v>6052</v>
      </c>
      <c r="K3785" s="54">
        <v>0</v>
      </c>
      <c r="L3785" s="22" t="s">
        <v>1563</v>
      </c>
      <c r="M3785" s="22" t="s">
        <v>37111</v>
      </c>
    </row>
    <row r="3786" spans="1:13" x14ac:dyDescent="0.75">
      <c r="A3786" t="s">
        <v>24149</v>
      </c>
      <c r="B3786" t="s">
        <v>6161</v>
      </c>
      <c r="C3786" t="s">
        <v>6162</v>
      </c>
      <c r="D3786" t="s">
        <v>6163</v>
      </c>
      <c r="E3786" t="s">
        <v>24150</v>
      </c>
      <c r="F3786">
        <v>3</v>
      </c>
      <c r="G3786">
        <v>2578608</v>
      </c>
      <c r="H3786" t="s">
        <v>24151</v>
      </c>
      <c r="J3786" s="54" t="s">
        <v>6052</v>
      </c>
      <c r="K3786" s="54">
        <v>0</v>
      </c>
      <c r="L3786" s="22" t="s">
        <v>1563</v>
      </c>
      <c r="M3786" s="22" t="s">
        <v>37111</v>
      </c>
    </row>
    <row r="3787" spans="1:13" x14ac:dyDescent="0.75">
      <c r="A3787" t="s">
        <v>25109</v>
      </c>
      <c r="B3787" t="s">
        <v>6161</v>
      </c>
      <c r="C3787" t="s">
        <v>6162</v>
      </c>
      <c r="D3787" t="s">
        <v>6163</v>
      </c>
      <c r="E3787" t="s">
        <v>25110</v>
      </c>
      <c r="F3787">
        <v>53</v>
      </c>
      <c r="G3787">
        <v>1995138</v>
      </c>
      <c r="H3787" t="s">
        <v>25111</v>
      </c>
      <c r="J3787" s="54" t="s">
        <v>6052</v>
      </c>
      <c r="K3787" s="54">
        <v>0</v>
      </c>
      <c r="L3787" s="22" t="s">
        <v>1563</v>
      </c>
      <c r="M3787" s="22" t="s">
        <v>37111</v>
      </c>
    </row>
    <row r="3788" spans="1:13" x14ac:dyDescent="0.75">
      <c r="A3788" t="s">
        <v>10895</v>
      </c>
      <c r="B3788" t="s">
        <v>6161</v>
      </c>
      <c r="C3788" t="s">
        <v>6162</v>
      </c>
      <c r="D3788" t="s">
        <v>6163</v>
      </c>
      <c r="E3788" t="s">
        <v>10896</v>
      </c>
      <c r="F3788">
        <v>3</v>
      </c>
      <c r="G3788">
        <v>1978364</v>
      </c>
      <c r="H3788" t="s">
        <v>10897</v>
      </c>
      <c r="J3788" s="54" t="s">
        <v>6052</v>
      </c>
      <c r="K3788" s="54">
        <v>0</v>
      </c>
      <c r="L3788" s="22" t="s">
        <v>1563</v>
      </c>
      <c r="M3788" s="22" t="s">
        <v>37111</v>
      </c>
    </row>
    <row r="3789" spans="1:13" x14ac:dyDescent="0.75">
      <c r="A3789" t="s">
        <v>25333</v>
      </c>
      <c r="B3789" t="s">
        <v>6161</v>
      </c>
      <c r="C3789" t="s">
        <v>6162</v>
      </c>
      <c r="D3789" t="s">
        <v>6163</v>
      </c>
      <c r="E3789" t="s">
        <v>25334</v>
      </c>
      <c r="F3789">
        <v>6</v>
      </c>
      <c r="G3789">
        <v>2276271</v>
      </c>
      <c r="H3789" t="s">
        <v>25335</v>
      </c>
      <c r="J3789" s="54" t="s">
        <v>6052</v>
      </c>
      <c r="K3789" s="54">
        <v>0</v>
      </c>
      <c r="L3789" s="22" t="s">
        <v>1563</v>
      </c>
      <c r="M3789" s="22" t="s">
        <v>37111</v>
      </c>
    </row>
    <row r="3790" spans="1:13" x14ac:dyDescent="0.75">
      <c r="A3790" t="s">
        <v>6160</v>
      </c>
      <c r="B3790" t="s">
        <v>6161</v>
      </c>
      <c r="C3790" t="s">
        <v>6162</v>
      </c>
      <c r="D3790" t="s">
        <v>6163</v>
      </c>
      <c r="E3790" t="s">
        <v>6164</v>
      </c>
      <c r="F3790">
        <v>4</v>
      </c>
      <c r="G3790">
        <v>2133977</v>
      </c>
      <c r="H3790" t="s">
        <v>6165</v>
      </c>
      <c r="J3790" s="54" t="s">
        <v>6052</v>
      </c>
      <c r="K3790" s="54">
        <v>0</v>
      </c>
      <c r="L3790" s="22" t="s">
        <v>1563</v>
      </c>
      <c r="M3790" s="22" t="s">
        <v>37111</v>
      </c>
    </row>
    <row r="3791" spans="1:13" x14ac:dyDescent="0.75">
      <c r="A3791" t="s">
        <v>15675</v>
      </c>
      <c r="B3791" t="s">
        <v>7145</v>
      </c>
      <c r="C3791" t="s">
        <v>6156</v>
      </c>
      <c r="D3791" t="s">
        <v>7146</v>
      </c>
      <c r="E3791" t="s">
        <v>15676</v>
      </c>
      <c r="F3791">
        <v>33</v>
      </c>
      <c r="G3791">
        <v>2213525</v>
      </c>
      <c r="H3791" t="s">
        <v>15677</v>
      </c>
      <c r="J3791" s="54" t="s">
        <v>6052</v>
      </c>
      <c r="K3791" s="54">
        <v>0</v>
      </c>
      <c r="L3791" s="22" t="s">
        <v>104</v>
      </c>
      <c r="M3791" s="22" t="s">
        <v>37161</v>
      </c>
    </row>
    <row r="3792" spans="1:13" x14ac:dyDescent="0.75">
      <c r="A3792" t="s">
        <v>6953</v>
      </c>
      <c r="B3792" t="s">
        <v>6954</v>
      </c>
      <c r="C3792" t="s">
        <v>6201</v>
      </c>
      <c r="D3792" t="s">
        <v>6955</v>
      </c>
      <c r="E3792" t="s">
        <v>6956</v>
      </c>
      <c r="F3792">
        <v>35</v>
      </c>
      <c r="G3792">
        <v>1725829</v>
      </c>
      <c r="H3792" t="s">
        <v>6957</v>
      </c>
      <c r="J3792" s="54" t="s">
        <v>6052</v>
      </c>
      <c r="K3792" s="54">
        <v>0</v>
      </c>
      <c r="L3792" s="22" t="s">
        <v>1308</v>
      </c>
      <c r="M3792" s="22" t="s">
        <v>37113</v>
      </c>
    </row>
    <row r="3793" spans="1:13" x14ac:dyDescent="0.75">
      <c r="A3793" t="s">
        <v>15780</v>
      </c>
      <c r="B3793" t="s">
        <v>7145</v>
      </c>
      <c r="C3793" t="s">
        <v>6156</v>
      </c>
      <c r="D3793" t="s">
        <v>7146</v>
      </c>
      <c r="E3793" t="s">
        <v>15781</v>
      </c>
      <c r="F3793">
        <v>26</v>
      </c>
      <c r="G3793">
        <v>2224996</v>
      </c>
      <c r="H3793" t="s">
        <v>15782</v>
      </c>
      <c r="J3793" s="54" t="s">
        <v>6052</v>
      </c>
      <c r="K3793" s="54">
        <v>0</v>
      </c>
      <c r="L3793" s="22" t="s">
        <v>104</v>
      </c>
      <c r="M3793" s="22" t="s">
        <v>37161</v>
      </c>
    </row>
    <row r="3794" spans="1:13" x14ac:dyDescent="0.75">
      <c r="A3794" t="s">
        <v>24140</v>
      </c>
      <c r="B3794" t="s">
        <v>6830</v>
      </c>
      <c r="C3794" t="s">
        <v>6201</v>
      </c>
      <c r="D3794" t="s">
        <v>6831</v>
      </c>
      <c r="E3794" t="s">
        <v>24141</v>
      </c>
      <c r="F3794">
        <v>2</v>
      </c>
      <c r="G3794">
        <v>1883554</v>
      </c>
      <c r="H3794" t="s">
        <v>24142</v>
      </c>
      <c r="J3794" s="54" t="s">
        <v>6052</v>
      </c>
      <c r="K3794" s="54">
        <v>0</v>
      </c>
      <c r="L3794" s="22" t="s">
        <v>1308</v>
      </c>
      <c r="M3794" s="22" t="s">
        <v>37114</v>
      </c>
    </row>
    <row r="3795" spans="1:13" x14ac:dyDescent="0.75">
      <c r="A3795" t="s">
        <v>15777</v>
      </c>
      <c r="B3795" t="s">
        <v>7145</v>
      </c>
      <c r="C3795" t="s">
        <v>6156</v>
      </c>
      <c r="D3795" t="s">
        <v>7146</v>
      </c>
      <c r="E3795" t="s">
        <v>15778</v>
      </c>
      <c r="F3795">
        <v>40</v>
      </c>
      <c r="G3795">
        <v>2137233</v>
      </c>
      <c r="H3795" t="s">
        <v>15779</v>
      </c>
      <c r="J3795" s="54" t="s">
        <v>6052</v>
      </c>
      <c r="K3795" s="54">
        <v>0</v>
      </c>
      <c r="L3795" s="22" t="s">
        <v>104</v>
      </c>
      <c r="M3795" s="22" t="s">
        <v>37161</v>
      </c>
    </row>
    <row r="3796" spans="1:13" x14ac:dyDescent="0.75">
      <c r="A3796" t="s">
        <v>6829</v>
      </c>
      <c r="B3796" t="s">
        <v>6830</v>
      </c>
      <c r="C3796" t="s">
        <v>6201</v>
      </c>
      <c r="D3796" t="s">
        <v>6831</v>
      </c>
      <c r="E3796" t="s">
        <v>6832</v>
      </c>
      <c r="F3796">
        <v>202</v>
      </c>
      <c r="G3796">
        <v>1877332</v>
      </c>
      <c r="H3796" t="s">
        <v>6833</v>
      </c>
      <c r="J3796" s="54" t="s">
        <v>6052</v>
      </c>
      <c r="K3796" s="54">
        <v>0</v>
      </c>
      <c r="L3796" s="22" t="s">
        <v>1308</v>
      </c>
      <c r="M3796" s="22" t="s">
        <v>37114</v>
      </c>
    </row>
    <row r="3797" spans="1:13" x14ac:dyDescent="0.75">
      <c r="A3797" t="s">
        <v>15783</v>
      </c>
      <c r="B3797" t="s">
        <v>7145</v>
      </c>
      <c r="C3797" t="s">
        <v>6156</v>
      </c>
      <c r="D3797" t="s">
        <v>7146</v>
      </c>
      <c r="E3797" t="s">
        <v>15784</v>
      </c>
      <c r="F3797">
        <v>42</v>
      </c>
      <c r="G3797">
        <v>2160444</v>
      </c>
      <c r="H3797" t="s">
        <v>15785</v>
      </c>
      <c r="J3797" s="54" t="s">
        <v>6052</v>
      </c>
      <c r="K3797" s="54">
        <v>0</v>
      </c>
      <c r="L3797" s="22" t="s">
        <v>104</v>
      </c>
      <c r="M3797" s="22" t="s">
        <v>37161</v>
      </c>
    </row>
    <row r="3798" spans="1:13" x14ac:dyDescent="0.75">
      <c r="A3798" t="s">
        <v>24270</v>
      </c>
      <c r="B3798" t="s">
        <v>7312</v>
      </c>
      <c r="C3798" t="s">
        <v>6201</v>
      </c>
      <c r="D3798" t="s">
        <v>6565</v>
      </c>
      <c r="E3798" t="s">
        <v>24271</v>
      </c>
      <c r="F3798">
        <v>62</v>
      </c>
      <c r="G3798">
        <v>2129000</v>
      </c>
      <c r="H3798" t="s">
        <v>24272</v>
      </c>
      <c r="J3798" s="54" t="s">
        <v>6052</v>
      </c>
      <c r="K3798" s="54">
        <v>0</v>
      </c>
      <c r="L3798" s="22" t="s">
        <v>1563</v>
      </c>
      <c r="M3798" s="22" t="s">
        <v>37115</v>
      </c>
    </row>
    <row r="3799" spans="1:13" x14ac:dyDescent="0.75">
      <c r="A3799" t="s">
        <v>25327</v>
      </c>
      <c r="B3799" t="s">
        <v>7312</v>
      </c>
      <c r="C3799" t="s">
        <v>6201</v>
      </c>
      <c r="D3799" t="s">
        <v>6565</v>
      </c>
      <c r="E3799" t="s">
        <v>25328</v>
      </c>
      <c r="F3799">
        <v>6</v>
      </c>
      <c r="G3799">
        <v>2064446</v>
      </c>
      <c r="H3799" t="s">
        <v>25329</v>
      </c>
      <c r="J3799" s="54" t="s">
        <v>6052</v>
      </c>
      <c r="K3799" s="54">
        <v>0</v>
      </c>
      <c r="L3799" s="22" t="s">
        <v>1563</v>
      </c>
      <c r="M3799" s="22" t="s">
        <v>37115</v>
      </c>
    </row>
    <row r="3800" spans="1:13" x14ac:dyDescent="0.75">
      <c r="A3800" t="s">
        <v>15774</v>
      </c>
      <c r="B3800" t="s">
        <v>7145</v>
      </c>
      <c r="C3800" t="s">
        <v>6156</v>
      </c>
      <c r="D3800" t="s">
        <v>7146</v>
      </c>
      <c r="E3800" t="s">
        <v>15775</v>
      </c>
      <c r="F3800">
        <v>19</v>
      </c>
      <c r="G3800">
        <v>2128602</v>
      </c>
      <c r="H3800" t="s">
        <v>15776</v>
      </c>
      <c r="J3800" s="54" t="s">
        <v>6052</v>
      </c>
      <c r="K3800" s="54">
        <v>0</v>
      </c>
      <c r="L3800" s="22" t="s">
        <v>104</v>
      </c>
      <c r="M3800" s="22" t="s">
        <v>37161</v>
      </c>
    </row>
    <row r="3801" spans="1:13" x14ac:dyDescent="0.75">
      <c r="A3801" t="s">
        <v>18800</v>
      </c>
      <c r="B3801" t="s">
        <v>6200</v>
      </c>
      <c r="C3801" t="s">
        <v>6201</v>
      </c>
      <c r="D3801" t="s">
        <v>6202</v>
      </c>
      <c r="E3801" t="s">
        <v>18801</v>
      </c>
      <c r="F3801">
        <v>1</v>
      </c>
      <c r="G3801">
        <v>2085667</v>
      </c>
      <c r="H3801" t="s">
        <v>18802</v>
      </c>
      <c r="J3801" s="54" t="s">
        <v>6052</v>
      </c>
      <c r="K3801" s="54">
        <v>0</v>
      </c>
      <c r="L3801" s="22" t="s">
        <v>1563</v>
      </c>
      <c r="M3801" s="22" t="s">
        <v>37116</v>
      </c>
    </row>
    <row r="3802" spans="1:13" x14ac:dyDescent="0.75">
      <c r="A3802" t="s">
        <v>6299</v>
      </c>
      <c r="B3802" t="s">
        <v>6200</v>
      </c>
      <c r="C3802" t="s">
        <v>6201</v>
      </c>
      <c r="D3802" t="s">
        <v>6202</v>
      </c>
      <c r="E3802" t="s">
        <v>6300</v>
      </c>
      <c r="F3802">
        <v>1</v>
      </c>
      <c r="G3802">
        <v>1999618</v>
      </c>
      <c r="H3802" t="s">
        <v>6301</v>
      </c>
      <c r="J3802" s="54" t="s">
        <v>6052</v>
      </c>
      <c r="K3802" s="54">
        <v>0</v>
      </c>
      <c r="L3802" s="22" t="s">
        <v>1563</v>
      </c>
      <c r="M3802" s="22" t="s">
        <v>37116</v>
      </c>
    </row>
    <row r="3803" spans="1:13" x14ac:dyDescent="0.75">
      <c r="A3803" t="s">
        <v>11650</v>
      </c>
      <c r="B3803" t="s">
        <v>6200</v>
      </c>
      <c r="C3803" t="s">
        <v>6201</v>
      </c>
      <c r="D3803" t="s">
        <v>6202</v>
      </c>
      <c r="E3803" t="s">
        <v>6300</v>
      </c>
      <c r="F3803">
        <v>151</v>
      </c>
      <c r="G3803">
        <v>1935860</v>
      </c>
      <c r="H3803" t="s">
        <v>11651</v>
      </c>
      <c r="J3803" s="54" t="s">
        <v>6052</v>
      </c>
      <c r="K3803" s="54">
        <v>0</v>
      </c>
      <c r="L3803" s="22" t="s">
        <v>1563</v>
      </c>
      <c r="M3803" s="22" t="s">
        <v>37116</v>
      </c>
    </row>
    <row r="3804" spans="1:13" x14ac:dyDescent="0.75">
      <c r="A3804" t="s">
        <v>15771</v>
      </c>
      <c r="B3804" t="s">
        <v>7145</v>
      </c>
      <c r="C3804" t="s">
        <v>6156</v>
      </c>
      <c r="D3804" t="s">
        <v>7146</v>
      </c>
      <c r="E3804" t="s">
        <v>15772</v>
      </c>
      <c r="F3804">
        <v>43</v>
      </c>
      <c r="G3804">
        <v>2194397</v>
      </c>
      <c r="H3804" t="s">
        <v>15773</v>
      </c>
      <c r="J3804" s="54" t="s">
        <v>6052</v>
      </c>
      <c r="K3804" s="54">
        <v>0</v>
      </c>
      <c r="L3804" s="22" t="s">
        <v>104</v>
      </c>
      <c r="M3804" s="22" t="s">
        <v>37161</v>
      </c>
    </row>
    <row r="3805" spans="1:13" x14ac:dyDescent="0.75">
      <c r="A3805" t="s">
        <v>11647</v>
      </c>
      <c r="B3805" t="s">
        <v>7312</v>
      </c>
      <c r="C3805" t="s">
        <v>6201</v>
      </c>
      <c r="D3805" t="s">
        <v>6565</v>
      </c>
      <c r="E3805" t="s">
        <v>11648</v>
      </c>
      <c r="F3805">
        <v>75</v>
      </c>
      <c r="G3805">
        <v>2031774</v>
      </c>
      <c r="H3805" t="s">
        <v>11649</v>
      </c>
      <c r="J3805" s="54" t="s">
        <v>6052</v>
      </c>
      <c r="K3805" s="54">
        <v>0</v>
      </c>
      <c r="L3805" s="22" t="s">
        <v>1563</v>
      </c>
      <c r="M3805" s="22" t="s">
        <v>37115</v>
      </c>
    </row>
    <row r="3806" spans="1:13" x14ac:dyDescent="0.75">
      <c r="A3806" t="s">
        <v>11666</v>
      </c>
      <c r="B3806" t="s">
        <v>6830</v>
      </c>
      <c r="C3806" t="s">
        <v>6201</v>
      </c>
      <c r="D3806" t="s">
        <v>6831</v>
      </c>
      <c r="E3806" t="s">
        <v>11667</v>
      </c>
      <c r="F3806">
        <v>150</v>
      </c>
      <c r="G3806">
        <v>1787468</v>
      </c>
      <c r="H3806" t="s">
        <v>11668</v>
      </c>
      <c r="J3806" s="54" t="s">
        <v>6052</v>
      </c>
      <c r="K3806" s="54">
        <v>0</v>
      </c>
      <c r="L3806" s="22" t="s">
        <v>1308</v>
      </c>
      <c r="M3806" s="22" t="s">
        <v>37114</v>
      </c>
    </row>
    <row r="3807" spans="1:13" x14ac:dyDescent="0.75">
      <c r="A3807" t="s">
        <v>10915</v>
      </c>
      <c r="B3807" t="s">
        <v>10916</v>
      </c>
      <c r="C3807" t="s">
        <v>6201</v>
      </c>
      <c r="D3807" t="s">
        <v>10917</v>
      </c>
      <c r="E3807" t="s">
        <v>10918</v>
      </c>
      <c r="F3807">
        <v>219</v>
      </c>
      <c r="G3807">
        <v>2082789</v>
      </c>
      <c r="H3807" t="s">
        <v>10919</v>
      </c>
      <c r="J3807" s="54" t="s">
        <v>6052</v>
      </c>
      <c r="K3807" s="54">
        <v>0</v>
      </c>
      <c r="L3807" s="22" t="s">
        <v>144</v>
      </c>
      <c r="M3807" s="22" t="s">
        <v>37117</v>
      </c>
    </row>
    <row r="3808" spans="1:13" x14ac:dyDescent="0.75">
      <c r="A3808" t="s">
        <v>11669</v>
      </c>
      <c r="B3808" t="s">
        <v>10916</v>
      </c>
      <c r="C3808" t="s">
        <v>6201</v>
      </c>
      <c r="D3808" t="s">
        <v>10917</v>
      </c>
      <c r="E3808" t="s">
        <v>10918</v>
      </c>
      <c r="F3808">
        <v>161</v>
      </c>
      <c r="G3808">
        <v>2006512</v>
      </c>
      <c r="H3808" t="s">
        <v>11670</v>
      </c>
      <c r="J3808" s="54" t="s">
        <v>6052</v>
      </c>
      <c r="K3808" s="54">
        <v>0</v>
      </c>
      <c r="L3808" s="22" t="s">
        <v>144</v>
      </c>
      <c r="M3808" s="22" t="s">
        <v>37117</v>
      </c>
    </row>
    <row r="3809" spans="1:13" x14ac:dyDescent="0.75">
      <c r="A3809" t="s">
        <v>7886</v>
      </c>
      <c r="B3809" t="s">
        <v>7312</v>
      </c>
      <c r="C3809" t="s">
        <v>6201</v>
      </c>
      <c r="D3809" t="s">
        <v>6565</v>
      </c>
      <c r="E3809" t="s">
        <v>7887</v>
      </c>
      <c r="F3809">
        <v>20</v>
      </c>
      <c r="G3809">
        <v>2174937</v>
      </c>
      <c r="H3809" t="s">
        <v>7888</v>
      </c>
      <c r="J3809" s="54" t="s">
        <v>6052</v>
      </c>
      <c r="K3809" s="54">
        <v>0</v>
      </c>
      <c r="L3809" s="22" t="s">
        <v>1563</v>
      </c>
      <c r="M3809" s="22" t="s">
        <v>37115</v>
      </c>
    </row>
    <row r="3810" spans="1:13" x14ac:dyDescent="0.75">
      <c r="A3810" t="s">
        <v>24218</v>
      </c>
      <c r="B3810" t="s">
        <v>6830</v>
      </c>
      <c r="C3810" t="s">
        <v>6201</v>
      </c>
      <c r="D3810" t="s">
        <v>6831</v>
      </c>
      <c r="E3810" t="s">
        <v>24219</v>
      </c>
      <c r="F3810">
        <v>1</v>
      </c>
      <c r="G3810">
        <v>1779643</v>
      </c>
      <c r="H3810" t="s">
        <v>24220</v>
      </c>
      <c r="J3810" s="54" t="s">
        <v>6052</v>
      </c>
      <c r="K3810" s="54">
        <v>0</v>
      </c>
      <c r="L3810" s="22" t="s">
        <v>1308</v>
      </c>
      <c r="M3810" s="22" t="s">
        <v>37114</v>
      </c>
    </row>
    <row r="3811" spans="1:13" x14ac:dyDescent="0.75">
      <c r="A3811" t="s">
        <v>30465</v>
      </c>
      <c r="B3811" t="s">
        <v>7312</v>
      </c>
      <c r="C3811" t="s">
        <v>6201</v>
      </c>
      <c r="D3811" t="s">
        <v>6565</v>
      </c>
      <c r="E3811" t="s">
        <v>30466</v>
      </c>
      <c r="F3811">
        <v>171</v>
      </c>
      <c r="G3811">
        <v>1923258</v>
      </c>
      <c r="H3811" t="s">
        <v>30467</v>
      </c>
      <c r="J3811" s="54" t="s">
        <v>6052</v>
      </c>
      <c r="K3811" s="54">
        <v>0</v>
      </c>
      <c r="L3811" s="22" t="s">
        <v>1563</v>
      </c>
      <c r="M3811" s="22" t="s">
        <v>37115</v>
      </c>
    </row>
    <row r="3812" spans="1:13" x14ac:dyDescent="0.75">
      <c r="A3812" t="s">
        <v>6199</v>
      </c>
      <c r="B3812" t="s">
        <v>6200</v>
      </c>
      <c r="C3812" t="s">
        <v>6201</v>
      </c>
      <c r="D3812" t="s">
        <v>6202</v>
      </c>
      <c r="E3812" t="s">
        <v>6203</v>
      </c>
      <c r="F3812">
        <v>1</v>
      </c>
      <c r="G3812">
        <v>2039414</v>
      </c>
      <c r="H3812" t="s">
        <v>6204</v>
      </c>
      <c r="J3812" s="54" t="s">
        <v>6052</v>
      </c>
      <c r="K3812" s="54">
        <v>0</v>
      </c>
      <c r="L3812" s="22" t="s">
        <v>1563</v>
      </c>
      <c r="M3812" s="22" t="s">
        <v>37116</v>
      </c>
    </row>
    <row r="3813" spans="1:13" x14ac:dyDescent="0.75">
      <c r="A3813" t="s">
        <v>27531</v>
      </c>
      <c r="B3813" t="s">
        <v>7145</v>
      </c>
      <c r="C3813" t="s">
        <v>6156</v>
      </c>
      <c r="D3813" t="s">
        <v>7146</v>
      </c>
      <c r="E3813" t="s">
        <v>27532</v>
      </c>
      <c r="F3813">
        <v>3</v>
      </c>
      <c r="G3813">
        <v>2185892</v>
      </c>
      <c r="H3813" t="s">
        <v>27533</v>
      </c>
      <c r="J3813" s="54" t="s">
        <v>6052</v>
      </c>
      <c r="K3813" s="54">
        <v>0</v>
      </c>
      <c r="L3813" s="22" t="s">
        <v>104</v>
      </c>
      <c r="M3813" s="22" t="s">
        <v>37161</v>
      </c>
    </row>
    <row r="3814" spans="1:13" x14ac:dyDescent="0.75">
      <c r="A3814" t="s">
        <v>28094</v>
      </c>
      <c r="B3814" t="s">
        <v>7145</v>
      </c>
      <c r="C3814" t="s">
        <v>6156</v>
      </c>
      <c r="D3814" t="s">
        <v>7146</v>
      </c>
      <c r="E3814" t="s">
        <v>28095</v>
      </c>
      <c r="F3814">
        <v>1</v>
      </c>
      <c r="G3814">
        <v>2198889</v>
      </c>
      <c r="H3814" t="s">
        <v>28096</v>
      </c>
      <c r="J3814" s="54" t="s">
        <v>6052</v>
      </c>
      <c r="K3814" s="54">
        <v>0</v>
      </c>
      <c r="L3814" s="22" t="s">
        <v>104</v>
      </c>
      <c r="M3814" s="22" t="s">
        <v>37161</v>
      </c>
    </row>
    <row r="3815" spans="1:13" x14ac:dyDescent="0.75">
      <c r="A3815" t="s">
        <v>28140</v>
      </c>
      <c r="B3815" t="s">
        <v>7312</v>
      </c>
      <c r="C3815" t="s">
        <v>6201</v>
      </c>
      <c r="D3815" t="s">
        <v>6565</v>
      </c>
      <c r="E3815" t="s">
        <v>28141</v>
      </c>
      <c r="F3815">
        <v>85</v>
      </c>
      <c r="G3815">
        <v>2130048</v>
      </c>
      <c r="H3815" t="s">
        <v>28142</v>
      </c>
      <c r="J3815" s="54" t="s">
        <v>6052</v>
      </c>
      <c r="K3815" s="54">
        <v>0</v>
      </c>
      <c r="L3815" s="22" t="s">
        <v>1563</v>
      </c>
      <c r="M3815" s="22" t="s">
        <v>37115</v>
      </c>
    </row>
    <row r="3816" spans="1:13" x14ac:dyDescent="0.75">
      <c r="A3816" t="s">
        <v>27528</v>
      </c>
      <c r="B3816" t="s">
        <v>7145</v>
      </c>
      <c r="C3816" t="s">
        <v>6156</v>
      </c>
      <c r="D3816" t="s">
        <v>7146</v>
      </c>
      <c r="E3816" t="s">
        <v>27529</v>
      </c>
      <c r="F3816">
        <v>2</v>
      </c>
      <c r="G3816">
        <v>2106061</v>
      </c>
      <c r="H3816" t="s">
        <v>27530</v>
      </c>
      <c r="J3816" s="54" t="s">
        <v>6052</v>
      </c>
      <c r="K3816" s="54">
        <v>0</v>
      </c>
      <c r="L3816" s="22" t="s">
        <v>104</v>
      </c>
      <c r="M3816" s="22" t="s">
        <v>37161</v>
      </c>
    </row>
    <row r="3817" spans="1:13" x14ac:dyDescent="0.75">
      <c r="A3817" t="s">
        <v>24955</v>
      </c>
      <c r="B3817" t="s">
        <v>6830</v>
      </c>
      <c r="C3817" t="s">
        <v>6201</v>
      </c>
      <c r="D3817" t="s">
        <v>6831</v>
      </c>
      <c r="E3817" t="s">
        <v>24956</v>
      </c>
      <c r="F3817">
        <v>1</v>
      </c>
      <c r="G3817">
        <v>1837310</v>
      </c>
      <c r="H3817" t="s">
        <v>24957</v>
      </c>
      <c r="J3817" s="54" t="s">
        <v>6052</v>
      </c>
      <c r="K3817" s="54">
        <v>0</v>
      </c>
      <c r="L3817" s="22" t="s">
        <v>1308</v>
      </c>
      <c r="M3817" s="22" t="s">
        <v>37114</v>
      </c>
    </row>
    <row r="3818" spans="1:13" x14ac:dyDescent="0.75">
      <c r="A3818" t="s">
        <v>17515</v>
      </c>
      <c r="B3818" t="s">
        <v>6830</v>
      </c>
      <c r="C3818" t="s">
        <v>6201</v>
      </c>
      <c r="D3818" t="s">
        <v>6831</v>
      </c>
      <c r="E3818" t="s">
        <v>17516</v>
      </c>
      <c r="F3818">
        <v>1</v>
      </c>
      <c r="G3818">
        <v>1894710</v>
      </c>
      <c r="H3818" t="s">
        <v>17517</v>
      </c>
      <c r="J3818" s="54" t="s">
        <v>6052</v>
      </c>
      <c r="K3818" s="54">
        <v>0</v>
      </c>
      <c r="L3818" s="22" t="s">
        <v>1308</v>
      </c>
      <c r="M3818" s="22" t="s">
        <v>37114</v>
      </c>
    </row>
    <row r="3819" spans="1:13" x14ac:dyDescent="0.75">
      <c r="A3819" t="s">
        <v>21499</v>
      </c>
      <c r="B3819" t="s">
        <v>10916</v>
      </c>
      <c r="C3819" t="s">
        <v>6201</v>
      </c>
      <c r="D3819" t="s">
        <v>10917</v>
      </c>
      <c r="E3819" t="s">
        <v>21500</v>
      </c>
      <c r="F3819">
        <v>3</v>
      </c>
      <c r="G3819">
        <v>2129075</v>
      </c>
      <c r="H3819" t="s">
        <v>21501</v>
      </c>
      <c r="J3819" s="54" t="s">
        <v>6052</v>
      </c>
      <c r="K3819" s="54">
        <v>0</v>
      </c>
      <c r="L3819" s="22" t="s">
        <v>144</v>
      </c>
      <c r="M3819" s="22" t="s">
        <v>37117</v>
      </c>
    </row>
    <row r="3820" spans="1:13" x14ac:dyDescent="0.75">
      <c r="A3820" t="s">
        <v>26458</v>
      </c>
      <c r="B3820" t="s">
        <v>6200</v>
      </c>
      <c r="C3820" t="s">
        <v>6201</v>
      </c>
      <c r="D3820" t="s">
        <v>6202</v>
      </c>
      <c r="E3820" t="s">
        <v>26459</v>
      </c>
      <c r="F3820">
        <v>3</v>
      </c>
      <c r="G3820">
        <v>2111986</v>
      </c>
      <c r="H3820" t="s">
        <v>26460</v>
      </c>
      <c r="J3820" s="54" t="s">
        <v>6052</v>
      </c>
      <c r="K3820" s="54">
        <v>0</v>
      </c>
      <c r="L3820" s="22" t="s">
        <v>1563</v>
      </c>
      <c r="M3820" s="22" t="s">
        <v>37116</v>
      </c>
    </row>
    <row r="3821" spans="1:13" x14ac:dyDescent="0.75">
      <c r="A3821" t="s">
        <v>24716</v>
      </c>
      <c r="B3821" t="s">
        <v>7312</v>
      </c>
      <c r="C3821" t="s">
        <v>6201</v>
      </c>
      <c r="D3821" t="s">
        <v>6565</v>
      </c>
      <c r="E3821" t="s">
        <v>24717</v>
      </c>
      <c r="F3821">
        <v>84</v>
      </c>
      <c r="G3821">
        <v>2155462</v>
      </c>
      <c r="H3821" t="s">
        <v>24718</v>
      </c>
      <c r="J3821" s="54" t="s">
        <v>6052</v>
      </c>
      <c r="K3821" s="54">
        <v>0</v>
      </c>
      <c r="L3821" s="22" t="s">
        <v>1563</v>
      </c>
      <c r="M3821" s="22" t="s">
        <v>37115</v>
      </c>
    </row>
    <row r="3822" spans="1:13" x14ac:dyDescent="0.75">
      <c r="A3822" t="s">
        <v>7311</v>
      </c>
      <c r="B3822" t="s">
        <v>7312</v>
      </c>
      <c r="C3822" t="s">
        <v>6201</v>
      </c>
      <c r="D3822" t="s">
        <v>6565</v>
      </c>
      <c r="E3822" t="s">
        <v>7313</v>
      </c>
      <c r="F3822">
        <v>89</v>
      </c>
      <c r="G3822">
        <v>2115990</v>
      </c>
      <c r="H3822" t="s">
        <v>7314</v>
      </c>
      <c r="J3822" s="54" t="s">
        <v>6052</v>
      </c>
      <c r="K3822" s="54">
        <v>0</v>
      </c>
      <c r="L3822" s="22" t="s">
        <v>1563</v>
      </c>
      <c r="M3822" s="22" t="s">
        <v>37115</v>
      </c>
    </row>
    <row r="3823" spans="1:13" x14ac:dyDescent="0.75">
      <c r="A3823" t="s">
        <v>26511</v>
      </c>
      <c r="B3823" t="s">
        <v>6200</v>
      </c>
      <c r="C3823" t="s">
        <v>6201</v>
      </c>
      <c r="D3823" t="s">
        <v>6202</v>
      </c>
      <c r="E3823" t="s">
        <v>26512</v>
      </c>
      <c r="F3823">
        <v>2</v>
      </c>
      <c r="G3823">
        <v>2280129</v>
      </c>
      <c r="H3823" t="s">
        <v>26513</v>
      </c>
      <c r="J3823" s="54" t="s">
        <v>6052</v>
      </c>
      <c r="K3823" s="54">
        <v>0</v>
      </c>
      <c r="L3823" s="22" t="s">
        <v>1563</v>
      </c>
      <c r="M3823" s="22" t="s">
        <v>37116</v>
      </c>
    </row>
    <row r="3824" spans="1:13" x14ac:dyDescent="0.75">
      <c r="A3824" t="s">
        <v>29475</v>
      </c>
      <c r="B3824" t="s">
        <v>7312</v>
      </c>
      <c r="C3824" t="s">
        <v>6201</v>
      </c>
      <c r="D3824" t="s">
        <v>6565</v>
      </c>
      <c r="E3824" t="s">
        <v>29476</v>
      </c>
      <c r="F3824">
        <v>24</v>
      </c>
      <c r="G3824">
        <v>1834222</v>
      </c>
      <c r="H3824" t="s">
        <v>29477</v>
      </c>
      <c r="J3824" s="54" t="s">
        <v>6052</v>
      </c>
      <c r="K3824" s="54">
        <v>0</v>
      </c>
      <c r="L3824" s="22" t="s">
        <v>1563</v>
      </c>
      <c r="M3824" s="22" t="s">
        <v>37115</v>
      </c>
    </row>
    <row r="3825" spans="1:13" x14ac:dyDescent="0.75">
      <c r="A3825" t="s">
        <v>21693</v>
      </c>
      <c r="B3825" t="s">
        <v>6200</v>
      </c>
      <c r="C3825" t="s">
        <v>6201</v>
      </c>
      <c r="D3825" t="s">
        <v>6202</v>
      </c>
      <c r="E3825" t="s">
        <v>21694</v>
      </c>
      <c r="F3825">
        <v>1</v>
      </c>
      <c r="G3825">
        <v>2313802</v>
      </c>
      <c r="H3825" t="s">
        <v>21695</v>
      </c>
      <c r="J3825" s="54" t="s">
        <v>6052</v>
      </c>
      <c r="K3825" s="54">
        <v>0</v>
      </c>
      <c r="L3825" s="22" t="s">
        <v>1563</v>
      </c>
      <c r="M3825" s="22" t="s">
        <v>37116</v>
      </c>
    </row>
    <row r="3826" spans="1:13" x14ac:dyDescent="0.75">
      <c r="A3826" t="s">
        <v>30407</v>
      </c>
      <c r="B3826" t="s">
        <v>6954</v>
      </c>
      <c r="C3826" t="s">
        <v>6201</v>
      </c>
      <c r="D3826" t="s">
        <v>6955</v>
      </c>
      <c r="E3826" t="s">
        <v>30408</v>
      </c>
      <c r="F3826">
        <v>56</v>
      </c>
      <c r="G3826">
        <v>1708830</v>
      </c>
      <c r="H3826" t="s">
        <v>30409</v>
      </c>
      <c r="J3826" s="54" t="s">
        <v>6052</v>
      </c>
      <c r="K3826" s="54">
        <v>0</v>
      </c>
      <c r="L3826" s="22" t="s">
        <v>1308</v>
      </c>
      <c r="M3826" s="22" t="s">
        <v>37113</v>
      </c>
    </row>
    <row r="3827" spans="1:13" x14ac:dyDescent="0.75">
      <c r="A3827" t="s">
        <v>24507</v>
      </c>
      <c r="B3827" t="s">
        <v>6830</v>
      </c>
      <c r="C3827" t="s">
        <v>6201</v>
      </c>
      <c r="D3827" t="s">
        <v>6831</v>
      </c>
      <c r="E3827" t="s">
        <v>24508</v>
      </c>
      <c r="F3827">
        <v>14</v>
      </c>
      <c r="G3827">
        <v>1844314</v>
      </c>
      <c r="H3827" t="s">
        <v>24509</v>
      </c>
      <c r="J3827" s="54" t="s">
        <v>6052</v>
      </c>
      <c r="K3827" s="54">
        <v>0</v>
      </c>
      <c r="L3827" s="22" t="s">
        <v>1308</v>
      </c>
      <c r="M3827" s="22" t="s">
        <v>37114</v>
      </c>
    </row>
    <row r="3828" spans="1:13" x14ac:dyDescent="0.75">
      <c r="A3828" t="s">
        <v>21955</v>
      </c>
      <c r="B3828" t="s">
        <v>6200</v>
      </c>
      <c r="C3828" t="s">
        <v>6201</v>
      </c>
      <c r="D3828" t="s">
        <v>6202</v>
      </c>
      <c r="E3828" t="s">
        <v>21956</v>
      </c>
      <c r="F3828">
        <v>1</v>
      </c>
      <c r="G3828">
        <v>2041530</v>
      </c>
      <c r="H3828" t="s">
        <v>21957</v>
      </c>
      <c r="J3828" s="54" t="s">
        <v>6052</v>
      </c>
      <c r="K3828" s="54">
        <v>0</v>
      </c>
      <c r="L3828" s="22" t="s">
        <v>1563</v>
      </c>
      <c r="M3828" s="22" t="s">
        <v>37116</v>
      </c>
    </row>
    <row r="3829" spans="1:13" x14ac:dyDescent="0.75">
      <c r="A3829" t="s">
        <v>14986</v>
      </c>
      <c r="B3829" t="s">
        <v>6200</v>
      </c>
      <c r="C3829" t="s">
        <v>6201</v>
      </c>
      <c r="D3829" t="s">
        <v>6202</v>
      </c>
      <c r="E3829" t="s">
        <v>14987</v>
      </c>
      <c r="F3829">
        <v>1</v>
      </c>
      <c r="G3829">
        <v>2044184</v>
      </c>
      <c r="H3829" t="s">
        <v>14988</v>
      </c>
      <c r="J3829" s="54" t="s">
        <v>6052</v>
      </c>
      <c r="K3829" s="54">
        <v>0</v>
      </c>
      <c r="L3829" s="22" t="s">
        <v>1563</v>
      </c>
      <c r="M3829" s="22" t="s">
        <v>37116</v>
      </c>
    </row>
    <row r="3830" spans="1:13" x14ac:dyDescent="0.75">
      <c r="A3830" t="s">
        <v>13913</v>
      </c>
      <c r="B3830" t="s">
        <v>7145</v>
      </c>
      <c r="C3830" t="s">
        <v>6156</v>
      </c>
      <c r="D3830" t="s">
        <v>7146</v>
      </c>
      <c r="E3830" t="s">
        <v>13914</v>
      </c>
      <c r="F3830">
        <v>60</v>
      </c>
      <c r="G3830">
        <v>2123177</v>
      </c>
      <c r="H3830" t="s">
        <v>13915</v>
      </c>
      <c r="J3830" s="54" t="s">
        <v>6052</v>
      </c>
      <c r="K3830" s="54">
        <v>0</v>
      </c>
      <c r="L3830" s="22" t="s">
        <v>104</v>
      </c>
      <c r="M3830" s="22" t="s">
        <v>37161</v>
      </c>
    </row>
    <row r="3831" spans="1:13" x14ac:dyDescent="0.75">
      <c r="A3831" t="s">
        <v>12194</v>
      </c>
      <c r="B3831" t="s">
        <v>6200</v>
      </c>
      <c r="C3831" t="s">
        <v>6201</v>
      </c>
      <c r="D3831" t="s">
        <v>6202</v>
      </c>
      <c r="E3831" t="s">
        <v>12195</v>
      </c>
      <c r="F3831">
        <v>1</v>
      </c>
      <c r="G3831">
        <v>2234097</v>
      </c>
      <c r="H3831" t="s">
        <v>12196</v>
      </c>
      <c r="J3831" s="54" t="s">
        <v>6052</v>
      </c>
      <c r="K3831" s="54">
        <v>0</v>
      </c>
      <c r="L3831" s="22" t="s">
        <v>1563</v>
      </c>
      <c r="M3831" s="22" t="s">
        <v>37116</v>
      </c>
    </row>
    <row r="3832" spans="1:13" x14ac:dyDescent="0.75">
      <c r="A3832" t="s">
        <v>8892</v>
      </c>
      <c r="B3832" t="s">
        <v>8893</v>
      </c>
      <c r="C3832" t="s">
        <v>8894</v>
      </c>
      <c r="D3832" t="s">
        <v>8895</v>
      </c>
      <c r="E3832" t="s">
        <v>8896</v>
      </c>
      <c r="F3832">
        <v>1</v>
      </c>
      <c r="G3832">
        <v>2951805</v>
      </c>
      <c r="H3832" t="s">
        <v>8897</v>
      </c>
      <c r="J3832" s="54" t="s">
        <v>6052</v>
      </c>
      <c r="K3832" s="54">
        <v>0</v>
      </c>
      <c r="L3832" s="22" t="s">
        <v>144</v>
      </c>
      <c r="M3832" s="22" t="s">
        <v>37118</v>
      </c>
    </row>
    <row r="3833" spans="1:13" x14ac:dyDescent="0.75">
      <c r="A3833" t="s">
        <v>11364</v>
      </c>
      <c r="B3833" t="s">
        <v>8893</v>
      </c>
      <c r="C3833" t="s">
        <v>8894</v>
      </c>
      <c r="D3833" t="s">
        <v>8895</v>
      </c>
      <c r="E3833" t="s">
        <v>11365</v>
      </c>
      <c r="F3833">
        <v>2</v>
      </c>
      <c r="G3833">
        <v>2935398</v>
      </c>
      <c r="H3833" t="s">
        <v>11366</v>
      </c>
      <c r="J3833" s="54" t="s">
        <v>6052</v>
      </c>
      <c r="K3833" s="54">
        <v>0</v>
      </c>
      <c r="L3833" s="22" t="s">
        <v>144</v>
      </c>
      <c r="M3833" s="22" t="s">
        <v>37118</v>
      </c>
    </row>
    <row r="3834" spans="1:13" x14ac:dyDescent="0.75">
      <c r="A3834" t="s">
        <v>10197</v>
      </c>
      <c r="B3834" t="s">
        <v>8893</v>
      </c>
      <c r="C3834" t="s">
        <v>8894</v>
      </c>
      <c r="D3834" t="s">
        <v>8895</v>
      </c>
      <c r="E3834" t="s">
        <v>10198</v>
      </c>
      <c r="F3834">
        <v>34</v>
      </c>
      <c r="G3834">
        <v>2845956</v>
      </c>
      <c r="H3834" t="s">
        <v>10199</v>
      </c>
      <c r="J3834" s="54" t="s">
        <v>6052</v>
      </c>
      <c r="K3834" s="54">
        <v>0</v>
      </c>
      <c r="L3834" s="22" t="s">
        <v>144</v>
      </c>
      <c r="M3834" s="22" t="s">
        <v>37118</v>
      </c>
    </row>
    <row r="3835" spans="1:13" x14ac:dyDescent="0.75">
      <c r="A3835" t="s">
        <v>10564</v>
      </c>
      <c r="B3835" t="s">
        <v>8893</v>
      </c>
      <c r="C3835" t="s">
        <v>8894</v>
      </c>
      <c r="D3835" t="s">
        <v>8895</v>
      </c>
      <c r="E3835" t="s">
        <v>10198</v>
      </c>
      <c r="F3835">
        <v>3</v>
      </c>
      <c r="G3835">
        <v>2852103</v>
      </c>
      <c r="H3835" t="s">
        <v>10565</v>
      </c>
      <c r="J3835" s="54" t="s">
        <v>6052</v>
      </c>
      <c r="K3835" s="54">
        <v>0</v>
      </c>
      <c r="L3835" s="22" t="s">
        <v>144</v>
      </c>
      <c r="M3835" s="22" t="s">
        <v>37118</v>
      </c>
    </row>
    <row r="3836" spans="1:13" x14ac:dyDescent="0.75">
      <c r="A3836" t="s">
        <v>11777</v>
      </c>
      <c r="B3836" t="s">
        <v>8893</v>
      </c>
      <c r="C3836" t="s">
        <v>8894</v>
      </c>
      <c r="D3836" t="s">
        <v>8895</v>
      </c>
      <c r="E3836" t="s">
        <v>11778</v>
      </c>
      <c r="F3836">
        <v>1</v>
      </c>
      <c r="G3836">
        <v>2927751</v>
      </c>
      <c r="H3836" t="s">
        <v>11779</v>
      </c>
      <c r="J3836" s="54" t="s">
        <v>6052</v>
      </c>
      <c r="K3836" s="54">
        <v>0</v>
      </c>
      <c r="L3836" s="22" t="s">
        <v>144</v>
      </c>
      <c r="M3836" s="22" t="s">
        <v>37118</v>
      </c>
    </row>
    <row r="3837" spans="1:13" x14ac:dyDescent="0.75">
      <c r="A3837" t="s">
        <v>9609</v>
      </c>
      <c r="B3837" t="s">
        <v>8893</v>
      </c>
      <c r="C3837" t="s">
        <v>8894</v>
      </c>
      <c r="D3837" t="s">
        <v>8895</v>
      </c>
      <c r="E3837" t="s">
        <v>9610</v>
      </c>
      <c r="F3837">
        <v>2</v>
      </c>
      <c r="G3837">
        <v>3243301</v>
      </c>
      <c r="H3837" t="s">
        <v>9611</v>
      </c>
      <c r="J3837" s="54" t="s">
        <v>6052</v>
      </c>
      <c r="K3837" s="54">
        <v>0</v>
      </c>
      <c r="L3837" s="22" t="s">
        <v>144</v>
      </c>
      <c r="M3837" s="22" t="s">
        <v>37118</v>
      </c>
    </row>
    <row r="3838" spans="1:13" x14ac:dyDescent="0.75">
      <c r="A3838" t="s">
        <v>17913</v>
      </c>
      <c r="B3838" t="s">
        <v>8893</v>
      </c>
      <c r="C3838" t="s">
        <v>8894</v>
      </c>
      <c r="D3838" t="s">
        <v>8895</v>
      </c>
      <c r="E3838" t="s">
        <v>17914</v>
      </c>
      <c r="F3838">
        <v>1</v>
      </c>
      <c r="G3838">
        <v>2896666</v>
      </c>
      <c r="H3838" t="s">
        <v>17915</v>
      </c>
      <c r="J3838" s="54" t="s">
        <v>6052</v>
      </c>
      <c r="K3838" s="54">
        <v>0</v>
      </c>
      <c r="L3838" s="22" t="s">
        <v>144</v>
      </c>
      <c r="M3838" s="22" t="s">
        <v>37118</v>
      </c>
    </row>
    <row r="3839" spans="1:13" x14ac:dyDescent="0.75">
      <c r="A3839" t="s">
        <v>27310</v>
      </c>
      <c r="B3839" t="s">
        <v>8893</v>
      </c>
      <c r="C3839" t="s">
        <v>8894</v>
      </c>
      <c r="D3839" t="s">
        <v>8895</v>
      </c>
      <c r="E3839" t="s">
        <v>27311</v>
      </c>
      <c r="F3839">
        <v>1</v>
      </c>
      <c r="G3839">
        <v>2864663</v>
      </c>
      <c r="H3839" t="s">
        <v>27312</v>
      </c>
      <c r="J3839" s="54" t="s">
        <v>6052</v>
      </c>
      <c r="K3839" s="54">
        <v>0</v>
      </c>
      <c r="L3839" s="22" t="s">
        <v>144</v>
      </c>
      <c r="M3839" s="22" t="s">
        <v>37118</v>
      </c>
    </row>
    <row r="3840" spans="1:13" x14ac:dyDescent="0.75">
      <c r="A3840" t="s">
        <v>10691</v>
      </c>
      <c r="B3840" t="s">
        <v>8893</v>
      </c>
      <c r="C3840" t="s">
        <v>8894</v>
      </c>
      <c r="D3840" t="s">
        <v>8895</v>
      </c>
      <c r="E3840" t="s">
        <v>10692</v>
      </c>
      <c r="F3840">
        <v>1</v>
      </c>
      <c r="G3840">
        <v>2904500</v>
      </c>
      <c r="H3840" t="s">
        <v>10693</v>
      </c>
      <c r="J3840" s="54" t="s">
        <v>6052</v>
      </c>
      <c r="K3840" s="54">
        <v>0</v>
      </c>
      <c r="L3840" s="22" t="s">
        <v>144</v>
      </c>
      <c r="M3840" s="22" t="s">
        <v>37118</v>
      </c>
    </row>
    <row r="3841" spans="1:13" x14ac:dyDescent="0.75">
      <c r="A3841" t="s">
        <v>11699</v>
      </c>
      <c r="B3841" t="s">
        <v>8893</v>
      </c>
      <c r="C3841" t="s">
        <v>8894</v>
      </c>
      <c r="D3841" t="s">
        <v>8895</v>
      </c>
      <c r="E3841" t="s">
        <v>11700</v>
      </c>
      <c r="F3841">
        <v>1</v>
      </c>
      <c r="G3841">
        <v>2950820</v>
      </c>
      <c r="H3841" t="s">
        <v>11701</v>
      </c>
      <c r="J3841" s="54" t="s">
        <v>6052</v>
      </c>
      <c r="K3841" s="54">
        <v>0</v>
      </c>
      <c r="L3841" s="22" t="s">
        <v>144</v>
      </c>
      <c r="M3841" s="22" t="s">
        <v>37118</v>
      </c>
    </row>
    <row r="3842" spans="1:13" x14ac:dyDescent="0.75">
      <c r="A3842" t="s">
        <v>14981</v>
      </c>
      <c r="B3842" t="s">
        <v>10463</v>
      </c>
      <c r="C3842" t="s">
        <v>10464</v>
      </c>
      <c r="D3842" t="s">
        <v>10465</v>
      </c>
      <c r="E3842" t="s">
        <v>14982</v>
      </c>
      <c r="F3842">
        <v>64</v>
      </c>
      <c r="G3842">
        <v>4796895</v>
      </c>
      <c r="H3842" t="s">
        <v>14983</v>
      </c>
      <c r="J3842" s="54" t="s">
        <v>6052</v>
      </c>
      <c r="K3842" s="54">
        <v>0</v>
      </c>
      <c r="L3842" s="22" t="s">
        <v>144</v>
      </c>
      <c r="M3842" s="22" t="s">
        <v>37119</v>
      </c>
    </row>
    <row r="3843" spans="1:13" x14ac:dyDescent="0.75">
      <c r="A3843" t="s">
        <v>24992</v>
      </c>
      <c r="B3843" t="s">
        <v>10463</v>
      </c>
      <c r="C3843" t="s">
        <v>10464</v>
      </c>
      <c r="D3843" t="s">
        <v>10465</v>
      </c>
      <c r="E3843" t="s">
        <v>24993</v>
      </c>
      <c r="F3843">
        <v>4</v>
      </c>
      <c r="G3843">
        <v>4845046</v>
      </c>
      <c r="H3843" t="s">
        <v>24994</v>
      </c>
      <c r="J3843" s="54" t="s">
        <v>6052</v>
      </c>
      <c r="K3843" s="54">
        <v>0</v>
      </c>
      <c r="L3843" s="22" t="s">
        <v>144</v>
      </c>
      <c r="M3843" s="22" t="s">
        <v>37119</v>
      </c>
    </row>
    <row r="3844" spans="1:13" x14ac:dyDescent="0.75">
      <c r="A3844" t="s">
        <v>24152</v>
      </c>
      <c r="B3844" t="s">
        <v>10463</v>
      </c>
      <c r="C3844" t="s">
        <v>10464</v>
      </c>
      <c r="D3844" t="s">
        <v>10465</v>
      </c>
      <c r="E3844" t="s">
        <v>24153</v>
      </c>
      <c r="F3844">
        <v>2</v>
      </c>
      <c r="G3844">
        <v>4856088</v>
      </c>
      <c r="H3844" t="s">
        <v>24154</v>
      </c>
      <c r="J3844" s="54" t="s">
        <v>6052</v>
      </c>
      <c r="K3844" s="54">
        <v>0</v>
      </c>
      <c r="L3844" s="22" t="s">
        <v>144</v>
      </c>
      <c r="M3844" s="22" t="s">
        <v>37119</v>
      </c>
    </row>
    <row r="3845" spans="1:13" x14ac:dyDescent="0.75">
      <c r="A3845" t="s">
        <v>16498</v>
      </c>
      <c r="B3845" t="s">
        <v>10463</v>
      </c>
      <c r="C3845" t="s">
        <v>10464</v>
      </c>
      <c r="D3845" t="s">
        <v>10465</v>
      </c>
      <c r="E3845" t="s">
        <v>16499</v>
      </c>
      <c r="F3845">
        <v>1</v>
      </c>
      <c r="G3845">
        <v>4785706</v>
      </c>
      <c r="H3845" t="s">
        <v>16500</v>
      </c>
      <c r="J3845" s="54" t="s">
        <v>6052</v>
      </c>
      <c r="K3845" s="54">
        <v>0</v>
      </c>
      <c r="L3845" s="22" t="s">
        <v>144</v>
      </c>
      <c r="M3845" s="22" t="s">
        <v>37119</v>
      </c>
    </row>
    <row r="3846" spans="1:13" x14ac:dyDescent="0.75">
      <c r="A3846" t="s">
        <v>12563</v>
      </c>
      <c r="B3846" t="s">
        <v>10463</v>
      </c>
      <c r="C3846" t="s">
        <v>10464</v>
      </c>
      <c r="D3846" t="s">
        <v>10465</v>
      </c>
      <c r="E3846" t="s">
        <v>12058</v>
      </c>
      <c r="F3846">
        <v>8</v>
      </c>
      <c r="G3846">
        <v>4892467</v>
      </c>
      <c r="H3846" t="s">
        <v>12564</v>
      </c>
      <c r="J3846" s="54" t="s">
        <v>6052</v>
      </c>
      <c r="K3846" s="54">
        <v>0</v>
      </c>
      <c r="L3846" s="22" t="s">
        <v>144</v>
      </c>
      <c r="M3846" s="22" t="s">
        <v>37119</v>
      </c>
    </row>
    <row r="3847" spans="1:13" x14ac:dyDescent="0.75">
      <c r="A3847" t="s">
        <v>16995</v>
      </c>
      <c r="B3847" t="s">
        <v>10463</v>
      </c>
      <c r="C3847" t="s">
        <v>10464</v>
      </c>
      <c r="D3847" t="s">
        <v>10465</v>
      </c>
      <c r="E3847" t="s">
        <v>16996</v>
      </c>
      <c r="F3847">
        <v>71</v>
      </c>
      <c r="G3847">
        <v>4763064</v>
      </c>
      <c r="H3847" t="s">
        <v>16997</v>
      </c>
      <c r="J3847" s="54" t="s">
        <v>6052</v>
      </c>
      <c r="K3847" s="54">
        <v>0</v>
      </c>
      <c r="L3847" s="22" t="s">
        <v>144</v>
      </c>
      <c r="M3847" s="22" t="s">
        <v>37119</v>
      </c>
    </row>
    <row r="3848" spans="1:13" x14ac:dyDescent="0.75">
      <c r="A3848" t="s">
        <v>15370</v>
      </c>
      <c r="B3848" t="s">
        <v>10463</v>
      </c>
      <c r="C3848" t="s">
        <v>10464</v>
      </c>
      <c r="D3848" t="s">
        <v>10465</v>
      </c>
      <c r="E3848" t="s">
        <v>15371</v>
      </c>
      <c r="F3848">
        <v>82</v>
      </c>
      <c r="G3848">
        <v>4788243</v>
      </c>
      <c r="H3848" t="s">
        <v>15372</v>
      </c>
      <c r="J3848" s="54" t="s">
        <v>6052</v>
      </c>
      <c r="K3848" s="54">
        <v>0</v>
      </c>
      <c r="L3848" s="22" t="s">
        <v>144</v>
      </c>
      <c r="M3848" s="22" t="s">
        <v>37119</v>
      </c>
    </row>
    <row r="3849" spans="1:13" x14ac:dyDescent="0.75">
      <c r="A3849" t="s">
        <v>26244</v>
      </c>
      <c r="B3849" t="s">
        <v>10463</v>
      </c>
      <c r="C3849" t="s">
        <v>10464</v>
      </c>
      <c r="D3849" t="s">
        <v>10465</v>
      </c>
      <c r="E3849" t="s">
        <v>26245</v>
      </c>
      <c r="F3849">
        <v>21</v>
      </c>
      <c r="G3849">
        <v>4820104</v>
      </c>
      <c r="H3849" t="s">
        <v>26246</v>
      </c>
      <c r="J3849" s="54" t="s">
        <v>6052</v>
      </c>
      <c r="K3849" s="54">
        <v>0</v>
      </c>
      <c r="L3849" s="22" t="s">
        <v>144</v>
      </c>
      <c r="M3849" s="22" t="s">
        <v>37119</v>
      </c>
    </row>
    <row r="3850" spans="1:13" x14ac:dyDescent="0.75">
      <c r="A3850" t="s">
        <v>10462</v>
      </c>
      <c r="B3850" t="s">
        <v>10463</v>
      </c>
      <c r="C3850" t="s">
        <v>10464</v>
      </c>
      <c r="D3850" t="s">
        <v>10465</v>
      </c>
      <c r="E3850" t="s">
        <v>10466</v>
      </c>
      <c r="F3850">
        <v>1</v>
      </c>
      <c r="G3850">
        <v>4843789</v>
      </c>
      <c r="H3850" t="s">
        <v>10467</v>
      </c>
      <c r="J3850" s="54" t="s">
        <v>6052</v>
      </c>
      <c r="K3850" s="54">
        <v>0</v>
      </c>
      <c r="L3850" s="22" t="s">
        <v>144</v>
      </c>
      <c r="M3850" s="22" t="s">
        <v>37119</v>
      </c>
    </row>
    <row r="3851" spans="1:13" x14ac:dyDescent="0.75">
      <c r="A3851" t="s">
        <v>7275</v>
      </c>
      <c r="B3851" t="s">
        <v>7276</v>
      </c>
      <c r="C3851" t="s">
        <v>7093</v>
      </c>
      <c r="D3851" t="s">
        <v>7277</v>
      </c>
      <c r="E3851" t="s">
        <v>7278</v>
      </c>
      <c r="F3851">
        <v>34</v>
      </c>
      <c r="G3851">
        <v>1726197</v>
      </c>
      <c r="H3851" t="s">
        <v>7279</v>
      </c>
      <c r="J3851" s="54" t="s">
        <v>6052</v>
      </c>
      <c r="K3851" s="54">
        <v>0</v>
      </c>
      <c r="L3851" s="22" t="s">
        <v>1308</v>
      </c>
      <c r="M3851" s="22" t="s">
        <v>37120</v>
      </c>
    </row>
    <row r="3852" spans="1:13" x14ac:dyDescent="0.75">
      <c r="A3852" t="s">
        <v>11904</v>
      </c>
      <c r="B3852" t="s">
        <v>7276</v>
      </c>
      <c r="C3852" t="s">
        <v>7093</v>
      </c>
      <c r="D3852" t="s">
        <v>7277</v>
      </c>
      <c r="E3852" t="s">
        <v>11905</v>
      </c>
      <c r="F3852">
        <v>85</v>
      </c>
      <c r="G3852">
        <v>1729361</v>
      </c>
      <c r="H3852" t="s">
        <v>11906</v>
      </c>
      <c r="J3852" s="54" t="s">
        <v>6052</v>
      </c>
      <c r="K3852" s="54">
        <v>0</v>
      </c>
      <c r="L3852" s="22" t="s">
        <v>1308</v>
      </c>
      <c r="M3852" s="22" t="s">
        <v>37120</v>
      </c>
    </row>
    <row r="3853" spans="1:13" x14ac:dyDescent="0.75">
      <c r="A3853" t="s">
        <v>7579</v>
      </c>
      <c r="B3853" t="s">
        <v>7145</v>
      </c>
      <c r="C3853" t="s">
        <v>6156</v>
      </c>
      <c r="D3853" t="s">
        <v>7146</v>
      </c>
      <c r="E3853" t="s">
        <v>7580</v>
      </c>
      <c r="F3853">
        <v>132</v>
      </c>
      <c r="G3853">
        <v>2138393</v>
      </c>
      <c r="H3853" t="s">
        <v>7581</v>
      </c>
      <c r="J3853" s="54" t="s">
        <v>6052</v>
      </c>
      <c r="K3853" s="54">
        <v>0</v>
      </c>
      <c r="L3853" s="22" t="s">
        <v>104</v>
      </c>
      <c r="M3853" s="22" t="s">
        <v>37161</v>
      </c>
    </row>
    <row r="3854" spans="1:13" x14ac:dyDescent="0.75">
      <c r="A3854" t="s">
        <v>7340</v>
      </c>
      <c r="B3854" t="s">
        <v>7145</v>
      </c>
      <c r="C3854" t="s">
        <v>6156</v>
      </c>
      <c r="D3854" t="s">
        <v>7146</v>
      </c>
      <c r="E3854" t="s">
        <v>7341</v>
      </c>
      <c r="F3854">
        <v>44</v>
      </c>
      <c r="G3854">
        <v>2023964</v>
      </c>
      <c r="H3854" t="s">
        <v>7342</v>
      </c>
      <c r="J3854" s="54" t="s">
        <v>6052</v>
      </c>
      <c r="K3854" s="54">
        <v>0</v>
      </c>
      <c r="L3854" s="22" t="s">
        <v>104</v>
      </c>
      <c r="M3854" s="22" t="s">
        <v>37161</v>
      </c>
    </row>
    <row r="3855" spans="1:13" x14ac:dyDescent="0.75">
      <c r="A3855" t="s">
        <v>30293</v>
      </c>
      <c r="B3855" t="s">
        <v>7276</v>
      </c>
      <c r="C3855" t="s">
        <v>7093</v>
      </c>
      <c r="D3855" t="s">
        <v>7277</v>
      </c>
      <c r="E3855" t="s">
        <v>30294</v>
      </c>
      <c r="F3855">
        <v>18</v>
      </c>
      <c r="G3855">
        <v>1589103</v>
      </c>
      <c r="H3855" t="s">
        <v>30295</v>
      </c>
      <c r="J3855" s="54" t="s">
        <v>6052</v>
      </c>
      <c r="K3855" s="54">
        <v>0</v>
      </c>
      <c r="L3855" s="22" t="s">
        <v>1308</v>
      </c>
      <c r="M3855" s="22" t="s">
        <v>37120</v>
      </c>
    </row>
    <row r="3856" spans="1:13" x14ac:dyDescent="0.75">
      <c r="A3856" t="s">
        <v>13378</v>
      </c>
      <c r="B3856" t="s">
        <v>7145</v>
      </c>
      <c r="C3856" t="s">
        <v>6156</v>
      </c>
      <c r="D3856" t="s">
        <v>7146</v>
      </c>
      <c r="E3856" t="s">
        <v>7341</v>
      </c>
      <c r="F3856">
        <v>1</v>
      </c>
      <c r="G3856">
        <v>2146723</v>
      </c>
      <c r="H3856" t="s">
        <v>13379</v>
      </c>
      <c r="J3856" s="54" t="s">
        <v>6052</v>
      </c>
      <c r="K3856" s="54">
        <v>0</v>
      </c>
      <c r="L3856" s="22" t="s">
        <v>104</v>
      </c>
      <c r="M3856" s="22" t="s">
        <v>37161</v>
      </c>
    </row>
    <row r="3857" spans="1:13" x14ac:dyDescent="0.75">
      <c r="A3857" t="s">
        <v>30205</v>
      </c>
      <c r="B3857" t="s">
        <v>7276</v>
      </c>
      <c r="C3857" t="s">
        <v>7093</v>
      </c>
      <c r="D3857" t="s">
        <v>7277</v>
      </c>
      <c r="E3857" t="s">
        <v>30206</v>
      </c>
      <c r="F3857">
        <v>15</v>
      </c>
      <c r="G3857">
        <v>1588748</v>
      </c>
      <c r="H3857" t="s">
        <v>30207</v>
      </c>
      <c r="J3857" s="54" t="s">
        <v>6052</v>
      </c>
      <c r="K3857" s="54">
        <v>0</v>
      </c>
      <c r="L3857" s="22" t="s">
        <v>1308</v>
      </c>
      <c r="M3857" s="22" t="s">
        <v>37120</v>
      </c>
    </row>
    <row r="3858" spans="1:13" x14ac:dyDescent="0.75">
      <c r="A3858" t="s">
        <v>7870</v>
      </c>
      <c r="B3858" t="s">
        <v>7871</v>
      </c>
      <c r="C3858" t="s">
        <v>6156</v>
      </c>
      <c r="D3858" t="s">
        <v>7872</v>
      </c>
      <c r="E3858" t="s">
        <v>7873</v>
      </c>
      <c r="F3858">
        <v>198</v>
      </c>
      <c r="G3858">
        <v>2748368</v>
      </c>
      <c r="H3858" t="s">
        <v>7874</v>
      </c>
      <c r="J3858" s="54" t="s">
        <v>6052</v>
      </c>
      <c r="K3858" s="54">
        <v>0</v>
      </c>
      <c r="L3858" s="22" t="s">
        <v>104</v>
      </c>
      <c r="M3858" s="22" t="s">
        <v>37171</v>
      </c>
    </row>
    <row r="3859" spans="1:13" x14ac:dyDescent="0.75">
      <c r="A3859" t="s">
        <v>22869</v>
      </c>
      <c r="B3859" t="s">
        <v>7871</v>
      </c>
      <c r="C3859" t="s">
        <v>6156</v>
      </c>
      <c r="D3859" t="s">
        <v>7872</v>
      </c>
      <c r="E3859" t="s">
        <v>7873</v>
      </c>
      <c r="F3859">
        <v>1</v>
      </c>
      <c r="G3859">
        <v>2801968</v>
      </c>
      <c r="H3859" t="s">
        <v>22870</v>
      </c>
      <c r="J3859" s="54" t="s">
        <v>6052</v>
      </c>
      <c r="K3859" s="54">
        <v>0</v>
      </c>
      <c r="L3859" s="22" t="s">
        <v>104</v>
      </c>
      <c r="M3859" s="22" t="s">
        <v>37171</v>
      </c>
    </row>
    <row r="3860" spans="1:13" x14ac:dyDescent="0.75">
      <c r="A3860" t="s">
        <v>30783</v>
      </c>
      <c r="B3860" t="s">
        <v>7871</v>
      </c>
      <c r="C3860" t="s">
        <v>6156</v>
      </c>
      <c r="D3860" t="s">
        <v>7872</v>
      </c>
      <c r="E3860" t="s">
        <v>30784</v>
      </c>
      <c r="F3860">
        <v>146</v>
      </c>
      <c r="G3860">
        <v>2730464</v>
      </c>
      <c r="H3860" t="s">
        <v>30785</v>
      </c>
      <c r="J3860" s="54" t="s">
        <v>6052</v>
      </c>
      <c r="K3860" s="54">
        <v>0</v>
      </c>
      <c r="L3860" s="22" t="s">
        <v>104</v>
      </c>
      <c r="M3860" s="22" t="s">
        <v>37171</v>
      </c>
    </row>
    <row r="3861" spans="1:13" x14ac:dyDescent="0.75">
      <c r="A3861" t="s">
        <v>28276</v>
      </c>
      <c r="B3861" t="s">
        <v>7871</v>
      </c>
      <c r="C3861" t="s">
        <v>6156</v>
      </c>
      <c r="D3861" t="s">
        <v>7872</v>
      </c>
      <c r="E3861" t="s">
        <v>28277</v>
      </c>
      <c r="F3861">
        <v>198</v>
      </c>
      <c r="G3861">
        <v>2748368</v>
      </c>
      <c r="H3861" t="s">
        <v>28278</v>
      </c>
      <c r="J3861" s="54" t="s">
        <v>6052</v>
      </c>
      <c r="K3861" s="54">
        <v>0</v>
      </c>
      <c r="L3861" s="22" t="s">
        <v>104</v>
      </c>
      <c r="M3861" s="22" t="s">
        <v>37171</v>
      </c>
    </row>
    <row r="3862" spans="1:13" x14ac:dyDescent="0.75">
      <c r="A3862" t="s">
        <v>6506</v>
      </c>
      <c r="B3862" t="s">
        <v>6155</v>
      </c>
      <c r="C3862" t="s">
        <v>6156</v>
      </c>
      <c r="D3862" t="s">
        <v>6157</v>
      </c>
      <c r="E3862">
        <v>8013</v>
      </c>
      <c r="F3862">
        <v>1</v>
      </c>
      <c r="G3862">
        <v>2277550</v>
      </c>
      <c r="H3862" t="s">
        <v>6507</v>
      </c>
      <c r="J3862" s="54" t="s">
        <v>6052</v>
      </c>
      <c r="K3862" s="54">
        <v>0</v>
      </c>
      <c r="L3862" s="22" t="s">
        <v>104</v>
      </c>
      <c r="M3862" s="22" t="s">
        <v>37160</v>
      </c>
    </row>
    <row r="3863" spans="1:13" x14ac:dyDescent="0.75">
      <c r="A3863" t="s">
        <v>13306</v>
      </c>
      <c r="B3863" t="s">
        <v>6155</v>
      </c>
      <c r="C3863" t="s">
        <v>6156</v>
      </c>
      <c r="D3863" t="s">
        <v>6157</v>
      </c>
      <c r="E3863">
        <v>38277</v>
      </c>
      <c r="F3863">
        <v>1</v>
      </c>
      <c r="G3863">
        <v>2264278</v>
      </c>
      <c r="H3863" t="s">
        <v>13307</v>
      </c>
      <c r="J3863" s="54" t="s">
        <v>6052</v>
      </c>
      <c r="K3863" s="54">
        <v>0</v>
      </c>
      <c r="L3863" s="22" t="s">
        <v>104</v>
      </c>
      <c r="M3863" s="22" t="s">
        <v>37160</v>
      </c>
    </row>
    <row r="3864" spans="1:13" x14ac:dyDescent="0.75">
      <c r="A3864" t="s">
        <v>17331</v>
      </c>
      <c r="B3864" t="s">
        <v>6155</v>
      </c>
      <c r="C3864" t="s">
        <v>6156</v>
      </c>
      <c r="D3864" t="s">
        <v>6157</v>
      </c>
      <c r="E3864" s="5">
        <v>46333</v>
      </c>
      <c r="F3864">
        <v>1</v>
      </c>
      <c r="G3864">
        <v>2157444</v>
      </c>
      <c r="H3864" t="s">
        <v>17332</v>
      </c>
      <c r="J3864" s="54" t="s">
        <v>6052</v>
      </c>
      <c r="K3864" s="54">
        <v>0</v>
      </c>
      <c r="L3864" s="22" t="s">
        <v>104</v>
      </c>
      <c r="M3864" s="22" t="s">
        <v>37160</v>
      </c>
    </row>
    <row r="3865" spans="1:13" x14ac:dyDescent="0.75">
      <c r="A3865" t="s">
        <v>17329</v>
      </c>
      <c r="B3865" t="s">
        <v>6155</v>
      </c>
      <c r="C3865" t="s">
        <v>6156</v>
      </c>
      <c r="D3865" t="s">
        <v>6157</v>
      </c>
      <c r="E3865" s="5">
        <v>46340</v>
      </c>
      <c r="F3865">
        <v>1</v>
      </c>
      <c r="G3865">
        <v>2156539</v>
      </c>
      <c r="H3865" t="s">
        <v>17330</v>
      </c>
      <c r="J3865" s="54" t="s">
        <v>6052</v>
      </c>
      <c r="K3865" s="54">
        <v>0</v>
      </c>
      <c r="L3865" s="22" t="s">
        <v>104</v>
      </c>
      <c r="M3865" s="22" t="s">
        <v>37160</v>
      </c>
    </row>
    <row r="3866" spans="1:13" x14ac:dyDescent="0.75">
      <c r="A3866" t="s">
        <v>17920</v>
      </c>
      <c r="B3866" t="s">
        <v>7276</v>
      </c>
      <c r="C3866" t="s">
        <v>7093</v>
      </c>
      <c r="D3866" t="s">
        <v>7277</v>
      </c>
      <c r="E3866" t="s">
        <v>17921</v>
      </c>
      <c r="F3866">
        <v>112</v>
      </c>
      <c r="G3866">
        <v>1774475</v>
      </c>
      <c r="H3866" t="s">
        <v>17922</v>
      </c>
      <c r="J3866" s="54" t="s">
        <v>6052</v>
      </c>
      <c r="K3866" s="54">
        <v>0</v>
      </c>
      <c r="L3866" s="22" t="s">
        <v>1308</v>
      </c>
      <c r="M3866" s="22" t="s">
        <v>37120</v>
      </c>
    </row>
    <row r="3867" spans="1:13" x14ac:dyDescent="0.75">
      <c r="A3867" t="s">
        <v>6269</v>
      </c>
      <c r="B3867" t="s">
        <v>6155</v>
      </c>
      <c r="C3867" t="s">
        <v>6156</v>
      </c>
      <c r="D3867" t="s">
        <v>6157</v>
      </c>
      <c r="E3867">
        <v>53442</v>
      </c>
      <c r="F3867">
        <v>1</v>
      </c>
      <c r="G3867">
        <v>2153416</v>
      </c>
      <c r="H3867" t="s">
        <v>6270</v>
      </c>
      <c r="J3867" s="54" t="s">
        <v>6052</v>
      </c>
      <c r="K3867" s="54">
        <v>0</v>
      </c>
      <c r="L3867" s="22" t="s">
        <v>104</v>
      </c>
      <c r="M3867" s="22" t="s">
        <v>37160</v>
      </c>
    </row>
    <row r="3868" spans="1:13" x14ac:dyDescent="0.75">
      <c r="A3868" t="s">
        <v>12575</v>
      </c>
      <c r="B3868" t="s">
        <v>6155</v>
      </c>
      <c r="C3868" t="s">
        <v>6156</v>
      </c>
      <c r="D3868" t="s">
        <v>6157</v>
      </c>
      <c r="E3868">
        <v>331401</v>
      </c>
      <c r="F3868">
        <v>1</v>
      </c>
      <c r="G3868">
        <v>2191116</v>
      </c>
      <c r="H3868" t="s">
        <v>12576</v>
      </c>
      <c r="J3868" s="54" t="s">
        <v>6052</v>
      </c>
      <c r="K3868" s="54">
        <v>0</v>
      </c>
      <c r="L3868" s="22" t="s">
        <v>104</v>
      </c>
      <c r="M3868" s="22" t="s">
        <v>37160</v>
      </c>
    </row>
    <row r="3869" spans="1:13" x14ac:dyDescent="0.75">
      <c r="A3869" t="s">
        <v>30320</v>
      </c>
      <c r="B3869" t="s">
        <v>7276</v>
      </c>
      <c r="C3869" t="s">
        <v>7093</v>
      </c>
      <c r="D3869" t="s">
        <v>7277</v>
      </c>
      <c r="E3869" t="s">
        <v>30321</v>
      </c>
      <c r="F3869">
        <v>16</v>
      </c>
      <c r="G3869">
        <v>1659626</v>
      </c>
      <c r="H3869" t="s">
        <v>30322</v>
      </c>
      <c r="J3869" s="54" t="s">
        <v>6052</v>
      </c>
      <c r="K3869" s="54">
        <v>0</v>
      </c>
      <c r="L3869" s="22" t="s">
        <v>1308</v>
      </c>
      <c r="M3869" s="22" t="s">
        <v>37120</v>
      </c>
    </row>
    <row r="3870" spans="1:13" x14ac:dyDescent="0.75">
      <c r="A3870" t="s">
        <v>30232</v>
      </c>
      <c r="B3870" t="s">
        <v>7276</v>
      </c>
      <c r="C3870" t="s">
        <v>7093</v>
      </c>
      <c r="D3870" t="s">
        <v>7277</v>
      </c>
      <c r="E3870" t="s">
        <v>30233</v>
      </c>
      <c r="F3870">
        <v>30</v>
      </c>
      <c r="G3870">
        <v>1739563</v>
      </c>
      <c r="H3870" t="s">
        <v>30234</v>
      </c>
      <c r="J3870" s="54" t="s">
        <v>6052</v>
      </c>
      <c r="K3870" s="54">
        <v>0</v>
      </c>
      <c r="L3870" s="22" t="s">
        <v>1308</v>
      </c>
      <c r="M3870" s="22" t="s">
        <v>37120</v>
      </c>
    </row>
    <row r="3871" spans="1:13" x14ac:dyDescent="0.75">
      <c r="A3871" t="s">
        <v>10371</v>
      </c>
      <c r="B3871" t="s">
        <v>6155</v>
      </c>
      <c r="C3871" t="s">
        <v>6156</v>
      </c>
      <c r="D3871" t="s">
        <v>6157</v>
      </c>
      <c r="E3871">
        <v>510612</v>
      </c>
      <c r="F3871">
        <v>1</v>
      </c>
      <c r="G3871">
        <v>2188020</v>
      </c>
      <c r="H3871" t="s">
        <v>10372</v>
      </c>
      <c r="J3871" s="54" t="s">
        <v>6052</v>
      </c>
      <c r="K3871" s="54">
        <v>0</v>
      </c>
      <c r="L3871" s="22" t="s">
        <v>104</v>
      </c>
      <c r="M3871" s="22" t="s">
        <v>37160</v>
      </c>
    </row>
    <row r="3872" spans="1:13" x14ac:dyDescent="0.75">
      <c r="A3872" t="s">
        <v>19900</v>
      </c>
      <c r="B3872" t="s">
        <v>6155</v>
      </c>
      <c r="C3872" t="s">
        <v>6156</v>
      </c>
      <c r="D3872" t="s">
        <v>6157</v>
      </c>
      <c r="E3872" t="s">
        <v>19901</v>
      </c>
      <c r="F3872">
        <v>1</v>
      </c>
      <c r="G3872">
        <v>2182561</v>
      </c>
      <c r="H3872" t="s">
        <v>19902</v>
      </c>
      <c r="J3872" s="54" t="s">
        <v>6052</v>
      </c>
      <c r="K3872" s="54">
        <v>0</v>
      </c>
      <c r="L3872" s="22" t="s">
        <v>104</v>
      </c>
      <c r="M3872" s="22" t="s">
        <v>37160</v>
      </c>
    </row>
    <row r="3873" spans="1:13" x14ac:dyDescent="0.75">
      <c r="A3873" t="s">
        <v>30250</v>
      </c>
      <c r="B3873" t="s">
        <v>7276</v>
      </c>
      <c r="C3873" t="s">
        <v>7093</v>
      </c>
      <c r="D3873" t="s">
        <v>7277</v>
      </c>
      <c r="E3873" t="s">
        <v>30251</v>
      </c>
      <c r="F3873">
        <v>14</v>
      </c>
      <c r="G3873">
        <v>1649515</v>
      </c>
      <c r="H3873" t="s">
        <v>30252</v>
      </c>
      <c r="J3873" s="54" t="s">
        <v>6052</v>
      </c>
      <c r="K3873" s="54">
        <v>0</v>
      </c>
      <c r="L3873" s="22" t="s">
        <v>1308</v>
      </c>
      <c r="M3873" s="22" t="s">
        <v>37120</v>
      </c>
    </row>
    <row r="3874" spans="1:13" x14ac:dyDescent="0.75">
      <c r="A3874" t="s">
        <v>30439</v>
      </c>
      <c r="B3874" t="s">
        <v>7276</v>
      </c>
      <c r="C3874" t="s">
        <v>7093</v>
      </c>
      <c r="D3874" t="s">
        <v>7277</v>
      </c>
      <c r="E3874" t="s">
        <v>30440</v>
      </c>
      <c r="F3874">
        <v>14</v>
      </c>
      <c r="G3874">
        <v>1742612</v>
      </c>
      <c r="H3874" t="s">
        <v>30441</v>
      </c>
      <c r="J3874" s="54" t="s">
        <v>6052</v>
      </c>
      <c r="K3874" s="54">
        <v>0</v>
      </c>
      <c r="L3874" s="22" t="s">
        <v>1308</v>
      </c>
      <c r="M3874" s="22" t="s">
        <v>37120</v>
      </c>
    </row>
    <row r="3875" spans="1:13" x14ac:dyDescent="0.75">
      <c r="A3875" t="s">
        <v>17326</v>
      </c>
      <c r="B3875" t="s">
        <v>6155</v>
      </c>
      <c r="C3875" t="s">
        <v>6156</v>
      </c>
      <c r="D3875" t="s">
        <v>6157</v>
      </c>
      <c r="E3875" t="s">
        <v>17327</v>
      </c>
      <c r="F3875">
        <v>1</v>
      </c>
      <c r="G3875">
        <v>2168615</v>
      </c>
      <c r="H3875" t="s">
        <v>17328</v>
      </c>
      <c r="J3875" s="54" t="s">
        <v>6052</v>
      </c>
      <c r="K3875" s="54">
        <v>0</v>
      </c>
      <c r="L3875" s="22" t="s">
        <v>104</v>
      </c>
      <c r="M3875" s="22" t="s">
        <v>37160</v>
      </c>
    </row>
    <row r="3876" spans="1:13" x14ac:dyDescent="0.75">
      <c r="A3876" t="s">
        <v>7790</v>
      </c>
      <c r="B3876" t="s">
        <v>7276</v>
      </c>
      <c r="C3876" t="s">
        <v>7093</v>
      </c>
      <c r="D3876" t="s">
        <v>7277</v>
      </c>
      <c r="E3876" t="s">
        <v>7791</v>
      </c>
      <c r="F3876">
        <v>45</v>
      </c>
      <c r="G3876">
        <v>1640787</v>
      </c>
      <c r="H3876" t="s">
        <v>7792</v>
      </c>
      <c r="J3876" s="54" t="s">
        <v>6052</v>
      </c>
      <c r="K3876" s="54">
        <v>0</v>
      </c>
      <c r="L3876" s="22" t="s">
        <v>1308</v>
      </c>
      <c r="M3876" s="22" t="s">
        <v>37120</v>
      </c>
    </row>
    <row r="3877" spans="1:13" x14ac:dyDescent="0.75">
      <c r="A3877" t="s">
        <v>685</v>
      </c>
      <c r="B3877" t="s">
        <v>687</v>
      </c>
      <c r="C3877" t="s">
        <v>8695</v>
      </c>
      <c r="D3877" t="s">
        <v>8696</v>
      </c>
      <c r="E3877" t="s">
        <v>8697</v>
      </c>
      <c r="F3877">
        <v>1</v>
      </c>
      <c r="G3877">
        <v>3300414</v>
      </c>
      <c r="H3877" t="s">
        <v>8698</v>
      </c>
      <c r="J3877" s="54" t="s">
        <v>6052</v>
      </c>
      <c r="K3877" s="54">
        <v>0</v>
      </c>
      <c r="L3877" s="22" t="s">
        <v>686</v>
      </c>
      <c r="M3877" s="22" t="s">
        <v>688</v>
      </c>
    </row>
    <row r="3878" spans="1:13" x14ac:dyDescent="0.75">
      <c r="A3878" t="s">
        <v>6182</v>
      </c>
      <c r="B3878" t="s">
        <v>6183</v>
      </c>
      <c r="C3878" t="s">
        <v>6184</v>
      </c>
      <c r="D3878" t="s">
        <v>6185</v>
      </c>
      <c r="E3878" t="s">
        <v>6186</v>
      </c>
      <c r="F3878">
        <v>3</v>
      </c>
      <c r="G3878">
        <v>7596297</v>
      </c>
      <c r="H3878" t="s">
        <v>6187</v>
      </c>
      <c r="J3878" s="54" t="s">
        <v>6052</v>
      </c>
      <c r="K3878" s="54">
        <v>0</v>
      </c>
      <c r="L3878" s="22" t="s">
        <v>144</v>
      </c>
      <c r="M3878" s="22" t="s">
        <v>37122</v>
      </c>
    </row>
    <row r="3879" spans="1:13" x14ac:dyDescent="0.75">
      <c r="A3879" t="s">
        <v>10072</v>
      </c>
      <c r="B3879" t="s">
        <v>6183</v>
      </c>
      <c r="C3879" t="s">
        <v>6184</v>
      </c>
      <c r="D3879" t="s">
        <v>6185</v>
      </c>
      <c r="E3879" t="s">
        <v>10073</v>
      </c>
      <c r="F3879">
        <v>3</v>
      </c>
      <c r="G3879">
        <v>6529530</v>
      </c>
      <c r="H3879" t="s">
        <v>10074</v>
      </c>
      <c r="J3879" s="54" t="s">
        <v>6052</v>
      </c>
      <c r="K3879" s="54">
        <v>0</v>
      </c>
      <c r="L3879" s="22" t="s">
        <v>144</v>
      </c>
      <c r="M3879" s="22" t="s">
        <v>37122</v>
      </c>
    </row>
    <row r="3880" spans="1:13" x14ac:dyDescent="0.75">
      <c r="A3880" t="s">
        <v>17943</v>
      </c>
      <c r="B3880" t="s">
        <v>6183</v>
      </c>
      <c r="C3880" t="s">
        <v>6184</v>
      </c>
      <c r="D3880" t="s">
        <v>6185</v>
      </c>
      <c r="E3880" t="s">
        <v>10073</v>
      </c>
      <c r="F3880">
        <v>1</v>
      </c>
      <c r="G3880">
        <v>6529994</v>
      </c>
      <c r="H3880" t="s">
        <v>17944</v>
      </c>
      <c r="J3880" s="54" t="s">
        <v>6052</v>
      </c>
      <c r="K3880" s="54">
        <v>0</v>
      </c>
      <c r="L3880" s="22" t="s">
        <v>144</v>
      </c>
      <c r="M3880" s="22" t="s">
        <v>37122</v>
      </c>
    </row>
    <row r="3881" spans="1:13" x14ac:dyDescent="0.75">
      <c r="A3881" t="s">
        <v>18348</v>
      </c>
      <c r="B3881" t="s">
        <v>6183</v>
      </c>
      <c r="C3881" t="s">
        <v>6184</v>
      </c>
      <c r="D3881" t="s">
        <v>6185</v>
      </c>
      <c r="E3881" t="s">
        <v>10073</v>
      </c>
      <c r="F3881">
        <v>1</v>
      </c>
      <c r="G3881">
        <v>6530403</v>
      </c>
      <c r="H3881" t="s">
        <v>18349</v>
      </c>
      <c r="J3881" s="54" t="s">
        <v>6052</v>
      </c>
      <c r="K3881" s="54">
        <v>0</v>
      </c>
      <c r="L3881" s="22" t="s">
        <v>144</v>
      </c>
      <c r="M3881" s="22" t="s">
        <v>37122</v>
      </c>
    </row>
    <row r="3882" spans="1:13" x14ac:dyDescent="0.75">
      <c r="A3882" t="s">
        <v>12297</v>
      </c>
      <c r="B3882" t="s">
        <v>6183</v>
      </c>
      <c r="C3882" t="s">
        <v>6184</v>
      </c>
      <c r="D3882" t="s">
        <v>6185</v>
      </c>
      <c r="E3882" t="s">
        <v>12298</v>
      </c>
      <c r="F3882">
        <v>15</v>
      </c>
      <c r="G3882">
        <v>6508905</v>
      </c>
      <c r="H3882" t="s">
        <v>12299</v>
      </c>
      <c r="J3882" s="54" t="s">
        <v>6052</v>
      </c>
      <c r="K3882" s="54">
        <v>0</v>
      </c>
      <c r="L3882" s="22" t="s">
        <v>144</v>
      </c>
      <c r="M3882" s="22" t="s">
        <v>37122</v>
      </c>
    </row>
    <row r="3883" spans="1:13" x14ac:dyDescent="0.75">
      <c r="A3883" t="s">
        <v>18370</v>
      </c>
      <c r="B3883" t="s">
        <v>6183</v>
      </c>
      <c r="C3883" t="s">
        <v>6184</v>
      </c>
      <c r="D3883" t="s">
        <v>6185</v>
      </c>
      <c r="E3883" t="s">
        <v>18371</v>
      </c>
      <c r="F3883">
        <v>1</v>
      </c>
      <c r="G3883">
        <v>6028604</v>
      </c>
      <c r="H3883" t="s">
        <v>18372</v>
      </c>
      <c r="J3883" s="54" t="s">
        <v>6052</v>
      </c>
      <c r="K3883" s="54">
        <v>0</v>
      </c>
      <c r="L3883" s="22" t="s">
        <v>144</v>
      </c>
      <c r="M3883" s="22" t="s">
        <v>37122</v>
      </c>
    </row>
    <row r="3884" spans="1:13" x14ac:dyDescent="0.75">
      <c r="A3884" t="s">
        <v>18350</v>
      </c>
      <c r="B3884" t="s">
        <v>6183</v>
      </c>
      <c r="C3884" t="s">
        <v>6184</v>
      </c>
      <c r="D3884" t="s">
        <v>6185</v>
      </c>
      <c r="E3884" t="s">
        <v>18351</v>
      </c>
      <c r="F3884">
        <v>1</v>
      </c>
      <c r="G3884">
        <v>6530403</v>
      </c>
      <c r="H3884" t="s">
        <v>18352</v>
      </c>
      <c r="J3884" s="54" t="s">
        <v>6052</v>
      </c>
      <c r="K3884" s="54">
        <v>0</v>
      </c>
      <c r="L3884" s="22" t="s">
        <v>144</v>
      </c>
      <c r="M3884" s="22" t="s">
        <v>37122</v>
      </c>
    </row>
    <row r="3885" spans="1:13" x14ac:dyDescent="0.75">
      <c r="A3885" t="s">
        <v>18367</v>
      </c>
      <c r="B3885" t="s">
        <v>6183</v>
      </c>
      <c r="C3885" t="s">
        <v>6184</v>
      </c>
      <c r="D3885" t="s">
        <v>6185</v>
      </c>
      <c r="E3885" t="s">
        <v>18368</v>
      </c>
      <c r="F3885">
        <v>1</v>
      </c>
      <c r="G3885">
        <v>6530396</v>
      </c>
      <c r="H3885" t="s">
        <v>18369</v>
      </c>
      <c r="J3885" s="54" t="s">
        <v>6052</v>
      </c>
      <c r="K3885" s="54">
        <v>0</v>
      </c>
      <c r="L3885" s="22" t="s">
        <v>144</v>
      </c>
      <c r="M3885" s="22" t="s">
        <v>37122</v>
      </c>
    </row>
    <row r="3886" spans="1:13" x14ac:dyDescent="0.75">
      <c r="A3886" t="s">
        <v>19897</v>
      </c>
      <c r="B3886" t="s">
        <v>6155</v>
      </c>
      <c r="C3886" t="s">
        <v>6156</v>
      </c>
      <c r="D3886" t="s">
        <v>6157</v>
      </c>
      <c r="E3886" t="s">
        <v>19898</v>
      </c>
      <c r="F3886">
        <v>1</v>
      </c>
      <c r="G3886">
        <v>2171562</v>
      </c>
      <c r="H3886" t="s">
        <v>19899</v>
      </c>
      <c r="J3886" s="54" t="s">
        <v>6052</v>
      </c>
      <c r="K3886" s="54">
        <v>0</v>
      </c>
      <c r="L3886" s="22" t="s">
        <v>104</v>
      </c>
      <c r="M3886" s="22" t="s">
        <v>37160</v>
      </c>
    </row>
    <row r="3887" spans="1:13" x14ac:dyDescent="0.75">
      <c r="A3887" t="s">
        <v>17317</v>
      </c>
      <c r="B3887" t="s">
        <v>6155</v>
      </c>
      <c r="C3887" t="s">
        <v>6156</v>
      </c>
      <c r="D3887" t="s">
        <v>6157</v>
      </c>
      <c r="E3887" t="s">
        <v>17318</v>
      </c>
      <c r="F3887">
        <v>1</v>
      </c>
      <c r="G3887">
        <v>2167947</v>
      </c>
      <c r="H3887" t="s">
        <v>17319</v>
      </c>
      <c r="J3887" s="54" t="s">
        <v>6052</v>
      </c>
      <c r="K3887" s="54">
        <v>0</v>
      </c>
      <c r="L3887" s="22" t="s">
        <v>104</v>
      </c>
      <c r="M3887" s="22" t="s">
        <v>37160</v>
      </c>
    </row>
    <row r="3888" spans="1:13" x14ac:dyDescent="0.75">
      <c r="A3888" t="s">
        <v>17339</v>
      </c>
      <c r="B3888" t="s">
        <v>6155</v>
      </c>
      <c r="C3888" t="s">
        <v>6156</v>
      </c>
      <c r="D3888" t="s">
        <v>6157</v>
      </c>
      <c r="E3888" t="s">
        <v>17340</v>
      </c>
      <c r="F3888">
        <v>1</v>
      </c>
      <c r="G3888">
        <v>2169717</v>
      </c>
      <c r="H3888" t="s">
        <v>17341</v>
      </c>
      <c r="J3888" s="54" t="s">
        <v>6052</v>
      </c>
      <c r="K3888" s="54">
        <v>0</v>
      </c>
      <c r="L3888" s="22" t="s">
        <v>104</v>
      </c>
      <c r="M3888" s="22" t="s">
        <v>37160</v>
      </c>
    </row>
    <row r="3889" spans="1:13" x14ac:dyDescent="0.75">
      <c r="A3889" t="s">
        <v>19894</v>
      </c>
      <c r="B3889" t="s">
        <v>6155</v>
      </c>
      <c r="C3889" t="s">
        <v>6156</v>
      </c>
      <c r="D3889" t="s">
        <v>6157</v>
      </c>
      <c r="E3889" t="s">
        <v>19895</v>
      </c>
      <c r="F3889">
        <v>1</v>
      </c>
      <c r="G3889">
        <v>2170460</v>
      </c>
      <c r="H3889" t="s">
        <v>19896</v>
      </c>
      <c r="J3889" s="54" t="s">
        <v>6052</v>
      </c>
      <c r="K3889" s="54">
        <v>0</v>
      </c>
      <c r="L3889" s="22" t="s">
        <v>104</v>
      </c>
      <c r="M3889" s="22" t="s">
        <v>37160</v>
      </c>
    </row>
    <row r="3890" spans="1:13" x14ac:dyDescent="0.75">
      <c r="A3890" t="s">
        <v>17323</v>
      </c>
      <c r="B3890" t="s">
        <v>6155</v>
      </c>
      <c r="C3890" t="s">
        <v>6156</v>
      </c>
      <c r="D3890" t="s">
        <v>6157</v>
      </c>
      <c r="E3890" t="s">
        <v>17324</v>
      </c>
      <c r="F3890">
        <v>1</v>
      </c>
      <c r="G3890">
        <v>2166707</v>
      </c>
      <c r="H3890" t="s">
        <v>17325</v>
      </c>
      <c r="J3890" s="54" t="s">
        <v>6052</v>
      </c>
      <c r="K3890" s="54">
        <v>0</v>
      </c>
      <c r="L3890" s="22" t="s">
        <v>104</v>
      </c>
      <c r="M3890" s="22" t="s">
        <v>37160</v>
      </c>
    </row>
    <row r="3891" spans="1:13" x14ac:dyDescent="0.75">
      <c r="A3891" t="s">
        <v>18698</v>
      </c>
      <c r="B3891" t="s">
        <v>18699</v>
      </c>
      <c r="C3891" t="s">
        <v>9532</v>
      </c>
      <c r="D3891" t="s">
        <v>6928</v>
      </c>
      <c r="E3891" t="s">
        <v>18700</v>
      </c>
      <c r="F3891">
        <v>1</v>
      </c>
      <c r="G3891">
        <v>780024</v>
      </c>
      <c r="H3891" t="s">
        <v>18701</v>
      </c>
      <c r="J3891" s="54" t="s">
        <v>6052</v>
      </c>
      <c r="K3891" s="54">
        <v>0</v>
      </c>
      <c r="L3891" s="22" t="s">
        <v>1308</v>
      </c>
      <c r="M3891" s="22" t="s">
        <v>37125</v>
      </c>
    </row>
    <row r="3892" spans="1:13" x14ac:dyDescent="0.75">
      <c r="A3892" t="s">
        <v>22207</v>
      </c>
      <c r="B3892" t="s">
        <v>18699</v>
      </c>
      <c r="C3892" t="s">
        <v>9532</v>
      </c>
      <c r="D3892" t="s">
        <v>6928</v>
      </c>
      <c r="E3892" t="s">
        <v>22208</v>
      </c>
      <c r="F3892">
        <v>1</v>
      </c>
      <c r="G3892">
        <v>708710</v>
      </c>
      <c r="H3892" t="s">
        <v>22209</v>
      </c>
      <c r="J3892" s="54" t="s">
        <v>6052</v>
      </c>
      <c r="K3892" s="54">
        <v>0</v>
      </c>
      <c r="L3892" s="22" t="s">
        <v>1308</v>
      </c>
      <c r="M3892" s="22" t="s">
        <v>37125</v>
      </c>
    </row>
    <row r="3893" spans="1:13" x14ac:dyDescent="0.75">
      <c r="A3893" t="s">
        <v>19891</v>
      </c>
      <c r="B3893" t="s">
        <v>6155</v>
      </c>
      <c r="C3893" t="s">
        <v>6156</v>
      </c>
      <c r="D3893" t="s">
        <v>6157</v>
      </c>
      <c r="E3893" t="s">
        <v>19892</v>
      </c>
      <c r="F3893">
        <v>1</v>
      </c>
      <c r="G3893">
        <v>2196100</v>
      </c>
      <c r="H3893" t="s">
        <v>19893</v>
      </c>
      <c r="J3893" s="54" t="s">
        <v>6052</v>
      </c>
      <c r="K3893" s="54">
        <v>0</v>
      </c>
      <c r="L3893" s="22" t="s">
        <v>104</v>
      </c>
      <c r="M3893" s="22" t="s">
        <v>37160</v>
      </c>
    </row>
    <row r="3894" spans="1:13" x14ac:dyDescent="0.75">
      <c r="A3894" t="s">
        <v>18705</v>
      </c>
      <c r="B3894" t="s">
        <v>18699</v>
      </c>
      <c r="C3894" t="s">
        <v>9532</v>
      </c>
      <c r="D3894" t="s">
        <v>6928</v>
      </c>
      <c r="E3894" t="s">
        <v>18706</v>
      </c>
      <c r="F3894">
        <v>1</v>
      </c>
      <c r="G3894">
        <v>750518</v>
      </c>
      <c r="H3894" t="s">
        <v>18707</v>
      </c>
      <c r="J3894" s="54" t="s">
        <v>6052</v>
      </c>
      <c r="K3894" s="54">
        <v>0</v>
      </c>
      <c r="L3894" s="22" t="s">
        <v>1308</v>
      </c>
      <c r="M3894" s="22" t="s">
        <v>37125</v>
      </c>
    </row>
    <row r="3895" spans="1:13" x14ac:dyDescent="0.75">
      <c r="A3895" t="s">
        <v>18708</v>
      </c>
      <c r="B3895" t="s">
        <v>18699</v>
      </c>
      <c r="C3895" t="s">
        <v>9532</v>
      </c>
      <c r="D3895" t="s">
        <v>6928</v>
      </c>
      <c r="E3895" t="s">
        <v>18709</v>
      </c>
      <c r="F3895">
        <v>1</v>
      </c>
      <c r="G3895">
        <v>715990</v>
      </c>
      <c r="H3895" t="s">
        <v>18710</v>
      </c>
      <c r="J3895" s="54" t="s">
        <v>6052</v>
      </c>
      <c r="K3895" s="54">
        <v>0</v>
      </c>
      <c r="L3895" s="22" t="s">
        <v>1308</v>
      </c>
      <c r="M3895" s="22" t="s">
        <v>37125</v>
      </c>
    </row>
    <row r="3896" spans="1:13" x14ac:dyDescent="0.75">
      <c r="A3896" t="s">
        <v>18702</v>
      </c>
      <c r="B3896" t="s">
        <v>18699</v>
      </c>
      <c r="C3896" t="s">
        <v>9532</v>
      </c>
      <c r="D3896" t="s">
        <v>6928</v>
      </c>
      <c r="E3896" t="s">
        <v>18703</v>
      </c>
      <c r="F3896">
        <v>1</v>
      </c>
      <c r="G3896">
        <v>672843</v>
      </c>
      <c r="H3896" t="s">
        <v>18704</v>
      </c>
      <c r="J3896" s="54" t="s">
        <v>6052</v>
      </c>
      <c r="K3896" s="54">
        <v>0</v>
      </c>
      <c r="L3896" s="22" t="s">
        <v>1308</v>
      </c>
      <c r="M3896" s="22" t="s">
        <v>37125</v>
      </c>
    </row>
    <row r="3897" spans="1:13" x14ac:dyDescent="0.75">
      <c r="A3897" t="s">
        <v>19942</v>
      </c>
      <c r="B3897" t="s">
        <v>6155</v>
      </c>
      <c r="C3897" t="s">
        <v>6156</v>
      </c>
      <c r="D3897" t="s">
        <v>6157</v>
      </c>
      <c r="E3897" t="s">
        <v>19943</v>
      </c>
      <c r="F3897">
        <v>1</v>
      </c>
      <c r="G3897">
        <v>2171633</v>
      </c>
      <c r="H3897" t="s">
        <v>19944</v>
      </c>
      <c r="J3897" s="54" t="s">
        <v>6052</v>
      </c>
      <c r="K3897" s="54">
        <v>0</v>
      </c>
      <c r="L3897" s="22" t="s">
        <v>104</v>
      </c>
      <c r="M3897" s="22" t="s">
        <v>37160</v>
      </c>
    </row>
    <row r="3898" spans="1:13" x14ac:dyDescent="0.75">
      <c r="A3898" t="s">
        <v>19939</v>
      </c>
      <c r="B3898" t="s">
        <v>6155</v>
      </c>
      <c r="C3898" t="s">
        <v>6156</v>
      </c>
      <c r="D3898" t="s">
        <v>6157</v>
      </c>
      <c r="E3898" t="s">
        <v>19940</v>
      </c>
      <c r="F3898">
        <v>1</v>
      </c>
      <c r="G3898">
        <v>2172196</v>
      </c>
      <c r="H3898" t="s">
        <v>19941</v>
      </c>
      <c r="J3898" s="54" t="s">
        <v>6052</v>
      </c>
      <c r="K3898" s="54">
        <v>0</v>
      </c>
      <c r="L3898" s="22" t="s">
        <v>104</v>
      </c>
      <c r="M3898" s="22" t="s">
        <v>37160</v>
      </c>
    </row>
    <row r="3899" spans="1:13" x14ac:dyDescent="0.75">
      <c r="A3899" t="s">
        <v>19888</v>
      </c>
      <c r="B3899" t="s">
        <v>6155</v>
      </c>
      <c r="C3899" t="s">
        <v>6156</v>
      </c>
      <c r="D3899" t="s">
        <v>6157</v>
      </c>
      <c r="E3899" t="s">
        <v>19889</v>
      </c>
      <c r="F3899">
        <v>1</v>
      </c>
      <c r="G3899">
        <v>2179025</v>
      </c>
      <c r="H3899" t="s">
        <v>19890</v>
      </c>
      <c r="J3899" s="54" t="s">
        <v>6052</v>
      </c>
      <c r="K3899" s="54">
        <v>0</v>
      </c>
      <c r="L3899" s="22" t="s">
        <v>104</v>
      </c>
      <c r="M3899" s="22" t="s">
        <v>37160</v>
      </c>
    </row>
    <row r="3900" spans="1:13" x14ac:dyDescent="0.75">
      <c r="A3900" t="s">
        <v>19885</v>
      </c>
      <c r="B3900" t="s">
        <v>6155</v>
      </c>
      <c r="C3900" t="s">
        <v>6156</v>
      </c>
      <c r="D3900" t="s">
        <v>6157</v>
      </c>
      <c r="E3900" t="s">
        <v>19886</v>
      </c>
      <c r="F3900">
        <v>1</v>
      </c>
      <c r="G3900">
        <v>2179038</v>
      </c>
      <c r="H3900" t="s">
        <v>19887</v>
      </c>
      <c r="J3900" s="54" t="s">
        <v>6052</v>
      </c>
      <c r="K3900" s="54">
        <v>0</v>
      </c>
      <c r="L3900" s="22" t="s">
        <v>104</v>
      </c>
      <c r="M3900" s="22" t="s">
        <v>37160</v>
      </c>
    </row>
    <row r="3901" spans="1:13" x14ac:dyDescent="0.75">
      <c r="A3901" t="s">
        <v>19879</v>
      </c>
      <c r="B3901" t="s">
        <v>6155</v>
      </c>
      <c r="C3901" t="s">
        <v>6156</v>
      </c>
      <c r="D3901" t="s">
        <v>6157</v>
      </c>
      <c r="E3901" t="s">
        <v>19880</v>
      </c>
      <c r="F3901">
        <v>1</v>
      </c>
      <c r="G3901">
        <v>2169328</v>
      </c>
      <c r="H3901" t="s">
        <v>19881</v>
      </c>
      <c r="J3901" s="54" t="s">
        <v>6052</v>
      </c>
      <c r="K3901" s="54">
        <v>0</v>
      </c>
      <c r="L3901" s="22" t="s">
        <v>104</v>
      </c>
      <c r="M3901" s="22" t="s">
        <v>37160</v>
      </c>
    </row>
    <row r="3902" spans="1:13" x14ac:dyDescent="0.75">
      <c r="A3902" t="s">
        <v>7975</v>
      </c>
      <c r="B3902" t="s">
        <v>7976</v>
      </c>
      <c r="C3902" t="s">
        <v>7977</v>
      </c>
      <c r="D3902" t="s">
        <v>7978</v>
      </c>
      <c r="E3902" t="s">
        <v>7979</v>
      </c>
      <c r="F3902">
        <v>1</v>
      </c>
      <c r="G3902">
        <v>2481983</v>
      </c>
      <c r="H3902" t="s">
        <v>7980</v>
      </c>
      <c r="J3902" s="54" t="s">
        <v>6052</v>
      </c>
      <c r="K3902" s="54">
        <v>0</v>
      </c>
      <c r="L3902" s="22" t="s">
        <v>1563</v>
      </c>
      <c r="M3902" s="22" t="s">
        <v>37127</v>
      </c>
    </row>
    <row r="3903" spans="1:13" x14ac:dyDescent="0.75">
      <c r="A3903" t="s">
        <v>9275</v>
      </c>
      <c r="B3903" t="s">
        <v>7976</v>
      </c>
      <c r="C3903" t="s">
        <v>7977</v>
      </c>
      <c r="D3903" t="s">
        <v>7978</v>
      </c>
      <c r="E3903" t="s">
        <v>9276</v>
      </c>
      <c r="F3903">
        <v>1</v>
      </c>
      <c r="G3903">
        <v>2458610</v>
      </c>
      <c r="H3903" t="s">
        <v>9277</v>
      </c>
      <c r="J3903" s="54" t="s">
        <v>6052</v>
      </c>
      <c r="K3903" s="54">
        <v>0</v>
      </c>
      <c r="L3903" s="22" t="s">
        <v>1563</v>
      </c>
      <c r="M3903" s="22" t="s">
        <v>37127</v>
      </c>
    </row>
    <row r="3904" spans="1:13" x14ac:dyDescent="0.75">
      <c r="A3904" t="s">
        <v>16726</v>
      </c>
      <c r="B3904" t="s">
        <v>11610</v>
      </c>
      <c r="C3904" t="s">
        <v>9458</v>
      </c>
      <c r="D3904" t="s">
        <v>11611</v>
      </c>
      <c r="E3904" t="s">
        <v>16727</v>
      </c>
      <c r="F3904">
        <v>57</v>
      </c>
      <c r="G3904">
        <v>2979209</v>
      </c>
      <c r="H3904" t="s">
        <v>16728</v>
      </c>
      <c r="J3904" s="54" t="s">
        <v>6052</v>
      </c>
      <c r="K3904" s="54">
        <v>0</v>
      </c>
      <c r="L3904" s="22" t="s">
        <v>144</v>
      </c>
      <c r="M3904" s="22" t="s">
        <v>37128</v>
      </c>
    </row>
    <row r="3905" spans="1:13" x14ac:dyDescent="0.75">
      <c r="A3905" t="s">
        <v>13159</v>
      </c>
      <c r="B3905" t="s">
        <v>11610</v>
      </c>
      <c r="C3905" t="s">
        <v>9458</v>
      </c>
      <c r="D3905" t="s">
        <v>11611</v>
      </c>
      <c r="E3905" t="s">
        <v>13160</v>
      </c>
      <c r="F3905">
        <v>80</v>
      </c>
      <c r="G3905">
        <v>3008215</v>
      </c>
      <c r="H3905" t="s">
        <v>13161</v>
      </c>
      <c r="J3905" s="54" t="s">
        <v>6052</v>
      </c>
      <c r="K3905" s="54">
        <v>0</v>
      </c>
      <c r="L3905" s="22" t="s">
        <v>144</v>
      </c>
      <c r="M3905" s="22" t="s">
        <v>37128</v>
      </c>
    </row>
    <row r="3906" spans="1:13" x14ac:dyDescent="0.75">
      <c r="A3906" t="s">
        <v>15956</v>
      </c>
      <c r="B3906" t="s">
        <v>9457</v>
      </c>
      <c r="C3906" t="s">
        <v>9458</v>
      </c>
      <c r="D3906" t="s">
        <v>9459</v>
      </c>
      <c r="E3906" t="s">
        <v>15957</v>
      </c>
      <c r="F3906">
        <v>15</v>
      </c>
      <c r="G3906">
        <v>3144229</v>
      </c>
      <c r="H3906" t="s">
        <v>15958</v>
      </c>
      <c r="J3906" s="54" t="s">
        <v>6052</v>
      </c>
      <c r="K3906" s="54">
        <v>0</v>
      </c>
      <c r="L3906" s="22" t="s">
        <v>144</v>
      </c>
      <c r="M3906" s="22" t="s">
        <v>37129</v>
      </c>
    </row>
    <row r="3907" spans="1:13" x14ac:dyDescent="0.75">
      <c r="A3907" t="s">
        <v>9456</v>
      </c>
      <c r="B3907" t="s">
        <v>9457</v>
      </c>
      <c r="C3907" t="s">
        <v>9458</v>
      </c>
      <c r="D3907" t="s">
        <v>9459</v>
      </c>
      <c r="E3907" t="s">
        <v>9460</v>
      </c>
      <c r="F3907">
        <v>13</v>
      </c>
      <c r="G3907">
        <v>3168064</v>
      </c>
      <c r="H3907" t="s">
        <v>9461</v>
      </c>
      <c r="J3907" s="54" t="s">
        <v>6052</v>
      </c>
      <c r="K3907" s="54">
        <v>0</v>
      </c>
      <c r="L3907" s="22" t="s">
        <v>144</v>
      </c>
      <c r="M3907" s="22" t="s">
        <v>37129</v>
      </c>
    </row>
    <row r="3908" spans="1:13" x14ac:dyDescent="0.75">
      <c r="A3908" t="s">
        <v>14087</v>
      </c>
      <c r="B3908" t="s">
        <v>11610</v>
      </c>
      <c r="C3908" t="s">
        <v>9458</v>
      </c>
      <c r="D3908" t="s">
        <v>11611</v>
      </c>
      <c r="E3908" t="s">
        <v>14088</v>
      </c>
      <c r="F3908">
        <v>94</v>
      </c>
      <c r="G3908">
        <v>2931884</v>
      </c>
      <c r="H3908" t="s">
        <v>14089</v>
      </c>
      <c r="J3908" s="54" t="s">
        <v>6052</v>
      </c>
      <c r="K3908" s="54">
        <v>0</v>
      </c>
      <c r="L3908" s="22" t="s">
        <v>144</v>
      </c>
      <c r="M3908" s="22" t="s">
        <v>37128</v>
      </c>
    </row>
    <row r="3909" spans="1:13" x14ac:dyDescent="0.75">
      <c r="A3909" t="s">
        <v>11609</v>
      </c>
      <c r="B3909" t="s">
        <v>11610</v>
      </c>
      <c r="C3909" t="s">
        <v>9458</v>
      </c>
      <c r="D3909" t="s">
        <v>11611</v>
      </c>
      <c r="E3909" t="s">
        <v>11612</v>
      </c>
      <c r="F3909">
        <v>34</v>
      </c>
      <c r="G3909">
        <v>2942136</v>
      </c>
      <c r="H3909" t="s">
        <v>11613</v>
      </c>
      <c r="J3909" s="54" t="s">
        <v>6052</v>
      </c>
      <c r="K3909" s="54">
        <v>0</v>
      </c>
      <c r="L3909" s="22" t="s">
        <v>144</v>
      </c>
      <c r="M3909" s="22" t="s">
        <v>37128</v>
      </c>
    </row>
    <row r="3910" spans="1:13" x14ac:dyDescent="0.75">
      <c r="A3910" t="s">
        <v>12561</v>
      </c>
      <c r="B3910" t="s">
        <v>11610</v>
      </c>
      <c r="C3910" t="s">
        <v>9458</v>
      </c>
      <c r="D3910" t="s">
        <v>11611</v>
      </c>
      <c r="E3910" t="s">
        <v>6504</v>
      </c>
      <c r="F3910">
        <v>165</v>
      </c>
      <c r="G3910">
        <v>2638424</v>
      </c>
      <c r="H3910" t="s">
        <v>12562</v>
      </c>
      <c r="J3910" s="54" t="s">
        <v>6052</v>
      </c>
      <c r="K3910" s="54">
        <v>0</v>
      </c>
      <c r="L3910" s="22" t="s">
        <v>144</v>
      </c>
      <c r="M3910" s="22" t="s">
        <v>37128</v>
      </c>
    </row>
    <row r="3911" spans="1:13" x14ac:dyDescent="0.75">
      <c r="A3911" t="s">
        <v>20464</v>
      </c>
      <c r="B3911" t="s">
        <v>11610</v>
      </c>
      <c r="C3911" t="s">
        <v>9458</v>
      </c>
      <c r="D3911" t="s">
        <v>11611</v>
      </c>
      <c r="E3911" t="s">
        <v>20465</v>
      </c>
      <c r="F3911">
        <v>19</v>
      </c>
      <c r="G3911">
        <v>2902864</v>
      </c>
      <c r="H3911" t="s">
        <v>20466</v>
      </c>
      <c r="J3911" s="54" t="s">
        <v>6052</v>
      </c>
      <c r="K3911" s="54">
        <v>0</v>
      </c>
      <c r="L3911" s="22" t="s">
        <v>144</v>
      </c>
      <c r="M3911" s="22" t="s">
        <v>37128</v>
      </c>
    </row>
    <row r="3912" spans="1:13" x14ac:dyDescent="0.75">
      <c r="A3912" t="s">
        <v>20467</v>
      </c>
      <c r="B3912" t="s">
        <v>11610</v>
      </c>
      <c r="C3912" t="s">
        <v>9458</v>
      </c>
      <c r="D3912" t="s">
        <v>11611</v>
      </c>
      <c r="E3912" t="s">
        <v>20468</v>
      </c>
      <c r="F3912">
        <v>24</v>
      </c>
      <c r="G3912">
        <v>2953160</v>
      </c>
      <c r="H3912" t="s">
        <v>20469</v>
      </c>
      <c r="J3912" s="54" t="s">
        <v>6052</v>
      </c>
      <c r="K3912" s="54">
        <v>0</v>
      </c>
      <c r="L3912" s="22" t="s">
        <v>144</v>
      </c>
      <c r="M3912" s="22" t="s">
        <v>37128</v>
      </c>
    </row>
    <row r="3913" spans="1:13" x14ac:dyDescent="0.75">
      <c r="A3913" t="s">
        <v>29782</v>
      </c>
      <c r="B3913" t="s">
        <v>11610</v>
      </c>
      <c r="C3913" t="s">
        <v>9458</v>
      </c>
      <c r="D3913" t="s">
        <v>11611</v>
      </c>
      <c r="E3913" t="s">
        <v>29783</v>
      </c>
      <c r="F3913">
        <v>41</v>
      </c>
      <c r="G3913">
        <v>2801048</v>
      </c>
      <c r="H3913" t="s">
        <v>29784</v>
      </c>
      <c r="J3913" s="54" t="s">
        <v>6052</v>
      </c>
      <c r="K3913" s="54">
        <v>0</v>
      </c>
      <c r="L3913" s="22" t="s">
        <v>144</v>
      </c>
      <c r="M3913" s="22" t="s">
        <v>37128</v>
      </c>
    </row>
    <row r="3914" spans="1:13" x14ac:dyDescent="0.75">
      <c r="A3914" t="s">
        <v>16926</v>
      </c>
      <c r="B3914" t="s">
        <v>6410</v>
      </c>
      <c r="C3914" t="s">
        <v>6411</v>
      </c>
      <c r="D3914" t="s">
        <v>6412</v>
      </c>
      <c r="E3914" t="s">
        <v>16927</v>
      </c>
      <c r="F3914">
        <v>1</v>
      </c>
      <c r="G3914">
        <v>2560556</v>
      </c>
      <c r="H3914" t="s">
        <v>16928</v>
      </c>
      <c r="J3914" s="54" t="s">
        <v>6052</v>
      </c>
      <c r="K3914" s="54">
        <v>0</v>
      </c>
      <c r="L3914" s="22" t="s">
        <v>144</v>
      </c>
      <c r="M3914" s="22" t="s">
        <v>37130</v>
      </c>
    </row>
    <row r="3915" spans="1:13" x14ac:dyDescent="0.75">
      <c r="A3915" t="s">
        <v>17485</v>
      </c>
      <c r="B3915" t="s">
        <v>6410</v>
      </c>
      <c r="C3915" t="s">
        <v>6411</v>
      </c>
      <c r="D3915" t="s">
        <v>6412</v>
      </c>
      <c r="E3915" t="s">
        <v>16927</v>
      </c>
      <c r="F3915">
        <v>299</v>
      </c>
      <c r="G3915">
        <v>2407404</v>
      </c>
      <c r="H3915" t="s">
        <v>17486</v>
      </c>
      <c r="J3915" s="54" t="s">
        <v>6052</v>
      </c>
      <c r="K3915" s="54">
        <v>0</v>
      </c>
      <c r="L3915" s="22" t="s">
        <v>144</v>
      </c>
      <c r="M3915" s="22" t="s">
        <v>37130</v>
      </c>
    </row>
    <row r="3916" spans="1:13" x14ac:dyDescent="0.75">
      <c r="A3916" t="s">
        <v>17113</v>
      </c>
      <c r="B3916" t="s">
        <v>6410</v>
      </c>
      <c r="C3916" t="s">
        <v>6411</v>
      </c>
      <c r="D3916" t="s">
        <v>6412</v>
      </c>
      <c r="E3916" t="s">
        <v>17114</v>
      </c>
      <c r="F3916">
        <v>272</v>
      </c>
      <c r="G3916">
        <v>2746747</v>
      </c>
      <c r="H3916" t="s">
        <v>17115</v>
      </c>
      <c r="J3916" s="54" t="s">
        <v>6052</v>
      </c>
      <c r="K3916" s="54">
        <v>0</v>
      </c>
      <c r="L3916" s="22" t="s">
        <v>144</v>
      </c>
      <c r="M3916" s="22" t="s">
        <v>37130</v>
      </c>
    </row>
    <row r="3917" spans="1:13" x14ac:dyDescent="0.75">
      <c r="A3917" t="s">
        <v>17098</v>
      </c>
      <c r="B3917" t="s">
        <v>6410</v>
      </c>
      <c r="C3917" t="s">
        <v>6411</v>
      </c>
      <c r="D3917" t="s">
        <v>6412</v>
      </c>
      <c r="E3917" t="s">
        <v>17099</v>
      </c>
      <c r="F3917">
        <v>110</v>
      </c>
      <c r="G3917">
        <v>2575371</v>
      </c>
      <c r="H3917" t="s">
        <v>17100</v>
      </c>
      <c r="J3917" s="54" t="s">
        <v>6052</v>
      </c>
      <c r="K3917" s="54">
        <v>0</v>
      </c>
      <c r="L3917" s="22" t="s">
        <v>144</v>
      </c>
      <c r="M3917" s="22" t="s">
        <v>37130</v>
      </c>
    </row>
    <row r="3918" spans="1:13" x14ac:dyDescent="0.75">
      <c r="A3918" t="s">
        <v>18841</v>
      </c>
      <c r="B3918" t="s">
        <v>6410</v>
      </c>
      <c r="C3918" t="s">
        <v>6411</v>
      </c>
      <c r="D3918" t="s">
        <v>6412</v>
      </c>
      <c r="E3918" t="s">
        <v>18842</v>
      </c>
      <c r="F3918">
        <v>2</v>
      </c>
      <c r="G3918">
        <v>2552467</v>
      </c>
      <c r="H3918" t="s">
        <v>18843</v>
      </c>
      <c r="J3918" s="54" t="s">
        <v>6052</v>
      </c>
      <c r="K3918" s="54">
        <v>0</v>
      </c>
      <c r="L3918" s="22" t="s">
        <v>144</v>
      </c>
      <c r="M3918" s="22" t="s">
        <v>37130</v>
      </c>
    </row>
    <row r="3919" spans="1:13" x14ac:dyDescent="0.75">
      <c r="A3919" t="s">
        <v>19048</v>
      </c>
      <c r="B3919" t="s">
        <v>6410</v>
      </c>
      <c r="C3919" t="s">
        <v>6411</v>
      </c>
      <c r="D3919" t="s">
        <v>6412</v>
      </c>
      <c r="E3919" t="s">
        <v>19049</v>
      </c>
      <c r="F3919">
        <v>2</v>
      </c>
      <c r="G3919">
        <v>2469491</v>
      </c>
      <c r="H3919" t="s">
        <v>19050</v>
      </c>
      <c r="J3919" s="54" t="s">
        <v>6052</v>
      </c>
      <c r="K3919" s="54">
        <v>0</v>
      </c>
      <c r="L3919" s="22" t="s">
        <v>144</v>
      </c>
      <c r="M3919" s="22" t="s">
        <v>37130</v>
      </c>
    </row>
    <row r="3920" spans="1:13" x14ac:dyDescent="0.75">
      <c r="A3920" t="s">
        <v>22667</v>
      </c>
      <c r="B3920" t="s">
        <v>6410</v>
      </c>
      <c r="C3920" t="s">
        <v>6411</v>
      </c>
      <c r="D3920" t="s">
        <v>6412</v>
      </c>
      <c r="E3920" t="s">
        <v>22668</v>
      </c>
      <c r="F3920">
        <v>66</v>
      </c>
      <c r="G3920">
        <v>2516961</v>
      </c>
      <c r="H3920" t="s">
        <v>22669</v>
      </c>
      <c r="J3920" s="54" t="s">
        <v>6052</v>
      </c>
      <c r="K3920" s="54">
        <v>0</v>
      </c>
      <c r="L3920" s="22" t="s">
        <v>144</v>
      </c>
      <c r="M3920" s="22" t="s">
        <v>37130</v>
      </c>
    </row>
    <row r="3921" spans="1:13" x14ac:dyDescent="0.75">
      <c r="A3921" t="s">
        <v>6409</v>
      </c>
      <c r="B3921" t="s">
        <v>6410</v>
      </c>
      <c r="C3921" t="s">
        <v>6411</v>
      </c>
      <c r="D3921" t="s">
        <v>6412</v>
      </c>
      <c r="E3921" t="s">
        <v>6413</v>
      </c>
      <c r="F3921">
        <v>1</v>
      </c>
      <c r="G3921">
        <v>2501097</v>
      </c>
      <c r="H3921" t="s">
        <v>6414</v>
      </c>
      <c r="J3921" s="54" t="s">
        <v>6052</v>
      </c>
      <c r="K3921" s="54">
        <v>0</v>
      </c>
      <c r="L3921" s="22" t="s">
        <v>144</v>
      </c>
      <c r="M3921" s="22" t="s">
        <v>37130</v>
      </c>
    </row>
    <row r="3922" spans="1:13" x14ac:dyDescent="0.75">
      <c r="A3922" t="s">
        <v>27711</v>
      </c>
      <c r="B3922" t="s">
        <v>6410</v>
      </c>
      <c r="C3922" t="s">
        <v>6411</v>
      </c>
      <c r="D3922" t="s">
        <v>6412</v>
      </c>
      <c r="E3922" t="s">
        <v>27712</v>
      </c>
      <c r="F3922">
        <v>1</v>
      </c>
      <c r="G3922">
        <v>2495693</v>
      </c>
      <c r="H3922" t="s">
        <v>27713</v>
      </c>
      <c r="J3922" s="54" t="s">
        <v>6052</v>
      </c>
      <c r="K3922" s="54">
        <v>0</v>
      </c>
      <c r="L3922" s="22" t="s">
        <v>144</v>
      </c>
      <c r="M3922" s="22" t="s">
        <v>37130</v>
      </c>
    </row>
    <row r="3923" spans="1:13" x14ac:dyDescent="0.75">
      <c r="A3923" t="s">
        <v>7334</v>
      </c>
      <c r="B3923" t="s">
        <v>6410</v>
      </c>
      <c r="C3923" t="s">
        <v>6411</v>
      </c>
      <c r="D3923" t="s">
        <v>6412</v>
      </c>
      <c r="E3923" t="s">
        <v>7335</v>
      </c>
      <c r="F3923">
        <v>134</v>
      </c>
      <c r="G3923">
        <v>2320592</v>
      </c>
      <c r="H3923" t="s">
        <v>7336</v>
      </c>
      <c r="J3923" s="54" t="s">
        <v>6052</v>
      </c>
      <c r="K3923" s="54">
        <v>0</v>
      </c>
      <c r="L3923" s="22" t="s">
        <v>144</v>
      </c>
      <c r="M3923" s="22" t="s">
        <v>37130</v>
      </c>
    </row>
    <row r="3924" spans="1:13" x14ac:dyDescent="0.75">
      <c r="A3924" t="s">
        <v>24634</v>
      </c>
      <c r="B3924" t="s">
        <v>6727</v>
      </c>
      <c r="C3924" t="s">
        <v>6728</v>
      </c>
      <c r="D3924" t="s">
        <v>6729</v>
      </c>
      <c r="E3924" t="s">
        <v>24635</v>
      </c>
      <c r="F3924">
        <v>176</v>
      </c>
      <c r="G3924">
        <v>2479331</v>
      </c>
      <c r="H3924" t="s">
        <v>24636</v>
      </c>
      <c r="J3924" s="54" t="s">
        <v>6052</v>
      </c>
      <c r="K3924" s="54">
        <v>0</v>
      </c>
      <c r="L3924" s="22" t="s">
        <v>1563</v>
      </c>
      <c r="M3924" s="22" t="s">
        <v>37131</v>
      </c>
    </row>
    <row r="3925" spans="1:13" x14ac:dyDescent="0.75">
      <c r="A3925" t="s">
        <v>15603</v>
      </c>
      <c r="B3925" t="s">
        <v>6727</v>
      </c>
      <c r="C3925" t="s">
        <v>6728</v>
      </c>
      <c r="D3925" t="s">
        <v>6729</v>
      </c>
      <c r="E3925" t="s">
        <v>15604</v>
      </c>
      <c r="F3925">
        <v>36</v>
      </c>
      <c r="G3925">
        <v>2505597</v>
      </c>
      <c r="H3925" t="s">
        <v>15605</v>
      </c>
      <c r="J3925" s="54" t="s">
        <v>6052</v>
      </c>
      <c r="K3925" s="54">
        <v>0</v>
      </c>
      <c r="L3925" s="22" t="s">
        <v>1563</v>
      </c>
      <c r="M3925" s="22" t="s">
        <v>37131</v>
      </c>
    </row>
    <row r="3926" spans="1:13" x14ac:dyDescent="0.75">
      <c r="A3926" t="s">
        <v>24628</v>
      </c>
      <c r="B3926" t="s">
        <v>6727</v>
      </c>
      <c r="C3926" t="s">
        <v>6728</v>
      </c>
      <c r="D3926" t="s">
        <v>6729</v>
      </c>
      <c r="E3926" t="s">
        <v>24629</v>
      </c>
      <c r="F3926">
        <v>205</v>
      </c>
      <c r="G3926">
        <v>2414057</v>
      </c>
      <c r="H3926" t="s">
        <v>24630</v>
      </c>
      <c r="J3926" s="54" t="s">
        <v>6052</v>
      </c>
      <c r="K3926" s="54">
        <v>0</v>
      </c>
      <c r="L3926" s="22" t="s">
        <v>1563</v>
      </c>
      <c r="M3926" s="22" t="s">
        <v>37131</v>
      </c>
    </row>
    <row r="3927" spans="1:13" x14ac:dyDescent="0.75">
      <c r="A3927" t="s">
        <v>24625</v>
      </c>
      <c r="B3927" t="s">
        <v>6727</v>
      </c>
      <c r="C3927" t="s">
        <v>6728</v>
      </c>
      <c r="D3927" t="s">
        <v>6729</v>
      </c>
      <c r="E3927" t="s">
        <v>24626</v>
      </c>
      <c r="F3927">
        <v>104</v>
      </c>
      <c r="G3927">
        <v>2453376</v>
      </c>
      <c r="H3927" t="s">
        <v>24627</v>
      </c>
      <c r="J3927" s="54" t="s">
        <v>6052</v>
      </c>
      <c r="K3927" s="54">
        <v>0</v>
      </c>
      <c r="L3927" s="22" t="s">
        <v>1563</v>
      </c>
      <c r="M3927" s="22" t="s">
        <v>37131</v>
      </c>
    </row>
    <row r="3928" spans="1:13" x14ac:dyDescent="0.75">
      <c r="A3928" t="s">
        <v>24622</v>
      </c>
      <c r="B3928" t="s">
        <v>6727</v>
      </c>
      <c r="C3928" t="s">
        <v>6728</v>
      </c>
      <c r="D3928" t="s">
        <v>6729</v>
      </c>
      <c r="E3928" t="s">
        <v>24623</v>
      </c>
      <c r="F3928">
        <v>66</v>
      </c>
      <c r="G3928">
        <v>2323222</v>
      </c>
      <c r="H3928" t="s">
        <v>24624</v>
      </c>
      <c r="J3928" s="54" t="s">
        <v>6052</v>
      </c>
      <c r="K3928" s="54">
        <v>0</v>
      </c>
      <c r="L3928" s="22" t="s">
        <v>1563</v>
      </c>
      <c r="M3928" s="22" t="s">
        <v>37131</v>
      </c>
    </row>
    <row r="3929" spans="1:13" x14ac:dyDescent="0.75">
      <c r="A3929" t="s">
        <v>24616</v>
      </c>
      <c r="B3929" t="s">
        <v>6727</v>
      </c>
      <c r="C3929" t="s">
        <v>6728</v>
      </c>
      <c r="D3929" t="s">
        <v>6729</v>
      </c>
      <c r="E3929" t="s">
        <v>24617</v>
      </c>
      <c r="F3929">
        <v>85</v>
      </c>
      <c r="G3929">
        <v>2423285</v>
      </c>
      <c r="H3929" t="s">
        <v>24618</v>
      </c>
      <c r="J3929" s="54" t="s">
        <v>6052</v>
      </c>
      <c r="K3929" s="54">
        <v>0</v>
      </c>
      <c r="L3929" s="22" t="s">
        <v>1563</v>
      </c>
      <c r="M3929" s="22" t="s">
        <v>37131</v>
      </c>
    </row>
    <row r="3930" spans="1:13" x14ac:dyDescent="0.75">
      <c r="A3930" t="s">
        <v>22257</v>
      </c>
      <c r="B3930" t="s">
        <v>6727</v>
      </c>
      <c r="C3930" t="s">
        <v>6728</v>
      </c>
      <c r="D3930" t="s">
        <v>6729</v>
      </c>
      <c r="E3930" t="s">
        <v>22258</v>
      </c>
      <c r="F3930">
        <v>43</v>
      </c>
      <c r="G3930">
        <v>2357375</v>
      </c>
      <c r="H3930" t="s">
        <v>22259</v>
      </c>
      <c r="J3930" s="54" t="s">
        <v>6052</v>
      </c>
      <c r="K3930" s="54">
        <v>0</v>
      </c>
      <c r="L3930" s="22" t="s">
        <v>1563</v>
      </c>
      <c r="M3930" s="22" t="s">
        <v>37131</v>
      </c>
    </row>
    <row r="3931" spans="1:13" x14ac:dyDescent="0.75">
      <c r="A3931" t="s">
        <v>6726</v>
      </c>
      <c r="B3931" t="s">
        <v>6727</v>
      </c>
      <c r="C3931" t="s">
        <v>6728</v>
      </c>
      <c r="D3931" t="s">
        <v>6729</v>
      </c>
      <c r="E3931" t="s">
        <v>6730</v>
      </c>
      <c r="F3931">
        <v>31</v>
      </c>
      <c r="G3931">
        <v>2577056</v>
      </c>
      <c r="H3931" t="s">
        <v>6731</v>
      </c>
      <c r="J3931" s="54" t="s">
        <v>6052</v>
      </c>
      <c r="K3931" s="54">
        <v>0</v>
      </c>
      <c r="L3931" s="22" t="s">
        <v>1563</v>
      </c>
      <c r="M3931" s="22" t="s">
        <v>37131</v>
      </c>
    </row>
    <row r="3932" spans="1:13" x14ac:dyDescent="0.75">
      <c r="A3932" t="s">
        <v>19876</v>
      </c>
      <c r="B3932" t="s">
        <v>6155</v>
      </c>
      <c r="C3932" t="s">
        <v>6156</v>
      </c>
      <c r="D3932" t="s">
        <v>6157</v>
      </c>
      <c r="E3932" t="s">
        <v>19877</v>
      </c>
      <c r="F3932">
        <v>1</v>
      </c>
      <c r="G3932">
        <v>2179401</v>
      </c>
      <c r="H3932" t="s">
        <v>19878</v>
      </c>
      <c r="J3932" s="54" t="s">
        <v>6052</v>
      </c>
      <c r="K3932" s="54">
        <v>0</v>
      </c>
      <c r="L3932" s="22" t="s">
        <v>104</v>
      </c>
      <c r="M3932" s="22" t="s">
        <v>37160</v>
      </c>
    </row>
    <row r="3933" spans="1:13" x14ac:dyDescent="0.75">
      <c r="A3933" t="s">
        <v>28244</v>
      </c>
      <c r="B3933" t="s">
        <v>6727</v>
      </c>
      <c r="C3933" t="s">
        <v>6728</v>
      </c>
      <c r="D3933" t="s">
        <v>6729</v>
      </c>
      <c r="E3933" t="s">
        <v>28245</v>
      </c>
      <c r="F3933">
        <v>31</v>
      </c>
      <c r="G3933">
        <v>2577056</v>
      </c>
      <c r="H3933" t="s">
        <v>28246</v>
      </c>
      <c r="J3933" s="54" t="s">
        <v>6052</v>
      </c>
      <c r="K3933" s="54">
        <v>0</v>
      </c>
      <c r="L3933" s="22" t="s">
        <v>1563</v>
      </c>
      <c r="M3933" s="22" t="s">
        <v>37131</v>
      </c>
    </row>
    <row r="3934" spans="1:13" x14ac:dyDescent="0.75">
      <c r="A3934" t="s">
        <v>29499</v>
      </c>
      <c r="B3934" t="s">
        <v>6727</v>
      </c>
      <c r="C3934" t="s">
        <v>6728</v>
      </c>
      <c r="D3934" t="s">
        <v>6729</v>
      </c>
      <c r="E3934" t="s">
        <v>29500</v>
      </c>
      <c r="F3934">
        <v>16</v>
      </c>
      <c r="G3934">
        <v>2376554</v>
      </c>
      <c r="H3934" t="s">
        <v>29501</v>
      </c>
      <c r="J3934" s="54" t="s">
        <v>6052</v>
      </c>
      <c r="K3934" s="54">
        <v>0</v>
      </c>
      <c r="L3934" s="22" t="s">
        <v>1563</v>
      </c>
      <c r="M3934" s="22" t="s">
        <v>37131</v>
      </c>
    </row>
    <row r="3935" spans="1:13" x14ac:dyDescent="0.75">
      <c r="A3935" t="s">
        <v>19882</v>
      </c>
      <c r="B3935" t="s">
        <v>6155</v>
      </c>
      <c r="C3935" t="s">
        <v>6156</v>
      </c>
      <c r="D3935" t="s">
        <v>6157</v>
      </c>
      <c r="E3935" t="s">
        <v>19883</v>
      </c>
      <c r="F3935">
        <v>1</v>
      </c>
      <c r="G3935">
        <v>2176177</v>
      </c>
      <c r="H3935" t="s">
        <v>19884</v>
      </c>
      <c r="J3935" s="54" t="s">
        <v>6052</v>
      </c>
      <c r="K3935" s="54">
        <v>0</v>
      </c>
      <c r="L3935" s="22" t="s">
        <v>104</v>
      </c>
      <c r="M3935" s="22" t="s">
        <v>37160</v>
      </c>
    </row>
    <row r="3936" spans="1:13" x14ac:dyDescent="0.75">
      <c r="A3936" t="s">
        <v>17336</v>
      </c>
      <c r="B3936" t="s">
        <v>6155</v>
      </c>
      <c r="C3936" t="s">
        <v>6156</v>
      </c>
      <c r="D3936" t="s">
        <v>6157</v>
      </c>
      <c r="E3936" t="s">
        <v>17337</v>
      </c>
      <c r="F3936">
        <v>1</v>
      </c>
      <c r="G3936">
        <v>2165984</v>
      </c>
      <c r="H3936" t="s">
        <v>17338</v>
      </c>
      <c r="J3936" s="54" t="s">
        <v>6052</v>
      </c>
      <c r="K3936" s="54">
        <v>0</v>
      </c>
      <c r="L3936" s="22" t="s">
        <v>104</v>
      </c>
      <c r="M3936" s="22" t="s">
        <v>37160</v>
      </c>
    </row>
    <row r="3937" spans="1:13" x14ac:dyDescent="0.75">
      <c r="A3937" t="s">
        <v>18373</v>
      </c>
      <c r="B3937" t="s">
        <v>6662</v>
      </c>
      <c r="C3937" t="s">
        <v>6663</v>
      </c>
      <c r="D3937" t="s">
        <v>6664</v>
      </c>
      <c r="E3937">
        <v>13</v>
      </c>
      <c r="F3937">
        <v>42</v>
      </c>
      <c r="G3937">
        <v>2593700</v>
      </c>
      <c r="H3937" t="s">
        <v>18374</v>
      </c>
      <c r="J3937" s="54" t="s">
        <v>6052</v>
      </c>
      <c r="K3937" s="54">
        <v>0</v>
      </c>
      <c r="L3937" s="22" t="s">
        <v>1308</v>
      </c>
      <c r="M3937" s="22" t="s">
        <v>37133</v>
      </c>
    </row>
    <row r="3938" spans="1:13" x14ac:dyDescent="0.75">
      <c r="A3938" t="s">
        <v>7238</v>
      </c>
      <c r="B3938" t="s">
        <v>6662</v>
      </c>
      <c r="C3938" t="s">
        <v>6663</v>
      </c>
      <c r="D3938" t="s">
        <v>6664</v>
      </c>
      <c r="E3938" t="s">
        <v>7239</v>
      </c>
      <c r="F3938">
        <v>55</v>
      </c>
      <c r="G3938">
        <v>2452380</v>
      </c>
      <c r="H3938" t="s">
        <v>7240</v>
      </c>
      <c r="J3938" s="54" t="s">
        <v>6052</v>
      </c>
      <c r="K3938" s="54">
        <v>0</v>
      </c>
      <c r="L3938" s="22" t="s">
        <v>1308</v>
      </c>
      <c r="M3938" s="22" t="s">
        <v>37133</v>
      </c>
    </row>
    <row r="3939" spans="1:13" x14ac:dyDescent="0.75">
      <c r="A3939" t="s">
        <v>6919</v>
      </c>
      <c r="B3939" t="s">
        <v>6662</v>
      </c>
      <c r="C3939" t="s">
        <v>6663</v>
      </c>
      <c r="D3939" t="s">
        <v>6664</v>
      </c>
      <c r="E3939" t="s">
        <v>6920</v>
      </c>
      <c r="F3939">
        <v>65</v>
      </c>
      <c r="G3939">
        <v>2435166</v>
      </c>
      <c r="H3939" t="s">
        <v>6921</v>
      </c>
      <c r="J3939" s="54" t="s">
        <v>6052</v>
      </c>
      <c r="K3939" s="54">
        <v>0</v>
      </c>
      <c r="L3939" s="22" t="s">
        <v>1308</v>
      </c>
      <c r="M3939" s="22" t="s">
        <v>37133</v>
      </c>
    </row>
    <row r="3940" spans="1:13" x14ac:dyDescent="0.75">
      <c r="A3940" t="s">
        <v>18871</v>
      </c>
      <c r="B3940" t="s">
        <v>6662</v>
      </c>
      <c r="C3940" t="s">
        <v>6663</v>
      </c>
      <c r="D3940" t="s">
        <v>6664</v>
      </c>
      <c r="E3940" t="s">
        <v>18872</v>
      </c>
      <c r="F3940">
        <v>1</v>
      </c>
      <c r="G3940">
        <v>2481783</v>
      </c>
      <c r="H3940" t="s">
        <v>18873</v>
      </c>
      <c r="J3940" s="54" t="s">
        <v>6052</v>
      </c>
      <c r="K3940" s="54">
        <v>0</v>
      </c>
      <c r="L3940" s="22" t="s">
        <v>1308</v>
      </c>
      <c r="M3940" s="22" t="s">
        <v>37133</v>
      </c>
    </row>
    <row r="3941" spans="1:13" x14ac:dyDescent="0.75">
      <c r="A3941" t="s">
        <v>6661</v>
      </c>
      <c r="B3941" t="s">
        <v>6662</v>
      </c>
      <c r="C3941" t="s">
        <v>6663</v>
      </c>
      <c r="D3941" t="s">
        <v>6664</v>
      </c>
      <c r="E3941" t="s">
        <v>6665</v>
      </c>
      <c r="F3941">
        <v>46</v>
      </c>
      <c r="G3941">
        <v>2384880</v>
      </c>
      <c r="H3941" t="s">
        <v>6666</v>
      </c>
      <c r="J3941" s="54" t="s">
        <v>6052</v>
      </c>
      <c r="K3941" s="54">
        <v>0</v>
      </c>
      <c r="L3941" s="22" t="s">
        <v>1308</v>
      </c>
      <c r="M3941" s="22" t="s">
        <v>37133</v>
      </c>
    </row>
    <row r="3942" spans="1:13" x14ac:dyDescent="0.75">
      <c r="A3942" t="s">
        <v>13735</v>
      </c>
      <c r="B3942" t="s">
        <v>6662</v>
      </c>
      <c r="C3942" t="s">
        <v>6663</v>
      </c>
      <c r="D3942" t="s">
        <v>6664</v>
      </c>
      <c r="E3942" t="s">
        <v>13736</v>
      </c>
      <c r="F3942">
        <v>5</v>
      </c>
      <c r="G3942">
        <v>2662734</v>
      </c>
      <c r="H3942" t="s">
        <v>13737</v>
      </c>
      <c r="J3942" s="54" t="s">
        <v>6052</v>
      </c>
      <c r="K3942" s="54">
        <v>0</v>
      </c>
      <c r="L3942" s="22" t="s">
        <v>1308</v>
      </c>
      <c r="M3942" s="22" t="s">
        <v>37133</v>
      </c>
    </row>
    <row r="3943" spans="1:13" x14ac:dyDescent="0.75">
      <c r="A3943" t="s">
        <v>24221</v>
      </c>
      <c r="B3943" t="s">
        <v>6662</v>
      </c>
      <c r="C3943" t="s">
        <v>6663</v>
      </c>
      <c r="D3943" t="s">
        <v>6664</v>
      </c>
      <c r="E3943" t="s">
        <v>24222</v>
      </c>
      <c r="F3943">
        <v>53</v>
      </c>
      <c r="G3943">
        <v>2430094</v>
      </c>
      <c r="H3943" t="s">
        <v>24223</v>
      </c>
      <c r="J3943" s="54" t="s">
        <v>6052</v>
      </c>
      <c r="K3943" s="54">
        <v>0</v>
      </c>
      <c r="L3943" s="22" t="s">
        <v>1308</v>
      </c>
      <c r="M3943" s="22" t="s">
        <v>37133</v>
      </c>
    </row>
    <row r="3944" spans="1:13" x14ac:dyDescent="0.75">
      <c r="A3944" t="s">
        <v>27513</v>
      </c>
      <c r="B3944" t="s">
        <v>6662</v>
      </c>
      <c r="C3944" t="s">
        <v>6663</v>
      </c>
      <c r="D3944" t="s">
        <v>6664</v>
      </c>
      <c r="E3944" t="s">
        <v>27514</v>
      </c>
      <c r="F3944">
        <v>7</v>
      </c>
      <c r="G3944">
        <v>2661365</v>
      </c>
      <c r="H3944" t="s">
        <v>27515</v>
      </c>
      <c r="J3944" s="54" t="s">
        <v>6052</v>
      </c>
      <c r="K3944" s="54">
        <v>0</v>
      </c>
      <c r="L3944" s="22" t="s">
        <v>1308</v>
      </c>
      <c r="M3944" s="22" t="s">
        <v>37133</v>
      </c>
    </row>
    <row r="3945" spans="1:13" x14ac:dyDescent="0.75">
      <c r="A3945" t="s">
        <v>27510</v>
      </c>
      <c r="B3945" t="s">
        <v>6662</v>
      </c>
      <c r="C3945" t="s">
        <v>6663</v>
      </c>
      <c r="D3945" t="s">
        <v>6664</v>
      </c>
      <c r="E3945" t="s">
        <v>27511</v>
      </c>
      <c r="F3945">
        <v>12</v>
      </c>
      <c r="G3945">
        <v>2529093</v>
      </c>
      <c r="H3945" t="s">
        <v>27512</v>
      </c>
      <c r="J3945" s="54" t="s">
        <v>6052</v>
      </c>
      <c r="K3945" s="54">
        <v>0</v>
      </c>
      <c r="L3945" s="22" t="s">
        <v>1308</v>
      </c>
      <c r="M3945" s="22" t="s">
        <v>37133</v>
      </c>
    </row>
    <row r="3946" spans="1:13" x14ac:dyDescent="0.75">
      <c r="A3946" t="s">
        <v>27457</v>
      </c>
      <c r="B3946" t="s">
        <v>6662</v>
      </c>
      <c r="C3946" t="s">
        <v>6663</v>
      </c>
      <c r="D3946" t="s">
        <v>6664</v>
      </c>
      <c r="E3946" t="s">
        <v>27458</v>
      </c>
      <c r="F3946">
        <v>8</v>
      </c>
      <c r="G3946">
        <v>2510813</v>
      </c>
      <c r="H3946" t="s">
        <v>27459</v>
      </c>
      <c r="J3946" s="54" t="s">
        <v>6052</v>
      </c>
      <c r="K3946" s="54">
        <v>0</v>
      </c>
      <c r="L3946" s="22" t="s">
        <v>1308</v>
      </c>
      <c r="M3946" s="22" t="s">
        <v>37133</v>
      </c>
    </row>
    <row r="3947" spans="1:13" x14ac:dyDescent="0.75">
      <c r="A3947" t="s">
        <v>17333</v>
      </c>
      <c r="B3947" t="s">
        <v>6155</v>
      </c>
      <c r="C3947" t="s">
        <v>6156</v>
      </c>
      <c r="D3947" t="s">
        <v>6157</v>
      </c>
      <c r="E3947" t="s">
        <v>17334</v>
      </c>
      <c r="F3947">
        <v>1</v>
      </c>
      <c r="G3947">
        <v>2167995</v>
      </c>
      <c r="H3947" t="s">
        <v>17335</v>
      </c>
      <c r="J3947" s="54" t="s">
        <v>6052</v>
      </c>
      <c r="K3947" s="54">
        <v>0</v>
      </c>
      <c r="L3947" s="22" t="s">
        <v>104</v>
      </c>
      <c r="M3947" s="22" t="s">
        <v>37160</v>
      </c>
    </row>
    <row r="3948" spans="1:13" x14ac:dyDescent="0.75">
      <c r="A3948" t="s">
        <v>6530</v>
      </c>
      <c r="B3948" t="s">
        <v>6155</v>
      </c>
      <c r="C3948" t="s">
        <v>6156</v>
      </c>
      <c r="D3948" t="s">
        <v>6157</v>
      </c>
      <c r="E3948" t="s">
        <v>6531</v>
      </c>
      <c r="F3948">
        <v>1</v>
      </c>
      <c r="G3948">
        <v>2145295</v>
      </c>
      <c r="H3948" t="s">
        <v>6532</v>
      </c>
      <c r="J3948" s="54" t="s">
        <v>6052</v>
      </c>
      <c r="K3948" s="54">
        <v>0</v>
      </c>
      <c r="L3948" s="22" t="s">
        <v>104</v>
      </c>
      <c r="M3948" s="22" t="s">
        <v>37160</v>
      </c>
    </row>
    <row r="3949" spans="1:13" x14ac:dyDescent="0.75">
      <c r="A3949" t="s">
        <v>17760</v>
      </c>
      <c r="B3949" t="s">
        <v>6155</v>
      </c>
      <c r="C3949" t="s">
        <v>6156</v>
      </c>
      <c r="D3949" t="s">
        <v>6157</v>
      </c>
      <c r="E3949" t="s">
        <v>17761</v>
      </c>
      <c r="F3949">
        <v>1</v>
      </c>
      <c r="G3949">
        <v>2166248</v>
      </c>
      <c r="H3949" t="s">
        <v>17762</v>
      </c>
      <c r="J3949" s="54" t="s">
        <v>6052</v>
      </c>
      <c r="K3949" s="54">
        <v>0</v>
      </c>
      <c r="L3949" s="22" t="s">
        <v>104</v>
      </c>
      <c r="M3949" s="22" t="s">
        <v>37160</v>
      </c>
    </row>
    <row r="3950" spans="1:13" x14ac:dyDescent="0.75">
      <c r="A3950" t="s">
        <v>17763</v>
      </c>
      <c r="B3950" t="s">
        <v>6155</v>
      </c>
      <c r="C3950" t="s">
        <v>6156</v>
      </c>
      <c r="D3950" t="s">
        <v>6157</v>
      </c>
      <c r="E3950" t="s">
        <v>17764</v>
      </c>
      <c r="F3950">
        <v>1</v>
      </c>
      <c r="G3950">
        <v>2185677</v>
      </c>
      <c r="H3950" t="s">
        <v>17765</v>
      </c>
      <c r="J3950" s="54" t="s">
        <v>6052</v>
      </c>
      <c r="K3950" s="54">
        <v>0</v>
      </c>
      <c r="L3950" s="22" t="s">
        <v>104</v>
      </c>
      <c r="M3950" s="22" t="s">
        <v>37160</v>
      </c>
    </row>
    <row r="3951" spans="1:13" x14ac:dyDescent="0.75">
      <c r="A3951" t="s">
        <v>10923</v>
      </c>
      <c r="B3951" t="s">
        <v>6155</v>
      </c>
      <c r="C3951" t="s">
        <v>6156</v>
      </c>
      <c r="D3951" t="s">
        <v>6157</v>
      </c>
      <c r="E3951" t="s">
        <v>10924</v>
      </c>
      <c r="F3951">
        <v>1</v>
      </c>
      <c r="G3951">
        <v>2187672</v>
      </c>
      <c r="H3951" t="s">
        <v>10925</v>
      </c>
      <c r="J3951" s="54" t="s">
        <v>6052</v>
      </c>
      <c r="K3951" s="54">
        <v>0</v>
      </c>
      <c r="L3951" s="22" t="s">
        <v>104</v>
      </c>
      <c r="M3951" s="22" t="s">
        <v>37160</v>
      </c>
    </row>
    <row r="3952" spans="1:13" x14ac:dyDescent="0.75">
      <c r="A3952" t="s">
        <v>13440</v>
      </c>
      <c r="B3952" t="s">
        <v>6155</v>
      </c>
      <c r="C3952" t="s">
        <v>6156</v>
      </c>
      <c r="D3952" t="s">
        <v>6157</v>
      </c>
      <c r="E3952" t="s">
        <v>13441</v>
      </c>
      <c r="F3952">
        <v>1</v>
      </c>
      <c r="G3952">
        <v>2195573</v>
      </c>
      <c r="H3952" t="s">
        <v>13442</v>
      </c>
      <c r="J3952" s="54" t="s">
        <v>6052</v>
      </c>
      <c r="K3952" s="54">
        <v>0</v>
      </c>
      <c r="L3952" s="22" t="s">
        <v>104</v>
      </c>
      <c r="M3952" s="22" t="s">
        <v>37160</v>
      </c>
    </row>
    <row r="3953" spans="1:13" x14ac:dyDescent="0.75">
      <c r="A3953" t="s">
        <v>12392</v>
      </c>
      <c r="B3953" t="s">
        <v>6155</v>
      </c>
      <c r="C3953" t="s">
        <v>6156</v>
      </c>
      <c r="D3953" t="s">
        <v>6157</v>
      </c>
      <c r="E3953" t="s">
        <v>12393</v>
      </c>
      <c r="F3953">
        <v>1</v>
      </c>
      <c r="G3953">
        <v>2170619</v>
      </c>
      <c r="H3953" t="s">
        <v>12394</v>
      </c>
      <c r="J3953" s="54" t="s">
        <v>6052</v>
      </c>
      <c r="K3953" s="54">
        <v>0</v>
      </c>
      <c r="L3953" s="22" t="s">
        <v>104</v>
      </c>
      <c r="M3953" s="22" t="s">
        <v>37160</v>
      </c>
    </row>
    <row r="3954" spans="1:13" x14ac:dyDescent="0.75">
      <c r="A3954" t="s">
        <v>12395</v>
      </c>
      <c r="B3954" t="s">
        <v>6155</v>
      </c>
      <c r="C3954" t="s">
        <v>6156</v>
      </c>
      <c r="D3954" t="s">
        <v>6157</v>
      </c>
      <c r="E3954" t="s">
        <v>12396</v>
      </c>
      <c r="F3954">
        <v>1</v>
      </c>
      <c r="G3954">
        <v>2207932</v>
      </c>
      <c r="H3954" t="s">
        <v>12397</v>
      </c>
      <c r="J3954" s="54" t="s">
        <v>6052</v>
      </c>
      <c r="K3954" s="54">
        <v>0</v>
      </c>
      <c r="L3954" s="22" t="s">
        <v>104</v>
      </c>
      <c r="M3954" s="22" t="s">
        <v>37160</v>
      </c>
    </row>
    <row r="3955" spans="1:13" x14ac:dyDescent="0.75">
      <c r="A3955" t="s">
        <v>12389</v>
      </c>
      <c r="B3955" t="s">
        <v>6155</v>
      </c>
      <c r="C3955" t="s">
        <v>6156</v>
      </c>
      <c r="D3955" t="s">
        <v>6157</v>
      </c>
      <c r="E3955" t="s">
        <v>12390</v>
      </c>
      <c r="F3955">
        <v>1</v>
      </c>
      <c r="G3955">
        <v>2230103</v>
      </c>
      <c r="H3955" t="s">
        <v>12391</v>
      </c>
      <c r="J3955" s="54" t="s">
        <v>6052</v>
      </c>
      <c r="K3955" s="54">
        <v>0</v>
      </c>
      <c r="L3955" s="22" t="s">
        <v>104</v>
      </c>
      <c r="M3955" s="22" t="s">
        <v>37160</v>
      </c>
    </row>
    <row r="3956" spans="1:13" x14ac:dyDescent="0.75">
      <c r="A3956" t="s">
        <v>13419</v>
      </c>
      <c r="B3956" t="s">
        <v>6155</v>
      </c>
      <c r="C3956" t="s">
        <v>6156</v>
      </c>
      <c r="D3956" t="s">
        <v>6157</v>
      </c>
      <c r="E3956" t="s">
        <v>13420</v>
      </c>
      <c r="F3956">
        <v>1</v>
      </c>
      <c r="G3956">
        <v>2181232</v>
      </c>
      <c r="H3956" t="s">
        <v>13421</v>
      </c>
      <c r="J3956" s="54" t="s">
        <v>6052</v>
      </c>
      <c r="K3956" s="54">
        <v>0</v>
      </c>
      <c r="L3956" s="22" t="s">
        <v>104</v>
      </c>
      <c r="M3956" s="22" t="s">
        <v>37160</v>
      </c>
    </row>
    <row r="3957" spans="1:13" x14ac:dyDescent="0.75">
      <c r="A3957" t="s">
        <v>13422</v>
      </c>
      <c r="B3957" t="s">
        <v>6155</v>
      </c>
      <c r="C3957" t="s">
        <v>6156</v>
      </c>
      <c r="D3957" t="s">
        <v>6157</v>
      </c>
      <c r="E3957" t="s">
        <v>13423</v>
      </c>
      <c r="F3957">
        <v>1</v>
      </c>
      <c r="G3957">
        <v>2273276</v>
      </c>
      <c r="H3957" t="s">
        <v>13424</v>
      </c>
      <c r="J3957" s="54" t="s">
        <v>6052</v>
      </c>
      <c r="K3957" s="54">
        <v>0</v>
      </c>
      <c r="L3957" s="22" t="s">
        <v>104</v>
      </c>
      <c r="M3957" s="22" t="s">
        <v>37160</v>
      </c>
    </row>
    <row r="3958" spans="1:13" x14ac:dyDescent="0.75">
      <c r="A3958" t="s">
        <v>13416</v>
      </c>
      <c r="B3958" t="s">
        <v>6155</v>
      </c>
      <c r="C3958" t="s">
        <v>6156</v>
      </c>
      <c r="D3958" t="s">
        <v>6157</v>
      </c>
      <c r="E3958" t="s">
        <v>13417</v>
      </c>
      <c r="F3958">
        <v>1</v>
      </c>
      <c r="G3958">
        <v>2305805</v>
      </c>
      <c r="H3958" t="s">
        <v>13418</v>
      </c>
      <c r="J3958" s="54" t="s">
        <v>6052</v>
      </c>
      <c r="K3958" s="54">
        <v>0</v>
      </c>
      <c r="L3958" s="22" t="s">
        <v>104</v>
      </c>
      <c r="M3958" s="22" t="s">
        <v>37160</v>
      </c>
    </row>
    <row r="3959" spans="1:13" x14ac:dyDescent="0.75">
      <c r="A3959" t="s">
        <v>13428</v>
      </c>
      <c r="B3959" t="s">
        <v>6155</v>
      </c>
      <c r="C3959" t="s">
        <v>6156</v>
      </c>
      <c r="D3959" t="s">
        <v>6157</v>
      </c>
      <c r="E3959" t="s">
        <v>13429</v>
      </c>
      <c r="F3959">
        <v>1</v>
      </c>
      <c r="G3959">
        <v>2244886</v>
      </c>
      <c r="H3959" t="s">
        <v>13430</v>
      </c>
      <c r="J3959" s="54" t="s">
        <v>6052</v>
      </c>
      <c r="K3959" s="54">
        <v>0</v>
      </c>
      <c r="L3959" s="22" t="s">
        <v>104</v>
      </c>
      <c r="M3959" s="22" t="s">
        <v>37160</v>
      </c>
    </row>
    <row r="3960" spans="1:13" x14ac:dyDescent="0.75">
      <c r="A3960" t="s">
        <v>13395</v>
      </c>
      <c r="B3960" t="s">
        <v>6155</v>
      </c>
      <c r="C3960" t="s">
        <v>6156</v>
      </c>
      <c r="D3960" t="s">
        <v>6157</v>
      </c>
      <c r="E3960" t="s">
        <v>13396</v>
      </c>
      <c r="F3960">
        <v>1</v>
      </c>
      <c r="G3960">
        <v>2397461</v>
      </c>
      <c r="H3960" t="s">
        <v>13397</v>
      </c>
      <c r="J3960" s="54" t="s">
        <v>6052</v>
      </c>
      <c r="K3960" s="54">
        <v>0</v>
      </c>
      <c r="L3960" s="22" t="s">
        <v>104</v>
      </c>
      <c r="M3960" s="22" t="s">
        <v>37160</v>
      </c>
    </row>
    <row r="3961" spans="1:13" x14ac:dyDescent="0.75">
      <c r="A3961" t="s">
        <v>13398</v>
      </c>
      <c r="B3961" t="s">
        <v>6155</v>
      </c>
      <c r="C3961" t="s">
        <v>6156</v>
      </c>
      <c r="D3961" t="s">
        <v>6157</v>
      </c>
      <c r="E3961" t="s">
        <v>13399</v>
      </c>
      <c r="F3961">
        <v>1</v>
      </c>
      <c r="G3961">
        <v>2305818</v>
      </c>
      <c r="H3961" t="s">
        <v>13400</v>
      </c>
      <c r="J3961" s="54" t="s">
        <v>6052</v>
      </c>
      <c r="K3961" s="54">
        <v>0</v>
      </c>
      <c r="L3961" s="22" t="s">
        <v>104</v>
      </c>
      <c r="M3961" s="22" t="s">
        <v>37160</v>
      </c>
    </row>
    <row r="3962" spans="1:13" x14ac:dyDescent="0.75">
      <c r="A3962" t="s">
        <v>7515</v>
      </c>
      <c r="B3962" t="s">
        <v>6155</v>
      </c>
      <c r="C3962" t="s">
        <v>6156</v>
      </c>
      <c r="D3962" t="s">
        <v>6157</v>
      </c>
      <c r="E3962" t="s">
        <v>7516</v>
      </c>
      <c r="F3962">
        <v>1</v>
      </c>
      <c r="G3962">
        <v>2184862</v>
      </c>
      <c r="H3962" t="s">
        <v>7517</v>
      </c>
      <c r="J3962" s="54" t="s">
        <v>6052</v>
      </c>
      <c r="K3962" s="54">
        <v>0</v>
      </c>
      <c r="L3962" s="22" t="s">
        <v>104</v>
      </c>
      <c r="M3962" s="22" t="s">
        <v>37160</v>
      </c>
    </row>
    <row r="3963" spans="1:13" x14ac:dyDescent="0.75">
      <c r="A3963" t="s">
        <v>10672</v>
      </c>
      <c r="B3963" t="s">
        <v>6155</v>
      </c>
      <c r="C3963" t="s">
        <v>6156</v>
      </c>
      <c r="D3963" t="s">
        <v>6157</v>
      </c>
      <c r="E3963" t="s">
        <v>10673</v>
      </c>
      <c r="F3963">
        <v>1</v>
      </c>
      <c r="G3963">
        <v>2173191</v>
      </c>
      <c r="H3963" t="s">
        <v>10674</v>
      </c>
      <c r="J3963" s="54" t="s">
        <v>6052</v>
      </c>
      <c r="K3963" s="54">
        <v>0</v>
      </c>
      <c r="L3963" s="22" t="s">
        <v>104</v>
      </c>
      <c r="M3963" s="22" t="s">
        <v>37160</v>
      </c>
    </row>
    <row r="3964" spans="1:13" x14ac:dyDescent="0.75">
      <c r="A3964" t="s">
        <v>7558</v>
      </c>
      <c r="B3964" t="s">
        <v>6551</v>
      </c>
      <c r="C3964" t="s">
        <v>6552</v>
      </c>
      <c r="D3964" t="s">
        <v>6553</v>
      </c>
      <c r="E3964">
        <v>7169</v>
      </c>
      <c r="F3964">
        <v>35</v>
      </c>
      <c r="G3964">
        <v>1903901</v>
      </c>
      <c r="H3964" t="s">
        <v>7559</v>
      </c>
      <c r="J3964" s="54" t="s">
        <v>6052</v>
      </c>
      <c r="K3964" s="54">
        <v>0</v>
      </c>
      <c r="L3964" s="22" t="s">
        <v>36807</v>
      </c>
      <c r="M3964" s="22" t="s">
        <v>37138</v>
      </c>
    </row>
    <row r="3965" spans="1:13" x14ac:dyDescent="0.75">
      <c r="A3965" t="s">
        <v>10642</v>
      </c>
      <c r="B3965" t="s">
        <v>6551</v>
      </c>
      <c r="C3965" t="s">
        <v>6552</v>
      </c>
      <c r="D3965" t="s">
        <v>6553</v>
      </c>
      <c r="E3965">
        <v>25239</v>
      </c>
      <c r="F3965">
        <v>1</v>
      </c>
      <c r="G3965">
        <v>1887974</v>
      </c>
      <c r="H3965" t="s">
        <v>10643</v>
      </c>
      <c r="J3965" s="54" t="s">
        <v>6052</v>
      </c>
      <c r="K3965" s="54">
        <v>0</v>
      </c>
      <c r="L3965" s="22" t="s">
        <v>36807</v>
      </c>
      <c r="M3965" s="22" t="s">
        <v>37138</v>
      </c>
    </row>
    <row r="3966" spans="1:13" x14ac:dyDescent="0.75">
      <c r="A3966" t="s">
        <v>10529</v>
      </c>
      <c r="B3966" t="s">
        <v>6551</v>
      </c>
      <c r="C3966" t="s">
        <v>6552</v>
      </c>
      <c r="D3966" t="s">
        <v>6553</v>
      </c>
      <c r="E3966">
        <v>25240</v>
      </c>
      <c r="F3966">
        <v>1</v>
      </c>
      <c r="G3966">
        <v>1941566</v>
      </c>
      <c r="H3966" t="s">
        <v>10530</v>
      </c>
      <c r="J3966" s="54" t="s">
        <v>6052</v>
      </c>
      <c r="K3966" s="54">
        <v>0</v>
      </c>
      <c r="L3966" s="22" t="s">
        <v>36807</v>
      </c>
      <c r="M3966" s="22" t="s">
        <v>37138</v>
      </c>
    </row>
    <row r="3967" spans="1:13" x14ac:dyDescent="0.75">
      <c r="A3967" t="s">
        <v>17627</v>
      </c>
      <c r="B3967" t="s">
        <v>6551</v>
      </c>
      <c r="C3967" t="s">
        <v>6552</v>
      </c>
      <c r="D3967" t="s">
        <v>6553</v>
      </c>
      <c r="E3967">
        <v>20236154</v>
      </c>
      <c r="F3967">
        <v>24</v>
      </c>
      <c r="G3967">
        <v>1869929</v>
      </c>
      <c r="H3967" t="s">
        <v>17628</v>
      </c>
      <c r="J3967" s="54" t="s">
        <v>6052</v>
      </c>
      <c r="K3967" s="54">
        <v>0</v>
      </c>
      <c r="L3967" s="22" t="s">
        <v>36807</v>
      </c>
      <c r="M3967" s="22" t="s">
        <v>37138</v>
      </c>
    </row>
    <row r="3968" spans="1:13" x14ac:dyDescent="0.75">
      <c r="A3968" t="s">
        <v>7566</v>
      </c>
      <c r="B3968" t="s">
        <v>6551</v>
      </c>
      <c r="C3968" t="s">
        <v>6552</v>
      </c>
      <c r="D3968" t="s">
        <v>6553</v>
      </c>
      <c r="E3968" t="s">
        <v>7567</v>
      </c>
      <c r="F3968">
        <v>26</v>
      </c>
      <c r="G3968">
        <v>1866092</v>
      </c>
      <c r="H3968" t="s">
        <v>7568</v>
      </c>
      <c r="J3968" s="54" t="s">
        <v>6052</v>
      </c>
      <c r="K3968" s="54">
        <v>0</v>
      </c>
      <c r="L3968" s="22" t="s">
        <v>36807</v>
      </c>
      <c r="M3968" s="22" t="s">
        <v>37138</v>
      </c>
    </row>
    <row r="3969" spans="1:13" x14ac:dyDescent="0.75">
      <c r="A3969" t="s">
        <v>17621</v>
      </c>
      <c r="B3969" t="s">
        <v>6551</v>
      </c>
      <c r="C3969" t="s">
        <v>6552</v>
      </c>
      <c r="D3969" t="s">
        <v>6553</v>
      </c>
      <c r="E3969" t="s">
        <v>17622</v>
      </c>
      <c r="F3969">
        <v>37</v>
      </c>
      <c r="G3969">
        <v>1962029</v>
      </c>
      <c r="H3969" t="s">
        <v>17623</v>
      </c>
      <c r="J3969" s="54" t="s">
        <v>6052</v>
      </c>
      <c r="K3969" s="54">
        <v>0</v>
      </c>
      <c r="L3969" s="22" t="s">
        <v>36807</v>
      </c>
      <c r="M3969" s="22" t="s">
        <v>37138</v>
      </c>
    </row>
    <row r="3970" spans="1:13" x14ac:dyDescent="0.75">
      <c r="A3970" t="s">
        <v>17624</v>
      </c>
      <c r="B3970" t="s">
        <v>6551</v>
      </c>
      <c r="C3970" t="s">
        <v>6552</v>
      </c>
      <c r="D3970" t="s">
        <v>6553</v>
      </c>
      <c r="E3970" t="s">
        <v>17625</v>
      </c>
      <c r="F3970">
        <v>25</v>
      </c>
      <c r="G3970">
        <v>1929449</v>
      </c>
      <c r="H3970" t="s">
        <v>17626</v>
      </c>
      <c r="J3970" s="54" t="s">
        <v>6052</v>
      </c>
      <c r="K3970" s="54">
        <v>0</v>
      </c>
      <c r="L3970" s="22" t="s">
        <v>36807</v>
      </c>
      <c r="M3970" s="22" t="s">
        <v>37138</v>
      </c>
    </row>
    <row r="3971" spans="1:13" x14ac:dyDescent="0.75">
      <c r="A3971" t="s">
        <v>17618</v>
      </c>
      <c r="B3971" t="s">
        <v>6551</v>
      </c>
      <c r="C3971" t="s">
        <v>6552</v>
      </c>
      <c r="D3971" t="s">
        <v>6553</v>
      </c>
      <c r="E3971" t="s">
        <v>17619</v>
      </c>
      <c r="F3971">
        <v>20</v>
      </c>
      <c r="G3971">
        <v>1819933</v>
      </c>
      <c r="H3971" t="s">
        <v>17620</v>
      </c>
      <c r="J3971" s="54" t="s">
        <v>6052</v>
      </c>
      <c r="K3971" s="54">
        <v>0</v>
      </c>
      <c r="L3971" s="22" t="s">
        <v>36807</v>
      </c>
      <c r="M3971" s="22" t="s">
        <v>37138</v>
      </c>
    </row>
    <row r="3972" spans="1:13" x14ac:dyDescent="0.75">
      <c r="A3972" t="s">
        <v>17615</v>
      </c>
      <c r="B3972" t="s">
        <v>6551</v>
      </c>
      <c r="C3972" t="s">
        <v>6552</v>
      </c>
      <c r="D3972" t="s">
        <v>6553</v>
      </c>
      <c r="E3972" t="s">
        <v>17616</v>
      </c>
      <c r="F3972">
        <v>25</v>
      </c>
      <c r="G3972">
        <v>1871110</v>
      </c>
      <c r="H3972" t="s">
        <v>17617</v>
      </c>
      <c r="J3972" s="54" t="s">
        <v>6052</v>
      </c>
      <c r="K3972" s="54">
        <v>0</v>
      </c>
      <c r="L3972" s="22" t="s">
        <v>36807</v>
      </c>
      <c r="M3972" s="22" t="s">
        <v>37138</v>
      </c>
    </row>
    <row r="3973" spans="1:13" x14ac:dyDescent="0.75">
      <c r="A3973" t="s">
        <v>17612</v>
      </c>
      <c r="B3973" t="s">
        <v>6551</v>
      </c>
      <c r="C3973" t="s">
        <v>6552</v>
      </c>
      <c r="D3973" t="s">
        <v>6553</v>
      </c>
      <c r="E3973" t="s">
        <v>17613</v>
      </c>
      <c r="F3973">
        <v>32</v>
      </c>
      <c r="G3973">
        <v>1920126</v>
      </c>
      <c r="H3973" t="s">
        <v>17614</v>
      </c>
      <c r="J3973" s="54" t="s">
        <v>6052</v>
      </c>
      <c r="K3973" s="54">
        <v>0</v>
      </c>
      <c r="L3973" s="22" t="s">
        <v>36807</v>
      </c>
      <c r="M3973" s="22" t="s">
        <v>37138</v>
      </c>
    </row>
    <row r="3974" spans="1:13" x14ac:dyDescent="0.75">
      <c r="A3974" t="s">
        <v>17609</v>
      </c>
      <c r="B3974" t="s">
        <v>6551</v>
      </c>
      <c r="C3974" t="s">
        <v>6552</v>
      </c>
      <c r="D3974" t="s">
        <v>6553</v>
      </c>
      <c r="E3974" t="s">
        <v>17610</v>
      </c>
      <c r="F3974">
        <v>23</v>
      </c>
      <c r="G3974">
        <v>1896815</v>
      </c>
      <c r="H3974" t="s">
        <v>17611</v>
      </c>
      <c r="J3974" s="54" t="s">
        <v>6052</v>
      </c>
      <c r="K3974" s="54">
        <v>0</v>
      </c>
      <c r="L3974" s="22" t="s">
        <v>36807</v>
      </c>
      <c r="M3974" s="22" t="s">
        <v>37138</v>
      </c>
    </row>
    <row r="3975" spans="1:13" x14ac:dyDescent="0.75">
      <c r="A3975" t="s">
        <v>17606</v>
      </c>
      <c r="B3975" t="s">
        <v>6551</v>
      </c>
      <c r="C3975" t="s">
        <v>6552</v>
      </c>
      <c r="D3975" t="s">
        <v>6553</v>
      </c>
      <c r="E3975" t="s">
        <v>17607</v>
      </c>
      <c r="F3975">
        <v>24</v>
      </c>
      <c r="G3975">
        <v>1844379</v>
      </c>
      <c r="H3975" t="s">
        <v>17608</v>
      </c>
      <c r="J3975" s="54" t="s">
        <v>6052</v>
      </c>
      <c r="K3975" s="54">
        <v>0</v>
      </c>
      <c r="L3975" s="22" t="s">
        <v>36807</v>
      </c>
      <c r="M3975" s="22" t="s">
        <v>37138</v>
      </c>
    </row>
    <row r="3976" spans="1:13" x14ac:dyDescent="0.75">
      <c r="A3976" t="s">
        <v>17603</v>
      </c>
      <c r="B3976" t="s">
        <v>6551</v>
      </c>
      <c r="C3976" t="s">
        <v>6552</v>
      </c>
      <c r="D3976" t="s">
        <v>6553</v>
      </c>
      <c r="E3976" t="s">
        <v>17604</v>
      </c>
      <c r="F3976">
        <v>25</v>
      </c>
      <c r="G3976">
        <v>1840934</v>
      </c>
      <c r="H3976" t="s">
        <v>17605</v>
      </c>
      <c r="J3976" s="54" t="s">
        <v>6052</v>
      </c>
      <c r="K3976" s="54">
        <v>0</v>
      </c>
      <c r="L3976" s="22" t="s">
        <v>36807</v>
      </c>
      <c r="M3976" s="22" t="s">
        <v>37138</v>
      </c>
    </row>
    <row r="3977" spans="1:13" x14ac:dyDescent="0.75">
      <c r="A3977" t="s">
        <v>16388</v>
      </c>
      <c r="B3977" t="s">
        <v>6551</v>
      </c>
      <c r="C3977" t="s">
        <v>6552</v>
      </c>
      <c r="D3977" t="s">
        <v>6553</v>
      </c>
      <c r="E3977" t="s">
        <v>16389</v>
      </c>
      <c r="F3977">
        <v>1</v>
      </c>
      <c r="G3977">
        <v>1909077</v>
      </c>
      <c r="H3977" t="s">
        <v>16390</v>
      </c>
      <c r="J3977" s="54" t="s">
        <v>6052</v>
      </c>
      <c r="K3977" s="54">
        <v>0</v>
      </c>
      <c r="L3977" s="22" t="s">
        <v>36807</v>
      </c>
      <c r="M3977" s="22" t="s">
        <v>37138</v>
      </c>
    </row>
    <row r="3978" spans="1:13" x14ac:dyDescent="0.75">
      <c r="A3978" t="s">
        <v>17600</v>
      </c>
      <c r="B3978" t="s">
        <v>6551</v>
      </c>
      <c r="C3978" t="s">
        <v>6552</v>
      </c>
      <c r="D3978" t="s">
        <v>6553</v>
      </c>
      <c r="E3978" t="s">
        <v>17601</v>
      </c>
      <c r="F3978">
        <v>29</v>
      </c>
      <c r="G3978">
        <v>1994652</v>
      </c>
      <c r="H3978" t="s">
        <v>17602</v>
      </c>
      <c r="J3978" s="54" t="s">
        <v>6052</v>
      </c>
      <c r="K3978" s="54">
        <v>0</v>
      </c>
      <c r="L3978" s="22" t="s">
        <v>36807</v>
      </c>
      <c r="M3978" s="22" t="s">
        <v>37138</v>
      </c>
    </row>
    <row r="3979" spans="1:13" x14ac:dyDescent="0.75">
      <c r="A3979" t="s">
        <v>16408</v>
      </c>
      <c r="B3979" t="s">
        <v>6551</v>
      </c>
      <c r="C3979" t="s">
        <v>6552</v>
      </c>
      <c r="D3979" t="s">
        <v>6553</v>
      </c>
      <c r="E3979" t="s">
        <v>16409</v>
      </c>
      <c r="F3979">
        <v>27</v>
      </c>
      <c r="G3979">
        <v>1940208</v>
      </c>
      <c r="H3979" t="s">
        <v>16410</v>
      </c>
      <c r="J3979" s="54" t="s">
        <v>6052</v>
      </c>
      <c r="K3979" s="54">
        <v>0</v>
      </c>
      <c r="L3979" s="22" t="s">
        <v>36807</v>
      </c>
      <c r="M3979" s="22" t="s">
        <v>37138</v>
      </c>
    </row>
    <row r="3980" spans="1:13" x14ac:dyDescent="0.75">
      <c r="A3980" t="s">
        <v>16414</v>
      </c>
      <c r="B3980" t="s">
        <v>6551</v>
      </c>
      <c r="C3980" t="s">
        <v>6552</v>
      </c>
      <c r="D3980" t="s">
        <v>6553</v>
      </c>
      <c r="E3980" t="s">
        <v>16415</v>
      </c>
      <c r="F3980">
        <v>18</v>
      </c>
      <c r="G3980">
        <v>1938288</v>
      </c>
      <c r="H3980" t="s">
        <v>16416</v>
      </c>
      <c r="J3980" s="54" t="s">
        <v>6052</v>
      </c>
      <c r="K3980" s="54">
        <v>0</v>
      </c>
      <c r="L3980" s="22" t="s">
        <v>36807</v>
      </c>
      <c r="M3980" s="22" t="s">
        <v>37138</v>
      </c>
    </row>
    <row r="3981" spans="1:13" x14ac:dyDescent="0.75">
      <c r="A3981" t="s">
        <v>17597</v>
      </c>
      <c r="B3981" t="s">
        <v>6551</v>
      </c>
      <c r="C3981" t="s">
        <v>6552</v>
      </c>
      <c r="D3981" t="s">
        <v>6553</v>
      </c>
      <c r="E3981" t="s">
        <v>17598</v>
      </c>
      <c r="F3981">
        <v>34</v>
      </c>
      <c r="G3981">
        <v>1850800</v>
      </c>
      <c r="H3981" t="s">
        <v>17599</v>
      </c>
      <c r="J3981" s="54" t="s">
        <v>6052</v>
      </c>
      <c r="K3981" s="54">
        <v>0</v>
      </c>
      <c r="L3981" s="22" t="s">
        <v>36807</v>
      </c>
      <c r="M3981" s="22" t="s">
        <v>37138</v>
      </c>
    </row>
    <row r="3982" spans="1:13" x14ac:dyDescent="0.75">
      <c r="A3982" t="s">
        <v>17594</v>
      </c>
      <c r="B3982" t="s">
        <v>6551</v>
      </c>
      <c r="C3982" t="s">
        <v>6552</v>
      </c>
      <c r="D3982" t="s">
        <v>6553</v>
      </c>
      <c r="E3982" t="s">
        <v>17595</v>
      </c>
      <c r="F3982">
        <v>28</v>
      </c>
      <c r="G3982">
        <v>1853097</v>
      </c>
      <c r="H3982" t="s">
        <v>17596</v>
      </c>
      <c r="J3982" s="54" t="s">
        <v>6052</v>
      </c>
      <c r="K3982" s="54">
        <v>0</v>
      </c>
      <c r="L3982" s="22" t="s">
        <v>36807</v>
      </c>
      <c r="M3982" s="22" t="s">
        <v>37138</v>
      </c>
    </row>
    <row r="3983" spans="1:13" x14ac:dyDescent="0.75">
      <c r="A3983" t="s">
        <v>17591</v>
      </c>
      <c r="B3983" t="s">
        <v>6551</v>
      </c>
      <c r="C3983" t="s">
        <v>6552</v>
      </c>
      <c r="D3983" t="s">
        <v>6553</v>
      </c>
      <c r="E3983" t="s">
        <v>17592</v>
      </c>
      <c r="F3983">
        <v>37</v>
      </c>
      <c r="G3983">
        <v>1937521</v>
      </c>
      <c r="H3983" t="s">
        <v>17593</v>
      </c>
      <c r="J3983" s="54" t="s">
        <v>6052</v>
      </c>
      <c r="K3983" s="54">
        <v>0</v>
      </c>
      <c r="L3983" s="22" t="s">
        <v>36807</v>
      </c>
      <c r="M3983" s="22" t="s">
        <v>37138</v>
      </c>
    </row>
    <row r="3984" spans="1:13" x14ac:dyDescent="0.75">
      <c r="A3984" t="s">
        <v>17588</v>
      </c>
      <c r="B3984" t="s">
        <v>6551</v>
      </c>
      <c r="C3984" t="s">
        <v>6552</v>
      </c>
      <c r="D3984" t="s">
        <v>6553</v>
      </c>
      <c r="E3984" t="s">
        <v>17589</v>
      </c>
      <c r="F3984">
        <v>27</v>
      </c>
      <c r="G3984">
        <v>1851887</v>
      </c>
      <c r="H3984" t="s">
        <v>17590</v>
      </c>
      <c r="J3984" s="54" t="s">
        <v>6052</v>
      </c>
      <c r="K3984" s="54">
        <v>0</v>
      </c>
      <c r="L3984" s="22" t="s">
        <v>36807</v>
      </c>
      <c r="M3984" s="22" t="s">
        <v>37138</v>
      </c>
    </row>
    <row r="3985" spans="1:13" x14ac:dyDescent="0.75">
      <c r="A3985" t="s">
        <v>17585</v>
      </c>
      <c r="B3985" t="s">
        <v>6551</v>
      </c>
      <c r="C3985" t="s">
        <v>6552</v>
      </c>
      <c r="D3985" t="s">
        <v>6553</v>
      </c>
      <c r="E3985" t="s">
        <v>17586</v>
      </c>
      <c r="F3985">
        <v>32</v>
      </c>
      <c r="G3985">
        <v>1952307</v>
      </c>
      <c r="H3985" t="s">
        <v>17587</v>
      </c>
      <c r="J3985" s="54" t="s">
        <v>6052</v>
      </c>
      <c r="K3985" s="54">
        <v>0</v>
      </c>
      <c r="L3985" s="22" t="s">
        <v>36807</v>
      </c>
      <c r="M3985" s="22" t="s">
        <v>37138</v>
      </c>
    </row>
    <row r="3986" spans="1:13" x14ac:dyDescent="0.75">
      <c r="A3986" t="s">
        <v>17582</v>
      </c>
      <c r="B3986" t="s">
        <v>6551</v>
      </c>
      <c r="C3986" t="s">
        <v>6552</v>
      </c>
      <c r="D3986" t="s">
        <v>6553</v>
      </c>
      <c r="E3986" t="s">
        <v>17583</v>
      </c>
      <c r="F3986">
        <v>31</v>
      </c>
      <c r="G3986">
        <v>1959709</v>
      </c>
      <c r="H3986" t="s">
        <v>17584</v>
      </c>
      <c r="J3986" s="54" t="s">
        <v>6052</v>
      </c>
      <c r="K3986" s="54">
        <v>0</v>
      </c>
      <c r="L3986" s="22" t="s">
        <v>36807</v>
      </c>
      <c r="M3986" s="22" t="s">
        <v>37138</v>
      </c>
    </row>
    <row r="3987" spans="1:13" x14ac:dyDescent="0.75">
      <c r="A3987" t="s">
        <v>17579</v>
      </c>
      <c r="B3987" t="s">
        <v>6551</v>
      </c>
      <c r="C3987" t="s">
        <v>6552</v>
      </c>
      <c r="D3987" t="s">
        <v>6553</v>
      </c>
      <c r="E3987" t="s">
        <v>17580</v>
      </c>
      <c r="F3987">
        <v>26</v>
      </c>
      <c r="G3987">
        <v>1969511</v>
      </c>
      <c r="H3987" t="s">
        <v>17581</v>
      </c>
      <c r="J3987" s="54" t="s">
        <v>6052</v>
      </c>
      <c r="K3987" s="54">
        <v>0</v>
      </c>
      <c r="L3987" s="22" t="s">
        <v>36807</v>
      </c>
      <c r="M3987" s="22" t="s">
        <v>37138</v>
      </c>
    </row>
    <row r="3988" spans="1:13" x14ac:dyDescent="0.75">
      <c r="A3988" t="s">
        <v>17576</v>
      </c>
      <c r="B3988" t="s">
        <v>6551</v>
      </c>
      <c r="C3988" t="s">
        <v>6552</v>
      </c>
      <c r="D3988" t="s">
        <v>6553</v>
      </c>
      <c r="E3988" t="s">
        <v>17577</v>
      </c>
      <c r="F3988">
        <v>26</v>
      </c>
      <c r="G3988">
        <v>1990466</v>
      </c>
      <c r="H3988" t="s">
        <v>17578</v>
      </c>
      <c r="J3988" s="54" t="s">
        <v>6052</v>
      </c>
      <c r="K3988" s="54">
        <v>0</v>
      </c>
      <c r="L3988" s="22" t="s">
        <v>36807</v>
      </c>
      <c r="M3988" s="22" t="s">
        <v>37138</v>
      </c>
    </row>
    <row r="3989" spans="1:13" x14ac:dyDescent="0.75">
      <c r="A3989" t="s">
        <v>17573</v>
      </c>
      <c r="B3989" t="s">
        <v>6551</v>
      </c>
      <c r="C3989" t="s">
        <v>6552</v>
      </c>
      <c r="D3989" t="s">
        <v>6553</v>
      </c>
      <c r="E3989" t="s">
        <v>17574</v>
      </c>
      <c r="F3989">
        <v>26</v>
      </c>
      <c r="G3989">
        <v>1949682</v>
      </c>
      <c r="H3989" t="s">
        <v>17575</v>
      </c>
      <c r="J3989" s="54" t="s">
        <v>6052</v>
      </c>
      <c r="K3989" s="54">
        <v>0</v>
      </c>
      <c r="L3989" s="22" t="s">
        <v>36807</v>
      </c>
      <c r="M3989" s="22" t="s">
        <v>37138</v>
      </c>
    </row>
    <row r="3990" spans="1:13" x14ac:dyDescent="0.75">
      <c r="A3990" t="s">
        <v>17570</v>
      </c>
      <c r="B3990" t="s">
        <v>6551</v>
      </c>
      <c r="C3990" t="s">
        <v>6552</v>
      </c>
      <c r="D3990" t="s">
        <v>6553</v>
      </c>
      <c r="E3990" t="s">
        <v>17571</v>
      </c>
      <c r="F3990">
        <v>37</v>
      </c>
      <c r="G3990">
        <v>1870485</v>
      </c>
      <c r="H3990" t="s">
        <v>17572</v>
      </c>
      <c r="J3990" s="54" t="s">
        <v>6052</v>
      </c>
      <c r="K3990" s="54">
        <v>0</v>
      </c>
      <c r="L3990" s="22" t="s">
        <v>36807</v>
      </c>
      <c r="M3990" s="22" t="s">
        <v>37138</v>
      </c>
    </row>
    <row r="3991" spans="1:13" x14ac:dyDescent="0.75">
      <c r="A3991" t="s">
        <v>16391</v>
      </c>
      <c r="B3991" t="s">
        <v>6551</v>
      </c>
      <c r="C3991" t="s">
        <v>6552</v>
      </c>
      <c r="D3991" t="s">
        <v>6553</v>
      </c>
      <c r="E3991" t="s">
        <v>16392</v>
      </c>
      <c r="F3991">
        <v>1</v>
      </c>
      <c r="G3991">
        <v>2045324</v>
      </c>
      <c r="H3991" t="s">
        <v>16393</v>
      </c>
      <c r="J3991" s="54" t="s">
        <v>6052</v>
      </c>
      <c r="K3991" s="54">
        <v>0</v>
      </c>
      <c r="L3991" s="22" t="s">
        <v>36807</v>
      </c>
      <c r="M3991" s="22" t="s">
        <v>37138</v>
      </c>
    </row>
    <row r="3992" spans="1:13" x14ac:dyDescent="0.75">
      <c r="A3992" t="s">
        <v>17523</v>
      </c>
      <c r="B3992" t="s">
        <v>6551</v>
      </c>
      <c r="C3992" t="s">
        <v>6552</v>
      </c>
      <c r="D3992" t="s">
        <v>6553</v>
      </c>
      <c r="E3992" t="s">
        <v>17524</v>
      </c>
      <c r="F3992">
        <v>30</v>
      </c>
      <c r="G3992">
        <v>2105661</v>
      </c>
      <c r="H3992" t="s">
        <v>17525</v>
      </c>
      <c r="J3992" s="54" t="s">
        <v>6052</v>
      </c>
      <c r="K3992" s="54">
        <v>0</v>
      </c>
      <c r="L3992" s="22" t="s">
        <v>36807</v>
      </c>
      <c r="M3992" s="22" t="s">
        <v>37138</v>
      </c>
    </row>
    <row r="3993" spans="1:13" x14ac:dyDescent="0.75">
      <c r="A3993" t="s">
        <v>17567</v>
      </c>
      <c r="B3993" t="s">
        <v>6551</v>
      </c>
      <c r="C3993" t="s">
        <v>6552</v>
      </c>
      <c r="D3993" t="s">
        <v>6553</v>
      </c>
      <c r="E3993" t="s">
        <v>17568</v>
      </c>
      <c r="F3993">
        <v>37</v>
      </c>
      <c r="G3993">
        <v>1878510</v>
      </c>
      <c r="H3993" t="s">
        <v>17569</v>
      </c>
      <c r="J3993" s="54" t="s">
        <v>6052</v>
      </c>
      <c r="K3993" s="54">
        <v>0</v>
      </c>
      <c r="L3993" s="22" t="s">
        <v>36807</v>
      </c>
      <c r="M3993" s="22" t="s">
        <v>37138</v>
      </c>
    </row>
    <row r="3994" spans="1:13" x14ac:dyDescent="0.75">
      <c r="A3994" t="s">
        <v>17561</v>
      </c>
      <c r="B3994" t="s">
        <v>6551</v>
      </c>
      <c r="C3994" t="s">
        <v>6552</v>
      </c>
      <c r="D3994" t="s">
        <v>6553</v>
      </c>
      <c r="E3994" t="s">
        <v>17562</v>
      </c>
      <c r="F3994">
        <v>36</v>
      </c>
      <c r="G3994">
        <v>1891472</v>
      </c>
      <c r="H3994" t="s">
        <v>17563</v>
      </c>
      <c r="J3994" s="54" t="s">
        <v>6052</v>
      </c>
      <c r="K3994" s="54">
        <v>0</v>
      </c>
      <c r="L3994" s="22" t="s">
        <v>36807</v>
      </c>
      <c r="M3994" s="22" t="s">
        <v>37138</v>
      </c>
    </row>
    <row r="3995" spans="1:13" x14ac:dyDescent="0.75">
      <c r="A3995" t="s">
        <v>17564</v>
      </c>
      <c r="B3995" t="s">
        <v>6551</v>
      </c>
      <c r="C3995" t="s">
        <v>6552</v>
      </c>
      <c r="D3995" t="s">
        <v>6553</v>
      </c>
      <c r="E3995" t="s">
        <v>17565</v>
      </c>
      <c r="F3995">
        <v>37</v>
      </c>
      <c r="G3995">
        <v>1894162</v>
      </c>
      <c r="H3995" t="s">
        <v>17566</v>
      </c>
      <c r="J3995" s="54" t="s">
        <v>6052</v>
      </c>
      <c r="K3995" s="54">
        <v>0</v>
      </c>
      <c r="L3995" s="22" t="s">
        <v>36807</v>
      </c>
      <c r="M3995" s="22" t="s">
        <v>37138</v>
      </c>
    </row>
    <row r="3996" spans="1:13" x14ac:dyDescent="0.75">
      <c r="A3996" t="s">
        <v>17555</v>
      </c>
      <c r="B3996" t="s">
        <v>6551</v>
      </c>
      <c r="C3996" t="s">
        <v>6552</v>
      </c>
      <c r="D3996" t="s">
        <v>6553</v>
      </c>
      <c r="E3996" t="s">
        <v>17556</v>
      </c>
      <c r="F3996">
        <v>25</v>
      </c>
      <c r="G3996">
        <v>1893992</v>
      </c>
      <c r="H3996" t="s">
        <v>17557</v>
      </c>
      <c r="J3996" s="54" t="s">
        <v>6052</v>
      </c>
      <c r="K3996" s="54">
        <v>0</v>
      </c>
      <c r="L3996" s="22" t="s">
        <v>36807</v>
      </c>
      <c r="M3996" s="22" t="s">
        <v>37138</v>
      </c>
    </row>
    <row r="3997" spans="1:13" x14ac:dyDescent="0.75">
      <c r="A3997" t="s">
        <v>17558</v>
      </c>
      <c r="B3997" t="s">
        <v>6551</v>
      </c>
      <c r="C3997" t="s">
        <v>6552</v>
      </c>
      <c r="D3997" t="s">
        <v>6553</v>
      </c>
      <c r="E3997" t="s">
        <v>17559</v>
      </c>
      <c r="F3997">
        <v>24</v>
      </c>
      <c r="G3997">
        <v>1893322</v>
      </c>
      <c r="H3997" t="s">
        <v>17560</v>
      </c>
      <c r="J3997" s="54" t="s">
        <v>6052</v>
      </c>
      <c r="K3997" s="54">
        <v>0</v>
      </c>
      <c r="L3997" s="22" t="s">
        <v>36807</v>
      </c>
      <c r="M3997" s="22" t="s">
        <v>37138</v>
      </c>
    </row>
    <row r="3998" spans="1:13" x14ac:dyDescent="0.75">
      <c r="A3998" t="s">
        <v>17552</v>
      </c>
      <c r="B3998" t="s">
        <v>6551</v>
      </c>
      <c r="C3998" t="s">
        <v>6552</v>
      </c>
      <c r="D3998" t="s">
        <v>6553</v>
      </c>
      <c r="E3998" t="s">
        <v>17553</v>
      </c>
      <c r="F3998">
        <v>27</v>
      </c>
      <c r="G3998">
        <v>1993570</v>
      </c>
      <c r="H3998" t="s">
        <v>17554</v>
      </c>
      <c r="J3998" s="54" t="s">
        <v>6052</v>
      </c>
      <c r="K3998" s="54">
        <v>0</v>
      </c>
      <c r="L3998" s="22" t="s">
        <v>36807</v>
      </c>
      <c r="M3998" s="22" t="s">
        <v>37138</v>
      </c>
    </row>
    <row r="3999" spans="1:13" x14ac:dyDescent="0.75">
      <c r="A3999" t="s">
        <v>17549</v>
      </c>
      <c r="B3999" t="s">
        <v>6551</v>
      </c>
      <c r="C3999" t="s">
        <v>6552</v>
      </c>
      <c r="D3999" t="s">
        <v>6553</v>
      </c>
      <c r="E3999" t="s">
        <v>17550</v>
      </c>
      <c r="F3999">
        <v>27</v>
      </c>
      <c r="G3999">
        <v>1893317</v>
      </c>
      <c r="H3999" t="s">
        <v>17551</v>
      </c>
      <c r="J3999" s="54" t="s">
        <v>6052</v>
      </c>
      <c r="K3999" s="54">
        <v>0</v>
      </c>
      <c r="L3999" s="22" t="s">
        <v>36807</v>
      </c>
      <c r="M3999" s="22" t="s">
        <v>37138</v>
      </c>
    </row>
    <row r="4000" spans="1:13" x14ac:dyDescent="0.75">
      <c r="A4000" t="s">
        <v>16397</v>
      </c>
      <c r="B4000" t="s">
        <v>6551</v>
      </c>
      <c r="C4000" t="s">
        <v>6552</v>
      </c>
      <c r="D4000" t="s">
        <v>6553</v>
      </c>
      <c r="E4000" t="s">
        <v>16398</v>
      </c>
      <c r="F4000">
        <v>1</v>
      </c>
      <c r="G4000">
        <v>1933669</v>
      </c>
      <c r="H4000" t="s">
        <v>16399</v>
      </c>
      <c r="J4000" s="54" t="s">
        <v>6052</v>
      </c>
      <c r="K4000" s="54">
        <v>0</v>
      </c>
      <c r="L4000" s="22" t="s">
        <v>36807</v>
      </c>
      <c r="M4000" s="22" t="s">
        <v>37138</v>
      </c>
    </row>
    <row r="4001" spans="1:13" x14ac:dyDescent="0.75">
      <c r="A4001" t="s">
        <v>16411</v>
      </c>
      <c r="B4001" t="s">
        <v>6551</v>
      </c>
      <c r="C4001" t="s">
        <v>6552</v>
      </c>
      <c r="D4001" t="s">
        <v>6553</v>
      </c>
      <c r="E4001" t="s">
        <v>16412</v>
      </c>
      <c r="F4001">
        <v>2</v>
      </c>
      <c r="G4001">
        <v>1945525</v>
      </c>
      <c r="H4001" t="s">
        <v>16413</v>
      </c>
      <c r="J4001" s="54" t="s">
        <v>6052</v>
      </c>
      <c r="K4001" s="54">
        <v>0</v>
      </c>
      <c r="L4001" s="22" t="s">
        <v>36807</v>
      </c>
      <c r="M4001" s="22" t="s">
        <v>37138</v>
      </c>
    </row>
    <row r="4002" spans="1:13" x14ac:dyDescent="0.75">
      <c r="A4002" t="s">
        <v>17546</v>
      </c>
      <c r="B4002" t="s">
        <v>6551</v>
      </c>
      <c r="C4002" t="s">
        <v>6552</v>
      </c>
      <c r="D4002" t="s">
        <v>6553</v>
      </c>
      <c r="E4002" t="s">
        <v>17547</v>
      </c>
      <c r="F4002">
        <v>17</v>
      </c>
      <c r="G4002">
        <v>2006492</v>
      </c>
      <c r="H4002" t="s">
        <v>17548</v>
      </c>
      <c r="J4002" s="54" t="s">
        <v>6052</v>
      </c>
      <c r="K4002" s="54">
        <v>0</v>
      </c>
      <c r="L4002" s="22" t="s">
        <v>36807</v>
      </c>
      <c r="M4002" s="22" t="s">
        <v>37138</v>
      </c>
    </row>
    <row r="4003" spans="1:13" x14ac:dyDescent="0.75">
      <c r="A4003" t="s">
        <v>16385</v>
      </c>
      <c r="B4003" t="s">
        <v>6551</v>
      </c>
      <c r="C4003" t="s">
        <v>6552</v>
      </c>
      <c r="D4003" t="s">
        <v>6553</v>
      </c>
      <c r="E4003" t="s">
        <v>16386</v>
      </c>
      <c r="F4003">
        <v>1</v>
      </c>
      <c r="G4003">
        <v>1832216</v>
      </c>
      <c r="H4003" t="s">
        <v>16387</v>
      </c>
      <c r="J4003" s="54" t="s">
        <v>6052</v>
      </c>
      <c r="K4003" s="54">
        <v>0</v>
      </c>
      <c r="L4003" s="22" t="s">
        <v>36807</v>
      </c>
      <c r="M4003" s="22" t="s">
        <v>37138</v>
      </c>
    </row>
    <row r="4004" spans="1:13" x14ac:dyDescent="0.75">
      <c r="A4004" t="s">
        <v>16394</v>
      </c>
      <c r="B4004" t="s">
        <v>6551</v>
      </c>
      <c r="C4004" t="s">
        <v>6552</v>
      </c>
      <c r="D4004" t="s">
        <v>6553</v>
      </c>
      <c r="E4004" t="s">
        <v>16395</v>
      </c>
      <c r="F4004">
        <v>1</v>
      </c>
      <c r="G4004">
        <v>1832141</v>
      </c>
      <c r="H4004" t="s">
        <v>16396</v>
      </c>
      <c r="J4004" s="54" t="s">
        <v>6052</v>
      </c>
      <c r="K4004" s="54">
        <v>0</v>
      </c>
      <c r="L4004" s="22" t="s">
        <v>36807</v>
      </c>
      <c r="M4004" s="22" t="s">
        <v>37138</v>
      </c>
    </row>
    <row r="4005" spans="1:13" x14ac:dyDescent="0.75">
      <c r="A4005" t="s">
        <v>17543</v>
      </c>
      <c r="B4005" t="s">
        <v>6551</v>
      </c>
      <c r="C4005" t="s">
        <v>6552</v>
      </c>
      <c r="D4005" t="s">
        <v>6553</v>
      </c>
      <c r="E4005" t="s">
        <v>17544</v>
      </c>
      <c r="F4005">
        <v>36</v>
      </c>
      <c r="G4005">
        <v>1974606</v>
      </c>
      <c r="H4005" t="s">
        <v>17545</v>
      </c>
      <c r="J4005" s="54" t="s">
        <v>6052</v>
      </c>
      <c r="K4005" s="54">
        <v>0</v>
      </c>
      <c r="L4005" s="22" t="s">
        <v>36807</v>
      </c>
      <c r="M4005" s="22" t="s">
        <v>37138</v>
      </c>
    </row>
    <row r="4006" spans="1:13" x14ac:dyDescent="0.75">
      <c r="A4006" t="s">
        <v>17537</v>
      </c>
      <c r="B4006" t="s">
        <v>6551</v>
      </c>
      <c r="C4006" t="s">
        <v>6552</v>
      </c>
      <c r="D4006" t="s">
        <v>6553</v>
      </c>
      <c r="E4006" t="s">
        <v>17538</v>
      </c>
      <c r="F4006">
        <v>29</v>
      </c>
      <c r="G4006">
        <v>1865432</v>
      </c>
      <c r="H4006" t="s">
        <v>17539</v>
      </c>
      <c r="J4006" s="54" t="s">
        <v>6052</v>
      </c>
      <c r="K4006" s="54">
        <v>0</v>
      </c>
      <c r="L4006" s="22" t="s">
        <v>36807</v>
      </c>
      <c r="M4006" s="22" t="s">
        <v>37138</v>
      </c>
    </row>
    <row r="4007" spans="1:13" x14ac:dyDescent="0.75">
      <c r="A4007" t="s">
        <v>12274</v>
      </c>
      <c r="B4007" t="s">
        <v>6551</v>
      </c>
      <c r="C4007" t="s">
        <v>6552</v>
      </c>
      <c r="D4007" t="s">
        <v>6553</v>
      </c>
      <c r="E4007" t="s">
        <v>9090</v>
      </c>
      <c r="F4007">
        <v>24</v>
      </c>
      <c r="G4007">
        <v>1905073</v>
      </c>
      <c r="H4007" t="s">
        <v>12275</v>
      </c>
      <c r="J4007" s="54" t="s">
        <v>6052</v>
      </c>
      <c r="K4007" s="54">
        <v>0</v>
      </c>
      <c r="L4007" s="22" t="s">
        <v>36807</v>
      </c>
      <c r="M4007" s="22" t="s">
        <v>37138</v>
      </c>
    </row>
    <row r="4008" spans="1:13" x14ac:dyDescent="0.75">
      <c r="A4008" t="s">
        <v>22487</v>
      </c>
      <c r="B4008" t="s">
        <v>12301</v>
      </c>
      <c r="C4008" t="s">
        <v>6552</v>
      </c>
      <c r="D4008" t="s">
        <v>12302</v>
      </c>
      <c r="E4008" t="s">
        <v>22488</v>
      </c>
      <c r="F4008">
        <v>63</v>
      </c>
      <c r="G4008">
        <v>2230443</v>
      </c>
      <c r="H4008" t="s">
        <v>22489</v>
      </c>
      <c r="J4008" s="54" t="s">
        <v>6052</v>
      </c>
      <c r="K4008" s="54">
        <v>0</v>
      </c>
      <c r="L4008" s="22" t="s">
        <v>36807</v>
      </c>
      <c r="M4008" s="22" t="s">
        <v>37139</v>
      </c>
    </row>
    <row r="4009" spans="1:13" x14ac:dyDescent="0.75">
      <c r="A4009" t="s">
        <v>17540</v>
      </c>
      <c r="B4009" t="s">
        <v>6551</v>
      </c>
      <c r="C4009" t="s">
        <v>6552</v>
      </c>
      <c r="D4009" t="s">
        <v>6553</v>
      </c>
      <c r="E4009" t="s">
        <v>17541</v>
      </c>
      <c r="F4009">
        <v>34</v>
      </c>
      <c r="G4009">
        <v>1908377</v>
      </c>
      <c r="H4009" t="s">
        <v>17542</v>
      </c>
      <c r="J4009" s="54" t="s">
        <v>6052</v>
      </c>
      <c r="K4009" s="54">
        <v>0</v>
      </c>
      <c r="L4009" s="22" t="s">
        <v>36807</v>
      </c>
      <c r="M4009" s="22" t="s">
        <v>37138</v>
      </c>
    </row>
    <row r="4010" spans="1:13" x14ac:dyDescent="0.75">
      <c r="A4010" t="s">
        <v>6550</v>
      </c>
      <c r="B4010" t="s">
        <v>6551</v>
      </c>
      <c r="C4010" t="s">
        <v>6552</v>
      </c>
      <c r="D4010" t="s">
        <v>6553</v>
      </c>
      <c r="E4010" t="s">
        <v>6554</v>
      </c>
      <c r="F4010">
        <v>1</v>
      </c>
      <c r="G4010">
        <v>1863286</v>
      </c>
      <c r="H4010" t="s">
        <v>6555</v>
      </c>
      <c r="J4010" s="54" t="s">
        <v>6052</v>
      </c>
      <c r="K4010" s="54">
        <v>0</v>
      </c>
      <c r="L4010" s="22" t="s">
        <v>36807</v>
      </c>
      <c r="M4010" s="22" t="s">
        <v>37138</v>
      </c>
    </row>
    <row r="4011" spans="1:13" x14ac:dyDescent="0.75">
      <c r="A4011" t="s">
        <v>17535</v>
      </c>
      <c r="B4011" t="s">
        <v>6551</v>
      </c>
      <c r="C4011" t="s">
        <v>6552</v>
      </c>
      <c r="D4011" t="s">
        <v>6553</v>
      </c>
      <c r="E4011" t="s">
        <v>6554</v>
      </c>
      <c r="F4011">
        <v>25</v>
      </c>
      <c r="G4011">
        <v>1834438</v>
      </c>
      <c r="H4011" t="s">
        <v>17536</v>
      </c>
      <c r="J4011" s="54" t="s">
        <v>6052</v>
      </c>
      <c r="K4011" s="54">
        <v>0</v>
      </c>
      <c r="L4011" s="22" t="s">
        <v>36807</v>
      </c>
      <c r="M4011" s="22" t="s">
        <v>37138</v>
      </c>
    </row>
    <row r="4012" spans="1:13" x14ac:dyDescent="0.75">
      <c r="A4012" t="s">
        <v>7560</v>
      </c>
      <c r="B4012" t="s">
        <v>6551</v>
      </c>
      <c r="C4012" t="s">
        <v>6552</v>
      </c>
      <c r="D4012" t="s">
        <v>6553</v>
      </c>
      <c r="E4012" t="s">
        <v>7561</v>
      </c>
      <c r="F4012">
        <v>32</v>
      </c>
      <c r="G4012">
        <v>1912542</v>
      </c>
      <c r="H4012" t="s">
        <v>7562</v>
      </c>
      <c r="J4012" s="54" t="s">
        <v>6052</v>
      </c>
      <c r="K4012" s="54">
        <v>0</v>
      </c>
      <c r="L4012" s="22" t="s">
        <v>36807</v>
      </c>
      <c r="M4012" s="22" t="s">
        <v>37138</v>
      </c>
    </row>
    <row r="4013" spans="1:13" x14ac:dyDescent="0.75">
      <c r="A4013" t="s">
        <v>17532</v>
      </c>
      <c r="B4013" t="s">
        <v>6551</v>
      </c>
      <c r="C4013" t="s">
        <v>6552</v>
      </c>
      <c r="D4013" t="s">
        <v>6553</v>
      </c>
      <c r="E4013" t="s">
        <v>17533</v>
      </c>
      <c r="F4013">
        <v>20</v>
      </c>
      <c r="G4013">
        <v>1866821</v>
      </c>
      <c r="H4013" t="s">
        <v>17534</v>
      </c>
      <c r="J4013" s="54" t="s">
        <v>6052</v>
      </c>
      <c r="K4013" s="54">
        <v>0</v>
      </c>
      <c r="L4013" s="22" t="s">
        <v>36807</v>
      </c>
      <c r="M4013" s="22" t="s">
        <v>37138</v>
      </c>
    </row>
    <row r="4014" spans="1:13" x14ac:dyDescent="0.75">
      <c r="A4014" t="s">
        <v>13446</v>
      </c>
      <c r="B4014" t="s">
        <v>6551</v>
      </c>
      <c r="C4014" t="s">
        <v>6552</v>
      </c>
      <c r="D4014" t="s">
        <v>6553</v>
      </c>
      <c r="E4014" t="s">
        <v>13447</v>
      </c>
      <c r="F4014">
        <v>2</v>
      </c>
      <c r="G4014">
        <v>1994386</v>
      </c>
      <c r="H4014" t="s">
        <v>13448</v>
      </c>
      <c r="J4014" s="54" t="s">
        <v>6052</v>
      </c>
      <c r="K4014" s="54">
        <v>0</v>
      </c>
      <c r="L4014" s="22" t="s">
        <v>36807</v>
      </c>
      <c r="M4014" s="22" t="s">
        <v>37138</v>
      </c>
    </row>
    <row r="4015" spans="1:13" x14ac:dyDescent="0.75">
      <c r="A4015" t="s">
        <v>12311</v>
      </c>
      <c r="B4015" t="s">
        <v>6551</v>
      </c>
      <c r="C4015" t="s">
        <v>6552</v>
      </c>
      <c r="D4015" t="s">
        <v>6553</v>
      </c>
      <c r="E4015" t="s">
        <v>12312</v>
      </c>
      <c r="F4015">
        <v>27</v>
      </c>
      <c r="G4015">
        <v>1909123</v>
      </c>
      <c r="H4015" t="s">
        <v>12313</v>
      </c>
      <c r="J4015" s="54" t="s">
        <v>6052</v>
      </c>
      <c r="K4015" s="54">
        <v>0</v>
      </c>
      <c r="L4015" s="22" t="s">
        <v>36807</v>
      </c>
      <c r="M4015" s="22" t="s">
        <v>37138</v>
      </c>
    </row>
    <row r="4016" spans="1:13" x14ac:dyDescent="0.75">
      <c r="A4016" t="s">
        <v>12300</v>
      </c>
      <c r="B4016" t="s">
        <v>12301</v>
      </c>
      <c r="C4016" t="s">
        <v>6552</v>
      </c>
      <c r="D4016" t="s">
        <v>12302</v>
      </c>
      <c r="E4016" t="s">
        <v>12303</v>
      </c>
      <c r="F4016">
        <v>44</v>
      </c>
      <c r="G4016">
        <v>2279879</v>
      </c>
      <c r="H4016" t="s">
        <v>12304</v>
      </c>
      <c r="J4016" s="54" t="s">
        <v>6052</v>
      </c>
      <c r="K4016" s="54">
        <v>0</v>
      </c>
      <c r="L4016" s="22" t="s">
        <v>36807</v>
      </c>
      <c r="M4016" s="22" t="s">
        <v>37139</v>
      </c>
    </row>
    <row r="4017" spans="1:13" x14ac:dyDescent="0.75">
      <c r="A4017" t="s">
        <v>11942</v>
      </c>
      <c r="B4017" t="s">
        <v>11943</v>
      </c>
      <c r="C4017" t="s">
        <v>6552</v>
      </c>
      <c r="D4017" t="s">
        <v>11944</v>
      </c>
      <c r="E4017" t="s">
        <v>11945</v>
      </c>
      <c r="F4017">
        <v>5</v>
      </c>
      <c r="G4017">
        <v>2649137</v>
      </c>
      <c r="H4017" t="s">
        <v>11946</v>
      </c>
      <c r="J4017" s="54" t="s">
        <v>6052</v>
      </c>
      <c r="K4017" s="54">
        <v>0</v>
      </c>
      <c r="L4017" s="22" t="s">
        <v>1563</v>
      </c>
      <c r="M4017" s="22" t="s">
        <v>37140</v>
      </c>
    </row>
    <row r="4018" spans="1:13" x14ac:dyDescent="0.75">
      <c r="A4018" t="s">
        <v>12323</v>
      </c>
      <c r="B4018" t="s">
        <v>11943</v>
      </c>
      <c r="C4018" t="s">
        <v>6552</v>
      </c>
      <c r="D4018" t="s">
        <v>11944</v>
      </c>
      <c r="E4018" t="s">
        <v>11945</v>
      </c>
      <c r="F4018">
        <v>84</v>
      </c>
      <c r="G4018">
        <v>2594948</v>
      </c>
      <c r="H4018" t="s">
        <v>12324</v>
      </c>
      <c r="J4018" s="54" t="s">
        <v>6052</v>
      </c>
      <c r="K4018" s="54">
        <v>0</v>
      </c>
      <c r="L4018" s="22" t="s">
        <v>1563</v>
      </c>
      <c r="M4018" s="22" t="s">
        <v>37140</v>
      </c>
    </row>
    <row r="4019" spans="1:13" x14ac:dyDescent="0.75">
      <c r="A4019" t="s">
        <v>12203</v>
      </c>
      <c r="B4019" t="s">
        <v>6551</v>
      </c>
      <c r="C4019" t="s">
        <v>6552</v>
      </c>
      <c r="D4019" t="s">
        <v>6553</v>
      </c>
      <c r="E4019" t="s">
        <v>12204</v>
      </c>
      <c r="F4019">
        <v>25</v>
      </c>
      <c r="G4019">
        <v>1885013</v>
      </c>
      <c r="H4019" t="s">
        <v>12205</v>
      </c>
      <c r="J4019" s="54" t="s">
        <v>6052</v>
      </c>
      <c r="K4019" s="54">
        <v>0</v>
      </c>
      <c r="L4019" s="22" t="s">
        <v>36807</v>
      </c>
      <c r="M4019" s="22" t="s">
        <v>37138</v>
      </c>
    </row>
    <row r="4020" spans="1:13" x14ac:dyDescent="0.75">
      <c r="A4020" t="s">
        <v>12314</v>
      </c>
      <c r="B4020" t="s">
        <v>12301</v>
      </c>
      <c r="C4020" t="s">
        <v>6552</v>
      </c>
      <c r="D4020" t="s">
        <v>12302</v>
      </c>
      <c r="E4020" t="s">
        <v>12315</v>
      </c>
      <c r="F4020">
        <v>48</v>
      </c>
      <c r="G4020">
        <v>2112543</v>
      </c>
      <c r="H4020" t="s">
        <v>12316</v>
      </c>
      <c r="J4020" s="54" t="s">
        <v>6052</v>
      </c>
      <c r="K4020" s="54">
        <v>0</v>
      </c>
      <c r="L4020" s="22" t="s">
        <v>36807</v>
      </c>
      <c r="M4020" s="22" t="s">
        <v>37139</v>
      </c>
    </row>
    <row r="4021" spans="1:13" x14ac:dyDescent="0.75">
      <c r="A4021" t="s">
        <v>12334</v>
      </c>
      <c r="B4021" t="s">
        <v>6551</v>
      </c>
      <c r="C4021" t="s">
        <v>6552</v>
      </c>
      <c r="D4021" t="s">
        <v>6553</v>
      </c>
      <c r="E4021" t="s">
        <v>12335</v>
      </c>
      <c r="F4021">
        <v>14</v>
      </c>
      <c r="G4021">
        <v>1830335</v>
      </c>
      <c r="H4021" t="s">
        <v>12336</v>
      </c>
      <c r="J4021" s="54" t="s">
        <v>6052</v>
      </c>
      <c r="K4021" s="54">
        <v>0</v>
      </c>
      <c r="L4021" s="22" t="s">
        <v>36807</v>
      </c>
      <c r="M4021" s="22" t="s">
        <v>37138</v>
      </c>
    </row>
    <row r="4022" spans="1:13" x14ac:dyDescent="0.75">
      <c r="A4022" t="s">
        <v>12308</v>
      </c>
      <c r="B4022" t="s">
        <v>6551</v>
      </c>
      <c r="C4022" t="s">
        <v>6552</v>
      </c>
      <c r="D4022" t="s">
        <v>6553</v>
      </c>
      <c r="E4022" t="s">
        <v>12309</v>
      </c>
      <c r="F4022">
        <v>17</v>
      </c>
      <c r="G4022">
        <v>1900421</v>
      </c>
      <c r="H4022" t="s">
        <v>12310</v>
      </c>
      <c r="J4022" s="54" t="s">
        <v>6052</v>
      </c>
      <c r="K4022" s="54">
        <v>0</v>
      </c>
      <c r="L4022" s="22" t="s">
        <v>36807</v>
      </c>
      <c r="M4022" s="22" t="s">
        <v>37138</v>
      </c>
    </row>
    <row r="4023" spans="1:13" x14ac:dyDescent="0.75">
      <c r="A4023" t="s">
        <v>12320</v>
      </c>
      <c r="B4023" t="s">
        <v>12301</v>
      </c>
      <c r="C4023" t="s">
        <v>6552</v>
      </c>
      <c r="D4023" t="s">
        <v>12302</v>
      </c>
      <c r="E4023" t="s">
        <v>12321</v>
      </c>
      <c r="F4023">
        <v>47</v>
      </c>
      <c r="G4023">
        <v>2194559</v>
      </c>
      <c r="H4023" t="s">
        <v>12322</v>
      </c>
      <c r="J4023" s="54" t="s">
        <v>6052</v>
      </c>
      <c r="K4023" s="54">
        <v>0</v>
      </c>
      <c r="L4023" s="22" t="s">
        <v>36807</v>
      </c>
      <c r="M4023" s="22" t="s">
        <v>37139</v>
      </c>
    </row>
    <row r="4024" spans="1:13" x14ac:dyDescent="0.75">
      <c r="A4024" t="s">
        <v>25302</v>
      </c>
      <c r="B4024" t="s">
        <v>12301</v>
      </c>
      <c r="C4024" t="s">
        <v>6552</v>
      </c>
      <c r="D4024" t="s">
        <v>12302</v>
      </c>
      <c r="E4024" t="s">
        <v>25303</v>
      </c>
      <c r="F4024">
        <v>44</v>
      </c>
      <c r="G4024">
        <v>2214555</v>
      </c>
      <c r="H4024" t="s">
        <v>25304</v>
      </c>
      <c r="J4024" s="54" t="s">
        <v>6052</v>
      </c>
      <c r="K4024" s="54">
        <v>0</v>
      </c>
      <c r="L4024" s="22" t="s">
        <v>36807</v>
      </c>
      <c r="M4024" s="22" t="s">
        <v>37139</v>
      </c>
    </row>
    <row r="4025" spans="1:13" x14ac:dyDescent="0.75">
      <c r="A4025" t="s">
        <v>25321</v>
      </c>
      <c r="B4025" t="s">
        <v>12301</v>
      </c>
      <c r="C4025" t="s">
        <v>6552</v>
      </c>
      <c r="D4025" t="s">
        <v>12302</v>
      </c>
      <c r="E4025" t="s">
        <v>25322</v>
      </c>
      <c r="F4025">
        <v>36</v>
      </c>
      <c r="G4025">
        <v>2180020</v>
      </c>
      <c r="H4025" t="s">
        <v>25323</v>
      </c>
      <c r="J4025" s="54" t="s">
        <v>6052</v>
      </c>
      <c r="K4025" s="54">
        <v>0</v>
      </c>
      <c r="L4025" s="22" t="s">
        <v>36807</v>
      </c>
      <c r="M4025" s="22" t="s">
        <v>37139</v>
      </c>
    </row>
    <row r="4026" spans="1:13" x14ac:dyDescent="0.75">
      <c r="A4026" t="s">
        <v>13346</v>
      </c>
      <c r="B4026" t="s">
        <v>13347</v>
      </c>
      <c r="C4026" t="s">
        <v>6552</v>
      </c>
      <c r="D4026" t="s">
        <v>13348</v>
      </c>
      <c r="E4026" t="s">
        <v>13349</v>
      </c>
      <c r="F4026">
        <v>32</v>
      </c>
      <c r="G4026">
        <v>2076923</v>
      </c>
      <c r="H4026" t="s">
        <v>13350</v>
      </c>
      <c r="J4026" s="54" t="s">
        <v>6052</v>
      </c>
      <c r="K4026" s="54">
        <v>0</v>
      </c>
      <c r="L4026" s="22" t="s">
        <v>36807</v>
      </c>
      <c r="M4026" s="22" t="s">
        <v>37141</v>
      </c>
    </row>
    <row r="4027" spans="1:13" x14ac:dyDescent="0.75">
      <c r="A4027" t="s">
        <v>13326</v>
      </c>
      <c r="B4027" t="s">
        <v>6551</v>
      </c>
      <c r="C4027" t="s">
        <v>6552</v>
      </c>
      <c r="D4027" t="s">
        <v>6553</v>
      </c>
      <c r="E4027" t="s">
        <v>13327</v>
      </c>
      <c r="F4027">
        <v>20</v>
      </c>
      <c r="G4027">
        <v>1879987</v>
      </c>
      <c r="H4027" t="s">
        <v>13328</v>
      </c>
      <c r="J4027" s="54" t="s">
        <v>6052</v>
      </c>
      <c r="K4027" s="54">
        <v>0</v>
      </c>
      <c r="L4027" s="22" t="s">
        <v>36807</v>
      </c>
      <c r="M4027" s="22" t="s">
        <v>37138</v>
      </c>
    </row>
    <row r="4028" spans="1:13" x14ac:dyDescent="0.75">
      <c r="A4028" t="s">
        <v>7563</v>
      </c>
      <c r="B4028" t="s">
        <v>6551</v>
      </c>
      <c r="C4028" t="s">
        <v>6552</v>
      </c>
      <c r="D4028" t="s">
        <v>6553</v>
      </c>
      <c r="E4028" t="s">
        <v>7564</v>
      </c>
      <c r="F4028">
        <v>25</v>
      </c>
      <c r="G4028">
        <v>1947635</v>
      </c>
      <c r="H4028" t="s">
        <v>7565</v>
      </c>
      <c r="J4028" s="54" t="s">
        <v>6052</v>
      </c>
      <c r="K4028" s="54">
        <v>0</v>
      </c>
      <c r="L4028" s="22" t="s">
        <v>36807</v>
      </c>
      <c r="M4028" s="22" t="s">
        <v>37138</v>
      </c>
    </row>
    <row r="4029" spans="1:13" x14ac:dyDescent="0.75">
      <c r="A4029" t="s">
        <v>15902</v>
      </c>
      <c r="B4029" t="s">
        <v>6551</v>
      </c>
      <c r="C4029" t="s">
        <v>6552</v>
      </c>
      <c r="D4029" t="s">
        <v>6553</v>
      </c>
      <c r="E4029" t="s">
        <v>15903</v>
      </c>
      <c r="F4029">
        <v>24</v>
      </c>
      <c r="G4029">
        <v>1844646</v>
      </c>
      <c r="H4029" t="s">
        <v>15904</v>
      </c>
      <c r="J4029" s="54" t="s">
        <v>6052</v>
      </c>
      <c r="K4029" s="54">
        <v>0</v>
      </c>
      <c r="L4029" s="22" t="s">
        <v>36807</v>
      </c>
      <c r="M4029" s="22" t="s">
        <v>37138</v>
      </c>
    </row>
    <row r="4030" spans="1:13" x14ac:dyDescent="0.75">
      <c r="A4030" t="s">
        <v>15899</v>
      </c>
      <c r="B4030" t="s">
        <v>6551</v>
      </c>
      <c r="C4030" t="s">
        <v>6552</v>
      </c>
      <c r="D4030" t="s">
        <v>6553</v>
      </c>
      <c r="E4030" t="s">
        <v>15900</v>
      </c>
      <c r="F4030">
        <v>29</v>
      </c>
      <c r="G4030">
        <v>1911462</v>
      </c>
      <c r="H4030" t="s">
        <v>15901</v>
      </c>
      <c r="J4030" s="54" t="s">
        <v>6052</v>
      </c>
      <c r="K4030" s="54">
        <v>0</v>
      </c>
      <c r="L4030" s="22" t="s">
        <v>36807</v>
      </c>
      <c r="M4030" s="22" t="s">
        <v>37138</v>
      </c>
    </row>
    <row r="4031" spans="1:13" x14ac:dyDescent="0.75">
      <c r="A4031" t="s">
        <v>15884</v>
      </c>
      <c r="B4031" t="s">
        <v>6551</v>
      </c>
      <c r="C4031" t="s">
        <v>6552</v>
      </c>
      <c r="D4031" t="s">
        <v>6553</v>
      </c>
      <c r="E4031" t="s">
        <v>15885</v>
      </c>
      <c r="F4031">
        <v>23</v>
      </c>
      <c r="G4031">
        <v>1969349</v>
      </c>
      <c r="H4031" t="s">
        <v>15886</v>
      </c>
      <c r="J4031" s="54" t="s">
        <v>6052</v>
      </c>
      <c r="K4031" s="54">
        <v>0</v>
      </c>
      <c r="L4031" s="22" t="s">
        <v>36807</v>
      </c>
      <c r="M4031" s="22" t="s">
        <v>37138</v>
      </c>
    </row>
    <row r="4032" spans="1:13" x14ac:dyDescent="0.75">
      <c r="A4032" t="s">
        <v>15911</v>
      </c>
      <c r="B4032" t="s">
        <v>6551</v>
      </c>
      <c r="C4032" t="s">
        <v>6552</v>
      </c>
      <c r="D4032" t="s">
        <v>6553</v>
      </c>
      <c r="E4032" t="s">
        <v>15912</v>
      </c>
      <c r="F4032">
        <v>24</v>
      </c>
      <c r="G4032">
        <v>1953139</v>
      </c>
      <c r="H4032" t="s">
        <v>15913</v>
      </c>
      <c r="J4032" s="54" t="s">
        <v>6052</v>
      </c>
      <c r="K4032" s="54">
        <v>0</v>
      </c>
      <c r="L4032" s="22" t="s">
        <v>36807</v>
      </c>
      <c r="M4032" s="22" t="s">
        <v>37138</v>
      </c>
    </row>
    <row r="4033" spans="1:13" x14ac:dyDescent="0.75">
      <c r="A4033" t="s">
        <v>15908</v>
      </c>
      <c r="B4033" t="s">
        <v>6551</v>
      </c>
      <c r="C4033" t="s">
        <v>6552</v>
      </c>
      <c r="D4033" t="s">
        <v>6553</v>
      </c>
      <c r="E4033" t="s">
        <v>15909</v>
      </c>
      <c r="F4033">
        <v>27</v>
      </c>
      <c r="G4033">
        <v>1967181</v>
      </c>
      <c r="H4033" t="s">
        <v>15910</v>
      </c>
      <c r="J4033" s="54" t="s">
        <v>6052</v>
      </c>
      <c r="K4033" s="54">
        <v>0</v>
      </c>
      <c r="L4033" s="22" t="s">
        <v>36807</v>
      </c>
      <c r="M4033" s="22" t="s">
        <v>37138</v>
      </c>
    </row>
    <row r="4034" spans="1:13" x14ac:dyDescent="0.75">
      <c r="A4034" t="s">
        <v>15881</v>
      </c>
      <c r="B4034" t="s">
        <v>6551</v>
      </c>
      <c r="C4034" t="s">
        <v>6552</v>
      </c>
      <c r="D4034" t="s">
        <v>6553</v>
      </c>
      <c r="E4034" t="s">
        <v>15882</v>
      </c>
      <c r="F4034">
        <v>21</v>
      </c>
      <c r="G4034">
        <v>1868250</v>
      </c>
      <c r="H4034" t="s">
        <v>15883</v>
      </c>
      <c r="J4034" s="54" t="s">
        <v>6052</v>
      </c>
      <c r="K4034" s="54">
        <v>0</v>
      </c>
      <c r="L4034" s="22" t="s">
        <v>36807</v>
      </c>
      <c r="M4034" s="22" t="s">
        <v>37138</v>
      </c>
    </row>
    <row r="4035" spans="1:13" x14ac:dyDescent="0.75">
      <c r="A4035" t="s">
        <v>15878</v>
      </c>
      <c r="B4035" t="s">
        <v>6551</v>
      </c>
      <c r="C4035" t="s">
        <v>6552</v>
      </c>
      <c r="D4035" t="s">
        <v>6553</v>
      </c>
      <c r="E4035" t="s">
        <v>15879</v>
      </c>
      <c r="F4035">
        <v>22</v>
      </c>
      <c r="G4035">
        <v>1913827</v>
      </c>
      <c r="H4035" t="s">
        <v>15880</v>
      </c>
      <c r="J4035" s="54" t="s">
        <v>6052</v>
      </c>
      <c r="K4035" s="54">
        <v>0</v>
      </c>
      <c r="L4035" s="22" t="s">
        <v>36807</v>
      </c>
      <c r="M4035" s="22" t="s">
        <v>37138</v>
      </c>
    </row>
    <row r="4036" spans="1:13" x14ac:dyDescent="0.75">
      <c r="A4036" t="s">
        <v>15905</v>
      </c>
      <c r="B4036" t="s">
        <v>6551</v>
      </c>
      <c r="C4036" t="s">
        <v>6552</v>
      </c>
      <c r="D4036" t="s">
        <v>6553</v>
      </c>
      <c r="E4036" t="s">
        <v>15906</v>
      </c>
      <c r="F4036">
        <v>26</v>
      </c>
      <c r="G4036">
        <v>1880933</v>
      </c>
      <c r="H4036" t="s">
        <v>15907</v>
      </c>
      <c r="J4036" s="54" t="s">
        <v>6052</v>
      </c>
      <c r="K4036" s="54">
        <v>0</v>
      </c>
      <c r="L4036" s="22" t="s">
        <v>36807</v>
      </c>
      <c r="M4036" s="22" t="s">
        <v>37138</v>
      </c>
    </row>
    <row r="4037" spans="1:13" x14ac:dyDescent="0.75">
      <c r="A4037" t="s">
        <v>15896</v>
      </c>
      <c r="B4037" t="s">
        <v>6551</v>
      </c>
      <c r="C4037" t="s">
        <v>6552</v>
      </c>
      <c r="D4037" t="s">
        <v>6553</v>
      </c>
      <c r="E4037" t="s">
        <v>15897</v>
      </c>
      <c r="F4037">
        <v>36</v>
      </c>
      <c r="G4037">
        <v>1904835</v>
      </c>
      <c r="H4037" t="s">
        <v>15898</v>
      </c>
      <c r="J4037" s="54" t="s">
        <v>6052</v>
      </c>
      <c r="K4037" s="54">
        <v>0</v>
      </c>
      <c r="L4037" s="22" t="s">
        <v>36807</v>
      </c>
      <c r="M4037" s="22" t="s">
        <v>37138</v>
      </c>
    </row>
    <row r="4038" spans="1:13" x14ac:dyDescent="0.75">
      <c r="A4038" t="s">
        <v>15893</v>
      </c>
      <c r="B4038" t="s">
        <v>6551</v>
      </c>
      <c r="C4038" t="s">
        <v>6552</v>
      </c>
      <c r="D4038" t="s">
        <v>6553</v>
      </c>
      <c r="E4038" t="s">
        <v>15894</v>
      </c>
      <c r="F4038">
        <v>26</v>
      </c>
      <c r="G4038">
        <v>1955970</v>
      </c>
      <c r="H4038" t="s">
        <v>15895</v>
      </c>
      <c r="J4038" s="54" t="s">
        <v>6052</v>
      </c>
      <c r="K4038" s="54">
        <v>0</v>
      </c>
      <c r="L4038" s="22" t="s">
        <v>36807</v>
      </c>
      <c r="M4038" s="22" t="s">
        <v>37138</v>
      </c>
    </row>
    <row r="4039" spans="1:13" x14ac:dyDescent="0.75">
      <c r="A4039" t="s">
        <v>15944</v>
      </c>
      <c r="B4039" t="s">
        <v>6551</v>
      </c>
      <c r="C4039" t="s">
        <v>6552</v>
      </c>
      <c r="D4039" t="s">
        <v>6553</v>
      </c>
      <c r="E4039" t="s">
        <v>15945</v>
      </c>
      <c r="F4039">
        <v>31</v>
      </c>
      <c r="G4039">
        <v>1883417</v>
      </c>
      <c r="H4039" t="s">
        <v>15946</v>
      </c>
      <c r="J4039" s="54" t="s">
        <v>6052</v>
      </c>
      <c r="K4039" s="54">
        <v>0</v>
      </c>
      <c r="L4039" s="22" t="s">
        <v>36807</v>
      </c>
      <c r="M4039" s="22" t="s">
        <v>37138</v>
      </c>
    </row>
    <row r="4040" spans="1:13" x14ac:dyDescent="0.75">
      <c r="A4040" t="s">
        <v>15941</v>
      </c>
      <c r="B4040" t="s">
        <v>6551</v>
      </c>
      <c r="C4040" t="s">
        <v>6552</v>
      </c>
      <c r="D4040" t="s">
        <v>6553</v>
      </c>
      <c r="E4040" t="s">
        <v>15942</v>
      </c>
      <c r="F4040">
        <v>33</v>
      </c>
      <c r="G4040">
        <v>1882190</v>
      </c>
      <c r="H4040" t="s">
        <v>15943</v>
      </c>
      <c r="J4040" s="54" t="s">
        <v>6052</v>
      </c>
      <c r="K4040" s="54">
        <v>0</v>
      </c>
      <c r="L4040" s="22" t="s">
        <v>36807</v>
      </c>
      <c r="M4040" s="22" t="s">
        <v>37138</v>
      </c>
    </row>
    <row r="4041" spans="1:13" x14ac:dyDescent="0.75">
      <c r="A4041" t="s">
        <v>15938</v>
      </c>
      <c r="B4041" t="s">
        <v>6551</v>
      </c>
      <c r="C4041" t="s">
        <v>6552</v>
      </c>
      <c r="D4041" t="s">
        <v>6553</v>
      </c>
      <c r="E4041" t="s">
        <v>15939</v>
      </c>
      <c r="F4041">
        <v>28</v>
      </c>
      <c r="G4041">
        <v>1883800</v>
      </c>
      <c r="H4041" t="s">
        <v>15940</v>
      </c>
      <c r="J4041" s="54" t="s">
        <v>6052</v>
      </c>
      <c r="K4041" s="54">
        <v>0</v>
      </c>
      <c r="L4041" s="22" t="s">
        <v>36807</v>
      </c>
      <c r="M4041" s="22" t="s">
        <v>37138</v>
      </c>
    </row>
    <row r="4042" spans="1:13" x14ac:dyDescent="0.75">
      <c r="A4042" t="s">
        <v>15935</v>
      </c>
      <c r="B4042" t="s">
        <v>6551</v>
      </c>
      <c r="C4042" t="s">
        <v>6552</v>
      </c>
      <c r="D4042" t="s">
        <v>6553</v>
      </c>
      <c r="E4042" t="s">
        <v>15936</v>
      </c>
      <c r="F4042">
        <v>20</v>
      </c>
      <c r="G4042">
        <v>1930767</v>
      </c>
      <c r="H4042" t="s">
        <v>15937</v>
      </c>
      <c r="J4042" s="54" t="s">
        <v>6052</v>
      </c>
      <c r="K4042" s="54">
        <v>0</v>
      </c>
      <c r="L4042" s="22" t="s">
        <v>36807</v>
      </c>
      <c r="M4042" s="22" t="s">
        <v>37138</v>
      </c>
    </row>
    <row r="4043" spans="1:13" x14ac:dyDescent="0.75">
      <c r="A4043" t="s">
        <v>15932</v>
      </c>
      <c r="B4043" t="s">
        <v>6551</v>
      </c>
      <c r="C4043" t="s">
        <v>6552</v>
      </c>
      <c r="D4043" t="s">
        <v>6553</v>
      </c>
      <c r="E4043" t="s">
        <v>15933</v>
      </c>
      <c r="F4043">
        <v>13</v>
      </c>
      <c r="G4043">
        <v>1830233</v>
      </c>
      <c r="H4043" t="s">
        <v>15934</v>
      </c>
      <c r="J4043" s="54" t="s">
        <v>6052</v>
      </c>
      <c r="K4043" s="54">
        <v>0</v>
      </c>
      <c r="L4043" s="22" t="s">
        <v>36807</v>
      </c>
      <c r="M4043" s="22" t="s">
        <v>37138</v>
      </c>
    </row>
    <row r="4044" spans="1:13" x14ac:dyDescent="0.75">
      <c r="A4044" t="s">
        <v>15929</v>
      </c>
      <c r="B4044" t="s">
        <v>6551</v>
      </c>
      <c r="C4044" t="s">
        <v>6552</v>
      </c>
      <c r="D4044" t="s">
        <v>6553</v>
      </c>
      <c r="E4044" t="s">
        <v>15930</v>
      </c>
      <c r="F4044">
        <v>37</v>
      </c>
      <c r="G4044">
        <v>1937011</v>
      </c>
      <c r="H4044" t="s">
        <v>15931</v>
      </c>
      <c r="J4044" s="54" t="s">
        <v>6052</v>
      </c>
      <c r="K4044" s="54">
        <v>0</v>
      </c>
      <c r="L4044" s="22" t="s">
        <v>36807</v>
      </c>
      <c r="M4044" s="22" t="s">
        <v>37138</v>
      </c>
    </row>
    <row r="4045" spans="1:13" x14ac:dyDescent="0.75">
      <c r="A4045" t="s">
        <v>15890</v>
      </c>
      <c r="B4045" t="s">
        <v>6551</v>
      </c>
      <c r="C4045" t="s">
        <v>6552</v>
      </c>
      <c r="D4045" t="s">
        <v>6553</v>
      </c>
      <c r="E4045" t="s">
        <v>15891</v>
      </c>
      <c r="F4045">
        <v>37</v>
      </c>
      <c r="G4045">
        <v>1932872</v>
      </c>
      <c r="H4045" t="s">
        <v>15892</v>
      </c>
      <c r="J4045" s="54" t="s">
        <v>6052</v>
      </c>
      <c r="K4045" s="54">
        <v>0</v>
      </c>
      <c r="L4045" s="22" t="s">
        <v>36807</v>
      </c>
      <c r="M4045" s="22" t="s">
        <v>37138</v>
      </c>
    </row>
    <row r="4046" spans="1:13" x14ac:dyDescent="0.75">
      <c r="A4046" t="s">
        <v>15926</v>
      </c>
      <c r="B4046" t="s">
        <v>6551</v>
      </c>
      <c r="C4046" t="s">
        <v>6552</v>
      </c>
      <c r="D4046" t="s">
        <v>6553</v>
      </c>
      <c r="E4046" t="s">
        <v>15927</v>
      </c>
      <c r="F4046">
        <v>27</v>
      </c>
      <c r="G4046">
        <v>1953245</v>
      </c>
      <c r="H4046" t="s">
        <v>15928</v>
      </c>
      <c r="J4046" s="54" t="s">
        <v>6052</v>
      </c>
      <c r="K4046" s="54">
        <v>0</v>
      </c>
      <c r="L4046" s="22" t="s">
        <v>36807</v>
      </c>
      <c r="M4046" s="22" t="s">
        <v>37138</v>
      </c>
    </row>
    <row r="4047" spans="1:13" x14ac:dyDescent="0.75">
      <c r="A4047" t="s">
        <v>15923</v>
      </c>
      <c r="B4047" t="s">
        <v>6551</v>
      </c>
      <c r="C4047" t="s">
        <v>6552</v>
      </c>
      <c r="D4047" t="s">
        <v>6553</v>
      </c>
      <c r="E4047" t="s">
        <v>15924</v>
      </c>
      <c r="F4047">
        <v>20</v>
      </c>
      <c r="G4047">
        <v>1953749</v>
      </c>
      <c r="H4047" t="s">
        <v>15925</v>
      </c>
      <c r="J4047" s="54" t="s">
        <v>6052</v>
      </c>
      <c r="K4047" s="54">
        <v>0</v>
      </c>
      <c r="L4047" s="22" t="s">
        <v>36807</v>
      </c>
      <c r="M4047" s="22" t="s">
        <v>37138</v>
      </c>
    </row>
    <row r="4048" spans="1:13" x14ac:dyDescent="0.75">
      <c r="A4048" t="s">
        <v>15920</v>
      </c>
      <c r="B4048" t="s">
        <v>6551</v>
      </c>
      <c r="C4048" t="s">
        <v>6552</v>
      </c>
      <c r="D4048" t="s">
        <v>6553</v>
      </c>
      <c r="E4048" t="s">
        <v>15921</v>
      </c>
      <c r="F4048">
        <v>27</v>
      </c>
      <c r="G4048">
        <v>1954148</v>
      </c>
      <c r="H4048" t="s">
        <v>15922</v>
      </c>
      <c r="J4048" s="54" t="s">
        <v>6052</v>
      </c>
      <c r="K4048" s="54">
        <v>0</v>
      </c>
      <c r="L4048" s="22" t="s">
        <v>36807</v>
      </c>
      <c r="M4048" s="22" t="s">
        <v>37138</v>
      </c>
    </row>
    <row r="4049" spans="1:13" x14ac:dyDescent="0.75">
      <c r="A4049" t="s">
        <v>15914</v>
      </c>
      <c r="B4049" t="s">
        <v>6551</v>
      </c>
      <c r="C4049" t="s">
        <v>6552</v>
      </c>
      <c r="D4049" t="s">
        <v>6553</v>
      </c>
      <c r="E4049" t="s">
        <v>15915</v>
      </c>
      <c r="F4049">
        <v>20</v>
      </c>
      <c r="G4049">
        <v>1857468</v>
      </c>
      <c r="H4049" t="s">
        <v>15916</v>
      </c>
      <c r="J4049" s="54" t="s">
        <v>6052</v>
      </c>
      <c r="K4049" s="54">
        <v>0</v>
      </c>
      <c r="L4049" s="22" t="s">
        <v>36807</v>
      </c>
      <c r="M4049" s="22" t="s">
        <v>37138</v>
      </c>
    </row>
    <row r="4050" spans="1:13" x14ac:dyDescent="0.75">
      <c r="A4050" t="s">
        <v>15917</v>
      </c>
      <c r="B4050" t="s">
        <v>6551</v>
      </c>
      <c r="C4050" t="s">
        <v>6552</v>
      </c>
      <c r="D4050" t="s">
        <v>6553</v>
      </c>
      <c r="E4050" t="s">
        <v>15918</v>
      </c>
      <c r="F4050">
        <v>36</v>
      </c>
      <c r="G4050">
        <v>1970293</v>
      </c>
      <c r="H4050" t="s">
        <v>15919</v>
      </c>
      <c r="J4050" s="54" t="s">
        <v>6052</v>
      </c>
      <c r="K4050" s="54">
        <v>0</v>
      </c>
      <c r="L4050" s="22" t="s">
        <v>36807</v>
      </c>
      <c r="M4050" s="22" t="s">
        <v>37138</v>
      </c>
    </row>
    <row r="4051" spans="1:13" x14ac:dyDescent="0.75">
      <c r="A4051" t="s">
        <v>15887</v>
      </c>
      <c r="B4051" t="s">
        <v>6551</v>
      </c>
      <c r="C4051" t="s">
        <v>6552</v>
      </c>
      <c r="D4051" t="s">
        <v>6553</v>
      </c>
      <c r="E4051" t="s">
        <v>15888</v>
      </c>
      <c r="F4051">
        <v>21</v>
      </c>
      <c r="G4051">
        <v>1969852</v>
      </c>
      <c r="H4051" t="s">
        <v>15889</v>
      </c>
      <c r="J4051" s="54" t="s">
        <v>6052</v>
      </c>
      <c r="K4051" s="54">
        <v>0</v>
      </c>
      <c r="L4051" s="22" t="s">
        <v>36807</v>
      </c>
      <c r="M4051" s="22" t="s">
        <v>37138</v>
      </c>
    </row>
    <row r="4052" spans="1:13" x14ac:dyDescent="0.75">
      <c r="A4052" t="s">
        <v>12271</v>
      </c>
      <c r="B4052" t="s">
        <v>6551</v>
      </c>
      <c r="C4052" t="s">
        <v>6552</v>
      </c>
      <c r="D4052" t="s">
        <v>6553</v>
      </c>
      <c r="E4052" t="s">
        <v>12272</v>
      </c>
      <c r="F4052">
        <v>26</v>
      </c>
      <c r="G4052">
        <v>1953951</v>
      </c>
      <c r="H4052" t="s">
        <v>12273</v>
      </c>
      <c r="J4052" s="54" t="s">
        <v>6052</v>
      </c>
      <c r="K4052" s="54">
        <v>0</v>
      </c>
      <c r="L4052" s="22" t="s">
        <v>36807</v>
      </c>
      <c r="M4052" s="22" t="s">
        <v>37138</v>
      </c>
    </row>
    <row r="4053" spans="1:13" x14ac:dyDescent="0.75">
      <c r="A4053" t="s">
        <v>20056</v>
      </c>
      <c r="B4053" t="s">
        <v>12301</v>
      </c>
      <c r="C4053" t="s">
        <v>6552</v>
      </c>
      <c r="D4053" t="s">
        <v>12302</v>
      </c>
      <c r="E4053" t="s">
        <v>20057</v>
      </c>
      <c r="F4053">
        <v>2</v>
      </c>
      <c r="G4053">
        <v>2323347</v>
      </c>
      <c r="H4053" t="s">
        <v>20058</v>
      </c>
      <c r="J4053" s="54" t="s">
        <v>6052</v>
      </c>
      <c r="K4053" s="54">
        <v>0</v>
      </c>
      <c r="L4053" s="22" t="s">
        <v>36807</v>
      </c>
      <c r="M4053" s="22" t="s">
        <v>37139</v>
      </c>
    </row>
    <row r="4054" spans="1:13" x14ac:dyDescent="0.75">
      <c r="A4054" t="s">
        <v>13392</v>
      </c>
      <c r="B4054" t="s">
        <v>6551</v>
      </c>
      <c r="C4054" t="s">
        <v>6552</v>
      </c>
      <c r="D4054" t="s">
        <v>6553</v>
      </c>
      <c r="E4054" t="s">
        <v>13393</v>
      </c>
      <c r="F4054">
        <v>1</v>
      </c>
      <c r="G4054">
        <v>1907985</v>
      </c>
      <c r="H4054" t="s">
        <v>13394</v>
      </c>
      <c r="J4054" s="54" t="s">
        <v>6052</v>
      </c>
      <c r="K4054" s="54">
        <v>0</v>
      </c>
      <c r="L4054" s="22" t="s">
        <v>36807</v>
      </c>
      <c r="M4054" s="22" t="s">
        <v>37138</v>
      </c>
    </row>
    <row r="4055" spans="1:13" x14ac:dyDescent="0.75">
      <c r="A4055" t="s">
        <v>14692</v>
      </c>
      <c r="B4055" t="s">
        <v>6551</v>
      </c>
      <c r="C4055" t="s">
        <v>6552</v>
      </c>
      <c r="D4055" t="s">
        <v>6553</v>
      </c>
      <c r="E4055" t="s">
        <v>14693</v>
      </c>
      <c r="F4055">
        <v>1</v>
      </c>
      <c r="G4055">
        <v>1941980</v>
      </c>
      <c r="H4055" t="s">
        <v>14694</v>
      </c>
      <c r="J4055" s="54" t="s">
        <v>6052</v>
      </c>
      <c r="K4055" s="54">
        <v>0</v>
      </c>
      <c r="L4055" s="22" t="s">
        <v>36807</v>
      </c>
      <c r="M4055" s="22" t="s">
        <v>37138</v>
      </c>
    </row>
    <row r="4056" spans="1:13" x14ac:dyDescent="0.75">
      <c r="A4056" t="s">
        <v>20001</v>
      </c>
      <c r="B4056" t="s">
        <v>12301</v>
      </c>
      <c r="C4056" t="s">
        <v>6552</v>
      </c>
      <c r="D4056" t="s">
        <v>12302</v>
      </c>
      <c r="E4056" t="s">
        <v>20002</v>
      </c>
      <c r="F4056">
        <v>2</v>
      </c>
      <c r="G4056">
        <v>2343743</v>
      </c>
      <c r="H4056" t="s">
        <v>20003</v>
      </c>
      <c r="J4056" s="54" t="s">
        <v>6052</v>
      </c>
      <c r="K4056" s="54">
        <v>0</v>
      </c>
      <c r="L4056" s="22" t="s">
        <v>36807</v>
      </c>
      <c r="M4056" s="22" t="s">
        <v>37139</v>
      </c>
    </row>
    <row r="4057" spans="1:13" x14ac:dyDescent="0.75">
      <c r="A4057" t="s">
        <v>19998</v>
      </c>
      <c r="B4057" t="s">
        <v>11943</v>
      </c>
      <c r="C4057" t="s">
        <v>6552</v>
      </c>
      <c r="D4057" t="s">
        <v>11944</v>
      </c>
      <c r="E4057" t="s">
        <v>19999</v>
      </c>
      <c r="F4057">
        <v>1</v>
      </c>
      <c r="G4057">
        <v>2435828</v>
      </c>
      <c r="H4057" t="s">
        <v>20000</v>
      </c>
      <c r="J4057" s="54" t="s">
        <v>6052</v>
      </c>
      <c r="K4057" s="54">
        <v>0</v>
      </c>
      <c r="L4057" s="22" t="s">
        <v>1563</v>
      </c>
      <c r="M4057" s="22" t="s">
        <v>37140</v>
      </c>
    </row>
    <row r="4058" spans="1:13" x14ac:dyDescent="0.75">
      <c r="A4058" t="s">
        <v>15554</v>
      </c>
      <c r="B4058" t="s">
        <v>6551</v>
      </c>
      <c r="C4058" t="s">
        <v>6552</v>
      </c>
      <c r="D4058" t="s">
        <v>6553</v>
      </c>
      <c r="E4058" t="s">
        <v>15555</v>
      </c>
      <c r="F4058">
        <v>7</v>
      </c>
      <c r="G4058">
        <v>1843517</v>
      </c>
      <c r="H4058" t="s">
        <v>15556</v>
      </c>
      <c r="J4058" s="54" t="s">
        <v>6052</v>
      </c>
      <c r="K4058" s="54">
        <v>0</v>
      </c>
      <c r="L4058" s="22" t="s">
        <v>36807</v>
      </c>
      <c r="M4058" s="22" t="s">
        <v>37138</v>
      </c>
    </row>
    <row r="4059" spans="1:13" x14ac:dyDescent="0.75">
      <c r="A4059" t="s">
        <v>24946</v>
      </c>
      <c r="B4059" t="s">
        <v>6551</v>
      </c>
      <c r="C4059" t="s">
        <v>6552</v>
      </c>
      <c r="D4059" t="s">
        <v>6553</v>
      </c>
      <c r="E4059" t="s">
        <v>24947</v>
      </c>
      <c r="F4059">
        <v>12</v>
      </c>
      <c r="G4059">
        <v>1839813</v>
      </c>
      <c r="H4059" t="s">
        <v>24948</v>
      </c>
      <c r="J4059" s="54" t="s">
        <v>6052</v>
      </c>
      <c r="K4059" s="54">
        <v>0</v>
      </c>
      <c r="L4059" s="22" t="s">
        <v>36807</v>
      </c>
      <c r="M4059" s="22" t="s">
        <v>37138</v>
      </c>
    </row>
    <row r="4060" spans="1:13" x14ac:dyDescent="0.75">
      <c r="A4060" t="s">
        <v>17526</v>
      </c>
      <c r="B4060" t="s">
        <v>6551</v>
      </c>
      <c r="C4060" t="s">
        <v>6552</v>
      </c>
      <c r="D4060" t="s">
        <v>6553</v>
      </c>
      <c r="E4060" t="s">
        <v>17527</v>
      </c>
      <c r="F4060">
        <v>26</v>
      </c>
      <c r="G4060">
        <v>1876829</v>
      </c>
      <c r="H4060" t="s">
        <v>17528</v>
      </c>
      <c r="J4060" s="54" t="s">
        <v>6052</v>
      </c>
      <c r="K4060" s="54">
        <v>0</v>
      </c>
      <c r="L4060" s="22" t="s">
        <v>36807</v>
      </c>
      <c r="M4060" s="22" t="s">
        <v>37138</v>
      </c>
    </row>
    <row r="4061" spans="1:13" x14ac:dyDescent="0.75">
      <c r="A4061" t="s">
        <v>15557</v>
      </c>
      <c r="B4061" t="s">
        <v>6551</v>
      </c>
      <c r="C4061" t="s">
        <v>6552</v>
      </c>
      <c r="D4061" t="s">
        <v>6553</v>
      </c>
      <c r="E4061" t="s">
        <v>15558</v>
      </c>
      <c r="F4061">
        <v>6</v>
      </c>
      <c r="G4061">
        <v>1852323</v>
      </c>
      <c r="H4061" t="s">
        <v>15559</v>
      </c>
      <c r="J4061" s="54" t="s">
        <v>6052</v>
      </c>
      <c r="K4061" s="54">
        <v>0</v>
      </c>
      <c r="L4061" s="22" t="s">
        <v>36807</v>
      </c>
      <c r="M4061" s="22" t="s">
        <v>37138</v>
      </c>
    </row>
    <row r="4062" spans="1:13" x14ac:dyDescent="0.75">
      <c r="A4062" t="s">
        <v>15560</v>
      </c>
      <c r="B4062" t="s">
        <v>6551</v>
      </c>
      <c r="C4062" t="s">
        <v>6552</v>
      </c>
      <c r="D4062" t="s">
        <v>6553</v>
      </c>
      <c r="E4062" t="s">
        <v>15561</v>
      </c>
      <c r="F4062">
        <v>2</v>
      </c>
      <c r="G4062">
        <v>1839052</v>
      </c>
      <c r="H4062" t="s">
        <v>15562</v>
      </c>
      <c r="J4062" s="54" t="s">
        <v>6052</v>
      </c>
      <c r="K4062" s="54">
        <v>0</v>
      </c>
      <c r="L4062" s="22" t="s">
        <v>36807</v>
      </c>
      <c r="M4062" s="22" t="s">
        <v>37138</v>
      </c>
    </row>
    <row r="4063" spans="1:13" x14ac:dyDescent="0.75">
      <c r="A4063" t="s">
        <v>15563</v>
      </c>
      <c r="B4063" t="s">
        <v>6551</v>
      </c>
      <c r="C4063" t="s">
        <v>6552</v>
      </c>
      <c r="D4063" t="s">
        <v>6553</v>
      </c>
      <c r="E4063" t="s">
        <v>15564</v>
      </c>
      <c r="F4063">
        <v>4</v>
      </c>
      <c r="G4063">
        <v>1849375</v>
      </c>
      <c r="H4063" t="s">
        <v>15565</v>
      </c>
      <c r="J4063" s="54" t="s">
        <v>6052</v>
      </c>
      <c r="K4063" s="54">
        <v>0</v>
      </c>
      <c r="L4063" s="22" t="s">
        <v>36807</v>
      </c>
      <c r="M4063" s="22" t="s">
        <v>37138</v>
      </c>
    </row>
    <row r="4064" spans="1:13" x14ac:dyDescent="0.75">
      <c r="A4064" t="s">
        <v>12282</v>
      </c>
      <c r="B4064" t="s">
        <v>6551</v>
      </c>
      <c r="C4064" t="s">
        <v>6552</v>
      </c>
      <c r="D4064" t="s">
        <v>6553</v>
      </c>
      <c r="E4064" t="s">
        <v>12283</v>
      </c>
      <c r="F4064">
        <v>22</v>
      </c>
      <c r="G4064">
        <v>1884914</v>
      </c>
      <c r="H4064" t="s">
        <v>12284</v>
      </c>
      <c r="J4064" s="54" t="s">
        <v>6052</v>
      </c>
      <c r="K4064" s="54">
        <v>0</v>
      </c>
      <c r="L4064" s="22" t="s">
        <v>36807</v>
      </c>
      <c r="M4064" s="22" t="s">
        <v>37138</v>
      </c>
    </row>
    <row r="4065" spans="1:13" x14ac:dyDescent="0.75">
      <c r="A4065" t="s">
        <v>12279</v>
      </c>
      <c r="B4065" t="s">
        <v>6551</v>
      </c>
      <c r="C4065" t="s">
        <v>6552</v>
      </c>
      <c r="D4065" t="s">
        <v>6553</v>
      </c>
      <c r="E4065" t="s">
        <v>12280</v>
      </c>
      <c r="F4065">
        <v>26</v>
      </c>
      <c r="G4065">
        <v>1889361</v>
      </c>
      <c r="H4065" t="s">
        <v>12281</v>
      </c>
      <c r="J4065" s="54" t="s">
        <v>6052</v>
      </c>
      <c r="K4065" s="54">
        <v>0</v>
      </c>
      <c r="L4065" s="22" t="s">
        <v>36807</v>
      </c>
      <c r="M4065" s="22" t="s">
        <v>37138</v>
      </c>
    </row>
    <row r="4066" spans="1:13" x14ac:dyDescent="0.75">
      <c r="A4066" t="s">
        <v>27507</v>
      </c>
      <c r="B4066" t="s">
        <v>11943</v>
      </c>
      <c r="C4066" t="s">
        <v>6552</v>
      </c>
      <c r="D4066" t="s">
        <v>11944</v>
      </c>
      <c r="E4066" t="s">
        <v>27508</v>
      </c>
      <c r="F4066">
        <v>6</v>
      </c>
      <c r="G4066">
        <v>2691416</v>
      </c>
      <c r="H4066" t="s">
        <v>27509</v>
      </c>
      <c r="J4066" s="54" t="s">
        <v>6052</v>
      </c>
      <c r="K4066" s="54">
        <v>0</v>
      </c>
      <c r="L4066" s="22" t="s">
        <v>1563</v>
      </c>
      <c r="M4066" s="22" t="s">
        <v>37140</v>
      </c>
    </row>
    <row r="4067" spans="1:13" x14ac:dyDescent="0.75">
      <c r="A4067" t="s">
        <v>27750</v>
      </c>
      <c r="B4067" t="s">
        <v>6551</v>
      </c>
      <c r="C4067" t="s">
        <v>6552</v>
      </c>
      <c r="D4067" t="s">
        <v>6553</v>
      </c>
      <c r="E4067" t="s">
        <v>27751</v>
      </c>
      <c r="F4067">
        <v>1</v>
      </c>
      <c r="G4067">
        <v>1907984</v>
      </c>
      <c r="H4067" t="s">
        <v>27752</v>
      </c>
      <c r="J4067" s="54" t="s">
        <v>6052</v>
      </c>
      <c r="K4067" s="54">
        <v>0</v>
      </c>
      <c r="L4067" s="22" t="s">
        <v>36807</v>
      </c>
      <c r="M4067" s="22" t="s">
        <v>37138</v>
      </c>
    </row>
    <row r="4068" spans="1:13" x14ac:dyDescent="0.75">
      <c r="A4068" t="s">
        <v>27504</v>
      </c>
      <c r="B4068" t="s">
        <v>6551</v>
      </c>
      <c r="C4068" t="s">
        <v>6552</v>
      </c>
      <c r="D4068" t="s">
        <v>6553</v>
      </c>
      <c r="E4068" t="s">
        <v>27505</v>
      </c>
      <c r="F4068">
        <v>8</v>
      </c>
      <c r="G4068">
        <v>2026608</v>
      </c>
      <c r="H4068" t="s">
        <v>27506</v>
      </c>
      <c r="J4068" s="54" t="s">
        <v>6052</v>
      </c>
      <c r="K4068" s="54">
        <v>0</v>
      </c>
      <c r="L4068" s="22" t="s">
        <v>36807</v>
      </c>
      <c r="M4068" s="22" t="s">
        <v>37138</v>
      </c>
    </row>
    <row r="4069" spans="1:13" x14ac:dyDescent="0.75">
      <c r="A4069" t="s">
        <v>22413</v>
      </c>
      <c r="B4069" t="s">
        <v>6551</v>
      </c>
      <c r="C4069" t="s">
        <v>6552</v>
      </c>
      <c r="D4069" t="s">
        <v>6553</v>
      </c>
      <c r="E4069" t="s">
        <v>22414</v>
      </c>
      <c r="F4069">
        <v>21</v>
      </c>
      <c r="G4069">
        <v>1826282</v>
      </c>
      <c r="H4069" t="s">
        <v>22415</v>
      </c>
      <c r="J4069" s="54" t="s">
        <v>6052</v>
      </c>
      <c r="K4069" s="54">
        <v>0</v>
      </c>
      <c r="L4069" s="22" t="s">
        <v>36807</v>
      </c>
      <c r="M4069" s="22" t="s">
        <v>37138</v>
      </c>
    </row>
    <row r="4070" spans="1:13" x14ac:dyDescent="0.75">
      <c r="A4070" t="s">
        <v>22410</v>
      </c>
      <c r="B4070" t="s">
        <v>6551</v>
      </c>
      <c r="C4070" t="s">
        <v>6552</v>
      </c>
      <c r="D4070" t="s">
        <v>6553</v>
      </c>
      <c r="E4070" t="s">
        <v>22411</v>
      </c>
      <c r="F4070">
        <v>33</v>
      </c>
      <c r="G4070">
        <v>1936065</v>
      </c>
      <c r="H4070" t="s">
        <v>22412</v>
      </c>
      <c r="J4070" s="54" t="s">
        <v>6052</v>
      </c>
      <c r="K4070" s="54">
        <v>0</v>
      </c>
      <c r="L4070" s="22" t="s">
        <v>36807</v>
      </c>
      <c r="M4070" s="22" t="s">
        <v>37138</v>
      </c>
    </row>
    <row r="4071" spans="1:13" x14ac:dyDescent="0.75">
      <c r="A4071" t="s">
        <v>8875</v>
      </c>
      <c r="B4071" t="s">
        <v>6551</v>
      </c>
      <c r="C4071" t="s">
        <v>6552</v>
      </c>
      <c r="D4071" t="s">
        <v>6553</v>
      </c>
      <c r="E4071" t="s">
        <v>8876</v>
      </c>
      <c r="F4071">
        <v>9</v>
      </c>
      <c r="G4071">
        <v>1836691</v>
      </c>
      <c r="H4071" t="s">
        <v>8877</v>
      </c>
      <c r="J4071" s="54" t="s">
        <v>6052</v>
      </c>
      <c r="K4071" s="54">
        <v>0</v>
      </c>
      <c r="L4071" s="22" t="s">
        <v>36807</v>
      </c>
      <c r="M4071" s="22" t="s">
        <v>37138</v>
      </c>
    </row>
    <row r="4072" spans="1:13" x14ac:dyDescent="0.75">
      <c r="A4072" t="s">
        <v>24949</v>
      </c>
      <c r="B4072" t="s">
        <v>6551</v>
      </c>
      <c r="C4072" t="s">
        <v>6552</v>
      </c>
      <c r="D4072" t="s">
        <v>6553</v>
      </c>
      <c r="E4072" t="s">
        <v>24950</v>
      </c>
      <c r="F4072">
        <v>6</v>
      </c>
      <c r="G4072">
        <v>1890202</v>
      </c>
      <c r="H4072" t="s">
        <v>24951</v>
      </c>
      <c r="J4072" s="54" t="s">
        <v>6052</v>
      </c>
      <c r="K4072" s="54">
        <v>0</v>
      </c>
      <c r="L4072" s="22" t="s">
        <v>36807</v>
      </c>
      <c r="M4072" s="22" t="s">
        <v>37138</v>
      </c>
    </row>
    <row r="4073" spans="1:13" x14ac:dyDescent="0.75">
      <c r="A4073" t="s">
        <v>24943</v>
      </c>
      <c r="B4073" t="s">
        <v>6551</v>
      </c>
      <c r="C4073" t="s">
        <v>6552</v>
      </c>
      <c r="D4073" t="s">
        <v>6553</v>
      </c>
      <c r="E4073" t="s">
        <v>24944</v>
      </c>
      <c r="F4073">
        <v>11</v>
      </c>
      <c r="G4073">
        <v>1887239</v>
      </c>
      <c r="H4073" t="s">
        <v>24945</v>
      </c>
      <c r="J4073" s="54" t="s">
        <v>6052</v>
      </c>
      <c r="K4073" s="54">
        <v>0</v>
      </c>
      <c r="L4073" s="22" t="s">
        <v>36807</v>
      </c>
      <c r="M4073" s="22" t="s">
        <v>37138</v>
      </c>
    </row>
    <row r="4074" spans="1:13" x14ac:dyDescent="0.75">
      <c r="A4074" t="s">
        <v>17529</v>
      </c>
      <c r="B4074" t="s">
        <v>6551</v>
      </c>
      <c r="C4074" t="s">
        <v>6552</v>
      </c>
      <c r="D4074" t="s">
        <v>6553</v>
      </c>
      <c r="E4074" t="s">
        <v>17530</v>
      </c>
      <c r="F4074">
        <v>30</v>
      </c>
      <c r="G4074">
        <v>1918394</v>
      </c>
      <c r="H4074" t="s">
        <v>17531</v>
      </c>
      <c r="J4074" s="54" t="s">
        <v>6052</v>
      </c>
      <c r="K4074" s="54">
        <v>0</v>
      </c>
      <c r="L4074" s="22" t="s">
        <v>36807</v>
      </c>
      <c r="M4074" s="22" t="s">
        <v>37138</v>
      </c>
    </row>
    <row r="4075" spans="1:13" x14ac:dyDescent="0.75">
      <c r="A4075" t="s">
        <v>17520</v>
      </c>
      <c r="B4075" t="s">
        <v>6551</v>
      </c>
      <c r="C4075" t="s">
        <v>6552</v>
      </c>
      <c r="D4075" t="s">
        <v>6553</v>
      </c>
      <c r="E4075" t="s">
        <v>17521</v>
      </c>
      <c r="F4075">
        <v>31</v>
      </c>
      <c r="G4075">
        <v>1925717</v>
      </c>
      <c r="H4075" t="s">
        <v>17522</v>
      </c>
      <c r="J4075" s="54" t="s">
        <v>6052</v>
      </c>
      <c r="K4075" s="54">
        <v>0</v>
      </c>
      <c r="L4075" s="22" t="s">
        <v>36807</v>
      </c>
      <c r="M4075" s="22" t="s">
        <v>37138</v>
      </c>
    </row>
    <row r="4076" spans="1:13" x14ac:dyDescent="0.75">
      <c r="A4076" t="s">
        <v>12276</v>
      </c>
      <c r="B4076" t="s">
        <v>6551</v>
      </c>
      <c r="C4076" t="s">
        <v>6552</v>
      </c>
      <c r="D4076" t="s">
        <v>6553</v>
      </c>
      <c r="E4076" t="s">
        <v>12277</v>
      </c>
      <c r="F4076">
        <v>30</v>
      </c>
      <c r="G4076">
        <v>1881225</v>
      </c>
      <c r="H4076" t="s">
        <v>12278</v>
      </c>
      <c r="J4076" s="54" t="s">
        <v>6052</v>
      </c>
      <c r="K4076" s="54">
        <v>0</v>
      </c>
      <c r="L4076" s="22" t="s">
        <v>36807</v>
      </c>
      <c r="M4076" s="22" t="s">
        <v>37138</v>
      </c>
    </row>
    <row r="4077" spans="1:13" x14ac:dyDescent="0.75">
      <c r="A4077" t="s">
        <v>7518</v>
      </c>
      <c r="B4077" t="s">
        <v>6155</v>
      </c>
      <c r="C4077" t="s">
        <v>6156</v>
      </c>
      <c r="D4077" t="s">
        <v>6157</v>
      </c>
      <c r="E4077" t="s">
        <v>7519</v>
      </c>
      <c r="F4077">
        <v>1</v>
      </c>
      <c r="G4077">
        <v>2223518</v>
      </c>
      <c r="H4077" t="s">
        <v>7520</v>
      </c>
      <c r="J4077" s="54" t="s">
        <v>6052</v>
      </c>
      <c r="K4077" s="54">
        <v>0</v>
      </c>
      <c r="L4077" s="22" t="s">
        <v>104</v>
      </c>
      <c r="M4077" s="22" t="s">
        <v>37160</v>
      </c>
    </row>
    <row r="4078" spans="1:13" x14ac:dyDescent="0.75">
      <c r="A4078" t="s">
        <v>12269</v>
      </c>
      <c r="B4078" t="s">
        <v>6501</v>
      </c>
      <c r="C4078" t="s">
        <v>6502</v>
      </c>
      <c r="D4078" t="s">
        <v>6503</v>
      </c>
      <c r="E4078">
        <v>3125609</v>
      </c>
      <c r="F4078">
        <v>122</v>
      </c>
      <c r="G4078">
        <v>3266420</v>
      </c>
      <c r="H4078" t="s">
        <v>12270</v>
      </c>
      <c r="J4078" s="54" t="s">
        <v>6052</v>
      </c>
      <c r="K4078" s="54">
        <v>0</v>
      </c>
      <c r="L4078" s="22" t="s">
        <v>36804</v>
      </c>
      <c r="M4078" s="22" t="s">
        <v>37143</v>
      </c>
    </row>
    <row r="4079" spans="1:13" x14ac:dyDescent="0.75">
      <c r="A4079" t="s">
        <v>12262</v>
      </c>
      <c r="B4079" t="s">
        <v>6501</v>
      </c>
      <c r="C4079" t="s">
        <v>6502</v>
      </c>
      <c r="D4079" t="s">
        <v>6503</v>
      </c>
      <c r="E4079">
        <v>7935681</v>
      </c>
      <c r="F4079">
        <v>118</v>
      </c>
      <c r="G4079">
        <v>3266556</v>
      </c>
      <c r="H4079" t="s">
        <v>12263</v>
      </c>
      <c r="J4079" s="54" t="s">
        <v>6052</v>
      </c>
      <c r="K4079" s="54">
        <v>0</v>
      </c>
      <c r="L4079" s="22" t="s">
        <v>36804</v>
      </c>
      <c r="M4079" s="22" t="s">
        <v>37143</v>
      </c>
    </row>
    <row r="4080" spans="1:13" x14ac:dyDescent="0.75">
      <c r="A4080" t="s">
        <v>10669</v>
      </c>
      <c r="B4080" t="s">
        <v>6690</v>
      </c>
      <c r="C4080" t="s">
        <v>6502</v>
      </c>
      <c r="D4080" t="s">
        <v>6691</v>
      </c>
      <c r="E4080" t="s">
        <v>10670</v>
      </c>
      <c r="F4080">
        <v>1</v>
      </c>
      <c r="G4080">
        <v>4412379</v>
      </c>
      <c r="H4080" t="s">
        <v>10671</v>
      </c>
      <c r="J4080" s="54" t="s">
        <v>6052</v>
      </c>
      <c r="K4080" s="54">
        <v>0</v>
      </c>
      <c r="L4080" s="22" t="s">
        <v>36804</v>
      </c>
      <c r="M4080" s="22" t="s">
        <v>37144</v>
      </c>
    </row>
    <row r="4081" spans="1:13" x14ac:dyDescent="0.75">
      <c r="A4081" t="s">
        <v>9289</v>
      </c>
      <c r="B4081" t="s">
        <v>6690</v>
      </c>
      <c r="C4081" t="s">
        <v>6502</v>
      </c>
      <c r="D4081" t="s">
        <v>6691</v>
      </c>
      <c r="E4081" t="s">
        <v>9290</v>
      </c>
      <c r="F4081">
        <v>1</v>
      </c>
      <c r="G4081">
        <v>4411128</v>
      </c>
      <c r="H4081" t="s">
        <v>9291</v>
      </c>
      <c r="J4081" s="54" t="s">
        <v>6052</v>
      </c>
      <c r="K4081" s="54">
        <v>0</v>
      </c>
      <c r="L4081" s="22" t="s">
        <v>36804</v>
      </c>
      <c r="M4081" s="22" t="s">
        <v>37144</v>
      </c>
    </row>
    <row r="4082" spans="1:13" x14ac:dyDescent="0.75">
      <c r="A4082" t="s">
        <v>14433</v>
      </c>
      <c r="B4082" t="s">
        <v>6690</v>
      </c>
      <c r="C4082" t="s">
        <v>6502</v>
      </c>
      <c r="D4082" t="s">
        <v>6691</v>
      </c>
      <c r="E4082" t="s">
        <v>14434</v>
      </c>
      <c r="F4082">
        <v>1</v>
      </c>
      <c r="G4082">
        <v>4411478</v>
      </c>
      <c r="H4082" t="s">
        <v>14435</v>
      </c>
      <c r="J4082" s="54" t="s">
        <v>6052</v>
      </c>
      <c r="K4082" s="54">
        <v>0</v>
      </c>
      <c r="L4082" s="22" t="s">
        <v>36804</v>
      </c>
      <c r="M4082" s="22" t="s">
        <v>37144</v>
      </c>
    </row>
    <row r="4083" spans="1:13" x14ac:dyDescent="0.75">
      <c r="A4083" t="s">
        <v>7618</v>
      </c>
      <c r="B4083" t="s">
        <v>6690</v>
      </c>
      <c r="C4083" t="s">
        <v>6502</v>
      </c>
      <c r="D4083" t="s">
        <v>6691</v>
      </c>
      <c r="E4083" t="s">
        <v>7619</v>
      </c>
      <c r="F4083">
        <v>1</v>
      </c>
      <c r="G4083">
        <v>4411532</v>
      </c>
      <c r="H4083" t="s">
        <v>7620</v>
      </c>
      <c r="J4083" s="54" t="s">
        <v>6052</v>
      </c>
      <c r="K4083" s="54">
        <v>0</v>
      </c>
      <c r="L4083" s="22" t="s">
        <v>36804</v>
      </c>
      <c r="M4083" s="22" t="s">
        <v>37144</v>
      </c>
    </row>
    <row r="4084" spans="1:13" x14ac:dyDescent="0.75">
      <c r="A4084" t="s">
        <v>8688</v>
      </c>
      <c r="B4084" t="s">
        <v>6690</v>
      </c>
      <c r="C4084" t="s">
        <v>6502</v>
      </c>
      <c r="D4084" t="s">
        <v>6691</v>
      </c>
      <c r="E4084" t="s">
        <v>7619</v>
      </c>
      <c r="F4084">
        <v>1</v>
      </c>
      <c r="G4084">
        <v>4411709</v>
      </c>
      <c r="H4084" t="s">
        <v>8689</v>
      </c>
      <c r="J4084" s="54" t="s">
        <v>6052</v>
      </c>
      <c r="K4084" s="54">
        <v>0</v>
      </c>
      <c r="L4084" s="22" t="s">
        <v>36804</v>
      </c>
      <c r="M4084" s="22" t="s">
        <v>37144</v>
      </c>
    </row>
    <row r="4085" spans="1:13" x14ac:dyDescent="0.75">
      <c r="A4085" t="s">
        <v>10379</v>
      </c>
      <c r="B4085" t="s">
        <v>6690</v>
      </c>
      <c r="C4085" t="s">
        <v>6502</v>
      </c>
      <c r="D4085" t="s">
        <v>6691</v>
      </c>
      <c r="E4085" t="s">
        <v>7619</v>
      </c>
      <c r="F4085">
        <v>50</v>
      </c>
      <c r="G4085">
        <v>4412618</v>
      </c>
      <c r="H4085" t="s">
        <v>10380</v>
      </c>
      <c r="J4085" s="54" t="s">
        <v>6052</v>
      </c>
      <c r="K4085" s="54">
        <v>0</v>
      </c>
      <c r="L4085" s="22" t="s">
        <v>36804</v>
      </c>
      <c r="M4085" s="22" t="s">
        <v>37144</v>
      </c>
    </row>
    <row r="4086" spans="1:13" x14ac:dyDescent="0.75">
      <c r="A4086" t="s">
        <v>6689</v>
      </c>
      <c r="B4086" t="s">
        <v>6690</v>
      </c>
      <c r="C4086" t="s">
        <v>6502</v>
      </c>
      <c r="D4086" t="s">
        <v>6691</v>
      </c>
      <c r="E4086" t="s">
        <v>6692</v>
      </c>
      <c r="F4086">
        <v>1</v>
      </c>
      <c r="G4086">
        <v>4408224</v>
      </c>
      <c r="H4086" t="s">
        <v>6693</v>
      </c>
      <c r="J4086" s="54" t="s">
        <v>6052</v>
      </c>
      <c r="K4086" s="54">
        <v>0</v>
      </c>
      <c r="L4086" s="22" t="s">
        <v>36804</v>
      </c>
      <c r="M4086" s="22" t="s">
        <v>37144</v>
      </c>
    </row>
    <row r="4087" spans="1:13" x14ac:dyDescent="0.75">
      <c r="A4087" t="s">
        <v>13147</v>
      </c>
      <c r="B4087" t="s">
        <v>6690</v>
      </c>
      <c r="C4087" t="s">
        <v>6502</v>
      </c>
      <c r="D4087" t="s">
        <v>6691</v>
      </c>
      <c r="E4087" t="s">
        <v>13148</v>
      </c>
      <c r="F4087">
        <v>1</v>
      </c>
      <c r="G4087">
        <v>4365724</v>
      </c>
      <c r="H4087" t="s">
        <v>13149</v>
      </c>
      <c r="J4087" s="54" t="s">
        <v>6052</v>
      </c>
      <c r="K4087" s="54">
        <v>0</v>
      </c>
      <c r="L4087" s="22" t="s">
        <v>36804</v>
      </c>
      <c r="M4087" s="22" t="s">
        <v>37144</v>
      </c>
    </row>
    <row r="4088" spans="1:13" x14ac:dyDescent="0.75">
      <c r="A4088" t="s">
        <v>15834</v>
      </c>
      <c r="B4088" t="s">
        <v>6501</v>
      </c>
      <c r="C4088" t="s">
        <v>6502</v>
      </c>
      <c r="D4088" t="s">
        <v>6503</v>
      </c>
      <c r="E4088" t="s">
        <v>15835</v>
      </c>
      <c r="F4088">
        <v>1</v>
      </c>
      <c r="G4088">
        <v>3268122</v>
      </c>
      <c r="H4088" t="s">
        <v>15836</v>
      </c>
      <c r="J4088" s="54" t="s">
        <v>6052</v>
      </c>
      <c r="K4088" s="54">
        <v>0</v>
      </c>
      <c r="L4088" s="22" t="s">
        <v>36804</v>
      </c>
      <c r="M4088" s="22" t="s">
        <v>37143</v>
      </c>
    </row>
    <row r="4089" spans="1:13" x14ac:dyDescent="0.75">
      <c r="A4089" t="s">
        <v>15182</v>
      </c>
      <c r="B4089" t="s">
        <v>6501</v>
      </c>
      <c r="C4089" t="s">
        <v>6502</v>
      </c>
      <c r="D4089" t="s">
        <v>6503</v>
      </c>
      <c r="E4089" t="s">
        <v>15183</v>
      </c>
      <c r="F4089">
        <v>1</v>
      </c>
      <c r="G4089">
        <v>3187112</v>
      </c>
      <c r="H4089" t="s">
        <v>15184</v>
      </c>
      <c r="J4089" s="54" t="s">
        <v>6052</v>
      </c>
      <c r="K4089" s="54">
        <v>0</v>
      </c>
      <c r="L4089" s="22" t="s">
        <v>36804</v>
      </c>
      <c r="M4089" s="22" t="s">
        <v>37143</v>
      </c>
    </row>
    <row r="4090" spans="1:13" x14ac:dyDescent="0.75">
      <c r="A4090" t="s">
        <v>6500</v>
      </c>
      <c r="B4090" t="s">
        <v>6501</v>
      </c>
      <c r="C4090" t="s">
        <v>6502</v>
      </c>
      <c r="D4090" t="s">
        <v>6503</v>
      </c>
      <c r="E4090" t="s">
        <v>6504</v>
      </c>
      <c r="F4090">
        <v>1</v>
      </c>
      <c r="G4090">
        <v>3268071</v>
      </c>
      <c r="H4090" t="s">
        <v>6505</v>
      </c>
      <c r="J4090" s="54" t="s">
        <v>6052</v>
      </c>
      <c r="K4090" s="54">
        <v>0</v>
      </c>
      <c r="L4090" s="22" t="s">
        <v>36804</v>
      </c>
      <c r="M4090" s="22" t="s">
        <v>37143</v>
      </c>
    </row>
    <row r="4091" spans="1:13" x14ac:dyDescent="0.75">
      <c r="A4091" t="s">
        <v>11477</v>
      </c>
      <c r="B4091" t="s">
        <v>6690</v>
      </c>
      <c r="C4091" t="s">
        <v>6502</v>
      </c>
      <c r="D4091" t="s">
        <v>6691</v>
      </c>
      <c r="E4091" t="s">
        <v>11478</v>
      </c>
      <c r="F4091">
        <v>1</v>
      </c>
      <c r="G4091">
        <v>4411829</v>
      </c>
      <c r="H4091" t="s">
        <v>11479</v>
      </c>
      <c r="J4091" s="54" t="s">
        <v>6052</v>
      </c>
      <c r="K4091" s="54">
        <v>0</v>
      </c>
      <c r="L4091" s="22" t="s">
        <v>36804</v>
      </c>
      <c r="M4091" s="22" t="s">
        <v>37144</v>
      </c>
    </row>
    <row r="4092" spans="1:13" x14ac:dyDescent="0.75">
      <c r="A4092" t="s">
        <v>19071</v>
      </c>
      <c r="B4092" t="s">
        <v>6690</v>
      </c>
      <c r="C4092" t="s">
        <v>6502</v>
      </c>
      <c r="D4092" t="s">
        <v>6691</v>
      </c>
      <c r="E4092" t="s">
        <v>19072</v>
      </c>
      <c r="F4092">
        <v>1</v>
      </c>
      <c r="G4092">
        <v>4426614</v>
      </c>
      <c r="H4092" t="s">
        <v>19073</v>
      </c>
      <c r="J4092" s="54" t="s">
        <v>6052</v>
      </c>
      <c r="K4092" s="54">
        <v>0</v>
      </c>
      <c r="L4092" s="22" t="s">
        <v>36804</v>
      </c>
      <c r="M4092" s="22" t="s">
        <v>37144</v>
      </c>
    </row>
    <row r="4093" spans="1:13" x14ac:dyDescent="0.75">
      <c r="A4093" t="s">
        <v>7615</v>
      </c>
      <c r="B4093" t="s">
        <v>6501</v>
      </c>
      <c r="C4093" t="s">
        <v>6502</v>
      </c>
      <c r="D4093" t="s">
        <v>6503</v>
      </c>
      <c r="E4093" t="s">
        <v>7616</v>
      </c>
      <c r="F4093">
        <v>1</v>
      </c>
      <c r="G4093">
        <v>3268203</v>
      </c>
      <c r="H4093" t="s">
        <v>7617</v>
      </c>
      <c r="J4093" s="54" t="s">
        <v>6052</v>
      </c>
      <c r="K4093" s="54">
        <v>0</v>
      </c>
      <c r="L4093" s="22" t="s">
        <v>36804</v>
      </c>
      <c r="M4093" s="22" t="s">
        <v>37143</v>
      </c>
    </row>
    <row r="4094" spans="1:13" x14ac:dyDescent="0.75">
      <c r="A4094" t="s">
        <v>1281</v>
      </c>
      <c r="B4094" t="s">
        <v>765</v>
      </c>
      <c r="C4094" t="s">
        <v>8954</v>
      </c>
      <c r="D4094" t="s">
        <v>8955</v>
      </c>
      <c r="E4094" t="s">
        <v>10392</v>
      </c>
      <c r="F4094">
        <v>42</v>
      </c>
      <c r="G4094">
        <v>5468381</v>
      </c>
      <c r="H4094" t="s">
        <v>10393</v>
      </c>
      <c r="J4094" s="54" t="s">
        <v>6052</v>
      </c>
      <c r="K4094" s="54">
        <v>0</v>
      </c>
      <c r="L4094" s="22" t="s">
        <v>144</v>
      </c>
      <c r="M4094" s="22" t="s">
        <v>766</v>
      </c>
    </row>
    <row r="4095" spans="1:13" x14ac:dyDescent="0.75">
      <c r="A4095" t="s">
        <v>4907</v>
      </c>
      <c r="B4095" t="s">
        <v>765</v>
      </c>
      <c r="C4095" t="s">
        <v>8954</v>
      </c>
      <c r="D4095" t="s">
        <v>8955</v>
      </c>
      <c r="E4095" t="s">
        <v>24746</v>
      </c>
      <c r="F4095">
        <v>1</v>
      </c>
      <c r="G4095">
        <v>5578016</v>
      </c>
      <c r="H4095" t="s">
        <v>24747</v>
      </c>
      <c r="J4095" s="54" t="s">
        <v>6052</v>
      </c>
      <c r="K4095" s="54">
        <v>0</v>
      </c>
      <c r="L4095" s="22" t="s">
        <v>144</v>
      </c>
      <c r="M4095" s="22" t="s">
        <v>766</v>
      </c>
    </row>
    <row r="4096" spans="1:13" x14ac:dyDescent="0.75">
      <c r="A4096" t="s">
        <v>4807</v>
      </c>
      <c r="B4096" t="s">
        <v>765</v>
      </c>
      <c r="C4096" t="s">
        <v>8954</v>
      </c>
      <c r="D4096" t="s">
        <v>8955</v>
      </c>
      <c r="E4096" t="s">
        <v>24581</v>
      </c>
      <c r="F4096">
        <v>1</v>
      </c>
      <c r="G4096">
        <v>5577310</v>
      </c>
      <c r="H4096" t="s">
        <v>24582</v>
      </c>
      <c r="J4096" s="54" t="s">
        <v>6052</v>
      </c>
      <c r="K4096" s="54">
        <v>0</v>
      </c>
      <c r="L4096" s="22" t="s">
        <v>144</v>
      </c>
      <c r="M4096" s="22" t="s">
        <v>766</v>
      </c>
    </row>
    <row r="4097" spans="1:13" x14ac:dyDescent="0.75">
      <c r="A4097" t="s">
        <v>1300</v>
      </c>
      <c r="B4097" t="s">
        <v>765</v>
      </c>
      <c r="C4097" t="s">
        <v>8954</v>
      </c>
      <c r="D4097" t="s">
        <v>8955</v>
      </c>
      <c r="E4097" t="s">
        <v>10454</v>
      </c>
      <c r="F4097">
        <v>45</v>
      </c>
      <c r="G4097">
        <v>5536033</v>
      </c>
      <c r="H4097" t="s">
        <v>10455</v>
      </c>
      <c r="J4097" s="54" t="s">
        <v>6052</v>
      </c>
      <c r="K4097" s="54">
        <v>0</v>
      </c>
      <c r="L4097" s="22" t="s">
        <v>144</v>
      </c>
      <c r="M4097" s="22" t="s">
        <v>766</v>
      </c>
    </row>
    <row r="4098" spans="1:13" x14ac:dyDescent="0.75">
      <c r="A4098" t="s">
        <v>2291</v>
      </c>
      <c r="B4098" t="s">
        <v>765</v>
      </c>
      <c r="C4098" t="s">
        <v>8954</v>
      </c>
      <c r="D4098" t="s">
        <v>8955</v>
      </c>
      <c r="E4098" t="s">
        <v>10454</v>
      </c>
      <c r="F4098">
        <v>38</v>
      </c>
      <c r="G4098">
        <v>5477923</v>
      </c>
      <c r="H4098" t="s">
        <v>16735</v>
      </c>
      <c r="J4098" s="54" t="s">
        <v>6052</v>
      </c>
      <c r="K4098" s="54">
        <v>0</v>
      </c>
      <c r="L4098" s="22" t="s">
        <v>144</v>
      </c>
      <c r="M4098" s="22" t="s">
        <v>766</v>
      </c>
    </row>
    <row r="4099" spans="1:13" x14ac:dyDescent="0.75">
      <c r="A4099" t="s">
        <v>2077</v>
      </c>
      <c r="B4099" t="s">
        <v>765</v>
      </c>
      <c r="C4099" t="s">
        <v>8954</v>
      </c>
      <c r="D4099" t="s">
        <v>8955</v>
      </c>
      <c r="E4099" t="s">
        <v>15368</v>
      </c>
      <c r="F4099">
        <v>1</v>
      </c>
      <c r="G4099">
        <v>5421383</v>
      </c>
      <c r="H4099" t="s">
        <v>15369</v>
      </c>
      <c r="J4099" s="54" t="s">
        <v>6052</v>
      </c>
      <c r="K4099" s="54">
        <v>0</v>
      </c>
      <c r="L4099" s="22" t="s">
        <v>144</v>
      </c>
      <c r="M4099" s="22" t="s">
        <v>766</v>
      </c>
    </row>
    <row r="4100" spans="1:13" x14ac:dyDescent="0.75">
      <c r="A4100" t="s">
        <v>3603</v>
      </c>
      <c r="B4100" t="s">
        <v>765</v>
      </c>
      <c r="C4100" t="s">
        <v>8954</v>
      </c>
      <c r="D4100" t="s">
        <v>8955</v>
      </c>
      <c r="E4100" t="s">
        <v>20758</v>
      </c>
      <c r="F4100">
        <v>1</v>
      </c>
      <c r="G4100">
        <v>5756799</v>
      </c>
      <c r="H4100" t="s">
        <v>20759</v>
      </c>
      <c r="J4100" s="54" t="s">
        <v>6052</v>
      </c>
      <c r="K4100" s="54">
        <v>0</v>
      </c>
      <c r="L4100" s="22" t="s">
        <v>144</v>
      </c>
      <c r="M4100" s="22" t="s">
        <v>766</v>
      </c>
    </row>
    <row r="4101" spans="1:13" x14ac:dyDescent="0.75">
      <c r="A4101" t="s">
        <v>1578</v>
      </c>
      <c r="B4101" t="s">
        <v>765</v>
      </c>
      <c r="C4101" t="s">
        <v>8954</v>
      </c>
      <c r="D4101" t="s">
        <v>8955</v>
      </c>
      <c r="E4101" t="s">
        <v>12013</v>
      </c>
      <c r="F4101">
        <v>1</v>
      </c>
      <c r="G4101">
        <v>5421338</v>
      </c>
      <c r="H4101" t="s">
        <v>12014</v>
      </c>
      <c r="J4101" s="54" t="s">
        <v>6052</v>
      </c>
      <c r="K4101" s="54">
        <v>0</v>
      </c>
      <c r="L4101" s="22" t="s">
        <v>144</v>
      </c>
      <c r="M4101" s="22" t="s">
        <v>766</v>
      </c>
    </row>
    <row r="4102" spans="1:13" x14ac:dyDescent="0.75">
      <c r="A4102" t="s">
        <v>2362</v>
      </c>
      <c r="B4102" t="s">
        <v>765</v>
      </c>
      <c r="C4102" t="s">
        <v>8954</v>
      </c>
      <c r="D4102" t="s">
        <v>8955</v>
      </c>
      <c r="E4102" t="s">
        <v>12013</v>
      </c>
      <c r="F4102">
        <v>1</v>
      </c>
      <c r="G4102">
        <v>5366707</v>
      </c>
      <c r="H4102" t="s">
        <v>17022</v>
      </c>
      <c r="J4102" s="54" t="s">
        <v>6052</v>
      </c>
      <c r="K4102" s="54">
        <v>0</v>
      </c>
      <c r="L4102" s="22" t="s">
        <v>144</v>
      </c>
      <c r="M4102" s="22" t="s">
        <v>766</v>
      </c>
    </row>
    <row r="4103" spans="1:13" x14ac:dyDescent="0.75">
      <c r="A4103" t="s">
        <v>764</v>
      </c>
      <c r="B4103" t="s">
        <v>765</v>
      </c>
      <c r="C4103" t="s">
        <v>8954</v>
      </c>
      <c r="D4103" t="s">
        <v>8955</v>
      </c>
      <c r="E4103" t="s">
        <v>8956</v>
      </c>
      <c r="F4103">
        <v>1</v>
      </c>
      <c r="G4103">
        <v>5421267</v>
      </c>
      <c r="H4103" t="s">
        <v>8957</v>
      </c>
      <c r="J4103" s="54" t="s">
        <v>6052</v>
      </c>
      <c r="K4103" s="54">
        <v>0</v>
      </c>
      <c r="L4103" s="22" t="s">
        <v>144</v>
      </c>
      <c r="M4103" s="22" t="s">
        <v>766</v>
      </c>
    </row>
    <row r="4104" spans="1:13" x14ac:dyDescent="0.75">
      <c r="A4104" t="s">
        <v>13606</v>
      </c>
      <c r="B4104" t="s">
        <v>6586</v>
      </c>
      <c r="C4104" t="s">
        <v>6521</v>
      </c>
      <c r="D4104" t="s">
        <v>6094</v>
      </c>
      <c r="E4104">
        <v>685</v>
      </c>
      <c r="F4104">
        <v>1</v>
      </c>
      <c r="G4104">
        <v>816292</v>
      </c>
      <c r="H4104" t="s">
        <v>13607</v>
      </c>
      <c r="J4104" s="54" t="s">
        <v>6052</v>
      </c>
      <c r="K4104" s="54">
        <v>0</v>
      </c>
      <c r="L4104" s="22" t="s">
        <v>36804</v>
      </c>
      <c r="M4104" s="22" t="s">
        <v>37145</v>
      </c>
    </row>
    <row r="4105" spans="1:13" x14ac:dyDescent="0.75">
      <c r="A4105" t="s">
        <v>11462</v>
      </c>
      <c r="B4105" t="s">
        <v>6586</v>
      </c>
      <c r="C4105" t="s">
        <v>6521</v>
      </c>
      <c r="D4105" t="s">
        <v>6094</v>
      </c>
      <c r="E4105">
        <v>85084</v>
      </c>
      <c r="F4105">
        <v>1</v>
      </c>
      <c r="G4105">
        <v>816404</v>
      </c>
      <c r="H4105" t="s">
        <v>11463</v>
      </c>
      <c r="J4105" s="54" t="s">
        <v>6052</v>
      </c>
      <c r="K4105" s="54">
        <v>0</v>
      </c>
      <c r="L4105" s="22" t="s">
        <v>36804</v>
      </c>
      <c r="M4105" s="22" t="s">
        <v>37145</v>
      </c>
    </row>
    <row r="4106" spans="1:13" x14ac:dyDescent="0.75">
      <c r="A4106" t="s">
        <v>18019</v>
      </c>
      <c r="B4106" t="s">
        <v>6586</v>
      </c>
      <c r="C4106" t="s">
        <v>6521</v>
      </c>
      <c r="D4106" t="s">
        <v>6094</v>
      </c>
      <c r="E4106" t="s">
        <v>18020</v>
      </c>
      <c r="F4106">
        <v>1</v>
      </c>
      <c r="G4106">
        <v>816521</v>
      </c>
      <c r="H4106" t="s">
        <v>18021</v>
      </c>
      <c r="J4106" s="54" t="s">
        <v>6052</v>
      </c>
      <c r="K4106" s="54">
        <v>0</v>
      </c>
      <c r="L4106" s="22" t="s">
        <v>36804</v>
      </c>
      <c r="M4106" s="22" t="s">
        <v>37145</v>
      </c>
    </row>
    <row r="4107" spans="1:13" x14ac:dyDescent="0.75">
      <c r="A4107" t="s">
        <v>18016</v>
      </c>
      <c r="B4107" t="s">
        <v>6586</v>
      </c>
      <c r="C4107" t="s">
        <v>6521</v>
      </c>
      <c r="D4107" t="s">
        <v>6094</v>
      </c>
      <c r="E4107" t="s">
        <v>18017</v>
      </c>
      <c r="F4107">
        <v>1</v>
      </c>
      <c r="G4107">
        <v>816432</v>
      </c>
      <c r="H4107" t="s">
        <v>18018</v>
      </c>
      <c r="J4107" s="54" t="s">
        <v>6052</v>
      </c>
      <c r="K4107" s="54">
        <v>0</v>
      </c>
      <c r="L4107" s="22" t="s">
        <v>36804</v>
      </c>
      <c r="M4107" s="22" t="s">
        <v>37145</v>
      </c>
    </row>
    <row r="4108" spans="1:13" x14ac:dyDescent="0.75">
      <c r="A4108" t="s">
        <v>18013</v>
      </c>
      <c r="B4108" t="s">
        <v>6586</v>
      </c>
      <c r="C4108" t="s">
        <v>6521</v>
      </c>
      <c r="D4108" t="s">
        <v>6094</v>
      </c>
      <c r="E4108" t="s">
        <v>18014</v>
      </c>
      <c r="F4108">
        <v>1</v>
      </c>
      <c r="G4108">
        <v>818445</v>
      </c>
      <c r="H4108" t="s">
        <v>18015</v>
      </c>
      <c r="J4108" s="54" t="s">
        <v>6052</v>
      </c>
      <c r="K4108" s="54">
        <v>0</v>
      </c>
      <c r="L4108" s="22" t="s">
        <v>36804</v>
      </c>
      <c r="M4108" s="22" t="s">
        <v>37145</v>
      </c>
    </row>
    <row r="4109" spans="1:13" x14ac:dyDescent="0.75">
      <c r="A4109" t="s">
        <v>6585</v>
      </c>
      <c r="B4109" t="s">
        <v>6586</v>
      </c>
      <c r="C4109" t="s">
        <v>6521</v>
      </c>
      <c r="D4109" t="s">
        <v>6094</v>
      </c>
      <c r="E4109" t="s">
        <v>6587</v>
      </c>
      <c r="F4109">
        <v>1</v>
      </c>
      <c r="G4109">
        <v>811088</v>
      </c>
      <c r="H4109" t="s">
        <v>6588</v>
      </c>
      <c r="J4109" s="54" t="s">
        <v>6052</v>
      </c>
      <c r="K4109" s="54">
        <v>0</v>
      </c>
      <c r="L4109" s="22" t="s">
        <v>36804</v>
      </c>
      <c r="M4109" s="22" t="s">
        <v>37145</v>
      </c>
    </row>
    <row r="4110" spans="1:13" x14ac:dyDescent="0.75">
      <c r="A4110" t="s">
        <v>11464</v>
      </c>
      <c r="B4110" t="s">
        <v>6586</v>
      </c>
      <c r="C4110" t="s">
        <v>6521</v>
      </c>
      <c r="D4110" t="s">
        <v>6094</v>
      </c>
      <c r="E4110" t="s">
        <v>6587</v>
      </c>
      <c r="F4110">
        <v>1</v>
      </c>
      <c r="G4110">
        <v>817207</v>
      </c>
      <c r="H4110" t="s">
        <v>11465</v>
      </c>
      <c r="J4110" s="54" t="s">
        <v>6052</v>
      </c>
      <c r="K4110" s="54">
        <v>0</v>
      </c>
      <c r="L4110" s="22" t="s">
        <v>36804</v>
      </c>
      <c r="M4110" s="22" t="s">
        <v>37145</v>
      </c>
    </row>
    <row r="4111" spans="1:13" x14ac:dyDescent="0.75">
      <c r="A4111" t="s">
        <v>6519</v>
      </c>
      <c r="B4111" t="s">
        <v>6520</v>
      </c>
      <c r="C4111" t="s">
        <v>6521</v>
      </c>
      <c r="D4111" t="s">
        <v>6522</v>
      </c>
      <c r="E4111" t="s">
        <v>6523</v>
      </c>
      <c r="F4111">
        <v>1</v>
      </c>
      <c r="G4111">
        <v>580076</v>
      </c>
      <c r="H4111" t="s">
        <v>6524</v>
      </c>
      <c r="J4111" s="54" t="s">
        <v>6052</v>
      </c>
      <c r="K4111" s="54">
        <v>0</v>
      </c>
      <c r="L4111" s="22" t="s">
        <v>36804</v>
      </c>
      <c r="M4111" s="22" t="s">
        <v>37146</v>
      </c>
    </row>
    <row r="4112" spans="1:13" x14ac:dyDescent="0.75">
      <c r="A4112" t="s">
        <v>13608</v>
      </c>
      <c r="B4112" t="s">
        <v>6586</v>
      </c>
      <c r="C4112" t="s">
        <v>6521</v>
      </c>
      <c r="D4112" t="s">
        <v>6094</v>
      </c>
      <c r="E4112" t="s">
        <v>13609</v>
      </c>
      <c r="F4112">
        <v>1</v>
      </c>
      <c r="G4112">
        <v>817038</v>
      </c>
      <c r="H4112" t="s">
        <v>13610</v>
      </c>
      <c r="J4112" s="54" t="s">
        <v>6052</v>
      </c>
      <c r="K4112" s="54">
        <v>0</v>
      </c>
      <c r="L4112" s="22" t="s">
        <v>36804</v>
      </c>
      <c r="M4112" s="22" t="s">
        <v>37145</v>
      </c>
    </row>
    <row r="4113" spans="1:13" x14ac:dyDescent="0.75">
      <c r="A4113" t="s">
        <v>8804</v>
      </c>
      <c r="B4113" t="s">
        <v>6520</v>
      </c>
      <c r="C4113" t="s">
        <v>6521</v>
      </c>
      <c r="D4113" t="s">
        <v>6522</v>
      </c>
      <c r="E4113" t="s">
        <v>8805</v>
      </c>
      <c r="F4113">
        <v>1</v>
      </c>
      <c r="G4113">
        <v>579558</v>
      </c>
      <c r="H4113" t="s">
        <v>8806</v>
      </c>
      <c r="J4113" s="54" t="s">
        <v>6052</v>
      </c>
      <c r="K4113" s="54">
        <v>0</v>
      </c>
      <c r="L4113" s="22" t="s">
        <v>36804</v>
      </c>
      <c r="M4113" s="22" t="s">
        <v>37146</v>
      </c>
    </row>
    <row r="4114" spans="1:13" x14ac:dyDescent="0.75">
      <c r="A4114" t="s">
        <v>8795</v>
      </c>
      <c r="B4114" t="s">
        <v>6520</v>
      </c>
      <c r="C4114" t="s">
        <v>6521</v>
      </c>
      <c r="D4114" t="s">
        <v>6522</v>
      </c>
      <c r="E4114" t="s">
        <v>8796</v>
      </c>
      <c r="F4114">
        <v>1</v>
      </c>
      <c r="G4114">
        <v>579977</v>
      </c>
      <c r="H4114" t="s">
        <v>8797</v>
      </c>
      <c r="J4114" s="54" t="s">
        <v>6052</v>
      </c>
      <c r="K4114" s="54">
        <v>0</v>
      </c>
      <c r="L4114" s="22" t="s">
        <v>36804</v>
      </c>
      <c r="M4114" s="22" t="s">
        <v>37146</v>
      </c>
    </row>
    <row r="4115" spans="1:13" x14ac:dyDescent="0.75">
      <c r="A4115" t="s">
        <v>8798</v>
      </c>
      <c r="B4115" t="s">
        <v>6520</v>
      </c>
      <c r="C4115" t="s">
        <v>6521</v>
      </c>
      <c r="D4115" t="s">
        <v>6522</v>
      </c>
      <c r="E4115" t="s">
        <v>8799</v>
      </c>
      <c r="F4115">
        <v>1</v>
      </c>
      <c r="G4115">
        <v>579504</v>
      </c>
      <c r="H4115" t="s">
        <v>8800</v>
      </c>
      <c r="J4115" s="54" t="s">
        <v>6052</v>
      </c>
      <c r="K4115" s="54">
        <v>0</v>
      </c>
      <c r="L4115" s="22" t="s">
        <v>36804</v>
      </c>
      <c r="M4115" s="22" t="s">
        <v>37146</v>
      </c>
    </row>
    <row r="4116" spans="1:13" x14ac:dyDescent="0.75">
      <c r="A4116" t="s">
        <v>8801</v>
      </c>
      <c r="B4116" t="s">
        <v>6520</v>
      </c>
      <c r="C4116" t="s">
        <v>6521</v>
      </c>
      <c r="D4116" t="s">
        <v>6522</v>
      </c>
      <c r="E4116" t="s">
        <v>8802</v>
      </c>
      <c r="F4116">
        <v>1</v>
      </c>
      <c r="G4116">
        <v>579796</v>
      </c>
      <c r="H4116" t="s">
        <v>8803</v>
      </c>
      <c r="J4116" s="54" t="s">
        <v>6052</v>
      </c>
      <c r="K4116" s="54">
        <v>0</v>
      </c>
      <c r="L4116" s="22" t="s">
        <v>36804</v>
      </c>
      <c r="M4116" s="22" t="s">
        <v>37146</v>
      </c>
    </row>
    <row r="4117" spans="1:13" x14ac:dyDescent="0.75">
      <c r="A4117" t="s">
        <v>28057</v>
      </c>
      <c r="B4117" t="s">
        <v>6586</v>
      </c>
      <c r="C4117" t="s">
        <v>6521</v>
      </c>
      <c r="D4117" t="s">
        <v>6094</v>
      </c>
      <c r="E4117" t="s">
        <v>28058</v>
      </c>
      <c r="F4117">
        <v>2</v>
      </c>
      <c r="G4117">
        <v>823017</v>
      </c>
      <c r="H4117" t="s">
        <v>28059</v>
      </c>
      <c r="J4117" s="54" t="s">
        <v>6052</v>
      </c>
      <c r="K4117" s="54">
        <v>0</v>
      </c>
      <c r="L4117" s="22" t="s">
        <v>36804</v>
      </c>
      <c r="M4117" s="22" t="s">
        <v>37145</v>
      </c>
    </row>
    <row r="4118" spans="1:13" x14ac:dyDescent="0.75">
      <c r="A4118" t="s">
        <v>13473</v>
      </c>
      <c r="B4118" t="s">
        <v>6586</v>
      </c>
      <c r="C4118" t="s">
        <v>6521</v>
      </c>
      <c r="D4118" t="s">
        <v>6094</v>
      </c>
      <c r="E4118" t="s">
        <v>13474</v>
      </c>
      <c r="F4118">
        <v>1</v>
      </c>
      <c r="G4118">
        <v>816435</v>
      </c>
      <c r="H4118" t="s">
        <v>13475</v>
      </c>
      <c r="J4118" s="54" t="s">
        <v>6052</v>
      </c>
      <c r="K4118" s="54">
        <v>0</v>
      </c>
      <c r="L4118" s="22" t="s">
        <v>36804</v>
      </c>
      <c r="M4118" s="22" t="s">
        <v>37145</v>
      </c>
    </row>
    <row r="4119" spans="1:13" x14ac:dyDescent="0.75">
      <c r="A4119" t="s">
        <v>7521</v>
      </c>
      <c r="B4119" t="s">
        <v>6155</v>
      </c>
      <c r="C4119" t="s">
        <v>6156</v>
      </c>
      <c r="D4119" t="s">
        <v>6157</v>
      </c>
      <c r="E4119" t="s">
        <v>7522</v>
      </c>
      <c r="F4119">
        <v>1</v>
      </c>
      <c r="G4119">
        <v>2287777</v>
      </c>
      <c r="H4119" t="s">
        <v>7523</v>
      </c>
      <c r="J4119" s="54" t="s">
        <v>6052</v>
      </c>
      <c r="K4119" s="54">
        <v>0</v>
      </c>
      <c r="L4119" s="22" t="s">
        <v>104</v>
      </c>
      <c r="M4119" s="22" t="s">
        <v>37160</v>
      </c>
    </row>
    <row r="4120" spans="1:13" x14ac:dyDescent="0.75">
      <c r="A4120" t="s">
        <v>7524</v>
      </c>
      <c r="B4120" t="s">
        <v>6155</v>
      </c>
      <c r="C4120" t="s">
        <v>6156</v>
      </c>
      <c r="D4120" t="s">
        <v>6157</v>
      </c>
      <c r="E4120" t="s">
        <v>7525</v>
      </c>
      <c r="F4120">
        <v>1</v>
      </c>
      <c r="G4120">
        <v>2250449</v>
      </c>
      <c r="H4120" t="s">
        <v>7526</v>
      </c>
      <c r="J4120" s="54" t="s">
        <v>6052</v>
      </c>
      <c r="K4120" s="54">
        <v>0</v>
      </c>
      <c r="L4120" s="22" t="s">
        <v>104</v>
      </c>
      <c r="M4120" s="22" t="s">
        <v>37160</v>
      </c>
    </row>
    <row r="4121" spans="1:13" x14ac:dyDescent="0.75">
      <c r="A4121" t="s">
        <v>12422</v>
      </c>
      <c r="B4121" t="s">
        <v>6155</v>
      </c>
      <c r="C4121" t="s">
        <v>6156</v>
      </c>
      <c r="D4121" t="s">
        <v>6157</v>
      </c>
      <c r="E4121" t="s">
        <v>12423</v>
      </c>
      <c r="F4121">
        <v>1</v>
      </c>
      <c r="G4121">
        <v>2173513</v>
      </c>
      <c r="H4121" t="s">
        <v>12424</v>
      </c>
      <c r="J4121" s="54" t="s">
        <v>6052</v>
      </c>
      <c r="K4121" s="54">
        <v>0</v>
      </c>
      <c r="L4121" s="22" t="s">
        <v>104</v>
      </c>
      <c r="M4121" s="22" t="s">
        <v>37160</v>
      </c>
    </row>
    <row r="4122" spans="1:13" x14ac:dyDescent="0.75">
      <c r="A4122" t="s">
        <v>12482</v>
      </c>
      <c r="B4122" t="s">
        <v>6155</v>
      </c>
      <c r="C4122" t="s">
        <v>6156</v>
      </c>
      <c r="D4122" t="s">
        <v>6157</v>
      </c>
      <c r="E4122" t="s">
        <v>12483</v>
      </c>
      <c r="F4122">
        <v>1</v>
      </c>
      <c r="G4122">
        <v>2169790</v>
      </c>
      <c r="H4122" t="s">
        <v>12484</v>
      </c>
      <c r="J4122" s="54" t="s">
        <v>6052</v>
      </c>
      <c r="K4122" s="54">
        <v>0</v>
      </c>
      <c r="L4122" s="22" t="s">
        <v>104</v>
      </c>
      <c r="M4122" s="22" t="s">
        <v>37160</v>
      </c>
    </row>
    <row r="4123" spans="1:13" x14ac:dyDescent="0.75">
      <c r="A4123" t="s">
        <v>12497</v>
      </c>
      <c r="B4123" t="s">
        <v>6155</v>
      </c>
      <c r="C4123" t="s">
        <v>6156</v>
      </c>
      <c r="D4123" t="s">
        <v>6157</v>
      </c>
      <c r="E4123" t="s">
        <v>12498</v>
      </c>
      <c r="F4123">
        <v>1</v>
      </c>
      <c r="G4123">
        <v>2193742</v>
      </c>
      <c r="H4123" t="s">
        <v>12499</v>
      </c>
      <c r="J4123" s="54" t="s">
        <v>6052</v>
      </c>
      <c r="K4123" s="54">
        <v>0</v>
      </c>
      <c r="L4123" s="22" t="s">
        <v>104</v>
      </c>
      <c r="M4123" s="22" t="s">
        <v>37160</v>
      </c>
    </row>
    <row r="4124" spans="1:13" x14ac:dyDescent="0.75">
      <c r="A4124" t="s">
        <v>12500</v>
      </c>
      <c r="B4124" t="s">
        <v>6155</v>
      </c>
      <c r="C4124" t="s">
        <v>6156</v>
      </c>
      <c r="D4124" t="s">
        <v>6157</v>
      </c>
      <c r="E4124" t="s">
        <v>12501</v>
      </c>
      <c r="F4124">
        <v>1</v>
      </c>
      <c r="G4124">
        <v>2162376</v>
      </c>
      <c r="H4124" t="s">
        <v>12502</v>
      </c>
      <c r="J4124" s="54" t="s">
        <v>6052</v>
      </c>
      <c r="K4124" s="54">
        <v>0</v>
      </c>
      <c r="L4124" s="22" t="s">
        <v>104</v>
      </c>
      <c r="M4124" s="22" t="s">
        <v>37160</v>
      </c>
    </row>
    <row r="4125" spans="1:13" x14ac:dyDescent="0.75">
      <c r="A4125" t="s">
        <v>12425</v>
      </c>
      <c r="B4125" t="s">
        <v>6155</v>
      </c>
      <c r="C4125" t="s">
        <v>6156</v>
      </c>
      <c r="D4125" t="s">
        <v>6157</v>
      </c>
      <c r="E4125" t="s">
        <v>12426</v>
      </c>
      <c r="F4125">
        <v>1</v>
      </c>
      <c r="G4125">
        <v>2162199</v>
      </c>
      <c r="H4125" t="s">
        <v>12427</v>
      </c>
      <c r="J4125" s="54" t="s">
        <v>6052</v>
      </c>
      <c r="K4125" s="54">
        <v>0</v>
      </c>
      <c r="L4125" s="22" t="s">
        <v>104</v>
      </c>
      <c r="M4125" s="22" t="s">
        <v>37160</v>
      </c>
    </row>
    <row r="4126" spans="1:13" x14ac:dyDescent="0.75">
      <c r="A4126" t="s">
        <v>12458</v>
      </c>
      <c r="B4126" t="s">
        <v>6155</v>
      </c>
      <c r="C4126" t="s">
        <v>6156</v>
      </c>
      <c r="D4126" t="s">
        <v>6157</v>
      </c>
      <c r="E4126" t="s">
        <v>12459</v>
      </c>
      <c r="F4126">
        <v>1</v>
      </c>
      <c r="G4126">
        <v>2154341</v>
      </c>
      <c r="H4126" t="s">
        <v>12460</v>
      </c>
      <c r="J4126" s="54" t="s">
        <v>6052</v>
      </c>
      <c r="K4126" s="54">
        <v>0</v>
      </c>
      <c r="L4126" s="22" t="s">
        <v>104</v>
      </c>
      <c r="M4126" s="22" t="s">
        <v>37160</v>
      </c>
    </row>
    <row r="4127" spans="1:13" x14ac:dyDescent="0.75">
      <c r="A4127" t="s">
        <v>12416</v>
      </c>
      <c r="B4127" t="s">
        <v>6155</v>
      </c>
      <c r="C4127" t="s">
        <v>6156</v>
      </c>
      <c r="D4127" t="s">
        <v>6157</v>
      </c>
      <c r="E4127" t="s">
        <v>12417</v>
      </c>
      <c r="F4127">
        <v>1</v>
      </c>
      <c r="G4127">
        <v>2161510</v>
      </c>
      <c r="H4127" t="s">
        <v>12418</v>
      </c>
      <c r="J4127" s="54" t="s">
        <v>6052</v>
      </c>
      <c r="K4127" s="54">
        <v>0</v>
      </c>
      <c r="L4127" s="22" t="s">
        <v>104</v>
      </c>
      <c r="M4127" s="22" t="s">
        <v>37160</v>
      </c>
    </row>
    <row r="4128" spans="1:13" x14ac:dyDescent="0.75">
      <c r="A4128" t="s">
        <v>10697</v>
      </c>
      <c r="B4128" t="s">
        <v>6155</v>
      </c>
      <c r="C4128" t="s">
        <v>6156</v>
      </c>
      <c r="D4128" t="s">
        <v>6157</v>
      </c>
      <c r="E4128" t="s">
        <v>10698</v>
      </c>
      <c r="F4128">
        <v>1</v>
      </c>
      <c r="G4128">
        <v>2183230</v>
      </c>
      <c r="H4128" t="s">
        <v>10699</v>
      </c>
      <c r="J4128" s="54" t="s">
        <v>6052</v>
      </c>
      <c r="K4128" s="54">
        <v>0</v>
      </c>
      <c r="L4128" s="22" t="s">
        <v>104</v>
      </c>
      <c r="M4128" s="22" t="s">
        <v>37160</v>
      </c>
    </row>
    <row r="4129" spans="1:13" x14ac:dyDescent="0.75">
      <c r="A4129" t="s">
        <v>12407</v>
      </c>
      <c r="B4129" t="s">
        <v>6155</v>
      </c>
      <c r="C4129" t="s">
        <v>6156</v>
      </c>
      <c r="D4129" t="s">
        <v>6157</v>
      </c>
      <c r="E4129" t="s">
        <v>12408</v>
      </c>
      <c r="F4129">
        <v>1</v>
      </c>
      <c r="G4129">
        <v>2173879</v>
      </c>
      <c r="H4129" t="s">
        <v>12409</v>
      </c>
      <c r="J4129" s="54" t="s">
        <v>6052</v>
      </c>
      <c r="K4129" s="54">
        <v>0</v>
      </c>
      <c r="L4129" s="22" t="s">
        <v>104</v>
      </c>
      <c r="M4129" s="22" t="s">
        <v>37160</v>
      </c>
    </row>
    <row r="4130" spans="1:13" x14ac:dyDescent="0.75">
      <c r="A4130" t="s">
        <v>15365</v>
      </c>
      <c r="B4130" t="s">
        <v>6155</v>
      </c>
      <c r="C4130" t="s">
        <v>6156</v>
      </c>
      <c r="D4130" t="s">
        <v>6157</v>
      </c>
      <c r="E4130" t="s">
        <v>15366</v>
      </c>
      <c r="F4130">
        <v>1</v>
      </c>
      <c r="G4130">
        <v>2280611</v>
      </c>
      <c r="H4130" t="s">
        <v>15367</v>
      </c>
      <c r="J4130" s="54" t="s">
        <v>6052</v>
      </c>
      <c r="K4130" s="54">
        <v>0</v>
      </c>
      <c r="L4130" s="22" t="s">
        <v>104</v>
      </c>
      <c r="M4130" s="22" t="s">
        <v>37160</v>
      </c>
    </row>
    <row r="4131" spans="1:13" x14ac:dyDescent="0.75">
      <c r="A4131" t="s">
        <v>14624</v>
      </c>
      <c r="B4131" t="s">
        <v>6155</v>
      </c>
      <c r="C4131" t="s">
        <v>6156</v>
      </c>
      <c r="D4131" t="s">
        <v>6157</v>
      </c>
      <c r="E4131" t="s">
        <v>14625</v>
      </c>
      <c r="F4131">
        <v>1</v>
      </c>
      <c r="G4131">
        <v>2203850</v>
      </c>
      <c r="H4131" t="s">
        <v>14626</v>
      </c>
      <c r="J4131" s="54" t="s">
        <v>6052</v>
      </c>
      <c r="K4131" s="54">
        <v>0</v>
      </c>
      <c r="L4131" s="22" t="s">
        <v>104</v>
      </c>
      <c r="M4131" s="22" t="s">
        <v>37160</v>
      </c>
    </row>
    <row r="4132" spans="1:13" x14ac:dyDescent="0.75">
      <c r="A4132" t="s">
        <v>15359</v>
      </c>
      <c r="B4132" t="s">
        <v>6155</v>
      </c>
      <c r="C4132" t="s">
        <v>6156</v>
      </c>
      <c r="D4132" t="s">
        <v>6157</v>
      </c>
      <c r="E4132" t="s">
        <v>15360</v>
      </c>
      <c r="F4132">
        <v>1</v>
      </c>
      <c r="G4132">
        <v>2207023</v>
      </c>
      <c r="H4132" t="s">
        <v>15361</v>
      </c>
      <c r="J4132" s="54" t="s">
        <v>6052</v>
      </c>
      <c r="K4132" s="54">
        <v>0</v>
      </c>
      <c r="L4132" s="22" t="s">
        <v>104</v>
      </c>
      <c r="M4132" s="22" t="s">
        <v>37160</v>
      </c>
    </row>
    <row r="4133" spans="1:13" x14ac:dyDescent="0.75">
      <c r="A4133" t="s">
        <v>15347</v>
      </c>
      <c r="B4133" t="s">
        <v>6155</v>
      </c>
      <c r="C4133" t="s">
        <v>6156</v>
      </c>
      <c r="D4133" t="s">
        <v>6157</v>
      </c>
      <c r="E4133" t="s">
        <v>15348</v>
      </c>
      <c r="F4133">
        <v>1</v>
      </c>
      <c r="G4133">
        <v>2188300</v>
      </c>
      <c r="H4133" t="s">
        <v>15349</v>
      </c>
      <c r="J4133" s="54" t="s">
        <v>6052</v>
      </c>
      <c r="K4133" s="54">
        <v>0</v>
      </c>
      <c r="L4133" s="22" t="s">
        <v>104</v>
      </c>
      <c r="M4133" s="22" t="s">
        <v>37160</v>
      </c>
    </row>
    <row r="4134" spans="1:13" x14ac:dyDescent="0.75">
      <c r="A4134" t="s">
        <v>12419</v>
      </c>
      <c r="B4134" t="s">
        <v>6155</v>
      </c>
      <c r="C4134" t="s">
        <v>6156</v>
      </c>
      <c r="D4134" t="s">
        <v>6157</v>
      </c>
      <c r="E4134" t="s">
        <v>12420</v>
      </c>
      <c r="F4134">
        <v>1</v>
      </c>
      <c r="G4134">
        <v>2172699</v>
      </c>
      <c r="H4134" t="s">
        <v>12421</v>
      </c>
      <c r="J4134" s="54" t="s">
        <v>6052</v>
      </c>
      <c r="K4134" s="54">
        <v>0</v>
      </c>
      <c r="L4134" s="22" t="s">
        <v>104</v>
      </c>
      <c r="M4134" s="22" t="s">
        <v>37160</v>
      </c>
    </row>
    <row r="4135" spans="1:13" x14ac:dyDescent="0.75">
      <c r="A4135" t="s">
        <v>15362</v>
      </c>
      <c r="B4135" t="s">
        <v>6155</v>
      </c>
      <c r="C4135" t="s">
        <v>6156</v>
      </c>
      <c r="D4135" t="s">
        <v>6157</v>
      </c>
      <c r="E4135" t="s">
        <v>15363</v>
      </c>
      <c r="F4135">
        <v>1</v>
      </c>
      <c r="G4135">
        <v>2239545</v>
      </c>
      <c r="H4135" t="s">
        <v>15364</v>
      </c>
      <c r="J4135" s="54" t="s">
        <v>6052</v>
      </c>
      <c r="K4135" s="54">
        <v>0</v>
      </c>
      <c r="L4135" s="22" t="s">
        <v>104</v>
      </c>
      <c r="M4135" s="22" t="s">
        <v>37160</v>
      </c>
    </row>
    <row r="4136" spans="1:13" x14ac:dyDescent="0.75">
      <c r="A4136" t="s">
        <v>12404</v>
      </c>
      <c r="B4136" t="s">
        <v>6155</v>
      </c>
      <c r="C4136" t="s">
        <v>6156</v>
      </c>
      <c r="D4136" t="s">
        <v>6157</v>
      </c>
      <c r="E4136" t="s">
        <v>12405</v>
      </c>
      <c r="F4136">
        <v>1</v>
      </c>
      <c r="G4136">
        <v>2173408</v>
      </c>
      <c r="H4136" t="s">
        <v>12406</v>
      </c>
      <c r="J4136" s="54" t="s">
        <v>6052</v>
      </c>
      <c r="K4136" s="54">
        <v>0</v>
      </c>
      <c r="L4136" s="22" t="s">
        <v>104</v>
      </c>
      <c r="M4136" s="22" t="s">
        <v>37160</v>
      </c>
    </row>
    <row r="4137" spans="1:13" x14ac:dyDescent="0.75">
      <c r="A4137" t="s">
        <v>12452</v>
      </c>
      <c r="B4137" t="s">
        <v>6155</v>
      </c>
      <c r="C4137" t="s">
        <v>6156</v>
      </c>
      <c r="D4137" t="s">
        <v>6157</v>
      </c>
      <c r="E4137" t="s">
        <v>12453</v>
      </c>
      <c r="F4137">
        <v>1</v>
      </c>
      <c r="G4137">
        <v>2172888</v>
      </c>
      <c r="H4137" t="s">
        <v>12454</v>
      </c>
      <c r="J4137" s="54" t="s">
        <v>6052</v>
      </c>
      <c r="K4137" s="54">
        <v>0</v>
      </c>
      <c r="L4137" s="22" t="s">
        <v>104</v>
      </c>
      <c r="M4137" s="22" t="s">
        <v>37160</v>
      </c>
    </row>
    <row r="4138" spans="1:13" x14ac:dyDescent="0.75">
      <c r="A4138" t="s">
        <v>12434</v>
      </c>
      <c r="B4138" t="s">
        <v>6155</v>
      </c>
      <c r="C4138" t="s">
        <v>6156</v>
      </c>
      <c r="D4138" t="s">
        <v>6157</v>
      </c>
      <c r="E4138" t="s">
        <v>12435</v>
      </c>
      <c r="F4138">
        <v>1</v>
      </c>
      <c r="G4138">
        <v>2163399</v>
      </c>
      <c r="H4138" t="s">
        <v>12436</v>
      </c>
      <c r="J4138" s="54" t="s">
        <v>6052</v>
      </c>
      <c r="K4138" s="54">
        <v>0</v>
      </c>
      <c r="L4138" s="22" t="s">
        <v>104</v>
      </c>
      <c r="M4138" s="22" t="s">
        <v>37160</v>
      </c>
    </row>
    <row r="4139" spans="1:13" x14ac:dyDescent="0.75">
      <c r="A4139" t="s">
        <v>12428</v>
      </c>
      <c r="B4139" t="s">
        <v>6155</v>
      </c>
      <c r="C4139" t="s">
        <v>6156</v>
      </c>
      <c r="D4139" t="s">
        <v>6157</v>
      </c>
      <c r="E4139" t="s">
        <v>12429</v>
      </c>
      <c r="F4139">
        <v>1</v>
      </c>
      <c r="G4139">
        <v>2157503</v>
      </c>
      <c r="H4139" t="s">
        <v>12430</v>
      </c>
      <c r="J4139" s="54" t="s">
        <v>6052</v>
      </c>
      <c r="K4139" s="54">
        <v>0</v>
      </c>
      <c r="L4139" s="22" t="s">
        <v>104</v>
      </c>
      <c r="M4139" s="22" t="s">
        <v>37160</v>
      </c>
    </row>
    <row r="4140" spans="1:13" x14ac:dyDescent="0.75">
      <c r="A4140" t="s">
        <v>12467</v>
      </c>
      <c r="B4140" t="s">
        <v>6155</v>
      </c>
      <c r="C4140" t="s">
        <v>6156</v>
      </c>
      <c r="D4140" t="s">
        <v>6157</v>
      </c>
      <c r="E4140" t="s">
        <v>12468</v>
      </c>
      <c r="F4140">
        <v>1</v>
      </c>
      <c r="G4140">
        <v>2168308</v>
      </c>
      <c r="H4140" t="s">
        <v>12469</v>
      </c>
      <c r="J4140" s="54" t="s">
        <v>6052</v>
      </c>
      <c r="K4140" s="54">
        <v>0</v>
      </c>
      <c r="L4140" s="22" t="s">
        <v>104</v>
      </c>
      <c r="M4140" s="22" t="s">
        <v>37160</v>
      </c>
    </row>
    <row r="4141" spans="1:13" x14ac:dyDescent="0.75">
      <c r="A4141" t="s">
        <v>12431</v>
      </c>
      <c r="B4141" t="s">
        <v>6155</v>
      </c>
      <c r="C4141" t="s">
        <v>6156</v>
      </c>
      <c r="D4141" t="s">
        <v>6157</v>
      </c>
      <c r="E4141" t="s">
        <v>12432</v>
      </c>
      <c r="F4141">
        <v>1</v>
      </c>
      <c r="G4141">
        <v>2168495</v>
      </c>
      <c r="H4141" t="s">
        <v>12433</v>
      </c>
      <c r="J4141" s="54" t="s">
        <v>6052</v>
      </c>
      <c r="K4141" s="54">
        <v>0</v>
      </c>
      <c r="L4141" s="22" t="s">
        <v>104</v>
      </c>
      <c r="M4141" s="22" t="s">
        <v>37160</v>
      </c>
    </row>
    <row r="4142" spans="1:13" x14ac:dyDescent="0.75">
      <c r="A4142" t="s">
        <v>12473</v>
      </c>
      <c r="B4142" t="s">
        <v>6155</v>
      </c>
      <c r="C4142" t="s">
        <v>6156</v>
      </c>
      <c r="D4142" t="s">
        <v>6157</v>
      </c>
      <c r="E4142" t="s">
        <v>12474</v>
      </c>
      <c r="F4142">
        <v>1</v>
      </c>
      <c r="G4142">
        <v>2180570</v>
      </c>
      <c r="H4142" t="s">
        <v>12475</v>
      </c>
      <c r="J4142" s="54" t="s">
        <v>6052</v>
      </c>
      <c r="K4142" s="54">
        <v>0</v>
      </c>
      <c r="L4142" s="22" t="s">
        <v>104</v>
      </c>
      <c r="M4142" s="22" t="s">
        <v>37160</v>
      </c>
    </row>
    <row r="4143" spans="1:13" x14ac:dyDescent="0.75">
      <c r="A4143" t="s">
        <v>12440</v>
      </c>
      <c r="B4143" t="s">
        <v>6155</v>
      </c>
      <c r="C4143" t="s">
        <v>6156</v>
      </c>
      <c r="D4143" t="s">
        <v>6157</v>
      </c>
      <c r="E4143" t="s">
        <v>12441</v>
      </c>
      <c r="F4143">
        <v>1</v>
      </c>
      <c r="G4143">
        <v>2172426</v>
      </c>
      <c r="H4143" t="s">
        <v>12442</v>
      </c>
      <c r="J4143" s="54" t="s">
        <v>6052</v>
      </c>
      <c r="K4143" s="54">
        <v>0</v>
      </c>
      <c r="L4143" s="22" t="s">
        <v>104</v>
      </c>
      <c r="M4143" s="22" t="s">
        <v>37160</v>
      </c>
    </row>
    <row r="4144" spans="1:13" x14ac:dyDescent="0.75">
      <c r="A4144" t="s">
        <v>12443</v>
      </c>
      <c r="B4144" t="s">
        <v>6155</v>
      </c>
      <c r="C4144" t="s">
        <v>6156</v>
      </c>
      <c r="D4144" t="s">
        <v>6157</v>
      </c>
      <c r="E4144" t="s">
        <v>12444</v>
      </c>
      <c r="F4144">
        <v>1</v>
      </c>
      <c r="G4144">
        <v>2174791</v>
      </c>
      <c r="H4144" t="s">
        <v>12445</v>
      </c>
      <c r="J4144" s="54" t="s">
        <v>6052</v>
      </c>
      <c r="K4144" s="54">
        <v>0</v>
      </c>
      <c r="L4144" s="22" t="s">
        <v>104</v>
      </c>
      <c r="M4144" s="22" t="s">
        <v>37160</v>
      </c>
    </row>
    <row r="4145" spans="1:13" x14ac:dyDescent="0.75">
      <c r="A4145" t="s">
        <v>12413</v>
      </c>
      <c r="B4145" t="s">
        <v>6155</v>
      </c>
      <c r="C4145" t="s">
        <v>6156</v>
      </c>
      <c r="D4145" t="s">
        <v>6157</v>
      </c>
      <c r="E4145" t="s">
        <v>12414</v>
      </c>
      <c r="F4145">
        <v>1</v>
      </c>
      <c r="G4145">
        <v>2182171</v>
      </c>
      <c r="H4145" t="s">
        <v>12415</v>
      </c>
      <c r="J4145" s="54" t="s">
        <v>6052</v>
      </c>
      <c r="K4145" s="54">
        <v>0</v>
      </c>
      <c r="L4145" s="22" t="s">
        <v>104</v>
      </c>
      <c r="M4145" s="22" t="s">
        <v>37160</v>
      </c>
    </row>
    <row r="4146" spans="1:13" x14ac:dyDescent="0.75">
      <c r="A4146" t="s">
        <v>15353</v>
      </c>
      <c r="B4146" t="s">
        <v>6155</v>
      </c>
      <c r="C4146" t="s">
        <v>6156</v>
      </c>
      <c r="D4146" t="s">
        <v>6157</v>
      </c>
      <c r="E4146" t="s">
        <v>15354</v>
      </c>
      <c r="F4146">
        <v>1</v>
      </c>
      <c r="G4146">
        <v>2190201</v>
      </c>
      <c r="H4146" t="s">
        <v>15355</v>
      </c>
      <c r="J4146" s="54" t="s">
        <v>6052</v>
      </c>
      <c r="K4146" s="54">
        <v>0</v>
      </c>
      <c r="L4146" s="22" t="s">
        <v>104</v>
      </c>
      <c r="M4146" s="22" t="s">
        <v>37160</v>
      </c>
    </row>
    <row r="4147" spans="1:13" x14ac:dyDescent="0.75">
      <c r="A4147" t="s">
        <v>12410</v>
      </c>
      <c r="B4147" t="s">
        <v>6155</v>
      </c>
      <c r="C4147" t="s">
        <v>6156</v>
      </c>
      <c r="D4147" t="s">
        <v>6157</v>
      </c>
      <c r="E4147" t="s">
        <v>12411</v>
      </c>
      <c r="F4147">
        <v>1</v>
      </c>
      <c r="G4147">
        <v>2173686</v>
      </c>
      <c r="H4147" t="s">
        <v>12412</v>
      </c>
      <c r="J4147" s="54" t="s">
        <v>6052</v>
      </c>
      <c r="K4147" s="54">
        <v>0</v>
      </c>
      <c r="L4147" s="22" t="s">
        <v>104</v>
      </c>
      <c r="M4147" s="22" t="s">
        <v>37160</v>
      </c>
    </row>
    <row r="4148" spans="1:13" x14ac:dyDescent="0.75">
      <c r="A4148" t="s">
        <v>12494</v>
      </c>
      <c r="B4148" t="s">
        <v>6155</v>
      </c>
      <c r="C4148" t="s">
        <v>6156</v>
      </c>
      <c r="D4148" t="s">
        <v>6157</v>
      </c>
      <c r="E4148" t="s">
        <v>12495</v>
      </c>
      <c r="F4148">
        <v>1</v>
      </c>
      <c r="G4148">
        <v>2173901</v>
      </c>
      <c r="H4148" t="s">
        <v>12496</v>
      </c>
      <c r="J4148" s="54" t="s">
        <v>6052</v>
      </c>
      <c r="K4148" s="54">
        <v>0</v>
      </c>
      <c r="L4148" s="22" t="s">
        <v>104</v>
      </c>
      <c r="M4148" s="22" t="s">
        <v>37160</v>
      </c>
    </row>
    <row r="4149" spans="1:13" x14ac:dyDescent="0.75">
      <c r="A4149" t="s">
        <v>12476</v>
      </c>
      <c r="B4149" t="s">
        <v>6155</v>
      </c>
      <c r="C4149" t="s">
        <v>6156</v>
      </c>
      <c r="D4149" t="s">
        <v>6157</v>
      </c>
      <c r="E4149" t="s">
        <v>12477</v>
      </c>
      <c r="F4149">
        <v>1</v>
      </c>
      <c r="G4149">
        <v>2172926</v>
      </c>
      <c r="H4149" t="s">
        <v>12478</v>
      </c>
      <c r="J4149" s="54" t="s">
        <v>6052</v>
      </c>
      <c r="K4149" s="54">
        <v>0</v>
      </c>
      <c r="L4149" s="22" t="s">
        <v>104</v>
      </c>
      <c r="M4149" s="22" t="s">
        <v>37160</v>
      </c>
    </row>
    <row r="4150" spans="1:13" x14ac:dyDescent="0.75">
      <c r="A4150" t="s">
        <v>15356</v>
      </c>
      <c r="B4150" t="s">
        <v>6155</v>
      </c>
      <c r="C4150" t="s">
        <v>6156</v>
      </c>
      <c r="D4150" t="s">
        <v>6157</v>
      </c>
      <c r="E4150" t="s">
        <v>15357</v>
      </c>
      <c r="F4150">
        <v>1</v>
      </c>
      <c r="G4150">
        <v>2291778</v>
      </c>
      <c r="H4150" t="s">
        <v>15358</v>
      </c>
      <c r="J4150" s="54" t="s">
        <v>6052</v>
      </c>
      <c r="K4150" s="54">
        <v>0</v>
      </c>
      <c r="L4150" s="22" t="s">
        <v>104</v>
      </c>
      <c r="M4150" s="22" t="s">
        <v>37160</v>
      </c>
    </row>
    <row r="4151" spans="1:13" x14ac:dyDescent="0.75">
      <c r="A4151" t="s">
        <v>12449</v>
      </c>
      <c r="B4151" t="s">
        <v>6155</v>
      </c>
      <c r="C4151" t="s">
        <v>6156</v>
      </c>
      <c r="D4151" t="s">
        <v>6157</v>
      </c>
      <c r="E4151" t="s">
        <v>12450</v>
      </c>
      <c r="F4151">
        <v>1</v>
      </c>
      <c r="G4151">
        <v>2173723</v>
      </c>
      <c r="H4151" t="s">
        <v>12451</v>
      </c>
      <c r="J4151" s="54" t="s">
        <v>6052</v>
      </c>
      <c r="K4151" s="54">
        <v>0</v>
      </c>
      <c r="L4151" s="22" t="s">
        <v>104</v>
      </c>
      <c r="M4151" s="22" t="s">
        <v>37160</v>
      </c>
    </row>
    <row r="4152" spans="1:13" x14ac:dyDescent="0.75">
      <c r="A4152" t="s">
        <v>12503</v>
      </c>
      <c r="B4152" t="s">
        <v>6155</v>
      </c>
      <c r="C4152" t="s">
        <v>6156</v>
      </c>
      <c r="D4152" t="s">
        <v>6157</v>
      </c>
      <c r="E4152" t="s">
        <v>12504</v>
      </c>
      <c r="F4152">
        <v>1</v>
      </c>
      <c r="G4152">
        <v>2175832</v>
      </c>
      <c r="H4152" t="s">
        <v>12505</v>
      </c>
      <c r="J4152" s="54" t="s">
        <v>6052</v>
      </c>
      <c r="K4152" s="54">
        <v>0</v>
      </c>
      <c r="L4152" s="22" t="s">
        <v>104</v>
      </c>
      <c r="M4152" s="22" t="s">
        <v>37160</v>
      </c>
    </row>
    <row r="4153" spans="1:13" x14ac:dyDescent="0.75">
      <c r="A4153" t="s">
        <v>12437</v>
      </c>
      <c r="B4153" t="s">
        <v>6155</v>
      </c>
      <c r="C4153" t="s">
        <v>6156</v>
      </c>
      <c r="D4153" t="s">
        <v>6157</v>
      </c>
      <c r="E4153" t="s">
        <v>12438</v>
      </c>
      <c r="F4153">
        <v>1</v>
      </c>
      <c r="G4153">
        <v>2175362</v>
      </c>
      <c r="H4153" t="s">
        <v>12439</v>
      </c>
      <c r="J4153" s="54" t="s">
        <v>6052</v>
      </c>
      <c r="K4153" s="54">
        <v>0</v>
      </c>
      <c r="L4153" s="22" t="s">
        <v>104</v>
      </c>
      <c r="M4153" s="22" t="s">
        <v>37160</v>
      </c>
    </row>
    <row r="4154" spans="1:13" x14ac:dyDescent="0.75">
      <c r="A4154" t="s">
        <v>12455</v>
      </c>
      <c r="B4154" t="s">
        <v>6155</v>
      </c>
      <c r="C4154" t="s">
        <v>6156</v>
      </c>
      <c r="D4154" t="s">
        <v>6157</v>
      </c>
      <c r="E4154" t="s">
        <v>12456</v>
      </c>
      <c r="F4154">
        <v>1</v>
      </c>
      <c r="G4154">
        <v>2168001</v>
      </c>
      <c r="H4154" t="s">
        <v>12457</v>
      </c>
      <c r="J4154" s="54" t="s">
        <v>6052</v>
      </c>
      <c r="K4154" s="54">
        <v>0</v>
      </c>
      <c r="L4154" s="22" t="s">
        <v>104</v>
      </c>
      <c r="M4154" s="22" t="s">
        <v>37160</v>
      </c>
    </row>
    <row r="4155" spans="1:13" x14ac:dyDescent="0.75">
      <c r="A4155" t="s">
        <v>12470</v>
      </c>
      <c r="B4155" t="s">
        <v>6155</v>
      </c>
      <c r="C4155" t="s">
        <v>6156</v>
      </c>
      <c r="D4155" t="s">
        <v>6157</v>
      </c>
      <c r="E4155" t="s">
        <v>12471</v>
      </c>
      <c r="F4155">
        <v>1</v>
      </c>
      <c r="G4155">
        <v>2167991</v>
      </c>
      <c r="H4155" t="s">
        <v>12472</v>
      </c>
      <c r="J4155" s="54" t="s">
        <v>6052</v>
      </c>
      <c r="K4155" s="54">
        <v>0</v>
      </c>
      <c r="L4155" s="22" t="s">
        <v>104</v>
      </c>
      <c r="M4155" s="22" t="s">
        <v>37160</v>
      </c>
    </row>
    <row r="4156" spans="1:13" x14ac:dyDescent="0.75">
      <c r="A4156" t="s">
        <v>12491</v>
      </c>
      <c r="B4156" t="s">
        <v>6155</v>
      </c>
      <c r="C4156" t="s">
        <v>6156</v>
      </c>
      <c r="D4156" t="s">
        <v>6157</v>
      </c>
      <c r="E4156" t="s">
        <v>12492</v>
      </c>
      <c r="F4156">
        <v>1</v>
      </c>
      <c r="G4156">
        <v>2189560</v>
      </c>
      <c r="H4156" t="s">
        <v>12493</v>
      </c>
      <c r="J4156" s="54" t="s">
        <v>6052</v>
      </c>
      <c r="K4156" s="54">
        <v>0</v>
      </c>
      <c r="L4156" s="22" t="s">
        <v>104</v>
      </c>
      <c r="M4156" s="22" t="s">
        <v>37160</v>
      </c>
    </row>
    <row r="4157" spans="1:13" x14ac:dyDescent="0.75">
      <c r="A4157" t="s">
        <v>12446</v>
      </c>
      <c r="B4157" t="s">
        <v>6155</v>
      </c>
      <c r="C4157" t="s">
        <v>6156</v>
      </c>
      <c r="D4157" t="s">
        <v>6157</v>
      </c>
      <c r="E4157" t="s">
        <v>12447</v>
      </c>
      <c r="F4157">
        <v>1</v>
      </c>
      <c r="G4157">
        <v>2171975</v>
      </c>
      <c r="H4157" t="s">
        <v>12448</v>
      </c>
      <c r="J4157" s="54" t="s">
        <v>6052</v>
      </c>
      <c r="K4157" s="54">
        <v>0</v>
      </c>
      <c r="L4157" s="22" t="s">
        <v>104</v>
      </c>
      <c r="M4157" s="22" t="s">
        <v>37160</v>
      </c>
    </row>
    <row r="4158" spans="1:13" x14ac:dyDescent="0.75">
      <c r="A4158" t="s">
        <v>12488</v>
      </c>
      <c r="B4158" t="s">
        <v>6155</v>
      </c>
      <c r="C4158" t="s">
        <v>6156</v>
      </c>
      <c r="D4158" t="s">
        <v>6157</v>
      </c>
      <c r="E4158" t="s">
        <v>12489</v>
      </c>
      <c r="F4158">
        <v>1</v>
      </c>
      <c r="G4158">
        <v>2173106</v>
      </c>
      <c r="H4158" t="s">
        <v>12490</v>
      </c>
      <c r="J4158" s="54" t="s">
        <v>6052</v>
      </c>
      <c r="K4158" s="54">
        <v>0</v>
      </c>
      <c r="L4158" s="22" t="s">
        <v>104</v>
      </c>
      <c r="M4158" s="22" t="s">
        <v>37160</v>
      </c>
    </row>
    <row r="4159" spans="1:13" x14ac:dyDescent="0.75">
      <c r="A4159" t="s">
        <v>12479</v>
      </c>
      <c r="B4159" t="s">
        <v>6155</v>
      </c>
      <c r="C4159" t="s">
        <v>6156</v>
      </c>
      <c r="D4159" t="s">
        <v>6157</v>
      </c>
      <c r="E4159" t="s">
        <v>12480</v>
      </c>
      <c r="F4159">
        <v>1</v>
      </c>
      <c r="G4159">
        <v>2173115</v>
      </c>
      <c r="H4159" t="s">
        <v>12481</v>
      </c>
      <c r="J4159" s="54" t="s">
        <v>6052</v>
      </c>
      <c r="K4159" s="54">
        <v>0</v>
      </c>
      <c r="L4159" s="22" t="s">
        <v>104</v>
      </c>
      <c r="M4159" s="22" t="s">
        <v>37160</v>
      </c>
    </row>
    <row r="4160" spans="1:13" x14ac:dyDescent="0.75">
      <c r="A4160" t="s">
        <v>12461</v>
      </c>
      <c r="B4160" t="s">
        <v>6155</v>
      </c>
      <c r="C4160" t="s">
        <v>6156</v>
      </c>
      <c r="D4160" t="s">
        <v>6157</v>
      </c>
      <c r="E4160" t="s">
        <v>12462</v>
      </c>
      <c r="F4160">
        <v>1</v>
      </c>
      <c r="G4160">
        <v>2174042</v>
      </c>
      <c r="H4160" t="s">
        <v>12463</v>
      </c>
      <c r="J4160" s="54" t="s">
        <v>6052</v>
      </c>
      <c r="K4160" s="54">
        <v>0</v>
      </c>
      <c r="L4160" s="22" t="s">
        <v>104</v>
      </c>
      <c r="M4160" s="22" t="s">
        <v>37160</v>
      </c>
    </row>
    <row r="4161" spans="1:13" x14ac:dyDescent="0.75">
      <c r="A4161" t="s">
        <v>12485</v>
      </c>
      <c r="B4161" t="s">
        <v>6155</v>
      </c>
      <c r="C4161" t="s">
        <v>6156</v>
      </c>
      <c r="D4161" t="s">
        <v>6157</v>
      </c>
      <c r="E4161" t="s">
        <v>12486</v>
      </c>
      <c r="F4161">
        <v>1</v>
      </c>
      <c r="G4161">
        <v>2168191</v>
      </c>
      <c r="H4161" t="s">
        <v>12487</v>
      </c>
      <c r="J4161" s="54" t="s">
        <v>6052</v>
      </c>
      <c r="K4161" s="54">
        <v>0</v>
      </c>
      <c r="L4161" s="22" t="s">
        <v>104</v>
      </c>
      <c r="M4161" s="22" t="s">
        <v>37160</v>
      </c>
    </row>
    <row r="4162" spans="1:13" x14ac:dyDescent="0.75">
      <c r="A4162" t="s">
        <v>15350</v>
      </c>
      <c r="B4162" t="s">
        <v>6155</v>
      </c>
      <c r="C4162" t="s">
        <v>6156</v>
      </c>
      <c r="D4162" t="s">
        <v>6157</v>
      </c>
      <c r="E4162" t="s">
        <v>15351</v>
      </c>
      <c r="F4162">
        <v>1</v>
      </c>
      <c r="G4162">
        <v>2264367</v>
      </c>
      <c r="H4162" t="s">
        <v>15352</v>
      </c>
      <c r="J4162" s="54" t="s">
        <v>6052</v>
      </c>
      <c r="K4162" s="54">
        <v>0</v>
      </c>
      <c r="L4162" s="22" t="s">
        <v>104</v>
      </c>
      <c r="M4162" s="22" t="s">
        <v>37160</v>
      </c>
    </row>
    <row r="4163" spans="1:13" x14ac:dyDescent="0.75">
      <c r="A4163" t="s">
        <v>14030</v>
      </c>
      <c r="B4163" t="s">
        <v>6155</v>
      </c>
      <c r="C4163" t="s">
        <v>6156</v>
      </c>
      <c r="D4163" t="s">
        <v>6157</v>
      </c>
      <c r="E4163" t="s">
        <v>14031</v>
      </c>
      <c r="F4163">
        <v>1</v>
      </c>
      <c r="G4163">
        <v>2247997</v>
      </c>
      <c r="H4163" t="s">
        <v>14032</v>
      </c>
      <c r="J4163" s="54" t="s">
        <v>6052</v>
      </c>
      <c r="K4163" s="54">
        <v>0</v>
      </c>
      <c r="L4163" s="22" t="s">
        <v>104</v>
      </c>
      <c r="M4163" s="22" t="s">
        <v>37160</v>
      </c>
    </row>
    <row r="4164" spans="1:13" x14ac:dyDescent="0.75">
      <c r="A4164" t="s">
        <v>12464</v>
      </c>
      <c r="B4164" t="s">
        <v>6155</v>
      </c>
      <c r="C4164" t="s">
        <v>6156</v>
      </c>
      <c r="D4164" t="s">
        <v>6157</v>
      </c>
      <c r="E4164" t="s">
        <v>12465</v>
      </c>
      <c r="F4164">
        <v>1</v>
      </c>
      <c r="G4164">
        <v>2173745</v>
      </c>
      <c r="H4164" t="s">
        <v>12466</v>
      </c>
      <c r="J4164" s="54" t="s">
        <v>6052</v>
      </c>
      <c r="K4164" s="54">
        <v>0</v>
      </c>
      <c r="L4164" s="22" t="s">
        <v>104</v>
      </c>
      <c r="M4164" s="22" t="s">
        <v>37160</v>
      </c>
    </row>
    <row r="4165" spans="1:13" x14ac:dyDescent="0.75">
      <c r="A4165" t="s">
        <v>10682</v>
      </c>
      <c r="B4165" t="s">
        <v>6155</v>
      </c>
      <c r="C4165" t="s">
        <v>6156</v>
      </c>
      <c r="D4165" t="s">
        <v>6157</v>
      </c>
      <c r="E4165" t="s">
        <v>10683</v>
      </c>
      <c r="F4165">
        <v>1</v>
      </c>
      <c r="G4165">
        <v>2179483</v>
      </c>
      <c r="H4165" t="s">
        <v>10684</v>
      </c>
      <c r="J4165" s="54" t="s">
        <v>6052</v>
      </c>
      <c r="K4165" s="54">
        <v>0</v>
      </c>
      <c r="L4165" s="22" t="s">
        <v>104</v>
      </c>
      <c r="M4165" s="22" t="s">
        <v>37160</v>
      </c>
    </row>
    <row r="4166" spans="1:13" x14ac:dyDescent="0.75">
      <c r="A4166" t="s">
        <v>6154</v>
      </c>
      <c r="B4166" t="s">
        <v>6155</v>
      </c>
      <c r="C4166" t="s">
        <v>6156</v>
      </c>
      <c r="D4166" t="s">
        <v>6157</v>
      </c>
      <c r="E4166" t="s">
        <v>6158</v>
      </c>
      <c r="F4166">
        <v>1</v>
      </c>
      <c r="G4166">
        <v>2272360</v>
      </c>
      <c r="H4166" t="s">
        <v>6159</v>
      </c>
      <c r="J4166" s="54" t="s">
        <v>6052</v>
      </c>
      <c r="K4166" s="54">
        <v>0</v>
      </c>
      <c r="L4166" s="22" t="s">
        <v>104</v>
      </c>
      <c r="M4166" s="22" t="s">
        <v>37160</v>
      </c>
    </row>
    <row r="4167" spans="1:13" x14ac:dyDescent="0.75">
      <c r="A4167" t="s">
        <v>21951</v>
      </c>
      <c r="B4167" t="s">
        <v>10951</v>
      </c>
      <c r="C4167" t="s">
        <v>6156</v>
      </c>
      <c r="D4167" t="s">
        <v>10952</v>
      </c>
      <c r="E4167">
        <v>10574</v>
      </c>
      <c r="F4167">
        <v>2</v>
      </c>
      <c r="G4167">
        <v>2218166</v>
      </c>
      <c r="H4167" t="s">
        <v>21952</v>
      </c>
      <c r="J4167" s="54" t="s">
        <v>6052</v>
      </c>
      <c r="K4167" s="54">
        <v>0</v>
      </c>
      <c r="L4167" s="22" t="s">
        <v>36804</v>
      </c>
      <c r="M4167" s="22" t="s">
        <v>37162</v>
      </c>
    </row>
    <row r="4168" spans="1:13" x14ac:dyDescent="0.75">
      <c r="A4168" t="s">
        <v>24126</v>
      </c>
      <c r="B4168" t="s">
        <v>10951</v>
      </c>
      <c r="C4168" t="s">
        <v>6156</v>
      </c>
      <c r="D4168" t="s">
        <v>10952</v>
      </c>
      <c r="E4168">
        <v>10612</v>
      </c>
      <c r="F4168">
        <v>2</v>
      </c>
      <c r="G4168">
        <v>2225204</v>
      </c>
      <c r="H4168" t="s">
        <v>24127</v>
      </c>
      <c r="J4168" s="54" t="s">
        <v>6052</v>
      </c>
      <c r="K4168" s="54">
        <v>0</v>
      </c>
      <c r="L4168" s="22" t="s">
        <v>36804</v>
      </c>
      <c r="M4168" s="22" t="s">
        <v>37162</v>
      </c>
    </row>
    <row r="4169" spans="1:13" x14ac:dyDescent="0.75">
      <c r="A4169" t="s">
        <v>24124</v>
      </c>
      <c r="B4169" t="s">
        <v>10951</v>
      </c>
      <c r="C4169" t="s">
        <v>6156</v>
      </c>
      <c r="D4169" t="s">
        <v>10952</v>
      </c>
      <c r="E4169">
        <v>10720</v>
      </c>
      <c r="F4169">
        <v>2</v>
      </c>
      <c r="G4169">
        <v>2224044</v>
      </c>
      <c r="H4169" t="s">
        <v>24125</v>
      </c>
      <c r="J4169" s="54" t="s">
        <v>6052</v>
      </c>
      <c r="K4169" s="54">
        <v>0</v>
      </c>
      <c r="L4169" s="22" t="s">
        <v>36804</v>
      </c>
      <c r="M4169" s="22" t="s">
        <v>37162</v>
      </c>
    </row>
    <row r="4170" spans="1:13" x14ac:dyDescent="0.75">
      <c r="A4170" t="s">
        <v>28030</v>
      </c>
      <c r="B4170" t="s">
        <v>6155</v>
      </c>
      <c r="C4170" t="s">
        <v>6156</v>
      </c>
      <c r="D4170" t="s">
        <v>6157</v>
      </c>
      <c r="E4170" t="s">
        <v>28031</v>
      </c>
      <c r="F4170">
        <v>1</v>
      </c>
      <c r="G4170">
        <v>2186098</v>
      </c>
      <c r="H4170" t="s">
        <v>28032</v>
      </c>
      <c r="J4170" s="54" t="s">
        <v>6052</v>
      </c>
      <c r="K4170" s="54">
        <v>0</v>
      </c>
      <c r="L4170" s="22" t="s">
        <v>104</v>
      </c>
      <c r="M4170" s="22" t="s">
        <v>37160</v>
      </c>
    </row>
    <row r="4171" spans="1:13" x14ac:dyDescent="0.75">
      <c r="A4171" t="s">
        <v>20481</v>
      </c>
      <c r="B4171" t="s">
        <v>6155</v>
      </c>
      <c r="C4171" t="s">
        <v>6156</v>
      </c>
      <c r="D4171" t="s">
        <v>6157</v>
      </c>
      <c r="E4171" t="s">
        <v>20482</v>
      </c>
      <c r="F4171">
        <v>1</v>
      </c>
      <c r="G4171">
        <v>2158475</v>
      </c>
      <c r="H4171" t="s">
        <v>20483</v>
      </c>
      <c r="J4171" s="54" t="s">
        <v>6052</v>
      </c>
      <c r="K4171" s="54">
        <v>0</v>
      </c>
      <c r="L4171" s="22" t="s">
        <v>104</v>
      </c>
      <c r="M4171" s="22" t="s">
        <v>37160</v>
      </c>
    </row>
    <row r="4172" spans="1:13" x14ac:dyDescent="0.75">
      <c r="A4172" t="s">
        <v>10688</v>
      </c>
      <c r="B4172" t="s">
        <v>6155</v>
      </c>
      <c r="C4172" t="s">
        <v>6156</v>
      </c>
      <c r="D4172" t="s">
        <v>6157</v>
      </c>
      <c r="E4172" t="s">
        <v>10689</v>
      </c>
      <c r="F4172">
        <v>1</v>
      </c>
      <c r="G4172">
        <v>2196674</v>
      </c>
      <c r="H4172" t="s">
        <v>10690</v>
      </c>
      <c r="J4172" s="54" t="s">
        <v>6052</v>
      </c>
      <c r="K4172" s="54">
        <v>0</v>
      </c>
      <c r="L4172" s="22" t="s">
        <v>104</v>
      </c>
      <c r="M4172" s="22" t="s">
        <v>37160</v>
      </c>
    </row>
    <row r="4173" spans="1:13" x14ac:dyDescent="0.75">
      <c r="A4173" t="s">
        <v>10694</v>
      </c>
      <c r="B4173" t="s">
        <v>6155</v>
      </c>
      <c r="C4173" t="s">
        <v>6156</v>
      </c>
      <c r="D4173" t="s">
        <v>6157</v>
      </c>
      <c r="E4173" t="s">
        <v>10695</v>
      </c>
      <c r="F4173">
        <v>1</v>
      </c>
      <c r="G4173">
        <v>2199215</v>
      </c>
      <c r="H4173" t="s">
        <v>10696</v>
      </c>
      <c r="J4173" s="54" t="s">
        <v>6052</v>
      </c>
      <c r="K4173" s="54">
        <v>0</v>
      </c>
      <c r="L4173" s="22" t="s">
        <v>104</v>
      </c>
      <c r="M4173" s="22" t="s">
        <v>37160</v>
      </c>
    </row>
    <row r="4174" spans="1:13" x14ac:dyDescent="0.75">
      <c r="A4174" t="s">
        <v>10679</v>
      </c>
      <c r="B4174" t="s">
        <v>6155</v>
      </c>
      <c r="C4174" t="s">
        <v>6156</v>
      </c>
      <c r="D4174" t="s">
        <v>6157</v>
      </c>
      <c r="E4174" t="s">
        <v>10680</v>
      </c>
      <c r="F4174">
        <v>1</v>
      </c>
      <c r="G4174">
        <v>2195266</v>
      </c>
      <c r="H4174" t="s">
        <v>10681</v>
      </c>
      <c r="J4174" s="54" t="s">
        <v>6052</v>
      </c>
      <c r="K4174" s="54">
        <v>0</v>
      </c>
      <c r="L4174" s="22" t="s">
        <v>104</v>
      </c>
      <c r="M4174" s="22" t="s">
        <v>37160</v>
      </c>
    </row>
    <row r="4175" spans="1:13" x14ac:dyDescent="0.75">
      <c r="A4175" t="s">
        <v>7527</v>
      </c>
      <c r="B4175" t="s">
        <v>6155</v>
      </c>
      <c r="C4175" t="s">
        <v>6156</v>
      </c>
      <c r="D4175" t="s">
        <v>6157</v>
      </c>
      <c r="E4175" t="s">
        <v>7528</v>
      </c>
      <c r="F4175">
        <v>1</v>
      </c>
      <c r="G4175">
        <v>2248966</v>
      </c>
      <c r="H4175" t="s">
        <v>7529</v>
      </c>
      <c r="J4175" s="54" t="s">
        <v>6052</v>
      </c>
      <c r="K4175" s="54">
        <v>0</v>
      </c>
      <c r="L4175" s="22" t="s">
        <v>104</v>
      </c>
      <c r="M4175" s="22" t="s">
        <v>37160</v>
      </c>
    </row>
    <row r="4176" spans="1:13" x14ac:dyDescent="0.75">
      <c r="A4176" t="s">
        <v>22975</v>
      </c>
      <c r="B4176" t="s">
        <v>6155</v>
      </c>
      <c r="C4176" t="s">
        <v>6156</v>
      </c>
      <c r="D4176" t="s">
        <v>6157</v>
      </c>
      <c r="E4176" t="s">
        <v>22976</v>
      </c>
      <c r="F4176">
        <v>1</v>
      </c>
      <c r="G4176">
        <v>2181327</v>
      </c>
      <c r="H4176" t="s">
        <v>22977</v>
      </c>
      <c r="J4176" s="54" t="s">
        <v>6052</v>
      </c>
      <c r="K4176" s="54">
        <v>0</v>
      </c>
      <c r="L4176" s="22" t="s">
        <v>104</v>
      </c>
      <c r="M4176" s="22" t="s">
        <v>37160</v>
      </c>
    </row>
    <row r="4177" spans="1:13" x14ac:dyDescent="0.75">
      <c r="A4177" t="s">
        <v>8513</v>
      </c>
      <c r="B4177" t="s">
        <v>6155</v>
      </c>
      <c r="C4177" t="s">
        <v>6156</v>
      </c>
      <c r="D4177" t="s">
        <v>6157</v>
      </c>
      <c r="E4177" t="s">
        <v>8514</v>
      </c>
      <c r="F4177">
        <v>1</v>
      </c>
      <c r="G4177">
        <v>2227255</v>
      </c>
      <c r="H4177" t="s">
        <v>8515</v>
      </c>
      <c r="J4177" s="54" t="s">
        <v>6052</v>
      </c>
      <c r="K4177" s="54">
        <v>0</v>
      </c>
      <c r="L4177" s="22" t="s">
        <v>104</v>
      </c>
      <c r="M4177" s="22" t="s">
        <v>37160</v>
      </c>
    </row>
    <row r="4178" spans="1:13" x14ac:dyDescent="0.75">
      <c r="A4178" t="s">
        <v>12398</v>
      </c>
      <c r="B4178" t="s">
        <v>6155</v>
      </c>
      <c r="C4178" t="s">
        <v>6156</v>
      </c>
      <c r="D4178" t="s">
        <v>6157</v>
      </c>
      <c r="E4178" t="s">
        <v>12399</v>
      </c>
      <c r="F4178">
        <v>1</v>
      </c>
      <c r="G4178">
        <v>2206847</v>
      </c>
      <c r="H4178" t="s">
        <v>12400</v>
      </c>
      <c r="J4178" s="54" t="s">
        <v>6052</v>
      </c>
      <c r="K4178" s="54">
        <v>0</v>
      </c>
      <c r="L4178" s="22" t="s">
        <v>104</v>
      </c>
      <c r="M4178" s="22" t="s">
        <v>37160</v>
      </c>
    </row>
    <row r="4179" spans="1:13" x14ac:dyDescent="0.75">
      <c r="A4179" t="s">
        <v>6176</v>
      </c>
      <c r="B4179" t="s">
        <v>6155</v>
      </c>
      <c r="C4179" t="s">
        <v>6156</v>
      </c>
      <c r="D4179" t="s">
        <v>6157</v>
      </c>
      <c r="E4179" t="s">
        <v>6177</v>
      </c>
      <c r="F4179">
        <v>1</v>
      </c>
      <c r="G4179">
        <v>2184406</v>
      </c>
      <c r="H4179" t="s">
        <v>6178</v>
      </c>
      <c r="J4179" s="54" t="s">
        <v>6052</v>
      </c>
      <c r="K4179" s="54">
        <v>0</v>
      </c>
      <c r="L4179" s="22" t="s">
        <v>104</v>
      </c>
      <c r="M4179" s="22" t="s">
        <v>37160</v>
      </c>
    </row>
    <row r="4180" spans="1:13" x14ac:dyDescent="0.75">
      <c r="A4180" t="s">
        <v>11119</v>
      </c>
      <c r="B4180" t="s">
        <v>7119</v>
      </c>
      <c r="C4180" t="s">
        <v>6156</v>
      </c>
      <c r="D4180" t="s">
        <v>7120</v>
      </c>
      <c r="E4180" t="s">
        <v>11120</v>
      </c>
      <c r="F4180">
        <v>155</v>
      </c>
      <c r="G4180">
        <v>2444482</v>
      </c>
      <c r="H4180" t="s">
        <v>11121</v>
      </c>
      <c r="J4180" s="54" t="s">
        <v>6052</v>
      </c>
      <c r="K4180" s="54">
        <v>0</v>
      </c>
      <c r="L4180" s="22" t="s">
        <v>104</v>
      </c>
      <c r="M4180" s="22" t="s">
        <v>37167</v>
      </c>
    </row>
    <row r="4181" spans="1:13" x14ac:dyDescent="0.75">
      <c r="A4181" t="s">
        <v>14770</v>
      </c>
      <c r="B4181" t="s">
        <v>7119</v>
      </c>
      <c r="C4181" t="s">
        <v>6156</v>
      </c>
      <c r="D4181" t="s">
        <v>7120</v>
      </c>
      <c r="E4181" t="s">
        <v>14771</v>
      </c>
      <c r="F4181">
        <v>1</v>
      </c>
      <c r="G4181">
        <v>2688408</v>
      </c>
      <c r="H4181" t="s">
        <v>14772</v>
      </c>
      <c r="J4181" s="54" t="s">
        <v>6052</v>
      </c>
      <c r="K4181" s="54">
        <v>0</v>
      </c>
      <c r="L4181" s="22" t="s">
        <v>104</v>
      </c>
      <c r="M4181" s="22" t="s">
        <v>37167</v>
      </c>
    </row>
    <row r="4182" spans="1:13" x14ac:dyDescent="0.75">
      <c r="A4182" t="s">
        <v>7118</v>
      </c>
      <c r="B4182" t="s">
        <v>7119</v>
      </c>
      <c r="C4182" t="s">
        <v>6156</v>
      </c>
      <c r="D4182" t="s">
        <v>7120</v>
      </c>
      <c r="E4182" t="s">
        <v>7121</v>
      </c>
      <c r="F4182">
        <v>67</v>
      </c>
      <c r="G4182">
        <v>2578748</v>
      </c>
      <c r="H4182" t="s">
        <v>7122</v>
      </c>
      <c r="J4182" s="54" t="s">
        <v>6052</v>
      </c>
      <c r="K4182" s="54">
        <v>0</v>
      </c>
      <c r="L4182" s="22" t="s">
        <v>104</v>
      </c>
      <c r="M4182" s="22" t="s">
        <v>37167</v>
      </c>
    </row>
    <row r="4183" spans="1:13" x14ac:dyDescent="0.75">
      <c r="A4183" t="s">
        <v>14817</v>
      </c>
      <c r="B4183" t="s">
        <v>7119</v>
      </c>
      <c r="C4183" t="s">
        <v>6156</v>
      </c>
      <c r="D4183" t="s">
        <v>7120</v>
      </c>
      <c r="E4183" t="s">
        <v>14818</v>
      </c>
      <c r="F4183">
        <v>134</v>
      </c>
      <c r="G4183">
        <v>2600550</v>
      </c>
      <c r="H4183" t="s">
        <v>14819</v>
      </c>
      <c r="J4183" s="54" t="s">
        <v>6052</v>
      </c>
      <c r="K4183" s="54">
        <v>0</v>
      </c>
      <c r="L4183" s="22" t="s">
        <v>104</v>
      </c>
      <c r="M4183" s="22" t="s">
        <v>37167</v>
      </c>
    </row>
    <row r="4184" spans="1:13" x14ac:dyDescent="0.75">
      <c r="A4184" t="s">
        <v>14823</v>
      </c>
      <c r="B4184" t="s">
        <v>7119</v>
      </c>
      <c r="C4184" t="s">
        <v>6156</v>
      </c>
      <c r="D4184" t="s">
        <v>7120</v>
      </c>
      <c r="E4184" t="s">
        <v>14824</v>
      </c>
      <c r="F4184">
        <v>56</v>
      </c>
      <c r="G4184">
        <v>2464790</v>
      </c>
      <c r="H4184" t="s">
        <v>14825</v>
      </c>
      <c r="J4184" s="54" t="s">
        <v>6052</v>
      </c>
      <c r="K4184" s="54">
        <v>0</v>
      </c>
      <c r="L4184" s="22" t="s">
        <v>104</v>
      </c>
      <c r="M4184" s="22" t="s">
        <v>37167</v>
      </c>
    </row>
    <row r="4185" spans="1:13" x14ac:dyDescent="0.75">
      <c r="A4185" t="s">
        <v>14862</v>
      </c>
      <c r="B4185" t="s">
        <v>7119</v>
      </c>
      <c r="C4185" t="s">
        <v>6156</v>
      </c>
      <c r="D4185" t="s">
        <v>7120</v>
      </c>
      <c r="E4185" t="s">
        <v>14863</v>
      </c>
      <c r="F4185">
        <v>124</v>
      </c>
      <c r="G4185">
        <v>2529169</v>
      </c>
      <c r="H4185" t="s">
        <v>14864</v>
      </c>
      <c r="J4185" s="54" t="s">
        <v>6052</v>
      </c>
      <c r="K4185" s="54">
        <v>0</v>
      </c>
      <c r="L4185" s="22" t="s">
        <v>104</v>
      </c>
      <c r="M4185" s="22" t="s">
        <v>37167</v>
      </c>
    </row>
    <row r="4186" spans="1:13" x14ac:dyDescent="0.75">
      <c r="A4186" t="s">
        <v>30795</v>
      </c>
      <c r="B4186" t="s">
        <v>7119</v>
      </c>
      <c r="C4186" t="s">
        <v>6156</v>
      </c>
      <c r="D4186" t="s">
        <v>7120</v>
      </c>
      <c r="E4186" t="s">
        <v>30796</v>
      </c>
      <c r="F4186">
        <v>52</v>
      </c>
      <c r="G4186">
        <v>2316150</v>
      </c>
      <c r="H4186" t="s">
        <v>30797</v>
      </c>
      <c r="J4186" s="54" t="s">
        <v>6052</v>
      </c>
      <c r="K4186" s="54">
        <v>0</v>
      </c>
      <c r="L4186" s="22" t="s">
        <v>104</v>
      </c>
      <c r="M4186" s="22" t="s">
        <v>37167</v>
      </c>
    </row>
    <row r="4187" spans="1:13" x14ac:dyDescent="0.75">
      <c r="A4187" t="s">
        <v>30759</v>
      </c>
      <c r="B4187" t="s">
        <v>7119</v>
      </c>
      <c r="C4187" t="s">
        <v>6156</v>
      </c>
      <c r="D4187" t="s">
        <v>7120</v>
      </c>
      <c r="E4187" t="s">
        <v>30760</v>
      </c>
      <c r="F4187">
        <v>167</v>
      </c>
      <c r="G4187">
        <v>2501603</v>
      </c>
      <c r="H4187" t="s">
        <v>30761</v>
      </c>
      <c r="J4187" s="54" t="s">
        <v>6052</v>
      </c>
      <c r="K4187" s="54">
        <v>0</v>
      </c>
      <c r="L4187" s="22" t="s">
        <v>104</v>
      </c>
      <c r="M4187" s="22" t="s">
        <v>37167</v>
      </c>
    </row>
    <row r="4188" spans="1:13" x14ac:dyDescent="0.75">
      <c r="A4188" t="s">
        <v>17095</v>
      </c>
      <c r="B4188" t="s">
        <v>7119</v>
      </c>
      <c r="C4188" t="s">
        <v>6156</v>
      </c>
      <c r="D4188" t="s">
        <v>7120</v>
      </c>
      <c r="E4188" t="s">
        <v>17096</v>
      </c>
      <c r="F4188">
        <v>193</v>
      </c>
      <c r="G4188">
        <v>2480214</v>
      </c>
      <c r="H4188" t="s">
        <v>17097</v>
      </c>
      <c r="J4188" s="54" t="s">
        <v>6052</v>
      </c>
      <c r="K4188" s="54">
        <v>0</v>
      </c>
      <c r="L4188" s="22" t="s">
        <v>104</v>
      </c>
      <c r="M4188" s="22" t="s">
        <v>37167</v>
      </c>
    </row>
    <row r="4189" spans="1:13" x14ac:dyDescent="0.75">
      <c r="A4189" t="s">
        <v>17092</v>
      </c>
      <c r="B4189" t="s">
        <v>7119</v>
      </c>
      <c r="C4189" t="s">
        <v>6156</v>
      </c>
      <c r="D4189" t="s">
        <v>7120</v>
      </c>
      <c r="E4189" t="s">
        <v>17093</v>
      </c>
      <c r="F4189">
        <v>205</v>
      </c>
      <c r="G4189">
        <v>2484173</v>
      </c>
      <c r="H4189" t="s">
        <v>17094</v>
      </c>
      <c r="J4189" s="54" t="s">
        <v>6052</v>
      </c>
      <c r="K4189" s="54">
        <v>0</v>
      </c>
      <c r="L4189" s="22" t="s">
        <v>104</v>
      </c>
      <c r="M4189" s="22" t="s">
        <v>37167</v>
      </c>
    </row>
    <row r="4190" spans="1:13" x14ac:dyDescent="0.75">
      <c r="A4190" t="s">
        <v>13431</v>
      </c>
      <c r="B4190" t="s">
        <v>7119</v>
      </c>
      <c r="C4190" t="s">
        <v>6156</v>
      </c>
      <c r="D4190" t="s">
        <v>7120</v>
      </c>
      <c r="E4190" t="s">
        <v>13432</v>
      </c>
      <c r="F4190">
        <v>1</v>
      </c>
      <c r="G4190">
        <v>2783943</v>
      </c>
      <c r="H4190" t="s">
        <v>13433</v>
      </c>
      <c r="J4190" s="54" t="s">
        <v>6052</v>
      </c>
      <c r="K4190" s="54">
        <v>0</v>
      </c>
      <c r="L4190" s="22" t="s">
        <v>104</v>
      </c>
      <c r="M4190" s="22" t="s">
        <v>37167</v>
      </c>
    </row>
    <row r="4191" spans="1:13" x14ac:dyDescent="0.75">
      <c r="A4191" t="s">
        <v>12622</v>
      </c>
      <c r="B4191" t="s">
        <v>7119</v>
      </c>
      <c r="C4191" t="s">
        <v>6156</v>
      </c>
      <c r="D4191" t="s">
        <v>7120</v>
      </c>
      <c r="E4191" t="s">
        <v>12623</v>
      </c>
      <c r="F4191">
        <v>279</v>
      </c>
      <c r="G4191">
        <v>2535716</v>
      </c>
      <c r="H4191" t="s">
        <v>12624</v>
      </c>
      <c r="J4191" s="54" t="s">
        <v>6052</v>
      </c>
      <c r="K4191" s="54">
        <v>0</v>
      </c>
      <c r="L4191" s="22" t="s">
        <v>104</v>
      </c>
      <c r="M4191" s="22" t="s">
        <v>37167</v>
      </c>
    </row>
    <row r="4192" spans="1:13" x14ac:dyDescent="0.75">
      <c r="A4192" t="s">
        <v>12708</v>
      </c>
      <c r="B4192" t="s">
        <v>7119</v>
      </c>
      <c r="C4192" t="s">
        <v>6156</v>
      </c>
      <c r="D4192" t="s">
        <v>7120</v>
      </c>
      <c r="E4192" t="s">
        <v>12709</v>
      </c>
      <c r="F4192">
        <v>231</v>
      </c>
      <c r="G4192">
        <v>2464647</v>
      </c>
      <c r="H4192" t="s">
        <v>12710</v>
      </c>
      <c r="J4192" s="54" t="s">
        <v>6052</v>
      </c>
      <c r="K4192" s="54">
        <v>0</v>
      </c>
      <c r="L4192" s="22" t="s">
        <v>104</v>
      </c>
      <c r="M4192" s="22" t="s">
        <v>37167</v>
      </c>
    </row>
    <row r="4193" spans="1:13" x14ac:dyDescent="0.75">
      <c r="A4193" t="s">
        <v>12682</v>
      </c>
      <c r="B4193" t="s">
        <v>7119</v>
      </c>
      <c r="C4193" t="s">
        <v>6156</v>
      </c>
      <c r="D4193" t="s">
        <v>7120</v>
      </c>
      <c r="E4193" t="s">
        <v>12683</v>
      </c>
      <c r="F4193">
        <v>261</v>
      </c>
      <c r="G4193">
        <v>2476213</v>
      </c>
      <c r="H4193" t="s">
        <v>12684</v>
      </c>
      <c r="J4193" s="54" t="s">
        <v>6052</v>
      </c>
      <c r="K4193" s="54">
        <v>0</v>
      </c>
      <c r="L4193" s="22" t="s">
        <v>104</v>
      </c>
      <c r="M4193" s="22" t="s">
        <v>37167</v>
      </c>
    </row>
    <row r="4194" spans="1:13" x14ac:dyDescent="0.75">
      <c r="A4194" t="s">
        <v>13088</v>
      </c>
      <c r="B4194" t="s">
        <v>7119</v>
      </c>
      <c r="C4194" t="s">
        <v>6156</v>
      </c>
      <c r="D4194" t="s">
        <v>7120</v>
      </c>
      <c r="E4194" t="s">
        <v>13089</v>
      </c>
      <c r="F4194">
        <v>228</v>
      </c>
      <c r="G4194">
        <v>2485776</v>
      </c>
      <c r="H4194" t="s">
        <v>13090</v>
      </c>
      <c r="J4194" s="54" t="s">
        <v>6052</v>
      </c>
      <c r="K4194" s="54">
        <v>0</v>
      </c>
      <c r="L4194" s="22" t="s">
        <v>104</v>
      </c>
      <c r="M4194" s="22" t="s">
        <v>37167</v>
      </c>
    </row>
    <row r="4195" spans="1:13" x14ac:dyDescent="0.75">
      <c r="A4195" t="s">
        <v>13091</v>
      </c>
      <c r="B4195" t="s">
        <v>7119</v>
      </c>
      <c r="C4195" t="s">
        <v>6156</v>
      </c>
      <c r="D4195" t="s">
        <v>7120</v>
      </c>
      <c r="E4195" t="s">
        <v>13092</v>
      </c>
      <c r="F4195">
        <v>261</v>
      </c>
      <c r="G4195">
        <v>2437021</v>
      </c>
      <c r="H4195" t="s">
        <v>13093</v>
      </c>
      <c r="J4195" s="54" t="s">
        <v>6052</v>
      </c>
      <c r="K4195" s="54">
        <v>0</v>
      </c>
      <c r="L4195" s="22" t="s">
        <v>104</v>
      </c>
      <c r="M4195" s="22" t="s">
        <v>37167</v>
      </c>
    </row>
    <row r="4196" spans="1:13" x14ac:dyDescent="0.75">
      <c r="A4196" t="s">
        <v>20873</v>
      </c>
      <c r="B4196" t="s">
        <v>7119</v>
      </c>
      <c r="C4196" t="s">
        <v>6156</v>
      </c>
      <c r="D4196" t="s">
        <v>7120</v>
      </c>
      <c r="E4196" t="s">
        <v>20874</v>
      </c>
      <c r="F4196">
        <v>222</v>
      </c>
      <c r="G4196">
        <v>2458797</v>
      </c>
      <c r="H4196" t="s">
        <v>20875</v>
      </c>
      <c r="J4196" s="54" t="s">
        <v>6052</v>
      </c>
      <c r="K4196" s="54">
        <v>0</v>
      </c>
      <c r="L4196" s="22" t="s">
        <v>104</v>
      </c>
      <c r="M4196" s="22" t="s">
        <v>37167</v>
      </c>
    </row>
    <row r="4197" spans="1:13" x14ac:dyDescent="0.75">
      <c r="A4197" t="s">
        <v>28048</v>
      </c>
      <c r="B4197" t="s">
        <v>7119</v>
      </c>
      <c r="C4197" t="s">
        <v>6156</v>
      </c>
      <c r="D4197" t="s">
        <v>7120</v>
      </c>
      <c r="E4197" t="s">
        <v>28049</v>
      </c>
      <c r="F4197">
        <v>123</v>
      </c>
      <c r="G4197">
        <v>2541217</v>
      </c>
      <c r="H4197" t="s">
        <v>28050</v>
      </c>
      <c r="J4197" s="54" t="s">
        <v>6052</v>
      </c>
      <c r="K4197" s="54">
        <v>0</v>
      </c>
      <c r="L4197" s="22" t="s">
        <v>104</v>
      </c>
      <c r="M4197" s="22" t="s">
        <v>37167</v>
      </c>
    </row>
    <row r="4198" spans="1:13" x14ac:dyDescent="0.75">
      <c r="A4198" t="s">
        <v>27537</v>
      </c>
      <c r="B4198" t="s">
        <v>7119</v>
      </c>
      <c r="C4198" t="s">
        <v>6156</v>
      </c>
      <c r="D4198" t="s">
        <v>7120</v>
      </c>
      <c r="E4198" t="s">
        <v>27538</v>
      </c>
      <c r="F4198">
        <v>6</v>
      </c>
      <c r="G4198">
        <v>2654294</v>
      </c>
      <c r="H4198" t="s">
        <v>27539</v>
      </c>
      <c r="J4198" s="54" t="s">
        <v>6052</v>
      </c>
      <c r="K4198" s="54">
        <v>0</v>
      </c>
      <c r="L4198" s="22" t="s">
        <v>104</v>
      </c>
      <c r="M4198" s="22" t="s">
        <v>37167</v>
      </c>
    </row>
    <row r="4199" spans="1:13" x14ac:dyDescent="0.75">
      <c r="A4199" t="s">
        <v>28934</v>
      </c>
      <c r="B4199" t="s">
        <v>7119</v>
      </c>
      <c r="C4199" t="s">
        <v>6156</v>
      </c>
      <c r="D4199" t="s">
        <v>7120</v>
      </c>
      <c r="E4199" t="s">
        <v>28935</v>
      </c>
      <c r="F4199">
        <v>161</v>
      </c>
      <c r="G4199">
        <v>2431597</v>
      </c>
      <c r="H4199" t="s">
        <v>28936</v>
      </c>
      <c r="J4199" s="54" t="s">
        <v>6052</v>
      </c>
      <c r="K4199" s="54">
        <v>0</v>
      </c>
      <c r="L4199" s="22" t="s">
        <v>104</v>
      </c>
      <c r="M4199" s="22" t="s">
        <v>37167</v>
      </c>
    </row>
    <row r="4200" spans="1:13" x14ac:dyDescent="0.75">
      <c r="A4200" t="s">
        <v>25938</v>
      </c>
      <c r="B4200" t="s">
        <v>7119</v>
      </c>
      <c r="C4200" t="s">
        <v>6156</v>
      </c>
      <c r="D4200" t="s">
        <v>7120</v>
      </c>
      <c r="E4200" t="s">
        <v>25939</v>
      </c>
      <c r="F4200">
        <v>204</v>
      </c>
      <c r="G4200">
        <v>2524525</v>
      </c>
      <c r="H4200" t="s">
        <v>25940</v>
      </c>
      <c r="J4200" s="54" t="s">
        <v>6052</v>
      </c>
      <c r="K4200" s="54">
        <v>0</v>
      </c>
      <c r="L4200" s="22" t="s">
        <v>104</v>
      </c>
      <c r="M4200" s="22" t="s">
        <v>37167</v>
      </c>
    </row>
    <row r="4201" spans="1:13" x14ac:dyDescent="0.75">
      <c r="A4201" t="s">
        <v>25833</v>
      </c>
      <c r="B4201" t="s">
        <v>7119</v>
      </c>
      <c r="C4201" t="s">
        <v>6156</v>
      </c>
      <c r="D4201" t="s">
        <v>7120</v>
      </c>
      <c r="E4201" t="s">
        <v>25834</v>
      </c>
      <c r="F4201">
        <v>211</v>
      </c>
      <c r="G4201">
        <v>2513859</v>
      </c>
      <c r="H4201" t="s">
        <v>25835</v>
      </c>
      <c r="J4201" s="54" t="s">
        <v>6052</v>
      </c>
      <c r="K4201" s="54">
        <v>0</v>
      </c>
      <c r="L4201" s="22" t="s">
        <v>104</v>
      </c>
      <c r="M4201" s="22" t="s">
        <v>37167</v>
      </c>
    </row>
    <row r="4202" spans="1:13" x14ac:dyDescent="0.75">
      <c r="A4202" t="s">
        <v>10950</v>
      </c>
      <c r="B4202" t="s">
        <v>10951</v>
      </c>
      <c r="C4202" t="s">
        <v>6156</v>
      </c>
      <c r="D4202" t="s">
        <v>10952</v>
      </c>
      <c r="E4202" t="s">
        <v>10953</v>
      </c>
      <c r="F4202">
        <v>1</v>
      </c>
      <c r="G4202">
        <v>2173235</v>
      </c>
      <c r="H4202" t="s">
        <v>10954</v>
      </c>
      <c r="J4202" s="54" t="s">
        <v>6052</v>
      </c>
      <c r="K4202" s="54">
        <v>0</v>
      </c>
      <c r="L4202" s="22" t="s">
        <v>36804</v>
      </c>
      <c r="M4202" s="22" t="s">
        <v>37162</v>
      </c>
    </row>
    <row r="4203" spans="1:13" x14ac:dyDescent="0.75">
      <c r="A4203" t="s">
        <v>29879</v>
      </c>
      <c r="B4203" t="s">
        <v>6534</v>
      </c>
      <c r="C4203" t="s">
        <v>6156</v>
      </c>
      <c r="D4203" t="s">
        <v>6535</v>
      </c>
      <c r="E4203" t="s">
        <v>29880</v>
      </c>
      <c r="F4203">
        <v>85</v>
      </c>
      <c r="G4203">
        <v>2409296</v>
      </c>
      <c r="H4203" t="s">
        <v>29881</v>
      </c>
      <c r="J4203" s="54" t="s">
        <v>6052</v>
      </c>
      <c r="K4203" s="54">
        <v>0</v>
      </c>
      <c r="L4203" s="22" t="s">
        <v>104</v>
      </c>
      <c r="M4203" s="22" t="s">
        <v>37174</v>
      </c>
    </row>
    <row r="4204" spans="1:13" x14ac:dyDescent="0.75">
      <c r="A4204" t="s">
        <v>6533</v>
      </c>
      <c r="B4204" t="s">
        <v>6534</v>
      </c>
      <c r="C4204" t="s">
        <v>6156</v>
      </c>
      <c r="D4204" t="s">
        <v>6535</v>
      </c>
      <c r="E4204" t="s">
        <v>6536</v>
      </c>
      <c r="F4204">
        <v>48</v>
      </c>
      <c r="G4204">
        <v>2515760</v>
      </c>
      <c r="H4204" t="s">
        <v>6537</v>
      </c>
      <c r="J4204" s="54" t="s">
        <v>6052</v>
      </c>
      <c r="K4204" s="54">
        <v>0</v>
      </c>
      <c r="L4204" s="22" t="s">
        <v>104</v>
      </c>
      <c r="M4204" s="22" t="s">
        <v>37174</v>
      </c>
    </row>
    <row r="4205" spans="1:13" x14ac:dyDescent="0.75">
      <c r="A4205" t="s">
        <v>16804</v>
      </c>
      <c r="B4205" t="s">
        <v>6534</v>
      </c>
      <c r="C4205" t="s">
        <v>6156</v>
      </c>
      <c r="D4205" t="s">
        <v>6535</v>
      </c>
      <c r="E4205" t="s">
        <v>6536</v>
      </c>
      <c r="F4205">
        <v>1</v>
      </c>
      <c r="G4205">
        <v>2502158</v>
      </c>
      <c r="H4205" t="s">
        <v>16805</v>
      </c>
      <c r="J4205" s="54" t="s">
        <v>6052</v>
      </c>
      <c r="K4205" s="54">
        <v>0</v>
      </c>
      <c r="L4205" s="22" t="s">
        <v>104</v>
      </c>
      <c r="M4205" s="22" t="s">
        <v>37174</v>
      </c>
    </row>
    <row r="4206" spans="1:13" x14ac:dyDescent="0.75">
      <c r="A4206" t="s">
        <v>28977</v>
      </c>
      <c r="B4206" t="s">
        <v>6534</v>
      </c>
      <c r="C4206" t="s">
        <v>6156</v>
      </c>
      <c r="D4206" t="s">
        <v>6535</v>
      </c>
      <c r="E4206" t="s">
        <v>28978</v>
      </c>
      <c r="F4206">
        <v>21</v>
      </c>
      <c r="G4206">
        <v>2461449</v>
      </c>
      <c r="H4206" t="s">
        <v>28979</v>
      </c>
      <c r="J4206" s="54" t="s">
        <v>6052</v>
      </c>
      <c r="K4206" s="54">
        <v>0</v>
      </c>
      <c r="L4206" s="22" t="s">
        <v>104</v>
      </c>
      <c r="M4206" s="22" t="s">
        <v>37174</v>
      </c>
    </row>
    <row r="4207" spans="1:13" x14ac:dyDescent="0.75">
      <c r="A4207" t="s">
        <v>11081</v>
      </c>
      <c r="B4207" t="s">
        <v>7140</v>
      </c>
      <c r="C4207" t="s">
        <v>6156</v>
      </c>
      <c r="D4207" t="s">
        <v>7141</v>
      </c>
      <c r="E4207" t="s">
        <v>11082</v>
      </c>
      <c r="F4207">
        <v>85</v>
      </c>
      <c r="G4207">
        <v>2233620</v>
      </c>
      <c r="H4207" t="s">
        <v>11083</v>
      </c>
      <c r="J4207" s="54" t="s">
        <v>6052</v>
      </c>
      <c r="K4207" s="54">
        <v>0</v>
      </c>
      <c r="L4207" s="22" t="s">
        <v>104</v>
      </c>
      <c r="M4207" s="22" t="s">
        <v>37163</v>
      </c>
    </row>
    <row r="4208" spans="1:13" x14ac:dyDescent="0.75">
      <c r="A4208" t="s">
        <v>11104</v>
      </c>
      <c r="B4208" t="s">
        <v>7140</v>
      </c>
      <c r="C4208" t="s">
        <v>6156</v>
      </c>
      <c r="D4208" t="s">
        <v>7141</v>
      </c>
      <c r="E4208" t="s">
        <v>11105</v>
      </c>
      <c r="F4208">
        <v>82</v>
      </c>
      <c r="G4208">
        <v>2246977</v>
      </c>
      <c r="H4208" t="s">
        <v>11106</v>
      </c>
      <c r="J4208" s="54" t="s">
        <v>6052</v>
      </c>
      <c r="K4208" s="54">
        <v>0</v>
      </c>
      <c r="L4208" s="22" t="s">
        <v>104</v>
      </c>
      <c r="M4208" s="22" t="s">
        <v>37163</v>
      </c>
    </row>
    <row r="4209" spans="1:13" x14ac:dyDescent="0.75">
      <c r="A4209" t="s">
        <v>11116</v>
      </c>
      <c r="B4209" t="s">
        <v>7140</v>
      </c>
      <c r="C4209" t="s">
        <v>6156</v>
      </c>
      <c r="D4209" t="s">
        <v>7141</v>
      </c>
      <c r="E4209" t="s">
        <v>11117</v>
      </c>
      <c r="F4209">
        <v>52</v>
      </c>
      <c r="G4209">
        <v>2397512</v>
      </c>
      <c r="H4209" t="s">
        <v>11118</v>
      </c>
      <c r="J4209" s="54" t="s">
        <v>6052</v>
      </c>
      <c r="K4209" s="54">
        <v>0</v>
      </c>
      <c r="L4209" s="22" t="s">
        <v>104</v>
      </c>
      <c r="M4209" s="22" t="s">
        <v>37163</v>
      </c>
    </row>
    <row r="4210" spans="1:13" x14ac:dyDescent="0.75">
      <c r="A4210" t="s">
        <v>14811</v>
      </c>
      <c r="B4210" t="s">
        <v>7140</v>
      </c>
      <c r="C4210" t="s">
        <v>6156</v>
      </c>
      <c r="D4210" t="s">
        <v>7141</v>
      </c>
      <c r="E4210" t="s">
        <v>14812</v>
      </c>
      <c r="F4210">
        <v>42</v>
      </c>
      <c r="G4210">
        <v>2355736</v>
      </c>
      <c r="H4210" t="s">
        <v>14813</v>
      </c>
      <c r="J4210" s="54" t="s">
        <v>6052</v>
      </c>
      <c r="K4210" s="54">
        <v>0</v>
      </c>
      <c r="L4210" s="22" t="s">
        <v>104</v>
      </c>
      <c r="M4210" s="22" t="s">
        <v>37163</v>
      </c>
    </row>
    <row r="4211" spans="1:13" x14ac:dyDescent="0.75">
      <c r="A4211" t="s">
        <v>14829</v>
      </c>
      <c r="B4211" t="s">
        <v>7140</v>
      </c>
      <c r="C4211" t="s">
        <v>6156</v>
      </c>
      <c r="D4211" t="s">
        <v>7141</v>
      </c>
      <c r="E4211" t="s">
        <v>14830</v>
      </c>
      <c r="F4211">
        <v>21</v>
      </c>
      <c r="G4211">
        <v>2176785</v>
      </c>
      <c r="H4211" t="s">
        <v>14831</v>
      </c>
      <c r="J4211" s="54" t="s">
        <v>6052</v>
      </c>
      <c r="K4211" s="54">
        <v>0</v>
      </c>
      <c r="L4211" s="22" t="s">
        <v>104</v>
      </c>
      <c r="M4211" s="22" t="s">
        <v>37163</v>
      </c>
    </row>
    <row r="4212" spans="1:13" x14ac:dyDescent="0.75">
      <c r="A4212" t="s">
        <v>14838</v>
      </c>
      <c r="B4212" t="s">
        <v>7140</v>
      </c>
      <c r="C4212" t="s">
        <v>6156</v>
      </c>
      <c r="D4212" t="s">
        <v>7141</v>
      </c>
      <c r="E4212" t="s">
        <v>14839</v>
      </c>
      <c r="F4212">
        <v>20</v>
      </c>
      <c r="G4212">
        <v>2226776</v>
      </c>
      <c r="H4212" t="s">
        <v>14840</v>
      </c>
      <c r="J4212" s="54" t="s">
        <v>6052</v>
      </c>
      <c r="K4212" s="54">
        <v>0</v>
      </c>
      <c r="L4212" s="22" t="s">
        <v>104</v>
      </c>
      <c r="M4212" s="22" t="s">
        <v>37163</v>
      </c>
    </row>
    <row r="4213" spans="1:13" x14ac:dyDescent="0.75">
      <c r="A4213" t="s">
        <v>14883</v>
      </c>
      <c r="B4213" t="s">
        <v>7140</v>
      </c>
      <c r="C4213" t="s">
        <v>6156</v>
      </c>
      <c r="D4213" t="s">
        <v>7141</v>
      </c>
      <c r="E4213" t="s">
        <v>14884</v>
      </c>
      <c r="F4213">
        <v>28</v>
      </c>
      <c r="G4213">
        <v>2422689</v>
      </c>
      <c r="H4213" t="s">
        <v>14885</v>
      </c>
      <c r="J4213" s="54" t="s">
        <v>6052</v>
      </c>
      <c r="K4213" s="54">
        <v>0</v>
      </c>
      <c r="L4213" s="22" t="s">
        <v>104</v>
      </c>
      <c r="M4213" s="22" t="s">
        <v>37163</v>
      </c>
    </row>
    <row r="4214" spans="1:13" x14ac:dyDescent="0.75">
      <c r="A4214" t="s">
        <v>23286</v>
      </c>
      <c r="B4214" t="s">
        <v>7140</v>
      </c>
      <c r="C4214" t="s">
        <v>6156</v>
      </c>
      <c r="D4214" t="s">
        <v>7141</v>
      </c>
      <c r="E4214" t="s">
        <v>23287</v>
      </c>
      <c r="F4214">
        <v>85</v>
      </c>
      <c r="G4214">
        <v>2265569</v>
      </c>
      <c r="H4214" t="s">
        <v>23288</v>
      </c>
      <c r="J4214" s="54" t="s">
        <v>6052</v>
      </c>
      <c r="K4214" s="54">
        <v>0</v>
      </c>
      <c r="L4214" s="22" t="s">
        <v>104</v>
      </c>
      <c r="M4214" s="22" t="s">
        <v>37163</v>
      </c>
    </row>
    <row r="4215" spans="1:13" x14ac:dyDescent="0.75">
      <c r="A4215" t="s">
        <v>30798</v>
      </c>
      <c r="B4215" t="s">
        <v>7140</v>
      </c>
      <c r="C4215" t="s">
        <v>6156</v>
      </c>
      <c r="D4215" t="s">
        <v>7141</v>
      </c>
      <c r="E4215" t="s">
        <v>30799</v>
      </c>
      <c r="F4215">
        <v>35</v>
      </c>
      <c r="G4215">
        <v>2232609</v>
      </c>
      <c r="H4215" t="s">
        <v>30800</v>
      </c>
      <c r="J4215" s="54" t="s">
        <v>6052</v>
      </c>
      <c r="K4215" s="54">
        <v>0</v>
      </c>
      <c r="L4215" s="22" t="s">
        <v>104</v>
      </c>
      <c r="M4215" s="22" t="s">
        <v>37163</v>
      </c>
    </row>
    <row r="4216" spans="1:13" x14ac:dyDescent="0.75">
      <c r="A4216" t="s">
        <v>29254</v>
      </c>
      <c r="B4216" t="s">
        <v>7140</v>
      </c>
      <c r="C4216" t="s">
        <v>6156</v>
      </c>
      <c r="D4216" t="s">
        <v>7141</v>
      </c>
      <c r="E4216" t="s">
        <v>29255</v>
      </c>
      <c r="F4216">
        <v>185</v>
      </c>
      <c r="G4216">
        <v>2169971</v>
      </c>
      <c r="H4216" t="s">
        <v>29256</v>
      </c>
      <c r="J4216" s="54" t="s">
        <v>6052</v>
      </c>
      <c r="K4216" s="54">
        <v>0</v>
      </c>
      <c r="L4216" s="22" t="s">
        <v>104</v>
      </c>
      <c r="M4216" s="22" t="s">
        <v>37163</v>
      </c>
    </row>
    <row r="4217" spans="1:13" x14ac:dyDescent="0.75">
      <c r="A4217" t="s">
        <v>29224</v>
      </c>
      <c r="B4217" t="s">
        <v>7140</v>
      </c>
      <c r="C4217" t="s">
        <v>6156</v>
      </c>
      <c r="D4217" t="s">
        <v>7141</v>
      </c>
      <c r="E4217" t="s">
        <v>29225</v>
      </c>
      <c r="F4217">
        <v>13</v>
      </c>
      <c r="G4217">
        <v>2203954</v>
      </c>
      <c r="H4217" t="s">
        <v>29226</v>
      </c>
      <c r="J4217" s="54" t="s">
        <v>6052</v>
      </c>
      <c r="K4217" s="54">
        <v>0</v>
      </c>
      <c r="L4217" s="22" t="s">
        <v>104</v>
      </c>
      <c r="M4217" s="22" t="s">
        <v>37163</v>
      </c>
    </row>
    <row r="4218" spans="1:13" x14ac:dyDescent="0.75">
      <c r="A4218" t="s">
        <v>29441</v>
      </c>
      <c r="B4218" t="s">
        <v>7140</v>
      </c>
      <c r="C4218" t="s">
        <v>6156</v>
      </c>
      <c r="D4218" t="s">
        <v>7141</v>
      </c>
      <c r="E4218" t="s">
        <v>29442</v>
      </c>
      <c r="F4218">
        <v>115</v>
      </c>
      <c r="G4218">
        <v>2246445</v>
      </c>
      <c r="H4218" t="s">
        <v>29443</v>
      </c>
      <c r="J4218" s="54" t="s">
        <v>6052</v>
      </c>
      <c r="K4218" s="54">
        <v>0</v>
      </c>
      <c r="L4218" s="22" t="s">
        <v>104</v>
      </c>
      <c r="M4218" s="22" t="s">
        <v>37163</v>
      </c>
    </row>
    <row r="4219" spans="1:13" x14ac:dyDescent="0.75">
      <c r="A4219" t="s">
        <v>13022</v>
      </c>
      <c r="B4219" t="s">
        <v>7140</v>
      </c>
      <c r="C4219" t="s">
        <v>6156</v>
      </c>
      <c r="D4219" t="s">
        <v>7141</v>
      </c>
      <c r="E4219" t="s">
        <v>13023</v>
      </c>
      <c r="F4219">
        <v>81</v>
      </c>
      <c r="G4219">
        <v>2239820</v>
      </c>
      <c r="H4219" t="s">
        <v>13024</v>
      </c>
      <c r="J4219" s="54" t="s">
        <v>6052</v>
      </c>
      <c r="K4219" s="54">
        <v>0</v>
      </c>
      <c r="L4219" s="22" t="s">
        <v>104</v>
      </c>
      <c r="M4219" s="22" t="s">
        <v>37163</v>
      </c>
    </row>
    <row r="4220" spans="1:13" x14ac:dyDescent="0.75">
      <c r="A4220" t="s">
        <v>12720</v>
      </c>
      <c r="B4220" t="s">
        <v>7140</v>
      </c>
      <c r="C4220" t="s">
        <v>6156</v>
      </c>
      <c r="D4220" t="s">
        <v>7141</v>
      </c>
      <c r="E4220" t="s">
        <v>12721</v>
      </c>
      <c r="F4220">
        <v>111</v>
      </c>
      <c r="G4220">
        <v>2261793</v>
      </c>
      <c r="H4220" t="s">
        <v>12722</v>
      </c>
      <c r="J4220" s="54" t="s">
        <v>6052</v>
      </c>
      <c r="K4220" s="54">
        <v>0</v>
      </c>
      <c r="L4220" s="22" t="s">
        <v>104</v>
      </c>
      <c r="M4220" s="22" t="s">
        <v>37163</v>
      </c>
    </row>
    <row r="4221" spans="1:13" x14ac:dyDescent="0.75">
      <c r="A4221" t="s">
        <v>12786</v>
      </c>
      <c r="B4221" t="s">
        <v>7140</v>
      </c>
      <c r="C4221" t="s">
        <v>6156</v>
      </c>
      <c r="D4221" t="s">
        <v>7141</v>
      </c>
      <c r="E4221" t="s">
        <v>12787</v>
      </c>
      <c r="F4221">
        <v>82</v>
      </c>
      <c r="G4221">
        <v>2229188</v>
      </c>
      <c r="H4221" t="s">
        <v>12788</v>
      </c>
      <c r="J4221" s="54" t="s">
        <v>6052</v>
      </c>
      <c r="K4221" s="54">
        <v>0</v>
      </c>
      <c r="L4221" s="22" t="s">
        <v>104</v>
      </c>
      <c r="M4221" s="22" t="s">
        <v>37163</v>
      </c>
    </row>
    <row r="4222" spans="1:13" x14ac:dyDescent="0.75">
      <c r="A4222" t="s">
        <v>12804</v>
      </c>
      <c r="B4222" t="s">
        <v>7140</v>
      </c>
      <c r="C4222" t="s">
        <v>6156</v>
      </c>
      <c r="D4222" t="s">
        <v>7141</v>
      </c>
      <c r="E4222" t="s">
        <v>12805</v>
      </c>
      <c r="F4222">
        <v>95</v>
      </c>
      <c r="G4222">
        <v>2206325</v>
      </c>
      <c r="H4222" t="s">
        <v>12806</v>
      </c>
      <c r="J4222" s="54" t="s">
        <v>6052</v>
      </c>
      <c r="K4222" s="54">
        <v>0</v>
      </c>
      <c r="L4222" s="22" t="s">
        <v>104</v>
      </c>
      <c r="M4222" s="22" t="s">
        <v>37163</v>
      </c>
    </row>
    <row r="4223" spans="1:13" x14ac:dyDescent="0.75">
      <c r="A4223" t="s">
        <v>12987</v>
      </c>
      <c r="B4223" t="s">
        <v>7140</v>
      </c>
      <c r="C4223" t="s">
        <v>6156</v>
      </c>
      <c r="D4223" t="s">
        <v>7141</v>
      </c>
      <c r="E4223" t="s">
        <v>12988</v>
      </c>
      <c r="F4223">
        <v>102</v>
      </c>
      <c r="G4223">
        <v>2314384</v>
      </c>
      <c r="H4223" t="s">
        <v>12989</v>
      </c>
      <c r="J4223" s="54" t="s">
        <v>6052</v>
      </c>
      <c r="K4223" s="54">
        <v>0</v>
      </c>
      <c r="L4223" s="22" t="s">
        <v>104</v>
      </c>
      <c r="M4223" s="22" t="s">
        <v>37163</v>
      </c>
    </row>
    <row r="4224" spans="1:13" x14ac:dyDescent="0.75">
      <c r="A4224" t="s">
        <v>12945</v>
      </c>
      <c r="B4224" t="s">
        <v>7140</v>
      </c>
      <c r="C4224" t="s">
        <v>6156</v>
      </c>
      <c r="D4224" t="s">
        <v>7141</v>
      </c>
      <c r="E4224" t="s">
        <v>12946</v>
      </c>
      <c r="F4224">
        <v>183</v>
      </c>
      <c r="G4224">
        <v>2249644</v>
      </c>
      <c r="H4224" t="s">
        <v>12947</v>
      </c>
      <c r="J4224" s="54" t="s">
        <v>6052</v>
      </c>
      <c r="K4224" s="54">
        <v>0</v>
      </c>
      <c r="L4224" s="22" t="s">
        <v>104</v>
      </c>
      <c r="M4224" s="22" t="s">
        <v>37163</v>
      </c>
    </row>
    <row r="4225" spans="1:13" x14ac:dyDescent="0.75">
      <c r="A4225" t="s">
        <v>13049</v>
      </c>
      <c r="B4225" t="s">
        <v>7140</v>
      </c>
      <c r="C4225" t="s">
        <v>6156</v>
      </c>
      <c r="D4225" t="s">
        <v>7141</v>
      </c>
      <c r="E4225" t="s">
        <v>13050</v>
      </c>
      <c r="F4225">
        <v>108</v>
      </c>
      <c r="G4225">
        <v>2217149</v>
      </c>
      <c r="H4225" t="s">
        <v>13051</v>
      </c>
      <c r="J4225" s="54" t="s">
        <v>6052</v>
      </c>
      <c r="K4225" s="54">
        <v>0</v>
      </c>
      <c r="L4225" s="22" t="s">
        <v>104</v>
      </c>
      <c r="M4225" s="22" t="s">
        <v>37163</v>
      </c>
    </row>
    <row r="4226" spans="1:13" x14ac:dyDescent="0.75">
      <c r="A4226" t="s">
        <v>12853</v>
      </c>
      <c r="B4226" t="s">
        <v>7140</v>
      </c>
      <c r="C4226" t="s">
        <v>6156</v>
      </c>
      <c r="D4226" t="s">
        <v>7141</v>
      </c>
      <c r="E4226" t="s">
        <v>12854</v>
      </c>
      <c r="F4226">
        <v>86</v>
      </c>
      <c r="G4226">
        <v>2302204</v>
      </c>
      <c r="H4226" t="s">
        <v>12855</v>
      </c>
      <c r="J4226" s="54" t="s">
        <v>6052</v>
      </c>
      <c r="K4226" s="54">
        <v>0</v>
      </c>
      <c r="L4226" s="22" t="s">
        <v>104</v>
      </c>
      <c r="M4226" s="22" t="s">
        <v>37163</v>
      </c>
    </row>
    <row r="4227" spans="1:13" x14ac:dyDescent="0.75">
      <c r="A4227" t="s">
        <v>12841</v>
      </c>
      <c r="B4227" t="s">
        <v>7140</v>
      </c>
      <c r="C4227" t="s">
        <v>6156</v>
      </c>
      <c r="D4227" t="s">
        <v>7141</v>
      </c>
      <c r="E4227" t="s">
        <v>12842</v>
      </c>
      <c r="F4227">
        <v>82</v>
      </c>
      <c r="G4227">
        <v>2304183</v>
      </c>
      <c r="H4227" t="s">
        <v>12843</v>
      </c>
      <c r="J4227" s="54" t="s">
        <v>6052</v>
      </c>
      <c r="K4227" s="54">
        <v>0</v>
      </c>
      <c r="L4227" s="22" t="s">
        <v>104</v>
      </c>
      <c r="M4227" s="22" t="s">
        <v>37163</v>
      </c>
    </row>
    <row r="4228" spans="1:13" x14ac:dyDescent="0.75">
      <c r="A4228" t="s">
        <v>12818</v>
      </c>
      <c r="B4228" t="s">
        <v>7140</v>
      </c>
      <c r="C4228" t="s">
        <v>6156</v>
      </c>
      <c r="D4228" t="s">
        <v>7141</v>
      </c>
      <c r="E4228" t="s">
        <v>12819</v>
      </c>
      <c r="F4228">
        <v>94</v>
      </c>
      <c r="G4228">
        <v>2302917</v>
      </c>
      <c r="H4228" t="s">
        <v>12820</v>
      </c>
      <c r="J4228" s="54" t="s">
        <v>6052</v>
      </c>
      <c r="K4228" s="54">
        <v>0</v>
      </c>
      <c r="L4228" s="22" t="s">
        <v>104</v>
      </c>
      <c r="M4228" s="22" t="s">
        <v>37163</v>
      </c>
    </row>
    <row r="4229" spans="1:13" x14ac:dyDescent="0.75">
      <c r="A4229" t="s">
        <v>12930</v>
      </c>
      <c r="B4229" t="s">
        <v>7140</v>
      </c>
      <c r="C4229" t="s">
        <v>6156</v>
      </c>
      <c r="D4229" t="s">
        <v>7141</v>
      </c>
      <c r="E4229" t="s">
        <v>12931</v>
      </c>
      <c r="F4229">
        <v>78</v>
      </c>
      <c r="G4229">
        <v>2209874</v>
      </c>
      <c r="H4229" t="s">
        <v>12932</v>
      </c>
      <c r="J4229" s="54" t="s">
        <v>6052</v>
      </c>
      <c r="K4229" s="54">
        <v>0</v>
      </c>
      <c r="L4229" s="22" t="s">
        <v>104</v>
      </c>
      <c r="M4229" s="22" t="s">
        <v>37163</v>
      </c>
    </row>
    <row r="4230" spans="1:13" x14ac:dyDescent="0.75">
      <c r="A4230" t="s">
        <v>12807</v>
      </c>
      <c r="B4230" t="s">
        <v>7140</v>
      </c>
      <c r="C4230" t="s">
        <v>6156</v>
      </c>
      <c r="D4230" t="s">
        <v>7141</v>
      </c>
      <c r="E4230" t="s">
        <v>12808</v>
      </c>
      <c r="F4230">
        <v>101</v>
      </c>
      <c r="G4230">
        <v>2271132</v>
      </c>
      <c r="H4230" t="s">
        <v>12809</v>
      </c>
      <c r="J4230" s="54" t="s">
        <v>6052</v>
      </c>
      <c r="K4230" s="54">
        <v>0</v>
      </c>
      <c r="L4230" s="22" t="s">
        <v>104</v>
      </c>
      <c r="M4230" s="22" t="s">
        <v>37163</v>
      </c>
    </row>
    <row r="4231" spans="1:13" x14ac:dyDescent="0.75">
      <c r="A4231" t="s">
        <v>12685</v>
      </c>
      <c r="B4231" t="s">
        <v>7140</v>
      </c>
      <c r="C4231" t="s">
        <v>6156</v>
      </c>
      <c r="D4231" t="s">
        <v>7141</v>
      </c>
      <c r="E4231" t="s">
        <v>12686</v>
      </c>
      <c r="F4231">
        <v>91</v>
      </c>
      <c r="G4231">
        <v>2217005</v>
      </c>
      <c r="H4231" t="s">
        <v>12687</v>
      </c>
      <c r="J4231" s="54" t="s">
        <v>6052</v>
      </c>
      <c r="K4231" s="54">
        <v>0</v>
      </c>
      <c r="L4231" s="22" t="s">
        <v>104</v>
      </c>
      <c r="M4231" s="22" t="s">
        <v>37163</v>
      </c>
    </row>
    <row r="4232" spans="1:13" x14ac:dyDescent="0.75">
      <c r="A4232" t="s">
        <v>12768</v>
      </c>
      <c r="B4232" t="s">
        <v>7140</v>
      </c>
      <c r="C4232" t="s">
        <v>6156</v>
      </c>
      <c r="D4232" t="s">
        <v>7141</v>
      </c>
      <c r="E4232" t="s">
        <v>12769</v>
      </c>
      <c r="F4232">
        <v>151</v>
      </c>
      <c r="G4232">
        <v>2328563</v>
      </c>
      <c r="H4232" t="s">
        <v>12770</v>
      </c>
      <c r="J4232" s="54" t="s">
        <v>6052</v>
      </c>
      <c r="K4232" s="54">
        <v>0</v>
      </c>
      <c r="L4232" s="22" t="s">
        <v>104</v>
      </c>
      <c r="M4232" s="22" t="s">
        <v>37163</v>
      </c>
    </row>
    <row r="4233" spans="1:13" x14ac:dyDescent="0.75">
      <c r="A4233" t="s">
        <v>13070</v>
      </c>
      <c r="B4233" t="s">
        <v>7140</v>
      </c>
      <c r="C4233" t="s">
        <v>6156</v>
      </c>
      <c r="D4233" t="s">
        <v>7141</v>
      </c>
      <c r="E4233" t="s">
        <v>13071</v>
      </c>
      <c r="F4233">
        <v>73</v>
      </c>
      <c r="G4233">
        <v>2238578</v>
      </c>
      <c r="H4233" t="s">
        <v>13072</v>
      </c>
      <c r="J4233" s="54" t="s">
        <v>6052</v>
      </c>
      <c r="K4233" s="54">
        <v>0</v>
      </c>
      <c r="L4233" s="22" t="s">
        <v>104</v>
      </c>
      <c r="M4233" s="22" t="s">
        <v>37163</v>
      </c>
    </row>
    <row r="4234" spans="1:13" x14ac:dyDescent="0.75">
      <c r="A4234" t="s">
        <v>19592</v>
      </c>
      <c r="B4234" t="s">
        <v>7140</v>
      </c>
      <c r="C4234" t="s">
        <v>6156</v>
      </c>
      <c r="D4234" t="s">
        <v>7141</v>
      </c>
      <c r="E4234" t="s">
        <v>19593</v>
      </c>
      <c r="F4234">
        <v>71</v>
      </c>
      <c r="G4234">
        <v>2148734</v>
      </c>
      <c r="H4234" t="s">
        <v>19594</v>
      </c>
      <c r="J4234" s="54" t="s">
        <v>6052</v>
      </c>
      <c r="K4234" s="54">
        <v>0</v>
      </c>
      <c r="L4234" s="22" t="s">
        <v>104</v>
      </c>
      <c r="M4234" s="22" t="s">
        <v>37163</v>
      </c>
    </row>
    <row r="4235" spans="1:13" x14ac:dyDescent="0.75">
      <c r="A4235" t="s">
        <v>19601</v>
      </c>
      <c r="B4235" t="s">
        <v>7140</v>
      </c>
      <c r="C4235" t="s">
        <v>6156</v>
      </c>
      <c r="D4235" t="s">
        <v>7141</v>
      </c>
      <c r="E4235" t="s">
        <v>19602</v>
      </c>
      <c r="F4235">
        <v>30</v>
      </c>
      <c r="G4235">
        <v>2217615</v>
      </c>
      <c r="H4235" t="s">
        <v>19603</v>
      </c>
      <c r="J4235" s="54" t="s">
        <v>6052</v>
      </c>
      <c r="K4235" s="54">
        <v>0</v>
      </c>
      <c r="L4235" s="22" t="s">
        <v>104</v>
      </c>
      <c r="M4235" s="22" t="s">
        <v>37163</v>
      </c>
    </row>
    <row r="4236" spans="1:13" x14ac:dyDescent="0.75">
      <c r="A4236" t="s">
        <v>15313</v>
      </c>
      <c r="B4236" t="s">
        <v>7140</v>
      </c>
      <c r="C4236" t="s">
        <v>6156</v>
      </c>
      <c r="D4236" t="s">
        <v>7141</v>
      </c>
      <c r="E4236" t="s">
        <v>15314</v>
      </c>
      <c r="F4236">
        <v>1</v>
      </c>
      <c r="G4236">
        <v>2321871</v>
      </c>
      <c r="H4236" t="s">
        <v>15315</v>
      </c>
      <c r="J4236" s="54" t="s">
        <v>6052</v>
      </c>
      <c r="K4236" s="54">
        <v>0</v>
      </c>
      <c r="L4236" s="22" t="s">
        <v>104</v>
      </c>
      <c r="M4236" s="22" t="s">
        <v>37163</v>
      </c>
    </row>
    <row r="4237" spans="1:13" x14ac:dyDescent="0.75">
      <c r="A4237" t="s">
        <v>28575</v>
      </c>
      <c r="B4237" t="s">
        <v>7140</v>
      </c>
      <c r="C4237" t="s">
        <v>6156</v>
      </c>
      <c r="D4237" t="s">
        <v>7141</v>
      </c>
      <c r="E4237" t="s">
        <v>28576</v>
      </c>
      <c r="F4237">
        <v>16</v>
      </c>
      <c r="G4237">
        <v>2136685</v>
      </c>
      <c r="H4237" t="s">
        <v>28577</v>
      </c>
      <c r="J4237" s="54" t="s">
        <v>6052</v>
      </c>
      <c r="K4237" s="54">
        <v>0</v>
      </c>
      <c r="L4237" s="22" t="s">
        <v>104</v>
      </c>
      <c r="M4237" s="22" t="s">
        <v>37163</v>
      </c>
    </row>
    <row r="4238" spans="1:13" x14ac:dyDescent="0.75">
      <c r="A4238" t="s">
        <v>28045</v>
      </c>
      <c r="B4238" t="s">
        <v>7140</v>
      </c>
      <c r="C4238" t="s">
        <v>6156</v>
      </c>
      <c r="D4238" t="s">
        <v>7141</v>
      </c>
      <c r="E4238" t="s">
        <v>28046</v>
      </c>
      <c r="F4238">
        <v>34</v>
      </c>
      <c r="G4238">
        <v>2207472</v>
      </c>
      <c r="H4238" t="s">
        <v>28047</v>
      </c>
      <c r="J4238" s="54" t="s">
        <v>6052</v>
      </c>
      <c r="K4238" s="54">
        <v>0</v>
      </c>
      <c r="L4238" s="22" t="s">
        <v>104</v>
      </c>
      <c r="M4238" s="22" t="s">
        <v>37163</v>
      </c>
    </row>
    <row r="4239" spans="1:13" x14ac:dyDescent="0.75">
      <c r="A4239" t="s">
        <v>7139</v>
      </c>
      <c r="B4239" t="s">
        <v>7140</v>
      </c>
      <c r="C4239" t="s">
        <v>6156</v>
      </c>
      <c r="D4239" t="s">
        <v>7141</v>
      </c>
      <c r="E4239" t="s">
        <v>7142</v>
      </c>
      <c r="F4239">
        <v>63</v>
      </c>
      <c r="G4239">
        <v>2292986</v>
      </c>
      <c r="H4239" t="s">
        <v>7143</v>
      </c>
      <c r="J4239" s="54" t="s">
        <v>6052</v>
      </c>
      <c r="K4239" s="54">
        <v>0</v>
      </c>
      <c r="L4239" s="22" t="s">
        <v>104</v>
      </c>
      <c r="M4239" s="22" t="s">
        <v>37163</v>
      </c>
    </row>
    <row r="4240" spans="1:13" x14ac:dyDescent="0.75">
      <c r="A4240" t="s">
        <v>28856</v>
      </c>
      <c r="B4240" t="s">
        <v>7140</v>
      </c>
      <c r="C4240" t="s">
        <v>6156</v>
      </c>
      <c r="D4240" t="s">
        <v>7141</v>
      </c>
      <c r="E4240" t="s">
        <v>28857</v>
      </c>
      <c r="F4240">
        <v>39</v>
      </c>
      <c r="G4240">
        <v>2153782</v>
      </c>
      <c r="H4240" t="s">
        <v>28858</v>
      </c>
      <c r="J4240" s="54" t="s">
        <v>6052</v>
      </c>
      <c r="K4240" s="54">
        <v>0</v>
      </c>
      <c r="L4240" s="22" t="s">
        <v>104</v>
      </c>
      <c r="M4240" s="22" t="s">
        <v>37163</v>
      </c>
    </row>
    <row r="4241" spans="1:13" x14ac:dyDescent="0.75">
      <c r="A4241" t="s">
        <v>29695</v>
      </c>
      <c r="B4241" t="s">
        <v>7140</v>
      </c>
      <c r="C4241" t="s">
        <v>6156</v>
      </c>
      <c r="D4241" t="s">
        <v>7141</v>
      </c>
      <c r="E4241" t="s">
        <v>29696</v>
      </c>
      <c r="F4241">
        <v>23</v>
      </c>
      <c r="G4241">
        <v>2144886</v>
      </c>
      <c r="H4241" t="s">
        <v>29697</v>
      </c>
      <c r="J4241" s="54" t="s">
        <v>6052</v>
      </c>
      <c r="K4241" s="54">
        <v>0</v>
      </c>
      <c r="L4241" s="22" t="s">
        <v>104</v>
      </c>
      <c r="M4241" s="22" t="s">
        <v>37163</v>
      </c>
    </row>
    <row r="4242" spans="1:13" x14ac:dyDescent="0.75">
      <c r="A4242" t="s">
        <v>7952</v>
      </c>
      <c r="B4242" t="s">
        <v>7948</v>
      </c>
      <c r="C4242" t="s">
        <v>6156</v>
      </c>
      <c r="D4242" t="s">
        <v>7949</v>
      </c>
      <c r="E4242" t="s">
        <v>7953</v>
      </c>
      <c r="F4242">
        <v>40</v>
      </c>
      <c r="G4242">
        <v>2125582</v>
      </c>
      <c r="H4242" t="s">
        <v>7954</v>
      </c>
      <c r="J4242" s="54" t="s">
        <v>6052</v>
      </c>
      <c r="K4242" s="54">
        <v>0</v>
      </c>
      <c r="L4242" s="22" t="s">
        <v>144</v>
      </c>
      <c r="M4242" s="22" t="s">
        <v>37172</v>
      </c>
    </row>
    <row r="4243" spans="1:13" x14ac:dyDescent="0.75">
      <c r="A4243" t="s">
        <v>14373</v>
      </c>
      <c r="B4243" t="s">
        <v>7140</v>
      </c>
      <c r="C4243" t="s">
        <v>6156</v>
      </c>
      <c r="D4243" t="s">
        <v>7141</v>
      </c>
      <c r="E4243" t="s">
        <v>14374</v>
      </c>
      <c r="F4243">
        <v>1</v>
      </c>
      <c r="G4243">
        <v>2344520</v>
      </c>
      <c r="H4243" t="s">
        <v>14375</v>
      </c>
      <c r="J4243" s="54" t="s">
        <v>6052</v>
      </c>
      <c r="K4243" s="54">
        <v>0</v>
      </c>
      <c r="L4243" s="22" t="s">
        <v>104</v>
      </c>
      <c r="M4243" s="22" t="s">
        <v>37163</v>
      </c>
    </row>
    <row r="4244" spans="1:13" x14ac:dyDescent="0.75">
      <c r="A4244" t="s">
        <v>14295</v>
      </c>
      <c r="B4244" t="s">
        <v>7140</v>
      </c>
      <c r="C4244" t="s">
        <v>6156</v>
      </c>
      <c r="D4244" t="s">
        <v>7141</v>
      </c>
      <c r="E4244" t="s">
        <v>14296</v>
      </c>
      <c r="F4244">
        <v>28</v>
      </c>
      <c r="G4244">
        <v>2311158</v>
      </c>
      <c r="H4244" t="s">
        <v>14297</v>
      </c>
      <c r="J4244" s="54" t="s">
        <v>6052</v>
      </c>
      <c r="K4244" s="54">
        <v>0</v>
      </c>
      <c r="L4244" s="22" t="s">
        <v>104</v>
      </c>
      <c r="M4244" s="22" t="s">
        <v>37163</v>
      </c>
    </row>
    <row r="4245" spans="1:13" x14ac:dyDescent="0.75">
      <c r="A4245" t="s">
        <v>30676</v>
      </c>
      <c r="B4245" t="s">
        <v>7229</v>
      </c>
      <c r="C4245" t="s">
        <v>6156</v>
      </c>
      <c r="D4245" t="s">
        <v>7230</v>
      </c>
      <c r="E4245" t="s">
        <v>30677</v>
      </c>
      <c r="F4245">
        <v>59</v>
      </c>
      <c r="G4245">
        <v>2040588</v>
      </c>
      <c r="H4245" t="s">
        <v>30678</v>
      </c>
      <c r="J4245" s="54" t="s">
        <v>6052</v>
      </c>
      <c r="K4245" s="54">
        <v>0</v>
      </c>
      <c r="L4245" s="22" t="s">
        <v>104</v>
      </c>
      <c r="M4245" s="22" t="s">
        <v>37168</v>
      </c>
    </row>
    <row r="4246" spans="1:13" x14ac:dyDescent="0.75">
      <c r="A4246" t="s">
        <v>30688</v>
      </c>
      <c r="B4246" t="s">
        <v>7229</v>
      </c>
      <c r="C4246" t="s">
        <v>6156</v>
      </c>
      <c r="D4246" t="s">
        <v>7230</v>
      </c>
      <c r="E4246" t="s">
        <v>30689</v>
      </c>
      <c r="F4246">
        <v>79</v>
      </c>
      <c r="G4246">
        <v>2091671</v>
      </c>
      <c r="H4246" t="s">
        <v>30690</v>
      </c>
      <c r="J4246" s="54" t="s">
        <v>6052</v>
      </c>
      <c r="K4246" s="54">
        <v>0</v>
      </c>
      <c r="L4246" s="22" t="s">
        <v>104</v>
      </c>
      <c r="M4246" s="22" t="s">
        <v>37168</v>
      </c>
    </row>
    <row r="4247" spans="1:13" x14ac:dyDescent="0.75">
      <c r="A4247" t="s">
        <v>30700</v>
      </c>
      <c r="B4247" t="s">
        <v>7229</v>
      </c>
      <c r="C4247" t="s">
        <v>6156</v>
      </c>
      <c r="D4247" t="s">
        <v>7230</v>
      </c>
      <c r="E4247" t="s">
        <v>30701</v>
      </c>
      <c r="F4247">
        <v>80</v>
      </c>
      <c r="G4247">
        <v>2082280</v>
      </c>
      <c r="H4247" t="s">
        <v>30702</v>
      </c>
      <c r="J4247" s="54" t="s">
        <v>6052</v>
      </c>
      <c r="K4247" s="54">
        <v>0</v>
      </c>
      <c r="L4247" s="22" t="s">
        <v>104</v>
      </c>
      <c r="M4247" s="22" t="s">
        <v>37168</v>
      </c>
    </row>
    <row r="4248" spans="1:13" x14ac:dyDescent="0.75">
      <c r="A4248" t="s">
        <v>30703</v>
      </c>
      <c r="B4248" t="s">
        <v>7229</v>
      </c>
      <c r="C4248" t="s">
        <v>6156</v>
      </c>
      <c r="D4248" t="s">
        <v>7230</v>
      </c>
      <c r="E4248" t="s">
        <v>30704</v>
      </c>
      <c r="F4248">
        <v>80</v>
      </c>
      <c r="G4248">
        <v>2033226</v>
      </c>
      <c r="H4248" t="s">
        <v>30705</v>
      </c>
      <c r="J4248" s="54" t="s">
        <v>6052</v>
      </c>
      <c r="K4248" s="54">
        <v>0</v>
      </c>
      <c r="L4248" s="22" t="s">
        <v>104</v>
      </c>
      <c r="M4248" s="22" t="s">
        <v>37168</v>
      </c>
    </row>
    <row r="4249" spans="1:13" x14ac:dyDescent="0.75">
      <c r="A4249" t="s">
        <v>30679</v>
      </c>
      <c r="B4249" t="s">
        <v>7229</v>
      </c>
      <c r="C4249" t="s">
        <v>6156</v>
      </c>
      <c r="D4249" t="s">
        <v>7230</v>
      </c>
      <c r="E4249" t="s">
        <v>30680</v>
      </c>
      <c r="F4249">
        <v>61</v>
      </c>
      <c r="G4249">
        <v>2066844</v>
      </c>
      <c r="H4249" t="s">
        <v>30681</v>
      </c>
      <c r="J4249" s="54" t="s">
        <v>6052</v>
      </c>
      <c r="K4249" s="54">
        <v>0</v>
      </c>
      <c r="L4249" s="22" t="s">
        <v>104</v>
      </c>
      <c r="M4249" s="22" t="s">
        <v>37168</v>
      </c>
    </row>
    <row r="4250" spans="1:13" x14ac:dyDescent="0.75">
      <c r="A4250" t="s">
        <v>30706</v>
      </c>
      <c r="B4250" t="s">
        <v>7229</v>
      </c>
      <c r="C4250" t="s">
        <v>6156</v>
      </c>
      <c r="D4250" t="s">
        <v>7230</v>
      </c>
      <c r="E4250" t="s">
        <v>30707</v>
      </c>
      <c r="F4250">
        <v>69</v>
      </c>
      <c r="G4250">
        <v>2027523</v>
      </c>
      <c r="H4250" t="s">
        <v>30708</v>
      </c>
      <c r="J4250" s="54" t="s">
        <v>6052</v>
      </c>
      <c r="K4250" s="54">
        <v>0</v>
      </c>
      <c r="L4250" s="22" t="s">
        <v>104</v>
      </c>
      <c r="M4250" s="22" t="s">
        <v>37168</v>
      </c>
    </row>
    <row r="4251" spans="1:13" x14ac:dyDescent="0.75">
      <c r="A4251" t="s">
        <v>30721</v>
      </c>
      <c r="B4251" t="s">
        <v>7229</v>
      </c>
      <c r="C4251" t="s">
        <v>6156</v>
      </c>
      <c r="D4251" t="s">
        <v>7230</v>
      </c>
      <c r="E4251" t="s">
        <v>30722</v>
      </c>
      <c r="F4251">
        <v>74</v>
      </c>
      <c r="G4251">
        <v>2027189</v>
      </c>
      <c r="H4251" t="s">
        <v>30723</v>
      </c>
      <c r="J4251" s="54" t="s">
        <v>6052</v>
      </c>
      <c r="K4251" s="54">
        <v>0</v>
      </c>
      <c r="L4251" s="22" t="s">
        <v>104</v>
      </c>
      <c r="M4251" s="22" t="s">
        <v>37168</v>
      </c>
    </row>
    <row r="4252" spans="1:13" x14ac:dyDescent="0.75">
      <c r="A4252" t="s">
        <v>30709</v>
      </c>
      <c r="B4252" t="s">
        <v>7229</v>
      </c>
      <c r="C4252" t="s">
        <v>6156</v>
      </c>
      <c r="D4252" t="s">
        <v>7230</v>
      </c>
      <c r="E4252" t="s">
        <v>30710</v>
      </c>
      <c r="F4252">
        <v>66</v>
      </c>
      <c r="G4252">
        <v>2123641</v>
      </c>
      <c r="H4252" t="s">
        <v>30711</v>
      </c>
      <c r="J4252" s="54" t="s">
        <v>6052</v>
      </c>
      <c r="K4252" s="54">
        <v>0</v>
      </c>
      <c r="L4252" s="22" t="s">
        <v>104</v>
      </c>
      <c r="M4252" s="22" t="s">
        <v>37168</v>
      </c>
    </row>
    <row r="4253" spans="1:13" x14ac:dyDescent="0.75">
      <c r="A4253" t="s">
        <v>7228</v>
      </c>
      <c r="B4253" t="s">
        <v>7229</v>
      </c>
      <c r="C4253" t="s">
        <v>6156</v>
      </c>
      <c r="D4253" t="s">
        <v>7230</v>
      </c>
      <c r="E4253" t="s">
        <v>7231</v>
      </c>
      <c r="F4253">
        <v>139</v>
      </c>
      <c r="G4253">
        <v>2030958</v>
      </c>
      <c r="H4253" t="s">
        <v>7232</v>
      </c>
      <c r="J4253" s="54" t="s">
        <v>6052</v>
      </c>
      <c r="K4253" s="54">
        <v>0</v>
      </c>
      <c r="L4253" s="22" t="s">
        <v>104</v>
      </c>
      <c r="M4253" s="22" t="s">
        <v>37168</v>
      </c>
    </row>
    <row r="4254" spans="1:13" x14ac:dyDescent="0.75">
      <c r="A4254" t="s">
        <v>14901</v>
      </c>
      <c r="B4254" t="s">
        <v>7229</v>
      </c>
      <c r="C4254" t="s">
        <v>6156</v>
      </c>
      <c r="D4254" t="s">
        <v>7230</v>
      </c>
      <c r="E4254" t="s">
        <v>14902</v>
      </c>
      <c r="F4254">
        <v>46</v>
      </c>
      <c r="G4254">
        <v>2124254</v>
      </c>
      <c r="H4254" t="s">
        <v>14903</v>
      </c>
      <c r="J4254" s="54" t="s">
        <v>6052</v>
      </c>
      <c r="K4254" s="54">
        <v>0</v>
      </c>
      <c r="L4254" s="22" t="s">
        <v>104</v>
      </c>
      <c r="M4254" s="22" t="s">
        <v>37168</v>
      </c>
    </row>
    <row r="4255" spans="1:13" x14ac:dyDescent="0.75">
      <c r="A4255" t="s">
        <v>30765</v>
      </c>
      <c r="B4255" t="s">
        <v>7229</v>
      </c>
      <c r="C4255" t="s">
        <v>6156</v>
      </c>
      <c r="D4255" t="s">
        <v>7230</v>
      </c>
      <c r="E4255" t="s">
        <v>30766</v>
      </c>
      <c r="F4255">
        <v>45</v>
      </c>
      <c r="G4255">
        <v>2003518</v>
      </c>
      <c r="H4255" t="s">
        <v>30767</v>
      </c>
      <c r="J4255" s="54" t="s">
        <v>6052</v>
      </c>
      <c r="K4255" s="54">
        <v>0</v>
      </c>
      <c r="L4255" s="22" t="s">
        <v>104</v>
      </c>
      <c r="M4255" s="22" t="s">
        <v>37168</v>
      </c>
    </row>
    <row r="4256" spans="1:13" x14ac:dyDescent="0.75">
      <c r="A4256" t="s">
        <v>30771</v>
      </c>
      <c r="B4256" t="s">
        <v>7229</v>
      </c>
      <c r="C4256" t="s">
        <v>6156</v>
      </c>
      <c r="D4256" t="s">
        <v>7230</v>
      </c>
      <c r="E4256" t="s">
        <v>30772</v>
      </c>
      <c r="F4256">
        <v>51</v>
      </c>
      <c r="G4256">
        <v>2015242</v>
      </c>
      <c r="H4256" t="s">
        <v>30773</v>
      </c>
      <c r="J4256" s="54" t="s">
        <v>6052</v>
      </c>
      <c r="K4256" s="54">
        <v>0</v>
      </c>
      <c r="L4256" s="22" t="s">
        <v>104</v>
      </c>
      <c r="M4256" s="22" t="s">
        <v>37168</v>
      </c>
    </row>
    <row r="4257" spans="1:13" x14ac:dyDescent="0.75">
      <c r="A4257" t="s">
        <v>14880</v>
      </c>
      <c r="B4257" t="s">
        <v>7948</v>
      </c>
      <c r="C4257" t="s">
        <v>6156</v>
      </c>
      <c r="D4257" t="s">
        <v>7949</v>
      </c>
      <c r="E4257" t="s">
        <v>14881</v>
      </c>
      <c r="F4257">
        <v>28</v>
      </c>
      <c r="G4257">
        <v>2198878</v>
      </c>
      <c r="H4257" t="s">
        <v>14882</v>
      </c>
      <c r="J4257" s="54" t="s">
        <v>6052</v>
      </c>
      <c r="K4257" s="54">
        <v>0</v>
      </c>
      <c r="L4257" s="22" t="s">
        <v>144</v>
      </c>
      <c r="M4257" s="22" t="s">
        <v>37172</v>
      </c>
    </row>
    <row r="4258" spans="1:13" x14ac:dyDescent="0.75">
      <c r="A4258" t="s">
        <v>14832</v>
      </c>
      <c r="B4258" t="s">
        <v>7948</v>
      </c>
      <c r="C4258" t="s">
        <v>6156</v>
      </c>
      <c r="D4258" t="s">
        <v>7949</v>
      </c>
      <c r="E4258" t="s">
        <v>14833</v>
      </c>
      <c r="F4258">
        <v>34</v>
      </c>
      <c r="G4258">
        <v>2147612</v>
      </c>
      <c r="H4258" t="s">
        <v>14834</v>
      </c>
      <c r="J4258" s="54" t="s">
        <v>6052</v>
      </c>
      <c r="K4258" s="54">
        <v>0</v>
      </c>
      <c r="L4258" s="22" t="s">
        <v>144</v>
      </c>
      <c r="M4258" s="22" t="s">
        <v>37172</v>
      </c>
    </row>
    <row r="4259" spans="1:13" x14ac:dyDescent="0.75">
      <c r="A4259" t="s">
        <v>30768</v>
      </c>
      <c r="B4259" t="s">
        <v>7229</v>
      </c>
      <c r="C4259" t="s">
        <v>6156</v>
      </c>
      <c r="D4259" t="s">
        <v>7230</v>
      </c>
      <c r="E4259" t="s">
        <v>30769</v>
      </c>
      <c r="F4259">
        <v>65</v>
      </c>
      <c r="G4259">
        <v>1992246</v>
      </c>
      <c r="H4259" t="s">
        <v>30770</v>
      </c>
      <c r="J4259" s="54" t="s">
        <v>6052</v>
      </c>
      <c r="K4259" s="54">
        <v>0</v>
      </c>
      <c r="L4259" s="22" t="s">
        <v>104</v>
      </c>
      <c r="M4259" s="22" t="s">
        <v>37168</v>
      </c>
    </row>
    <row r="4260" spans="1:13" x14ac:dyDescent="0.75">
      <c r="A4260" t="s">
        <v>30777</v>
      </c>
      <c r="B4260" t="s">
        <v>7229</v>
      </c>
      <c r="C4260" t="s">
        <v>6156</v>
      </c>
      <c r="D4260" t="s">
        <v>7230</v>
      </c>
      <c r="E4260" t="s">
        <v>30778</v>
      </c>
      <c r="F4260">
        <v>65</v>
      </c>
      <c r="G4260">
        <v>2043961</v>
      </c>
      <c r="H4260" t="s">
        <v>30779</v>
      </c>
      <c r="J4260" s="54" t="s">
        <v>6052</v>
      </c>
      <c r="K4260" s="54">
        <v>0</v>
      </c>
      <c r="L4260" s="22" t="s">
        <v>104</v>
      </c>
      <c r="M4260" s="22" t="s">
        <v>37168</v>
      </c>
    </row>
    <row r="4261" spans="1:13" x14ac:dyDescent="0.75">
      <c r="A4261" t="s">
        <v>14877</v>
      </c>
      <c r="B4261" t="s">
        <v>7948</v>
      </c>
      <c r="C4261" t="s">
        <v>6156</v>
      </c>
      <c r="D4261" t="s">
        <v>7949</v>
      </c>
      <c r="E4261" t="s">
        <v>14878</v>
      </c>
      <c r="F4261">
        <v>20</v>
      </c>
      <c r="G4261">
        <v>2143813</v>
      </c>
      <c r="H4261" t="s">
        <v>14879</v>
      </c>
      <c r="J4261" s="54" t="s">
        <v>6052</v>
      </c>
      <c r="K4261" s="54">
        <v>0</v>
      </c>
      <c r="L4261" s="22" t="s">
        <v>144</v>
      </c>
      <c r="M4261" s="22" t="s">
        <v>37172</v>
      </c>
    </row>
    <row r="4262" spans="1:13" x14ac:dyDescent="0.75">
      <c r="A4262" t="s">
        <v>19936</v>
      </c>
      <c r="B4262" t="s">
        <v>7229</v>
      </c>
      <c r="C4262" t="s">
        <v>6156</v>
      </c>
      <c r="D4262" t="s">
        <v>7230</v>
      </c>
      <c r="E4262" t="s">
        <v>19937</v>
      </c>
      <c r="F4262">
        <v>66</v>
      </c>
      <c r="G4262">
        <v>2087788</v>
      </c>
      <c r="H4262" t="s">
        <v>19938</v>
      </c>
      <c r="J4262" s="54" t="s">
        <v>6052</v>
      </c>
      <c r="K4262" s="54">
        <v>0</v>
      </c>
      <c r="L4262" s="22" t="s">
        <v>104</v>
      </c>
      <c r="M4262" s="22" t="s">
        <v>37168</v>
      </c>
    </row>
    <row r="4263" spans="1:13" x14ac:dyDescent="0.75">
      <c r="A4263" t="s">
        <v>30751</v>
      </c>
      <c r="B4263" t="s">
        <v>7229</v>
      </c>
      <c r="C4263" t="s">
        <v>6156</v>
      </c>
      <c r="D4263" t="s">
        <v>7230</v>
      </c>
      <c r="E4263" t="s">
        <v>30752</v>
      </c>
      <c r="F4263">
        <v>54</v>
      </c>
      <c r="G4263">
        <v>2067297</v>
      </c>
      <c r="H4263" t="s">
        <v>30753</v>
      </c>
      <c r="J4263" s="54" t="s">
        <v>6052</v>
      </c>
      <c r="K4263" s="54">
        <v>0</v>
      </c>
      <c r="L4263" s="22" t="s">
        <v>104</v>
      </c>
      <c r="M4263" s="22" t="s">
        <v>37168</v>
      </c>
    </row>
    <row r="4264" spans="1:13" x14ac:dyDescent="0.75">
      <c r="A4264" t="s">
        <v>30745</v>
      </c>
      <c r="B4264" t="s">
        <v>7229</v>
      </c>
      <c r="C4264" t="s">
        <v>6156</v>
      </c>
      <c r="D4264" t="s">
        <v>7230</v>
      </c>
      <c r="E4264" t="s">
        <v>30746</v>
      </c>
      <c r="F4264">
        <v>49</v>
      </c>
      <c r="G4264">
        <v>2016110</v>
      </c>
      <c r="H4264" t="s">
        <v>30747</v>
      </c>
      <c r="J4264" s="54" t="s">
        <v>6052</v>
      </c>
      <c r="K4264" s="54">
        <v>0</v>
      </c>
      <c r="L4264" s="22" t="s">
        <v>104</v>
      </c>
      <c r="M4264" s="22" t="s">
        <v>37168</v>
      </c>
    </row>
    <row r="4265" spans="1:13" x14ac:dyDescent="0.75">
      <c r="A4265" t="s">
        <v>30736</v>
      </c>
      <c r="B4265" t="s">
        <v>7229</v>
      </c>
      <c r="C4265" t="s">
        <v>6156</v>
      </c>
      <c r="D4265" t="s">
        <v>7230</v>
      </c>
      <c r="E4265" t="s">
        <v>30737</v>
      </c>
      <c r="F4265">
        <v>54</v>
      </c>
      <c r="G4265">
        <v>2016191</v>
      </c>
      <c r="H4265" t="s">
        <v>30738</v>
      </c>
      <c r="J4265" s="54" t="s">
        <v>6052</v>
      </c>
      <c r="K4265" s="54">
        <v>0</v>
      </c>
      <c r="L4265" s="22" t="s">
        <v>104</v>
      </c>
      <c r="M4265" s="22" t="s">
        <v>37168</v>
      </c>
    </row>
    <row r="4266" spans="1:13" x14ac:dyDescent="0.75">
      <c r="A4266" t="s">
        <v>30727</v>
      </c>
      <c r="B4266" t="s">
        <v>7229</v>
      </c>
      <c r="C4266" t="s">
        <v>6156</v>
      </c>
      <c r="D4266" t="s">
        <v>7230</v>
      </c>
      <c r="E4266" t="s">
        <v>30728</v>
      </c>
      <c r="F4266">
        <v>57</v>
      </c>
      <c r="G4266">
        <v>2029584</v>
      </c>
      <c r="H4266" t="s">
        <v>30729</v>
      </c>
      <c r="J4266" s="54" t="s">
        <v>6052</v>
      </c>
      <c r="K4266" s="54">
        <v>0</v>
      </c>
      <c r="L4266" s="22" t="s">
        <v>104</v>
      </c>
      <c r="M4266" s="22" t="s">
        <v>37168</v>
      </c>
    </row>
    <row r="4267" spans="1:13" x14ac:dyDescent="0.75">
      <c r="A4267" t="s">
        <v>30748</v>
      </c>
      <c r="B4267" t="s">
        <v>7229</v>
      </c>
      <c r="C4267" t="s">
        <v>6156</v>
      </c>
      <c r="D4267" t="s">
        <v>7230</v>
      </c>
      <c r="E4267" t="s">
        <v>30749</v>
      </c>
      <c r="F4267">
        <v>44</v>
      </c>
      <c r="G4267">
        <v>2060076</v>
      </c>
      <c r="H4267" t="s">
        <v>30750</v>
      </c>
      <c r="J4267" s="54" t="s">
        <v>6052</v>
      </c>
      <c r="K4267" s="54">
        <v>0</v>
      </c>
      <c r="L4267" s="22" t="s">
        <v>104</v>
      </c>
      <c r="M4267" s="22" t="s">
        <v>37168</v>
      </c>
    </row>
    <row r="4268" spans="1:13" x14ac:dyDescent="0.75">
      <c r="A4268" t="s">
        <v>30730</v>
      </c>
      <c r="B4268" t="s">
        <v>7229</v>
      </c>
      <c r="C4268" t="s">
        <v>6156</v>
      </c>
      <c r="D4268" t="s">
        <v>7230</v>
      </c>
      <c r="E4268" t="s">
        <v>30731</v>
      </c>
      <c r="F4268">
        <v>49</v>
      </c>
      <c r="G4268">
        <v>2001699</v>
      </c>
      <c r="H4268" t="s">
        <v>30732</v>
      </c>
      <c r="J4268" s="54" t="s">
        <v>6052</v>
      </c>
      <c r="K4268" s="54">
        <v>0</v>
      </c>
      <c r="L4268" s="22" t="s">
        <v>104</v>
      </c>
      <c r="M4268" s="22" t="s">
        <v>37168</v>
      </c>
    </row>
    <row r="4269" spans="1:13" x14ac:dyDescent="0.75">
      <c r="A4269" t="s">
        <v>30733</v>
      </c>
      <c r="B4269" t="s">
        <v>7229</v>
      </c>
      <c r="C4269" t="s">
        <v>6156</v>
      </c>
      <c r="D4269" t="s">
        <v>7230</v>
      </c>
      <c r="E4269" t="s">
        <v>30734</v>
      </c>
      <c r="F4269">
        <v>56</v>
      </c>
      <c r="G4269">
        <v>2000976</v>
      </c>
      <c r="H4269" t="s">
        <v>30735</v>
      </c>
      <c r="J4269" s="54" t="s">
        <v>6052</v>
      </c>
      <c r="K4269" s="54">
        <v>0</v>
      </c>
      <c r="L4269" s="22" t="s">
        <v>104</v>
      </c>
      <c r="M4269" s="22" t="s">
        <v>37168</v>
      </c>
    </row>
    <row r="4270" spans="1:13" x14ac:dyDescent="0.75">
      <c r="A4270" t="s">
        <v>30739</v>
      </c>
      <c r="B4270" t="s">
        <v>7229</v>
      </c>
      <c r="C4270" t="s">
        <v>6156</v>
      </c>
      <c r="D4270" t="s">
        <v>7230</v>
      </c>
      <c r="E4270" t="s">
        <v>30740</v>
      </c>
      <c r="F4270">
        <v>51</v>
      </c>
      <c r="G4270">
        <v>2009666</v>
      </c>
      <c r="H4270" t="s">
        <v>30741</v>
      </c>
      <c r="J4270" s="54" t="s">
        <v>6052</v>
      </c>
      <c r="K4270" s="54">
        <v>0</v>
      </c>
      <c r="L4270" s="22" t="s">
        <v>104</v>
      </c>
      <c r="M4270" s="22" t="s">
        <v>37168</v>
      </c>
    </row>
    <row r="4271" spans="1:13" x14ac:dyDescent="0.75">
      <c r="A4271" t="s">
        <v>30724</v>
      </c>
      <c r="B4271" t="s">
        <v>7229</v>
      </c>
      <c r="C4271" t="s">
        <v>6156</v>
      </c>
      <c r="D4271" t="s">
        <v>7230</v>
      </c>
      <c r="E4271" t="s">
        <v>30725</v>
      </c>
      <c r="F4271">
        <v>48</v>
      </c>
      <c r="G4271">
        <v>2114309</v>
      </c>
      <c r="H4271" t="s">
        <v>30726</v>
      </c>
      <c r="J4271" s="54" t="s">
        <v>6052</v>
      </c>
      <c r="K4271" s="54">
        <v>0</v>
      </c>
      <c r="L4271" s="22" t="s">
        <v>104</v>
      </c>
      <c r="M4271" s="22" t="s">
        <v>37168</v>
      </c>
    </row>
    <row r="4272" spans="1:13" x14ac:dyDescent="0.75">
      <c r="A4272" t="s">
        <v>14895</v>
      </c>
      <c r="B4272" t="s">
        <v>7948</v>
      </c>
      <c r="C4272" t="s">
        <v>6156</v>
      </c>
      <c r="D4272" t="s">
        <v>7949</v>
      </c>
      <c r="E4272" t="s">
        <v>14896</v>
      </c>
      <c r="F4272">
        <v>21</v>
      </c>
      <c r="G4272">
        <v>2140496</v>
      </c>
      <c r="H4272" t="s">
        <v>14897</v>
      </c>
      <c r="J4272" s="54" t="s">
        <v>6052</v>
      </c>
      <c r="K4272" s="54">
        <v>0</v>
      </c>
      <c r="L4272" s="22" t="s">
        <v>144</v>
      </c>
      <c r="M4272" s="22" t="s">
        <v>37172</v>
      </c>
    </row>
    <row r="4273" spans="1:13" x14ac:dyDescent="0.75">
      <c r="A4273" t="s">
        <v>30742</v>
      </c>
      <c r="B4273" t="s">
        <v>7229</v>
      </c>
      <c r="C4273" t="s">
        <v>6156</v>
      </c>
      <c r="D4273" t="s">
        <v>7230</v>
      </c>
      <c r="E4273" t="s">
        <v>30743</v>
      </c>
      <c r="F4273">
        <v>43</v>
      </c>
      <c r="G4273">
        <v>2000913</v>
      </c>
      <c r="H4273" t="s">
        <v>30744</v>
      </c>
      <c r="J4273" s="54" t="s">
        <v>6052</v>
      </c>
      <c r="K4273" s="54">
        <v>0</v>
      </c>
      <c r="L4273" s="22" t="s">
        <v>104</v>
      </c>
      <c r="M4273" s="22" t="s">
        <v>37168</v>
      </c>
    </row>
    <row r="4274" spans="1:13" x14ac:dyDescent="0.75">
      <c r="A4274" t="s">
        <v>15344</v>
      </c>
      <c r="B4274" t="s">
        <v>7229</v>
      </c>
      <c r="C4274" t="s">
        <v>6156</v>
      </c>
      <c r="D4274" t="s">
        <v>7230</v>
      </c>
      <c r="E4274" t="s">
        <v>15345</v>
      </c>
      <c r="F4274">
        <v>1</v>
      </c>
      <c r="G4274">
        <v>2024930</v>
      </c>
      <c r="H4274" t="s">
        <v>15346</v>
      </c>
      <c r="J4274" s="54" t="s">
        <v>6052</v>
      </c>
      <c r="K4274" s="54">
        <v>0</v>
      </c>
      <c r="L4274" s="22" t="s">
        <v>104</v>
      </c>
      <c r="M4274" s="22" t="s">
        <v>37168</v>
      </c>
    </row>
    <row r="4275" spans="1:13" x14ac:dyDescent="0.75">
      <c r="A4275" t="s">
        <v>15768</v>
      </c>
      <c r="B4275" t="s">
        <v>7229</v>
      </c>
      <c r="C4275" t="s">
        <v>6156</v>
      </c>
      <c r="D4275" t="s">
        <v>7230</v>
      </c>
      <c r="E4275" t="s">
        <v>15769</v>
      </c>
      <c r="F4275">
        <v>16</v>
      </c>
      <c r="G4275">
        <v>2057444</v>
      </c>
      <c r="H4275" t="s">
        <v>15770</v>
      </c>
      <c r="J4275" s="54" t="s">
        <v>6052</v>
      </c>
      <c r="K4275" s="54">
        <v>0</v>
      </c>
      <c r="L4275" s="22" t="s">
        <v>104</v>
      </c>
      <c r="M4275" s="22" t="s">
        <v>37168</v>
      </c>
    </row>
    <row r="4276" spans="1:13" x14ac:dyDescent="0.75">
      <c r="A4276" t="s">
        <v>20722</v>
      </c>
      <c r="B4276" t="s">
        <v>7229</v>
      </c>
      <c r="C4276" t="s">
        <v>6156</v>
      </c>
      <c r="D4276" t="s">
        <v>7230</v>
      </c>
      <c r="E4276" t="s">
        <v>20723</v>
      </c>
      <c r="F4276">
        <v>139</v>
      </c>
      <c r="G4276">
        <v>2196582</v>
      </c>
      <c r="H4276" t="s">
        <v>20724</v>
      </c>
      <c r="J4276" s="54" t="s">
        <v>6052</v>
      </c>
      <c r="K4276" s="54">
        <v>0</v>
      </c>
      <c r="L4276" s="22" t="s">
        <v>104</v>
      </c>
      <c r="M4276" s="22" t="s">
        <v>37168</v>
      </c>
    </row>
    <row r="4277" spans="1:13" x14ac:dyDescent="0.75">
      <c r="A4277" t="s">
        <v>7576</v>
      </c>
      <c r="B4277" t="s">
        <v>7229</v>
      </c>
      <c r="C4277" t="s">
        <v>6156</v>
      </c>
      <c r="D4277" t="s">
        <v>7230</v>
      </c>
      <c r="E4277" t="s">
        <v>7577</v>
      </c>
      <c r="F4277">
        <v>289</v>
      </c>
      <c r="G4277">
        <v>2169528</v>
      </c>
      <c r="H4277" t="s">
        <v>7578</v>
      </c>
      <c r="J4277" s="54" t="s">
        <v>6052</v>
      </c>
      <c r="K4277" s="54">
        <v>0</v>
      </c>
      <c r="L4277" s="22" t="s">
        <v>104</v>
      </c>
      <c r="M4277" s="22" t="s">
        <v>37168</v>
      </c>
    </row>
    <row r="4278" spans="1:13" x14ac:dyDescent="0.75">
      <c r="A4278" t="s">
        <v>30685</v>
      </c>
      <c r="B4278" t="s">
        <v>7229</v>
      </c>
      <c r="C4278" t="s">
        <v>6156</v>
      </c>
      <c r="D4278" t="s">
        <v>7230</v>
      </c>
      <c r="E4278" t="s">
        <v>30686</v>
      </c>
      <c r="F4278">
        <v>73</v>
      </c>
      <c r="G4278">
        <v>2077665</v>
      </c>
      <c r="H4278" t="s">
        <v>30687</v>
      </c>
      <c r="J4278" s="54" t="s">
        <v>6052</v>
      </c>
      <c r="K4278" s="54">
        <v>0</v>
      </c>
      <c r="L4278" s="22" t="s">
        <v>104</v>
      </c>
      <c r="M4278" s="22" t="s">
        <v>37168</v>
      </c>
    </row>
    <row r="4279" spans="1:13" x14ac:dyDescent="0.75">
      <c r="A4279" t="s">
        <v>30715</v>
      </c>
      <c r="B4279" t="s">
        <v>7229</v>
      </c>
      <c r="C4279" t="s">
        <v>6156</v>
      </c>
      <c r="D4279" t="s">
        <v>7230</v>
      </c>
      <c r="E4279" t="s">
        <v>30716</v>
      </c>
      <c r="F4279">
        <v>67</v>
      </c>
      <c r="G4279">
        <v>2036939</v>
      </c>
      <c r="H4279" t="s">
        <v>30717</v>
      </c>
      <c r="J4279" s="54" t="s">
        <v>6052</v>
      </c>
      <c r="K4279" s="54">
        <v>0</v>
      </c>
      <c r="L4279" s="22" t="s">
        <v>104</v>
      </c>
      <c r="M4279" s="22" t="s">
        <v>37168</v>
      </c>
    </row>
    <row r="4280" spans="1:13" x14ac:dyDescent="0.75">
      <c r="A4280" t="s">
        <v>30718</v>
      </c>
      <c r="B4280" t="s">
        <v>7229</v>
      </c>
      <c r="C4280" t="s">
        <v>6156</v>
      </c>
      <c r="D4280" t="s">
        <v>7230</v>
      </c>
      <c r="E4280" t="s">
        <v>30719</v>
      </c>
      <c r="F4280">
        <v>58</v>
      </c>
      <c r="G4280">
        <v>2033671</v>
      </c>
      <c r="H4280" t="s">
        <v>30720</v>
      </c>
      <c r="J4280" s="54" t="s">
        <v>6052</v>
      </c>
      <c r="K4280" s="54">
        <v>0</v>
      </c>
      <c r="L4280" s="22" t="s">
        <v>104</v>
      </c>
      <c r="M4280" s="22" t="s">
        <v>37168</v>
      </c>
    </row>
    <row r="4281" spans="1:13" x14ac:dyDescent="0.75">
      <c r="A4281" t="s">
        <v>30691</v>
      </c>
      <c r="B4281" t="s">
        <v>7229</v>
      </c>
      <c r="C4281" t="s">
        <v>6156</v>
      </c>
      <c r="D4281" t="s">
        <v>7230</v>
      </c>
      <c r="E4281" t="s">
        <v>30692</v>
      </c>
      <c r="F4281">
        <v>65</v>
      </c>
      <c r="G4281">
        <v>2072317</v>
      </c>
      <c r="H4281" t="s">
        <v>30693</v>
      </c>
      <c r="J4281" s="54" t="s">
        <v>6052</v>
      </c>
      <c r="K4281" s="54">
        <v>0</v>
      </c>
      <c r="L4281" s="22" t="s">
        <v>104</v>
      </c>
      <c r="M4281" s="22" t="s">
        <v>37168</v>
      </c>
    </row>
    <row r="4282" spans="1:13" x14ac:dyDescent="0.75">
      <c r="A4282" t="s">
        <v>30682</v>
      </c>
      <c r="B4282" t="s">
        <v>7229</v>
      </c>
      <c r="C4282" t="s">
        <v>6156</v>
      </c>
      <c r="D4282" t="s">
        <v>7230</v>
      </c>
      <c r="E4282" t="s">
        <v>30683</v>
      </c>
      <c r="F4282">
        <v>66</v>
      </c>
      <c r="G4282">
        <v>2047697</v>
      </c>
      <c r="H4282" t="s">
        <v>30684</v>
      </c>
      <c r="J4282" s="54" t="s">
        <v>6052</v>
      </c>
      <c r="K4282" s="54">
        <v>0</v>
      </c>
      <c r="L4282" s="22" t="s">
        <v>104</v>
      </c>
      <c r="M4282" s="22" t="s">
        <v>37168</v>
      </c>
    </row>
    <row r="4283" spans="1:13" x14ac:dyDescent="0.75">
      <c r="A4283" t="s">
        <v>30697</v>
      </c>
      <c r="B4283" t="s">
        <v>7229</v>
      </c>
      <c r="C4283" t="s">
        <v>6156</v>
      </c>
      <c r="D4283" t="s">
        <v>7230</v>
      </c>
      <c r="E4283" t="s">
        <v>30698</v>
      </c>
      <c r="F4283">
        <v>65</v>
      </c>
      <c r="G4283">
        <v>2028948</v>
      </c>
      <c r="H4283" t="s">
        <v>30699</v>
      </c>
      <c r="J4283" s="54" t="s">
        <v>6052</v>
      </c>
      <c r="K4283" s="54">
        <v>0</v>
      </c>
      <c r="L4283" s="22" t="s">
        <v>104</v>
      </c>
      <c r="M4283" s="22" t="s">
        <v>37168</v>
      </c>
    </row>
    <row r="4284" spans="1:13" x14ac:dyDescent="0.75">
      <c r="A4284" t="s">
        <v>30712</v>
      </c>
      <c r="B4284" t="s">
        <v>7229</v>
      </c>
      <c r="C4284" t="s">
        <v>6156</v>
      </c>
      <c r="D4284" t="s">
        <v>7230</v>
      </c>
      <c r="E4284" t="s">
        <v>30713</v>
      </c>
      <c r="F4284">
        <v>83</v>
      </c>
      <c r="G4284">
        <v>2129071</v>
      </c>
      <c r="H4284" t="s">
        <v>30714</v>
      </c>
      <c r="J4284" s="54" t="s">
        <v>6052</v>
      </c>
      <c r="K4284" s="54">
        <v>0</v>
      </c>
      <c r="L4284" s="22" t="s">
        <v>104</v>
      </c>
      <c r="M4284" s="22" t="s">
        <v>37168</v>
      </c>
    </row>
    <row r="4285" spans="1:13" x14ac:dyDescent="0.75">
      <c r="A4285" t="s">
        <v>30694</v>
      </c>
      <c r="B4285" t="s">
        <v>7229</v>
      </c>
      <c r="C4285" t="s">
        <v>6156</v>
      </c>
      <c r="D4285" t="s">
        <v>7230</v>
      </c>
      <c r="E4285" t="s">
        <v>30695</v>
      </c>
      <c r="F4285">
        <v>60</v>
      </c>
      <c r="G4285">
        <v>2044889</v>
      </c>
      <c r="H4285" t="s">
        <v>30696</v>
      </c>
      <c r="J4285" s="54" t="s">
        <v>6052</v>
      </c>
      <c r="K4285" s="54">
        <v>0</v>
      </c>
      <c r="L4285" s="22" t="s">
        <v>104</v>
      </c>
      <c r="M4285" s="22" t="s">
        <v>37168</v>
      </c>
    </row>
    <row r="4286" spans="1:13" x14ac:dyDescent="0.75">
      <c r="A4286" t="s">
        <v>7574</v>
      </c>
      <c r="B4286" t="s">
        <v>7165</v>
      </c>
      <c r="C4286" t="s">
        <v>6156</v>
      </c>
      <c r="D4286" t="s">
        <v>7166</v>
      </c>
      <c r="E4286">
        <v>4320</v>
      </c>
      <c r="F4286">
        <v>169</v>
      </c>
      <c r="G4286">
        <v>2519401</v>
      </c>
      <c r="H4286" t="s">
        <v>7575</v>
      </c>
      <c r="J4286" s="54" t="s">
        <v>6052</v>
      </c>
      <c r="K4286" s="54">
        <v>0</v>
      </c>
      <c r="L4286" s="22" t="s">
        <v>104</v>
      </c>
      <c r="M4286" s="22" t="s">
        <v>37159</v>
      </c>
    </row>
    <row r="4287" spans="1:13" x14ac:dyDescent="0.75">
      <c r="A4287" t="s">
        <v>7164</v>
      </c>
      <c r="B4287" t="s">
        <v>7165</v>
      </c>
      <c r="C4287" t="s">
        <v>6156</v>
      </c>
      <c r="D4287" t="s">
        <v>7166</v>
      </c>
      <c r="E4287" t="s">
        <v>7167</v>
      </c>
      <c r="F4287">
        <v>61</v>
      </c>
      <c r="G4287">
        <v>2830772</v>
      </c>
      <c r="H4287" t="s">
        <v>7168</v>
      </c>
      <c r="J4287" s="54" t="s">
        <v>6052</v>
      </c>
      <c r="K4287" s="54">
        <v>0</v>
      </c>
      <c r="L4287" s="22" t="s">
        <v>104</v>
      </c>
      <c r="M4287" s="22" t="s">
        <v>37159</v>
      </c>
    </row>
    <row r="4288" spans="1:13" x14ac:dyDescent="0.75">
      <c r="A4288" t="s">
        <v>14820</v>
      </c>
      <c r="B4288" t="s">
        <v>7165</v>
      </c>
      <c r="C4288" t="s">
        <v>6156</v>
      </c>
      <c r="D4288" t="s">
        <v>7166</v>
      </c>
      <c r="E4288" t="s">
        <v>14821</v>
      </c>
      <c r="F4288">
        <v>24</v>
      </c>
      <c r="G4288">
        <v>2443310</v>
      </c>
      <c r="H4288" t="s">
        <v>14822</v>
      </c>
      <c r="J4288" s="54" t="s">
        <v>6052</v>
      </c>
      <c r="K4288" s="54">
        <v>0</v>
      </c>
      <c r="L4288" s="22" t="s">
        <v>104</v>
      </c>
      <c r="M4288" s="22" t="s">
        <v>37159</v>
      </c>
    </row>
    <row r="4289" spans="1:13" x14ac:dyDescent="0.75">
      <c r="A4289" t="s">
        <v>14835</v>
      </c>
      <c r="B4289" t="s">
        <v>7165</v>
      </c>
      <c r="C4289" t="s">
        <v>6156</v>
      </c>
      <c r="D4289" t="s">
        <v>7166</v>
      </c>
      <c r="E4289" t="s">
        <v>14836</v>
      </c>
      <c r="F4289">
        <v>16</v>
      </c>
      <c r="G4289">
        <v>2782649</v>
      </c>
      <c r="H4289" t="s">
        <v>14837</v>
      </c>
      <c r="J4289" s="54" t="s">
        <v>6052</v>
      </c>
      <c r="K4289" s="54">
        <v>0</v>
      </c>
      <c r="L4289" s="22" t="s">
        <v>104</v>
      </c>
      <c r="M4289" s="22" t="s">
        <v>37159</v>
      </c>
    </row>
    <row r="4290" spans="1:13" x14ac:dyDescent="0.75">
      <c r="A4290" t="s">
        <v>18812</v>
      </c>
      <c r="B4290" t="s">
        <v>7165</v>
      </c>
      <c r="C4290" t="s">
        <v>6156</v>
      </c>
      <c r="D4290" t="s">
        <v>7166</v>
      </c>
      <c r="E4290" t="s">
        <v>18813</v>
      </c>
      <c r="F4290">
        <v>1</v>
      </c>
      <c r="G4290">
        <v>2864419</v>
      </c>
      <c r="H4290" t="s">
        <v>18814</v>
      </c>
      <c r="J4290" s="54" t="s">
        <v>6052</v>
      </c>
      <c r="K4290" s="54">
        <v>0</v>
      </c>
      <c r="L4290" s="22" t="s">
        <v>104</v>
      </c>
      <c r="M4290" s="22" t="s">
        <v>37159</v>
      </c>
    </row>
    <row r="4291" spans="1:13" x14ac:dyDescent="0.75">
      <c r="A4291" t="s">
        <v>12885</v>
      </c>
      <c r="B4291" t="s">
        <v>7165</v>
      </c>
      <c r="C4291" t="s">
        <v>6156</v>
      </c>
      <c r="D4291" t="s">
        <v>7166</v>
      </c>
      <c r="E4291" t="s">
        <v>12886</v>
      </c>
      <c r="F4291">
        <v>201</v>
      </c>
      <c r="G4291">
        <v>2419681</v>
      </c>
      <c r="H4291" t="s">
        <v>12887</v>
      </c>
      <c r="J4291" s="54" t="s">
        <v>6052</v>
      </c>
      <c r="K4291" s="54">
        <v>0</v>
      </c>
      <c r="L4291" s="22" t="s">
        <v>104</v>
      </c>
      <c r="M4291" s="22" t="s">
        <v>37159</v>
      </c>
    </row>
    <row r="4292" spans="1:13" x14ac:dyDescent="0.75">
      <c r="A4292" t="s">
        <v>12652</v>
      </c>
      <c r="B4292" t="s">
        <v>7165</v>
      </c>
      <c r="C4292" t="s">
        <v>6156</v>
      </c>
      <c r="D4292" t="s">
        <v>7166</v>
      </c>
      <c r="E4292" t="s">
        <v>12653</v>
      </c>
      <c r="F4292">
        <v>274</v>
      </c>
      <c r="G4292">
        <v>2707625</v>
      </c>
      <c r="H4292" t="s">
        <v>12654</v>
      </c>
      <c r="J4292" s="54" t="s">
        <v>6052</v>
      </c>
      <c r="K4292" s="54">
        <v>0</v>
      </c>
      <c r="L4292" s="22" t="s">
        <v>104</v>
      </c>
      <c r="M4292" s="22" t="s">
        <v>37159</v>
      </c>
    </row>
    <row r="4293" spans="1:13" x14ac:dyDescent="0.75">
      <c r="A4293" t="s">
        <v>28124</v>
      </c>
      <c r="B4293" t="s">
        <v>7165</v>
      </c>
      <c r="C4293" t="s">
        <v>6156</v>
      </c>
      <c r="D4293" t="s">
        <v>7166</v>
      </c>
      <c r="E4293" t="s">
        <v>28125</v>
      </c>
      <c r="F4293">
        <v>64</v>
      </c>
      <c r="G4293">
        <v>2494758</v>
      </c>
      <c r="H4293" t="s">
        <v>28126</v>
      </c>
      <c r="J4293" s="54" t="s">
        <v>6052</v>
      </c>
      <c r="K4293" s="54">
        <v>0</v>
      </c>
      <c r="L4293" s="22" t="s">
        <v>104</v>
      </c>
      <c r="M4293" s="22" t="s">
        <v>37159</v>
      </c>
    </row>
    <row r="4294" spans="1:13" x14ac:dyDescent="0.75">
      <c r="A4294" t="s">
        <v>8585</v>
      </c>
      <c r="B4294" t="s">
        <v>7165</v>
      </c>
      <c r="C4294" t="s">
        <v>6156</v>
      </c>
      <c r="D4294" t="s">
        <v>7166</v>
      </c>
      <c r="E4294" t="s">
        <v>8586</v>
      </c>
      <c r="F4294">
        <v>210</v>
      </c>
      <c r="G4294">
        <v>2638449</v>
      </c>
      <c r="H4294" t="s">
        <v>8587</v>
      </c>
      <c r="J4294" s="54" t="s">
        <v>6052</v>
      </c>
      <c r="K4294" s="54">
        <v>0</v>
      </c>
      <c r="L4294" s="22" t="s">
        <v>104</v>
      </c>
      <c r="M4294" s="22" t="s">
        <v>37159</v>
      </c>
    </row>
    <row r="4295" spans="1:13" x14ac:dyDescent="0.75">
      <c r="A4295" t="s">
        <v>8984</v>
      </c>
      <c r="B4295" t="s">
        <v>8985</v>
      </c>
      <c r="C4295" t="s">
        <v>6156</v>
      </c>
      <c r="D4295" t="s">
        <v>8986</v>
      </c>
      <c r="E4295" t="s">
        <v>8987</v>
      </c>
      <c r="F4295">
        <v>226</v>
      </c>
      <c r="G4295">
        <v>2358903</v>
      </c>
      <c r="H4295" t="s">
        <v>8988</v>
      </c>
      <c r="J4295" s="54" t="s">
        <v>6052</v>
      </c>
      <c r="K4295" s="54">
        <v>0</v>
      </c>
      <c r="L4295" s="22" t="s">
        <v>104</v>
      </c>
      <c r="M4295" s="22" t="s">
        <v>37175</v>
      </c>
    </row>
    <row r="4296" spans="1:13" x14ac:dyDescent="0.75">
      <c r="A4296" t="s">
        <v>13821</v>
      </c>
      <c r="B4296" t="s">
        <v>8985</v>
      </c>
      <c r="C4296" t="s">
        <v>6156</v>
      </c>
      <c r="D4296" t="s">
        <v>8986</v>
      </c>
      <c r="E4296" t="s">
        <v>13822</v>
      </c>
      <c r="F4296">
        <v>1</v>
      </c>
      <c r="G4296">
        <v>2371912</v>
      </c>
      <c r="H4296" t="s">
        <v>13823</v>
      </c>
      <c r="J4296" s="54" t="s">
        <v>6052</v>
      </c>
      <c r="K4296" s="54">
        <v>0</v>
      </c>
      <c r="L4296" s="22" t="s">
        <v>104</v>
      </c>
      <c r="M4296" s="22" t="s">
        <v>37175</v>
      </c>
    </row>
    <row r="4297" spans="1:13" x14ac:dyDescent="0.75">
      <c r="A4297" t="s">
        <v>11087</v>
      </c>
      <c r="B4297" t="s">
        <v>7185</v>
      </c>
      <c r="C4297" t="s">
        <v>6156</v>
      </c>
      <c r="D4297" t="s">
        <v>7186</v>
      </c>
      <c r="E4297" t="s">
        <v>11088</v>
      </c>
      <c r="F4297">
        <v>85</v>
      </c>
      <c r="G4297">
        <v>2281658</v>
      </c>
      <c r="H4297" t="s">
        <v>11089</v>
      </c>
      <c r="J4297" s="54" t="s">
        <v>6052</v>
      </c>
      <c r="K4297" s="54">
        <v>0</v>
      </c>
      <c r="L4297" s="22" t="s">
        <v>104</v>
      </c>
      <c r="M4297" s="22" t="s">
        <v>37164</v>
      </c>
    </row>
    <row r="4298" spans="1:13" x14ac:dyDescent="0.75">
      <c r="A4298" t="s">
        <v>11151</v>
      </c>
      <c r="B4298" t="s">
        <v>7185</v>
      </c>
      <c r="C4298" t="s">
        <v>6156</v>
      </c>
      <c r="D4298" t="s">
        <v>7186</v>
      </c>
      <c r="E4298" t="s">
        <v>11152</v>
      </c>
      <c r="F4298">
        <v>62</v>
      </c>
      <c r="G4298">
        <v>2154030</v>
      </c>
      <c r="H4298" t="s">
        <v>11153</v>
      </c>
      <c r="J4298" s="54" t="s">
        <v>6052</v>
      </c>
      <c r="K4298" s="54">
        <v>0</v>
      </c>
      <c r="L4298" s="22" t="s">
        <v>104</v>
      </c>
      <c r="M4298" s="22" t="s">
        <v>37164</v>
      </c>
    </row>
    <row r="4299" spans="1:13" x14ac:dyDescent="0.75">
      <c r="A4299" t="s">
        <v>11154</v>
      </c>
      <c r="B4299" t="s">
        <v>7185</v>
      </c>
      <c r="C4299" t="s">
        <v>6156</v>
      </c>
      <c r="D4299" t="s">
        <v>7186</v>
      </c>
      <c r="E4299" t="s">
        <v>11155</v>
      </c>
      <c r="F4299">
        <v>59</v>
      </c>
      <c r="G4299">
        <v>2154389</v>
      </c>
      <c r="H4299" t="s">
        <v>11156</v>
      </c>
      <c r="J4299" s="54" t="s">
        <v>6052</v>
      </c>
      <c r="K4299" s="54">
        <v>0</v>
      </c>
      <c r="L4299" s="22" t="s">
        <v>104</v>
      </c>
      <c r="M4299" s="22" t="s">
        <v>37164</v>
      </c>
    </row>
    <row r="4300" spans="1:13" x14ac:dyDescent="0.75">
      <c r="A4300" t="s">
        <v>11172</v>
      </c>
      <c r="B4300" t="s">
        <v>7185</v>
      </c>
      <c r="C4300" t="s">
        <v>6156</v>
      </c>
      <c r="D4300" t="s">
        <v>7186</v>
      </c>
      <c r="E4300" t="s">
        <v>11173</v>
      </c>
      <c r="F4300">
        <v>148</v>
      </c>
      <c r="G4300">
        <v>2321103</v>
      </c>
      <c r="H4300" t="s">
        <v>11174</v>
      </c>
      <c r="J4300" s="54" t="s">
        <v>6052</v>
      </c>
      <c r="K4300" s="54">
        <v>0</v>
      </c>
      <c r="L4300" s="22" t="s">
        <v>104</v>
      </c>
      <c r="M4300" s="22" t="s">
        <v>37164</v>
      </c>
    </row>
    <row r="4301" spans="1:13" x14ac:dyDescent="0.75">
      <c r="A4301" t="s">
        <v>11175</v>
      </c>
      <c r="B4301" t="s">
        <v>7185</v>
      </c>
      <c r="C4301" t="s">
        <v>6156</v>
      </c>
      <c r="D4301" t="s">
        <v>7186</v>
      </c>
      <c r="E4301" t="s">
        <v>11176</v>
      </c>
      <c r="F4301">
        <v>130</v>
      </c>
      <c r="G4301">
        <v>2331495</v>
      </c>
      <c r="H4301" t="s">
        <v>11177</v>
      </c>
      <c r="J4301" s="54" t="s">
        <v>6052</v>
      </c>
      <c r="K4301" s="54">
        <v>0</v>
      </c>
      <c r="L4301" s="22" t="s">
        <v>104</v>
      </c>
      <c r="M4301" s="22" t="s">
        <v>37164</v>
      </c>
    </row>
    <row r="4302" spans="1:13" x14ac:dyDescent="0.75">
      <c r="A4302" t="s">
        <v>11178</v>
      </c>
      <c r="B4302" t="s">
        <v>7185</v>
      </c>
      <c r="C4302" t="s">
        <v>6156</v>
      </c>
      <c r="D4302" t="s">
        <v>7186</v>
      </c>
      <c r="E4302" t="s">
        <v>11179</v>
      </c>
      <c r="F4302">
        <v>122</v>
      </c>
      <c r="G4302">
        <v>2222581</v>
      </c>
      <c r="H4302" t="s">
        <v>11180</v>
      </c>
      <c r="J4302" s="54" t="s">
        <v>6052</v>
      </c>
      <c r="K4302" s="54">
        <v>0</v>
      </c>
      <c r="L4302" s="22" t="s">
        <v>104</v>
      </c>
      <c r="M4302" s="22" t="s">
        <v>37164</v>
      </c>
    </row>
    <row r="4303" spans="1:13" x14ac:dyDescent="0.75">
      <c r="A4303" t="s">
        <v>11187</v>
      </c>
      <c r="B4303" t="s">
        <v>7185</v>
      </c>
      <c r="C4303" t="s">
        <v>6156</v>
      </c>
      <c r="D4303" t="s">
        <v>7186</v>
      </c>
      <c r="E4303" t="s">
        <v>11188</v>
      </c>
      <c r="F4303">
        <v>130</v>
      </c>
      <c r="G4303">
        <v>2158847</v>
      </c>
      <c r="H4303" t="s">
        <v>11189</v>
      </c>
      <c r="J4303" s="54" t="s">
        <v>6052</v>
      </c>
      <c r="K4303" s="54">
        <v>0</v>
      </c>
      <c r="L4303" s="22" t="s">
        <v>104</v>
      </c>
      <c r="M4303" s="22" t="s">
        <v>37164</v>
      </c>
    </row>
    <row r="4304" spans="1:13" x14ac:dyDescent="0.75">
      <c r="A4304" t="s">
        <v>11190</v>
      </c>
      <c r="B4304" t="s">
        <v>7185</v>
      </c>
      <c r="C4304" t="s">
        <v>6156</v>
      </c>
      <c r="D4304" t="s">
        <v>7186</v>
      </c>
      <c r="E4304" t="s">
        <v>11191</v>
      </c>
      <c r="F4304">
        <v>109</v>
      </c>
      <c r="G4304">
        <v>2183132</v>
      </c>
      <c r="H4304" t="s">
        <v>11192</v>
      </c>
      <c r="J4304" s="54" t="s">
        <v>6052</v>
      </c>
      <c r="K4304" s="54">
        <v>0</v>
      </c>
      <c r="L4304" s="22" t="s">
        <v>104</v>
      </c>
      <c r="M4304" s="22" t="s">
        <v>37164</v>
      </c>
    </row>
    <row r="4305" spans="1:13" x14ac:dyDescent="0.75">
      <c r="A4305" t="s">
        <v>11196</v>
      </c>
      <c r="B4305" t="s">
        <v>7185</v>
      </c>
      <c r="C4305" t="s">
        <v>6156</v>
      </c>
      <c r="D4305" t="s">
        <v>7186</v>
      </c>
      <c r="E4305" t="s">
        <v>11197</v>
      </c>
      <c r="F4305">
        <v>68</v>
      </c>
      <c r="G4305">
        <v>2231564</v>
      </c>
      <c r="H4305" t="s">
        <v>11198</v>
      </c>
      <c r="J4305" s="54" t="s">
        <v>6052</v>
      </c>
      <c r="K4305" s="54">
        <v>0</v>
      </c>
      <c r="L4305" s="22" t="s">
        <v>104</v>
      </c>
      <c r="M4305" s="22" t="s">
        <v>37164</v>
      </c>
    </row>
    <row r="4306" spans="1:13" x14ac:dyDescent="0.75">
      <c r="A4306" t="s">
        <v>30074</v>
      </c>
      <c r="B4306" t="s">
        <v>7185</v>
      </c>
      <c r="C4306" t="s">
        <v>6156</v>
      </c>
      <c r="D4306" t="s">
        <v>7186</v>
      </c>
      <c r="E4306" t="s">
        <v>30075</v>
      </c>
      <c r="F4306">
        <v>192</v>
      </c>
      <c r="G4306">
        <v>2033978</v>
      </c>
      <c r="H4306" t="s">
        <v>30076</v>
      </c>
      <c r="J4306" s="54" t="s">
        <v>6052</v>
      </c>
      <c r="K4306" s="54">
        <v>0</v>
      </c>
      <c r="L4306" s="22" t="s">
        <v>104</v>
      </c>
      <c r="M4306" s="22" t="s">
        <v>37164</v>
      </c>
    </row>
    <row r="4307" spans="1:13" x14ac:dyDescent="0.75">
      <c r="A4307" t="s">
        <v>21220</v>
      </c>
      <c r="B4307" t="s">
        <v>7185</v>
      </c>
      <c r="C4307" t="s">
        <v>6156</v>
      </c>
      <c r="D4307" t="s">
        <v>7186</v>
      </c>
      <c r="E4307" t="s">
        <v>7167</v>
      </c>
      <c r="F4307">
        <v>1</v>
      </c>
      <c r="G4307">
        <v>2291167</v>
      </c>
      <c r="H4307" t="s">
        <v>21221</v>
      </c>
      <c r="J4307" s="54" t="s">
        <v>6052</v>
      </c>
      <c r="K4307" s="54">
        <v>0</v>
      </c>
      <c r="L4307" s="22" t="s">
        <v>104</v>
      </c>
      <c r="M4307" s="22" t="s">
        <v>37164</v>
      </c>
    </row>
    <row r="4308" spans="1:13" x14ac:dyDescent="0.75">
      <c r="A4308" t="s">
        <v>16699</v>
      </c>
      <c r="B4308" t="s">
        <v>7185</v>
      </c>
      <c r="C4308" t="s">
        <v>6156</v>
      </c>
      <c r="D4308" t="s">
        <v>7186</v>
      </c>
      <c r="E4308" t="s">
        <v>16700</v>
      </c>
      <c r="F4308">
        <v>1</v>
      </c>
      <c r="G4308">
        <v>2195659</v>
      </c>
      <c r="H4308" t="s">
        <v>16701</v>
      </c>
      <c r="J4308" s="54" t="s">
        <v>6052</v>
      </c>
      <c r="K4308" s="54">
        <v>0</v>
      </c>
      <c r="L4308" s="22" t="s">
        <v>104</v>
      </c>
      <c r="M4308" s="22" t="s">
        <v>37164</v>
      </c>
    </row>
    <row r="4309" spans="1:13" x14ac:dyDescent="0.75">
      <c r="A4309" t="s">
        <v>7429</v>
      </c>
      <c r="B4309" t="s">
        <v>7185</v>
      </c>
      <c r="C4309" t="s">
        <v>6156</v>
      </c>
      <c r="D4309" t="s">
        <v>7186</v>
      </c>
      <c r="E4309" t="s">
        <v>7430</v>
      </c>
      <c r="F4309">
        <v>23</v>
      </c>
      <c r="G4309">
        <v>2169437</v>
      </c>
      <c r="H4309" t="s">
        <v>7431</v>
      </c>
      <c r="J4309" s="54" t="s">
        <v>6052</v>
      </c>
      <c r="K4309" s="54">
        <v>0</v>
      </c>
      <c r="L4309" s="22" t="s">
        <v>104</v>
      </c>
      <c r="M4309" s="22" t="s">
        <v>37164</v>
      </c>
    </row>
    <row r="4310" spans="1:13" x14ac:dyDescent="0.75">
      <c r="A4310" t="s">
        <v>14814</v>
      </c>
      <c r="B4310" t="s">
        <v>7185</v>
      </c>
      <c r="C4310" t="s">
        <v>6156</v>
      </c>
      <c r="D4310" t="s">
        <v>7186</v>
      </c>
      <c r="E4310" t="s">
        <v>14815</v>
      </c>
      <c r="F4310">
        <v>38</v>
      </c>
      <c r="G4310">
        <v>2286423</v>
      </c>
      <c r="H4310" t="s">
        <v>14816</v>
      </c>
      <c r="J4310" s="54" t="s">
        <v>6052</v>
      </c>
      <c r="K4310" s="54">
        <v>0</v>
      </c>
      <c r="L4310" s="22" t="s">
        <v>104</v>
      </c>
      <c r="M4310" s="22" t="s">
        <v>37164</v>
      </c>
    </row>
    <row r="4311" spans="1:13" x14ac:dyDescent="0.75">
      <c r="A4311" t="s">
        <v>14826</v>
      </c>
      <c r="B4311" t="s">
        <v>7185</v>
      </c>
      <c r="C4311" t="s">
        <v>6156</v>
      </c>
      <c r="D4311" t="s">
        <v>7186</v>
      </c>
      <c r="E4311" t="s">
        <v>14827</v>
      </c>
      <c r="F4311">
        <v>34</v>
      </c>
      <c r="G4311">
        <v>2262420</v>
      </c>
      <c r="H4311" t="s">
        <v>14828</v>
      </c>
      <c r="J4311" s="54" t="s">
        <v>6052</v>
      </c>
      <c r="K4311" s="54">
        <v>0</v>
      </c>
      <c r="L4311" s="22" t="s">
        <v>104</v>
      </c>
      <c r="M4311" s="22" t="s">
        <v>37164</v>
      </c>
    </row>
    <row r="4312" spans="1:13" x14ac:dyDescent="0.75">
      <c r="A4312" t="s">
        <v>14871</v>
      </c>
      <c r="B4312" t="s">
        <v>7185</v>
      </c>
      <c r="C4312" t="s">
        <v>6156</v>
      </c>
      <c r="D4312" t="s">
        <v>7186</v>
      </c>
      <c r="E4312" t="s">
        <v>14872</v>
      </c>
      <c r="F4312">
        <v>32</v>
      </c>
      <c r="G4312">
        <v>2170564</v>
      </c>
      <c r="H4312" t="s">
        <v>14873</v>
      </c>
      <c r="J4312" s="54" t="s">
        <v>6052</v>
      </c>
      <c r="K4312" s="54">
        <v>0</v>
      </c>
      <c r="L4312" s="22" t="s">
        <v>104</v>
      </c>
      <c r="M4312" s="22" t="s">
        <v>37164</v>
      </c>
    </row>
    <row r="4313" spans="1:13" x14ac:dyDescent="0.75">
      <c r="A4313" t="s">
        <v>14847</v>
      </c>
      <c r="B4313" t="s">
        <v>7185</v>
      </c>
      <c r="C4313" t="s">
        <v>6156</v>
      </c>
      <c r="D4313" t="s">
        <v>7186</v>
      </c>
      <c r="E4313" t="s">
        <v>14848</v>
      </c>
      <c r="F4313">
        <v>23</v>
      </c>
      <c r="G4313">
        <v>2313531</v>
      </c>
      <c r="H4313" t="s">
        <v>14849</v>
      </c>
      <c r="J4313" s="54" t="s">
        <v>6052</v>
      </c>
      <c r="K4313" s="54">
        <v>0</v>
      </c>
      <c r="L4313" s="22" t="s">
        <v>104</v>
      </c>
      <c r="M4313" s="22" t="s">
        <v>37164</v>
      </c>
    </row>
    <row r="4314" spans="1:13" x14ac:dyDescent="0.75">
      <c r="A4314" t="s">
        <v>14889</v>
      </c>
      <c r="B4314" t="s">
        <v>7185</v>
      </c>
      <c r="C4314" t="s">
        <v>6156</v>
      </c>
      <c r="D4314" t="s">
        <v>7186</v>
      </c>
      <c r="E4314" t="s">
        <v>14890</v>
      </c>
      <c r="F4314">
        <v>31</v>
      </c>
      <c r="G4314">
        <v>2291329</v>
      </c>
      <c r="H4314" t="s">
        <v>14891</v>
      </c>
      <c r="J4314" s="54" t="s">
        <v>6052</v>
      </c>
      <c r="K4314" s="54">
        <v>0</v>
      </c>
      <c r="L4314" s="22" t="s">
        <v>104</v>
      </c>
      <c r="M4314" s="22" t="s">
        <v>37164</v>
      </c>
    </row>
    <row r="4315" spans="1:13" x14ac:dyDescent="0.75">
      <c r="A4315" t="s">
        <v>14850</v>
      </c>
      <c r="B4315" t="s">
        <v>7185</v>
      </c>
      <c r="C4315" t="s">
        <v>6156</v>
      </c>
      <c r="D4315" t="s">
        <v>7186</v>
      </c>
      <c r="E4315" t="s">
        <v>14851</v>
      </c>
      <c r="F4315">
        <v>36</v>
      </c>
      <c r="G4315">
        <v>2156548</v>
      </c>
      <c r="H4315" t="s">
        <v>14852</v>
      </c>
      <c r="J4315" s="54" t="s">
        <v>6052</v>
      </c>
      <c r="K4315" s="54">
        <v>0</v>
      </c>
      <c r="L4315" s="22" t="s">
        <v>104</v>
      </c>
      <c r="M4315" s="22" t="s">
        <v>37164</v>
      </c>
    </row>
    <row r="4316" spans="1:13" x14ac:dyDescent="0.75">
      <c r="A4316" t="s">
        <v>14886</v>
      </c>
      <c r="B4316" t="s">
        <v>7185</v>
      </c>
      <c r="C4316" t="s">
        <v>6156</v>
      </c>
      <c r="D4316" t="s">
        <v>7186</v>
      </c>
      <c r="E4316" t="s">
        <v>14887</v>
      </c>
      <c r="F4316">
        <v>9</v>
      </c>
      <c r="G4316">
        <v>2159006</v>
      </c>
      <c r="H4316" t="s">
        <v>14888</v>
      </c>
      <c r="J4316" s="54" t="s">
        <v>6052</v>
      </c>
      <c r="K4316" s="54">
        <v>0</v>
      </c>
      <c r="L4316" s="22" t="s">
        <v>104</v>
      </c>
      <c r="M4316" s="22" t="s">
        <v>37164</v>
      </c>
    </row>
    <row r="4317" spans="1:13" x14ac:dyDescent="0.75">
      <c r="A4317" t="s">
        <v>14898</v>
      </c>
      <c r="B4317" t="s">
        <v>7185</v>
      </c>
      <c r="C4317" t="s">
        <v>6156</v>
      </c>
      <c r="D4317" t="s">
        <v>7186</v>
      </c>
      <c r="E4317" t="s">
        <v>14899</v>
      </c>
      <c r="F4317">
        <v>23</v>
      </c>
      <c r="G4317">
        <v>2231960</v>
      </c>
      <c r="H4317" t="s">
        <v>14900</v>
      </c>
      <c r="J4317" s="54" t="s">
        <v>6052</v>
      </c>
      <c r="K4317" s="54">
        <v>0</v>
      </c>
      <c r="L4317" s="22" t="s">
        <v>104</v>
      </c>
      <c r="M4317" s="22" t="s">
        <v>37164</v>
      </c>
    </row>
    <row r="4318" spans="1:13" x14ac:dyDescent="0.75">
      <c r="A4318" t="s">
        <v>10627</v>
      </c>
      <c r="B4318" t="s">
        <v>7185</v>
      </c>
      <c r="C4318" t="s">
        <v>6156</v>
      </c>
      <c r="D4318" t="s">
        <v>7186</v>
      </c>
      <c r="E4318" t="s">
        <v>10628</v>
      </c>
      <c r="F4318">
        <v>34</v>
      </c>
      <c r="G4318">
        <v>2138952</v>
      </c>
      <c r="H4318" t="s">
        <v>10629</v>
      </c>
      <c r="J4318" s="54" t="s">
        <v>6052</v>
      </c>
      <c r="K4318" s="54">
        <v>0</v>
      </c>
      <c r="L4318" s="22" t="s">
        <v>104</v>
      </c>
      <c r="M4318" s="22" t="s">
        <v>37164</v>
      </c>
    </row>
    <row r="4319" spans="1:13" x14ac:dyDescent="0.75">
      <c r="A4319" t="s">
        <v>30819</v>
      </c>
      <c r="B4319" t="s">
        <v>7185</v>
      </c>
      <c r="C4319" t="s">
        <v>6156</v>
      </c>
      <c r="D4319" t="s">
        <v>7186</v>
      </c>
      <c r="E4319" t="s">
        <v>30820</v>
      </c>
      <c r="F4319">
        <v>17</v>
      </c>
      <c r="G4319">
        <v>2218205</v>
      </c>
      <c r="H4319" t="s">
        <v>30821</v>
      </c>
      <c r="J4319" s="54" t="s">
        <v>6052</v>
      </c>
      <c r="K4319" s="54">
        <v>0</v>
      </c>
      <c r="L4319" s="22" t="s">
        <v>104</v>
      </c>
      <c r="M4319" s="22" t="s">
        <v>37164</v>
      </c>
    </row>
    <row r="4320" spans="1:13" x14ac:dyDescent="0.75">
      <c r="A4320" t="s">
        <v>15264</v>
      </c>
      <c r="B4320" t="s">
        <v>10951</v>
      </c>
      <c r="C4320" t="s">
        <v>6156</v>
      </c>
      <c r="D4320" t="s">
        <v>10952</v>
      </c>
      <c r="E4320" t="s">
        <v>15265</v>
      </c>
      <c r="F4320">
        <v>77</v>
      </c>
      <c r="G4320">
        <v>2142774</v>
      </c>
      <c r="H4320" t="s">
        <v>15266</v>
      </c>
      <c r="J4320" s="54" t="s">
        <v>6052</v>
      </c>
      <c r="K4320" s="54">
        <v>0</v>
      </c>
      <c r="L4320" s="22" t="s">
        <v>36804</v>
      </c>
      <c r="M4320" s="22" t="s">
        <v>37162</v>
      </c>
    </row>
    <row r="4321" spans="1:13" x14ac:dyDescent="0.75">
      <c r="A4321" t="s">
        <v>30828</v>
      </c>
      <c r="B4321" t="s">
        <v>7185</v>
      </c>
      <c r="C4321" t="s">
        <v>6156</v>
      </c>
      <c r="D4321" t="s">
        <v>7186</v>
      </c>
      <c r="E4321" t="s">
        <v>30829</v>
      </c>
      <c r="F4321">
        <v>71</v>
      </c>
      <c r="G4321">
        <v>2155950</v>
      </c>
      <c r="H4321" t="s">
        <v>30830</v>
      </c>
      <c r="J4321" s="54" t="s">
        <v>6052</v>
      </c>
      <c r="K4321" s="54">
        <v>0</v>
      </c>
      <c r="L4321" s="22" t="s">
        <v>104</v>
      </c>
      <c r="M4321" s="22" t="s">
        <v>37164</v>
      </c>
    </row>
    <row r="4322" spans="1:13" x14ac:dyDescent="0.75">
      <c r="A4322" t="s">
        <v>30825</v>
      </c>
      <c r="B4322" t="s">
        <v>7185</v>
      </c>
      <c r="C4322" t="s">
        <v>6156</v>
      </c>
      <c r="D4322" t="s">
        <v>7186</v>
      </c>
      <c r="E4322" t="s">
        <v>30826</v>
      </c>
      <c r="F4322">
        <v>126</v>
      </c>
      <c r="G4322">
        <v>2283276</v>
      </c>
      <c r="H4322" t="s">
        <v>30827</v>
      </c>
      <c r="J4322" s="54" t="s">
        <v>6052</v>
      </c>
      <c r="K4322" s="54">
        <v>0</v>
      </c>
      <c r="L4322" s="22" t="s">
        <v>104</v>
      </c>
      <c r="M4322" s="22" t="s">
        <v>37164</v>
      </c>
    </row>
    <row r="4323" spans="1:13" x14ac:dyDescent="0.75">
      <c r="A4323" t="s">
        <v>30810</v>
      </c>
      <c r="B4323" t="s">
        <v>7185</v>
      </c>
      <c r="C4323" t="s">
        <v>6156</v>
      </c>
      <c r="D4323" t="s">
        <v>7186</v>
      </c>
      <c r="E4323" t="s">
        <v>30811</v>
      </c>
      <c r="F4323">
        <v>60</v>
      </c>
      <c r="G4323">
        <v>2137566</v>
      </c>
      <c r="H4323" t="s">
        <v>30812</v>
      </c>
      <c r="J4323" s="54" t="s">
        <v>6052</v>
      </c>
      <c r="K4323" s="54">
        <v>0</v>
      </c>
      <c r="L4323" s="22" t="s">
        <v>104</v>
      </c>
      <c r="M4323" s="22" t="s">
        <v>37164</v>
      </c>
    </row>
    <row r="4324" spans="1:13" x14ac:dyDescent="0.75">
      <c r="A4324" t="s">
        <v>30801</v>
      </c>
      <c r="B4324" t="s">
        <v>7185</v>
      </c>
      <c r="C4324" t="s">
        <v>6156</v>
      </c>
      <c r="D4324" t="s">
        <v>7186</v>
      </c>
      <c r="E4324" t="s">
        <v>30802</v>
      </c>
      <c r="F4324">
        <v>73</v>
      </c>
      <c r="G4324">
        <v>2253743</v>
      </c>
      <c r="H4324" t="s">
        <v>30803</v>
      </c>
      <c r="J4324" s="54" t="s">
        <v>6052</v>
      </c>
      <c r="K4324" s="54">
        <v>0</v>
      </c>
      <c r="L4324" s="22" t="s">
        <v>104</v>
      </c>
      <c r="M4324" s="22" t="s">
        <v>37164</v>
      </c>
    </row>
    <row r="4325" spans="1:13" x14ac:dyDescent="0.75">
      <c r="A4325" t="s">
        <v>30831</v>
      </c>
      <c r="B4325" t="s">
        <v>7185</v>
      </c>
      <c r="C4325" t="s">
        <v>6156</v>
      </c>
      <c r="D4325" t="s">
        <v>7186</v>
      </c>
      <c r="E4325" t="s">
        <v>30832</v>
      </c>
      <c r="F4325">
        <v>77</v>
      </c>
      <c r="G4325">
        <v>2241736</v>
      </c>
      <c r="H4325" t="s">
        <v>30833</v>
      </c>
      <c r="J4325" s="54" t="s">
        <v>6052</v>
      </c>
      <c r="K4325" s="54">
        <v>0</v>
      </c>
      <c r="L4325" s="22" t="s">
        <v>104</v>
      </c>
      <c r="M4325" s="22" t="s">
        <v>37164</v>
      </c>
    </row>
    <row r="4326" spans="1:13" x14ac:dyDescent="0.75">
      <c r="A4326" t="s">
        <v>30816</v>
      </c>
      <c r="B4326" t="s">
        <v>7185</v>
      </c>
      <c r="C4326" t="s">
        <v>6156</v>
      </c>
      <c r="D4326" t="s">
        <v>7186</v>
      </c>
      <c r="E4326" t="s">
        <v>30817</v>
      </c>
      <c r="F4326">
        <v>58</v>
      </c>
      <c r="G4326">
        <v>2239536</v>
      </c>
      <c r="H4326" t="s">
        <v>30818</v>
      </c>
      <c r="J4326" s="54" t="s">
        <v>6052</v>
      </c>
      <c r="K4326" s="54">
        <v>0</v>
      </c>
      <c r="L4326" s="22" t="s">
        <v>104</v>
      </c>
      <c r="M4326" s="22" t="s">
        <v>37164</v>
      </c>
    </row>
    <row r="4327" spans="1:13" x14ac:dyDescent="0.75">
      <c r="A4327" t="s">
        <v>28836</v>
      </c>
      <c r="B4327" t="s">
        <v>7185</v>
      </c>
      <c r="C4327" t="s">
        <v>6156</v>
      </c>
      <c r="D4327" t="s">
        <v>7186</v>
      </c>
      <c r="E4327" t="s">
        <v>28837</v>
      </c>
      <c r="F4327">
        <v>117</v>
      </c>
      <c r="G4327">
        <v>2248233</v>
      </c>
      <c r="H4327" t="s">
        <v>28838</v>
      </c>
      <c r="J4327" s="54" t="s">
        <v>6052</v>
      </c>
      <c r="K4327" s="54">
        <v>0</v>
      </c>
      <c r="L4327" s="22" t="s">
        <v>104</v>
      </c>
      <c r="M4327" s="22" t="s">
        <v>37164</v>
      </c>
    </row>
    <row r="4328" spans="1:13" x14ac:dyDescent="0.75">
      <c r="A4328" t="s">
        <v>29273</v>
      </c>
      <c r="B4328" t="s">
        <v>7185</v>
      </c>
      <c r="C4328" t="s">
        <v>6156</v>
      </c>
      <c r="D4328" t="s">
        <v>7186</v>
      </c>
      <c r="E4328" t="s">
        <v>29274</v>
      </c>
      <c r="F4328">
        <v>1</v>
      </c>
      <c r="G4328">
        <v>2222429</v>
      </c>
      <c r="H4328" t="s">
        <v>29275</v>
      </c>
      <c r="J4328" s="54" t="s">
        <v>6052</v>
      </c>
      <c r="K4328" s="54">
        <v>0</v>
      </c>
      <c r="L4328" s="22" t="s">
        <v>104</v>
      </c>
      <c r="M4328" s="22" t="s">
        <v>37164</v>
      </c>
    </row>
    <row r="4329" spans="1:13" x14ac:dyDescent="0.75">
      <c r="A4329" t="s">
        <v>28839</v>
      </c>
      <c r="B4329" t="s">
        <v>7185</v>
      </c>
      <c r="C4329" t="s">
        <v>6156</v>
      </c>
      <c r="D4329" t="s">
        <v>7186</v>
      </c>
      <c r="E4329" t="s">
        <v>28840</v>
      </c>
      <c r="F4329">
        <v>194</v>
      </c>
      <c r="G4329">
        <v>2035777</v>
      </c>
      <c r="H4329" t="s">
        <v>28841</v>
      </c>
      <c r="J4329" s="54" t="s">
        <v>6052</v>
      </c>
      <c r="K4329" s="54">
        <v>0</v>
      </c>
      <c r="L4329" s="22" t="s">
        <v>104</v>
      </c>
      <c r="M4329" s="22" t="s">
        <v>37164</v>
      </c>
    </row>
    <row r="4330" spans="1:13" x14ac:dyDescent="0.75">
      <c r="A4330" t="s">
        <v>28743</v>
      </c>
      <c r="B4330" t="s">
        <v>7185</v>
      </c>
      <c r="C4330" t="s">
        <v>6156</v>
      </c>
      <c r="D4330" t="s">
        <v>7186</v>
      </c>
      <c r="E4330" t="s">
        <v>28744</v>
      </c>
      <c r="F4330">
        <v>63</v>
      </c>
      <c r="G4330">
        <v>2198368</v>
      </c>
      <c r="H4330" t="s">
        <v>28745</v>
      </c>
      <c r="J4330" s="54" t="s">
        <v>6052</v>
      </c>
      <c r="K4330" s="54">
        <v>0</v>
      </c>
      <c r="L4330" s="22" t="s">
        <v>104</v>
      </c>
      <c r="M4330" s="22" t="s">
        <v>37164</v>
      </c>
    </row>
    <row r="4331" spans="1:13" x14ac:dyDescent="0.75">
      <c r="A4331" t="s">
        <v>29245</v>
      </c>
      <c r="B4331" t="s">
        <v>7185</v>
      </c>
      <c r="C4331" t="s">
        <v>6156</v>
      </c>
      <c r="D4331" t="s">
        <v>7186</v>
      </c>
      <c r="E4331" t="s">
        <v>29246</v>
      </c>
      <c r="F4331">
        <v>104</v>
      </c>
      <c r="G4331">
        <v>2026603</v>
      </c>
      <c r="H4331" t="s">
        <v>29247</v>
      </c>
      <c r="J4331" s="54" t="s">
        <v>6052</v>
      </c>
      <c r="K4331" s="54">
        <v>0</v>
      </c>
      <c r="L4331" s="22" t="s">
        <v>104</v>
      </c>
      <c r="M4331" s="22" t="s">
        <v>37164</v>
      </c>
    </row>
    <row r="4332" spans="1:13" x14ac:dyDescent="0.75">
      <c r="A4332" t="s">
        <v>29230</v>
      </c>
      <c r="B4332" t="s">
        <v>7185</v>
      </c>
      <c r="C4332" t="s">
        <v>6156</v>
      </c>
      <c r="D4332" t="s">
        <v>7186</v>
      </c>
      <c r="E4332" t="s">
        <v>29231</v>
      </c>
      <c r="F4332">
        <v>134</v>
      </c>
      <c r="G4332">
        <v>2049743</v>
      </c>
      <c r="H4332" t="s">
        <v>29232</v>
      </c>
      <c r="J4332" s="54" t="s">
        <v>6052</v>
      </c>
      <c r="K4332" s="54">
        <v>0</v>
      </c>
      <c r="L4332" s="22" t="s">
        <v>104</v>
      </c>
      <c r="M4332" s="22" t="s">
        <v>37164</v>
      </c>
    </row>
    <row r="4333" spans="1:13" x14ac:dyDescent="0.75">
      <c r="A4333" t="s">
        <v>29257</v>
      </c>
      <c r="B4333" t="s">
        <v>7185</v>
      </c>
      <c r="C4333" t="s">
        <v>6156</v>
      </c>
      <c r="D4333" t="s">
        <v>7186</v>
      </c>
      <c r="E4333" t="s">
        <v>29258</v>
      </c>
      <c r="F4333">
        <v>16</v>
      </c>
      <c r="G4333">
        <v>2180680</v>
      </c>
      <c r="H4333" t="s">
        <v>29259</v>
      </c>
      <c r="J4333" s="54" t="s">
        <v>6052</v>
      </c>
      <c r="K4333" s="54">
        <v>0</v>
      </c>
      <c r="L4333" s="22" t="s">
        <v>104</v>
      </c>
      <c r="M4333" s="22" t="s">
        <v>37164</v>
      </c>
    </row>
    <row r="4334" spans="1:13" x14ac:dyDescent="0.75">
      <c r="A4334" t="s">
        <v>18486</v>
      </c>
      <c r="B4334" t="s">
        <v>7185</v>
      </c>
      <c r="C4334" t="s">
        <v>6156</v>
      </c>
      <c r="D4334" t="s">
        <v>7186</v>
      </c>
      <c r="E4334" t="s">
        <v>18487</v>
      </c>
      <c r="F4334">
        <v>1</v>
      </c>
      <c r="G4334">
        <v>2224757</v>
      </c>
      <c r="H4334" t="s">
        <v>18488</v>
      </c>
      <c r="J4334" s="54" t="s">
        <v>6052</v>
      </c>
      <c r="K4334" s="54">
        <v>0</v>
      </c>
      <c r="L4334" s="22" t="s">
        <v>104</v>
      </c>
      <c r="M4334" s="22" t="s">
        <v>37164</v>
      </c>
    </row>
    <row r="4335" spans="1:13" x14ac:dyDescent="0.75">
      <c r="A4335" t="s">
        <v>12996</v>
      </c>
      <c r="B4335" t="s">
        <v>7185</v>
      </c>
      <c r="C4335" t="s">
        <v>6156</v>
      </c>
      <c r="D4335" t="s">
        <v>7186</v>
      </c>
      <c r="E4335" t="s">
        <v>12997</v>
      </c>
      <c r="F4335">
        <v>153</v>
      </c>
      <c r="G4335">
        <v>2247105</v>
      </c>
      <c r="H4335" t="s">
        <v>12998</v>
      </c>
      <c r="J4335" s="54" t="s">
        <v>6052</v>
      </c>
      <c r="K4335" s="54">
        <v>0</v>
      </c>
      <c r="L4335" s="22" t="s">
        <v>104</v>
      </c>
      <c r="M4335" s="22" t="s">
        <v>37164</v>
      </c>
    </row>
    <row r="4336" spans="1:13" x14ac:dyDescent="0.75">
      <c r="A4336" t="s">
        <v>13025</v>
      </c>
      <c r="B4336" t="s">
        <v>7185</v>
      </c>
      <c r="C4336" t="s">
        <v>6156</v>
      </c>
      <c r="D4336" t="s">
        <v>7186</v>
      </c>
      <c r="E4336" t="s">
        <v>13026</v>
      </c>
      <c r="F4336">
        <v>94</v>
      </c>
      <c r="G4336">
        <v>2267122</v>
      </c>
      <c r="H4336" t="s">
        <v>13027</v>
      </c>
      <c r="J4336" s="54" t="s">
        <v>6052</v>
      </c>
      <c r="K4336" s="54">
        <v>0</v>
      </c>
      <c r="L4336" s="22" t="s">
        <v>104</v>
      </c>
      <c r="M4336" s="22" t="s">
        <v>37164</v>
      </c>
    </row>
    <row r="4337" spans="1:13" x14ac:dyDescent="0.75">
      <c r="A4337" t="s">
        <v>13031</v>
      </c>
      <c r="B4337" t="s">
        <v>7185</v>
      </c>
      <c r="C4337" t="s">
        <v>6156</v>
      </c>
      <c r="D4337" t="s">
        <v>7186</v>
      </c>
      <c r="E4337" t="s">
        <v>13032</v>
      </c>
      <c r="F4337">
        <v>88</v>
      </c>
      <c r="G4337">
        <v>2240849</v>
      </c>
      <c r="H4337" t="s">
        <v>13033</v>
      </c>
      <c r="J4337" s="54" t="s">
        <v>6052</v>
      </c>
      <c r="K4337" s="54">
        <v>0</v>
      </c>
      <c r="L4337" s="22" t="s">
        <v>104</v>
      </c>
      <c r="M4337" s="22" t="s">
        <v>37164</v>
      </c>
    </row>
    <row r="4338" spans="1:13" x14ac:dyDescent="0.75">
      <c r="A4338" t="s">
        <v>13040</v>
      </c>
      <c r="B4338" t="s">
        <v>7185</v>
      </c>
      <c r="C4338" t="s">
        <v>6156</v>
      </c>
      <c r="D4338" t="s">
        <v>7186</v>
      </c>
      <c r="E4338" t="s">
        <v>13041</v>
      </c>
      <c r="F4338">
        <v>145</v>
      </c>
      <c r="G4338">
        <v>2254869</v>
      </c>
      <c r="H4338" t="s">
        <v>13042</v>
      </c>
      <c r="J4338" s="54" t="s">
        <v>6052</v>
      </c>
      <c r="K4338" s="54">
        <v>0</v>
      </c>
      <c r="L4338" s="22" t="s">
        <v>104</v>
      </c>
      <c r="M4338" s="22" t="s">
        <v>37164</v>
      </c>
    </row>
    <row r="4339" spans="1:13" x14ac:dyDescent="0.75">
      <c r="A4339" t="s">
        <v>13052</v>
      </c>
      <c r="B4339" t="s">
        <v>7185</v>
      </c>
      <c r="C4339" t="s">
        <v>6156</v>
      </c>
      <c r="D4339" t="s">
        <v>7186</v>
      </c>
      <c r="E4339" t="s">
        <v>13053</v>
      </c>
      <c r="F4339">
        <v>59</v>
      </c>
      <c r="G4339">
        <v>2147245</v>
      </c>
      <c r="H4339" t="s">
        <v>13054</v>
      </c>
      <c r="J4339" s="54" t="s">
        <v>6052</v>
      </c>
      <c r="K4339" s="54">
        <v>0</v>
      </c>
      <c r="L4339" s="22" t="s">
        <v>104</v>
      </c>
      <c r="M4339" s="22" t="s">
        <v>37164</v>
      </c>
    </row>
    <row r="4340" spans="1:13" x14ac:dyDescent="0.75">
      <c r="A4340" t="s">
        <v>12844</v>
      </c>
      <c r="B4340" t="s">
        <v>7185</v>
      </c>
      <c r="C4340" t="s">
        <v>6156</v>
      </c>
      <c r="D4340" t="s">
        <v>7186</v>
      </c>
      <c r="E4340" t="s">
        <v>12845</v>
      </c>
      <c r="F4340">
        <v>126</v>
      </c>
      <c r="G4340">
        <v>2272351</v>
      </c>
      <c r="H4340" t="s">
        <v>12846</v>
      </c>
      <c r="J4340" s="54" t="s">
        <v>6052</v>
      </c>
      <c r="K4340" s="54">
        <v>0</v>
      </c>
      <c r="L4340" s="22" t="s">
        <v>104</v>
      </c>
      <c r="M4340" s="22" t="s">
        <v>37164</v>
      </c>
    </row>
    <row r="4341" spans="1:13" x14ac:dyDescent="0.75">
      <c r="A4341" t="s">
        <v>12732</v>
      </c>
      <c r="B4341" t="s">
        <v>7185</v>
      </c>
      <c r="C4341" t="s">
        <v>6156</v>
      </c>
      <c r="D4341" t="s">
        <v>7186</v>
      </c>
      <c r="E4341" t="s">
        <v>12733</v>
      </c>
      <c r="F4341">
        <v>52</v>
      </c>
      <c r="G4341">
        <v>2212676</v>
      </c>
      <c r="H4341" t="s">
        <v>12734</v>
      </c>
      <c r="J4341" s="54" t="s">
        <v>6052</v>
      </c>
      <c r="K4341" s="54">
        <v>0</v>
      </c>
      <c r="L4341" s="22" t="s">
        <v>104</v>
      </c>
      <c r="M4341" s="22" t="s">
        <v>37164</v>
      </c>
    </row>
    <row r="4342" spans="1:13" x14ac:dyDescent="0.75">
      <c r="A4342" t="s">
        <v>13055</v>
      </c>
      <c r="B4342" t="s">
        <v>7185</v>
      </c>
      <c r="C4342" t="s">
        <v>6156</v>
      </c>
      <c r="D4342" t="s">
        <v>7186</v>
      </c>
      <c r="E4342" t="s">
        <v>13056</v>
      </c>
      <c r="F4342">
        <v>63</v>
      </c>
      <c r="G4342">
        <v>2171707</v>
      </c>
      <c r="H4342" t="s">
        <v>13057</v>
      </c>
      <c r="J4342" s="54" t="s">
        <v>6052</v>
      </c>
      <c r="K4342" s="54">
        <v>0</v>
      </c>
      <c r="L4342" s="22" t="s">
        <v>104</v>
      </c>
      <c r="M4342" s="22" t="s">
        <v>37164</v>
      </c>
    </row>
    <row r="4343" spans="1:13" x14ac:dyDescent="0.75">
      <c r="A4343" t="s">
        <v>12705</v>
      </c>
      <c r="B4343" t="s">
        <v>7185</v>
      </c>
      <c r="C4343" t="s">
        <v>6156</v>
      </c>
      <c r="D4343" t="s">
        <v>7186</v>
      </c>
      <c r="E4343" t="s">
        <v>12706</v>
      </c>
      <c r="F4343">
        <v>124</v>
      </c>
      <c r="G4343">
        <v>2186610</v>
      </c>
      <c r="H4343" t="s">
        <v>12707</v>
      </c>
      <c r="J4343" s="54" t="s">
        <v>6052</v>
      </c>
      <c r="K4343" s="54">
        <v>0</v>
      </c>
      <c r="L4343" s="22" t="s">
        <v>104</v>
      </c>
      <c r="M4343" s="22" t="s">
        <v>37164</v>
      </c>
    </row>
    <row r="4344" spans="1:13" x14ac:dyDescent="0.75">
      <c r="A4344" t="s">
        <v>12838</v>
      </c>
      <c r="B4344" t="s">
        <v>7185</v>
      </c>
      <c r="C4344" t="s">
        <v>6156</v>
      </c>
      <c r="D4344" t="s">
        <v>7186</v>
      </c>
      <c r="E4344" t="s">
        <v>12839</v>
      </c>
      <c r="F4344">
        <v>104</v>
      </c>
      <c r="G4344">
        <v>2317614</v>
      </c>
      <c r="H4344" t="s">
        <v>12840</v>
      </c>
      <c r="J4344" s="54" t="s">
        <v>6052</v>
      </c>
      <c r="K4344" s="54">
        <v>0</v>
      </c>
      <c r="L4344" s="22" t="s">
        <v>104</v>
      </c>
      <c r="M4344" s="22" t="s">
        <v>37164</v>
      </c>
    </row>
    <row r="4345" spans="1:13" x14ac:dyDescent="0.75">
      <c r="A4345" t="s">
        <v>12993</v>
      </c>
      <c r="B4345" t="s">
        <v>7185</v>
      </c>
      <c r="C4345" t="s">
        <v>6156</v>
      </c>
      <c r="D4345" t="s">
        <v>7186</v>
      </c>
      <c r="E4345" t="s">
        <v>12994</v>
      </c>
      <c r="F4345">
        <v>103</v>
      </c>
      <c r="G4345">
        <v>2227657</v>
      </c>
      <c r="H4345" t="s">
        <v>12995</v>
      </c>
      <c r="J4345" s="54" t="s">
        <v>6052</v>
      </c>
      <c r="K4345" s="54">
        <v>0</v>
      </c>
      <c r="L4345" s="22" t="s">
        <v>104</v>
      </c>
      <c r="M4345" s="22" t="s">
        <v>37164</v>
      </c>
    </row>
    <row r="4346" spans="1:13" x14ac:dyDescent="0.75">
      <c r="A4346" t="s">
        <v>13067</v>
      </c>
      <c r="B4346" t="s">
        <v>7185</v>
      </c>
      <c r="C4346" t="s">
        <v>6156</v>
      </c>
      <c r="D4346" t="s">
        <v>7186</v>
      </c>
      <c r="E4346" t="s">
        <v>13068</v>
      </c>
      <c r="F4346">
        <v>85</v>
      </c>
      <c r="G4346">
        <v>2242214</v>
      </c>
      <c r="H4346" t="s">
        <v>13069</v>
      </c>
      <c r="J4346" s="54" t="s">
        <v>6052</v>
      </c>
      <c r="K4346" s="54">
        <v>0</v>
      </c>
      <c r="L4346" s="22" t="s">
        <v>104</v>
      </c>
      <c r="M4346" s="22" t="s">
        <v>37164</v>
      </c>
    </row>
    <row r="4347" spans="1:13" x14ac:dyDescent="0.75">
      <c r="A4347" t="s">
        <v>12634</v>
      </c>
      <c r="B4347" t="s">
        <v>7185</v>
      </c>
      <c r="C4347" t="s">
        <v>6156</v>
      </c>
      <c r="D4347" t="s">
        <v>7186</v>
      </c>
      <c r="E4347" t="s">
        <v>12635</v>
      </c>
      <c r="F4347">
        <v>85</v>
      </c>
      <c r="G4347">
        <v>2178870</v>
      </c>
      <c r="H4347" t="s">
        <v>12636</v>
      </c>
      <c r="J4347" s="54" t="s">
        <v>6052</v>
      </c>
      <c r="K4347" s="54">
        <v>0</v>
      </c>
      <c r="L4347" s="22" t="s">
        <v>104</v>
      </c>
      <c r="M4347" s="22" t="s">
        <v>37164</v>
      </c>
    </row>
    <row r="4348" spans="1:13" x14ac:dyDescent="0.75">
      <c r="A4348" t="s">
        <v>23372</v>
      </c>
      <c r="B4348" t="s">
        <v>7185</v>
      </c>
      <c r="C4348" t="s">
        <v>6156</v>
      </c>
      <c r="D4348" t="s">
        <v>7186</v>
      </c>
      <c r="E4348" t="s">
        <v>23373</v>
      </c>
      <c r="F4348">
        <v>4</v>
      </c>
      <c r="G4348">
        <v>2457335</v>
      </c>
      <c r="H4348" t="s">
        <v>23374</v>
      </c>
      <c r="J4348" s="54" t="s">
        <v>6052</v>
      </c>
      <c r="K4348" s="54">
        <v>0</v>
      </c>
      <c r="L4348" s="22" t="s">
        <v>104</v>
      </c>
      <c r="M4348" s="22" t="s">
        <v>37164</v>
      </c>
    </row>
    <row r="4349" spans="1:13" x14ac:dyDescent="0.75">
      <c r="A4349" t="s">
        <v>23594</v>
      </c>
      <c r="B4349" t="s">
        <v>7185</v>
      </c>
      <c r="C4349" t="s">
        <v>6156</v>
      </c>
      <c r="D4349" t="s">
        <v>7186</v>
      </c>
      <c r="E4349" t="s">
        <v>23595</v>
      </c>
      <c r="F4349">
        <v>1</v>
      </c>
      <c r="G4349">
        <v>2243952</v>
      </c>
      <c r="H4349" t="s">
        <v>23596</v>
      </c>
      <c r="J4349" s="54" t="s">
        <v>6052</v>
      </c>
      <c r="K4349" s="54">
        <v>0</v>
      </c>
      <c r="L4349" s="22" t="s">
        <v>104</v>
      </c>
      <c r="M4349" s="22" t="s">
        <v>37164</v>
      </c>
    </row>
    <row r="4350" spans="1:13" x14ac:dyDescent="0.75">
      <c r="A4350" t="s">
        <v>23363</v>
      </c>
      <c r="B4350" t="s">
        <v>7185</v>
      </c>
      <c r="C4350" t="s">
        <v>6156</v>
      </c>
      <c r="D4350" t="s">
        <v>7186</v>
      </c>
      <c r="E4350" t="s">
        <v>23364</v>
      </c>
      <c r="F4350">
        <v>3</v>
      </c>
      <c r="G4350">
        <v>2250070</v>
      </c>
      <c r="H4350" t="s">
        <v>23365</v>
      </c>
      <c r="J4350" s="54" t="s">
        <v>6052</v>
      </c>
      <c r="K4350" s="54">
        <v>0</v>
      </c>
      <c r="L4350" s="22" t="s">
        <v>104</v>
      </c>
      <c r="M4350" s="22" t="s">
        <v>37164</v>
      </c>
    </row>
    <row r="4351" spans="1:13" x14ac:dyDescent="0.75">
      <c r="A4351" t="s">
        <v>19595</v>
      </c>
      <c r="B4351" t="s">
        <v>7185</v>
      </c>
      <c r="C4351" t="s">
        <v>6156</v>
      </c>
      <c r="D4351" t="s">
        <v>7186</v>
      </c>
      <c r="E4351" t="s">
        <v>19596</v>
      </c>
      <c r="F4351">
        <v>125</v>
      </c>
      <c r="G4351">
        <v>2097332</v>
      </c>
      <c r="H4351" t="s">
        <v>19597</v>
      </c>
      <c r="J4351" s="54" t="s">
        <v>6052</v>
      </c>
      <c r="K4351" s="54">
        <v>0</v>
      </c>
      <c r="L4351" s="22" t="s">
        <v>104</v>
      </c>
      <c r="M4351" s="22" t="s">
        <v>37164</v>
      </c>
    </row>
    <row r="4352" spans="1:13" x14ac:dyDescent="0.75">
      <c r="A4352" t="s">
        <v>19604</v>
      </c>
      <c r="B4352" t="s">
        <v>7185</v>
      </c>
      <c r="C4352" t="s">
        <v>6156</v>
      </c>
      <c r="D4352" t="s">
        <v>7186</v>
      </c>
      <c r="E4352" t="s">
        <v>19605</v>
      </c>
      <c r="F4352">
        <v>85</v>
      </c>
      <c r="G4352">
        <v>2020883</v>
      </c>
      <c r="H4352" t="s">
        <v>19606</v>
      </c>
      <c r="J4352" s="54" t="s">
        <v>6052</v>
      </c>
      <c r="K4352" s="54">
        <v>0</v>
      </c>
      <c r="L4352" s="22" t="s">
        <v>104</v>
      </c>
      <c r="M4352" s="22" t="s">
        <v>37164</v>
      </c>
    </row>
    <row r="4353" spans="1:13" x14ac:dyDescent="0.75">
      <c r="A4353" t="s">
        <v>19616</v>
      </c>
      <c r="B4353" t="s">
        <v>7185</v>
      </c>
      <c r="C4353" t="s">
        <v>6156</v>
      </c>
      <c r="D4353" t="s">
        <v>7186</v>
      </c>
      <c r="E4353" t="s">
        <v>19617</v>
      </c>
      <c r="F4353">
        <v>205</v>
      </c>
      <c r="G4353">
        <v>2041280</v>
      </c>
      <c r="H4353" t="s">
        <v>19618</v>
      </c>
      <c r="J4353" s="54" t="s">
        <v>6052</v>
      </c>
      <c r="K4353" s="54">
        <v>0</v>
      </c>
      <c r="L4353" s="22" t="s">
        <v>104</v>
      </c>
      <c r="M4353" s="22" t="s">
        <v>37164</v>
      </c>
    </row>
    <row r="4354" spans="1:13" x14ac:dyDescent="0.75">
      <c r="A4354" t="s">
        <v>19607</v>
      </c>
      <c r="B4354" t="s">
        <v>7185</v>
      </c>
      <c r="C4354" t="s">
        <v>6156</v>
      </c>
      <c r="D4354" t="s">
        <v>7186</v>
      </c>
      <c r="E4354" t="s">
        <v>19608</v>
      </c>
      <c r="F4354">
        <v>84</v>
      </c>
      <c r="G4354">
        <v>2130540</v>
      </c>
      <c r="H4354" t="s">
        <v>19609</v>
      </c>
      <c r="J4354" s="54" t="s">
        <v>6052</v>
      </c>
      <c r="K4354" s="54">
        <v>0</v>
      </c>
      <c r="L4354" s="22" t="s">
        <v>104</v>
      </c>
      <c r="M4354" s="22" t="s">
        <v>37164</v>
      </c>
    </row>
    <row r="4355" spans="1:13" x14ac:dyDescent="0.75">
      <c r="A4355" t="s">
        <v>18994</v>
      </c>
      <c r="B4355" t="s">
        <v>7185</v>
      </c>
      <c r="C4355" t="s">
        <v>6156</v>
      </c>
      <c r="D4355" t="s">
        <v>7186</v>
      </c>
      <c r="E4355" t="s">
        <v>18995</v>
      </c>
      <c r="F4355">
        <v>12</v>
      </c>
      <c r="G4355">
        <v>2338744</v>
      </c>
      <c r="H4355" t="s">
        <v>18996</v>
      </c>
      <c r="J4355" s="54" t="s">
        <v>6052</v>
      </c>
      <c r="K4355" s="54">
        <v>0</v>
      </c>
      <c r="L4355" s="22" t="s">
        <v>104</v>
      </c>
      <c r="M4355" s="22" t="s">
        <v>37164</v>
      </c>
    </row>
    <row r="4356" spans="1:13" x14ac:dyDescent="0.75">
      <c r="A4356" t="s">
        <v>20876</v>
      </c>
      <c r="B4356" t="s">
        <v>7185</v>
      </c>
      <c r="C4356" t="s">
        <v>6156</v>
      </c>
      <c r="D4356" t="s">
        <v>7186</v>
      </c>
      <c r="E4356" t="s">
        <v>20877</v>
      </c>
      <c r="F4356">
        <v>64</v>
      </c>
      <c r="G4356">
        <v>2103346</v>
      </c>
      <c r="H4356" t="s">
        <v>20878</v>
      </c>
      <c r="J4356" s="54" t="s">
        <v>6052</v>
      </c>
      <c r="K4356" s="54">
        <v>0</v>
      </c>
      <c r="L4356" s="22" t="s">
        <v>104</v>
      </c>
      <c r="M4356" s="22" t="s">
        <v>37164</v>
      </c>
    </row>
    <row r="4357" spans="1:13" x14ac:dyDescent="0.75">
      <c r="A4357" t="s">
        <v>26633</v>
      </c>
      <c r="B4357" t="s">
        <v>7185</v>
      </c>
      <c r="C4357" t="s">
        <v>6156</v>
      </c>
      <c r="D4357" t="s">
        <v>7186</v>
      </c>
      <c r="E4357" t="s">
        <v>26634</v>
      </c>
      <c r="F4357">
        <v>1</v>
      </c>
      <c r="G4357">
        <v>2195884</v>
      </c>
      <c r="H4357" t="s">
        <v>26635</v>
      </c>
      <c r="J4357" s="54" t="s">
        <v>6052</v>
      </c>
      <c r="K4357" s="54">
        <v>0</v>
      </c>
      <c r="L4357" s="22" t="s">
        <v>104</v>
      </c>
      <c r="M4357" s="22" t="s">
        <v>37164</v>
      </c>
    </row>
    <row r="4358" spans="1:13" x14ac:dyDescent="0.75">
      <c r="A4358" t="s">
        <v>21214</v>
      </c>
      <c r="B4358" t="s">
        <v>7185</v>
      </c>
      <c r="C4358" t="s">
        <v>6156</v>
      </c>
      <c r="D4358" t="s">
        <v>7186</v>
      </c>
      <c r="E4358" t="s">
        <v>21215</v>
      </c>
      <c r="F4358">
        <v>1</v>
      </c>
      <c r="G4358">
        <v>2284668</v>
      </c>
      <c r="H4358" t="s">
        <v>21216</v>
      </c>
      <c r="J4358" s="54" t="s">
        <v>6052</v>
      </c>
      <c r="K4358" s="54">
        <v>0</v>
      </c>
      <c r="L4358" s="22" t="s">
        <v>104</v>
      </c>
      <c r="M4358" s="22" t="s">
        <v>37164</v>
      </c>
    </row>
    <row r="4359" spans="1:13" x14ac:dyDescent="0.75">
      <c r="A4359" t="s">
        <v>21502</v>
      </c>
      <c r="B4359" t="s">
        <v>7185</v>
      </c>
      <c r="C4359" t="s">
        <v>6156</v>
      </c>
      <c r="D4359" t="s">
        <v>7186</v>
      </c>
      <c r="E4359" t="s">
        <v>21503</v>
      </c>
      <c r="F4359">
        <v>46</v>
      </c>
      <c r="G4359">
        <v>2361490</v>
      </c>
      <c r="H4359" t="s">
        <v>21504</v>
      </c>
      <c r="J4359" s="54" t="s">
        <v>6052</v>
      </c>
      <c r="K4359" s="54">
        <v>0</v>
      </c>
      <c r="L4359" s="22" t="s">
        <v>104</v>
      </c>
      <c r="M4359" s="22" t="s">
        <v>37164</v>
      </c>
    </row>
    <row r="4360" spans="1:13" x14ac:dyDescent="0.75">
      <c r="A4360" t="s">
        <v>28051</v>
      </c>
      <c r="B4360" t="s">
        <v>7185</v>
      </c>
      <c r="C4360" t="s">
        <v>6156</v>
      </c>
      <c r="D4360" t="s">
        <v>7186</v>
      </c>
      <c r="E4360" t="s">
        <v>28052</v>
      </c>
      <c r="F4360">
        <v>79</v>
      </c>
      <c r="G4360">
        <v>2194968</v>
      </c>
      <c r="H4360" t="s">
        <v>28053</v>
      </c>
      <c r="J4360" s="54" t="s">
        <v>6052</v>
      </c>
      <c r="K4360" s="54">
        <v>0</v>
      </c>
      <c r="L4360" s="22" t="s">
        <v>104</v>
      </c>
      <c r="M4360" s="22" t="s">
        <v>37164</v>
      </c>
    </row>
    <row r="4361" spans="1:13" x14ac:dyDescent="0.75">
      <c r="A4361" t="s">
        <v>28159</v>
      </c>
      <c r="B4361" t="s">
        <v>7185</v>
      </c>
      <c r="C4361" t="s">
        <v>6156</v>
      </c>
      <c r="D4361" t="s">
        <v>7186</v>
      </c>
      <c r="E4361" t="s">
        <v>28160</v>
      </c>
      <c r="F4361">
        <v>51</v>
      </c>
      <c r="G4361">
        <v>2274583</v>
      </c>
      <c r="H4361" t="s">
        <v>28161</v>
      </c>
      <c r="J4361" s="54" t="s">
        <v>6052</v>
      </c>
      <c r="K4361" s="54">
        <v>0</v>
      </c>
      <c r="L4361" s="22" t="s">
        <v>104</v>
      </c>
      <c r="M4361" s="22" t="s">
        <v>37164</v>
      </c>
    </row>
    <row r="4362" spans="1:13" x14ac:dyDescent="0.75">
      <c r="A4362" t="s">
        <v>29490</v>
      </c>
      <c r="B4362" t="s">
        <v>7185</v>
      </c>
      <c r="C4362" t="s">
        <v>6156</v>
      </c>
      <c r="D4362" t="s">
        <v>7186</v>
      </c>
      <c r="E4362" t="s">
        <v>29491</v>
      </c>
      <c r="F4362">
        <v>145</v>
      </c>
      <c r="G4362">
        <v>2051616</v>
      </c>
      <c r="H4362" t="s">
        <v>29492</v>
      </c>
      <c r="J4362" s="54" t="s">
        <v>6052</v>
      </c>
      <c r="K4362" s="54">
        <v>0</v>
      </c>
      <c r="L4362" s="22" t="s">
        <v>104</v>
      </c>
      <c r="M4362" s="22" t="s">
        <v>37164</v>
      </c>
    </row>
    <row r="4363" spans="1:13" x14ac:dyDescent="0.75">
      <c r="A4363" t="s">
        <v>18997</v>
      </c>
      <c r="B4363" t="s">
        <v>7185</v>
      </c>
      <c r="C4363" t="s">
        <v>6156</v>
      </c>
      <c r="D4363" t="s">
        <v>7186</v>
      </c>
      <c r="E4363" t="s">
        <v>18998</v>
      </c>
      <c r="F4363">
        <v>1</v>
      </c>
      <c r="G4363">
        <v>2223142</v>
      </c>
      <c r="H4363" t="s">
        <v>18999</v>
      </c>
      <c r="J4363" s="54" t="s">
        <v>6052</v>
      </c>
      <c r="K4363" s="54">
        <v>0</v>
      </c>
      <c r="L4363" s="22" t="s">
        <v>104</v>
      </c>
      <c r="M4363" s="22" t="s">
        <v>37164</v>
      </c>
    </row>
    <row r="4364" spans="1:13" x14ac:dyDescent="0.75">
      <c r="A4364" t="s">
        <v>7184</v>
      </c>
      <c r="B4364" t="s">
        <v>7185</v>
      </c>
      <c r="C4364" t="s">
        <v>6156</v>
      </c>
      <c r="D4364" t="s">
        <v>7186</v>
      </c>
      <c r="E4364" t="s">
        <v>7187</v>
      </c>
      <c r="F4364">
        <v>31</v>
      </c>
      <c r="G4364">
        <v>2204114</v>
      </c>
      <c r="H4364" t="s">
        <v>7188</v>
      </c>
      <c r="J4364" s="54" t="s">
        <v>6052</v>
      </c>
      <c r="K4364" s="54">
        <v>0</v>
      </c>
      <c r="L4364" s="22" t="s">
        <v>104</v>
      </c>
      <c r="M4364" s="22" t="s">
        <v>37164</v>
      </c>
    </row>
    <row r="4365" spans="1:13" x14ac:dyDescent="0.75">
      <c r="A4365" t="s">
        <v>29327</v>
      </c>
      <c r="B4365" t="s">
        <v>7185</v>
      </c>
      <c r="C4365" t="s">
        <v>6156</v>
      </c>
      <c r="D4365" t="s">
        <v>7186</v>
      </c>
      <c r="E4365" t="s">
        <v>29328</v>
      </c>
      <c r="F4365">
        <v>47</v>
      </c>
      <c r="G4365">
        <v>2133518</v>
      </c>
      <c r="H4365" t="s">
        <v>29329</v>
      </c>
      <c r="J4365" s="54" t="s">
        <v>6052</v>
      </c>
      <c r="K4365" s="54">
        <v>0</v>
      </c>
      <c r="L4365" s="22" t="s">
        <v>104</v>
      </c>
      <c r="M4365" s="22" t="s">
        <v>37164</v>
      </c>
    </row>
    <row r="4366" spans="1:13" x14ac:dyDescent="0.75">
      <c r="A4366" t="s">
        <v>30377</v>
      </c>
      <c r="B4366" t="s">
        <v>7185</v>
      </c>
      <c r="C4366" t="s">
        <v>6156</v>
      </c>
      <c r="D4366" t="s">
        <v>7186</v>
      </c>
      <c r="E4366" t="s">
        <v>30378</v>
      </c>
      <c r="F4366">
        <v>152</v>
      </c>
      <c r="G4366">
        <v>1836096</v>
      </c>
      <c r="H4366" t="s">
        <v>30379</v>
      </c>
      <c r="J4366" s="54" t="s">
        <v>6052</v>
      </c>
      <c r="K4366" s="54">
        <v>0</v>
      </c>
      <c r="L4366" s="22" t="s">
        <v>104</v>
      </c>
      <c r="M4366" s="22" t="s">
        <v>37164</v>
      </c>
    </row>
    <row r="4367" spans="1:13" x14ac:dyDescent="0.75">
      <c r="A4367" t="s">
        <v>28871</v>
      </c>
      <c r="B4367" t="s">
        <v>7185</v>
      </c>
      <c r="C4367" t="s">
        <v>6156</v>
      </c>
      <c r="D4367" t="s">
        <v>7186</v>
      </c>
      <c r="E4367" t="s">
        <v>28872</v>
      </c>
      <c r="F4367">
        <v>57</v>
      </c>
      <c r="G4367">
        <v>2245144</v>
      </c>
      <c r="H4367" t="s">
        <v>28873</v>
      </c>
      <c r="J4367" s="54" t="s">
        <v>6052</v>
      </c>
      <c r="K4367" s="54">
        <v>0</v>
      </c>
      <c r="L4367" s="22" t="s">
        <v>104</v>
      </c>
      <c r="M4367" s="22" t="s">
        <v>37164</v>
      </c>
    </row>
    <row r="4368" spans="1:13" x14ac:dyDescent="0.75">
      <c r="A4368" t="s">
        <v>23366</v>
      </c>
      <c r="B4368" t="s">
        <v>7185</v>
      </c>
      <c r="C4368" t="s">
        <v>6156</v>
      </c>
      <c r="D4368" t="s">
        <v>7186</v>
      </c>
      <c r="E4368" t="s">
        <v>23367</v>
      </c>
      <c r="F4368">
        <v>2</v>
      </c>
      <c r="G4368">
        <v>2277765</v>
      </c>
      <c r="H4368" t="s">
        <v>23368</v>
      </c>
      <c r="J4368" s="54" t="s">
        <v>6052</v>
      </c>
      <c r="K4368" s="54">
        <v>0</v>
      </c>
      <c r="L4368" s="22" t="s">
        <v>104</v>
      </c>
      <c r="M4368" s="22" t="s">
        <v>37164</v>
      </c>
    </row>
    <row r="4369" spans="1:13" x14ac:dyDescent="0.75">
      <c r="A4369" t="s">
        <v>30822</v>
      </c>
      <c r="B4369" t="s">
        <v>7185</v>
      </c>
      <c r="C4369" t="s">
        <v>6156</v>
      </c>
      <c r="D4369" t="s">
        <v>7186</v>
      </c>
      <c r="E4369" t="s">
        <v>30823</v>
      </c>
      <c r="F4369">
        <v>67</v>
      </c>
      <c r="G4369">
        <v>2156389</v>
      </c>
      <c r="H4369" t="s">
        <v>30824</v>
      </c>
      <c r="J4369" s="54" t="s">
        <v>6052</v>
      </c>
      <c r="K4369" s="54">
        <v>0</v>
      </c>
      <c r="L4369" s="22" t="s">
        <v>104</v>
      </c>
      <c r="M4369" s="22" t="s">
        <v>37164</v>
      </c>
    </row>
    <row r="4370" spans="1:13" x14ac:dyDescent="0.75">
      <c r="A4370" t="s">
        <v>25854</v>
      </c>
      <c r="B4370" t="s">
        <v>7185</v>
      </c>
      <c r="C4370" t="s">
        <v>6156</v>
      </c>
      <c r="D4370" t="s">
        <v>7186</v>
      </c>
      <c r="E4370" t="s">
        <v>25855</v>
      </c>
      <c r="F4370">
        <v>229</v>
      </c>
      <c r="G4370">
        <v>2332356</v>
      </c>
      <c r="H4370" t="s">
        <v>25856</v>
      </c>
      <c r="J4370" s="54" t="s">
        <v>6052</v>
      </c>
      <c r="K4370" s="54">
        <v>0</v>
      </c>
      <c r="L4370" s="22" t="s">
        <v>104</v>
      </c>
      <c r="M4370" s="22" t="s">
        <v>37164</v>
      </c>
    </row>
    <row r="4371" spans="1:13" x14ac:dyDescent="0.75">
      <c r="A4371" t="s">
        <v>26532</v>
      </c>
      <c r="B4371" t="s">
        <v>9822</v>
      </c>
      <c r="C4371" t="s">
        <v>6581</v>
      </c>
      <c r="D4371" t="s">
        <v>9823</v>
      </c>
      <c r="E4371" t="s">
        <v>26533</v>
      </c>
      <c r="F4371">
        <v>1</v>
      </c>
      <c r="G4371">
        <v>2616809</v>
      </c>
      <c r="H4371" t="s">
        <v>26534</v>
      </c>
      <c r="J4371" s="54" t="s">
        <v>6052</v>
      </c>
      <c r="K4371" s="54">
        <v>0</v>
      </c>
      <c r="L4371" s="22" t="s">
        <v>104</v>
      </c>
      <c r="M4371" s="22" t="s">
        <v>37179</v>
      </c>
    </row>
    <row r="4372" spans="1:13" x14ac:dyDescent="0.75">
      <c r="A4372" t="s">
        <v>29719</v>
      </c>
      <c r="B4372" t="s">
        <v>9822</v>
      </c>
      <c r="C4372" t="s">
        <v>6581</v>
      </c>
      <c r="D4372" t="s">
        <v>9823</v>
      </c>
      <c r="E4372" t="s">
        <v>29720</v>
      </c>
      <c r="F4372">
        <v>99</v>
      </c>
      <c r="G4372">
        <v>2704514</v>
      </c>
      <c r="H4372" t="s">
        <v>29721</v>
      </c>
      <c r="J4372" s="54" t="s">
        <v>6052</v>
      </c>
      <c r="K4372" s="54">
        <v>0</v>
      </c>
      <c r="L4372" s="22" t="s">
        <v>104</v>
      </c>
      <c r="M4372" s="22" t="s">
        <v>37179</v>
      </c>
    </row>
    <row r="4373" spans="1:13" x14ac:dyDescent="0.75">
      <c r="A4373" t="s">
        <v>9821</v>
      </c>
      <c r="B4373" t="s">
        <v>9822</v>
      </c>
      <c r="C4373" t="s">
        <v>6581</v>
      </c>
      <c r="D4373" t="s">
        <v>9823</v>
      </c>
      <c r="E4373" t="s">
        <v>9824</v>
      </c>
      <c r="F4373">
        <v>73</v>
      </c>
      <c r="G4373">
        <v>2724935</v>
      </c>
      <c r="H4373" t="s">
        <v>9825</v>
      </c>
      <c r="J4373" s="54" t="s">
        <v>6052</v>
      </c>
      <c r="K4373" s="54">
        <v>0</v>
      </c>
      <c r="L4373" s="22" t="s">
        <v>104</v>
      </c>
      <c r="M4373" s="22" t="s">
        <v>37179</v>
      </c>
    </row>
    <row r="4374" spans="1:13" x14ac:dyDescent="0.75">
      <c r="A4374" t="s">
        <v>30044</v>
      </c>
      <c r="B4374" t="s">
        <v>11372</v>
      </c>
      <c r="C4374" t="s">
        <v>6581</v>
      </c>
      <c r="D4374" t="s">
        <v>11373</v>
      </c>
      <c r="E4374" t="s">
        <v>30045</v>
      </c>
      <c r="F4374">
        <v>124</v>
      </c>
      <c r="G4374">
        <v>3056543</v>
      </c>
      <c r="H4374" t="s">
        <v>30046</v>
      </c>
      <c r="J4374" s="54" t="s">
        <v>6052</v>
      </c>
      <c r="K4374" s="54">
        <v>0</v>
      </c>
      <c r="L4374" s="22" t="s">
        <v>104</v>
      </c>
      <c r="M4374" s="22" t="s">
        <v>37181</v>
      </c>
    </row>
    <row r="4375" spans="1:13" x14ac:dyDescent="0.75">
      <c r="A4375" t="s">
        <v>11371</v>
      </c>
      <c r="B4375" t="s">
        <v>11372</v>
      </c>
      <c r="C4375" t="s">
        <v>6581</v>
      </c>
      <c r="D4375" t="s">
        <v>11373</v>
      </c>
      <c r="E4375" t="s">
        <v>11374</v>
      </c>
      <c r="F4375">
        <v>1</v>
      </c>
      <c r="G4375">
        <v>3213585</v>
      </c>
      <c r="H4375" t="s">
        <v>11375</v>
      </c>
      <c r="J4375" s="54" t="s">
        <v>6052</v>
      </c>
      <c r="K4375" s="54">
        <v>0</v>
      </c>
      <c r="L4375" s="22" t="s">
        <v>104</v>
      </c>
      <c r="M4375" s="22" t="s">
        <v>37181</v>
      </c>
    </row>
    <row r="4376" spans="1:13" x14ac:dyDescent="0.75">
      <c r="A4376" t="s">
        <v>28892</v>
      </c>
      <c r="B4376" t="s">
        <v>11372</v>
      </c>
      <c r="C4376" t="s">
        <v>6581</v>
      </c>
      <c r="D4376" t="s">
        <v>11373</v>
      </c>
      <c r="E4376" t="s">
        <v>28893</v>
      </c>
      <c r="F4376">
        <v>126</v>
      </c>
      <c r="G4376">
        <v>2803860</v>
      </c>
      <c r="H4376" t="s">
        <v>28894</v>
      </c>
      <c r="J4376" s="54" t="s">
        <v>6052</v>
      </c>
      <c r="K4376" s="54">
        <v>0</v>
      </c>
      <c r="L4376" s="22" t="s">
        <v>104</v>
      </c>
      <c r="M4376" s="22" t="s">
        <v>37181</v>
      </c>
    </row>
    <row r="4377" spans="1:13" x14ac:dyDescent="0.75">
      <c r="A4377" t="s">
        <v>6579</v>
      </c>
      <c r="B4377" t="s">
        <v>6580</v>
      </c>
      <c r="C4377" t="s">
        <v>6581</v>
      </c>
      <c r="D4377" t="s">
        <v>6582</v>
      </c>
      <c r="E4377" t="s">
        <v>6583</v>
      </c>
      <c r="F4377">
        <v>1</v>
      </c>
      <c r="G4377">
        <v>2051896</v>
      </c>
      <c r="H4377" t="s">
        <v>6584</v>
      </c>
      <c r="J4377" s="54" t="s">
        <v>6052</v>
      </c>
      <c r="K4377" s="54">
        <v>0</v>
      </c>
      <c r="L4377" s="22" t="s">
        <v>104</v>
      </c>
      <c r="M4377" s="22" t="s">
        <v>37180</v>
      </c>
    </row>
    <row r="4378" spans="1:13" x14ac:dyDescent="0.75">
      <c r="A4378" t="s">
        <v>11688</v>
      </c>
      <c r="B4378" t="s">
        <v>6580</v>
      </c>
      <c r="C4378" t="s">
        <v>6581</v>
      </c>
      <c r="D4378" t="s">
        <v>6582</v>
      </c>
      <c r="E4378" t="s">
        <v>6583</v>
      </c>
      <c r="F4378">
        <v>43</v>
      </c>
      <c r="G4378">
        <v>2057128</v>
      </c>
      <c r="H4378" t="s">
        <v>11689</v>
      </c>
      <c r="J4378" s="54" t="s">
        <v>6052</v>
      </c>
      <c r="K4378" s="54">
        <v>0</v>
      </c>
      <c r="L4378" s="22" t="s">
        <v>104</v>
      </c>
      <c r="M4378" s="22" t="s">
        <v>37180</v>
      </c>
    </row>
    <row r="4379" spans="1:13" x14ac:dyDescent="0.75">
      <c r="A4379" t="s">
        <v>29819</v>
      </c>
      <c r="B4379" t="s">
        <v>6580</v>
      </c>
      <c r="C4379" t="s">
        <v>6581</v>
      </c>
      <c r="D4379" t="s">
        <v>6582</v>
      </c>
      <c r="E4379" t="s">
        <v>29820</v>
      </c>
      <c r="F4379">
        <v>53</v>
      </c>
      <c r="G4379">
        <v>2281346</v>
      </c>
      <c r="H4379" t="s">
        <v>29821</v>
      </c>
      <c r="J4379" s="54" t="s">
        <v>6052</v>
      </c>
      <c r="K4379" s="54">
        <v>0</v>
      </c>
      <c r="L4379" s="22" t="s">
        <v>104</v>
      </c>
      <c r="M4379" s="22" t="s">
        <v>37180</v>
      </c>
    </row>
    <row r="4380" spans="1:13" x14ac:dyDescent="0.75">
      <c r="A4380" t="s">
        <v>20929</v>
      </c>
      <c r="B4380" t="s">
        <v>6580</v>
      </c>
      <c r="C4380" t="s">
        <v>6581</v>
      </c>
      <c r="D4380" t="s">
        <v>6582</v>
      </c>
      <c r="E4380" t="s">
        <v>20930</v>
      </c>
      <c r="F4380">
        <v>33</v>
      </c>
      <c r="G4380">
        <v>2106268</v>
      </c>
      <c r="H4380" t="s">
        <v>20931</v>
      </c>
      <c r="J4380" s="54" t="s">
        <v>6052</v>
      </c>
      <c r="K4380" s="54">
        <v>0</v>
      </c>
      <c r="L4380" s="22" t="s">
        <v>104</v>
      </c>
      <c r="M4380" s="22" t="s">
        <v>37180</v>
      </c>
    </row>
    <row r="4381" spans="1:13" x14ac:dyDescent="0.75">
      <c r="A4381" t="s">
        <v>10185</v>
      </c>
      <c r="B4381" t="s">
        <v>6580</v>
      </c>
      <c r="C4381" t="s">
        <v>6581</v>
      </c>
      <c r="D4381" t="s">
        <v>6582</v>
      </c>
      <c r="E4381" t="s">
        <v>10186</v>
      </c>
      <c r="F4381">
        <v>14</v>
      </c>
      <c r="G4381">
        <v>2153240</v>
      </c>
      <c r="H4381" t="s">
        <v>10187</v>
      </c>
      <c r="J4381" s="54" t="s">
        <v>6052</v>
      </c>
      <c r="K4381" s="54">
        <v>0</v>
      </c>
      <c r="L4381" s="22" t="s">
        <v>104</v>
      </c>
      <c r="M4381" s="22" t="s">
        <v>37180</v>
      </c>
    </row>
    <row r="4382" spans="1:13" x14ac:dyDescent="0.75">
      <c r="A4382" t="s">
        <v>8341</v>
      </c>
      <c r="B4382" t="s">
        <v>7781</v>
      </c>
      <c r="C4382" t="s">
        <v>6886</v>
      </c>
      <c r="D4382" t="s">
        <v>7782</v>
      </c>
      <c r="E4382" t="s">
        <v>8342</v>
      </c>
      <c r="F4382">
        <v>21</v>
      </c>
      <c r="G4382">
        <v>2520584</v>
      </c>
      <c r="H4382" t="s">
        <v>8343</v>
      </c>
      <c r="J4382" s="54" t="s">
        <v>6052</v>
      </c>
      <c r="K4382" s="54">
        <v>0</v>
      </c>
      <c r="L4382" s="22" t="s">
        <v>104</v>
      </c>
      <c r="M4382" s="22" t="s">
        <v>37183</v>
      </c>
    </row>
    <row r="4383" spans="1:13" x14ac:dyDescent="0.75">
      <c r="A4383" t="s">
        <v>7780</v>
      </c>
      <c r="B4383" t="s">
        <v>7781</v>
      </c>
      <c r="C4383" t="s">
        <v>6886</v>
      </c>
      <c r="D4383" t="s">
        <v>7782</v>
      </c>
      <c r="E4383" t="s">
        <v>7783</v>
      </c>
      <c r="F4383">
        <v>1</v>
      </c>
      <c r="G4383">
        <v>2518361</v>
      </c>
      <c r="H4383" t="s">
        <v>7784</v>
      </c>
      <c r="J4383" s="54" t="s">
        <v>6052</v>
      </c>
      <c r="K4383" s="54">
        <v>0</v>
      </c>
      <c r="L4383" s="22" t="s">
        <v>104</v>
      </c>
      <c r="M4383" s="22" t="s">
        <v>37183</v>
      </c>
    </row>
    <row r="4384" spans="1:13" x14ac:dyDescent="0.75">
      <c r="A4384" t="s">
        <v>8337</v>
      </c>
      <c r="B4384" t="s">
        <v>8338</v>
      </c>
      <c r="C4384" t="s">
        <v>6886</v>
      </c>
      <c r="D4384" t="s">
        <v>6088</v>
      </c>
      <c r="E4384" t="s">
        <v>8339</v>
      </c>
      <c r="F4384">
        <v>4</v>
      </c>
      <c r="G4384">
        <v>2470863</v>
      </c>
      <c r="H4384" t="s">
        <v>8340</v>
      </c>
      <c r="J4384" s="54" t="s">
        <v>6052</v>
      </c>
      <c r="K4384" s="54">
        <v>0</v>
      </c>
      <c r="L4384" s="22" t="s">
        <v>104</v>
      </c>
      <c r="M4384" s="22" t="s">
        <v>37182</v>
      </c>
    </row>
    <row r="4385" spans="1:13" x14ac:dyDescent="0.75">
      <c r="A4385" t="s">
        <v>8675</v>
      </c>
      <c r="B4385" t="s">
        <v>8338</v>
      </c>
      <c r="C4385" t="s">
        <v>6886</v>
      </c>
      <c r="D4385" t="s">
        <v>6088</v>
      </c>
      <c r="E4385" t="s">
        <v>8676</v>
      </c>
      <c r="F4385">
        <v>15</v>
      </c>
      <c r="G4385">
        <v>2481911</v>
      </c>
      <c r="H4385" t="s">
        <v>8677</v>
      </c>
      <c r="J4385" s="54" t="s">
        <v>6052</v>
      </c>
      <c r="K4385" s="54">
        <v>0</v>
      </c>
      <c r="L4385" s="22" t="s">
        <v>104</v>
      </c>
      <c r="M4385" s="22" t="s">
        <v>37182</v>
      </c>
    </row>
    <row r="4386" spans="1:13" x14ac:dyDescent="0.75">
      <c r="A4386" t="s">
        <v>29276</v>
      </c>
      <c r="B4386" t="s">
        <v>8338</v>
      </c>
      <c r="C4386" t="s">
        <v>6886</v>
      </c>
      <c r="D4386" t="s">
        <v>6088</v>
      </c>
      <c r="E4386" t="s">
        <v>29277</v>
      </c>
      <c r="F4386">
        <v>9</v>
      </c>
      <c r="G4386">
        <v>1535942</v>
      </c>
      <c r="H4386" t="s">
        <v>29278</v>
      </c>
      <c r="J4386" s="54" t="s">
        <v>6052</v>
      </c>
      <c r="K4386" s="54">
        <v>0</v>
      </c>
      <c r="L4386" s="22" t="s">
        <v>104</v>
      </c>
      <c r="M4386" s="22" t="s">
        <v>37182</v>
      </c>
    </row>
    <row r="4387" spans="1:13" x14ac:dyDescent="0.75">
      <c r="A4387" t="s">
        <v>18868</v>
      </c>
      <c r="B4387" t="s">
        <v>6923</v>
      </c>
      <c r="C4387" t="s">
        <v>6886</v>
      </c>
      <c r="D4387" t="s">
        <v>6924</v>
      </c>
      <c r="E4387" t="s">
        <v>18869</v>
      </c>
      <c r="F4387">
        <v>28</v>
      </c>
      <c r="G4387">
        <v>2727810</v>
      </c>
      <c r="H4387" t="s">
        <v>18870</v>
      </c>
      <c r="J4387" s="54" t="s">
        <v>6052</v>
      </c>
      <c r="K4387" s="54">
        <v>0</v>
      </c>
      <c r="L4387" s="22" t="s">
        <v>104</v>
      </c>
      <c r="M4387" s="22" t="s">
        <v>37184</v>
      </c>
    </row>
    <row r="4388" spans="1:13" x14ac:dyDescent="0.75">
      <c r="A4388" t="s">
        <v>30004</v>
      </c>
      <c r="B4388" t="s">
        <v>6923</v>
      </c>
      <c r="C4388" t="s">
        <v>6886</v>
      </c>
      <c r="D4388" t="s">
        <v>6924</v>
      </c>
      <c r="E4388" t="s">
        <v>30005</v>
      </c>
      <c r="F4388">
        <v>279</v>
      </c>
      <c r="G4388">
        <v>2580463</v>
      </c>
      <c r="H4388" t="s">
        <v>30006</v>
      </c>
      <c r="J4388" s="54" t="s">
        <v>6052</v>
      </c>
      <c r="K4388" s="54">
        <v>0</v>
      </c>
      <c r="L4388" s="22" t="s">
        <v>104</v>
      </c>
      <c r="M4388" s="22" t="s">
        <v>37184</v>
      </c>
    </row>
    <row r="4389" spans="1:13" x14ac:dyDescent="0.75">
      <c r="A4389" t="s">
        <v>6922</v>
      </c>
      <c r="B4389" t="s">
        <v>6923</v>
      </c>
      <c r="C4389" t="s">
        <v>6886</v>
      </c>
      <c r="D4389" t="s">
        <v>6924</v>
      </c>
      <c r="E4389" t="s">
        <v>6925</v>
      </c>
      <c r="F4389">
        <v>250</v>
      </c>
      <c r="G4389">
        <v>2706954</v>
      </c>
      <c r="H4389" t="s">
        <v>6926</v>
      </c>
      <c r="J4389" s="54" t="s">
        <v>6052</v>
      </c>
      <c r="K4389" s="54">
        <v>0</v>
      </c>
      <c r="L4389" s="22" t="s">
        <v>104</v>
      </c>
      <c r="M4389" s="22" t="s">
        <v>37184</v>
      </c>
    </row>
    <row r="4390" spans="1:13" x14ac:dyDescent="0.75">
      <c r="A4390" t="s">
        <v>19589</v>
      </c>
      <c r="B4390" t="s">
        <v>6923</v>
      </c>
      <c r="C4390" t="s">
        <v>6886</v>
      </c>
      <c r="D4390" t="s">
        <v>6924</v>
      </c>
      <c r="E4390" t="s">
        <v>19590</v>
      </c>
      <c r="F4390">
        <v>277</v>
      </c>
      <c r="G4390">
        <v>2217649</v>
      </c>
      <c r="H4390" t="s">
        <v>19591</v>
      </c>
      <c r="J4390" s="54" t="s">
        <v>6052</v>
      </c>
      <c r="K4390" s="54">
        <v>0</v>
      </c>
      <c r="L4390" s="22" t="s">
        <v>104</v>
      </c>
      <c r="M4390" s="22" t="s">
        <v>37184</v>
      </c>
    </row>
    <row r="4391" spans="1:13" x14ac:dyDescent="0.75">
      <c r="A4391" t="s">
        <v>28528</v>
      </c>
      <c r="B4391" t="s">
        <v>6923</v>
      </c>
      <c r="C4391" t="s">
        <v>6886</v>
      </c>
      <c r="D4391" t="s">
        <v>6924</v>
      </c>
      <c r="E4391" t="s">
        <v>28529</v>
      </c>
      <c r="F4391">
        <v>121</v>
      </c>
      <c r="G4391">
        <v>2494431</v>
      </c>
      <c r="H4391" t="s">
        <v>28530</v>
      </c>
      <c r="J4391" s="54" t="s">
        <v>6052</v>
      </c>
      <c r="K4391" s="54">
        <v>0</v>
      </c>
      <c r="L4391" s="22" t="s">
        <v>104</v>
      </c>
      <c r="M4391" s="22" t="s">
        <v>37184</v>
      </c>
    </row>
    <row r="4392" spans="1:13" x14ac:dyDescent="0.75">
      <c r="A4392" t="s">
        <v>29604</v>
      </c>
      <c r="B4392" t="s">
        <v>6923</v>
      </c>
      <c r="C4392" t="s">
        <v>6886</v>
      </c>
      <c r="D4392" t="s">
        <v>6924</v>
      </c>
      <c r="E4392" t="s">
        <v>29605</v>
      </c>
      <c r="F4392">
        <v>233</v>
      </c>
      <c r="G4392">
        <v>2491691</v>
      </c>
      <c r="H4392" t="s">
        <v>29606</v>
      </c>
      <c r="J4392" s="54" t="s">
        <v>6052</v>
      </c>
      <c r="K4392" s="54">
        <v>0</v>
      </c>
      <c r="L4392" s="22" t="s">
        <v>104</v>
      </c>
      <c r="M4392" s="22" t="s">
        <v>37184</v>
      </c>
    </row>
    <row r="4393" spans="1:13" x14ac:dyDescent="0.75">
      <c r="A4393" t="s">
        <v>29903</v>
      </c>
      <c r="B4393" t="s">
        <v>6885</v>
      </c>
      <c r="C4393" t="s">
        <v>6886</v>
      </c>
      <c r="D4393" t="s">
        <v>6887</v>
      </c>
      <c r="E4393" t="s">
        <v>29904</v>
      </c>
      <c r="F4393">
        <v>59</v>
      </c>
      <c r="G4393">
        <v>2649330</v>
      </c>
      <c r="H4393" t="s">
        <v>29905</v>
      </c>
      <c r="J4393" s="54" t="s">
        <v>6052</v>
      </c>
      <c r="K4393" s="54">
        <v>0</v>
      </c>
      <c r="L4393" s="22" t="s">
        <v>104</v>
      </c>
      <c r="M4393" s="22" t="s">
        <v>37185</v>
      </c>
    </row>
    <row r="4394" spans="1:13" x14ac:dyDescent="0.75">
      <c r="A4394" t="s">
        <v>6884</v>
      </c>
      <c r="B4394" t="s">
        <v>6885</v>
      </c>
      <c r="C4394" t="s">
        <v>6886</v>
      </c>
      <c r="D4394" t="s">
        <v>6887</v>
      </c>
      <c r="E4394" t="s">
        <v>6888</v>
      </c>
      <c r="F4394">
        <v>48</v>
      </c>
      <c r="G4394">
        <v>2676554</v>
      </c>
      <c r="H4394" t="s">
        <v>6889</v>
      </c>
      <c r="J4394" s="54" t="s">
        <v>6052</v>
      </c>
      <c r="K4394" s="54">
        <v>0</v>
      </c>
      <c r="L4394" s="22" t="s">
        <v>104</v>
      </c>
      <c r="M4394" s="22" t="s">
        <v>37185</v>
      </c>
    </row>
    <row r="4395" spans="1:13" x14ac:dyDescent="0.75">
      <c r="A4395" t="s">
        <v>9859</v>
      </c>
      <c r="B4395" t="s">
        <v>6885</v>
      </c>
      <c r="C4395" t="s">
        <v>6886</v>
      </c>
      <c r="D4395" t="s">
        <v>6887</v>
      </c>
      <c r="E4395" t="s">
        <v>9860</v>
      </c>
      <c r="F4395">
        <v>114</v>
      </c>
      <c r="G4395">
        <v>2694758</v>
      </c>
      <c r="H4395" t="s">
        <v>9861</v>
      </c>
      <c r="J4395" s="54" t="s">
        <v>6052</v>
      </c>
      <c r="K4395" s="54">
        <v>0</v>
      </c>
      <c r="L4395" s="22" t="s">
        <v>104</v>
      </c>
      <c r="M4395" s="22" t="s">
        <v>37185</v>
      </c>
    </row>
    <row r="4396" spans="1:13" x14ac:dyDescent="0.75">
      <c r="A4396" t="s">
        <v>18746</v>
      </c>
      <c r="B4396" t="s">
        <v>18747</v>
      </c>
      <c r="C4396" t="s">
        <v>6886</v>
      </c>
      <c r="D4396" t="s">
        <v>18748</v>
      </c>
      <c r="E4396" t="s">
        <v>18749</v>
      </c>
      <c r="F4396">
        <v>2</v>
      </c>
      <c r="G4396">
        <v>2527423</v>
      </c>
      <c r="H4396" t="s">
        <v>18750</v>
      </c>
      <c r="J4396" s="54" t="s">
        <v>6052</v>
      </c>
      <c r="K4396" s="54">
        <v>0</v>
      </c>
      <c r="L4396" s="22" t="s">
        <v>104</v>
      </c>
      <c r="M4396" s="22" t="s">
        <v>37186</v>
      </c>
    </row>
    <row r="4397" spans="1:13" x14ac:dyDescent="0.75">
      <c r="A4397" t="s">
        <v>25100</v>
      </c>
      <c r="B4397" t="s">
        <v>11441</v>
      </c>
      <c r="C4397" t="s">
        <v>11442</v>
      </c>
      <c r="D4397" t="s">
        <v>11443</v>
      </c>
      <c r="E4397" t="s">
        <v>25101</v>
      </c>
      <c r="F4397">
        <v>119</v>
      </c>
      <c r="G4397">
        <v>2784541</v>
      </c>
      <c r="H4397" t="s">
        <v>25102</v>
      </c>
      <c r="J4397" s="54" t="s">
        <v>6052</v>
      </c>
      <c r="K4397" s="54">
        <v>0</v>
      </c>
      <c r="L4397" s="22" t="s">
        <v>104</v>
      </c>
      <c r="M4397" s="22" t="s">
        <v>37188</v>
      </c>
    </row>
    <row r="4398" spans="1:13" x14ac:dyDescent="0.75">
      <c r="A4398" t="s">
        <v>27334</v>
      </c>
      <c r="B4398" t="s">
        <v>11441</v>
      </c>
      <c r="C4398" t="s">
        <v>11442</v>
      </c>
      <c r="D4398" t="s">
        <v>11443</v>
      </c>
      <c r="E4398" t="s">
        <v>27335</v>
      </c>
      <c r="F4398">
        <v>27</v>
      </c>
      <c r="G4398">
        <v>2830551</v>
      </c>
      <c r="H4398" t="s">
        <v>27336</v>
      </c>
      <c r="J4398" s="54" t="s">
        <v>6052</v>
      </c>
      <c r="K4398" s="54">
        <v>0</v>
      </c>
      <c r="L4398" s="22" t="s">
        <v>104</v>
      </c>
      <c r="M4398" s="22" t="s">
        <v>37188</v>
      </c>
    </row>
    <row r="4399" spans="1:13" x14ac:dyDescent="0.75">
      <c r="A4399" t="s">
        <v>30346</v>
      </c>
      <c r="B4399" t="s">
        <v>11441</v>
      </c>
      <c r="C4399" t="s">
        <v>11442</v>
      </c>
      <c r="D4399" t="s">
        <v>11443</v>
      </c>
      <c r="E4399" t="s">
        <v>30347</v>
      </c>
      <c r="F4399">
        <v>165</v>
      </c>
      <c r="G4399">
        <v>2583592</v>
      </c>
      <c r="H4399" t="s">
        <v>30348</v>
      </c>
      <c r="J4399" s="54" t="s">
        <v>6052</v>
      </c>
      <c r="K4399" s="54">
        <v>0</v>
      </c>
      <c r="L4399" s="22" t="s">
        <v>104</v>
      </c>
      <c r="M4399" s="22" t="s">
        <v>37188</v>
      </c>
    </row>
    <row r="4400" spans="1:13" x14ac:dyDescent="0.75">
      <c r="A4400" t="s">
        <v>11440</v>
      </c>
      <c r="B4400" t="s">
        <v>11441</v>
      </c>
      <c r="C4400" t="s">
        <v>11442</v>
      </c>
      <c r="D4400" t="s">
        <v>11443</v>
      </c>
      <c r="E4400" t="s">
        <v>11444</v>
      </c>
      <c r="F4400">
        <v>1</v>
      </c>
      <c r="G4400">
        <v>2925783</v>
      </c>
      <c r="H4400" t="s">
        <v>11445</v>
      </c>
      <c r="J4400" s="54" t="s">
        <v>6052</v>
      </c>
      <c r="K4400" s="54">
        <v>0</v>
      </c>
      <c r="L4400" s="22" t="s">
        <v>104</v>
      </c>
      <c r="M4400" s="22" t="s">
        <v>37188</v>
      </c>
    </row>
    <row r="4401" spans="1:13" x14ac:dyDescent="0.75">
      <c r="A4401" t="s">
        <v>5469</v>
      </c>
      <c r="B4401" t="s">
        <v>319</v>
      </c>
      <c r="C4401" t="s">
        <v>7040</v>
      </c>
      <c r="D4401" t="s">
        <v>7041</v>
      </c>
      <c r="E4401" t="s">
        <v>28970</v>
      </c>
      <c r="F4401">
        <v>29</v>
      </c>
      <c r="G4401">
        <v>2138627</v>
      </c>
      <c r="H4401" t="s">
        <v>28971</v>
      </c>
      <c r="J4401" s="54" t="s">
        <v>30844</v>
      </c>
      <c r="K4401" s="54">
        <v>1</v>
      </c>
      <c r="L4401" s="22" t="s">
        <v>104</v>
      </c>
      <c r="M4401" s="22" t="s">
        <v>36828</v>
      </c>
    </row>
    <row r="4402" spans="1:13" x14ac:dyDescent="0.75">
      <c r="A4402" t="s">
        <v>7947</v>
      </c>
      <c r="B4402" t="s">
        <v>7948</v>
      </c>
      <c r="C4402" t="s">
        <v>6156</v>
      </c>
      <c r="D4402" t="s">
        <v>7949</v>
      </c>
      <c r="E4402" t="s">
        <v>7950</v>
      </c>
      <c r="F4402">
        <v>46</v>
      </c>
      <c r="G4402">
        <v>2183368</v>
      </c>
      <c r="H4402" t="s">
        <v>7951</v>
      </c>
      <c r="J4402" s="54" t="s">
        <v>6052</v>
      </c>
      <c r="K4402" s="54">
        <v>0</v>
      </c>
      <c r="L4402" s="22" t="s">
        <v>144</v>
      </c>
      <c r="M4402" s="22" t="s">
        <v>37172</v>
      </c>
    </row>
    <row r="4403" spans="1:13" x14ac:dyDescent="0.75">
      <c r="A4403" t="s">
        <v>318</v>
      </c>
      <c r="B4403" t="s">
        <v>319</v>
      </c>
      <c r="C4403" t="s">
        <v>7040</v>
      </c>
      <c r="D4403" t="s">
        <v>7041</v>
      </c>
      <c r="E4403" t="s">
        <v>7042</v>
      </c>
      <c r="F4403">
        <v>28</v>
      </c>
      <c r="G4403">
        <v>2113539</v>
      </c>
      <c r="H4403" t="s">
        <v>7043</v>
      </c>
      <c r="J4403" s="54" t="s">
        <v>7042</v>
      </c>
      <c r="K4403" s="54">
        <v>1</v>
      </c>
      <c r="L4403" s="22" t="s">
        <v>104</v>
      </c>
      <c r="M4403" s="22" t="s">
        <v>36828</v>
      </c>
    </row>
    <row r="4404" spans="1:13" x14ac:dyDescent="0.75">
      <c r="A4404" t="s">
        <v>29637</v>
      </c>
      <c r="B4404" t="s">
        <v>319</v>
      </c>
      <c r="C4404" t="s">
        <v>7040</v>
      </c>
      <c r="D4404" t="s">
        <v>7041</v>
      </c>
      <c r="E4404" t="s">
        <v>29638</v>
      </c>
      <c r="F4404">
        <v>73</v>
      </c>
      <c r="G4404">
        <v>2140109</v>
      </c>
      <c r="H4404" t="s">
        <v>29639</v>
      </c>
      <c r="J4404" s="54" t="s">
        <v>6052</v>
      </c>
      <c r="K4404" s="54">
        <v>0</v>
      </c>
      <c r="L4404" s="22" t="s">
        <v>104</v>
      </c>
      <c r="M4404" s="22" t="s">
        <v>36828</v>
      </c>
    </row>
    <row r="4405" spans="1:13" x14ac:dyDescent="0.75">
      <c r="A4405" t="s">
        <v>7537</v>
      </c>
      <c r="B4405" t="s">
        <v>7063</v>
      </c>
      <c r="C4405" t="s">
        <v>7064</v>
      </c>
      <c r="D4405" t="s">
        <v>7065</v>
      </c>
      <c r="E4405" t="s">
        <v>7538</v>
      </c>
      <c r="F4405">
        <v>2</v>
      </c>
      <c r="G4405">
        <v>1891448</v>
      </c>
      <c r="H4405" t="s">
        <v>7539</v>
      </c>
      <c r="J4405" s="54" t="s">
        <v>6052</v>
      </c>
      <c r="K4405" s="54">
        <v>0</v>
      </c>
      <c r="L4405" s="22" t="s">
        <v>104</v>
      </c>
      <c r="M4405" s="22" t="s">
        <v>37191</v>
      </c>
    </row>
    <row r="4406" spans="1:13" x14ac:dyDescent="0.75">
      <c r="A4406" t="s">
        <v>29998</v>
      </c>
      <c r="B4406" t="s">
        <v>7063</v>
      </c>
      <c r="C4406" t="s">
        <v>7064</v>
      </c>
      <c r="D4406" t="s">
        <v>7065</v>
      </c>
      <c r="E4406" t="s">
        <v>29999</v>
      </c>
      <c r="F4406">
        <v>24</v>
      </c>
      <c r="G4406">
        <v>1833178</v>
      </c>
      <c r="H4406" t="s">
        <v>30000</v>
      </c>
      <c r="J4406" s="54" t="s">
        <v>6052</v>
      </c>
      <c r="K4406" s="54">
        <v>0</v>
      </c>
      <c r="L4406" s="22" t="s">
        <v>104</v>
      </c>
      <c r="M4406" s="22" t="s">
        <v>37191</v>
      </c>
    </row>
    <row r="4407" spans="1:13" x14ac:dyDescent="0.75">
      <c r="A4407" t="s">
        <v>7062</v>
      </c>
      <c r="B4407" t="s">
        <v>7063</v>
      </c>
      <c r="C4407" t="s">
        <v>7064</v>
      </c>
      <c r="D4407" t="s">
        <v>7065</v>
      </c>
      <c r="E4407" t="s">
        <v>7066</v>
      </c>
      <c r="F4407">
        <v>26</v>
      </c>
      <c r="G4407">
        <v>1897118</v>
      </c>
      <c r="H4407" t="s">
        <v>7067</v>
      </c>
      <c r="J4407" s="54" t="s">
        <v>6052</v>
      </c>
      <c r="K4407" s="54">
        <v>0</v>
      </c>
      <c r="L4407" s="22" t="s">
        <v>104</v>
      </c>
      <c r="M4407" s="22" t="s">
        <v>37191</v>
      </c>
    </row>
    <row r="4408" spans="1:13" x14ac:dyDescent="0.75">
      <c r="A4408" t="s">
        <v>8646</v>
      </c>
      <c r="B4408" t="s">
        <v>7063</v>
      </c>
      <c r="C4408" t="s">
        <v>7064</v>
      </c>
      <c r="D4408" t="s">
        <v>7065</v>
      </c>
      <c r="E4408" t="s">
        <v>8647</v>
      </c>
      <c r="F4408">
        <v>38</v>
      </c>
      <c r="G4408">
        <v>2003311</v>
      </c>
      <c r="H4408" t="s">
        <v>8648</v>
      </c>
      <c r="J4408" s="54" t="s">
        <v>6052</v>
      </c>
      <c r="K4408" s="54">
        <v>0</v>
      </c>
      <c r="L4408" s="22" t="s">
        <v>104</v>
      </c>
      <c r="M4408" s="22" t="s">
        <v>37191</v>
      </c>
    </row>
    <row r="4409" spans="1:13" x14ac:dyDescent="0.75">
      <c r="A4409" t="s">
        <v>10934</v>
      </c>
      <c r="B4409" t="s">
        <v>7063</v>
      </c>
      <c r="C4409" t="s">
        <v>7064</v>
      </c>
      <c r="D4409" t="s">
        <v>7065</v>
      </c>
      <c r="E4409" t="s">
        <v>10935</v>
      </c>
      <c r="F4409">
        <v>1</v>
      </c>
      <c r="G4409">
        <v>1890857</v>
      </c>
      <c r="H4409" t="s">
        <v>10936</v>
      </c>
      <c r="J4409" s="54" t="s">
        <v>6052</v>
      </c>
      <c r="K4409" s="54">
        <v>0</v>
      </c>
      <c r="L4409" s="22" t="s">
        <v>104</v>
      </c>
      <c r="M4409" s="22" t="s">
        <v>37191</v>
      </c>
    </row>
    <row r="4410" spans="1:13" x14ac:dyDescent="0.75">
      <c r="A4410" t="s">
        <v>28906</v>
      </c>
      <c r="B4410" t="s">
        <v>7063</v>
      </c>
      <c r="C4410" t="s">
        <v>7064</v>
      </c>
      <c r="D4410" t="s">
        <v>7065</v>
      </c>
      <c r="E4410" t="s">
        <v>28907</v>
      </c>
      <c r="F4410">
        <v>22</v>
      </c>
      <c r="G4410">
        <v>1849033</v>
      </c>
      <c r="H4410" t="s">
        <v>28908</v>
      </c>
      <c r="J4410" s="54" t="s">
        <v>6052</v>
      </c>
      <c r="K4410" s="54">
        <v>0</v>
      </c>
      <c r="L4410" s="22" t="s">
        <v>104</v>
      </c>
      <c r="M4410" s="22" t="s">
        <v>37191</v>
      </c>
    </row>
    <row r="4411" spans="1:13" x14ac:dyDescent="0.75">
      <c r="A4411" t="s">
        <v>17384</v>
      </c>
      <c r="B4411" t="s">
        <v>6707</v>
      </c>
      <c r="C4411" t="s">
        <v>6708</v>
      </c>
      <c r="D4411" t="s">
        <v>6709</v>
      </c>
      <c r="E4411" t="s">
        <v>17385</v>
      </c>
      <c r="F4411">
        <v>15</v>
      </c>
      <c r="G4411">
        <v>1634483</v>
      </c>
      <c r="H4411" t="s">
        <v>17386</v>
      </c>
      <c r="J4411" s="54" t="s">
        <v>6052</v>
      </c>
      <c r="K4411" s="54">
        <v>0</v>
      </c>
      <c r="L4411" s="22" t="s">
        <v>104</v>
      </c>
      <c r="M4411" s="22" t="s">
        <v>37192</v>
      </c>
    </row>
    <row r="4412" spans="1:13" x14ac:dyDescent="0.75">
      <c r="A4412" t="s">
        <v>10043</v>
      </c>
      <c r="B4412" t="s">
        <v>6707</v>
      </c>
      <c r="C4412" t="s">
        <v>6708</v>
      </c>
      <c r="D4412" t="s">
        <v>6709</v>
      </c>
      <c r="E4412" t="s">
        <v>10044</v>
      </c>
      <c r="F4412">
        <v>50</v>
      </c>
      <c r="G4412">
        <v>1680794</v>
      </c>
      <c r="H4412" t="s">
        <v>10045</v>
      </c>
      <c r="J4412" s="54" t="s">
        <v>6052</v>
      </c>
      <c r="K4412" s="54">
        <v>0</v>
      </c>
      <c r="L4412" s="22" t="s">
        <v>104</v>
      </c>
      <c r="M4412" s="22" t="s">
        <v>37192</v>
      </c>
    </row>
    <row r="4413" spans="1:13" x14ac:dyDescent="0.75">
      <c r="A4413" t="s">
        <v>6706</v>
      </c>
      <c r="B4413" t="s">
        <v>6707</v>
      </c>
      <c r="C4413" t="s">
        <v>6708</v>
      </c>
      <c r="D4413" t="s">
        <v>6709</v>
      </c>
      <c r="E4413" t="s">
        <v>6710</v>
      </c>
      <c r="F4413">
        <v>17</v>
      </c>
      <c r="G4413">
        <v>1703872</v>
      </c>
      <c r="H4413" t="s">
        <v>6711</v>
      </c>
      <c r="J4413" s="54" t="s">
        <v>6052</v>
      </c>
      <c r="K4413" s="54">
        <v>0</v>
      </c>
      <c r="L4413" s="22" t="s">
        <v>104</v>
      </c>
      <c r="M4413" s="22" t="s">
        <v>37192</v>
      </c>
    </row>
    <row r="4414" spans="1:13" x14ac:dyDescent="0.75">
      <c r="A4414" t="s">
        <v>28761</v>
      </c>
      <c r="B4414" t="s">
        <v>6707</v>
      </c>
      <c r="C4414" t="s">
        <v>6708</v>
      </c>
      <c r="D4414" t="s">
        <v>6709</v>
      </c>
      <c r="E4414" t="s">
        <v>28762</v>
      </c>
      <c r="F4414">
        <v>47</v>
      </c>
      <c r="G4414">
        <v>1726992</v>
      </c>
      <c r="H4414" t="s">
        <v>28763</v>
      </c>
      <c r="J4414" s="54" t="s">
        <v>6052</v>
      </c>
      <c r="K4414" s="54">
        <v>0</v>
      </c>
      <c r="L4414" s="22" t="s">
        <v>104</v>
      </c>
      <c r="M4414" s="22" t="s">
        <v>37192</v>
      </c>
    </row>
    <row r="4415" spans="1:13" x14ac:dyDescent="0.75">
      <c r="A4415" t="s">
        <v>29888</v>
      </c>
      <c r="B4415" t="s">
        <v>6707</v>
      </c>
      <c r="C4415" t="s">
        <v>6708</v>
      </c>
      <c r="D4415" t="s">
        <v>6709</v>
      </c>
      <c r="E4415" t="s">
        <v>29889</v>
      </c>
      <c r="F4415">
        <v>41</v>
      </c>
      <c r="G4415">
        <v>1569637</v>
      </c>
      <c r="H4415" t="s">
        <v>29890</v>
      </c>
      <c r="J4415" s="54" t="s">
        <v>6052</v>
      </c>
      <c r="K4415" s="54">
        <v>0</v>
      </c>
      <c r="L4415" s="22" t="s">
        <v>104</v>
      </c>
      <c r="M4415" s="22" t="s">
        <v>37192</v>
      </c>
    </row>
    <row r="4416" spans="1:13" x14ac:dyDescent="0.75">
      <c r="A4416" t="s">
        <v>23174</v>
      </c>
      <c r="B4416" t="s">
        <v>6707</v>
      </c>
      <c r="C4416" t="s">
        <v>6708</v>
      </c>
      <c r="D4416" t="s">
        <v>6709</v>
      </c>
      <c r="E4416" t="s">
        <v>23175</v>
      </c>
      <c r="F4416">
        <v>19</v>
      </c>
      <c r="G4416">
        <v>1658119</v>
      </c>
      <c r="H4416" t="s">
        <v>23176</v>
      </c>
      <c r="J4416" s="54" t="s">
        <v>6052</v>
      </c>
      <c r="K4416" s="54">
        <v>0</v>
      </c>
      <c r="L4416" s="22" t="s">
        <v>104</v>
      </c>
      <c r="M4416" s="22" t="s">
        <v>37192</v>
      </c>
    </row>
    <row r="4417" spans="1:13" x14ac:dyDescent="0.75">
      <c r="A4417" t="s">
        <v>23165</v>
      </c>
      <c r="B4417" t="s">
        <v>6707</v>
      </c>
      <c r="C4417" t="s">
        <v>6708</v>
      </c>
      <c r="D4417" t="s">
        <v>6709</v>
      </c>
      <c r="E4417" t="s">
        <v>23166</v>
      </c>
      <c r="F4417">
        <v>15</v>
      </c>
      <c r="G4417">
        <v>1649822</v>
      </c>
      <c r="H4417" t="s">
        <v>23167</v>
      </c>
      <c r="J4417" s="54" t="s">
        <v>6052</v>
      </c>
      <c r="K4417" s="54">
        <v>0</v>
      </c>
      <c r="L4417" s="22" t="s">
        <v>104</v>
      </c>
      <c r="M4417" s="22" t="s">
        <v>37192</v>
      </c>
    </row>
    <row r="4418" spans="1:13" x14ac:dyDescent="0.75">
      <c r="A4418" t="s">
        <v>23162</v>
      </c>
      <c r="B4418" t="s">
        <v>6707</v>
      </c>
      <c r="C4418" t="s">
        <v>6708</v>
      </c>
      <c r="D4418" t="s">
        <v>6709</v>
      </c>
      <c r="E4418" t="s">
        <v>23163</v>
      </c>
      <c r="F4418">
        <v>18</v>
      </c>
      <c r="G4418">
        <v>1653180</v>
      </c>
      <c r="H4418" t="s">
        <v>23164</v>
      </c>
      <c r="J4418" s="54" t="s">
        <v>6052</v>
      </c>
      <c r="K4418" s="54">
        <v>0</v>
      </c>
      <c r="L4418" s="22" t="s">
        <v>104</v>
      </c>
      <c r="M4418" s="22" t="s">
        <v>37192</v>
      </c>
    </row>
    <row r="4419" spans="1:13" x14ac:dyDescent="0.75">
      <c r="A4419" t="s">
        <v>23159</v>
      </c>
      <c r="B4419" t="s">
        <v>6707</v>
      </c>
      <c r="C4419" t="s">
        <v>6708</v>
      </c>
      <c r="D4419" t="s">
        <v>6709</v>
      </c>
      <c r="E4419" t="s">
        <v>23160</v>
      </c>
      <c r="F4419">
        <v>16</v>
      </c>
      <c r="G4419">
        <v>1650841</v>
      </c>
      <c r="H4419" t="s">
        <v>23161</v>
      </c>
      <c r="J4419" s="54" t="s">
        <v>6052</v>
      </c>
      <c r="K4419" s="54">
        <v>0</v>
      </c>
      <c r="L4419" s="22" t="s">
        <v>104</v>
      </c>
      <c r="M4419" s="22" t="s">
        <v>37192</v>
      </c>
    </row>
    <row r="4420" spans="1:13" x14ac:dyDescent="0.75">
      <c r="A4420" t="s">
        <v>16121</v>
      </c>
      <c r="B4420" t="s">
        <v>6707</v>
      </c>
      <c r="C4420" t="s">
        <v>6708</v>
      </c>
      <c r="D4420" t="s">
        <v>6709</v>
      </c>
      <c r="E4420" t="s">
        <v>16122</v>
      </c>
      <c r="F4420">
        <v>2</v>
      </c>
      <c r="G4420">
        <v>1715975</v>
      </c>
      <c r="H4420" t="s">
        <v>16123</v>
      </c>
      <c r="J4420" s="54" t="s">
        <v>6052</v>
      </c>
      <c r="K4420" s="54">
        <v>0</v>
      </c>
      <c r="L4420" s="22" t="s">
        <v>104</v>
      </c>
      <c r="M4420" s="22" t="s">
        <v>37192</v>
      </c>
    </row>
    <row r="4421" spans="1:13" x14ac:dyDescent="0.75">
      <c r="A4421" t="s">
        <v>19586</v>
      </c>
      <c r="B4421" t="s">
        <v>6707</v>
      </c>
      <c r="C4421" t="s">
        <v>6708</v>
      </c>
      <c r="D4421" t="s">
        <v>6709</v>
      </c>
      <c r="E4421" t="s">
        <v>19587</v>
      </c>
      <c r="F4421">
        <v>70</v>
      </c>
      <c r="G4421">
        <v>1774636</v>
      </c>
      <c r="H4421" t="s">
        <v>19588</v>
      </c>
      <c r="J4421" s="54" t="s">
        <v>6052</v>
      </c>
      <c r="K4421" s="54">
        <v>0</v>
      </c>
      <c r="L4421" s="22" t="s">
        <v>104</v>
      </c>
      <c r="M4421" s="22" t="s">
        <v>37192</v>
      </c>
    </row>
    <row r="4422" spans="1:13" x14ac:dyDescent="0.75">
      <c r="A4422" t="s">
        <v>15566</v>
      </c>
      <c r="B4422" t="s">
        <v>6707</v>
      </c>
      <c r="C4422" t="s">
        <v>6708</v>
      </c>
      <c r="D4422" t="s">
        <v>6709</v>
      </c>
      <c r="E4422" t="s">
        <v>15567</v>
      </c>
      <c r="F4422">
        <v>1</v>
      </c>
      <c r="G4422">
        <v>1661863</v>
      </c>
      <c r="H4422" t="s">
        <v>15568</v>
      </c>
      <c r="J4422" s="54" t="s">
        <v>6052</v>
      </c>
      <c r="K4422" s="54">
        <v>0</v>
      </c>
      <c r="L4422" s="22" t="s">
        <v>104</v>
      </c>
      <c r="M4422" s="22" t="s">
        <v>37192</v>
      </c>
    </row>
    <row r="4423" spans="1:13" x14ac:dyDescent="0.75">
      <c r="A4423" t="s">
        <v>10685</v>
      </c>
      <c r="B4423" t="s">
        <v>6707</v>
      </c>
      <c r="C4423" t="s">
        <v>6708</v>
      </c>
      <c r="D4423" t="s">
        <v>6709</v>
      </c>
      <c r="E4423" t="s">
        <v>10686</v>
      </c>
      <c r="F4423">
        <v>1</v>
      </c>
      <c r="G4423">
        <v>1627009</v>
      </c>
      <c r="H4423" t="s">
        <v>10687</v>
      </c>
      <c r="J4423" s="54" t="s">
        <v>6052</v>
      </c>
      <c r="K4423" s="54">
        <v>0</v>
      </c>
      <c r="L4423" s="22" t="s">
        <v>104</v>
      </c>
      <c r="M4423" s="22" t="s">
        <v>37192</v>
      </c>
    </row>
    <row r="4424" spans="1:13" x14ac:dyDescent="0.75">
      <c r="A4424" t="s">
        <v>28232</v>
      </c>
      <c r="B4424" t="s">
        <v>6707</v>
      </c>
      <c r="C4424" t="s">
        <v>6708</v>
      </c>
      <c r="D4424" t="s">
        <v>6709</v>
      </c>
      <c r="E4424" t="s">
        <v>28233</v>
      </c>
      <c r="F4424">
        <v>17</v>
      </c>
      <c r="G4424">
        <v>1703872</v>
      </c>
      <c r="H4424" t="s">
        <v>28234</v>
      </c>
      <c r="J4424" s="54" t="s">
        <v>6052</v>
      </c>
      <c r="K4424" s="54">
        <v>0</v>
      </c>
      <c r="L4424" s="22" t="s">
        <v>104</v>
      </c>
      <c r="M4424" s="22" t="s">
        <v>37192</v>
      </c>
    </row>
    <row r="4425" spans="1:13" x14ac:dyDescent="0.75">
      <c r="A4425" t="s">
        <v>28004</v>
      </c>
      <c r="B4425" t="s">
        <v>6707</v>
      </c>
      <c r="C4425" t="s">
        <v>6708</v>
      </c>
      <c r="D4425" t="s">
        <v>6709</v>
      </c>
      <c r="E4425" t="s">
        <v>28005</v>
      </c>
      <c r="F4425">
        <v>1</v>
      </c>
      <c r="G4425">
        <v>1677398</v>
      </c>
      <c r="H4425" t="s">
        <v>28006</v>
      </c>
      <c r="J4425" s="54" t="s">
        <v>6052</v>
      </c>
      <c r="K4425" s="54">
        <v>0</v>
      </c>
      <c r="L4425" s="22" t="s">
        <v>104</v>
      </c>
      <c r="M4425" s="22" t="s">
        <v>37192</v>
      </c>
    </row>
    <row r="4426" spans="1:13" x14ac:dyDescent="0.75">
      <c r="A4426" t="s">
        <v>24558</v>
      </c>
      <c r="B4426" t="s">
        <v>6707</v>
      </c>
      <c r="C4426" t="s">
        <v>6708</v>
      </c>
      <c r="D4426" t="s">
        <v>6709</v>
      </c>
      <c r="E4426" t="s">
        <v>24559</v>
      </c>
      <c r="F4426">
        <v>1</v>
      </c>
      <c r="G4426">
        <v>1733605</v>
      </c>
      <c r="H4426" t="s">
        <v>24560</v>
      </c>
      <c r="J4426" s="54" t="s">
        <v>6052</v>
      </c>
      <c r="K4426" s="54">
        <v>0</v>
      </c>
      <c r="L4426" s="22" t="s">
        <v>104</v>
      </c>
      <c r="M4426" s="22" t="s">
        <v>37192</v>
      </c>
    </row>
    <row r="4427" spans="1:13" x14ac:dyDescent="0.75">
      <c r="A4427" t="s">
        <v>24561</v>
      </c>
      <c r="B4427" t="s">
        <v>6707</v>
      </c>
      <c r="C4427" t="s">
        <v>6708</v>
      </c>
      <c r="D4427" t="s">
        <v>6709</v>
      </c>
      <c r="E4427" t="s">
        <v>24562</v>
      </c>
      <c r="F4427">
        <v>1</v>
      </c>
      <c r="G4427">
        <v>1532745</v>
      </c>
      <c r="H4427" t="s">
        <v>24563</v>
      </c>
      <c r="J4427" s="54" t="s">
        <v>6052</v>
      </c>
      <c r="K4427" s="54">
        <v>0</v>
      </c>
      <c r="L4427" s="22" t="s">
        <v>104</v>
      </c>
      <c r="M4427" s="22" t="s">
        <v>37192</v>
      </c>
    </row>
    <row r="4428" spans="1:13" x14ac:dyDescent="0.75">
      <c r="A4428" t="s">
        <v>24540</v>
      </c>
      <c r="B4428" t="s">
        <v>6707</v>
      </c>
      <c r="C4428" t="s">
        <v>6708</v>
      </c>
      <c r="D4428" t="s">
        <v>6709</v>
      </c>
      <c r="E4428" t="s">
        <v>24541</v>
      </c>
      <c r="F4428">
        <v>14</v>
      </c>
      <c r="G4428">
        <v>1731212</v>
      </c>
      <c r="H4428" t="s">
        <v>24542</v>
      </c>
      <c r="J4428" s="54" t="s">
        <v>6052</v>
      </c>
      <c r="K4428" s="54">
        <v>0</v>
      </c>
      <c r="L4428" s="22" t="s">
        <v>104</v>
      </c>
      <c r="M4428" s="22" t="s">
        <v>37192</v>
      </c>
    </row>
    <row r="4429" spans="1:13" x14ac:dyDescent="0.75">
      <c r="A4429" t="s">
        <v>24546</v>
      </c>
      <c r="B4429" t="s">
        <v>6707</v>
      </c>
      <c r="C4429" t="s">
        <v>6708</v>
      </c>
      <c r="D4429" t="s">
        <v>6709</v>
      </c>
      <c r="E4429" t="s">
        <v>24547</v>
      </c>
      <c r="F4429">
        <v>1</v>
      </c>
      <c r="G4429">
        <v>1755474</v>
      </c>
      <c r="H4429" t="s">
        <v>24548</v>
      </c>
      <c r="J4429" s="54" t="s">
        <v>6052</v>
      </c>
      <c r="K4429" s="54">
        <v>0</v>
      </c>
      <c r="L4429" s="22" t="s">
        <v>104</v>
      </c>
      <c r="M4429" s="22" t="s">
        <v>37192</v>
      </c>
    </row>
    <row r="4430" spans="1:13" x14ac:dyDescent="0.75">
      <c r="A4430" t="s">
        <v>24537</v>
      </c>
      <c r="B4430" t="s">
        <v>6707</v>
      </c>
      <c r="C4430" t="s">
        <v>6708</v>
      </c>
      <c r="D4430" t="s">
        <v>6709</v>
      </c>
      <c r="E4430" t="s">
        <v>24538</v>
      </c>
      <c r="F4430">
        <v>21</v>
      </c>
      <c r="G4430">
        <v>1729584</v>
      </c>
      <c r="H4430" t="s">
        <v>24539</v>
      </c>
      <c r="J4430" s="54" t="s">
        <v>6052</v>
      </c>
      <c r="K4430" s="54">
        <v>0</v>
      </c>
      <c r="L4430" s="22" t="s">
        <v>104</v>
      </c>
      <c r="M4430" s="22" t="s">
        <v>37192</v>
      </c>
    </row>
    <row r="4431" spans="1:13" x14ac:dyDescent="0.75">
      <c r="A4431" t="s">
        <v>24531</v>
      </c>
      <c r="B4431" t="s">
        <v>6707</v>
      </c>
      <c r="C4431" t="s">
        <v>6708</v>
      </c>
      <c r="D4431" t="s">
        <v>6709</v>
      </c>
      <c r="E4431" t="s">
        <v>24532</v>
      </c>
      <c r="F4431">
        <v>20</v>
      </c>
      <c r="G4431">
        <v>1731933</v>
      </c>
      <c r="H4431" t="s">
        <v>24533</v>
      </c>
      <c r="J4431" s="54" t="s">
        <v>6052</v>
      </c>
      <c r="K4431" s="54">
        <v>0</v>
      </c>
      <c r="L4431" s="22" t="s">
        <v>104</v>
      </c>
      <c r="M4431" s="22" t="s">
        <v>37192</v>
      </c>
    </row>
    <row r="4432" spans="1:13" x14ac:dyDescent="0.75">
      <c r="A4432" t="s">
        <v>24543</v>
      </c>
      <c r="B4432" t="s">
        <v>6707</v>
      </c>
      <c r="C4432" t="s">
        <v>6708</v>
      </c>
      <c r="D4432" t="s">
        <v>6709</v>
      </c>
      <c r="E4432" t="s">
        <v>24544</v>
      </c>
      <c r="F4432">
        <v>1</v>
      </c>
      <c r="G4432">
        <v>1678242</v>
      </c>
      <c r="H4432" t="s">
        <v>24545</v>
      </c>
      <c r="J4432" s="54" t="s">
        <v>6052</v>
      </c>
      <c r="K4432" s="54">
        <v>0</v>
      </c>
      <c r="L4432" s="22" t="s">
        <v>104</v>
      </c>
      <c r="M4432" s="22" t="s">
        <v>37192</v>
      </c>
    </row>
    <row r="4433" spans="1:13" x14ac:dyDescent="0.75">
      <c r="A4433" t="s">
        <v>24555</v>
      </c>
      <c r="B4433" t="s">
        <v>6707</v>
      </c>
      <c r="C4433" t="s">
        <v>6708</v>
      </c>
      <c r="D4433" t="s">
        <v>6709</v>
      </c>
      <c r="E4433" t="s">
        <v>24556</v>
      </c>
      <c r="F4433">
        <v>1</v>
      </c>
      <c r="G4433">
        <v>1663572</v>
      </c>
      <c r="H4433" t="s">
        <v>24557</v>
      </c>
      <c r="J4433" s="54" t="s">
        <v>6052</v>
      </c>
      <c r="K4433" s="54">
        <v>0</v>
      </c>
      <c r="L4433" s="22" t="s">
        <v>104</v>
      </c>
      <c r="M4433" s="22" t="s">
        <v>37192</v>
      </c>
    </row>
    <row r="4434" spans="1:13" x14ac:dyDescent="0.75">
      <c r="A4434" t="s">
        <v>24549</v>
      </c>
      <c r="B4434" t="s">
        <v>6707</v>
      </c>
      <c r="C4434" t="s">
        <v>6708</v>
      </c>
      <c r="D4434" t="s">
        <v>6709</v>
      </c>
      <c r="E4434" t="s">
        <v>24550</v>
      </c>
      <c r="F4434">
        <v>1</v>
      </c>
      <c r="G4434">
        <v>1676768</v>
      </c>
      <c r="H4434" t="s">
        <v>24551</v>
      </c>
      <c r="J4434" s="54" t="s">
        <v>6052</v>
      </c>
      <c r="K4434" s="54">
        <v>0</v>
      </c>
      <c r="L4434" s="22" t="s">
        <v>104</v>
      </c>
      <c r="M4434" s="22" t="s">
        <v>37192</v>
      </c>
    </row>
    <row r="4435" spans="1:13" x14ac:dyDescent="0.75">
      <c r="A4435" t="s">
        <v>24552</v>
      </c>
      <c r="B4435" t="s">
        <v>6707</v>
      </c>
      <c r="C4435" t="s">
        <v>6708</v>
      </c>
      <c r="D4435" t="s">
        <v>6709</v>
      </c>
      <c r="E4435" t="s">
        <v>24553</v>
      </c>
      <c r="F4435">
        <v>1</v>
      </c>
      <c r="G4435">
        <v>1676568</v>
      </c>
      <c r="H4435" t="s">
        <v>24554</v>
      </c>
      <c r="J4435" s="54" t="s">
        <v>6052</v>
      </c>
      <c r="K4435" s="54">
        <v>0</v>
      </c>
      <c r="L4435" s="22" t="s">
        <v>104</v>
      </c>
      <c r="M4435" s="22" t="s">
        <v>37192</v>
      </c>
    </row>
    <row r="4436" spans="1:13" x14ac:dyDescent="0.75">
      <c r="A4436" t="s">
        <v>24534</v>
      </c>
      <c r="B4436" t="s">
        <v>6707</v>
      </c>
      <c r="C4436" t="s">
        <v>6708</v>
      </c>
      <c r="D4436" t="s">
        <v>6709</v>
      </c>
      <c r="E4436" t="s">
        <v>24535</v>
      </c>
      <c r="F4436">
        <v>13</v>
      </c>
      <c r="G4436">
        <v>1672481</v>
      </c>
      <c r="H4436" t="s">
        <v>24536</v>
      </c>
      <c r="J4436" s="54" t="s">
        <v>6052</v>
      </c>
      <c r="K4436" s="54">
        <v>0</v>
      </c>
      <c r="L4436" s="22" t="s">
        <v>104</v>
      </c>
      <c r="M4436" s="22" t="s">
        <v>37192</v>
      </c>
    </row>
    <row r="4437" spans="1:13" x14ac:dyDescent="0.75">
      <c r="A4437" t="s">
        <v>29125</v>
      </c>
      <c r="B4437" t="s">
        <v>6707</v>
      </c>
      <c r="C4437" t="s">
        <v>6708</v>
      </c>
      <c r="D4437" t="s">
        <v>6709</v>
      </c>
      <c r="E4437" t="s">
        <v>29126</v>
      </c>
      <c r="F4437">
        <v>176</v>
      </c>
      <c r="G4437">
        <v>1561631</v>
      </c>
      <c r="H4437" t="s">
        <v>29127</v>
      </c>
      <c r="J4437" s="54" t="s">
        <v>6052</v>
      </c>
      <c r="K4437" s="54">
        <v>0</v>
      </c>
      <c r="L4437" s="22" t="s">
        <v>104</v>
      </c>
      <c r="M4437" s="22" t="s">
        <v>37192</v>
      </c>
    </row>
    <row r="4438" spans="1:13" x14ac:dyDescent="0.75">
      <c r="A4438" t="s">
        <v>7785</v>
      </c>
      <c r="B4438" t="s">
        <v>7786</v>
      </c>
      <c r="C4438" t="s">
        <v>6708</v>
      </c>
      <c r="D4438" t="s">
        <v>7787</v>
      </c>
      <c r="E4438" t="s">
        <v>7788</v>
      </c>
      <c r="F4438">
        <v>2</v>
      </c>
      <c r="G4438">
        <v>1556464</v>
      </c>
      <c r="H4438" t="s">
        <v>7789</v>
      </c>
      <c r="J4438" s="54" t="s">
        <v>6052</v>
      </c>
      <c r="K4438" s="54">
        <v>0</v>
      </c>
      <c r="L4438" s="22" t="s">
        <v>104</v>
      </c>
      <c r="M4438" s="22" t="s">
        <v>37193</v>
      </c>
    </row>
    <row r="4439" spans="1:13" x14ac:dyDescent="0.75">
      <c r="A4439" t="s">
        <v>19583</v>
      </c>
      <c r="B4439" t="s">
        <v>7786</v>
      </c>
      <c r="C4439" t="s">
        <v>6708</v>
      </c>
      <c r="D4439" t="s">
        <v>7787</v>
      </c>
      <c r="E4439" t="s">
        <v>19584</v>
      </c>
      <c r="F4439">
        <v>119</v>
      </c>
      <c r="G4439">
        <v>1555998</v>
      </c>
      <c r="H4439" t="s">
        <v>19585</v>
      </c>
      <c r="J4439" s="54" t="s">
        <v>6052</v>
      </c>
      <c r="K4439" s="54">
        <v>0</v>
      </c>
      <c r="L4439" s="22" t="s">
        <v>104</v>
      </c>
      <c r="M4439" s="22" t="s">
        <v>37193</v>
      </c>
    </row>
    <row r="4440" spans="1:13" x14ac:dyDescent="0.75">
      <c r="A4440" t="s">
        <v>19577</v>
      </c>
      <c r="B4440" t="s">
        <v>7786</v>
      </c>
      <c r="C4440" t="s">
        <v>6708</v>
      </c>
      <c r="D4440" t="s">
        <v>7787</v>
      </c>
      <c r="E4440" t="s">
        <v>19578</v>
      </c>
      <c r="F4440">
        <v>111</v>
      </c>
      <c r="G4440">
        <v>1193945</v>
      </c>
      <c r="H4440" t="s">
        <v>19579</v>
      </c>
      <c r="J4440" s="54" t="s">
        <v>6052</v>
      </c>
      <c r="K4440" s="54">
        <v>0</v>
      </c>
      <c r="L4440" s="22" t="s">
        <v>104</v>
      </c>
      <c r="M4440" s="22" t="s">
        <v>37193</v>
      </c>
    </row>
    <row r="4441" spans="1:13" x14ac:dyDescent="0.75">
      <c r="A4441" t="s">
        <v>7936</v>
      </c>
      <c r="B4441" t="s">
        <v>7937</v>
      </c>
      <c r="C4441" t="s">
        <v>6708</v>
      </c>
      <c r="D4441" t="s">
        <v>7938</v>
      </c>
      <c r="E4441" t="s">
        <v>7939</v>
      </c>
      <c r="F4441">
        <v>5</v>
      </c>
      <c r="G4441">
        <v>1483165</v>
      </c>
      <c r="H4441" t="s">
        <v>7940</v>
      </c>
      <c r="J4441" s="54" t="s">
        <v>6052</v>
      </c>
      <c r="K4441" s="54">
        <v>0</v>
      </c>
      <c r="L4441" s="22" t="s">
        <v>104</v>
      </c>
      <c r="M4441" s="22" t="s">
        <v>37194</v>
      </c>
    </row>
    <row r="4442" spans="1:13" x14ac:dyDescent="0.75">
      <c r="A4442" t="s">
        <v>19279</v>
      </c>
      <c r="B4442" t="s">
        <v>18584</v>
      </c>
      <c r="C4442" t="s">
        <v>18585</v>
      </c>
      <c r="D4442" t="s">
        <v>18586</v>
      </c>
      <c r="E4442" t="s">
        <v>19280</v>
      </c>
      <c r="F4442">
        <v>38</v>
      </c>
      <c r="G4442">
        <v>720911</v>
      </c>
      <c r="H4442" t="s">
        <v>19281</v>
      </c>
      <c r="J4442" s="54" t="s">
        <v>6052</v>
      </c>
      <c r="K4442" s="54">
        <v>0</v>
      </c>
      <c r="L4442" s="22" t="s">
        <v>104</v>
      </c>
      <c r="M4442" s="22" t="s">
        <v>37195</v>
      </c>
    </row>
    <row r="4443" spans="1:13" x14ac:dyDescent="0.75">
      <c r="A4443" t="s">
        <v>19276</v>
      </c>
      <c r="B4443" t="s">
        <v>18584</v>
      </c>
      <c r="C4443" t="s">
        <v>18585</v>
      </c>
      <c r="D4443" t="s">
        <v>18586</v>
      </c>
      <c r="E4443" t="s">
        <v>19277</v>
      </c>
      <c r="F4443">
        <v>1</v>
      </c>
      <c r="G4443">
        <v>841302</v>
      </c>
      <c r="H4443" t="s">
        <v>19278</v>
      </c>
      <c r="J4443" s="54" t="s">
        <v>6052</v>
      </c>
      <c r="K4443" s="54">
        <v>0</v>
      </c>
      <c r="L4443" s="22" t="s">
        <v>104</v>
      </c>
      <c r="M4443" s="22" t="s">
        <v>37195</v>
      </c>
    </row>
    <row r="4444" spans="1:13" x14ac:dyDescent="0.75">
      <c r="A4444" t="s">
        <v>19273</v>
      </c>
      <c r="B4444" t="s">
        <v>18584</v>
      </c>
      <c r="C4444" t="s">
        <v>18585</v>
      </c>
      <c r="D4444" t="s">
        <v>18586</v>
      </c>
      <c r="E4444" t="s">
        <v>19274</v>
      </c>
      <c r="F4444">
        <v>24</v>
      </c>
      <c r="G4444">
        <v>927337</v>
      </c>
      <c r="H4444" t="s">
        <v>19275</v>
      </c>
      <c r="J4444" s="54" t="s">
        <v>6052</v>
      </c>
      <c r="K4444" s="54">
        <v>0</v>
      </c>
      <c r="L4444" s="22" t="s">
        <v>104</v>
      </c>
      <c r="M4444" s="22" t="s">
        <v>37195</v>
      </c>
    </row>
    <row r="4445" spans="1:13" x14ac:dyDescent="0.75">
      <c r="A4445" t="s">
        <v>18669</v>
      </c>
      <c r="B4445" t="s">
        <v>18584</v>
      </c>
      <c r="C4445" t="s">
        <v>18585</v>
      </c>
      <c r="D4445" t="s">
        <v>18586</v>
      </c>
      <c r="E4445" t="s">
        <v>18670</v>
      </c>
      <c r="F4445">
        <v>20</v>
      </c>
      <c r="G4445">
        <v>784149</v>
      </c>
      <c r="H4445" t="s">
        <v>18671</v>
      </c>
      <c r="J4445" s="54" t="s">
        <v>6052</v>
      </c>
      <c r="K4445" s="54">
        <v>0</v>
      </c>
      <c r="L4445" s="22" t="s">
        <v>104</v>
      </c>
      <c r="M4445" s="22" t="s">
        <v>37195</v>
      </c>
    </row>
    <row r="4446" spans="1:13" x14ac:dyDescent="0.75">
      <c r="A4446" t="s">
        <v>18633</v>
      </c>
      <c r="B4446" t="s">
        <v>18584</v>
      </c>
      <c r="C4446" t="s">
        <v>18585</v>
      </c>
      <c r="D4446" t="s">
        <v>18586</v>
      </c>
      <c r="E4446" t="s">
        <v>18634</v>
      </c>
      <c r="F4446">
        <v>47</v>
      </c>
      <c r="G4446">
        <v>733643</v>
      </c>
      <c r="H4446" t="s">
        <v>18635</v>
      </c>
      <c r="J4446" s="54" t="s">
        <v>6052</v>
      </c>
      <c r="K4446" s="54">
        <v>0</v>
      </c>
      <c r="L4446" s="22" t="s">
        <v>104</v>
      </c>
      <c r="M4446" s="22" t="s">
        <v>37195</v>
      </c>
    </row>
    <row r="4447" spans="1:13" x14ac:dyDescent="0.75">
      <c r="A4447" t="s">
        <v>18583</v>
      </c>
      <c r="B4447" t="s">
        <v>18584</v>
      </c>
      <c r="C4447" t="s">
        <v>18585</v>
      </c>
      <c r="D4447" t="s">
        <v>18586</v>
      </c>
      <c r="E4447" t="s">
        <v>18587</v>
      </c>
      <c r="F4447">
        <v>14</v>
      </c>
      <c r="G4447">
        <v>762856</v>
      </c>
      <c r="H4447" t="s">
        <v>18588</v>
      </c>
      <c r="J4447" s="54" t="s">
        <v>6052</v>
      </c>
      <c r="K4447" s="54">
        <v>0</v>
      </c>
      <c r="L4447" s="22" t="s">
        <v>104</v>
      </c>
      <c r="M4447" s="22" t="s">
        <v>37195</v>
      </c>
    </row>
    <row r="4448" spans="1:13" x14ac:dyDescent="0.75">
      <c r="A4448" t="s">
        <v>18636</v>
      </c>
      <c r="B4448" t="s">
        <v>18637</v>
      </c>
      <c r="C4448" t="s">
        <v>18585</v>
      </c>
      <c r="D4448" t="s">
        <v>18638</v>
      </c>
      <c r="E4448" t="s">
        <v>18639</v>
      </c>
      <c r="F4448">
        <v>30</v>
      </c>
      <c r="G4448">
        <v>810727</v>
      </c>
      <c r="H4448" t="s">
        <v>18640</v>
      </c>
      <c r="J4448" s="54" t="s">
        <v>6052</v>
      </c>
      <c r="K4448" s="54">
        <v>0</v>
      </c>
      <c r="L4448" s="22" t="s">
        <v>104</v>
      </c>
      <c r="M4448" s="22" t="s">
        <v>37196</v>
      </c>
    </row>
    <row r="4449" spans="1:13" x14ac:dyDescent="0.75">
      <c r="A4449" t="s">
        <v>14141</v>
      </c>
      <c r="B4449" t="s">
        <v>14142</v>
      </c>
      <c r="C4449" t="s">
        <v>14143</v>
      </c>
      <c r="D4449" t="s">
        <v>14144</v>
      </c>
      <c r="E4449" t="s">
        <v>14145</v>
      </c>
      <c r="F4449">
        <v>1</v>
      </c>
      <c r="G4449">
        <v>1184529</v>
      </c>
      <c r="H4449" t="s">
        <v>14146</v>
      </c>
      <c r="J4449" s="54" t="s">
        <v>6052</v>
      </c>
      <c r="K4449" s="54">
        <v>0</v>
      </c>
      <c r="L4449" s="22" t="s">
        <v>104</v>
      </c>
      <c r="M4449" s="22" t="s">
        <v>37198</v>
      </c>
    </row>
    <row r="4450" spans="1:13" x14ac:dyDescent="0.75">
      <c r="A4450" t="s">
        <v>18661</v>
      </c>
      <c r="B4450" t="s">
        <v>14142</v>
      </c>
      <c r="C4450" t="s">
        <v>14143</v>
      </c>
      <c r="D4450" t="s">
        <v>14144</v>
      </c>
      <c r="E4450" t="s">
        <v>18662</v>
      </c>
      <c r="F4450">
        <v>21</v>
      </c>
      <c r="G4450">
        <v>1010868</v>
      </c>
      <c r="H4450" t="s">
        <v>18663</v>
      </c>
      <c r="J4450" s="54" t="s">
        <v>6052</v>
      </c>
      <c r="K4450" s="54">
        <v>0</v>
      </c>
      <c r="L4450" s="22" t="s">
        <v>104</v>
      </c>
      <c r="M4450" s="22" t="s">
        <v>37198</v>
      </c>
    </row>
    <row r="4451" spans="1:13" x14ac:dyDescent="0.75">
      <c r="A4451" t="s">
        <v>15199</v>
      </c>
      <c r="B4451" t="s">
        <v>15200</v>
      </c>
      <c r="C4451" t="s">
        <v>14143</v>
      </c>
      <c r="D4451" t="s">
        <v>15201</v>
      </c>
      <c r="E4451" t="s">
        <v>15202</v>
      </c>
      <c r="F4451">
        <v>11</v>
      </c>
      <c r="G4451">
        <v>1044027</v>
      </c>
      <c r="H4451" t="s">
        <v>15203</v>
      </c>
      <c r="J4451" s="54" t="s">
        <v>6052</v>
      </c>
      <c r="K4451" s="54">
        <v>0</v>
      </c>
      <c r="L4451" s="22" t="s">
        <v>104</v>
      </c>
      <c r="M4451" s="22" t="s">
        <v>37197</v>
      </c>
    </row>
    <row r="4452" spans="1:13" x14ac:dyDescent="0.75">
      <c r="A4452" t="s">
        <v>15204</v>
      </c>
      <c r="B4452" t="s">
        <v>15205</v>
      </c>
      <c r="C4452" t="s">
        <v>15206</v>
      </c>
      <c r="D4452" t="s">
        <v>15207</v>
      </c>
      <c r="E4452" t="s">
        <v>15208</v>
      </c>
      <c r="F4452">
        <v>6</v>
      </c>
      <c r="G4452">
        <v>949611</v>
      </c>
      <c r="H4452" t="s">
        <v>15209</v>
      </c>
      <c r="J4452" s="54" t="s">
        <v>6052</v>
      </c>
      <c r="K4452" s="54">
        <v>0</v>
      </c>
      <c r="L4452" s="22" t="s">
        <v>104</v>
      </c>
      <c r="M4452" s="22" t="s">
        <v>37199</v>
      </c>
    </row>
    <row r="4453" spans="1:13" x14ac:dyDescent="0.75">
      <c r="A4453" t="s">
        <v>18574</v>
      </c>
      <c r="B4453" t="s">
        <v>15205</v>
      </c>
      <c r="C4453" t="s">
        <v>15206</v>
      </c>
      <c r="D4453" t="s">
        <v>15207</v>
      </c>
      <c r="E4453" t="s">
        <v>18575</v>
      </c>
      <c r="F4453">
        <v>34</v>
      </c>
      <c r="G4453">
        <v>963661</v>
      </c>
      <c r="H4453" t="s">
        <v>18576</v>
      </c>
      <c r="J4453" s="54" t="s">
        <v>6052</v>
      </c>
      <c r="K4453" s="54">
        <v>0</v>
      </c>
      <c r="L4453" s="22" t="s">
        <v>104</v>
      </c>
      <c r="M4453" s="22" t="s">
        <v>37199</v>
      </c>
    </row>
    <row r="4454" spans="1:13" x14ac:dyDescent="0.75">
      <c r="A4454" t="s">
        <v>26416</v>
      </c>
      <c r="B4454" t="s">
        <v>15205</v>
      </c>
      <c r="C4454" t="s">
        <v>15206</v>
      </c>
      <c r="D4454" t="s">
        <v>15207</v>
      </c>
      <c r="E4454" t="s">
        <v>26417</v>
      </c>
      <c r="F4454">
        <v>46</v>
      </c>
      <c r="G4454">
        <v>922080</v>
      </c>
      <c r="H4454" t="s">
        <v>26418</v>
      </c>
      <c r="J4454" s="54" t="s">
        <v>6052</v>
      </c>
      <c r="K4454" s="54">
        <v>0</v>
      </c>
      <c r="L4454" s="22" t="s">
        <v>104</v>
      </c>
      <c r="M4454" s="22" t="s">
        <v>37199</v>
      </c>
    </row>
    <row r="4455" spans="1:13" x14ac:dyDescent="0.75">
      <c r="A4455" t="s">
        <v>29395</v>
      </c>
      <c r="B4455" t="s">
        <v>15205</v>
      </c>
      <c r="C4455" t="s">
        <v>15206</v>
      </c>
      <c r="D4455" t="s">
        <v>15207</v>
      </c>
      <c r="E4455" t="s">
        <v>29396</v>
      </c>
      <c r="F4455">
        <v>39</v>
      </c>
      <c r="G4455">
        <v>911464</v>
      </c>
      <c r="H4455" t="s">
        <v>29397</v>
      </c>
      <c r="J4455" s="54" t="s">
        <v>6052</v>
      </c>
      <c r="K4455" s="54">
        <v>0</v>
      </c>
      <c r="L4455" s="22" t="s">
        <v>104</v>
      </c>
      <c r="M4455" s="22" t="s">
        <v>37199</v>
      </c>
    </row>
    <row r="4456" spans="1:13" x14ac:dyDescent="0.75">
      <c r="A4456" t="s">
        <v>29559</v>
      </c>
      <c r="B4456" t="s">
        <v>15205</v>
      </c>
      <c r="C4456" t="s">
        <v>15206</v>
      </c>
      <c r="D4456" t="s">
        <v>15207</v>
      </c>
      <c r="E4456" t="s">
        <v>29560</v>
      </c>
      <c r="F4456">
        <v>57</v>
      </c>
      <c r="G4456">
        <v>892769</v>
      </c>
      <c r="H4456" t="s">
        <v>29561</v>
      </c>
      <c r="J4456" s="54" t="s">
        <v>6052</v>
      </c>
      <c r="K4456" s="54">
        <v>0</v>
      </c>
      <c r="L4456" s="22" t="s">
        <v>104</v>
      </c>
      <c r="M4456" s="22" t="s">
        <v>37199</v>
      </c>
    </row>
    <row r="4457" spans="1:13" x14ac:dyDescent="0.75">
      <c r="A4457" t="s">
        <v>5908</v>
      </c>
      <c r="B4457" t="s">
        <v>265</v>
      </c>
      <c r="C4457" t="s">
        <v>7008</v>
      </c>
      <c r="D4457" t="s">
        <v>7009</v>
      </c>
      <c r="E4457" t="s">
        <v>30016</v>
      </c>
      <c r="F4457">
        <v>21</v>
      </c>
      <c r="G4457">
        <v>2541501</v>
      </c>
      <c r="H4457" t="s">
        <v>30017</v>
      </c>
      <c r="J4457" s="54" t="s">
        <v>30844</v>
      </c>
      <c r="K4457" s="54">
        <v>1</v>
      </c>
      <c r="L4457" s="22" t="s">
        <v>104</v>
      </c>
      <c r="M4457" s="22" t="s">
        <v>266</v>
      </c>
    </row>
    <row r="4458" spans="1:13" x14ac:dyDescent="0.75">
      <c r="A4458" t="s">
        <v>264</v>
      </c>
      <c r="B4458" t="s">
        <v>265</v>
      </c>
      <c r="C4458" t="s">
        <v>7008</v>
      </c>
      <c r="D4458" t="s">
        <v>7009</v>
      </c>
      <c r="E4458" t="s">
        <v>7010</v>
      </c>
      <c r="F4458">
        <v>19</v>
      </c>
      <c r="G4458">
        <v>2520418</v>
      </c>
      <c r="H4458" t="s">
        <v>7011</v>
      </c>
      <c r="J4458" s="54" t="s">
        <v>7010</v>
      </c>
      <c r="K4458" s="54">
        <v>1</v>
      </c>
      <c r="L4458" s="22" t="s">
        <v>104</v>
      </c>
      <c r="M4458" s="22" t="s">
        <v>266</v>
      </c>
    </row>
    <row r="4459" spans="1:13" x14ac:dyDescent="0.75">
      <c r="A4459" t="s">
        <v>2322</v>
      </c>
      <c r="B4459" t="s">
        <v>265</v>
      </c>
      <c r="C4459" t="s">
        <v>7008</v>
      </c>
      <c r="D4459" t="s">
        <v>7009</v>
      </c>
      <c r="E4459" t="s">
        <v>7010</v>
      </c>
      <c r="F4459">
        <v>1</v>
      </c>
      <c r="G4459">
        <v>2526493</v>
      </c>
      <c r="H4459" t="s">
        <v>16806</v>
      </c>
      <c r="J4459" s="54" t="s">
        <v>7010</v>
      </c>
      <c r="K4459" s="54">
        <v>1</v>
      </c>
      <c r="L4459" s="22" t="s">
        <v>104</v>
      </c>
      <c r="M4459" s="22" t="s">
        <v>266</v>
      </c>
    </row>
    <row r="4460" spans="1:13" x14ac:dyDescent="0.75">
      <c r="A4460" t="s">
        <v>1630</v>
      </c>
      <c r="B4460" t="s">
        <v>265</v>
      </c>
      <c r="C4460" t="s">
        <v>7008</v>
      </c>
      <c r="D4460" t="s">
        <v>7009</v>
      </c>
      <c r="E4460" t="s">
        <v>12267</v>
      </c>
      <c r="F4460">
        <v>3</v>
      </c>
      <c r="G4460">
        <v>2524828</v>
      </c>
      <c r="H4460" t="s">
        <v>12268</v>
      </c>
      <c r="J4460" s="54" t="s">
        <v>12267</v>
      </c>
      <c r="K4460" s="54">
        <v>1</v>
      </c>
      <c r="L4460" s="22" t="s">
        <v>104</v>
      </c>
      <c r="M4460" s="22" t="s">
        <v>266</v>
      </c>
    </row>
    <row r="4461" spans="1:13" x14ac:dyDescent="0.75">
      <c r="A4461" t="s">
        <v>5701</v>
      </c>
      <c r="B4461" t="s">
        <v>1035</v>
      </c>
      <c r="C4461" t="s">
        <v>7008</v>
      </c>
      <c r="D4461" t="s">
        <v>9710</v>
      </c>
      <c r="E4461" t="s">
        <v>29452</v>
      </c>
      <c r="F4461">
        <v>159</v>
      </c>
      <c r="G4461">
        <v>2232486</v>
      </c>
      <c r="H4461" t="s">
        <v>29453</v>
      </c>
      <c r="J4461" s="54" t="s">
        <v>30844</v>
      </c>
      <c r="K4461" s="54">
        <v>1</v>
      </c>
      <c r="L4461" s="22" t="s">
        <v>104</v>
      </c>
      <c r="M4461" s="22" t="s">
        <v>36829</v>
      </c>
    </row>
    <row r="4462" spans="1:13" x14ac:dyDescent="0.75">
      <c r="A4462" t="s">
        <v>5783</v>
      </c>
      <c r="B4462" t="s">
        <v>1035</v>
      </c>
      <c r="C4462" t="s">
        <v>7008</v>
      </c>
      <c r="D4462" t="s">
        <v>9710</v>
      </c>
      <c r="E4462" t="s">
        <v>29679</v>
      </c>
      <c r="F4462">
        <v>32</v>
      </c>
      <c r="G4462">
        <v>2411043</v>
      </c>
      <c r="H4462" t="s">
        <v>29680</v>
      </c>
      <c r="J4462" s="54" t="s">
        <v>30844</v>
      </c>
      <c r="K4462" s="54">
        <v>1</v>
      </c>
      <c r="L4462" s="22" t="s">
        <v>104</v>
      </c>
      <c r="M4462" s="22" t="s">
        <v>36829</v>
      </c>
    </row>
    <row r="4463" spans="1:13" x14ac:dyDescent="0.75">
      <c r="A4463" t="s">
        <v>5482</v>
      </c>
      <c r="B4463" t="s">
        <v>1035</v>
      </c>
      <c r="C4463" t="s">
        <v>7008</v>
      </c>
      <c r="D4463" t="s">
        <v>9710</v>
      </c>
      <c r="E4463" t="s">
        <v>29000</v>
      </c>
      <c r="F4463">
        <v>66</v>
      </c>
      <c r="G4463">
        <v>2202127</v>
      </c>
      <c r="H4463" t="s">
        <v>29001</v>
      </c>
      <c r="J4463" s="54" t="s">
        <v>30844</v>
      </c>
      <c r="K4463" s="54">
        <v>1</v>
      </c>
      <c r="L4463" s="22" t="s">
        <v>104</v>
      </c>
      <c r="M4463" s="22" t="s">
        <v>36829</v>
      </c>
    </row>
    <row r="4464" spans="1:13" x14ac:dyDescent="0.75">
      <c r="A4464" t="s">
        <v>1034</v>
      </c>
      <c r="B4464" t="s">
        <v>1035</v>
      </c>
      <c r="C4464" t="s">
        <v>7008</v>
      </c>
      <c r="D4464" t="s">
        <v>9710</v>
      </c>
      <c r="E4464" t="s">
        <v>9711</v>
      </c>
      <c r="F4464">
        <v>117</v>
      </c>
      <c r="G4464">
        <v>2366015</v>
      </c>
      <c r="H4464" t="s">
        <v>9712</v>
      </c>
      <c r="J4464" s="54" t="s">
        <v>9711</v>
      </c>
      <c r="K4464" s="54">
        <v>1</v>
      </c>
      <c r="L4464" s="22" t="s">
        <v>104</v>
      </c>
      <c r="M4464" s="22" t="s">
        <v>36829</v>
      </c>
    </row>
    <row r="4465" spans="1:13" x14ac:dyDescent="0.75">
      <c r="A4465" t="s">
        <v>8781</v>
      </c>
      <c r="B4465" t="s">
        <v>6644</v>
      </c>
      <c r="C4465" t="s">
        <v>6645</v>
      </c>
      <c r="D4465" t="s">
        <v>6646</v>
      </c>
      <c r="E4465" t="s">
        <v>8782</v>
      </c>
      <c r="F4465">
        <v>52</v>
      </c>
      <c r="G4465">
        <v>2654638</v>
      </c>
      <c r="H4465" t="s">
        <v>8783</v>
      </c>
      <c r="J4465" s="54" t="s">
        <v>6052</v>
      </c>
      <c r="K4465" s="54">
        <v>0</v>
      </c>
      <c r="L4465" s="22" t="s">
        <v>104</v>
      </c>
      <c r="M4465" s="22" t="s">
        <v>37201</v>
      </c>
    </row>
    <row r="4466" spans="1:13" x14ac:dyDescent="0.75">
      <c r="A4466" t="s">
        <v>27266</v>
      </c>
      <c r="B4466" t="s">
        <v>6644</v>
      </c>
      <c r="C4466" t="s">
        <v>6645</v>
      </c>
      <c r="D4466" t="s">
        <v>6646</v>
      </c>
      <c r="E4466" t="s">
        <v>27267</v>
      </c>
      <c r="F4466">
        <v>41</v>
      </c>
      <c r="G4466">
        <v>2553999</v>
      </c>
      <c r="H4466" t="s">
        <v>27268</v>
      </c>
      <c r="J4466" s="54" t="s">
        <v>6052</v>
      </c>
      <c r="K4466" s="54">
        <v>0</v>
      </c>
      <c r="L4466" s="22" t="s">
        <v>104</v>
      </c>
      <c r="M4466" s="22" t="s">
        <v>37201</v>
      </c>
    </row>
    <row r="4467" spans="1:13" x14ac:dyDescent="0.75">
      <c r="A4467" t="s">
        <v>6643</v>
      </c>
      <c r="B4467" t="s">
        <v>6644</v>
      </c>
      <c r="C4467" t="s">
        <v>6645</v>
      </c>
      <c r="D4467" t="s">
        <v>6646</v>
      </c>
      <c r="E4467" t="s">
        <v>6647</v>
      </c>
      <c r="F4467">
        <v>84</v>
      </c>
      <c r="G4467">
        <v>2511030</v>
      </c>
      <c r="H4467" t="s">
        <v>6648</v>
      </c>
      <c r="J4467" s="54" t="s">
        <v>6052</v>
      </c>
      <c r="K4467" s="54">
        <v>0</v>
      </c>
      <c r="L4467" s="22" t="s">
        <v>104</v>
      </c>
      <c r="M4467" s="22" t="s">
        <v>37201</v>
      </c>
    </row>
    <row r="4468" spans="1:13" x14ac:dyDescent="0.75">
      <c r="A4468" t="s">
        <v>8348</v>
      </c>
      <c r="B4468" t="s">
        <v>8345</v>
      </c>
      <c r="C4468" t="s">
        <v>6645</v>
      </c>
      <c r="D4468" t="s">
        <v>6658</v>
      </c>
      <c r="E4468" t="s">
        <v>8349</v>
      </c>
      <c r="F4468">
        <v>59</v>
      </c>
      <c r="G4468">
        <v>2543633</v>
      </c>
      <c r="H4468" t="s">
        <v>8350</v>
      </c>
      <c r="J4468" s="54" t="s">
        <v>6052</v>
      </c>
      <c r="K4468" s="54">
        <v>0</v>
      </c>
      <c r="L4468" s="22" t="s">
        <v>104</v>
      </c>
      <c r="M4468" s="22" t="s">
        <v>37200</v>
      </c>
    </row>
    <row r="4469" spans="1:13" x14ac:dyDescent="0.75">
      <c r="A4469" t="s">
        <v>8344</v>
      </c>
      <c r="B4469" t="s">
        <v>8345</v>
      </c>
      <c r="C4469" t="s">
        <v>6645</v>
      </c>
      <c r="D4469" t="s">
        <v>6658</v>
      </c>
      <c r="E4469" t="s">
        <v>8346</v>
      </c>
      <c r="F4469">
        <v>19</v>
      </c>
      <c r="G4469">
        <v>2325163</v>
      </c>
      <c r="H4469" t="s">
        <v>8347</v>
      </c>
      <c r="J4469" s="54" t="s">
        <v>6052</v>
      </c>
      <c r="K4469" s="54">
        <v>0</v>
      </c>
      <c r="L4469" s="22" t="s">
        <v>104</v>
      </c>
      <c r="M4469" s="22" t="s">
        <v>37200</v>
      </c>
    </row>
    <row r="4470" spans="1:13" x14ac:dyDescent="0.75">
      <c r="A4470" t="s">
        <v>8351</v>
      </c>
      <c r="B4470" t="s">
        <v>8345</v>
      </c>
      <c r="C4470" t="s">
        <v>6645</v>
      </c>
      <c r="D4470" t="s">
        <v>6658</v>
      </c>
      <c r="E4470" t="s">
        <v>8352</v>
      </c>
      <c r="F4470">
        <v>106</v>
      </c>
      <c r="G4470">
        <v>2596720</v>
      </c>
      <c r="H4470" t="s">
        <v>8353</v>
      </c>
      <c r="J4470" s="54" t="s">
        <v>6052</v>
      </c>
      <c r="K4470" s="54">
        <v>0</v>
      </c>
      <c r="L4470" s="22" t="s">
        <v>104</v>
      </c>
      <c r="M4470" s="22" t="s">
        <v>37200</v>
      </c>
    </row>
    <row r="4471" spans="1:13" x14ac:dyDescent="0.75">
      <c r="A4471" t="s">
        <v>8829</v>
      </c>
      <c r="B4471" t="s">
        <v>8345</v>
      </c>
      <c r="C4471" t="s">
        <v>6645</v>
      </c>
      <c r="D4471" t="s">
        <v>6658</v>
      </c>
      <c r="E4471" t="s">
        <v>8830</v>
      </c>
      <c r="F4471">
        <v>40</v>
      </c>
      <c r="G4471">
        <v>2553276</v>
      </c>
      <c r="H4471" t="s">
        <v>8831</v>
      </c>
      <c r="J4471" s="54" t="s">
        <v>6052</v>
      </c>
      <c r="K4471" s="54">
        <v>0</v>
      </c>
      <c r="L4471" s="22" t="s">
        <v>104</v>
      </c>
      <c r="M4471" s="22" t="s">
        <v>37200</v>
      </c>
    </row>
    <row r="4472" spans="1:13" x14ac:dyDescent="0.75">
      <c r="A4472" t="s">
        <v>18761</v>
      </c>
      <c r="B4472" t="s">
        <v>8345</v>
      </c>
      <c r="C4472" t="s">
        <v>6645</v>
      </c>
      <c r="D4472" t="s">
        <v>6658</v>
      </c>
      <c r="E4472" t="s">
        <v>18762</v>
      </c>
      <c r="F4472">
        <v>5</v>
      </c>
      <c r="G4472">
        <v>2575607</v>
      </c>
      <c r="H4472" t="s">
        <v>18763</v>
      </c>
      <c r="J4472" s="54" t="s">
        <v>6052</v>
      </c>
      <c r="K4472" s="54">
        <v>0</v>
      </c>
      <c r="L4472" s="22" t="s">
        <v>104</v>
      </c>
      <c r="M4472" s="22" t="s">
        <v>37200</v>
      </c>
    </row>
    <row r="4473" spans="1:13" x14ac:dyDescent="0.75">
      <c r="A4473" t="s">
        <v>29657</v>
      </c>
      <c r="B4473" t="s">
        <v>9784</v>
      </c>
      <c r="C4473" t="s">
        <v>9785</v>
      </c>
      <c r="D4473" t="s">
        <v>9786</v>
      </c>
      <c r="E4473" t="s">
        <v>29658</v>
      </c>
      <c r="F4473">
        <v>279</v>
      </c>
      <c r="G4473">
        <v>1193342</v>
      </c>
      <c r="H4473" t="s">
        <v>29659</v>
      </c>
      <c r="J4473" s="54" t="s">
        <v>6052</v>
      </c>
      <c r="K4473" s="54">
        <v>0</v>
      </c>
      <c r="L4473" s="22" t="s">
        <v>104</v>
      </c>
      <c r="M4473" s="22" t="s">
        <v>37202</v>
      </c>
    </row>
    <row r="4474" spans="1:13" x14ac:dyDescent="0.75">
      <c r="A4474" t="s">
        <v>29113</v>
      </c>
      <c r="B4474" t="s">
        <v>9784</v>
      </c>
      <c r="C4474" t="s">
        <v>9785</v>
      </c>
      <c r="D4474" t="s">
        <v>9786</v>
      </c>
      <c r="E4474" t="s">
        <v>29114</v>
      </c>
      <c r="F4474">
        <v>80</v>
      </c>
      <c r="G4474">
        <v>2073107</v>
      </c>
      <c r="H4474" t="s">
        <v>29115</v>
      </c>
      <c r="J4474" s="54" t="s">
        <v>6052</v>
      </c>
      <c r="K4474" s="54">
        <v>0</v>
      </c>
      <c r="L4474" s="22" t="s">
        <v>104</v>
      </c>
      <c r="M4474" s="22" t="s">
        <v>37202</v>
      </c>
    </row>
    <row r="4475" spans="1:13" x14ac:dyDescent="0.75">
      <c r="A4475" t="s">
        <v>9783</v>
      </c>
      <c r="B4475" t="s">
        <v>9784</v>
      </c>
      <c r="C4475" t="s">
        <v>9785</v>
      </c>
      <c r="D4475" t="s">
        <v>9786</v>
      </c>
      <c r="E4475" t="s">
        <v>9787</v>
      </c>
      <c r="F4475">
        <v>160</v>
      </c>
      <c r="G4475">
        <v>2088253</v>
      </c>
      <c r="H4475" t="s">
        <v>9788</v>
      </c>
      <c r="J4475" s="54" t="s">
        <v>6052</v>
      </c>
      <c r="K4475" s="54">
        <v>0</v>
      </c>
      <c r="L4475" s="22" t="s">
        <v>104</v>
      </c>
      <c r="M4475" s="22" t="s">
        <v>37202</v>
      </c>
    </row>
    <row r="4476" spans="1:13" x14ac:dyDescent="0.75">
      <c r="A4476" t="s">
        <v>20261</v>
      </c>
      <c r="B4476" t="s">
        <v>6656</v>
      </c>
      <c r="C4476" t="s">
        <v>6657</v>
      </c>
      <c r="D4476" t="s">
        <v>6658</v>
      </c>
      <c r="E4476" t="s">
        <v>20262</v>
      </c>
      <c r="F4476">
        <v>49</v>
      </c>
      <c r="G4476">
        <v>1931518</v>
      </c>
      <c r="H4476" t="s">
        <v>20263</v>
      </c>
      <c r="J4476" s="54" t="s">
        <v>6052</v>
      </c>
      <c r="K4476" s="54">
        <v>0</v>
      </c>
      <c r="L4476" s="22" t="s">
        <v>104</v>
      </c>
      <c r="M4476" s="22" t="s">
        <v>37209</v>
      </c>
    </row>
    <row r="4477" spans="1:13" x14ac:dyDescent="0.75">
      <c r="A4477" t="s">
        <v>6655</v>
      </c>
      <c r="B4477" t="s">
        <v>6656</v>
      </c>
      <c r="C4477" t="s">
        <v>6657</v>
      </c>
      <c r="D4477" t="s">
        <v>6658</v>
      </c>
      <c r="E4477" t="s">
        <v>6659</v>
      </c>
      <c r="F4477">
        <v>74</v>
      </c>
      <c r="G4477">
        <v>1988044</v>
      </c>
      <c r="H4477" t="s">
        <v>6660</v>
      </c>
      <c r="J4477" s="54" t="s">
        <v>6052</v>
      </c>
      <c r="K4477" s="54">
        <v>0</v>
      </c>
      <c r="L4477" s="22" t="s">
        <v>104</v>
      </c>
      <c r="M4477" s="22" t="s">
        <v>37209</v>
      </c>
    </row>
    <row r="4478" spans="1:13" x14ac:dyDescent="0.75">
      <c r="A4478" t="s">
        <v>29940</v>
      </c>
      <c r="B4478" t="s">
        <v>6656</v>
      </c>
      <c r="C4478" t="s">
        <v>6657</v>
      </c>
      <c r="D4478" t="s">
        <v>6658</v>
      </c>
      <c r="E4478" t="s">
        <v>29941</v>
      </c>
      <c r="F4478">
        <v>36</v>
      </c>
      <c r="G4478">
        <v>1807785</v>
      </c>
      <c r="H4478" t="s">
        <v>29942</v>
      </c>
      <c r="J4478" s="54" t="s">
        <v>6052</v>
      </c>
      <c r="K4478" s="54">
        <v>0</v>
      </c>
      <c r="L4478" s="22" t="s">
        <v>104</v>
      </c>
      <c r="M4478" s="22" t="s">
        <v>37209</v>
      </c>
    </row>
    <row r="4479" spans="1:13" x14ac:dyDescent="0.75">
      <c r="A4479" t="s">
        <v>28632</v>
      </c>
      <c r="B4479" t="s">
        <v>6656</v>
      </c>
      <c r="C4479" t="s">
        <v>6657</v>
      </c>
      <c r="D4479" t="s">
        <v>6658</v>
      </c>
      <c r="E4479" t="s">
        <v>28633</v>
      </c>
      <c r="F4479">
        <v>63</v>
      </c>
      <c r="G4479">
        <v>1730330</v>
      </c>
      <c r="H4479" t="s">
        <v>28634</v>
      </c>
      <c r="J4479" s="54" t="s">
        <v>6052</v>
      </c>
      <c r="K4479" s="54">
        <v>0</v>
      </c>
      <c r="L4479" s="22" t="s">
        <v>104</v>
      </c>
      <c r="M4479" s="22" t="s">
        <v>37209</v>
      </c>
    </row>
    <row r="4480" spans="1:13" x14ac:dyDescent="0.75">
      <c r="A4480" t="s">
        <v>5552</v>
      </c>
      <c r="B4480" t="s">
        <v>756</v>
      </c>
      <c r="C4480" t="s">
        <v>6255</v>
      </c>
      <c r="D4480" t="s">
        <v>8913</v>
      </c>
      <c r="E4480" t="s">
        <v>29102</v>
      </c>
      <c r="F4480">
        <v>139</v>
      </c>
      <c r="G4480">
        <v>2363197</v>
      </c>
      <c r="H4480" t="s">
        <v>29103</v>
      </c>
      <c r="J4480" s="54" t="s">
        <v>30844</v>
      </c>
      <c r="K4480" s="54">
        <v>1</v>
      </c>
      <c r="L4480" s="22" t="s">
        <v>104</v>
      </c>
      <c r="M4480" s="22" t="s">
        <v>757</v>
      </c>
    </row>
    <row r="4481" spans="1:13" x14ac:dyDescent="0.75">
      <c r="A4481" t="s">
        <v>1028</v>
      </c>
      <c r="B4481" t="s">
        <v>756</v>
      </c>
      <c r="C4481" t="s">
        <v>6255</v>
      </c>
      <c r="D4481" t="s">
        <v>8913</v>
      </c>
      <c r="E4481" t="s">
        <v>9618</v>
      </c>
      <c r="F4481">
        <v>30</v>
      </c>
      <c r="G4481">
        <v>2502741</v>
      </c>
      <c r="H4481" t="s">
        <v>9619</v>
      </c>
      <c r="J4481" s="54" t="s">
        <v>9618</v>
      </c>
      <c r="K4481" s="54">
        <v>1</v>
      </c>
      <c r="L4481" s="22" t="s">
        <v>104</v>
      </c>
      <c r="M4481" s="22" t="s">
        <v>757</v>
      </c>
    </row>
    <row r="4482" spans="1:13" x14ac:dyDescent="0.75">
      <c r="A4482" t="s">
        <v>755</v>
      </c>
      <c r="B4482" t="s">
        <v>756</v>
      </c>
      <c r="C4482" t="s">
        <v>6255</v>
      </c>
      <c r="D4482" t="s">
        <v>8913</v>
      </c>
      <c r="E4482" t="s">
        <v>8914</v>
      </c>
      <c r="F4482">
        <v>33</v>
      </c>
      <c r="G4482">
        <v>2536876</v>
      </c>
      <c r="H4482" t="s">
        <v>8915</v>
      </c>
      <c r="J4482" s="54" t="s">
        <v>8914</v>
      </c>
      <c r="K4482" s="54">
        <v>1</v>
      </c>
      <c r="L4482" s="22" t="s">
        <v>104</v>
      </c>
      <c r="M4482" s="22" t="s">
        <v>757</v>
      </c>
    </row>
    <row r="4483" spans="1:13" x14ac:dyDescent="0.75">
      <c r="A4483" t="s">
        <v>10237</v>
      </c>
      <c r="B4483" t="s">
        <v>8980</v>
      </c>
      <c r="C4483" t="s">
        <v>6118</v>
      </c>
      <c r="D4483" t="s">
        <v>8981</v>
      </c>
      <c r="E4483" t="s">
        <v>10238</v>
      </c>
      <c r="F4483">
        <v>25</v>
      </c>
      <c r="G4483">
        <v>2040170</v>
      </c>
      <c r="H4483" t="s">
        <v>10239</v>
      </c>
      <c r="J4483" s="54" t="s">
        <v>6052</v>
      </c>
      <c r="K4483" s="54">
        <v>0</v>
      </c>
      <c r="L4483" s="22" t="s">
        <v>104</v>
      </c>
      <c r="M4483" s="22" t="s">
        <v>37214</v>
      </c>
    </row>
    <row r="4484" spans="1:13" x14ac:dyDescent="0.75">
      <c r="A4484" t="s">
        <v>29849</v>
      </c>
      <c r="B4484" t="s">
        <v>8980</v>
      </c>
      <c r="C4484" t="s">
        <v>6118</v>
      </c>
      <c r="D4484" t="s">
        <v>8981</v>
      </c>
      <c r="E4484" t="s">
        <v>29850</v>
      </c>
      <c r="F4484">
        <v>10</v>
      </c>
      <c r="G4484">
        <v>1908764</v>
      </c>
      <c r="H4484" t="s">
        <v>29851</v>
      </c>
      <c r="J4484" s="54" t="s">
        <v>6052</v>
      </c>
      <c r="K4484" s="54">
        <v>0</v>
      </c>
      <c r="L4484" s="22" t="s">
        <v>104</v>
      </c>
      <c r="M4484" s="22" t="s">
        <v>37214</v>
      </c>
    </row>
    <row r="4485" spans="1:13" x14ac:dyDescent="0.75">
      <c r="A4485" t="s">
        <v>8979</v>
      </c>
      <c r="B4485" t="s">
        <v>8980</v>
      </c>
      <c r="C4485" t="s">
        <v>6118</v>
      </c>
      <c r="D4485" t="s">
        <v>8981</v>
      </c>
      <c r="E4485" t="s">
        <v>8982</v>
      </c>
      <c r="F4485">
        <v>43</v>
      </c>
      <c r="G4485">
        <v>2101485</v>
      </c>
      <c r="H4485" t="s">
        <v>8983</v>
      </c>
      <c r="J4485" s="54" t="s">
        <v>6052</v>
      </c>
      <c r="K4485" s="54">
        <v>0</v>
      </c>
      <c r="L4485" s="22" t="s">
        <v>104</v>
      </c>
      <c r="M4485" s="22" t="s">
        <v>37214</v>
      </c>
    </row>
    <row r="4486" spans="1:13" x14ac:dyDescent="0.75">
      <c r="A4486" t="s">
        <v>7179</v>
      </c>
      <c r="B4486" t="s">
        <v>7180</v>
      </c>
      <c r="C4486" t="s">
        <v>6118</v>
      </c>
      <c r="D4486" t="s">
        <v>7181</v>
      </c>
      <c r="E4486" t="s">
        <v>7182</v>
      </c>
      <c r="F4486">
        <v>37</v>
      </c>
      <c r="G4486">
        <v>2064508</v>
      </c>
      <c r="H4486" t="s">
        <v>7183</v>
      </c>
      <c r="J4486" s="54" t="s">
        <v>6052</v>
      </c>
      <c r="K4486" s="54">
        <v>0</v>
      </c>
      <c r="L4486" s="22" t="s">
        <v>104</v>
      </c>
      <c r="M4486" s="22" t="s">
        <v>37213</v>
      </c>
    </row>
    <row r="4487" spans="1:13" x14ac:dyDescent="0.75">
      <c r="A4487" t="s">
        <v>29982</v>
      </c>
      <c r="B4487" t="s">
        <v>7180</v>
      </c>
      <c r="C4487" t="s">
        <v>6118</v>
      </c>
      <c r="D4487" t="s">
        <v>7181</v>
      </c>
      <c r="E4487" t="s">
        <v>29983</v>
      </c>
      <c r="F4487">
        <v>9</v>
      </c>
      <c r="G4487">
        <v>1879559</v>
      </c>
      <c r="H4487" t="s">
        <v>29984</v>
      </c>
      <c r="J4487" s="54" t="s">
        <v>6052</v>
      </c>
      <c r="K4487" s="54">
        <v>0</v>
      </c>
      <c r="L4487" s="22" t="s">
        <v>104</v>
      </c>
      <c r="M4487" s="22" t="s">
        <v>37213</v>
      </c>
    </row>
    <row r="4488" spans="1:13" x14ac:dyDescent="0.75">
      <c r="A4488" t="s">
        <v>21710</v>
      </c>
      <c r="B4488" t="s">
        <v>7180</v>
      </c>
      <c r="C4488" t="s">
        <v>6118</v>
      </c>
      <c r="D4488" t="s">
        <v>7181</v>
      </c>
      <c r="E4488" t="s">
        <v>21711</v>
      </c>
      <c r="F4488">
        <v>1</v>
      </c>
      <c r="G4488">
        <v>2102930</v>
      </c>
      <c r="H4488" t="s">
        <v>21712</v>
      </c>
      <c r="J4488" s="54" t="s">
        <v>6052</v>
      </c>
      <c r="K4488" s="54">
        <v>0</v>
      </c>
      <c r="L4488" s="22" t="s">
        <v>104</v>
      </c>
      <c r="M4488" s="22" t="s">
        <v>37213</v>
      </c>
    </row>
    <row r="4489" spans="1:13" x14ac:dyDescent="0.75">
      <c r="A4489" t="s">
        <v>27554</v>
      </c>
      <c r="B4489" t="s">
        <v>7180</v>
      </c>
      <c r="C4489" t="s">
        <v>6118</v>
      </c>
      <c r="D4489" t="s">
        <v>7181</v>
      </c>
      <c r="E4489" t="s">
        <v>27555</v>
      </c>
      <c r="F4489">
        <v>2</v>
      </c>
      <c r="G4489">
        <v>2111739</v>
      </c>
      <c r="H4489" t="s">
        <v>27556</v>
      </c>
      <c r="J4489" s="54" t="s">
        <v>6052</v>
      </c>
      <c r="K4489" s="54">
        <v>0</v>
      </c>
      <c r="L4489" s="22" t="s">
        <v>104</v>
      </c>
      <c r="M4489" s="22" t="s">
        <v>37213</v>
      </c>
    </row>
    <row r="4490" spans="1:13" x14ac:dyDescent="0.75">
      <c r="A4490" t="s">
        <v>30371</v>
      </c>
      <c r="B4490" t="s">
        <v>7180</v>
      </c>
      <c r="C4490" t="s">
        <v>6118</v>
      </c>
      <c r="D4490" t="s">
        <v>7181</v>
      </c>
      <c r="E4490" t="s">
        <v>30372</v>
      </c>
      <c r="F4490">
        <v>94</v>
      </c>
      <c r="G4490">
        <v>1784586</v>
      </c>
      <c r="H4490" t="s">
        <v>30373</v>
      </c>
      <c r="J4490" s="54" t="s">
        <v>6052</v>
      </c>
      <c r="K4490" s="54">
        <v>0</v>
      </c>
      <c r="L4490" s="22" t="s">
        <v>104</v>
      </c>
      <c r="M4490" s="22" t="s">
        <v>37213</v>
      </c>
    </row>
    <row r="4491" spans="1:13" x14ac:dyDescent="0.75">
      <c r="A4491" t="s">
        <v>28928</v>
      </c>
      <c r="B4491" t="s">
        <v>7180</v>
      </c>
      <c r="C4491" t="s">
        <v>6118</v>
      </c>
      <c r="D4491" t="s">
        <v>7181</v>
      </c>
      <c r="E4491" t="s">
        <v>28929</v>
      </c>
      <c r="F4491">
        <v>35</v>
      </c>
      <c r="G4491">
        <v>1949330</v>
      </c>
      <c r="H4491" t="s">
        <v>28930</v>
      </c>
      <c r="J4491" s="54" t="s">
        <v>6052</v>
      </c>
      <c r="K4491" s="54">
        <v>0</v>
      </c>
      <c r="L4491" s="22" t="s">
        <v>104</v>
      </c>
      <c r="M4491" s="22" t="s">
        <v>37213</v>
      </c>
    </row>
    <row r="4492" spans="1:13" x14ac:dyDescent="0.75">
      <c r="A4492" t="s">
        <v>22196</v>
      </c>
      <c r="B4492" t="s">
        <v>6117</v>
      </c>
      <c r="C4492" t="s">
        <v>6118</v>
      </c>
      <c r="D4492" t="s">
        <v>6119</v>
      </c>
      <c r="E4492">
        <v>222</v>
      </c>
      <c r="F4492">
        <v>90</v>
      </c>
      <c r="G4492">
        <v>2333098</v>
      </c>
      <c r="H4492" t="s">
        <v>22197</v>
      </c>
      <c r="J4492" s="54" t="s">
        <v>6052</v>
      </c>
      <c r="K4492" s="54">
        <v>0</v>
      </c>
      <c r="L4492" s="22" t="s">
        <v>104</v>
      </c>
      <c r="M4492" s="22" t="s">
        <v>37211</v>
      </c>
    </row>
    <row r="4493" spans="1:13" x14ac:dyDescent="0.75">
      <c r="A4493" t="s">
        <v>11566</v>
      </c>
      <c r="B4493" t="s">
        <v>6117</v>
      </c>
      <c r="C4493" t="s">
        <v>6118</v>
      </c>
      <c r="D4493" t="s">
        <v>6119</v>
      </c>
      <c r="E4493">
        <v>381</v>
      </c>
      <c r="F4493">
        <v>1</v>
      </c>
      <c r="G4493">
        <v>2378872</v>
      </c>
      <c r="H4493" t="s">
        <v>11567</v>
      </c>
      <c r="J4493" s="54" t="s">
        <v>6052</v>
      </c>
      <c r="K4493" s="54">
        <v>0</v>
      </c>
      <c r="L4493" s="22" t="s">
        <v>104</v>
      </c>
      <c r="M4493" s="22" t="s">
        <v>37211</v>
      </c>
    </row>
    <row r="4494" spans="1:13" x14ac:dyDescent="0.75">
      <c r="A4494" t="s">
        <v>22191</v>
      </c>
      <c r="B4494" t="s">
        <v>6117</v>
      </c>
      <c r="C4494" t="s">
        <v>6118</v>
      </c>
      <c r="D4494" t="s">
        <v>6119</v>
      </c>
      <c r="E4494">
        <v>1436</v>
      </c>
      <c r="F4494">
        <v>110</v>
      </c>
      <c r="G4494">
        <v>2331307</v>
      </c>
      <c r="H4494" t="s">
        <v>22192</v>
      </c>
      <c r="J4494" s="54" t="s">
        <v>6052</v>
      </c>
      <c r="K4494" s="54">
        <v>0</v>
      </c>
      <c r="L4494" s="22" t="s">
        <v>104</v>
      </c>
      <c r="M4494" s="22" t="s">
        <v>37211</v>
      </c>
    </row>
    <row r="4495" spans="1:13" x14ac:dyDescent="0.75">
      <c r="A4495" t="s">
        <v>22177</v>
      </c>
      <c r="B4495" t="s">
        <v>6117</v>
      </c>
      <c r="C4495" t="s">
        <v>6118</v>
      </c>
      <c r="D4495" t="s">
        <v>6119</v>
      </c>
      <c r="E4495">
        <v>1439</v>
      </c>
      <c r="F4495">
        <v>87</v>
      </c>
      <c r="G4495">
        <v>2253658</v>
      </c>
      <c r="H4495" t="s">
        <v>22178</v>
      </c>
      <c r="J4495" s="54" t="s">
        <v>6052</v>
      </c>
      <c r="K4495" s="54">
        <v>0</v>
      </c>
      <c r="L4495" s="22" t="s">
        <v>104</v>
      </c>
      <c r="M4495" s="22" t="s">
        <v>37211</v>
      </c>
    </row>
    <row r="4496" spans="1:13" x14ac:dyDescent="0.75">
      <c r="A4496" t="s">
        <v>27257</v>
      </c>
      <c r="B4496" t="s">
        <v>6117</v>
      </c>
      <c r="C4496" t="s">
        <v>6118</v>
      </c>
      <c r="D4496" t="s">
        <v>6119</v>
      </c>
      <c r="E4496" t="s">
        <v>27258</v>
      </c>
      <c r="F4496">
        <v>142</v>
      </c>
      <c r="G4496">
        <v>2304118</v>
      </c>
      <c r="H4496" t="s">
        <v>27259</v>
      </c>
      <c r="J4496" s="54" t="s">
        <v>6052</v>
      </c>
      <c r="K4496" s="54">
        <v>0</v>
      </c>
      <c r="L4496" s="22" t="s">
        <v>104</v>
      </c>
      <c r="M4496" s="22" t="s">
        <v>37211</v>
      </c>
    </row>
    <row r="4497" spans="1:13" x14ac:dyDescent="0.75">
      <c r="A4497" t="s">
        <v>27254</v>
      </c>
      <c r="B4497" t="s">
        <v>6117</v>
      </c>
      <c r="C4497" t="s">
        <v>6118</v>
      </c>
      <c r="D4497" t="s">
        <v>6119</v>
      </c>
      <c r="E4497" t="s">
        <v>27255</v>
      </c>
      <c r="F4497">
        <v>106</v>
      </c>
      <c r="G4497">
        <v>2341110</v>
      </c>
      <c r="H4497" t="s">
        <v>27256</v>
      </c>
      <c r="J4497" s="54" t="s">
        <v>6052</v>
      </c>
      <c r="K4497" s="54">
        <v>0</v>
      </c>
      <c r="L4497" s="22" t="s">
        <v>104</v>
      </c>
      <c r="M4497" s="22" t="s">
        <v>37211</v>
      </c>
    </row>
    <row r="4498" spans="1:13" x14ac:dyDescent="0.75">
      <c r="A4498" t="s">
        <v>27243</v>
      </c>
      <c r="B4498" t="s">
        <v>6117</v>
      </c>
      <c r="C4498" t="s">
        <v>6118</v>
      </c>
      <c r="D4498" t="s">
        <v>6119</v>
      </c>
      <c r="E4498" t="s">
        <v>27244</v>
      </c>
      <c r="F4498">
        <v>117</v>
      </c>
      <c r="G4498">
        <v>2252483</v>
      </c>
      <c r="H4498" t="s">
        <v>27245</v>
      </c>
      <c r="J4498" s="54" t="s">
        <v>6052</v>
      </c>
      <c r="K4498" s="54">
        <v>0</v>
      </c>
      <c r="L4498" s="22" t="s">
        <v>104</v>
      </c>
      <c r="M4498" s="22" t="s">
        <v>37211</v>
      </c>
    </row>
    <row r="4499" spans="1:13" x14ac:dyDescent="0.75">
      <c r="A4499" t="s">
        <v>27234</v>
      </c>
      <c r="B4499" t="s">
        <v>6117</v>
      </c>
      <c r="C4499" t="s">
        <v>6118</v>
      </c>
      <c r="D4499" t="s">
        <v>6119</v>
      </c>
      <c r="E4499" t="s">
        <v>27235</v>
      </c>
      <c r="F4499">
        <v>111</v>
      </c>
      <c r="G4499">
        <v>2312663</v>
      </c>
      <c r="H4499" t="s">
        <v>27236</v>
      </c>
      <c r="J4499" s="54" t="s">
        <v>6052</v>
      </c>
      <c r="K4499" s="54">
        <v>0</v>
      </c>
      <c r="L4499" s="22" t="s">
        <v>104</v>
      </c>
      <c r="M4499" s="22" t="s">
        <v>37211</v>
      </c>
    </row>
    <row r="4500" spans="1:13" x14ac:dyDescent="0.75">
      <c r="A4500" t="s">
        <v>16088</v>
      </c>
      <c r="B4500" t="s">
        <v>6117</v>
      </c>
      <c r="C4500" t="s">
        <v>6118</v>
      </c>
      <c r="D4500" t="s">
        <v>6119</v>
      </c>
      <c r="E4500" t="s">
        <v>16089</v>
      </c>
      <c r="F4500">
        <v>127</v>
      </c>
      <c r="G4500">
        <v>2325530</v>
      </c>
      <c r="H4500" t="s">
        <v>16090</v>
      </c>
      <c r="J4500" s="54" t="s">
        <v>6052</v>
      </c>
      <c r="K4500" s="54">
        <v>0</v>
      </c>
      <c r="L4500" s="22" t="s">
        <v>104</v>
      </c>
      <c r="M4500" s="22" t="s">
        <v>37211</v>
      </c>
    </row>
    <row r="4501" spans="1:13" x14ac:dyDescent="0.75">
      <c r="A4501" t="s">
        <v>27260</v>
      </c>
      <c r="B4501" t="s">
        <v>6117</v>
      </c>
      <c r="C4501" t="s">
        <v>6118</v>
      </c>
      <c r="D4501" t="s">
        <v>6119</v>
      </c>
      <c r="E4501" t="s">
        <v>27261</v>
      </c>
      <c r="F4501">
        <v>56</v>
      </c>
      <c r="G4501">
        <v>2343280</v>
      </c>
      <c r="H4501" t="s">
        <v>27262</v>
      </c>
      <c r="J4501" s="54" t="s">
        <v>6052</v>
      </c>
      <c r="K4501" s="54">
        <v>0</v>
      </c>
      <c r="L4501" s="22" t="s">
        <v>104</v>
      </c>
      <c r="M4501" s="22" t="s">
        <v>37211</v>
      </c>
    </row>
    <row r="4502" spans="1:13" x14ac:dyDescent="0.75">
      <c r="A4502" t="s">
        <v>27237</v>
      </c>
      <c r="B4502" t="s">
        <v>6117</v>
      </c>
      <c r="C4502" t="s">
        <v>6118</v>
      </c>
      <c r="D4502" t="s">
        <v>6119</v>
      </c>
      <c r="E4502" t="s">
        <v>27238</v>
      </c>
      <c r="F4502">
        <v>105</v>
      </c>
      <c r="G4502">
        <v>2248982</v>
      </c>
      <c r="H4502" t="s">
        <v>27239</v>
      </c>
      <c r="J4502" s="54" t="s">
        <v>6052</v>
      </c>
      <c r="K4502" s="54">
        <v>0</v>
      </c>
      <c r="L4502" s="22" t="s">
        <v>104</v>
      </c>
      <c r="M4502" s="22" t="s">
        <v>37211</v>
      </c>
    </row>
    <row r="4503" spans="1:13" x14ac:dyDescent="0.75">
      <c r="A4503" t="s">
        <v>27251</v>
      </c>
      <c r="B4503" t="s">
        <v>6117</v>
      </c>
      <c r="C4503" t="s">
        <v>6118</v>
      </c>
      <c r="D4503" t="s">
        <v>6119</v>
      </c>
      <c r="E4503" t="s">
        <v>27252</v>
      </c>
      <c r="F4503">
        <v>85</v>
      </c>
      <c r="G4503">
        <v>2325183</v>
      </c>
      <c r="H4503" t="s">
        <v>27253</v>
      </c>
      <c r="J4503" s="54" t="s">
        <v>6052</v>
      </c>
      <c r="K4503" s="54">
        <v>0</v>
      </c>
      <c r="L4503" s="22" t="s">
        <v>104</v>
      </c>
      <c r="M4503" s="22" t="s">
        <v>37211</v>
      </c>
    </row>
    <row r="4504" spans="1:13" x14ac:dyDescent="0.75">
      <c r="A4504" t="s">
        <v>11446</v>
      </c>
      <c r="B4504" t="s">
        <v>6117</v>
      </c>
      <c r="C4504" t="s">
        <v>6118</v>
      </c>
      <c r="D4504" t="s">
        <v>6119</v>
      </c>
      <c r="E4504" t="s">
        <v>11447</v>
      </c>
      <c r="F4504">
        <v>1</v>
      </c>
      <c r="G4504">
        <v>2367029</v>
      </c>
      <c r="H4504" t="s">
        <v>11448</v>
      </c>
      <c r="J4504" s="54" t="s">
        <v>6052</v>
      </c>
      <c r="K4504" s="54">
        <v>0</v>
      </c>
      <c r="L4504" s="22" t="s">
        <v>104</v>
      </c>
      <c r="M4504" s="22" t="s">
        <v>37211</v>
      </c>
    </row>
    <row r="4505" spans="1:13" x14ac:dyDescent="0.75">
      <c r="A4505" t="s">
        <v>24890</v>
      </c>
      <c r="B4505" t="s">
        <v>6117</v>
      </c>
      <c r="C4505" t="s">
        <v>6118</v>
      </c>
      <c r="D4505" t="s">
        <v>6119</v>
      </c>
      <c r="E4505" t="s">
        <v>24891</v>
      </c>
      <c r="F4505">
        <v>1</v>
      </c>
      <c r="G4505">
        <v>2392749</v>
      </c>
      <c r="H4505" t="s">
        <v>24892</v>
      </c>
      <c r="J4505" s="54" t="s">
        <v>6052</v>
      </c>
      <c r="K4505" s="54">
        <v>0</v>
      </c>
      <c r="L4505" s="22" t="s">
        <v>104</v>
      </c>
      <c r="M4505" s="22" t="s">
        <v>37211</v>
      </c>
    </row>
    <row r="4506" spans="1:13" x14ac:dyDescent="0.75">
      <c r="A4506" t="s">
        <v>27248</v>
      </c>
      <c r="B4506" t="s">
        <v>6117</v>
      </c>
      <c r="C4506" t="s">
        <v>6118</v>
      </c>
      <c r="D4506" t="s">
        <v>6119</v>
      </c>
      <c r="E4506" t="s">
        <v>27249</v>
      </c>
      <c r="F4506">
        <v>47</v>
      </c>
      <c r="G4506">
        <v>2222676</v>
      </c>
      <c r="H4506" t="s">
        <v>27250</v>
      </c>
      <c r="J4506" s="54" t="s">
        <v>6052</v>
      </c>
      <c r="K4506" s="54">
        <v>0</v>
      </c>
      <c r="L4506" s="22" t="s">
        <v>104</v>
      </c>
      <c r="M4506" s="22" t="s">
        <v>37211</v>
      </c>
    </row>
    <row r="4507" spans="1:13" x14ac:dyDescent="0.75">
      <c r="A4507" t="s">
        <v>11693</v>
      </c>
      <c r="B4507" t="s">
        <v>6117</v>
      </c>
      <c r="C4507" t="s">
        <v>6118</v>
      </c>
      <c r="D4507" t="s">
        <v>6119</v>
      </c>
      <c r="E4507" t="s">
        <v>11694</v>
      </c>
      <c r="F4507">
        <v>1</v>
      </c>
      <c r="G4507">
        <v>2249024</v>
      </c>
      <c r="H4507" t="s">
        <v>11695</v>
      </c>
      <c r="J4507" s="54" t="s">
        <v>6052</v>
      </c>
      <c r="K4507" s="54">
        <v>0</v>
      </c>
      <c r="L4507" s="22" t="s">
        <v>104</v>
      </c>
      <c r="M4507" s="22" t="s">
        <v>37211</v>
      </c>
    </row>
    <row r="4508" spans="1:13" x14ac:dyDescent="0.75">
      <c r="A4508" t="s">
        <v>27263</v>
      </c>
      <c r="B4508" t="s">
        <v>6117</v>
      </c>
      <c r="C4508" t="s">
        <v>6118</v>
      </c>
      <c r="D4508" t="s">
        <v>6119</v>
      </c>
      <c r="E4508" t="s">
        <v>27264</v>
      </c>
      <c r="F4508">
        <v>126</v>
      </c>
      <c r="G4508">
        <v>2290524</v>
      </c>
      <c r="H4508" t="s">
        <v>27265</v>
      </c>
      <c r="J4508" s="54" t="s">
        <v>6052</v>
      </c>
      <c r="K4508" s="54">
        <v>0</v>
      </c>
      <c r="L4508" s="22" t="s">
        <v>104</v>
      </c>
      <c r="M4508" s="22" t="s">
        <v>37211</v>
      </c>
    </row>
    <row r="4509" spans="1:13" x14ac:dyDescent="0.75">
      <c r="A4509" t="s">
        <v>11469</v>
      </c>
      <c r="B4509" t="s">
        <v>6117</v>
      </c>
      <c r="C4509" t="s">
        <v>6118</v>
      </c>
      <c r="D4509" t="s">
        <v>6119</v>
      </c>
      <c r="E4509" t="s">
        <v>11470</v>
      </c>
      <c r="F4509">
        <v>1</v>
      </c>
      <c r="G4509">
        <v>2372492</v>
      </c>
      <c r="H4509" t="s">
        <v>11471</v>
      </c>
      <c r="J4509" s="54" t="s">
        <v>6052</v>
      </c>
      <c r="K4509" s="54">
        <v>0</v>
      </c>
      <c r="L4509" s="22" t="s">
        <v>104</v>
      </c>
      <c r="M4509" s="22" t="s">
        <v>37211</v>
      </c>
    </row>
    <row r="4510" spans="1:13" x14ac:dyDescent="0.75">
      <c r="A4510" t="s">
        <v>11531</v>
      </c>
      <c r="B4510" t="s">
        <v>6117</v>
      </c>
      <c r="C4510" t="s">
        <v>6118</v>
      </c>
      <c r="D4510" t="s">
        <v>6119</v>
      </c>
      <c r="E4510" t="s">
        <v>11532</v>
      </c>
      <c r="F4510">
        <v>173</v>
      </c>
      <c r="G4510">
        <v>2229994</v>
      </c>
      <c r="H4510" t="s">
        <v>11533</v>
      </c>
      <c r="J4510" s="54" t="s">
        <v>6052</v>
      </c>
      <c r="K4510" s="54">
        <v>0</v>
      </c>
      <c r="L4510" s="22" t="s">
        <v>104</v>
      </c>
      <c r="M4510" s="22" t="s">
        <v>37211</v>
      </c>
    </row>
    <row r="4511" spans="1:13" x14ac:dyDescent="0.75">
      <c r="A4511" t="s">
        <v>6223</v>
      </c>
      <c r="B4511" t="s">
        <v>6117</v>
      </c>
      <c r="C4511" t="s">
        <v>6118</v>
      </c>
      <c r="D4511" t="s">
        <v>6119</v>
      </c>
      <c r="E4511" t="s">
        <v>6224</v>
      </c>
      <c r="F4511">
        <v>1</v>
      </c>
      <c r="G4511">
        <v>2354886</v>
      </c>
      <c r="H4511" t="s">
        <v>6225</v>
      </c>
      <c r="J4511" s="54" t="s">
        <v>6052</v>
      </c>
      <c r="K4511" s="54">
        <v>0</v>
      </c>
      <c r="L4511" s="22" t="s">
        <v>104</v>
      </c>
      <c r="M4511" s="22" t="s">
        <v>37211</v>
      </c>
    </row>
    <row r="4512" spans="1:13" x14ac:dyDescent="0.75">
      <c r="A4512" t="s">
        <v>28039</v>
      </c>
      <c r="B4512" t="s">
        <v>7948</v>
      </c>
      <c r="C4512" t="s">
        <v>6156</v>
      </c>
      <c r="D4512" t="s">
        <v>7949</v>
      </c>
      <c r="E4512" t="s">
        <v>28040</v>
      </c>
      <c r="F4512">
        <v>1</v>
      </c>
      <c r="G4512">
        <v>2238481</v>
      </c>
      <c r="H4512" t="s">
        <v>28041</v>
      </c>
      <c r="J4512" s="54" t="s">
        <v>6052</v>
      </c>
      <c r="K4512" s="54">
        <v>0</v>
      </c>
      <c r="L4512" s="22" t="s">
        <v>144</v>
      </c>
      <c r="M4512" s="22" t="s">
        <v>37172</v>
      </c>
    </row>
    <row r="4513" spans="1:13" x14ac:dyDescent="0.75">
      <c r="A4513" t="s">
        <v>27111</v>
      </c>
      <c r="B4513" t="s">
        <v>7948</v>
      </c>
      <c r="C4513" t="s">
        <v>6156</v>
      </c>
      <c r="D4513" t="s">
        <v>7949</v>
      </c>
      <c r="E4513" t="s">
        <v>27112</v>
      </c>
      <c r="F4513">
        <v>1</v>
      </c>
      <c r="G4513">
        <v>2188497</v>
      </c>
      <c r="H4513" t="s">
        <v>27113</v>
      </c>
      <c r="J4513" s="54" t="s">
        <v>6052</v>
      </c>
      <c r="K4513" s="54">
        <v>0</v>
      </c>
      <c r="L4513" s="22" t="s">
        <v>144</v>
      </c>
      <c r="M4513" s="22" t="s">
        <v>37172</v>
      </c>
    </row>
    <row r="4514" spans="1:13" x14ac:dyDescent="0.75">
      <c r="A4514" t="s">
        <v>27298</v>
      </c>
      <c r="B4514" t="s">
        <v>10951</v>
      </c>
      <c r="C4514" t="s">
        <v>6156</v>
      </c>
      <c r="D4514" t="s">
        <v>10952</v>
      </c>
      <c r="E4514" t="s">
        <v>27299</v>
      </c>
      <c r="F4514">
        <v>1</v>
      </c>
      <c r="G4514">
        <v>2172222</v>
      </c>
      <c r="H4514" t="s">
        <v>27300</v>
      </c>
      <c r="J4514" s="54" t="s">
        <v>6052</v>
      </c>
      <c r="K4514" s="54">
        <v>0</v>
      </c>
      <c r="L4514" s="22" t="s">
        <v>36804</v>
      </c>
      <c r="M4514" s="22" t="s">
        <v>37162</v>
      </c>
    </row>
    <row r="4515" spans="1:13" x14ac:dyDescent="0.75">
      <c r="A4515" t="s">
        <v>14442</v>
      </c>
      <c r="B4515" t="s">
        <v>6117</v>
      </c>
      <c r="C4515" t="s">
        <v>6118</v>
      </c>
      <c r="D4515" t="s">
        <v>6119</v>
      </c>
      <c r="E4515" t="s">
        <v>6224</v>
      </c>
      <c r="F4515">
        <v>1</v>
      </c>
      <c r="G4515">
        <v>2379874</v>
      </c>
      <c r="H4515" t="s">
        <v>14443</v>
      </c>
      <c r="J4515" s="54" t="s">
        <v>6052</v>
      </c>
      <c r="K4515" s="54">
        <v>0</v>
      </c>
      <c r="L4515" s="22" t="s">
        <v>104</v>
      </c>
      <c r="M4515" s="22" t="s">
        <v>37211</v>
      </c>
    </row>
    <row r="4516" spans="1:13" x14ac:dyDescent="0.75">
      <c r="A4516" t="s">
        <v>24893</v>
      </c>
      <c r="B4516" t="s">
        <v>6117</v>
      </c>
      <c r="C4516" t="s">
        <v>6118</v>
      </c>
      <c r="D4516" t="s">
        <v>6119</v>
      </c>
      <c r="E4516" t="s">
        <v>24894</v>
      </c>
      <c r="F4516">
        <v>1</v>
      </c>
      <c r="G4516">
        <v>2521435</v>
      </c>
      <c r="H4516" t="s">
        <v>24895</v>
      </c>
      <c r="J4516" s="54" t="s">
        <v>6052</v>
      </c>
      <c r="K4516" s="54">
        <v>0</v>
      </c>
      <c r="L4516" s="22" t="s">
        <v>104</v>
      </c>
      <c r="M4516" s="22" t="s">
        <v>37211</v>
      </c>
    </row>
    <row r="4517" spans="1:13" x14ac:dyDescent="0.75">
      <c r="A4517" t="s">
        <v>24990</v>
      </c>
      <c r="B4517" t="s">
        <v>6117</v>
      </c>
      <c r="C4517" t="s">
        <v>6118</v>
      </c>
      <c r="D4517" t="s">
        <v>6119</v>
      </c>
      <c r="E4517" t="s">
        <v>24894</v>
      </c>
      <c r="F4517">
        <v>3</v>
      </c>
      <c r="G4517">
        <v>2521436</v>
      </c>
      <c r="H4517" t="s">
        <v>24991</v>
      </c>
      <c r="J4517" s="54" t="s">
        <v>6052</v>
      </c>
      <c r="K4517" s="54">
        <v>0</v>
      </c>
      <c r="L4517" s="22" t="s">
        <v>104</v>
      </c>
      <c r="M4517" s="22" t="s">
        <v>37211</v>
      </c>
    </row>
    <row r="4518" spans="1:13" x14ac:dyDescent="0.75">
      <c r="A4518" t="s">
        <v>27246</v>
      </c>
      <c r="B4518" t="s">
        <v>6117</v>
      </c>
      <c r="C4518" t="s">
        <v>6118</v>
      </c>
      <c r="D4518" t="s">
        <v>6119</v>
      </c>
      <c r="E4518" t="s">
        <v>24894</v>
      </c>
      <c r="F4518">
        <v>153</v>
      </c>
      <c r="G4518">
        <v>2424225</v>
      </c>
      <c r="H4518" t="s">
        <v>27247</v>
      </c>
      <c r="J4518" s="54" t="s">
        <v>6052</v>
      </c>
      <c r="K4518" s="54">
        <v>0</v>
      </c>
      <c r="L4518" s="22" t="s">
        <v>104</v>
      </c>
      <c r="M4518" s="22" t="s">
        <v>37211</v>
      </c>
    </row>
    <row r="4519" spans="1:13" x14ac:dyDescent="0.75">
      <c r="A4519" t="s">
        <v>22171</v>
      </c>
      <c r="B4519" t="s">
        <v>6117</v>
      </c>
      <c r="C4519" t="s">
        <v>6118</v>
      </c>
      <c r="D4519" t="s">
        <v>6119</v>
      </c>
      <c r="E4519" t="s">
        <v>22172</v>
      </c>
      <c r="F4519">
        <v>85</v>
      </c>
      <c r="G4519">
        <v>2265994</v>
      </c>
      <c r="H4519" t="s">
        <v>22173</v>
      </c>
      <c r="J4519" s="54" t="s">
        <v>6052</v>
      </c>
      <c r="K4519" s="54">
        <v>0</v>
      </c>
      <c r="L4519" s="22" t="s">
        <v>104</v>
      </c>
      <c r="M4519" s="22" t="s">
        <v>37211</v>
      </c>
    </row>
    <row r="4520" spans="1:13" x14ac:dyDescent="0.75">
      <c r="A4520" t="s">
        <v>22188</v>
      </c>
      <c r="B4520" t="s">
        <v>6117</v>
      </c>
      <c r="C4520" t="s">
        <v>6118</v>
      </c>
      <c r="D4520" t="s">
        <v>6119</v>
      </c>
      <c r="E4520" t="s">
        <v>22189</v>
      </c>
      <c r="F4520">
        <v>90</v>
      </c>
      <c r="G4520">
        <v>2282399</v>
      </c>
      <c r="H4520" t="s">
        <v>22190</v>
      </c>
      <c r="J4520" s="54" t="s">
        <v>6052</v>
      </c>
      <c r="K4520" s="54">
        <v>0</v>
      </c>
      <c r="L4520" s="22" t="s">
        <v>104</v>
      </c>
      <c r="M4520" s="22" t="s">
        <v>37211</v>
      </c>
    </row>
    <row r="4521" spans="1:13" x14ac:dyDescent="0.75">
      <c r="A4521" t="s">
        <v>25182</v>
      </c>
      <c r="B4521" t="s">
        <v>6117</v>
      </c>
      <c r="C4521" t="s">
        <v>6118</v>
      </c>
      <c r="D4521" t="s">
        <v>6119</v>
      </c>
      <c r="E4521" t="s">
        <v>25183</v>
      </c>
      <c r="F4521">
        <v>11</v>
      </c>
      <c r="G4521">
        <v>2424801</v>
      </c>
      <c r="H4521" t="s">
        <v>25184</v>
      </c>
      <c r="J4521" s="54" t="s">
        <v>6052</v>
      </c>
      <c r="K4521" s="54">
        <v>0</v>
      </c>
      <c r="L4521" s="22" t="s">
        <v>104</v>
      </c>
      <c r="M4521" s="22" t="s">
        <v>37211</v>
      </c>
    </row>
    <row r="4522" spans="1:13" x14ac:dyDescent="0.75">
      <c r="A4522" t="s">
        <v>26493</v>
      </c>
      <c r="B4522" t="s">
        <v>10951</v>
      </c>
      <c r="C4522" t="s">
        <v>6156</v>
      </c>
      <c r="D4522" t="s">
        <v>10952</v>
      </c>
      <c r="E4522" t="s">
        <v>26494</v>
      </c>
      <c r="F4522">
        <v>1</v>
      </c>
      <c r="G4522">
        <v>2216433</v>
      </c>
      <c r="H4522" t="s">
        <v>26495</v>
      </c>
      <c r="J4522" s="54" t="s">
        <v>6052</v>
      </c>
      <c r="K4522" s="54">
        <v>0</v>
      </c>
      <c r="L4522" s="22" t="s">
        <v>36804</v>
      </c>
      <c r="M4522" s="22" t="s">
        <v>37162</v>
      </c>
    </row>
    <row r="4523" spans="1:13" x14ac:dyDescent="0.75">
      <c r="A4523" t="s">
        <v>16581</v>
      </c>
      <c r="B4523" t="s">
        <v>6117</v>
      </c>
      <c r="C4523" t="s">
        <v>6118</v>
      </c>
      <c r="D4523" t="s">
        <v>6119</v>
      </c>
      <c r="E4523" t="s">
        <v>16582</v>
      </c>
      <c r="F4523">
        <v>118</v>
      </c>
      <c r="G4523">
        <v>2251246</v>
      </c>
      <c r="H4523" t="s">
        <v>16583</v>
      </c>
      <c r="J4523" s="54" t="s">
        <v>6052</v>
      </c>
      <c r="K4523" s="54">
        <v>0</v>
      </c>
      <c r="L4523" s="22" t="s">
        <v>104</v>
      </c>
      <c r="M4523" s="22" t="s">
        <v>37211</v>
      </c>
    </row>
    <row r="4524" spans="1:13" x14ac:dyDescent="0.75">
      <c r="A4524" t="s">
        <v>22193</v>
      </c>
      <c r="B4524" t="s">
        <v>6117</v>
      </c>
      <c r="C4524" t="s">
        <v>6118</v>
      </c>
      <c r="D4524" t="s">
        <v>6119</v>
      </c>
      <c r="E4524" t="s">
        <v>22194</v>
      </c>
      <c r="F4524">
        <v>134</v>
      </c>
      <c r="G4524">
        <v>2440602</v>
      </c>
      <c r="H4524" t="s">
        <v>22195</v>
      </c>
      <c r="J4524" s="54" t="s">
        <v>6052</v>
      </c>
      <c r="K4524" s="54">
        <v>0</v>
      </c>
      <c r="L4524" s="22" t="s">
        <v>104</v>
      </c>
      <c r="M4524" s="22" t="s">
        <v>37211</v>
      </c>
    </row>
    <row r="4525" spans="1:13" x14ac:dyDescent="0.75">
      <c r="A4525" t="s">
        <v>22168</v>
      </c>
      <c r="B4525" t="s">
        <v>6117</v>
      </c>
      <c r="C4525" t="s">
        <v>6118</v>
      </c>
      <c r="D4525" t="s">
        <v>6119</v>
      </c>
      <c r="E4525" t="s">
        <v>22169</v>
      </c>
      <c r="F4525">
        <v>115</v>
      </c>
      <c r="G4525">
        <v>2332868</v>
      </c>
      <c r="H4525" t="s">
        <v>22170</v>
      </c>
      <c r="J4525" s="54" t="s">
        <v>6052</v>
      </c>
      <c r="K4525" s="54">
        <v>0</v>
      </c>
      <c r="L4525" s="22" t="s">
        <v>104</v>
      </c>
      <c r="M4525" s="22" t="s">
        <v>37211</v>
      </c>
    </row>
    <row r="4526" spans="1:13" x14ac:dyDescent="0.75">
      <c r="A4526" t="s">
        <v>30211</v>
      </c>
      <c r="B4526" t="s">
        <v>6117</v>
      </c>
      <c r="C4526" t="s">
        <v>6118</v>
      </c>
      <c r="D4526" t="s">
        <v>6119</v>
      </c>
      <c r="E4526" t="s">
        <v>30212</v>
      </c>
      <c r="F4526">
        <v>236</v>
      </c>
      <c r="G4526">
        <v>1684954</v>
      </c>
      <c r="H4526" t="s">
        <v>30213</v>
      </c>
      <c r="J4526" s="54" t="s">
        <v>6052</v>
      </c>
      <c r="K4526" s="54">
        <v>0</v>
      </c>
      <c r="L4526" s="22" t="s">
        <v>104</v>
      </c>
      <c r="M4526" s="22" t="s">
        <v>37211</v>
      </c>
    </row>
    <row r="4527" spans="1:13" x14ac:dyDescent="0.75">
      <c r="A4527" t="s">
        <v>9789</v>
      </c>
      <c r="B4527" t="s">
        <v>6117</v>
      </c>
      <c r="C4527" t="s">
        <v>6118</v>
      </c>
      <c r="D4527" t="s">
        <v>6119</v>
      </c>
      <c r="E4527" t="s">
        <v>9790</v>
      </c>
      <c r="F4527">
        <v>174</v>
      </c>
      <c r="G4527">
        <v>2246368</v>
      </c>
      <c r="H4527" t="s">
        <v>9791</v>
      </c>
      <c r="J4527" s="54" t="s">
        <v>6052</v>
      </c>
      <c r="K4527" s="54">
        <v>0</v>
      </c>
      <c r="L4527" s="22" t="s">
        <v>104</v>
      </c>
      <c r="M4527" s="22" t="s">
        <v>37211</v>
      </c>
    </row>
    <row r="4528" spans="1:13" x14ac:dyDescent="0.75">
      <c r="A4528" t="s">
        <v>9792</v>
      </c>
      <c r="B4528" t="s">
        <v>6117</v>
      </c>
      <c r="C4528" t="s">
        <v>6118</v>
      </c>
      <c r="D4528" t="s">
        <v>6119</v>
      </c>
      <c r="E4528" t="s">
        <v>9793</v>
      </c>
      <c r="F4528">
        <v>243</v>
      </c>
      <c r="G4528">
        <v>2306092</v>
      </c>
      <c r="H4528" t="s">
        <v>9794</v>
      </c>
      <c r="J4528" s="54" t="s">
        <v>6052</v>
      </c>
      <c r="K4528" s="54">
        <v>0</v>
      </c>
      <c r="L4528" s="22" t="s">
        <v>104</v>
      </c>
      <c r="M4528" s="22" t="s">
        <v>37211</v>
      </c>
    </row>
    <row r="4529" spans="1:13" x14ac:dyDescent="0.75">
      <c r="A4529" t="s">
        <v>9763</v>
      </c>
      <c r="B4529" t="s">
        <v>6117</v>
      </c>
      <c r="C4529" t="s">
        <v>6118</v>
      </c>
      <c r="D4529" t="s">
        <v>6119</v>
      </c>
      <c r="E4529" t="s">
        <v>9764</v>
      </c>
      <c r="F4529">
        <v>219</v>
      </c>
      <c r="G4529">
        <v>2334744</v>
      </c>
      <c r="H4529" t="s">
        <v>9765</v>
      </c>
      <c r="J4529" s="54" t="s">
        <v>6052</v>
      </c>
      <c r="K4529" s="54">
        <v>0</v>
      </c>
      <c r="L4529" s="22" t="s">
        <v>104</v>
      </c>
      <c r="M4529" s="22" t="s">
        <v>37211</v>
      </c>
    </row>
    <row r="4530" spans="1:13" x14ac:dyDescent="0.75">
      <c r="A4530" t="s">
        <v>9766</v>
      </c>
      <c r="B4530" t="s">
        <v>6117</v>
      </c>
      <c r="C4530" t="s">
        <v>6118</v>
      </c>
      <c r="D4530" t="s">
        <v>6119</v>
      </c>
      <c r="E4530" t="s">
        <v>9767</v>
      </c>
      <c r="F4530">
        <v>183</v>
      </c>
      <c r="G4530">
        <v>2249227</v>
      </c>
      <c r="H4530" t="s">
        <v>9768</v>
      </c>
      <c r="J4530" s="54" t="s">
        <v>6052</v>
      </c>
      <c r="K4530" s="54">
        <v>0</v>
      </c>
      <c r="L4530" s="22" t="s">
        <v>104</v>
      </c>
      <c r="M4530" s="22" t="s">
        <v>37211</v>
      </c>
    </row>
    <row r="4531" spans="1:13" x14ac:dyDescent="0.75">
      <c r="A4531" t="s">
        <v>9769</v>
      </c>
      <c r="B4531" t="s">
        <v>6117</v>
      </c>
      <c r="C4531" t="s">
        <v>6118</v>
      </c>
      <c r="D4531" t="s">
        <v>6119</v>
      </c>
      <c r="E4531" t="s">
        <v>9770</v>
      </c>
      <c r="F4531">
        <v>161</v>
      </c>
      <c r="G4531">
        <v>2282791</v>
      </c>
      <c r="H4531" t="s">
        <v>9771</v>
      </c>
      <c r="J4531" s="54" t="s">
        <v>6052</v>
      </c>
      <c r="K4531" s="54">
        <v>0</v>
      </c>
      <c r="L4531" s="22" t="s">
        <v>104</v>
      </c>
      <c r="M4531" s="22" t="s">
        <v>37211</v>
      </c>
    </row>
    <row r="4532" spans="1:13" x14ac:dyDescent="0.75">
      <c r="A4532" t="s">
        <v>20699</v>
      </c>
      <c r="B4532" t="s">
        <v>6117</v>
      </c>
      <c r="C4532" t="s">
        <v>6118</v>
      </c>
      <c r="D4532" t="s">
        <v>6119</v>
      </c>
      <c r="E4532" t="s">
        <v>20700</v>
      </c>
      <c r="F4532">
        <v>1</v>
      </c>
      <c r="G4532">
        <v>2375739</v>
      </c>
      <c r="H4532" t="s">
        <v>20701</v>
      </c>
      <c r="J4532" s="54" t="s">
        <v>6052</v>
      </c>
      <c r="K4532" s="54">
        <v>0</v>
      </c>
      <c r="L4532" s="22" t="s">
        <v>104</v>
      </c>
      <c r="M4532" s="22" t="s">
        <v>37211</v>
      </c>
    </row>
    <row r="4533" spans="1:13" x14ac:dyDescent="0.75">
      <c r="A4533" t="s">
        <v>26288</v>
      </c>
      <c r="B4533" t="s">
        <v>6117</v>
      </c>
      <c r="C4533" t="s">
        <v>6118</v>
      </c>
      <c r="D4533" t="s">
        <v>6119</v>
      </c>
      <c r="E4533" t="s">
        <v>26289</v>
      </c>
      <c r="F4533">
        <v>1</v>
      </c>
      <c r="G4533">
        <v>2515721</v>
      </c>
      <c r="H4533" t="s">
        <v>26290</v>
      </c>
      <c r="J4533" s="54" t="s">
        <v>6052</v>
      </c>
      <c r="K4533" s="54">
        <v>0</v>
      </c>
      <c r="L4533" s="22" t="s">
        <v>104</v>
      </c>
      <c r="M4533" s="22" t="s">
        <v>37211</v>
      </c>
    </row>
    <row r="4534" spans="1:13" x14ac:dyDescent="0.75">
      <c r="A4534" t="s">
        <v>26499</v>
      </c>
      <c r="B4534" t="s">
        <v>6117</v>
      </c>
      <c r="C4534" t="s">
        <v>6118</v>
      </c>
      <c r="D4534" t="s">
        <v>6119</v>
      </c>
      <c r="E4534" t="s">
        <v>26500</v>
      </c>
      <c r="F4534">
        <v>126</v>
      </c>
      <c r="G4534">
        <v>2358334</v>
      </c>
      <c r="H4534" t="s">
        <v>26501</v>
      </c>
      <c r="J4534" s="54" t="s">
        <v>6052</v>
      </c>
      <c r="K4534" s="54">
        <v>0</v>
      </c>
      <c r="L4534" s="22" t="s">
        <v>104</v>
      </c>
      <c r="M4534" s="22" t="s">
        <v>37211</v>
      </c>
    </row>
    <row r="4535" spans="1:13" x14ac:dyDescent="0.75">
      <c r="A4535" t="s">
        <v>16578</v>
      </c>
      <c r="B4535" t="s">
        <v>6117</v>
      </c>
      <c r="C4535" t="s">
        <v>6118</v>
      </c>
      <c r="D4535" t="s">
        <v>6119</v>
      </c>
      <c r="E4535" t="s">
        <v>16579</v>
      </c>
      <c r="F4535">
        <v>165</v>
      </c>
      <c r="G4535">
        <v>2311066</v>
      </c>
      <c r="H4535" t="s">
        <v>16580</v>
      </c>
      <c r="J4535" s="54" t="s">
        <v>6052</v>
      </c>
      <c r="K4535" s="54">
        <v>0</v>
      </c>
      <c r="L4535" s="22" t="s">
        <v>104</v>
      </c>
      <c r="M4535" s="22" t="s">
        <v>37211</v>
      </c>
    </row>
    <row r="4536" spans="1:13" x14ac:dyDescent="0.75">
      <c r="A4536" t="s">
        <v>24887</v>
      </c>
      <c r="B4536" t="s">
        <v>6117</v>
      </c>
      <c r="C4536" t="s">
        <v>6118</v>
      </c>
      <c r="D4536" t="s">
        <v>6119</v>
      </c>
      <c r="E4536" t="s">
        <v>24888</v>
      </c>
      <c r="F4536">
        <v>1</v>
      </c>
      <c r="G4536">
        <v>2621167</v>
      </c>
      <c r="H4536" t="s">
        <v>24889</v>
      </c>
      <c r="J4536" s="54" t="s">
        <v>6052</v>
      </c>
      <c r="K4536" s="54">
        <v>0</v>
      </c>
      <c r="L4536" s="22" t="s">
        <v>104</v>
      </c>
      <c r="M4536" s="22" t="s">
        <v>37211</v>
      </c>
    </row>
    <row r="4537" spans="1:13" x14ac:dyDescent="0.75">
      <c r="A4537" t="s">
        <v>10523</v>
      </c>
      <c r="B4537" t="s">
        <v>6117</v>
      </c>
      <c r="C4537" t="s">
        <v>6118</v>
      </c>
      <c r="D4537" t="s">
        <v>6119</v>
      </c>
      <c r="E4537" t="s">
        <v>10524</v>
      </c>
      <c r="F4537">
        <v>1</v>
      </c>
      <c r="G4537">
        <v>2441780</v>
      </c>
      <c r="H4537" t="s">
        <v>10525</v>
      </c>
      <c r="J4537" s="54" t="s">
        <v>6052</v>
      </c>
      <c r="K4537" s="54">
        <v>0</v>
      </c>
      <c r="L4537" s="22" t="s">
        <v>104</v>
      </c>
      <c r="M4537" s="22" t="s">
        <v>37211</v>
      </c>
    </row>
    <row r="4538" spans="1:13" x14ac:dyDescent="0.75">
      <c r="A4538" t="s">
        <v>9389</v>
      </c>
      <c r="B4538" t="s">
        <v>6117</v>
      </c>
      <c r="C4538" t="s">
        <v>6118</v>
      </c>
      <c r="D4538" t="s">
        <v>6119</v>
      </c>
      <c r="E4538" t="s">
        <v>9390</v>
      </c>
      <c r="F4538">
        <v>282</v>
      </c>
      <c r="G4538">
        <v>2426396</v>
      </c>
      <c r="H4538" t="s">
        <v>9391</v>
      </c>
      <c r="J4538" s="54" t="s">
        <v>6052</v>
      </c>
      <c r="K4538" s="54">
        <v>0</v>
      </c>
      <c r="L4538" s="22" t="s">
        <v>104</v>
      </c>
      <c r="M4538" s="22" t="s">
        <v>37211</v>
      </c>
    </row>
    <row r="4539" spans="1:13" x14ac:dyDescent="0.75">
      <c r="A4539" t="s">
        <v>22165</v>
      </c>
      <c r="B4539" t="s">
        <v>6117</v>
      </c>
      <c r="C4539" t="s">
        <v>6118</v>
      </c>
      <c r="D4539" t="s">
        <v>6119</v>
      </c>
      <c r="E4539" t="s">
        <v>22166</v>
      </c>
      <c r="F4539">
        <v>112</v>
      </c>
      <c r="G4539">
        <v>2366674</v>
      </c>
      <c r="H4539" t="s">
        <v>22167</v>
      </c>
      <c r="J4539" s="54" t="s">
        <v>6052</v>
      </c>
      <c r="K4539" s="54">
        <v>0</v>
      </c>
      <c r="L4539" s="22" t="s">
        <v>104</v>
      </c>
      <c r="M4539" s="22" t="s">
        <v>37211</v>
      </c>
    </row>
    <row r="4540" spans="1:13" x14ac:dyDescent="0.75">
      <c r="A4540" t="s">
        <v>22174</v>
      </c>
      <c r="B4540" t="s">
        <v>6117</v>
      </c>
      <c r="C4540" t="s">
        <v>6118</v>
      </c>
      <c r="D4540" t="s">
        <v>6119</v>
      </c>
      <c r="E4540" t="s">
        <v>22175</v>
      </c>
      <c r="F4540">
        <v>97</v>
      </c>
      <c r="G4540">
        <v>2382938</v>
      </c>
      <c r="H4540" t="s">
        <v>22176</v>
      </c>
      <c r="J4540" s="54" t="s">
        <v>6052</v>
      </c>
      <c r="K4540" s="54">
        <v>0</v>
      </c>
      <c r="L4540" s="22" t="s">
        <v>104</v>
      </c>
      <c r="M4540" s="22" t="s">
        <v>37211</v>
      </c>
    </row>
    <row r="4541" spans="1:13" x14ac:dyDescent="0.75">
      <c r="A4541" t="s">
        <v>14129</v>
      </c>
      <c r="B4541" t="s">
        <v>6117</v>
      </c>
      <c r="C4541" t="s">
        <v>6118</v>
      </c>
      <c r="D4541" t="s">
        <v>6119</v>
      </c>
      <c r="E4541" t="s">
        <v>14130</v>
      </c>
      <c r="F4541">
        <v>1</v>
      </c>
      <c r="G4541">
        <v>2476166</v>
      </c>
      <c r="H4541" t="s">
        <v>14131</v>
      </c>
      <c r="J4541" s="54" t="s">
        <v>6052</v>
      </c>
      <c r="K4541" s="54">
        <v>0</v>
      </c>
      <c r="L4541" s="22" t="s">
        <v>104</v>
      </c>
      <c r="M4541" s="22" t="s">
        <v>37211</v>
      </c>
    </row>
    <row r="4542" spans="1:13" x14ac:dyDescent="0.75">
      <c r="A4542" t="s">
        <v>13702</v>
      </c>
      <c r="B4542" t="s">
        <v>6117</v>
      </c>
      <c r="C4542" t="s">
        <v>6118</v>
      </c>
      <c r="D4542" t="s">
        <v>6119</v>
      </c>
      <c r="E4542" t="s">
        <v>13703</v>
      </c>
      <c r="F4542">
        <v>78</v>
      </c>
      <c r="G4542">
        <v>2394377</v>
      </c>
      <c r="H4542" t="s">
        <v>13704</v>
      </c>
      <c r="J4542" s="54" t="s">
        <v>6052</v>
      </c>
      <c r="K4542" s="54">
        <v>0</v>
      </c>
      <c r="L4542" s="22" t="s">
        <v>104</v>
      </c>
      <c r="M4542" s="22" t="s">
        <v>37211</v>
      </c>
    </row>
    <row r="4543" spans="1:13" x14ac:dyDescent="0.75">
      <c r="A4543" t="s">
        <v>14132</v>
      </c>
      <c r="B4543" t="s">
        <v>6117</v>
      </c>
      <c r="C4543" t="s">
        <v>6118</v>
      </c>
      <c r="D4543" t="s">
        <v>6119</v>
      </c>
      <c r="E4543" t="s">
        <v>14133</v>
      </c>
      <c r="F4543">
        <v>1</v>
      </c>
      <c r="G4543">
        <v>2410673</v>
      </c>
      <c r="H4543" t="s">
        <v>14134</v>
      </c>
      <c r="J4543" s="54" t="s">
        <v>6052</v>
      </c>
      <c r="K4543" s="54">
        <v>0</v>
      </c>
      <c r="L4543" s="22" t="s">
        <v>104</v>
      </c>
      <c r="M4543" s="22" t="s">
        <v>37211</v>
      </c>
    </row>
    <row r="4544" spans="1:13" x14ac:dyDescent="0.75">
      <c r="A4544" t="s">
        <v>14108</v>
      </c>
      <c r="B4544" t="s">
        <v>6117</v>
      </c>
      <c r="C4544" t="s">
        <v>6118</v>
      </c>
      <c r="D4544" t="s">
        <v>6119</v>
      </c>
      <c r="E4544" t="s">
        <v>14109</v>
      </c>
      <c r="F4544">
        <v>1</v>
      </c>
      <c r="G4544">
        <v>2469365</v>
      </c>
      <c r="H4544" t="s">
        <v>14110</v>
      </c>
      <c r="J4544" s="54" t="s">
        <v>6052</v>
      </c>
      <c r="K4544" s="54">
        <v>0</v>
      </c>
      <c r="L4544" s="22" t="s">
        <v>104</v>
      </c>
      <c r="M4544" s="22" t="s">
        <v>37211</v>
      </c>
    </row>
    <row r="4545" spans="1:13" x14ac:dyDescent="0.75">
      <c r="A4545" t="s">
        <v>14135</v>
      </c>
      <c r="B4545" t="s">
        <v>6117</v>
      </c>
      <c r="C4545" t="s">
        <v>6118</v>
      </c>
      <c r="D4545" t="s">
        <v>6119</v>
      </c>
      <c r="E4545" t="s">
        <v>14136</v>
      </c>
      <c r="F4545">
        <v>1</v>
      </c>
      <c r="G4545">
        <v>2254720</v>
      </c>
      <c r="H4545" t="s">
        <v>14137</v>
      </c>
      <c r="J4545" s="54" t="s">
        <v>6052</v>
      </c>
      <c r="K4545" s="54">
        <v>0</v>
      </c>
      <c r="L4545" s="22" t="s">
        <v>104</v>
      </c>
      <c r="M4545" s="22" t="s">
        <v>37211</v>
      </c>
    </row>
    <row r="4546" spans="1:13" x14ac:dyDescent="0.75">
      <c r="A4546" t="s">
        <v>14111</v>
      </c>
      <c r="B4546" t="s">
        <v>6117</v>
      </c>
      <c r="C4546" t="s">
        <v>6118</v>
      </c>
      <c r="D4546" t="s">
        <v>6119</v>
      </c>
      <c r="E4546" t="s">
        <v>14112</v>
      </c>
      <c r="F4546">
        <v>1</v>
      </c>
      <c r="G4546">
        <v>2478317</v>
      </c>
      <c r="H4546" t="s">
        <v>14113</v>
      </c>
      <c r="J4546" s="54" t="s">
        <v>6052</v>
      </c>
      <c r="K4546" s="54">
        <v>0</v>
      </c>
      <c r="L4546" s="22" t="s">
        <v>104</v>
      </c>
      <c r="M4546" s="22" t="s">
        <v>37211</v>
      </c>
    </row>
    <row r="4547" spans="1:13" x14ac:dyDescent="0.75">
      <c r="A4547" t="s">
        <v>14114</v>
      </c>
      <c r="B4547" t="s">
        <v>6117</v>
      </c>
      <c r="C4547" t="s">
        <v>6118</v>
      </c>
      <c r="D4547" t="s">
        <v>6119</v>
      </c>
      <c r="E4547" t="s">
        <v>14115</v>
      </c>
      <c r="F4547">
        <v>1</v>
      </c>
      <c r="G4547">
        <v>2374087</v>
      </c>
      <c r="H4547" t="s">
        <v>14116</v>
      </c>
      <c r="J4547" s="54" t="s">
        <v>6052</v>
      </c>
      <c r="K4547" s="54">
        <v>0</v>
      </c>
      <c r="L4547" s="22" t="s">
        <v>104</v>
      </c>
      <c r="M4547" s="22" t="s">
        <v>37211</v>
      </c>
    </row>
    <row r="4548" spans="1:13" x14ac:dyDescent="0.75">
      <c r="A4548" t="s">
        <v>14117</v>
      </c>
      <c r="B4548" t="s">
        <v>6117</v>
      </c>
      <c r="C4548" t="s">
        <v>6118</v>
      </c>
      <c r="D4548" t="s">
        <v>6119</v>
      </c>
      <c r="E4548" t="s">
        <v>14118</v>
      </c>
      <c r="F4548">
        <v>1</v>
      </c>
      <c r="G4548">
        <v>2353912</v>
      </c>
      <c r="H4548" t="s">
        <v>14119</v>
      </c>
      <c r="J4548" s="54" t="s">
        <v>6052</v>
      </c>
      <c r="K4548" s="54">
        <v>0</v>
      </c>
      <c r="L4548" s="22" t="s">
        <v>104</v>
      </c>
      <c r="M4548" s="22" t="s">
        <v>37211</v>
      </c>
    </row>
    <row r="4549" spans="1:13" x14ac:dyDescent="0.75">
      <c r="A4549" t="s">
        <v>14120</v>
      </c>
      <c r="B4549" t="s">
        <v>6117</v>
      </c>
      <c r="C4549" t="s">
        <v>6118</v>
      </c>
      <c r="D4549" t="s">
        <v>6119</v>
      </c>
      <c r="E4549" t="s">
        <v>14121</v>
      </c>
      <c r="F4549">
        <v>1</v>
      </c>
      <c r="G4549">
        <v>2463791</v>
      </c>
      <c r="H4549" t="s">
        <v>14122</v>
      </c>
      <c r="J4549" s="54" t="s">
        <v>6052</v>
      </c>
      <c r="K4549" s="54">
        <v>0</v>
      </c>
      <c r="L4549" s="22" t="s">
        <v>104</v>
      </c>
      <c r="M4549" s="22" t="s">
        <v>37211</v>
      </c>
    </row>
    <row r="4550" spans="1:13" x14ac:dyDescent="0.75">
      <c r="A4550" t="s">
        <v>14123</v>
      </c>
      <c r="B4550" t="s">
        <v>6117</v>
      </c>
      <c r="C4550" t="s">
        <v>6118</v>
      </c>
      <c r="D4550" t="s">
        <v>6119</v>
      </c>
      <c r="E4550" t="s">
        <v>14124</v>
      </c>
      <c r="F4550">
        <v>1</v>
      </c>
      <c r="G4550">
        <v>2482917</v>
      </c>
      <c r="H4550" t="s">
        <v>14125</v>
      </c>
      <c r="J4550" s="54" t="s">
        <v>6052</v>
      </c>
      <c r="K4550" s="54">
        <v>0</v>
      </c>
      <c r="L4550" s="22" t="s">
        <v>104</v>
      </c>
      <c r="M4550" s="22" t="s">
        <v>37211</v>
      </c>
    </row>
    <row r="4551" spans="1:13" x14ac:dyDescent="0.75">
      <c r="A4551" t="s">
        <v>14126</v>
      </c>
      <c r="B4551" t="s">
        <v>6117</v>
      </c>
      <c r="C4551" t="s">
        <v>6118</v>
      </c>
      <c r="D4551" t="s">
        <v>6119</v>
      </c>
      <c r="E4551" t="s">
        <v>14127</v>
      </c>
      <c r="F4551">
        <v>1</v>
      </c>
      <c r="G4551">
        <v>2353520</v>
      </c>
      <c r="H4551" t="s">
        <v>14128</v>
      </c>
      <c r="J4551" s="54" t="s">
        <v>6052</v>
      </c>
      <c r="K4551" s="54">
        <v>0</v>
      </c>
      <c r="L4551" s="22" t="s">
        <v>104</v>
      </c>
      <c r="M4551" s="22" t="s">
        <v>37211</v>
      </c>
    </row>
    <row r="4552" spans="1:13" x14ac:dyDescent="0.75">
      <c r="A4552" t="s">
        <v>14105</v>
      </c>
      <c r="B4552" t="s">
        <v>6117</v>
      </c>
      <c r="C4552" t="s">
        <v>6118</v>
      </c>
      <c r="D4552" t="s">
        <v>6119</v>
      </c>
      <c r="E4552" t="s">
        <v>14106</v>
      </c>
      <c r="F4552">
        <v>1</v>
      </c>
      <c r="G4552">
        <v>2359159</v>
      </c>
      <c r="H4552" t="s">
        <v>14107</v>
      </c>
      <c r="J4552" s="54" t="s">
        <v>6052</v>
      </c>
      <c r="K4552" s="54">
        <v>0</v>
      </c>
      <c r="L4552" s="22" t="s">
        <v>104</v>
      </c>
      <c r="M4552" s="22" t="s">
        <v>37211</v>
      </c>
    </row>
    <row r="4553" spans="1:13" x14ac:dyDescent="0.75">
      <c r="A4553" t="s">
        <v>22182</v>
      </c>
      <c r="B4553" t="s">
        <v>6117</v>
      </c>
      <c r="C4553" t="s">
        <v>6118</v>
      </c>
      <c r="D4553" t="s">
        <v>6119</v>
      </c>
      <c r="E4553" t="s">
        <v>22183</v>
      </c>
      <c r="F4553">
        <v>116</v>
      </c>
      <c r="G4553">
        <v>2424555</v>
      </c>
      <c r="H4553" t="s">
        <v>22184</v>
      </c>
      <c r="J4553" s="54" t="s">
        <v>6052</v>
      </c>
      <c r="K4553" s="54">
        <v>0</v>
      </c>
      <c r="L4553" s="22" t="s">
        <v>104</v>
      </c>
      <c r="M4553" s="22" t="s">
        <v>37211</v>
      </c>
    </row>
    <row r="4554" spans="1:13" x14ac:dyDescent="0.75">
      <c r="A4554" t="s">
        <v>22185</v>
      </c>
      <c r="B4554" t="s">
        <v>6117</v>
      </c>
      <c r="C4554" t="s">
        <v>6118</v>
      </c>
      <c r="D4554" t="s">
        <v>6119</v>
      </c>
      <c r="E4554" t="s">
        <v>22186</v>
      </c>
      <c r="F4554">
        <v>107</v>
      </c>
      <c r="G4554">
        <v>2247019</v>
      </c>
      <c r="H4554" t="s">
        <v>22187</v>
      </c>
      <c r="J4554" s="54" t="s">
        <v>6052</v>
      </c>
      <c r="K4554" s="54">
        <v>0</v>
      </c>
      <c r="L4554" s="22" t="s">
        <v>104</v>
      </c>
      <c r="M4554" s="22" t="s">
        <v>37211</v>
      </c>
    </row>
    <row r="4555" spans="1:13" x14ac:dyDescent="0.75">
      <c r="A4555" t="s">
        <v>25337</v>
      </c>
      <c r="B4555" t="s">
        <v>6117</v>
      </c>
      <c r="C4555" t="s">
        <v>6118</v>
      </c>
      <c r="D4555" t="s">
        <v>6119</v>
      </c>
      <c r="E4555" t="s">
        <v>25338</v>
      </c>
      <c r="F4555">
        <v>1</v>
      </c>
      <c r="G4555">
        <v>2408275</v>
      </c>
      <c r="H4555" t="s">
        <v>25339</v>
      </c>
      <c r="J4555" s="54" t="s">
        <v>6052</v>
      </c>
      <c r="K4555" s="54">
        <v>0</v>
      </c>
      <c r="L4555" s="22" t="s">
        <v>104</v>
      </c>
      <c r="M4555" s="22" t="s">
        <v>37211</v>
      </c>
    </row>
    <row r="4556" spans="1:13" x14ac:dyDescent="0.75">
      <c r="A4556" t="s">
        <v>26166</v>
      </c>
      <c r="B4556" t="s">
        <v>6117</v>
      </c>
      <c r="C4556" t="s">
        <v>6118</v>
      </c>
      <c r="D4556" t="s">
        <v>6119</v>
      </c>
      <c r="E4556" t="s">
        <v>26167</v>
      </c>
      <c r="F4556">
        <v>1</v>
      </c>
      <c r="G4556">
        <v>2406591</v>
      </c>
      <c r="H4556" t="s">
        <v>26168</v>
      </c>
      <c r="J4556" s="54" t="s">
        <v>6052</v>
      </c>
      <c r="K4556" s="54">
        <v>0</v>
      </c>
      <c r="L4556" s="22" t="s">
        <v>104</v>
      </c>
      <c r="M4556" s="22" t="s">
        <v>37211</v>
      </c>
    </row>
    <row r="4557" spans="1:13" x14ac:dyDescent="0.75">
      <c r="A4557" t="s">
        <v>20696</v>
      </c>
      <c r="B4557" t="s">
        <v>6117</v>
      </c>
      <c r="C4557" t="s">
        <v>6118</v>
      </c>
      <c r="D4557" t="s">
        <v>6119</v>
      </c>
      <c r="E4557" t="s">
        <v>20697</v>
      </c>
      <c r="F4557">
        <v>1</v>
      </c>
      <c r="G4557">
        <v>2411440</v>
      </c>
      <c r="H4557" t="s">
        <v>20698</v>
      </c>
      <c r="J4557" s="54" t="s">
        <v>6052</v>
      </c>
      <c r="K4557" s="54">
        <v>0</v>
      </c>
      <c r="L4557" s="22" t="s">
        <v>104</v>
      </c>
      <c r="M4557" s="22" t="s">
        <v>37211</v>
      </c>
    </row>
    <row r="4558" spans="1:13" x14ac:dyDescent="0.75">
      <c r="A4558" t="s">
        <v>20693</v>
      </c>
      <c r="B4558" t="s">
        <v>6117</v>
      </c>
      <c r="C4558" t="s">
        <v>6118</v>
      </c>
      <c r="D4558" t="s">
        <v>6119</v>
      </c>
      <c r="E4558" t="s">
        <v>20694</v>
      </c>
      <c r="F4558">
        <v>1</v>
      </c>
      <c r="G4558">
        <v>2411481</v>
      </c>
      <c r="H4558" t="s">
        <v>20695</v>
      </c>
      <c r="J4558" s="54" t="s">
        <v>6052</v>
      </c>
      <c r="K4558" s="54">
        <v>0</v>
      </c>
      <c r="L4558" s="22" t="s">
        <v>104</v>
      </c>
      <c r="M4558" s="22" t="s">
        <v>37211</v>
      </c>
    </row>
    <row r="4559" spans="1:13" x14ac:dyDescent="0.75">
      <c r="A4559" t="s">
        <v>11929</v>
      </c>
      <c r="B4559" t="s">
        <v>6117</v>
      </c>
      <c r="C4559" t="s">
        <v>6118</v>
      </c>
      <c r="D4559" t="s">
        <v>6119</v>
      </c>
      <c r="E4559" t="s">
        <v>11930</v>
      </c>
      <c r="F4559">
        <v>92</v>
      </c>
      <c r="G4559">
        <v>2373453</v>
      </c>
      <c r="H4559" t="s">
        <v>11931</v>
      </c>
      <c r="J4559" s="54" t="s">
        <v>6052</v>
      </c>
      <c r="K4559" s="54">
        <v>0</v>
      </c>
      <c r="L4559" s="22" t="s">
        <v>104</v>
      </c>
      <c r="M4559" s="22" t="s">
        <v>37211</v>
      </c>
    </row>
    <row r="4560" spans="1:13" x14ac:dyDescent="0.75">
      <c r="A4560" t="s">
        <v>20281</v>
      </c>
      <c r="B4560" t="s">
        <v>10951</v>
      </c>
      <c r="C4560" t="s">
        <v>6156</v>
      </c>
      <c r="D4560" t="s">
        <v>10952</v>
      </c>
      <c r="E4560" t="s">
        <v>20282</v>
      </c>
      <c r="F4560">
        <v>3</v>
      </c>
      <c r="G4560">
        <v>2260630</v>
      </c>
      <c r="H4560" t="s">
        <v>20283</v>
      </c>
      <c r="J4560" s="54" t="s">
        <v>6052</v>
      </c>
      <c r="K4560" s="54">
        <v>0</v>
      </c>
      <c r="L4560" s="22" t="s">
        <v>36804</v>
      </c>
      <c r="M4560" s="22" t="s">
        <v>37162</v>
      </c>
    </row>
    <row r="4561" spans="1:13" x14ac:dyDescent="0.75">
      <c r="A4561" t="s">
        <v>16604</v>
      </c>
      <c r="B4561" t="s">
        <v>10951</v>
      </c>
      <c r="C4561" t="s">
        <v>6156</v>
      </c>
      <c r="D4561" t="s">
        <v>10952</v>
      </c>
      <c r="E4561" t="s">
        <v>16605</v>
      </c>
      <c r="F4561">
        <v>2</v>
      </c>
      <c r="G4561">
        <v>2224611</v>
      </c>
      <c r="H4561" t="s">
        <v>16606</v>
      </c>
      <c r="J4561" s="54" t="s">
        <v>6052</v>
      </c>
      <c r="K4561" s="54">
        <v>0</v>
      </c>
      <c r="L4561" s="22" t="s">
        <v>36804</v>
      </c>
      <c r="M4561" s="22" t="s">
        <v>37162</v>
      </c>
    </row>
    <row r="4562" spans="1:13" x14ac:dyDescent="0.75">
      <c r="A4562" t="s">
        <v>13732</v>
      </c>
      <c r="B4562" t="s">
        <v>6117</v>
      </c>
      <c r="C4562" t="s">
        <v>6118</v>
      </c>
      <c r="D4562" t="s">
        <v>6119</v>
      </c>
      <c r="E4562" t="s">
        <v>13733</v>
      </c>
      <c r="F4562">
        <v>158</v>
      </c>
      <c r="G4562">
        <v>2298088</v>
      </c>
      <c r="H4562" t="s">
        <v>13734</v>
      </c>
      <c r="J4562" s="54" t="s">
        <v>6052</v>
      </c>
      <c r="K4562" s="54">
        <v>0</v>
      </c>
      <c r="L4562" s="22" t="s">
        <v>104</v>
      </c>
      <c r="M4562" s="22" t="s">
        <v>37211</v>
      </c>
    </row>
    <row r="4563" spans="1:13" x14ac:dyDescent="0.75">
      <c r="A4563" t="s">
        <v>13738</v>
      </c>
      <c r="B4563" t="s">
        <v>6117</v>
      </c>
      <c r="C4563" t="s">
        <v>6118</v>
      </c>
      <c r="D4563" t="s">
        <v>6119</v>
      </c>
      <c r="E4563" t="s">
        <v>13739</v>
      </c>
      <c r="F4563">
        <v>148</v>
      </c>
      <c r="G4563">
        <v>2264936</v>
      </c>
      <c r="H4563" t="s">
        <v>13740</v>
      </c>
      <c r="J4563" s="54" t="s">
        <v>6052</v>
      </c>
      <c r="K4563" s="54">
        <v>0</v>
      </c>
      <c r="L4563" s="22" t="s">
        <v>104</v>
      </c>
      <c r="M4563" s="22" t="s">
        <v>37211</v>
      </c>
    </row>
    <row r="4564" spans="1:13" x14ac:dyDescent="0.75">
      <c r="A4564" t="s">
        <v>10069</v>
      </c>
      <c r="B4564" t="s">
        <v>6117</v>
      </c>
      <c r="C4564" t="s">
        <v>6118</v>
      </c>
      <c r="D4564" t="s">
        <v>6119</v>
      </c>
      <c r="E4564" t="s">
        <v>10070</v>
      </c>
      <c r="F4564">
        <v>132</v>
      </c>
      <c r="G4564">
        <v>2329548</v>
      </c>
      <c r="H4564" t="s">
        <v>10071</v>
      </c>
      <c r="J4564" s="54" t="s">
        <v>6052</v>
      </c>
      <c r="K4564" s="54">
        <v>0</v>
      </c>
      <c r="L4564" s="22" t="s">
        <v>104</v>
      </c>
      <c r="M4564" s="22" t="s">
        <v>37211</v>
      </c>
    </row>
    <row r="4565" spans="1:13" x14ac:dyDescent="0.75">
      <c r="A4565" t="s">
        <v>13729</v>
      </c>
      <c r="B4565" t="s">
        <v>6117</v>
      </c>
      <c r="C4565" t="s">
        <v>6118</v>
      </c>
      <c r="D4565" t="s">
        <v>6119</v>
      </c>
      <c r="E4565" t="s">
        <v>13730</v>
      </c>
      <c r="F4565">
        <v>149</v>
      </c>
      <c r="G4565">
        <v>2249706</v>
      </c>
      <c r="H4565" t="s">
        <v>13731</v>
      </c>
      <c r="J4565" s="54" t="s">
        <v>6052</v>
      </c>
      <c r="K4565" s="54">
        <v>0</v>
      </c>
      <c r="L4565" s="22" t="s">
        <v>104</v>
      </c>
      <c r="M4565" s="22" t="s">
        <v>37211</v>
      </c>
    </row>
    <row r="4566" spans="1:13" x14ac:dyDescent="0.75">
      <c r="A4566" t="s">
        <v>30813</v>
      </c>
      <c r="B4566" t="s">
        <v>7948</v>
      </c>
      <c r="C4566" t="s">
        <v>6156</v>
      </c>
      <c r="D4566" t="s">
        <v>7949</v>
      </c>
      <c r="E4566" t="s">
        <v>30814</v>
      </c>
      <c r="F4566">
        <v>51</v>
      </c>
      <c r="G4566">
        <v>2203321</v>
      </c>
      <c r="H4566" t="s">
        <v>30815</v>
      </c>
      <c r="J4566" s="54" t="s">
        <v>6052</v>
      </c>
      <c r="K4566" s="54">
        <v>0</v>
      </c>
      <c r="L4566" s="22" t="s">
        <v>144</v>
      </c>
      <c r="M4566" s="22" t="s">
        <v>37172</v>
      </c>
    </row>
    <row r="4567" spans="1:13" x14ac:dyDescent="0.75">
      <c r="A4567" t="s">
        <v>13726</v>
      </c>
      <c r="B4567" t="s">
        <v>6117</v>
      </c>
      <c r="C4567" t="s">
        <v>6118</v>
      </c>
      <c r="D4567" t="s">
        <v>6119</v>
      </c>
      <c r="E4567" t="s">
        <v>13727</v>
      </c>
      <c r="F4567">
        <v>194</v>
      </c>
      <c r="G4567">
        <v>2275493</v>
      </c>
      <c r="H4567" t="s">
        <v>13728</v>
      </c>
      <c r="J4567" s="54" t="s">
        <v>6052</v>
      </c>
      <c r="K4567" s="54">
        <v>0</v>
      </c>
      <c r="L4567" s="22" t="s">
        <v>104</v>
      </c>
      <c r="M4567" s="22" t="s">
        <v>37211</v>
      </c>
    </row>
    <row r="4568" spans="1:13" x14ac:dyDescent="0.75">
      <c r="A4568" t="s">
        <v>29190</v>
      </c>
      <c r="B4568" t="s">
        <v>6117</v>
      </c>
      <c r="C4568" t="s">
        <v>6118</v>
      </c>
      <c r="D4568" t="s">
        <v>6119</v>
      </c>
      <c r="E4568" t="s">
        <v>29191</v>
      </c>
      <c r="F4568">
        <v>284</v>
      </c>
      <c r="G4568">
        <v>1747896</v>
      </c>
      <c r="H4568" t="s">
        <v>29192</v>
      </c>
      <c r="J4568" s="54" t="s">
        <v>6052</v>
      </c>
      <c r="K4568" s="54">
        <v>0</v>
      </c>
      <c r="L4568" s="22" t="s">
        <v>104</v>
      </c>
      <c r="M4568" s="22" t="s">
        <v>37211</v>
      </c>
    </row>
    <row r="4569" spans="1:13" x14ac:dyDescent="0.75">
      <c r="A4569" t="s">
        <v>30374</v>
      </c>
      <c r="B4569" t="s">
        <v>6117</v>
      </c>
      <c r="C4569" t="s">
        <v>6118</v>
      </c>
      <c r="D4569" t="s">
        <v>6119</v>
      </c>
      <c r="E4569" t="s">
        <v>30375</v>
      </c>
      <c r="F4569">
        <v>169</v>
      </c>
      <c r="G4569">
        <v>2069406</v>
      </c>
      <c r="H4569" t="s">
        <v>30376</v>
      </c>
      <c r="J4569" s="54" t="s">
        <v>6052</v>
      </c>
      <c r="K4569" s="54">
        <v>0</v>
      </c>
      <c r="L4569" s="22" t="s">
        <v>104</v>
      </c>
      <c r="M4569" s="22" t="s">
        <v>37211</v>
      </c>
    </row>
    <row r="4570" spans="1:13" x14ac:dyDescent="0.75">
      <c r="A4570" t="s">
        <v>29713</v>
      </c>
      <c r="B4570" t="s">
        <v>6117</v>
      </c>
      <c r="C4570" t="s">
        <v>6118</v>
      </c>
      <c r="D4570" t="s">
        <v>6119</v>
      </c>
      <c r="E4570" t="s">
        <v>29714</v>
      </c>
      <c r="F4570">
        <v>71</v>
      </c>
      <c r="G4570">
        <v>2069690</v>
      </c>
      <c r="H4570" t="s">
        <v>29715</v>
      </c>
      <c r="J4570" s="54" t="s">
        <v>6052</v>
      </c>
      <c r="K4570" s="54">
        <v>0</v>
      </c>
      <c r="L4570" s="22" t="s">
        <v>104</v>
      </c>
      <c r="M4570" s="22" t="s">
        <v>37211</v>
      </c>
    </row>
    <row r="4571" spans="1:13" x14ac:dyDescent="0.75">
      <c r="A4571" t="s">
        <v>28920</v>
      </c>
      <c r="B4571" t="s">
        <v>6117</v>
      </c>
      <c r="C4571" t="s">
        <v>6118</v>
      </c>
      <c r="D4571" t="s">
        <v>6119</v>
      </c>
      <c r="E4571" t="s">
        <v>28921</v>
      </c>
      <c r="F4571">
        <v>73</v>
      </c>
      <c r="G4571">
        <v>2180850</v>
      </c>
      <c r="H4571" t="s">
        <v>28922</v>
      </c>
      <c r="J4571" s="54" t="s">
        <v>6052</v>
      </c>
      <c r="K4571" s="54">
        <v>0</v>
      </c>
      <c r="L4571" s="22" t="s">
        <v>104</v>
      </c>
      <c r="M4571" s="22" t="s">
        <v>37211</v>
      </c>
    </row>
    <row r="4572" spans="1:13" x14ac:dyDescent="0.75">
      <c r="A4572" t="s">
        <v>27240</v>
      </c>
      <c r="B4572" t="s">
        <v>6117</v>
      </c>
      <c r="C4572" t="s">
        <v>6118</v>
      </c>
      <c r="D4572" t="s">
        <v>6119</v>
      </c>
      <c r="E4572" t="s">
        <v>27241</v>
      </c>
      <c r="F4572">
        <v>84</v>
      </c>
      <c r="G4572">
        <v>2257351</v>
      </c>
      <c r="H4572" t="s">
        <v>27242</v>
      </c>
      <c r="J4572" s="54" t="s">
        <v>6052</v>
      </c>
      <c r="K4572" s="54">
        <v>0</v>
      </c>
      <c r="L4572" s="22" t="s">
        <v>104</v>
      </c>
      <c r="M4572" s="22" t="s">
        <v>37211</v>
      </c>
    </row>
    <row r="4573" spans="1:13" x14ac:dyDescent="0.75">
      <c r="A4573" t="s">
        <v>14439</v>
      </c>
      <c r="B4573" t="s">
        <v>6117</v>
      </c>
      <c r="C4573" t="s">
        <v>6118</v>
      </c>
      <c r="D4573" t="s">
        <v>6119</v>
      </c>
      <c r="E4573" t="s">
        <v>14440</v>
      </c>
      <c r="F4573">
        <v>1</v>
      </c>
      <c r="G4573">
        <v>2334880</v>
      </c>
      <c r="H4573" t="s">
        <v>14441</v>
      </c>
      <c r="J4573" s="54" t="s">
        <v>6052</v>
      </c>
      <c r="K4573" s="54">
        <v>0</v>
      </c>
      <c r="L4573" s="22" t="s">
        <v>104</v>
      </c>
      <c r="M4573" s="22" t="s">
        <v>37211</v>
      </c>
    </row>
    <row r="4574" spans="1:13" x14ac:dyDescent="0.75">
      <c r="A4574" t="s">
        <v>27117</v>
      </c>
      <c r="B4574" t="s">
        <v>10951</v>
      </c>
      <c r="C4574" t="s">
        <v>6156</v>
      </c>
      <c r="D4574" t="s">
        <v>10952</v>
      </c>
      <c r="E4574" t="s">
        <v>27118</v>
      </c>
      <c r="F4574">
        <v>2</v>
      </c>
      <c r="G4574">
        <v>2233133</v>
      </c>
      <c r="H4574" t="s">
        <v>27119</v>
      </c>
      <c r="J4574" s="54" t="s">
        <v>6052</v>
      </c>
      <c r="K4574" s="54">
        <v>0</v>
      </c>
      <c r="L4574" s="22" t="s">
        <v>36804</v>
      </c>
      <c r="M4574" s="22" t="s">
        <v>37162</v>
      </c>
    </row>
    <row r="4575" spans="1:13" x14ac:dyDescent="0.75">
      <c r="A4575" t="s">
        <v>8649</v>
      </c>
      <c r="B4575" t="s">
        <v>6117</v>
      </c>
      <c r="C4575" t="s">
        <v>6118</v>
      </c>
      <c r="D4575" t="s">
        <v>6119</v>
      </c>
      <c r="E4575" t="s">
        <v>8650</v>
      </c>
      <c r="F4575">
        <v>1</v>
      </c>
      <c r="G4575">
        <v>2339898</v>
      </c>
      <c r="H4575" t="s">
        <v>8651</v>
      </c>
      <c r="J4575" s="54" t="s">
        <v>6052</v>
      </c>
      <c r="K4575" s="54">
        <v>0</v>
      </c>
      <c r="L4575" s="22" t="s">
        <v>104</v>
      </c>
      <c r="M4575" s="22" t="s">
        <v>37211</v>
      </c>
    </row>
    <row r="4576" spans="1:13" x14ac:dyDescent="0.75">
      <c r="A4576" t="s">
        <v>22179</v>
      </c>
      <c r="B4576" t="s">
        <v>6117</v>
      </c>
      <c r="C4576" t="s">
        <v>6118</v>
      </c>
      <c r="D4576" t="s">
        <v>6119</v>
      </c>
      <c r="E4576" t="s">
        <v>22180</v>
      </c>
      <c r="F4576">
        <v>113</v>
      </c>
      <c r="G4576">
        <v>2395514</v>
      </c>
      <c r="H4576" t="s">
        <v>22181</v>
      </c>
      <c r="J4576" s="54" t="s">
        <v>6052</v>
      </c>
      <c r="K4576" s="54">
        <v>0</v>
      </c>
      <c r="L4576" s="22" t="s">
        <v>104</v>
      </c>
      <c r="M4576" s="22" t="s">
        <v>37211</v>
      </c>
    </row>
    <row r="4577" spans="1:13" x14ac:dyDescent="0.75">
      <c r="A4577" t="s">
        <v>15795</v>
      </c>
      <c r="B4577" t="s">
        <v>6117</v>
      </c>
      <c r="C4577" t="s">
        <v>6118</v>
      </c>
      <c r="D4577" t="s">
        <v>6119</v>
      </c>
      <c r="E4577" t="s">
        <v>15796</v>
      </c>
      <c r="F4577">
        <v>89</v>
      </c>
      <c r="G4577">
        <v>1783976</v>
      </c>
      <c r="H4577" t="s">
        <v>15797</v>
      </c>
      <c r="J4577" s="54" t="s">
        <v>6052</v>
      </c>
      <c r="K4577" s="54">
        <v>0</v>
      </c>
      <c r="L4577" s="22" t="s">
        <v>104</v>
      </c>
      <c r="M4577" s="22" t="s">
        <v>37211</v>
      </c>
    </row>
    <row r="4578" spans="1:13" x14ac:dyDescent="0.75">
      <c r="A4578" t="s">
        <v>9795</v>
      </c>
      <c r="B4578" t="s">
        <v>6117</v>
      </c>
      <c r="C4578" t="s">
        <v>6118</v>
      </c>
      <c r="D4578" t="s">
        <v>6119</v>
      </c>
      <c r="E4578" t="s">
        <v>9796</v>
      </c>
      <c r="F4578">
        <v>154</v>
      </c>
      <c r="G4578">
        <v>2216597</v>
      </c>
      <c r="H4578" t="s">
        <v>9797</v>
      </c>
      <c r="J4578" s="54" t="s">
        <v>6052</v>
      </c>
      <c r="K4578" s="54">
        <v>0</v>
      </c>
      <c r="L4578" s="22" t="s">
        <v>104</v>
      </c>
      <c r="M4578" s="22" t="s">
        <v>37211</v>
      </c>
    </row>
    <row r="4579" spans="1:13" x14ac:dyDescent="0.75">
      <c r="A4579" t="s">
        <v>8660</v>
      </c>
      <c r="B4579" t="s">
        <v>6117</v>
      </c>
      <c r="C4579" t="s">
        <v>6118</v>
      </c>
      <c r="D4579" t="s">
        <v>6119</v>
      </c>
      <c r="E4579" t="s">
        <v>8661</v>
      </c>
      <c r="F4579">
        <v>104</v>
      </c>
      <c r="G4579">
        <v>2242062</v>
      </c>
      <c r="H4579" t="s">
        <v>8662</v>
      </c>
      <c r="J4579" s="54" t="s">
        <v>6052</v>
      </c>
      <c r="K4579" s="54">
        <v>0</v>
      </c>
      <c r="L4579" s="22" t="s">
        <v>104</v>
      </c>
      <c r="M4579" s="22" t="s">
        <v>37211</v>
      </c>
    </row>
    <row r="4580" spans="1:13" x14ac:dyDescent="0.75">
      <c r="A4580" t="s">
        <v>13617</v>
      </c>
      <c r="B4580" t="s">
        <v>13618</v>
      </c>
      <c r="C4580" t="s">
        <v>13619</v>
      </c>
      <c r="D4580" t="s">
        <v>13620</v>
      </c>
      <c r="E4580" t="s">
        <v>13621</v>
      </c>
      <c r="F4580">
        <v>123</v>
      </c>
      <c r="G4580">
        <v>5735120</v>
      </c>
      <c r="H4580" t="s">
        <v>13622</v>
      </c>
      <c r="J4580" s="54" t="s">
        <v>6052</v>
      </c>
      <c r="K4580" s="54">
        <v>0</v>
      </c>
      <c r="L4580" s="22" t="s">
        <v>144</v>
      </c>
      <c r="M4580" s="22" t="s">
        <v>37176</v>
      </c>
    </row>
    <row r="4581" spans="1:13" x14ac:dyDescent="0.75">
      <c r="A4581" t="s">
        <v>15110</v>
      </c>
      <c r="B4581" t="s">
        <v>13618</v>
      </c>
      <c r="C4581" t="s">
        <v>13619</v>
      </c>
      <c r="D4581" t="s">
        <v>13620</v>
      </c>
      <c r="E4581" t="s">
        <v>15111</v>
      </c>
      <c r="F4581">
        <v>69</v>
      </c>
      <c r="G4581">
        <v>5286817</v>
      </c>
      <c r="H4581" t="s">
        <v>15112</v>
      </c>
      <c r="J4581" s="54" t="s">
        <v>6052</v>
      </c>
      <c r="K4581" s="54">
        <v>0</v>
      </c>
      <c r="L4581" s="22" t="s">
        <v>144</v>
      </c>
      <c r="M4581" s="22" t="s">
        <v>37176</v>
      </c>
    </row>
    <row r="4582" spans="1:13" x14ac:dyDescent="0.75">
      <c r="A4582" t="s">
        <v>17965</v>
      </c>
      <c r="B4582" t="s">
        <v>13618</v>
      </c>
      <c r="C4582" t="s">
        <v>13619</v>
      </c>
      <c r="D4582" t="s">
        <v>13620</v>
      </c>
      <c r="E4582" t="s">
        <v>17966</v>
      </c>
      <c r="F4582">
        <v>136</v>
      </c>
      <c r="G4582">
        <v>6173804</v>
      </c>
      <c r="H4582" t="s">
        <v>17967</v>
      </c>
      <c r="J4582" s="54" t="s">
        <v>6052</v>
      </c>
      <c r="K4582" s="54">
        <v>0</v>
      </c>
      <c r="L4582" s="22" t="s">
        <v>144</v>
      </c>
      <c r="M4582" s="22" t="s">
        <v>37176</v>
      </c>
    </row>
    <row r="4583" spans="1:13" x14ac:dyDescent="0.75">
      <c r="A4583" t="s">
        <v>9723</v>
      </c>
      <c r="B4583" t="s">
        <v>9724</v>
      </c>
      <c r="C4583" t="s">
        <v>9725</v>
      </c>
      <c r="D4583" t="s">
        <v>9726</v>
      </c>
      <c r="E4583" t="s">
        <v>9727</v>
      </c>
      <c r="F4583">
        <v>69</v>
      </c>
      <c r="G4583">
        <v>1947547</v>
      </c>
      <c r="H4583" t="s">
        <v>9728</v>
      </c>
      <c r="J4583" s="54" t="s">
        <v>6052</v>
      </c>
      <c r="K4583" s="54">
        <v>0</v>
      </c>
      <c r="L4583" s="22" t="s">
        <v>1308</v>
      </c>
      <c r="M4583" s="22" t="s">
        <v>37177</v>
      </c>
    </row>
    <row r="4584" spans="1:13" x14ac:dyDescent="0.75">
      <c r="A4584" t="s">
        <v>11878</v>
      </c>
      <c r="B4584" t="s">
        <v>8283</v>
      </c>
      <c r="C4584" t="s">
        <v>6581</v>
      </c>
      <c r="D4584" t="s">
        <v>8284</v>
      </c>
      <c r="E4584" t="s">
        <v>11879</v>
      </c>
      <c r="F4584">
        <v>34</v>
      </c>
      <c r="G4584">
        <v>2134018</v>
      </c>
      <c r="H4584" t="s">
        <v>11880</v>
      </c>
      <c r="J4584" s="54" t="s">
        <v>6052</v>
      </c>
      <c r="K4584" s="54">
        <v>0</v>
      </c>
      <c r="L4584" s="22" t="s">
        <v>1563</v>
      </c>
      <c r="M4584" s="22" t="s">
        <v>37178</v>
      </c>
    </row>
    <row r="4585" spans="1:13" x14ac:dyDescent="0.75">
      <c r="A4585" t="s">
        <v>23399</v>
      </c>
      <c r="B4585" t="s">
        <v>6117</v>
      </c>
      <c r="C4585" t="s">
        <v>6118</v>
      </c>
      <c r="D4585" t="s">
        <v>6119</v>
      </c>
      <c r="E4585" t="s">
        <v>8661</v>
      </c>
      <c r="F4585">
        <v>1</v>
      </c>
      <c r="G4585">
        <v>2345841</v>
      </c>
      <c r="H4585" t="s">
        <v>23400</v>
      </c>
      <c r="J4585" s="54" t="s">
        <v>6052</v>
      </c>
      <c r="K4585" s="54">
        <v>0</v>
      </c>
      <c r="L4585" s="22" t="s">
        <v>104</v>
      </c>
      <c r="M4585" s="22" t="s">
        <v>37211</v>
      </c>
    </row>
    <row r="4586" spans="1:13" x14ac:dyDescent="0.75">
      <c r="A4586" t="s">
        <v>23401</v>
      </c>
      <c r="B4586" t="s">
        <v>6117</v>
      </c>
      <c r="C4586" t="s">
        <v>6118</v>
      </c>
      <c r="D4586" t="s">
        <v>6119</v>
      </c>
      <c r="E4586" t="s">
        <v>23402</v>
      </c>
      <c r="F4586">
        <v>1</v>
      </c>
      <c r="G4586">
        <v>2333418</v>
      </c>
      <c r="H4586" t="s">
        <v>23403</v>
      </c>
      <c r="J4586" s="54" t="s">
        <v>6052</v>
      </c>
      <c r="K4586" s="54">
        <v>0</v>
      </c>
      <c r="L4586" s="22" t="s">
        <v>104</v>
      </c>
      <c r="M4586" s="22" t="s">
        <v>37211</v>
      </c>
    </row>
    <row r="4587" spans="1:13" x14ac:dyDescent="0.75">
      <c r="A4587" t="s">
        <v>23404</v>
      </c>
      <c r="B4587" t="s">
        <v>6117</v>
      </c>
      <c r="C4587" t="s">
        <v>6118</v>
      </c>
      <c r="D4587" t="s">
        <v>6119</v>
      </c>
      <c r="E4587" t="s">
        <v>23405</v>
      </c>
      <c r="F4587">
        <v>1</v>
      </c>
      <c r="G4587">
        <v>2332345</v>
      </c>
      <c r="H4587" t="s">
        <v>23406</v>
      </c>
      <c r="J4587" s="54" t="s">
        <v>6052</v>
      </c>
      <c r="K4587" s="54">
        <v>0</v>
      </c>
      <c r="L4587" s="22" t="s">
        <v>104</v>
      </c>
      <c r="M4587" s="22" t="s">
        <v>37211</v>
      </c>
    </row>
    <row r="4588" spans="1:13" x14ac:dyDescent="0.75">
      <c r="A4588" t="s">
        <v>6116</v>
      </c>
      <c r="B4588" t="s">
        <v>6117</v>
      </c>
      <c r="C4588" t="s">
        <v>6118</v>
      </c>
      <c r="D4588" t="s">
        <v>6119</v>
      </c>
      <c r="E4588" t="s">
        <v>6120</v>
      </c>
      <c r="F4588">
        <v>1</v>
      </c>
      <c r="G4588">
        <v>2343476</v>
      </c>
      <c r="H4588" t="s">
        <v>6121</v>
      </c>
      <c r="J4588" s="54" t="s">
        <v>6052</v>
      </c>
      <c r="K4588" s="54">
        <v>0</v>
      </c>
      <c r="L4588" s="22" t="s">
        <v>104</v>
      </c>
      <c r="M4588" s="22" t="s">
        <v>37211</v>
      </c>
    </row>
    <row r="4589" spans="1:13" x14ac:dyDescent="0.75">
      <c r="A4589" t="s">
        <v>14444</v>
      </c>
      <c r="B4589" t="s">
        <v>6117</v>
      </c>
      <c r="C4589" t="s">
        <v>6118</v>
      </c>
      <c r="D4589" t="s">
        <v>6119</v>
      </c>
      <c r="E4589" t="s">
        <v>6120</v>
      </c>
      <c r="F4589">
        <v>1</v>
      </c>
      <c r="G4589">
        <v>2343999</v>
      </c>
      <c r="H4589" t="s">
        <v>14445</v>
      </c>
      <c r="J4589" s="54" t="s">
        <v>6052</v>
      </c>
      <c r="K4589" s="54">
        <v>0</v>
      </c>
      <c r="L4589" s="22" t="s">
        <v>104</v>
      </c>
      <c r="M4589" s="22" t="s">
        <v>37211</v>
      </c>
    </row>
    <row r="4590" spans="1:13" x14ac:dyDescent="0.75">
      <c r="A4590" t="s">
        <v>14022</v>
      </c>
      <c r="B4590" t="s">
        <v>6117</v>
      </c>
      <c r="C4590" t="s">
        <v>6118</v>
      </c>
      <c r="D4590" t="s">
        <v>6119</v>
      </c>
      <c r="E4590" t="s">
        <v>14023</v>
      </c>
      <c r="F4590">
        <v>116</v>
      </c>
      <c r="G4590">
        <v>2333958</v>
      </c>
      <c r="H4590" t="s">
        <v>14024</v>
      </c>
      <c r="J4590" s="54" t="s">
        <v>6052</v>
      </c>
      <c r="K4590" s="54">
        <v>0</v>
      </c>
      <c r="L4590" s="22" t="s">
        <v>104</v>
      </c>
      <c r="M4590" s="22" t="s">
        <v>37211</v>
      </c>
    </row>
    <row r="4591" spans="1:13" x14ac:dyDescent="0.75">
      <c r="A4591" t="s">
        <v>14019</v>
      </c>
      <c r="B4591" t="s">
        <v>6117</v>
      </c>
      <c r="C4591" t="s">
        <v>6118</v>
      </c>
      <c r="D4591" t="s">
        <v>6119</v>
      </c>
      <c r="E4591" t="s">
        <v>14020</v>
      </c>
      <c r="F4591">
        <v>95</v>
      </c>
      <c r="G4591">
        <v>2250271</v>
      </c>
      <c r="H4591" t="s">
        <v>14021</v>
      </c>
      <c r="J4591" s="54" t="s">
        <v>6052</v>
      </c>
      <c r="K4591" s="54">
        <v>0</v>
      </c>
      <c r="L4591" s="22" t="s">
        <v>104</v>
      </c>
      <c r="M4591" s="22" t="s">
        <v>37211</v>
      </c>
    </row>
    <row r="4592" spans="1:13" x14ac:dyDescent="0.75">
      <c r="A4592" t="s">
        <v>13990</v>
      </c>
      <c r="B4592" t="s">
        <v>6117</v>
      </c>
      <c r="C4592" t="s">
        <v>6118</v>
      </c>
      <c r="D4592" t="s">
        <v>6119</v>
      </c>
      <c r="E4592" t="s">
        <v>13991</v>
      </c>
      <c r="F4592">
        <v>123</v>
      </c>
      <c r="G4592">
        <v>2314500</v>
      </c>
      <c r="H4592" t="s">
        <v>13992</v>
      </c>
      <c r="J4592" s="54" t="s">
        <v>6052</v>
      </c>
      <c r="K4592" s="54">
        <v>0</v>
      </c>
      <c r="L4592" s="22" t="s">
        <v>104</v>
      </c>
      <c r="M4592" s="22" t="s">
        <v>37211</v>
      </c>
    </row>
    <row r="4593" spans="1:13" x14ac:dyDescent="0.75">
      <c r="A4593" t="s">
        <v>8282</v>
      </c>
      <c r="B4593" t="s">
        <v>8283</v>
      </c>
      <c r="C4593" t="s">
        <v>6581</v>
      </c>
      <c r="D4593" t="s">
        <v>8284</v>
      </c>
      <c r="E4593" t="s">
        <v>8285</v>
      </c>
      <c r="F4593">
        <v>17</v>
      </c>
      <c r="G4593">
        <v>2163862</v>
      </c>
      <c r="H4593" t="s">
        <v>8286</v>
      </c>
      <c r="J4593" s="54" t="s">
        <v>6052</v>
      </c>
      <c r="K4593" s="54">
        <v>0</v>
      </c>
      <c r="L4593" s="22" t="s">
        <v>1563</v>
      </c>
      <c r="M4593" s="22" t="s">
        <v>37178</v>
      </c>
    </row>
    <row r="4594" spans="1:13" x14ac:dyDescent="0.75">
      <c r="A4594" t="s">
        <v>14013</v>
      </c>
      <c r="B4594" t="s">
        <v>6117</v>
      </c>
      <c r="C4594" t="s">
        <v>6118</v>
      </c>
      <c r="D4594" t="s">
        <v>6119</v>
      </c>
      <c r="E4594" t="s">
        <v>14014</v>
      </c>
      <c r="F4594">
        <v>196</v>
      </c>
      <c r="G4594">
        <v>2402406</v>
      </c>
      <c r="H4594" t="s">
        <v>14015</v>
      </c>
      <c r="J4594" s="54" t="s">
        <v>6052</v>
      </c>
      <c r="K4594" s="54">
        <v>0</v>
      </c>
      <c r="L4594" s="22" t="s">
        <v>104</v>
      </c>
      <c r="M4594" s="22" t="s">
        <v>37211</v>
      </c>
    </row>
    <row r="4595" spans="1:13" x14ac:dyDescent="0.75">
      <c r="A4595" t="s">
        <v>27207</v>
      </c>
      <c r="B4595" t="s">
        <v>8283</v>
      </c>
      <c r="C4595" t="s">
        <v>6581</v>
      </c>
      <c r="D4595" t="s">
        <v>8284</v>
      </c>
      <c r="E4595" t="s">
        <v>27208</v>
      </c>
      <c r="F4595">
        <v>112</v>
      </c>
      <c r="G4595">
        <v>2276769</v>
      </c>
      <c r="H4595" t="s">
        <v>27209</v>
      </c>
      <c r="J4595" s="54" t="s">
        <v>6052</v>
      </c>
      <c r="K4595" s="54">
        <v>0</v>
      </c>
      <c r="L4595" s="22" t="s">
        <v>1563</v>
      </c>
      <c r="M4595" s="22" t="s">
        <v>37178</v>
      </c>
    </row>
    <row r="4596" spans="1:13" x14ac:dyDescent="0.75">
      <c r="A4596" t="s">
        <v>13987</v>
      </c>
      <c r="B4596" t="s">
        <v>6117</v>
      </c>
      <c r="C4596" t="s">
        <v>6118</v>
      </c>
      <c r="D4596" t="s">
        <v>6119</v>
      </c>
      <c r="E4596" t="s">
        <v>13988</v>
      </c>
      <c r="F4596">
        <v>115</v>
      </c>
      <c r="G4596">
        <v>2377665</v>
      </c>
      <c r="H4596" t="s">
        <v>13989</v>
      </c>
      <c r="J4596" s="54" t="s">
        <v>6052</v>
      </c>
      <c r="K4596" s="54">
        <v>0</v>
      </c>
      <c r="L4596" s="22" t="s">
        <v>104</v>
      </c>
      <c r="M4596" s="22" t="s">
        <v>37211</v>
      </c>
    </row>
    <row r="4597" spans="1:13" x14ac:dyDescent="0.75">
      <c r="A4597" t="s">
        <v>30661</v>
      </c>
      <c r="B4597" t="s">
        <v>8283</v>
      </c>
      <c r="C4597" t="s">
        <v>6581</v>
      </c>
      <c r="D4597" t="s">
        <v>8284</v>
      </c>
      <c r="E4597" t="s">
        <v>30662</v>
      </c>
      <c r="F4597">
        <v>18</v>
      </c>
      <c r="G4597">
        <v>2134579</v>
      </c>
      <c r="H4597" t="s">
        <v>30663</v>
      </c>
      <c r="J4597" s="54" t="s">
        <v>6052</v>
      </c>
      <c r="K4597" s="54">
        <v>0</v>
      </c>
      <c r="L4597" s="22" t="s">
        <v>1563</v>
      </c>
      <c r="M4597" s="22" t="s">
        <v>37178</v>
      </c>
    </row>
    <row r="4598" spans="1:13" x14ac:dyDescent="0.75">
      <c r="A4598" t="s">
        <v>14002</v>
      </c>
      <c r="B4598" t="s">
        <v>6117</v>
      </c>
      <c r="C4598" t="s">
        <v>6118</v>
      </c>
      <c r="D4598" t="s">
        <v>6119</v>
      </c>
      <c r="E4598" t="s">
        <v>14003</v>
      </c>
      <c r="F4598">
        <v>103</v>
      </c>
      <c r="G4598">
        <v>2319756</v>
      </c>
      <c r="H4598" t="s">
        <v>14004</v>
      </c>
      <c r="J4598" s="54" t="s">
        <v>6052</v>
      </c>
      <c r="K4598" s="54">
        <v>0</v>
      </c>
      <c r="L4598" s="22" t="s">
        <v>104</v>
      </c>
      <c r="M4598" s="22" t="s">
        <v>37211</v>
      </c>
    </row>
    <row r="4599" spans="1:13" x14ac:dyDescent="0.75">
      <c r="A4599" t="s">
        <v>14010</v>
      </c>
      <c r="B4599" t="s">
        <v>6117</v>
      </c>
      <c r="C4599" t="s">
        <v>6118</v>
      </c>
      <c r="D4599" t="s">
        <v>6119</v>
      </c>
      <c r="E4599" t="s">
        <v>14011</v>
      </c>
      <c r="F4599">
        <v>162</v>
      </c>
      <c r="G4599">
        <v>2314846</v>
      </c>
      <c r="H4599" t="s">
        <v>14012</v>
      </c>
      <c r="J4599" s="54" t="s">
        <v>6052</v>
      </c>
      <c r="K4599" s="54">
        <v>0</v>
      </c>
      <c r="L4599" s="22" t="s">
        <v>104</v>
      </c>
      <c r="M4599" s="22" t="s">
        <v>37211</v>
      </c>
    </row>
    <row r="4600" spans="1:13" x14ac:dyDescent="0.75">
      <c r="A4600" t="s">
        <v>13984</v>
      </c>
      <c r="B4600" t="s">
        <v>6117</v>
      </c>
      <c r="C4600" t="s">
        <v>6118</v>
      </c>
      <c r="D4600" t="s">
        <v>6119</v>
      </c>
      <c r="E4600" t="s">
        <v>13985</v>
      </c>
      <c r="F4600">
        <v>132</v>
      </c>
      <c r="G4600">
        <v>2334097</v>
      </c>
      <c r="H4600" t="s">
        <v>13986</v>
      </c>
      <c r="J4600" s="54" t="s">
        <v>6052</v>
      </c>
      <c r="K4600" s="54">
        <v>0</v>
      </c>
      <c r="L4600" s="22" t="s">
        <v>104</v>
      </c>
      <c r="M4600" s="22" t="s">
        <v>37211</v>
      </c>
    </row>
    <row r="4601" spans="1:13" x14ac:dyDescent="0.75">
      <c r="A4601" t="s">
        <v>13999</v>
      </c>
      <c r="B4601" t="s">
        <v>6117</v>
      </c>
      <c r="C4601" t="s">
        <v>6118</v>
      </c>
      <c r="D4601" t="s">
        <v>6119</v>
      </c>
      <c r="E4601" t="s">
        <v>14000</v>
      </c>
      <c r="F4601">
        <v>122</v>
      </c>
      <c r="G4601">
        <v>2218119</v>
      </c>
      <c r="H4601" t="s">
        <v>14001</v>
      </c>
      <c r="J4601" s="54" t="s">
        <v>6052</v>
      </c>
      <c r="K4601" s="54">
        <v>0</v>
      </c>
      <c r="L4601" s="22" t="s">
        <v>104</v>
      </c>
      <c r="M4601" s="22" t="s">
        <v>37211</v>
      </c>
    </row>
    <row r="4602" spans="1:13" x14ac:dyDescent="0.75">
      <c r="A4602" t="s">
        <v>14016</v>
      </c>
      <c r="B4602" t="s">
        <v>6117</v>
      </c>
      <c r="C4602" t="s">
        <v>6118</v>
      </c>
      <c r="D4602" t="s">
        <v>6119</v>
      </c>
      <c r="E4602" t="s">
        <v>14017</v>
      </c>
      <c r="F4602">
        <v>149</v>
      </c>
      <c r="G4602">
        <v>2293608</v>
      </c>
      <c r="H4602" t="s">
        <v>14018</v>
      </c>
      <c r="J4602" s="54" t="s">
        <v>6052</v>
      </c>
      <c r="K4602" s="54">
        <v>0</v>
      </c>
      <c r="L4602" s="22" t="s">
        <v>104</v>
      </c>
      <c r="M4602" s="22" t="s">
        <v>37211</v>
      </c>
    </row>
    <row r="4603" spans="1:13" x14ac:dyDescent="0.75">
      <c r="A4603" t="s">
        <v>13993</v>
      </c>
      <c r="B4603" t="s">
        <v>6117</v>
      </c>
      <c r="C4603" t="s">
        <v>6118</v>
      </c>
      <c r="D4603" t="s">
        <v>6119</v>
      </c>
      <c r="E4603" t="s">
        <v>13994</v>
      </c>
      <c r="F4603">
        <v>149</v>
      </c>
      <c r="G4603">
        <v>2307097</v>
      </c>
      <c r="H4603" t="s">
        <v>13995</v>
      </c>
      <c r="J4603" s="54" t="s">
        <v>6052</v>
      </c>
      <c r="K4603" s="54">
        <v>0</v>
      </c>
      <c r="L4603" s="22" t="s">
        <v>104</v>
      </c>
      <c r="M4603" s="22" t="s">
        <v>37211</v>
      </c>
    </row>
    <row r="4604" spans="1:13" x14ac:dyDescent="0.75">
      <c r="A4604" t="s">
        <v>13981</v>
      </c>
      <c r="B4604" t="s">
        <v>6117</v>
      </c>
      <c r="C4604" t="s">
        <v>6118</v>
      </c>
      <c r="D4604" t="s">
        <v>6119</v>
      </c>
      <c r="E4604" t="s">
        <v>13982</v>
      </c>
      <c r="F4604">
        <v>119</v>
      </c>
      <c r="G4604">
        <v>2367137</v>
      </c>
      <c r="H4604" t="s">
        <v>13983</v>
      </c>
      <c r="J4604" s="54" t="s">
        <v>6052</v>
      </c>
      <c r="K4604" s="54">
        <v>0</v>
      </c>
      <c r="L4604" s="22" t="s">
        <v>104</v>
      </c>
      <c r="M4604" s="22" t="s">
        <v>37211</v>
      </c>
    </row>
    <row r="4605" spans="1:13" x14ac:dyDescent="0.75">
      <c r="A4605" t="s">
        <v>26285</v>
      </c>
      <c r="B4605" t="s">
        <v>6117</v>
      </c>
      <c r="C4605" t="s">
        <v>6118</v>
      </c>
      <c r="D4605" t="s">
        <v>6119</v>
      </c>
      <c r="E4605" t="s">
        <v>26286</v>
      </c>
      <c r="F4605">
        <v>1</v>
      </c>
      <c r="G4605">
        <v>2515718</v>
      </c>
      <c r="H4605" t="s">
        <v>26287</v>
      </c>
      <c r="J4605" s="54" t="s">
        <v>6052</v>
      </c>
      <c r="K4605" s="54">
        <v>0</v>
      </c>
      <c r="L4605" s="22" t="s">
        <v>104</v>
      </c>
      <c r="M4605" s="22" t="s">
        <v>37211</v>
      </c>
    </row>
    <row r="4606" spans="1:13" x14ac:dyDescent="0.75">
      <c r="A4606" t="s">
        <v>26496</v>
      </c>
      <c r="B4606" t="s">
        <v>6117</v>
      </c>
      <c r="C4606" t="s">
        <v>6118</v>
      </c>
      <c r="D4606" t="s">
        <v>6119</v>
      </c>
      <c r="E4606" t="s">
        <v>26497</v>
      </c>
      <c r="F4606">
        <v>110</v>
      </c>
      <c r="G4606">
        <v>2376358</v>
      </c>
      <c r="H4606" t="s">
        <v>26498</v>
      </c>
      <c r="J4606" s="54" t="s">
        <v>6052</v>
      </c>
      <c r="K4606" s="54">
        <v>0</v>
      </c>
      <c r="L4606" s="22" t="s">
        <v>104</v>
      </c>
      <c r="M4606" s="22" t="s">
        <v>37211</v>
      </c>
    </row>
    <row r="4607" spans="1:13" x14ac:dyDescent="0.75">
      <c r="A4607" t="s">
        <v>29299</v>
      </c>
      <c r="B4607" t="s">
        <v>8822</v>
      </c>
      <c r="C4607" t="s">
        <v>6118</v>
      </c>
      <c r="D4607" t="s">
        <v>8823</v>
      </c>
      <c r="E4607" t="s">
        <v>29300</v>
      </c>
      <c r="F4607">
        <v>5</v>
      </c>
      <c r="G4607">
        <v>2298578</v>
      </c>
      <c r="H4607" t="s">
        <v>29301</v>
      </c>
      <c r="J4607" s="54" t="s">
        <v>6052</v>
      </c>
      <c r="K4607" s="54">
        <v>0</v>
      </c>
      <c r="L4607" s="22" t="s">
        <v>104</v>
      </c>
      <c r="M4607" s="22" t="s">
        <v>37215</v>
      </c>
    </row>
    <row r="4608" spans="1:13" x14ac:dyDescent="0.75">
      <c r="A4608" t="s">
        <v>30062</v>
      </c>
      <c r="B4608" t="s">
        <v>8822</v>
      </c>
      <c r="C4608" t="s">
        <v>6118</v>
      </c>
      <c r="D4608" t="s">
        <v>8823</v>
      </c>
      <c r="E4608" t="s">
        <v>30063</v>
      </c>
      <c r="F4608">
        <v>17</v>
      </c>
      <c r="G4608">
        <v>2279746</v>
      </c>
      <c r="H4608" t="s">
        <v>30064</v>
      </c>
      <c r="J4608" s="54" t="s">
        <v>6052</v>
      </c>
      <c r="K4608" s="54">
        <v>0</v>
      </c>
      <c r="L4608" s="22" t="s">
        <v>104</v>
      </c>
      <c r="M4608" s="22" t="s">
        <v>37215</v>
      </c>
    </row>
    <row r="4609" spans="1:13" x14ac:dyDescent="0.75">
      <c r="A4609" t="s">
        <v>29215</v>
      </c>
      <c r="B4609" t="s">
        <v>8822</v>
      </c>
      <c r="C4609" t="s">
        <v>6118</v>
      </c>
      <c r="D4609" t="s">
        <v>8823</v>
      </c>
      <c r="E4609" t="s">
        <v>29216</v>
      </c>
      <c r="F4609">
        <v>34</v>
      </c>
      <c r="G4609">
        <v>2227026</v>
      </c>
      <c r="H4609" t="s">
        <v>29217</v>
      </c>
      <c r="J4609" s="54" t="s">
        <v>6052</v>
      </c>
      <c r="K4609" s="54">
        <v>0</v>
      </c>
      <c r="L4609" s="22" t="s">
        <v>104</v>
      </c>
      <c r="M4609" s="22" t="s">
        <v>37215</v>
      </c>
    </row>
    <row r="4610" spans="1:13" x14ac:dyDescent="0.75">
      <c r="A4610" t="s">
        <v>29436</v>
      </c>
      <c r="B4610" t="s">
        <v>8822</v>
      </c>
      <c r="C4610" t="s">
        <v>6118</v>
      </c>
      <c r="D4610" t="s">
        <v>8823</v>
      </c>
      <c r="E4610" t="s">
        <v>29437</v>
      </c>
      <c r="F4610">
        <v>113</v>
      </c>
      <c r="G4610">
        <v>2144908</v>
      </c>
      <c r="H4610" t="s">
        <v>29438</v>
      </c>
      <c r="J4610" s="54" t="s">
        <v>6052</v>
      </c>
      <c r="K4610" s="54">
        <v>0</v>
      </c>
      <c r="L4610" s="22" t="s">
        <v>104</v>
      </c>
      <c r="M4610" s="22" t="s">
        <v>37215</v>
      </c>
    </row>
    <row r="4611" spans="1:13" x14ac:dyDescent="0.75">
      <c r="A4611" t="s">
        <v>8821</v>
      </c>
      <c r="B4611" t="s">
        <v>8822</v>
      </c>
      <c r="C4611" t="s">
        <v>6118</v>
      </c>
      <c r="D4611" t="s">
        <v>8823</v>
      </c>
      <c r="E4611" t="s">
        <v>8824</v>
      </c>
      <c r="F4611">
        <v>51</v>
      </c>
      <c r="G4611">
        <v>2265201</v>
      </c>
      <c r="H4611" t="s">
        <v>8825</v>
      </c>
      <c r="J4611" s="54" t="s">
        <v>6052</v>
      </c>
      <c r="K4611" s="54">
        <v>0</v>
      </c>
      <c r="L4611" s="22" t="s">
        <v>104</v>
      </c>
      <c r="M4611" s="22" t="s">
        <v>37215</v>
      </c>
    </row>
    <row r="4612" spans="1:13" x14ac:dyDescent="0.75">
      <c r="A4612" t="s">
        <v>19014</v>
      </c>
      <c r="B4612" t="s">
        <v>8822</v>
      </c>
      <c r="C4612" t="s">
        <v>6118</v>
      </c>
      <c r="D4612" t="s">
        <v>8823</v>
      </c>
      <c r="E4612" t="s">
        <v>19015</v>
      </c>
      <c r="F4612">
        <v>9</v>
      </c>
      <c r="G4612">
        <v>2166795</v>
      </c>
      <c r="H4612" t="s">
        <v>19016</v>
      </c>
      <c r="J4612" s="54" t="s">
        <v>6052</v>
      </c>
      <c r="K4612" s="54">
        <v>0</v>
      </c>
      <c r="L4612" s="22" t="s">
        <v>104</v>
      </c>
      <c r="M4612" s="22" t="s">
        <v>37215</v>
      </c>
    </row>
    <row r="4613" spans="1:13" x14ac:dyDescent="0.75">
      <c r="A4613" t="s">
        <v>19538</v>
      </c>
      <c r="B4613" t="s">
        <v>8822</v>
      </c>
      <c r="C4613" t="s">
        <v>6118</v>
      </c>
      <c r="D4613" t="s">
        <v>8823</v>
      </c>
      <c r="E4613" t="s">
        <v>19539</v>
      </c>
      <c r="F4613">
        <v>68</v>
      </c>
      <c r="G4613">
        <v>2204561</v>
      </c>
      <c r="H4613" t="s">
        <v>19540</v>
      </c>
      <c r="J4613" s="54" t="s">
        <v>6052</v>
      </c>
      <c r="K4613" s="54">
        <v>0</v>
      </c>
      <c r="L4613" s="22" t="s">
        <v>104</v>
      </c>
      <c r="M4613" s="22" t="s">
        <v>37215</v>
      </c>
    </row>
    <row r="4614" spans="1:13" x14ac:dyDescent="0.75">
      <c r="A4614" t="s">
        <v>11546</v>
      </c>
      <c r="B4614" t="s">
        <v>11547</v>
      </c>
      <c r="C4614" t="s">
        <v>11548</v>
      </c>
      <c r="D4614" t="s">
        <v>11549</v>
      </c>
      <c r="E4614" t="s">
        <v>11550</v>
      </c>
      <c r="F4614">
        <v>56</v>
      </c>
      <c r="G4614">
        <v>3554045</v>
      </c>
      <c r="H4614" t="s">
        <v>11551</v>
      </c>
      <c r="J4614" s="54" t="s">
        <v>6052</v>
      </c>
      <c r="K4614" s="54">
        <v>0</v>
      </c>
      <c r="L4614" s="22" t="s">
        <v>144</v>
      </c>
      <c r="M4614" s="22" t="s">
        <v>37187</v>
      </c>
    </row>
    <row r="4615" spans="1:13" x14ac:dyDescent="0.75">
      <c r="A4615" t="s">
        <v>17303</v>
      </c>
      <c r="B4615" t="s">
        <v>11547</v>
      </c>
      <c r="C4615" t="s">
        <v>11548</v>
      </c>
      <c r="D4615" t="s">
        <v>11549</v>
      </c>
      <c r="E4615" t="s">
        <v>17304</v>
      </c>
      <c r="F4615">
        <v>1</v>
      </c>
      <c r="G4615">
        <v>3526415</v>
      </c>
      <c r="H4615" t="s">
        <v>17305</v>
      </c>
      <c r="J4615" s="54" t="s">
        <v>6052</v>
      </c>
      <c r="K4615" s="54">
        <v>0</v>
      </c>
      <c r="L4615" s="22" t="s">
        <v>144</v>
      </c>
      <c r="M4615" s="22" t="s">
        <v>37187</v>
      </c>
    </row>
    <row r="4616" spans="1:13" x14ac:dyDescent="0.75">
      <c r="A4616" t="s">
        <v>19580</v>
      </c>
      <c r="B4616" t="s">
        <v>8822</v>
      </c>
      <c r="C4616" t="s">
        <v>6118</v>
      </c>
      <c r="D4616" t="s">
        <v>8823</v>
      </c>
      <c r="E4616" t="s">
        <v>19581</v>
      </c>
      <c r="F4616">
        <v>81</v>
      </c>
      <c r="G4616">
        <v>2174557</v>
      </c>
      <c r="H4616" t="s">
        <v>19582</v>
      </c>
      <c r="J4616" s="54" t="s">
        <v>6052</v>
      </c>
      <c r="K4616" s="54">
        <v>0</v>
      </c>
      <c r="L4616" s="22" t="s">
        <v>104</v>
      </c>
      <c r="M4616" s="22" t="s">
        <v>37215</v>
      </c>
    </row>
    <row r="4617" spans="1:13" x14ac:dyDescent="0.75">
      <c r="A4617" t="s">
        <v>19541</v>
      </c>
      <c r="B4617" t="s">
        <v>8822</v>
      </c>
      <c r="C4617" t="s">
        <v>6118</v>
      </c>
      <c r="D4617" t="s">
        <v>8823</v>
      </c>
      <c r="E4617" t="s">
        <v>19542</v>
      </c>
      <c r="F4617">
        <v>275</v>
      </c>
      <c r="G4617">
        <v>1883333</v>
      </c>
      <c r="H4617" t="s">
        <v>19543</v>
      </c>
      <c r="J4617" s="54" t="s">
        <v>6052</v>
      </c>
      <c r="K4617" s="54">
        <v>0</v>
      </c>
      <c r="L4617" s="22" t="s">
        <v>104</v>
      </c>
      <c r="M4617" s="22" t="s">
        <v>37215</v>
      </c>
    </row>
    <row r="4618" spans="1:13" x14ac:dyDescent="0.75">
      <c r="A4618" t="s">
        <v>19571</v>
      </c>
      <c r="B4618" t="s">
        <v>8822</v>
      </c>
      <c r="C4618" t="s">
        <v>6118</v>
      </c>
      <c r="D4618" t="s">
        <v>8823</v>
      </c>
      <c r="E4618" t="s">
        <v>19572</v>
      </c>
      <c r="F4618">
        <v>280</v>
      </c>
      <c r="G4618">
        <v>2161392</v>
      </c>
      <c r="H4618" t="s">
        <v>19573</v>
      </c>
      <c r="J4618" s="54" t="s">
        <v>6052</v>
      </c>
      <c r="K4618" s="54">
        <v>0</v>
      </c>
      <c r="L4618" s="22" t="s">
        <v>104</v>
      </c>
      <c r="M4618" s="22" t="s">
        <v>37215</v>
      </c>
    </row>
    <row r="4619" spans="1:13" x14ac:dyDescent="0.75">
      <c r="A4619" t="s">
        <v>19568</v>
      </c>
      <c r="B4619" t="s">
        <v>8822</v>
      </c>
      <c r="C4619" t="s">
        <v>6118</v>
      </c>
      <c r="D4619" t="s">
        <v>8823</v>
      </c>
      <c r="E4619" t="s">
        <v>19569</v>
      </c>
      <c r="F4619">
        <v>260</v>
      </c>
      <c r="G4619">
        <v>2047933</v>
      </c>
      <c r="H4619" t="s">
        <v>19570</v>
      </c>
      <c r="J4619" s="54" t="s">
        <v>6052</v>
      </c>
      <c r="K4619" s="54">
        <v>0</v>
      </c>
      <c r="L4619" s="22" t="s">
        <v>104</v>
      </c>
      <c r="M4619" s="22" t="s">
        <v>37215</v>
      </c>
    </row>
    <row r="4620" spans="1:13" x14ac:dyDescent="0.75">
      <c r="A4620" t="s">
        <v>11540</v>
      </c>
      <c r="B4620" t="s">
        <v>11541</v>
      </c>
      <c r="C4620" t="s">
        <v>11542</v>
      </c>
      <c r="D4620" t="s">
        <v>11543</v>
      </c>
      <c r="E4620" t="s">
        <v>11544</v>
      </c>
      <c r="F4620">
        <v>152</v>
      </c>
      <c r="G4620">
        <v>4190928</v>
      </c>
      <c r="H4620" t="s">
        <v>11545</v>
      </c>
      <c r="J4620" s="54" t="s">
        <v>6052</v>
      </c>
      <c r="K4620" s="54">
        <v>0</v>
      </c>
      <c r="L4620" s="22" t="s">
        <v>144</v>
      </c>
      <c r="M4620" s="22" t="s">
        <v>37189</v>
      </c>
    </row>
    <row r="4621" spans="1:13" x14ac:dyDescent="0.75">
      <c r="A4621" t="s">
        <v>27199</v>
      </c>
      <c r="B4621" t="s">
        <v>11541</v>
      </c>
      <c r="C4621" t="s">
        <v>11542</v>
      </c>
      <c r="D4621" t="s">
        <v>11543</v>
      </c>
      <c r="E4621" t="s">
        <v>11544</v>
      </c>
      <c r="F4621">
        <v>115</v>
      </c>
      <c r="G4621">
        <v>4152335</v>
      </c>
      <c r="H4621" t="s">
        <v>27200</v>
      </c>
      <c r="J4621" s="54" t="s">
        <v>6052</v>
      </c>
      <c r="K4621" s="54">
        <v>0</v>
      </c>
      <c r="L4621" s="22" t="s">
        <v>144</v>
      </c>
      <c r="M4621" s="22" t="s">
        <v>37189</v>
      </c>
    </row>
    <row r="4622" spans="1:13" x14ac:dyDescent="0.75">
      <c r="A4622" t="s">
        <v>1585</v>
      </c>
      <c r="B4622" t="s">
        <v>486</v>
      </c>
      <c r="C4622" t="s">
        <v>6845</v>
      </c>
      <c r="D4622" t="s">
        <v>7571</v>
      </c>
      <c r="E4622">
        <v>5162</v>
      </c>
      <c r="F4622">
        <v>1</v>
      </c>
      <c r="G4622">
        <v>5897585</v>
      </c>
      <c r="H4622" t="s">
        <v>12206</v>
      </c>
      <c r="J4622" s="54" t="s">
        <v>6052</v>
      </c>
      <c r="K4622" s="54">
        <v>0</v>
      </c>
      <c r="L4622" s="22" t="s">
        <v>144</v>
      </c>
      <c r="M4622" s="22" t="s">
        <v>487</v>
      </c>
    </row>
    <row r="4623" spans="1:13" x14ac:dyDescent="0.75">
      <c r="A4623" t="s">
        <v>4825</v>
      </c>
      <c r="B4623" t="s">
        <v>198</v>
      </c>
      <c r="C4623" t="s">
        <v>6845</v>
      </c>
      <c r="D4623" t="s">
        <v>6846</v>
      </c>
      <c r="E4623" t="s">
        <v>24614</v>
      </c>
      <c r="F4623">
        <v>257</v>
      </c>
      <c r="G4623">
        <v>4969493</v>
      </c>
      <c r="H4623" t="s">
        <v>24615</v>
      </c>
      <c r="J4623" s="54" t="s">
        <v>6052</v>
      </c>
      <c r="K4623" s="54">
        <v>0</v>
      </c>
      <c r="L4623" s="22" t="s">
        <v>144</v>
      </c>
      <c r="M4623" s="22" t="s">
        <v>199</v>
      </c>
    </row>
    <row r="4624" spans="1:13" x14ac:dyDescent="0.75">
      <c r="A4624" t="s">
        <v>2070</v>
      </c>
      <c r="B4624" t="s">
        <v>486</v>
      </c>
      <c r="C4624" t="s">
        <v>6845</v>
      </c>
      <c r="D4624" t="s">
        <v>7571</v>
      </c>
      <c r="E4624" t="s">
        <v>15073</v>
      </c>
      <c r="F4624">
        <v>3</v>
      </c>
      <c r="G4624">
        <v>6720481</v>
      </c>
      <c r="H4624" t="s">
        <v>15074</v>
      </c>
      <c r="J4624" s="54" t="s">
        <v>6052</v>
      </c>
      <c r="K4624" s="54">
        <v>0</v>
      </c>
      <c r="L4624" s="22" t="s">
        <v>144</v>
      </c>
      <c r="M4624" s="22" t="s">
        <v>487</v>
      </c>
    </row>
    <row r="4625" spans="1:13" x14ac:dyDescent="0.75">
      <c r="A4625" t="s">
        <v>5100</v>
      </c>
      <c r="B4625" t="s">
        <v>3838</v>
      </c>
      <c r="C4625" t="s">
        <v>6845</v>
      </c>
      <c r="D4625" t="s">
        <v>21496</v>
      </c>
      <c r="E4625" t="s">
        <v>27142</v>
      </c>
      <c r="F4625">
        <v>103</v>
      </c>
      <c r="G4625">
        <v>6740451</v>
      </c>
      <c r="H4625" t="s">
        <v>27143</v>
      </c>
      <c r="J4625" s="54" t="s">
        <v>6052</v>
      </c>
      <c r="K4625" s="54">
        <v>0</v>
      </c>
      <c r="L4625" s="22" t="s">
        <v>144</v>
      </c>
      <c r="M4625" s="22" t="s">
        <v>3839</v>
      </c>
    </row>
    <row r="4626" spans="1:13" x14ac:dyDescent="0.75">
      <c r="A4626" t="s">
        <v>197</v>
      </c>
      <c r="B4626" t="s">
        <v>198</v>
      </c>
      <c r="C4626" t="s">
        <v>6845</v>
      </c>
      <c r="D4626" t="s">
        <v>6846</v>
      </c>
      <c r="E4626" t="s">
        <v>6847</v>
      </c>
      <c r="F4626">
        <v>300</v>
      </c>
      <c r="G4626">
        <v>5097411</v>
      </c>
      <c r="H4626" t="s">
        <v>6848</v>
      </c>
      <c r="J4626" s="54" t="s">
        <v>6052</v>
      </c>
      <c r="K4626" s="54">
        <v>0</v>
      </c>
      <c r="L4626" s="22" t="s">
        <v>144</v>
      </c>
      <c r="M4626" s="22" t="s">
        <v>199</v>
      </c>
    </row>
    <row r="4627" spans="1:13" x14ac:dyDescent="0.75">
      <c r="A4627" t="s">
        <v>1702</v>
      </c>
      <c r="B4627" t="s">
        <v>486</v>
      </c>
      <c r="C4627" t="s">
        <v>6845</v>
      </c>
      <c r="D4627" t="s">
        <v>7571</v>
      </c>
      <c r="E4627" t="s">
        <v>13256</v>
      </c>
      <c r="F4627">
        <v>118</v>
      </c>
      <c r="G4627">
        <v>7128183</v>
      </c>
      <c r="H4627" t="s">
        <v>13257</v>
      </c>
      <c r="J4627" s="54" t="s">
        <v>6052</v>
      </c>
      <c r="K4627" s="54">
        <v>0</v>
      </c>
      <c r="L4627" s="22" t="s">
        <v>144</v>
      </c>
      <c r="M4627" s="22" t="s">
        <v>487</v>
      </c>
    </row>
    <row r="4628" spans="1:13" x14ac:dyDescent="0.75">
      <c r="A4628" t="s">
        <v>1202</v>
      </c>
      <c r="B4628" t="s">
        <v>486</v>
      </c>
      <c r="C4628" t="s">
        <v>6845</v>
      </c>
      <c r="D4628" t="s">
        <v>7571</v>
      </c>
      <c r="E4628" t="s">
        <v>10138</v>
      </c>
      <c r="F4628">
        <v>89</v>
      </c>
      <c r="G4628">
        <v>6448388</v>
      </c>
      <c r="H4628" t="s">
        <v>10139</v>
      </c>
      <c r="J4628" s="54" t="s">
        <v>6052</v>
      </c>
      <c r="K4628" s="54">
        <v>0</v>
      </c>
      <c r="L4628" s="22" t="s">
        <v>144</v>
      </c>
      <c r="M4628" s="22" t="s">
        <v>487</v>
      </c>
    </row>
    <row r="4629" spans="1:13" x14ac:dyDescent="0.75">
      <c r="A4629" t="s">
        <v>3837</v>
      </c>
      <c r="B4629" t="s">
        <v>3838</v>
      </c>
      <c r="C4629" t="s">
        <v>6845</v>
      </c>
      <c r="D4629" t="s">
        <v>21496</v>
      </c>
      <c r="E4629" t="s">
        <v>21497</v>
      </c>
      <c r="F4629">
        <v>83</v>
      </c>
      <c r="G4629">
        <v>6926553</v>
      </c>
      <c r="H4629" t="s">
        <v>21498</v>
      </c>
      <c r="J4629" s="54" t="s">
        <v>6052</v>
      </c>
      <c r="K4629" s="54">
        <v>0</v>
      </c>
      <c r="L4629" s="22" t="s">
        <v>144</v>
      </c>
      <c r="M4629" s="22" t="s">
        <v>3839</v>
      </c>
    </row>
    <row r="4630" spans="1:13" x14ac:dyDescent="0.75">
      <c r="A4630" t="s">
        <v>2513</v>
      </c>
      <c r="B4630" t="s">
        <v>486</v>
      </c>
      <c r="C4630" t="s">
        <v>6845</v>
      </c>
      <c r="D4630" t="s">
        <v>7571</v>
      </c>
      <c r="E4630" t="s">
        <v>17518</v>
      </c>
      <c r="F4630">
        <v>48</v>
      </c>
      <c r="G4630">
        <v>6494398</v>
      </c>
      <c r="H4630" t="s">
        <v>17519</v>
      </c>
      <c r="J4630" s="54" t="s">
        <v>6052</v>
      </c>
      <c r="K4630" s="54">
        <v>0</v>
      </c>
      <c r="L4630" s="22" t="s">
        <v>144</v>
      </c>
      <c r="M4630" s="22" t="s">
        <v>487</v>
      </c>
    </row>
    <row r="4631" spans="1:13" x14ac:dyDescent="0.75">
      <c r="A4631" t="s">
        <v>4943</v>
      </c>
      <c r="B4631" t="s">
        <v>486</v>
      </c>
      <c r="C4631" t="s">
        <v>6845</v>
      </c>
      <c r="D4631" t="s">
        <v>7571</v>
      </c>
      <c r="E4631" t="s">
        <v>25180</v>
      </c>
      <c r="F4631">
        <v>52</v>
      </c>
      <c r="G4631">
        <v>6750056</v>
      </c>
      <c r="H4631" t="s">
        <v>25181</v>
      </c>
      <c r="J4631" s="54" t="s">
        <v>6052</v>
      </c>
      <c r="K4631" s="54">
        <v>0</v>
      </c>
      <c r="L4631" s="22" t="s">
        <v>144</v>
      </c>
      <c r="M4631" s="22" t="s">
        <v>487</v>
      </c>
    </row>
    <row r="4632" spans="1:13" x14ac:dyDescent="0.75">
      <c r="A4632" t="s">
        <v>2213</v>
      </c>
      <c r="B4632" t="s">
        <v>486</v>
      </c>
      <c r="C4632" t="s">
        <v>6845</v>
      </c>
      <c r="D4632" t="s">
        <v>7571</v>
      </c>
      <c r="E4632" t="s">
        <v>16489</v>
      </c>
      <c r="F4632">
        <v>50</v>
      </c>
      <c r="G4632">
        <v>6150324</v>
      </c>
      <c r="H4632" t="s">
        <v>16490</v>
      </c>
      <c r="J4632" s="54" t="s">
        <v>6052</v>
      </c>
      <c r="K4632" s="54">
        <v>0</v>
      </c>
      <c r="L4632" s="22" t="s">
        <v>144</v>
      </c>
      <c r="M4632" s="22" t="s">
        <v>487</v>
      </c>
    </row>
    <row r="4633" spans="1:13" x14ac:dyDescent="0.75">
      <c r="A4633" t="s">
        <v>4760</v>
      </c>
      <c r="B4633" t="s">
        <v>198</v>
      </c>
      <c r="C4633" t="s">
        <v>6845</v>
      </c>
      <c r="D4633" t="s">
        <v>6846</v>
      </c>
      <c r="E4633" t="s">
        <v>24098</v>
      </c>
      <c r="F4633">
        <v>143</v>
      </c>
      <c r="G4633">
        <v>4559896</v>
      </c>
      <c r="H4633" t="s">
        <v>24099</v>
      </c>
      <c r="J4633" s="54" t="s">
        <v>6052</v>
      </c>
      <c r="K4633" s="54">
        <v>0</v>
      </c>
      <c r="L4633" s="22" t="s">
        <v>144</v>
      </c>
      <c r="M4633" s="22" t="s">
        <v>199</v>
      </c>
    </row>
    <row r="4634" spans="1:13" x14ac:dyDescent="0.75">
      <c r="A4634" t="s">
        <v>1593</v>
      </c>
      <c r="B4634" t="s">
        <v>486</v>
      </c>
      <c r="C4634" t="s">
        <v>6845</v>
      </c>
      <c r="D4634" t="s">
        <v>7571</v>
      </c>
      <c r="E4634" t="s">
        <v>12207</v>
      </c>
      <c r="F4634">
        <v>3</v>
      </c>
      <c r="G4634">
        <v>7039886</v>
      </c>
      <c r="H4634" t="s">
        <v>12208</v>
      </c>
      <c r="J4634" s="54" t="s">
        <v>6052</v>
      </c>
      <c r="K4634" s="54">
        <v>0</v>
      </c>
      <c r="L4634" s="22" t="s">
        <v>144</v>
      </c>
      <c r="M4634" s="22" t="s">
        <v>487</v>
      </c>
    </row>
    <row r="4635" spans="1:13" x14ac:dyDescent="0.75">
      <c r="A4635" t="s">
        <v>485</v>
      </c>
      <c r="B4635" t="s">
        <v>486</v>
      </c>
      <c r="C4635" t="s">
        <v>6845</v>
      </c>
      <c r="D4635" t="s">
        <v>7571</v>
      </c>
      <c r="E4635" t="s">
        <v>7572</v>
      </c>
      <c r="F4635">
        <v>56</v>
      </c>
      <c r="G4635">
        <v>6385945</v>
      </c>
      <c r="H4635" t="s">
        <v>7573</v>
      </c>
      <c r="J4635" s="54" t="s">
        <v>6052</v>
      </c>
      <c r="K4635" s="54">
        <v>0</v>
      </c>
      <c r="L4635" s="22" t="s">
        <v>144</v>
      </c>
      <c r="M4635" s="22" t="s">
        <v>487</v>
      </c>
    </row>
    <row r="4636" spans="1:13" x14ac:dyDescent="0.75">
      <c r="A4636" t="s">
        <v>2036</v>
      </c>
      <c r="B4636" t="s">
        <v>486</v>
      </c>
      <c r="C4636" t="s">
        <v>6845</v>
      </c>
      <c r="D4636" t="s">
        <v>7571</v>
      </c>
      <c r="E4636" t="s">
        <v>14781</v>
      </c>
      <c r="F4636">
        <v>1</v>
      </c>
      <c r="G4636">
        <v>6573405</v>
      </c>
      <c r="H4636" t="s">
        <v>14782</v>
      </c>
      <c r="J4636" s="54" t="s">
        <v>6052</v>
      </c>
      <c r="K4636" s="54">
        <v>0</v>
      </c>
      <c r="L4636" s="22" t="s">
        <v>144</v>
      </c>
      <c r="M4636" s="22" t="s">
        <v>487</v>
      </c>
    </row>
    <row r="4637" spans="1:13" x14ac:dyDescent="0.75">
      <c r="A4637" t="s">
        <v>19574</v>
      </c>
      <c r="B4637" t="s">
        <v>8822</v>
      </c>
      <c r="C4637" t="s">
        <v>6118</v>
      </c>
      <c r="D4637" t="s">
        <v>8823</v>
      </c>
      <c r="E4637" t="s">
        <v>19575</v>
      </c>
      <c r="F4637">
        <v>160</v>
      </c>
      <c r="G4637">
        <v>2200403</v>
      </c>
      <c r="H4637" t="s">
        <v>19576</v>
      </c>
      <c r="J4637" s="54" t="s">
        <v>6052</v>
      </c>
      <c r="K4637" s="54">
        <v>0</v>
      </c>
      <c r="L4637" s="22" t="s">
        <v>104</v>
      </c>
      <c r="M4637" s="22" t="s">
        <v>37215</v>
      </c>
    </row>
    <row r="4638" spans="1:13" x14ac:dyDescent="0.75">
      <c r="A4638" t="s">
        <v>2145</v>
      </c>
      <c r="B4638" t="s">
        <v>2146</v>
      </c>
      <c r="C4638" t="s">
        <v>6259</v>
      </c>
      <c r="D4638" t="s">
        <v>15606</v>
      </c>
      <c r="E4638" t="s">
        <v>15607</v>
      </c>
      <c r="F4638">
        <v>27</v>
      </c>
      <c r="G4638">
        <v>4595261</v>
      </c>
      <c r="H4638" t="s">
        <v>15608</v>
      </c>
      <c r="J4638" s="54" t="s">
        <v>6052</v>
      </c>
      <c r="K4638" s="54">
        <v>0</v>
      </c>
      <c r="L4638" s="22" t="s">
        <v>34</v>
      </c>
      <c r="M4638" s="22" t="s">
        <v>2147</v>
      </c>
    </row>
    <row r="4639" spans="1:13" x14ac:dyDescent="0.75">
      <c r="A4639" t="s">
        <v>4745</v>
      </c>
      <c r="B4639" t="s">
        <v>2146</v>
      </c>
      <c r="C4639" t="s">
        <v>6259</v>
      </c>
      <c r="D4639" t="s">
        <v>15606</v>
      </c>
      <c r="E4639" t="s">
        <v>24089</v>
      </c>
      <c r="F4639">
        <v>1</v>
      </c>
      <c r="G4639">
        <v>4377447</v>
      </c>
      <c r="H4639" t="s">
        <v>24090</v>
      </c>
      <c r="J4639" s="54" t="s">
        <v>6052</v>
      </c>
      <c r="K4639" s="54">
        <v>0</v>
      </c>
      <c r="L4639" s="22" t="s">
        <v>34</v>
      </c>
      <c r="M4639" s="22" t="s">
        <v>2147</v>
      </c>
    </row>
    <row r="4640" spans="1:13" x14ac:dyDescent="0.75">
      <c r="A4640" t="s">
        <v>54</v>
      </c>
      <c r="B4640" t="s">
        <v>55</v>
      </c>
      <c r="C4640" t="s">
        <v>6259</v>
      </c>
      <c r="D4640" t="s">
        <v>6260</v>
      </c>
      <c r="E4640" t="s">
        <v>6261</v>
      </c>
      <c r="F4640">
        <v>1</v>
      </c>
      <c r="G4640">
        <v>4811379</v>
      </c>
      <c r="H4640" t="s">
        <v>6262</v>
      </c>
      <c r="J4640" s="54" t="s">
        <v>6052</v>
      </c>
      <c r="K4640" s="54">
        <v>0</v>
      </c>
      <c r="L4640" s="22" t="s">
        <v>34</v>
      </c>
      <c r="M4640" s="22" t="s">
        <v>56</v>
      </c>
    </row>
    <row r="4641" spans="1:13" x14ac:dyDescent="0.75">
      <c r="A4641" t="s">
        <v>4277</v>
      </c>
      <c r="B4641" t="s">
        <v>55</v>
      </c>
      <c r="C4641" t="s">
        <v>6259</v>
      </c>
      <c r="D4641" t="s">
        <v>6260</v>
      </c>
      <c r="E4641" t="s">
        <v>23865</v>
      </c>
      <c r="F4641">
        <v>1</v>
      </c>
      <c r="G4641">
        <v>4963882</v>
      </c>
      <c r="H4641" t="s">
        <v>23866</v>
      </c>
      <c r="J4641" s="54" t="s">
        <v>6052</v>
      </c>
      <c r="K4641" s="54">
        <v>0</v>
      </c>
      <c r="L4641" s="22" t="s">
        <v>34</v>
      </c>
      <c r="M4641" s="22" t="s">
        <v>56</v>
      </c>
    </row>
    <row r="4642" spans="1:13" x14ac:dyDescent="0.75">
      <c r="A4642" t="s">
        <v>3921</v>
      </c>
      <c r="B4642" t="s">
        <v>2146</v>
      </c>
      <c r="C4642" t="s">
        <v>6259</v>
      </c>
      <c r="D4642" t="s">
        <v>15606</v>
      </c>
      <c r="E4642" t="s">
        <v>21701</v>
      </c>
      <c r="F4642">
        <v>1</v>
      </c>
      <c r="G4642">
        <v>4559639</v>
      </c>
      <c r="H4642" t="s">
        <v>21702</v>
      </c>
      <c r="J4642" s="54" t="s">
        <v>6052</v>
      </c>
      <c r="K4642" s="54">
        <v>0</v>
      </c>
      <c r="L4642" s="22" t="s">
        <v>34</v>
      </c>
      <c r="M4642" s="22" t="s">
        <v>2147</v>
      </c>
    </row>
    <row r="4643" spans="1:13" x14ac:dyDescent="0.75">
      <c r="A4643" t="s">
        <v>4610</v>
      </c>
      <c r="B4643" t="s">
        <v>2146</v>
      </c>
      <c r="C4643" t="s">
        <v>6259</v>
      </c>
      <c r="D4643" t="s">
        <v>15606</v>
      </c>
      <c r="E4643" t="s">
        <v>23915</v>
      </c>
      <c r="F4643">
        <v>3</v>
      </c>
      <c r="G4643">
        <v>4369357</v>
      </c>
      <c r="H4643" t="s">
        <v>23916</v>
      </c>
      <c r="J4643" s="54" t="s">
        <v>6052</v>
      </c>
      <c r="K4643" s="54">
        <v>0</v>
      </c>
      <c r="L4643" s="22" t="s">
        <v>34</v>
      </c>
      <c r="M4643" s="22" t="s">
        <v>2147</v>
      </c>
    </row>
    <row r="4644" spans="1:13" x14ac:dyDescent="0.75">
      <c r="A4644" t="s">
        <v>2326</v>
      </c>
      <c r="B4644" t="s">
        <v>55</v>
      </c>
      <c r="C4644" t="s">
        <v>6259</v>
      </c>
      <c r="D4644" t="s">
        <v>6260</v>
      </c>
      <c r="E4644" t="s">
        <v>16932</v>
      </c>
      <c r="F4644">
        <v>1</v>
      </c>
      <c r="G4644">
        <v>4952323</v>
      </c>
      <c r="H4644" t="s">
        <v>16933</v>
      </c>
      <c r="J4644" s="54" t="s">
        <v>6052</v>
      </c>
      <c r="K4644" s="54">
        <v>0</v>
      </c>
      <c r="L4644" s="22" t="s">
        <v>34</v>
      </c>
      <c r="M4644" s="22" t="s">
        <v>56</v>
      </c>
    </row>
    <row r="4645" spans="1:13" x14ac:dyDescent="0.75">
      <c r="A4645" t="s">
        <v>2639</v>
      </c>
      <c r="B4645" t="s">
        <v>55</v>
      </c>
      <c r="C4645" t="s">
        <v>6259</v>
      </c>
      <c r="D4645" t="s">
        <v>6260</v>
      </c>
      <c r="E4645" t="s">
        <v>18340</v>
      </c>
      <c r="F4645">
        <v>1</v>
      </c>
      <c r="G4645">
        <v>5379509</v>
      </c>
      <c r="H4645" t="s">
        <v>18341</v>
      </c>
      <c r="J4645" s="54" t="s">
        <v>6052</v>
      </c>
      <c r="K4645" s="54">
        <v>0</v>
      </c>
      <c r="L4645" s="22" t="s">
        <v>34</v>
      </c>
      <c r="M4645" s="22" t="s">
        <v>56</v>
      </c>
    </row>
    <row r="4646" spans="1:13" x14ac:dyDescent="0.75">
      <c r="A4646" t="s">
        <v>4167</v>
      </c>
      <c r="B4646" t="s">
        <v>2146</v>
      </c>
      <c r="C4646" t="s">
        <v>6259</v>
      </c>
      <c r="D4646" t="s">
        <v>15606</v>
      </c>
      <c r="E4646" t="s">
        <v>22955</v>
      </c>
      <c r="F4646">
        <v>26</v>
      </c>
      <c r="G4646">
        <v>5199758</v>
      </c>
      <c r="H4646" t="s">
        <v>22956</v>
      </c>
      <c r="J4646" s="54" t="s">
        <v>6052</v>
      </c>
      <c r="K4646" s="54">
        <v>0</v>
      </c>
      <c r="L4646" s="22" t="s">
        <v>34</v>
      </c>
      <c r="M4646" s="22" t="s">
        <v>2147</v>
      </c>
    </row>
    <row r="4647" spans="1:13" x14ac:dyDescent="0.75">
      <c r="A4647" t="s">
        <v>3586</v>
      </c>
      <c r="B4647" t="s">
        <v>55</v>
      </c>
      <c r="C4647" t="s">
        <v>6259</v>
      </c>
      <c r="D4647" t="s">
        <v>6260</v>
      </c>
      <c r="E4647" t="s">
        <v>20740</v>
      </c>
      <c r="F4647">
        <v>1</v>
      </c>
      <c r="G4647">
        <v>5062790</v>
      </c>
      <c r="H4647" t="s">
        <v>20741</v>
      </c>
      <c r="J4647" s="54" t="s">
        <v>6052</v>
      </c>
      <c r="K4647" s="54">
        <v>0</v>
      </c>
      <c r="L4647" s="22" t="s">
        <v>34</v>
      </c>
      <c r="M4647" s="22" t="s">
        <v>56</v>
      </c>
    </row>
    <row r="4648" spans="1:13" x14ac:dyDescent="0.75">
      <c r="A4648" t="s">
        <v>3559</v>
      </c>
      <c r="B4648" t="s">
        <v>2146</v>
      </c>
      <c r="C4648" t="s">
        <v>6259</v>
      </c>
      <c r="D4648" t="s">
        <v>15606</v>
      </c>
      <c r="E4648" t="s">
        <v>20734</v>
      </c>
      <c r="F4648">
        <v>2</v>
      </c>
      <c r="G4648">
        <v>4799513</v>
      </c>
      <c r="H4648" t="s">
        <v>20735</v>
      </c>
      <c r="J4648" s="54" t="s">
        <v>6052</v>
      </c>
      <c r="K4648" s="54">
        <v>0</v>
      </c>
      <c r="L4648" s="22" t="s">
        <v>34</v>
      </c>
      <c r="M4648" s="22" t="s">
        <v>2147</v>
      </c>
    </row>
    <row r="4649" spans="1:13" x14ac:dyDescent="0.75">
      <c r="A4649" t="s">
        <v>3258</v>
      </c>
      <c r="B4649" t="s">
        <v>55</v>
      </c>
      <c r="C4649" t="s">
        <v>6259</v>
      </c>
      <c r="D4649" t="s">
        <v>6260</v>
      </c>
      <c r="E4649" t="s">
        <v>20317</v>
      </c>
      <c r="F4649">
        <v>1</v>
      </c>
      <c r="G4649">
        <v>4812038</v>
      </c>
      <c r="H4649" t="s">
        <v>20318</v>
      </c>
      <c r="J4649" s="54" t="s">
        <v>6052</v>
      </c>
      <c r="K4649" s="54">
        <v>0</v>
      </c>
      <c r="L4649" s="22" t="s">
        <v>34</v>
      </c>
      <c r="M4649" s="22" t="s">
        <v>56</v>
      </c>
    </row>
    <row r="4650" spans="1:13" x14ac:dyDescent="0.75">
      <c r="A4650" t="s">
        <v>4020</v>
      </c>
      <c r="B4650" t="s">
        <v>55</v>
      </c>
      <c r="C4650" t="s">
        <v>6259</v>
      </c>
      <c r="D4650" t="s">
        <v>6260</v>
      </c>
      <c r="E4650" t="s">
        <v>21861</v>
      </c>
      <c r="F4650">
        <v>1</v>
      </c>
      <c r="G4650">
        <v>4812066</v>
      </c>
      <c r="H4650" t="s">
        <v>21862</v>
      </c>
      <c r="J4650" s="54" t="s">
        <v>6052</v>
      </c>
      <c r="K4650" s="54">
        <v>0</v>
      </c>
      <c r="L4650" s="22" t="s">
        <v>34</v>
      </c>
      <c r="M4650" s="22" t="s">
        <v>56</v>
      </c>
    </row>
    <row r="4651" spans="1:13" x14ac:dyDescent="0.75">
      <c r="A4651" t="s">
        <v>4005</v>
      </c>
      <c r="B4651" t="s">
        <v>2146</v>
      </c>
      <c r="C4651" t="s">
        <v>6259</v>
      </c>
      <c r="D4651" t="s">
        <v>15606</v>
      </c>
      <c r="E4651" t="s">
        <v>21845</v>
      </c>
      <c r="F4651">
        <v>1</v>
      </c>
      <c r="G4651">
        <v>4375800</v>
      </c>
      <c r="H4651" t="s">
        <v>21846</v>
      </c>
      <c r="J4651" s="54" t="s">
        <v>6052</v>
      </c>
      <c r="K4651" s="54">
        <v>0</v>
      </c>
      <c r="L4651" s="22" t="s">
        <v>34</v>
      </c>
      <c r="M4651" s="22" t="s">
        <v>2147</v>
      </c>
    </row>
    <row r="4652" spans="1:13" x14ac:dyDescent="0.75">
      <c r="A4652" t="s">
        <v>2721</v>
      </c>
      <c r="B4652" t="s">
        <v>55</v>
      </c>
      <c r="C4652" t="s">
        <v>6259</v>
      </c>
      <c r="D4652" t="s">
        <v>6260</v>
      </c>
      <c r="E4652" t="s">
        <v>18472</v>
      </c>
      <c r="F4652">
        <v>1</v>
      </c>
      <c r="G4652">
        <v>4926033</v>
      </c>
      <c r="H4652" t="s">
        <v>18473</v>
      </c>
      <c r="J4652" s="54" t="s">
        <v>6052</v>
      </c>
      <c r="K4652" s="54">
        <v>0</v>
      </c>
      <c r="L4652" s="22" t="s">
        <v>34</v>
      </c>
      <c r="M4652" s="22" t="s">
        <v>56</v>
      </c>
    </row>
    <row r="4653" spans="1:13" x14ac:dyDescent="0.75">
      <c r="A4653" t="s">
        <v>5027</v>
      </c>
      <c r="B4653" t="s">
        <v>55</v>
      </c>
      <c r="C4653" t="s">
        <v>6259</v>
      </c>
      <c r="D4653" t="s">
        <v>6260</v>
      </c>
      <c r="E4653" t="s">
        <v>26605</v>
      </c>
      <c r="F4653">
        <v>1</v>
      </c>
      <c r="G4653">
        <v>5387833</v>
      </c>
      <c r="H4653" t="s">
        <v>26606</v>
      </c>
      <c r="J4653" s="54" t="s">
        <v>6052</v>
      </c>
      <c r="K4653" s="54">
        <v>0</v>
      </c>
      <c r="L4653" s="22" t="s">
        <v>34</v>
      </c>
      <c r="M4653" s="22" t="s">
        <v>56</v>
      </c>
    </row>
    <row r="4654" spans="1:13" x14ac:dyDescent="0.75">
      <c r="A4654" t="s">
        <v>4267</v>
      </c>
      <c r="B4654" t="s">
        <v>2146</v>
      </c>
      <c r="C4654" t="s">
        <v>6259</v>
      </c>
      <c r="D4654" t="s">
        <v>15606</v>
      </c>
      <c r="E4654" t="s">
        <v>23793</v>
      </c>
      <c r="F4654">
        <v>2</v>
      </c>
      <c r="G4654">
        <v>4583119</v>
      </c>
      <c r="H4654" t="s">
        <v>23794</v>
      </c>
      <c r="J4654" s="54" t="s">
        <v>6052</v>
      </c>
      <c r="K4654" s="54">
        <v>0</v>
      </c>
      <c r="L4654" s="22" t="s">
        <v>34</v>
      </c>
      <c r="M4654" s="22" t="s">
        <v>2147</v>
      </c>
    </row>
    <row r="4655" spans="1:13" x14ac:dyDescent="0.75">
      <c r="A4655" t="s">
        <v>4214</v>
      </c>
      <c r="B4655" t="s">
        <v>2146</v>
      </c>
      <c r="C4655" t="s">
        <v>6259</v>
      </c>
      <c r="D4655" t="s">
        <v>15606</v>
      </c>
      <c r="E4655" t="s">
        <v>23497</v>
      </c>
      <c r="F4655">
        <v>6</v>
      </c>
      <c r="G4655">
        <v>4718822</v>
      </c>
      <c r="H4655" t="s">
        <v>23498</v>
      </c>
      <c r="J4655" s="54" t="s">
        <v>6052</v>
      </c>
      <c r="K4655" s="54">
        <v>0</v>
      </c>
      <c r="L4655" s="22" t="s">
        <v>34</v>
      </c>
      <c r="M4655" s="22" t="s">
        <v>2147</v>
      </c>
    </row>
    <row r="4656" spans="1:13" x14ac:dyDescent="0.75">
      <c r="A4656" t="s">
        <v>5169</v>
      </c>
      <c r="B4656" t="s">
        <v>2146</v>
      </c>
      <c r="C4656" t="s">
        <v>6259</v>
      </c>
      <c r="D4656" t="s">
        <v>15606</v>
      </c>
      <c r="E4656" t="s">
        <v>27398</v>
      </c>
      <c r="F4656">
        <v>3</v>
      </c>
      <c r="G4656">
        <v>4403124</v>
      </c>
      <c r="H4656" t="s">
        <v>27399</v>
      </c>
      <c r="J4656" s="54" t="s">
        <v>6052</v>
      </c>
      <c r="K4656" s="54">
        <v>0</v>
      </c>
      <c r="L4656" s="22" t="s">
        <v>34</v>
      </c>
      <c r="M4656" s="22" t="s">
        <v>2147</v>
      </c>
    </row>
    <row r="4657" spans="1:13" x14ac:dyDescent="0.75">
      <c r="A4657" t="s">
        <v>5291</v>
      </c>
      <c r="B4657" t="s">
        <v>55</v>
      </c>
      <c r="C4657" t="s">
        <v>6259</v>
      </c>
      <c r="D4657" t="s">
        <v>6260</v>
      </c>
      <c r="E4657" t="s">
        <v>28065</v>
      </c>
      <c r="F4657">
        <v>1</v>
      </c>
      <c r="G4657">
        <v>5212259</v>
      </c>
      <c r="H4657" t="s">
        <v>28066</v>
      </c>
      <c r="J4657" s="54" t="s">
        <v>6052</v>
      </c>
      <c r="K4657" s="54">
        <v>0</v>
      </c>
      <c r="L4657" s="22" t="s">
        <v>34</v>
      </c>
      <c r="M4657" s="22" t="s">
        <v>56</v>
      </c>
    </row>
    <row r="4658" spans="1:13" x14ac:dyDescent="0.75">
      <c r="A4658" t="s">
        <v>10362</v>
      </c>
      <c r="B4658" t="s">
        <v>10363</v>
      </c>
      <c r="C4658" t="s">
        <v>10364</v>
      </c>
      <c r="D4658" t="s">
        <v>10365</v>
      </c>
      <c r="E4658" t="s">
        <v>10366</v>
      </c>
      <c r="F4658">
        <v>87</v>
      </c>
      <c r="G4658">
        <v>4428895</v>
      </c>
      <c r="H4658" t="s">
        <v>10367</v>
      </c>
      <c r="J4658" s="54" t="s">
        <v>6052</v>
      </c>
      <c r="K4658" s="54">
        <v>0</v>
      </c>
      <c r="L4658" s="22" t="s">
        <v>144</v>
      </c>
      <c r="M4658" s="22" t="s">
        <v>37190</v>
      </c>
    </row>
    <row r="4659" spans="1:13" x14ac:dyDescent="0.75">
      <c r="A4659" t="s">
        <v>15875</v>
      </c>
      <c r="B4659" t="s">
        <v>10363</v>
      </c>
      <c r="C4659" t="s">
        <v>10364</v>
      </c>
      <c r="D4659" t="s">
        <v>10365</v>
      </c>
      <c r="E4659" t="s">
        <v>15876</v>
      </c>
      <c r="F4659">
        <v>9</v>
      </c>
      <c r="G4659">
        <v>4668852</v>
      </c>
      <c r="H4659" t="s">
        <v>15877</v>
      </c>
      <c r="J4659" s="54" t="s">
        <v>6052</v>
      </c>
      <c r="K4659" s="54">
        <v>0</v>
      </c>
      <c r="L4659" s="22" t="s">
        <v>144</v>
      </c>
      <c r="M4659" s="22" t="s">
        <v>37190</v>
      </c>
    </row>
    <row r="4660" spans="1:13" x14ac:dyDescent="0.75">
      <c r="A4660" t="s">
        <v>13425</v>
      </c>
      <c r="B4660" t="s">
        <v>10363</v>
      </c>
      <c r="C4660" t="s">
        <v>10364</v>
      </c>
      <c r="D4660" t="s">
        <v>10365</v>
      </c>
      <c r="E4660" t="s">
        <v>13426</v>
      </c>
      <c r="F4660">
        <v>8</v>
      </c>
      <c r="G4660">
        <v>4829607</v>
      </c>
      <c r="H4660" t="s">
        <v>13427</v>
      </c>
      <c r="J4660" s="54" t="s">
        <v>6052</v>
      </c>
      <c r="K4660" s="54">
        <v>0</v>
      </c>
      <c r="L4660" s="22" t="s">
        <v>144</v>
      </c>
      <c r="M4660" s="22" t="s">
        <v>37190</v>
      </c>
    </row>
    <row r="4661" spans="1:13" x14ac:dyDescent="0.75">
      <c r="A4661" t="s">
        <v>17413</v>
      </c>
      <c r="B4661" t="s">
        <v>10363</v>
      </c>
      <c r="C4661" t="s">
        <v>10364</v>
      </c>
      <c r="D4661" t="s">
        <v>10365</v>
      </c>
      <c r="E4661" t="s">
        <v>17414</v>
      </c>
      <c r="F4661">
        <v>5</v>
      </c>
      <c r="G4661">
        <v>4689804</v>
      </c>
      <c r="H4661" t="s">
        <v>17415</v>
      </c>
      <c r="J4661" s="54" t="s">
        <v>6052</v>
      </c>
      <c r="K4661" s="54">
        <v>0</v>
      </c>
      <c r="L4661" s="22" t="s">
        <v>144</v>
      </c>
      <c r="M4661" s="22" t="s">
        <v>37190</v>
      </c>
    </row>
    <row r="4662" spans="1:13" x14ac:dyDescent="0.75">
      <c r="A4662" t="s">
        <v>13678</v>
      </c>
      <c r="B4662" t="s">
        <v>10363</v>
      </c>
      <c r="C4662" t="s">
        <v>10364</v>
      </c>
      <c r="D4662" t="s">
        <v>10365</v>
      </c>
      <c r="E4662" t="s">
        <v>13679</v>
      </c>
      <c r="F4662">
        <v>199</v>
      </c>
      <c r="G4662">
        <v>4399776</v>
      </c>
      <c r="H4662" t="s">
        <v>13680</v>
      </c>
      <c r="J4662" s="54" t="s">
        <v>6052</v>
      </c>
      <c r="K4662" s="54">
        <v>0</v>
      </c>
      <c r="L4662" s="22" t="s">
        <v>144</v>
      </c>
      <c r="M4662" s="22" t="s">
        <v>37190</v>
      </c>
    </row>
    <row r="4663" spans="1:13" x14ac:dyDescent="0.75">
      <c r="A4663" t="s">
        <v>30083</v>
      </c>
      <c r="B4663" t="s">
        <v>10363</v>
      </c>
      <c r="C4663" t="s">
        <v>10364</v>
      </c>
      <c r="D4663" t="s">
        <v>10365</v>
      </c>
      <c r="E4663" t="s">
        <v>30084</v>
      </c>
      <c r="F4663">
        <v>267</v>
      </c>
      <c r="G4663">
        <v>3904809</v>
      </c>
      <c r="H4663" t="s">
        <v>30085</v>
      </c>
      <c r="J4663" s="54" t="s">
        <v>6052</v>
      </c>
      <c r="K4663" s="54">
        <v>0</v>
      </c>
      <c r="L4663" s="22" t="s">
        <v>144</v>
      </c>
      <c r="M4663" s="22" t="s">
        <v>37190</v>
      </c>
    </row>
    <row r="4664" spans="1:13" x14ac:dyDescent="0.75">
      <c r="A4664" t="s">
        <v>28716</v>
      </c>
      <c r="B4664" t="s">
        <v>10363</v>
      </c>
      <c r="C4664" t="s">
        <v>10364</v>
      </c>
      <c r="D4664" t="s">
        <v>10365</v>
      </c>
      <c r="E4664" t="s">
        <v>28717</v>
      </c>
      <c r="F4664">
        <v>148</v>
      </c>
      <c r="G4664">
        <v>4688121</v>
      </c>
      <c r="H4664" t="s">
        <v>28718</v>
      </c>
      <c r="J4664" s="54" t="s">
        <v>6052</v>
      </c>
      <c r="K4664" s="54">
        <v>0</v>
      </c>
      <c r="L4664" s="22" t="s">
        <v>144</v>
      </c>
      <c r="M4664" s="22" t="s">
        <v>37190</v>
      </c>
    </row>
    <row r="4665" spans="1:13" x14ac:dyDescent="0.75">
      <c r="A4665" t="s">
        <v>15252</v>
      </c>
      <c r="B4665" t="s">
        <v>10363</v>
      </c>
      <c r="C4665" t="s">
        <v>10364</v>
      </c>
      <c r="D4665" t="s">
        <v>10365</v>
      </c>
      <c r="E4665" t="s">
        <v>15253</v>
      </c>
      <c r="F4665">
        <v>1</v>
      </c>
      <c r="G4665">
        <v>3592357</v>
      </c>
      <c r="H4665" t="s">
        <v>15254</v>
      </c>
      <c r="J4665" s="54" t="s">
        <v>6052</v>
      </c>
      <c r="K4665" s="54">
        <v>0</v>
      </c>
      <c r="L4665" s="22" t="s">
        <v>144</v>
      </c>
      <c r="M4665" s="22" t="s">
        <v>37190</v>
      </c>
    </row>
    <row r="4666" spans="1:13" x14ac:dyDescent="0.75">
      <c r="A4666" t="s">
        <v>21493</v>
      </c>
      <c r="B4666" t="s">
        <v>10363</v>
      </c>
      <c r="C4666" t="s">
        <v>10364</v>
      </c>
      <c r="D4666" t="s">
        <v>10365</v>
      </c>
      <c r="E4666" t="s">
        <v>21494</v>
      </c>
      <c r="F4666">
        <v>190</v>
      </c>
      <c r="G4666">
        <v>4360052</v>
      </c>
      <c r="H4666" t="s">
        <v>21495</v>
      </c>
      <c r="J4666" s="54" t="s">
        <v>6052</v>
      </c>
      <c r="K4666" s="54">
        <v>0</v>
      </c>
      <c r="L4666" s="22" t="s">
        <v>144</v>
      </c>
      <c r="M4666" s="22" t="s">
        <v>37190</v>
      </c>
    </row>
    <row r="4667" spans="1:13" x14ac:dyDescent="0.75">
      <c r="A4667" t="s">
        <v>14093</v>
      </c>
      <c r="B4667" t="s">
        <v>10363</v>
      </c>
      <c r="C4667" t="s">
        <v>10364</v>
      </c>
      <c r="D4667" t="s">
        <v>10365</v>
      </c>
      <c r="E4667" t="s">
        <v>14094</v>
      </c>
      <c r="F4667">
        <v>7</v>
      </c>
      <c r="G4667">
        <v>4620225</v>
      </c>
      <c r="H4667" t="s">
        <v>14095</v>
      </c>
      <c r="J4667" s="54" t="s">
        <v>6052</v>
      </c>
      <c r="K4667" s="54">
        <v>0</v>
      </c>
      <c r="L4667" s="22" t="s">
        <v>144</v>
      </c>
      <c r="M4667" s="22" t="s">
        <v>37190</v>
      </c>
    </row>
    <row r="4668" spans="1:13" x14ac:dyDescent="0.75">
      <c r="A4668" t="s">
        <v>19547</v>
      </c>
      <c r="B4668" t="s">
        <v>8822</v>
      </c>
      <c r="C4668" t="s">
        <v>6118</v>
      </c>
      <c r="D4668" t="s">
        <v>8823</v>
      </c>
      <c r="E4668" t="s">
        <v>19548</v>
      </c>
      <c r="F4668">
        <v>208</v>
      </c>
      <c r="G4668">
        <v>2096433</v>
      </c>
      <c r="H4668" t="s">
        <v>19549</v>
      </c>
      <c r="J4668" s="54" t="s">
        <v>6052</v>
      </c>
      <c r="K4668" s="54">
        <v>0</v>
      </c>
      <c r="L4668" s="22" t="s">
        <v>104</v>
      </c>
      <c r="M4668" s="22" t="s">
        <v>37215</v>
      </c>
    </row>
    <row r="4669" spans="1:13" x14ac:dyDescent="0.75">
      <c r="A4669" t="s">
        <v>19562</v>
      </c>
      <c r="B4669" t="s">
        <v>8822</v>
      </c>
      <c r="C4669" t="s">
        <v>6118</v>
      </c>
      <c r="D4669" t="s">
        <v>8823</v>
      </c>
      <c r="E4669" t="s">
        <v>19563</v>
      </c>
      <c r="F4669">
        <v>243</v>
      </c>
      <c r="G4669">
        <v>2104903</v>
      </c>
      <c r="H4669" t="s">
        <v>19564</v>
      </c>
      <c r="J4669" s="54" t="s">
        <v>6052</v>
      </c>
      <c r="K4669" s="54">
        <v>0</v>
      </c>
      <c r="L4669" s="22" t="s">
        <v>104</v>
      </c>
      <c r="M4669" s="22" t="s">
        <v>37215</v>
      </c>
    </row>
    <row r="4670" spans="1:13" x14ac:dyDescent="0.75">
      <c r="A4670" t="s">
        <v>19544</v>
      </c>
      <c r="B4670" t="s">
        <v>8822</v>
      </c>
      <c r="C4670" t="s">
        <v>6118</v>
      </c>
      <c r="D4670" t="s">
        <v>8823</v>
      </c>
      <c r="E4670" t="s">
        <v>19545</v>
      </c>
      <c r="F4670">
        <v>185</v>
      </c>
      <c r="G4670">
        <v>2118753</v>
      </c>
      <c r="H4670" t="s">
        <v>19546</v>
      </c>
      <c r="J4670" s="54" t="s">
        <v>6052</v>
      </c>
      <c r="K4670" s="54">
        <v>0</v>
      </c>
      <c r="L4670" s="22" t="s">
        <v>104</v>
      </c>
      <c r="M4670" s="22" t="s">
        <v>37215</v>
      </c>
    </row>
    <row r="4671" spans="1:13" x14ac:dyDescent="0.75">
      <c r="A4671" t="s">
        <v>19565</v>
      </c>
      <c r="B4671" t="s">
        <v>8822</v>
      </c>
      <c r="C4671" t="s">
        <v>6118</v>
      </c>
      <c r="D4671" t="s">
        <v>8823</v>
      </c>
      <c r="E4671" t="s">
        <v>19566</v>
      </c>
      <c r="F4671">
        <v>89</v>
      </c>
      <c r="G4671">
        <v>2280067</v>
      </c>
      <c r="H4671" t="s">
        <v>19567</v>
      </c>
      <c r="J4671" s="54" t="s">
        <v>6052</v>
      </c>
      <c r="K4671" s="54">
        <v>0</v>
      </c>
      <c r="L4671" s="22" t="s">
        <v>104</v>
      </c>
      <c r="M4671" s="22" t="s">
        <v>37215</v>
      </c>
    </row>
    <row r="4672" spans="1:13" x14ac:dyDescent="0.75">
      <c r="A4672" t="s">
        <v>19559</v>
      </c>
      <c r="B4672" t="s">
        <v>8822</v>
      </c>
      <c r="C4672" t="s">
        <v>6118</v>
      </c>
      <c r="D4672" t="s">
        <v>8823</v>
      </c>
      <c r="E4672" t="s">
        <v>19560</v>
      </c>
      <c r="F4672">
        <v>184</v>
      </c>
      <c r="G4672">
        <v>2253703</v>
      </c>
      <c r="H4672" t="s">
        <v>19561</v>
      </c>
      <c r="J4672" s="54" t="s">
        <v>6052</v>
      </c>
      <c r="K4672" s="54">
        <v>0</v>
      </c>
      <c r="L4672" s="22" t="s">
        <v>104</v>
      </c>
      <c r="M4672" s="22" t="s">
        <v>37215</v>
      </c>
    </row>
    <row r="4673" spans="1:13" x14ac:dyDescent="0.75">
      <c r="A4673" t="s">
        <v>19550</v>
      </c>
      <c r="B4673" t="s">
        <v>8822</v>
      </c>
      <c r="C4673" t="s">
        <v>6118</v>
      </c>
      <c r="D4673" t="s">
        <v>8823</v>
      </c>
      <c r="E4673" t="s">
        <v>19551</v>
      </c>
      <c r="F4673">
        <v>251</v>
      </c>
      <c r="G4673">
        <v>2156524</v>
      </c>
      <c r="H4673" t="s">
        <v>19552</v>
      </c>
      <c r="J4673" s="54" t="s">
        <v>6052</v>
      </c>
      <c r="K4673" s="54">
        <v>0</v>
      </c>
      <c r="L4673" s="22" t="s">
        <v>104</v>
      </c>
      <c r="M4673" s="22" t="s">
        <v>37215</v>
      </c>
    </row>
    <row r="4674" spans="1:13" x14ac:dyDescent="0.75">
      <c r="A4674" t="s">
        <v>19553</v>
      </c>
      <c r="B4674" t="s">
        <v>8822</v>
      </c>
      <c r="C4674" t="s">
        <v>6118</v>
      </c>
      <c r="D4674" t="s">
        <v>8823</v>
      </c>
      <c r="E4674" t="s">
        <v>19554</v>
      </c>
      <c r="F4674">
        <v>109</v>
      </c>
      <c r="G4674">
        <v>2367683</v>
      </c>
      <c r="H4674" t="s">
        <v>19555</v>
      </c>
      <c r="J4674" s="54" t="s">
        <v>6052</v>
      </c>
      <c r="K4674" s="54">
        <v>0</v>
      </c>
      <c r="L4674" s="22" t="s">
        <v>104</v>
      </c>
      <c r="M4674" s="22" t="s">
        <v>37215</v>
      </c>
    </row>
    <row r="4675" spans="1:13" x14ac:dyDescent="0.75">
      <c r="A4675" t="s">
        <v>19556</v>
      </c>
      <c r="B4675" t="s">
        <v>8822</v>
      </c>
      <c r="C4675" t="s">
        <v>6118</v>
      </c>
      <c r="D4675" t="s">
        <v>8823</v>
      </c>
      <c r="E4675" t="s">
        <v>19557</v>
      </c>
      <c r="F4675">
        <v>110</v>
      </c>
      <c r="G4675">
        <v>2078823</v>
      </c>
      <c r="H4675" t="s">
        <v>19558</v>
      </c>
      <c r="J4675" s="54" t="s">
        <v>6052</v>
      </c>
      <c r="K4675" s="54">
        <v>0</v>
      </c>
      <c r="L4675" s="22" t="s">
        <v>104</v>
      </c>
      <c r="M4675" s="22" t="s">
        <v>37215</v>
      </c>
    </row>
    <row r="4676" spans="1:13" x14ac:dyDescent="0.75">
      <c r="A4676" t="s">
        <v>11884</v>
      </c>
      <c r="B4676" t="s">
        <v>8822</v>
      </c>
      <c r="C4676" t="s">
        <v>6118</v>
      </c>
      <c r="D4676" t="s">
        <v>8823</v>
      </c>
      <c r="E4676" t="s">
        <v>11885</v>
      </c>
      <c r="F4676">
        <v>157</v>
      </c>
      <c r="G4676">
        <v>2355383</v>
      </c>
      <c r="H4676" t="s">
        <v>11886</v>
      </c>
      <c r="J4676" s="54" t="s">
        <v>6052</v>
      </c>
      <c r="K4676" s="54">
        <v>0</v>
      </c>
      <c r="L4676" s="22" t="s">
        <v>104</v>
      </c>
      <c r="M4676" s="22" t="s">
        <v>37215</v>
      </c>
    </row>
    <row r="4677" spans="1:13" x14ac:dyDescent="0.75">
      <c r="A4677" t="s">
        <v>11887</v>
      </c>
      <c r="B4677" t="s">
        <v>8822</v>
      </c>
      <c r="C4677" t="s">
        <v>6118</v>
      </c>
      <c r="D4677" t="s">
        <v>8823</v>
      </c>
      <c r="E4677" t="s">
        <v>11888</v>
      </c>
      <c r="F4677">
        <v>157</v>
      </c>
      <c r="G4677">
        <v>2355383</v>
      </c>
      <c r="H4677" t="s">
        <v>11889</v>
      </c>
      <c r="J4677" s="54" t="s">
        <v>6052</v>
      </c>
      <c r="K4677" s="54">
        <v>0</v>
      </c>
      <c r="L4677" s="22" t="s">
        <v>104</v>
      </c>
      <c r="M4677" s="22" t="s">
        <v>37215</v>
      </c>
    </row>
    <row r="4678" spans="1:13" x14ac:dyDescent="0.75">
      <c r="A4678" t="s">
        <v>10411</v>
      </c>
      <c r="B4678" t="s">
        <v>8822</v>
      </c>
      <c r="C4678" t="s">
        <v>6118</v>
      </c>
      <c r="D4678" t="s">
        <v>8823</v>
      </c>
      <c r="E4678" t="s">
        <v>10412</v>
      </c>
      <c r="F4678">
        <v>8</v>
      </c>
      <c r="G4678">
        <v>2204202</v>
      </c>
      <c r="H4678" t="s">
        <v>10413</v>
      </c>
      <c r="J4678" s="54" t="s">
        <v>6052</v>
      </c>
      <c r="K4678" s="54">
        <v>0</v>
      </c>
      <c r="L4678" s="22" t="s">
        <v>104</v>
      </c>
      <c r="M4678" s="22" t="s">
        <v>37215</v>
      </c>
    </row>
    <row r="4679" spans="1:13" x14ac:dyDescent="0.75">
      <c r="A4679" t="s">
        <v>30181</v>
      </c>
      <c r="B4679" t="s">
        <v>8822</v>
      </c>
      <c r="C4679" t="s">
        <v>6118</v>
      </c>
      <c r="D4679" t="s">
        <v>8823</v>
      </c>
      <c r="E4679" t="s">
        <v>30182</v>
      </c>
      <c r="F4679">
        <v>188</v>
      </c>
      <c r="G4679">
        <v>2086601</v>
      </c>
      <c r="H4679" t="s">
        <v>30183</v>
      </c>
      <c r="J4679" s="54" t="s">
        <v>6052</v>
      </c>
      <c r="K4679" s="54">
        <v>0</v>
      </c>
      <c r="L4679" s="22" t="s">
        <v>104</v>
      </c>
      <c r="M4679" s="22" t="s">
        <v>37215</v>
      </c>
    </row>
    <row r="4680" spans="1:13" x14ac:dyDescent="0.75">
      <c r="A4680" t="s">
        <v>30484</v>
      </c>
      <c r="B4680" t="s">
        <v>8822</v>
      </c>
      <c r="C4680" t="s">
        <v>6118</v>
      </c>
      <c r="D4680" t="s">
        <v>8823</v>
      </c>
      <c r="E4680" t="s">
        <v>30485</v>
      </c>
      <c r="F4680">
        <v>99</v>
      </c>
      <c r="G4680">
        <v>2139948</v>
      </c>
      <c r="H4680" t="s">
        <v>30486</v>
      </c>
      <c r="J4680" s="54" t="s">
        <v>6052</v>
      </c>
      <c r="K4680" s="54">
        <v>0</v>
      </c>
      <c r="L4680" s="22" t="s">
        <v>104</v>
      </c>
      <c r="M4680" s="22" t="s">
        <v>37215</v>
      </c>
    </row>
    <row r="4681" spans="1:13" x14ac:dyDescent="0.75">
      <c r="A4681" t="s">
        <v>29356</v>
      </c>
      <c r="B4681" t="s">
        <v>8822</v>
      </c>
      <c r="C4681" t="s">
        <v>6118</v>
      </c>
      <c r="D4681" t="s">
        <v>8823</v>
      </c>
      <c r="E4681" t="s">
        <v>29357</v>
      </c>
      <c r="F4681">
        <v>70</v>
      </c>
      <c r="G4681">
        <v>2234366</v>
      </c>
      <c r="H4681" t="s">
        <v>29358</v>
      </c>
      <c r="J4681" s="54" t="s">
        <v>6052</v>
      </c>
      <c r="K4681" s="54">
        <v>0</v>
      </c>
      <c r="L4681" s="22" t="s">
        <v>104</v>
      </c>
      <c r="M4681" s="22" t="s">
        <v>37215</v>
      </c>
    </row>
    <row r="4682" spans="1:13" x14ac:dyDescent="0.75">
      <c r="A4682" t="s">
        <v>29567</v>
      </c>
      <c r="B4682" t="s">
        <v>8822</v>
      </c>
      <c r="C4682" t="s">
        <v>6118</v>
      </c>
      <c r="D4682" t="s">
        <v>8823</v>
      </c>
      <c r="E4682" t="s">
        <v>29568</v>
      </c>
      <c r="F4682">
        <v>45</v>
      </c>
      <c r="G4682">
        <v>2243765</v>
      </c>
      <c r="H4682" t="s">
        <v>29569</v>
      </c>
      <c r="J4682" s="54" t="s">
        <v>6052</v>
      </c>
      <c r="K4682" s="54">
        <v>0</v>
      </c>
      <c r="L4682" s="22" t="s">
        <v>104</v>
      </c>
      <c r="M4682" s="22" t="s">
        <v>37215</v>
      </c>
    </row>
    <row r="4683" spans="1:13" x14ac:dyDescent="0.75">
      <c r="A4683" t="s">
        <v>29193</v>
      </c>
      <c r="B4683" t="s">
        <v>8822</v>
      </c>
      <c r="C4683" t="s">
        <v>6118</v>
      </c>
      <c r="D4683" t="s">
        <v>8823</v>
      </c>
      <c r="E4683" t="s">
        <v>29194</v>
      </c>
      <c r="F4683">
        <v>252</v>
      </c>
      <c r="G4683">
        <v>2117918</v>
      </c>
      <c r="H4683" t="s">
        <v>29195</v>
      </c>
      <c r="J4683" s="54" t="s">
        <v>6052</v>
      </c>
      <c r="K4683" s="54">
        <v>0</v>
      </c>
      <c r="L4683" s="22" t="s">
        <v>104</v>
      </c>
      <c r="M4683" s="22" t="s">
        <v>37215</v>
      </c>
    </row>
    <row r="4684" spans="1:13" x14ac:dyDescent="0.75">
      <c r="A4684" t="s">
        <v>28847</v>
      </c>
      <c r="B4684" t="s">
        <v>8822</v>
      </c>
      <c r="C4684" t="s">
        <v>6118</v>
      </c>
      <c r="D4684" t="s">
        <v>8823</v>
      </c>
      <c r="E4684" t="s">
        <v>28848</v>
      </c>
      <c r="F4684">
        <v>178</v>
      </c>
      <c r="G4684">
        <v>1974985</v>
      </c>
      <c r="H4684" t="s">
        <v>28849</v>
      </c>
      <c r="J4684" s="54" t="s">
        <v>6052</v>
      </c>
      <c r="K4684" s="54">
        <v>0</v>
      </c>
      <c r="L4684" s="22" t="s">
        <v>104</v>
      </c>
      <c r="M4684" s="22" t="s">
        <v>37215</v>
      </c>
    </row>
    <row r="4685" spans="1:13" x14ac:dyDescent="0.75">
      <c r="A4685" t="s">
        <v>28948</v>
      </c>
      <c r="B4685" t="s">
        <v>8822</v>
      </c>
      <c r="C4685" t="s">
        <v>6118</v>
      </c>
      <c r="D4685" t="s">
        <v>8823</v>
      </c>
      <c r="E4685" t="s">
        <v>28949</v>
      </c>
      <c r="F4685">
        <v>157</v>
      </c>
      <c r="G4685">
        <v>2168486</v>
      </c>
      <c r="H4685" t="s">
        <v>28950</v>
      </c>
      <c r="J4685" s="54" t="s">
        <v>6052</v>
      </c>
      <c r="K4685" s="54">
        <v>0</v>
      </c>
      <c r="L4685" s="22" t="s">
        <v>104</v>
      </c>
      <c r="M4685" s="22" t="s">
        <v>37215</v>
      </c>
    </row>
    <row r="4686" spans="1:13" x14ac:dyDescent="0.75">
      <c r="A4686" t="s">
        <v>29648</v>
      </c>
      <c r="B4686" t="s">
        <v>20618</v>
      </c>
      <c r="C4686" t="s">
        <v>6118</v>
      </c>
      <c r="D4686" t="s">
        <v>20619</v>
      </c>
      <c r="E4686" t="s">
        <v>29649</v>
      </c>
      <c r="F4686">
        <v>263</v>
      </c>
      <c r="G4686">
        <v>1849793</v>
      </c>
      <c r="H4686" t="s">
        <v>29650</v>
      </c>
      <c r="J4686" s="54" t="s">
        <v>6052</v>
      </c>
      <c r="K4686" s="54">
        <v>0</v>
      </c>
      <c r="L4686" s="22" t="s">
        <v>104</v>
      </c>
      <c r="M4686" s="22" t="s">
        <v>37218</v>
      </c>
    </row>
    <row r="4687" spans="1:13" x14ac:dyDescent="0.75">
      <c r="A4687" t="s">
        <v>20617</v>
      </c>
      <c r="B4687" t="s">
        <v>20618</v>
      </c>
      <c r="C4687" t="s">
        <v>6118</v>
      </c>
      <c r="D4687" t="s">
        <v>20619</v>
      </c>
      <c r="E4687" t="s">
        <v>20620</v>
      </c>
      <c r="F4687">
        <v>1</v>
      </c>
      <c r="G4687">
        <v>2180921</v>
      </c>
      <c r="H4687" t="s">
        <v>20621</v>
      </c>
      <c r="J4687" s="54" t="s">
        <v>6052</v>
      </c>
      <c r="K4687" s="54">
        <v>0</v>
      </c>
      <c r="L4687" s="22" t="s">
        <v>104</v>
      </c>
      <c r="M4687" s="22" t="s">
        <v>37218</v>
      </c>
    </row>
    <row r="4688" spans="1:13" x14ac:dyDescent="0.75">
      <c r="A4688" t="s">
        <v>29204</v>
      </c>
      <c r="B4688" t="s">
        <v>9773</v>
      </c>
      <c r="C4688" t="s">
        <v>6118</v>
      </c>
      <c r="D4688" t="s">
        <v>9774</v>
      </c>
      <c r="E4688" t="s">
        <v>29205</v>
      </c>
      <c r="F4688">
        <v>144</v>
      </c>
      <c r="G4688">
        <v>2037934</v>
      </c>
      <c r="H4688" t="s">
        <v>29206</v>
      </c>
      <c r="J4688" s="54" t="s">
        <v>6052</v>
      </c>
      <c r="K4688" s="54">
        <v>0</v>
      </c>
      <c r="L4688" s="22" t="s">
        <v>104</v>
      </c>
      <c r="M4688" s="22" t="s">
        <v>37217</v>
      </c>
    </row>
    <row r="4689" spans="1:13" x14ac:dyDescent="0.75">
      <c r="A4689" t="s">
        <v>29830</v>
      </c>
      <c r="B4689" t="s">
        <v>9773</v>
      </c>
      <c r="C4689" t="s">
        <v>6118</v>
      </c>
      <c r="D4689" t="s">
        <v>9774</v>
      </c>
      <c r="E4689" t="s">
        <v>29831</v>
      </c>
      <c r="F4689">
        <v>58</v>
      </c>
      <c r="G4689">
        <v>2254008</v>
      </c>
      <c r="H4689" t="s">
        <v>29832</v>
      </c>
      <c r="J4689" s="54" t="s">
        <v>6052</v>
      </c>
      <c r="K4689" s="54">
        <v>0</v>
      </c>
      <c r="L4689" s="22" t="s">
        <v>104</v>
      </c>
      <c r="M4689" s="22" t="s">
        <v>37217</v>
      </c>
    </row>
    <row r="4690" spans="1:13" x14ac:dyDescent="0.75">
      <c r="A4690" t="s">
        <v>28994</v>
      </c>
      <c r="B4690" t="s">
        <v>9773</v>
      </c>
      <c r="C4690" t="s">
        <v>6118</v>
      </c>
      <c r="D4690" t="s">
        <v>9774</v>
      </c>
      <c r="E4690" t="s">
        <v>28995</v>
      </c>
      <c r="F4690">
        <v>39</v>
      </c>
      <c r="G4690">
        <v>2250639</v>
      </c>
      <c r="H4690" t="s">
        <v>28996</v>
      </c>
      <c r="J4690" s="54" t="s">
        <v>6052</v>
      </c>
      <c r="K4690" s="54">
        <v>0</v>
      </c>
      <c r="L4690" s="22" t="s">
        <v>104</v>
      </c>
      <c r="M4690" s="22" t="s">
        <v>37217</v>
      </c>
    </row>
    <row r="4691" spans="1:13" x14ac:dyDescent="0.75">
      <c r="A4691" t="s">
        <v>9772</v>
      </c>
      <c r="B4691" t="s">
        <v>9773</v>
      </c>
      <c r="C4691" t="s">
        <v>6118</v>
      </c>
      <c r="D4691" t="s">
        <v>9774</v>
      </c>
      <c r="E4691" t="s">
        <v>9775</v>
      </c>
      <c r="F4691">
        <v>120</v>
      </c>
      <c r="G4691">
        <v>2158216</v>
      </c>
      <c r="H4691" t="s">
        <v>9776</v>
      </c>
      <c r="J4691" s="54" t="s">
        <v>6052</v>
      </c>
      <c r="K4691" s="54">
        <v>0</v>
      </c>
      <c r="L4691" s="22" t="s">
        <v>104</v>
      </c>
      <c r="M4691" s="22" t="s">
        <v>37217</v>
      </c>
    </row>
    <row r="4692" spans="1:13" x14ac:dyDescent="0.75">
      <c r="A4692" t="s">
        <v>10308</v>
      </c>
      <c r="B4692" t="s">
        <v>10309</v>
      </c>
      <c r="C4692" t="s">
        <v>6594</v>
      </c>
      <c r="D4692" t="s">
        <v>10310</v>
      </c>
      <c r="E4692" t="s">
        <v>10311</v>
      </c>
      <c r="F4692">
        <v>148</v>
      </c>
      <c r="G4692">
        <v>3002170</v>
      </c>
      <c r="H4692" t="s">
        <v>10312</v>
      </c>
      <c r="J4692" s="54" t="s">
        <v>6052</v>
      </c>
      <c r="K4692" s="54">
        <v>0</v>
      </c>
      <c r="L4692" s="22" t="s">
        <v>104</v>
      </c>
      <c r="M4692" s="22" t="s">
        <v>37228</v>
      </c>
    </row>
    <row r="4693" spans="1:13" x14ac:dyDescent="0.75">
      <c r="A4693" t="s">
        <v>19535</v>
      </c>
      <c r="B4693" t="s">
        <v>10309</v>
      </c>
      <c r="C4693" t="s">
        <v>6594</v>
      </c>
      <c r="D4693" t="s">
        <v>10310</v>
      </c>
      <c r="E4693" t="s">
        <v>19536</v>
      </c>
      <c r="F4693">
        <v>121</v>
      </c>
      <c r="G4693">
        <v>2248055</v>
      </c>
      <c r="H4693" t="s">
        <v>19537</v>
      </c>
      <c r="J4693" s="54" t="s">
        <v>6052</v>
      </c>
      <c r="K4693" s="54">
        <v>0</v>
      </c>
      <c r="L4693" s="22" t="s">
        <v>104</v>
      </c>
      <c r="M4693" s="22" t="s">
        <v>37228</v>
      </c>
    </row>
    <row r="4694" spans="1:13" x14ac:dyDescent="0.75">
      <c r="A4694" t="s">
        <v>19528</v>
      </c>
      <c r="B4694" t="s">
        <v>10309</v>
      </c>
      <c r="C4694" t="s">
        <v>6594</v>
      </c>
      <c r="D4694" t="s">
        <v>10310</v>
      </c>
      <c r="E4694" t="s">
        <v>19529</v>
      </c>
      <c r="F4694">
        <v>99</v>
      </c>
      <c r="G4694">
        <v>2616361</v>
      </c>
      <c r="H4694" t="s">
        <v>19530</v>
      </c>
      <c r="J4694" s="54" t="s">
        <v>6052</v>
      </c>
      <c r="K4694" s="54">
        <v>0</v>
      </c>
      <c r="L4694" s="22" t="s">
        <v>104</v>
      </c>
      <c r="M4694" s="22" t="s">
        <v>37228</v>
      </c>
    </row>
    <row r="4695" spans="1:13" x14ac:dyDescent="0.75">
      <c r="A4695" t="s">
        <v>29595</v>
      </c>
      <c r="B4695" t="s">
        <v>10309</v>
      </c>
      <c r="C4695" t="s">
        <v>6594</v>
      </c>
      <c r="D4695" t="s">
        <v>10310</v>
      </c>
      <c r="E4695" t="s">
        <v>29596</v>
      </c>
      <c r="F4695">
        <v>146</v>
      </c>
      <c r="G4695">
        <v>2561568</v>
      </c>
      <c r="H4695" t="s">
        <v>29597</v>
      </c>
      <c r="J4695" s="54" t="s">
        <v>6052</v>
      </c>
      <c r="K4695" s="54">
        <v>0</v>
      </c>
      <c r="L4695" s="22" t="s">
        <v>104</v>
      </c>
      <c r="M4695" s="22" t="s">
        <v>37228</v>
      </c>
    </row>
    <row r="4696" spans="1:13" x14ac:dyDescent="0.75">
      <c r="A4696" t="s">
        <v>28859</v>
      </c>
      <c r="B4696" t="s">
        <v>10309</v>
      </c>
      <c r="C4696" t="s">
        <v>6594</v>
      </c>
      <c r="D4696" t="s">
        <v>10310</v>
      </c>
      <c r="E4696" t="s">
        <v>28860</v>
      </c>
      <c r="F4696">
        <v>238</v>
      </c>
      <c r="G4696">
        <v>2285026</v>
      </c>
      <c r="H4696" t="s">
        <v>28861</v>
      </c>
      <c r="J4696" s="54" t="s">
        <v>6052</v>
      </c>
      <c r="K4696" s="54">
        <v>0</v>
      </c>
      <c r="L4696" s="22" t="s">
        <v>104</v>
      </c>
      <c r="M4696" s="22" t="s">
        <v>37228</v>
      </c>
    </row>
    <row r="4697" spans="1:13" x14ac:dyDescent="0.75">
      <c r="A4697" t="s">
        <v>3806</v>
      </c>
      <c r="B4697" t="s">
        <v>462</v>
      </c>
      <c r="C4697" t="s">
        <v>6594</v>
      </c>
      <c r="D4697" t="s">
        <v>6137</v>
      </c>
      <c r="E4697" t="s">
        <v>21301</v>
      </c>
      <c r="F4697">
        <v>59</v>
      </c>
      <c r="G4697">
        <v>3100558</v>
      </c>
      <c r="H4697" t="s">
        <v>21302</v>
      </c>
      <c r="J4697" s="54" t="s">
        <v>21301</v>
      </c>
      <c r="K4697" s="54">
        <v>1</v>
      </c>
      <c r="L4697" s="22" t="s">
        <v>104</v>
      </c>
      <c r="M4697" s="22" t="s">
        <v>463</v>
      </c>
    </row>
    <row r="4698" spans="1:13" x14ac:dyDescent="0.75">
      <c r="A4698" t="s">
        <v>3724</v>
      </c>
      <c r="B4698" t="s">
        <v>462</v>
      </c>
      <c r="C4698" t="s">
        <v>6594</v>
      </c>
      <c r="D4698" t="s">
        <v>6137</v>
      </c>
      <c r="E4698" t="s">
        <v>21258</v>
      </c>
      <c r="F4698">
        <v>85</v>
      </c>
      <c r="G4698">
        <v>3098670</v>
      </c>
      <c r="H4698" t="s">
        <v>21259</v>
      </c>
      <c r="J4698" s="54" t="s">
        <v>21258</v>
      </c>
      <c r="K4698" s="54">
        <v>1</v>
      </c>
      <c r="L4698" s="22" t="s">
        <v>104</v>
      </c>
      <c r="M4698" s="22" t="s">
        <v>463</v>
      </c>
    </row>
    <row r="4699" spans="1:13" x14ac:dyDescent="0.75">
      <c r="A4699" t="s">
        <v>3710</v>
      </c>
      <c r="B4699" t="s">
        <v>462</v>
      </c>
      <c r="C4699" t="s">
        <v>6594</v>
      </c>
      <c r="D4699" t="s">
        <v>6137</v>
      </c>
      <c r="E4699" t="s">
        <v>21252</v>
      </c>
      <c r="F4699">
        <v>94</v>
      </c>
      <c r="G4699">
        <v>3171577</v>
      </c>
      <c r="H4699" t="s">
        <v>21253</v>
      </c>
      <c r="J4699" s="54" t="s">
        <v>21252</v>
      </c>
      <c r="K4699" s="54">
        <v>1</v>
      </c>
      <c r="L4699" s="22" t="s">
        <v>104</v>
      </c>
      <c r="M4699" s="22" t="s">
        <v>463</v>
      </c>
    </row>
    <row r="4700" spans="1:13" x14ac:dyDescent="0.75">
      <c r="A4700" t="s">
        <v>3757</v>
      </c>
      <c r="B4700" t="s">
        <v>462</v>
      </c>
      <c r="C4700" t="s">
        <v>6594</v>
      </c>
      <c r="D4700" t="s">
        <v>6137</v>
      </c>
      <c r="E4700" t="s">
        <v>21273</v>
      </c>
      <c r="F4700">
        <v>47</v>
      </c>
      <c r="G4700">
        <v>3249566</v>
      </c>
      <c r="H4700" t="s">
        <v>21274</v>
      </c>
      <c r="J4700" s="54" t="s">
        <v>21273</v>
      </c>
      <c r="K4700" s="54">
        <v>1</v>
      </c>
      <c r="L4700" s="22" t="s">
        <v>104</v>
      </c>
      <c r="M4700" s="22" t="s">
        <v>463</v>
      </c>
    </row>
    <row r="4701" spans="1:13" x14ac:dyDescent="0.75">
      <c r="A4701" t="s">
        <v>5216</v>
      </c>
      <c r="B4701" t="s">
        <v>462</v>
      </c>
      <c r="C4701" t="s">
        <v>6594</v>
      </c>
      <c r="D4701" t="s">
        <v>6137</v>
      </c>
      <c r="E4701" t="s">
        <v>27557</v>
      </c>
      <c r="F4701">
        <v>3</v>
      </c>
      <c r="G4701">
        <v>3171703</v>
      </c>
      <c r="H4701" t="s">
        <v>27558</v>
      </c>
      <c r="J4701" s="54" t="s">
        <v>27557</v>
      </c>
      <c r="K4701" s="54">
        <v>1</v>
      </c>
      <c r="L4701" s="22" t="s">
        <v>104</v>
      </c>
      <c r="M4701" s="22" t="s">
        <v>463</v>
      </c>
    </row>
    <row r="4702" spans="1:13" x14ac:dyDescent="0.75">
      <c r="A4702" t="s">
        <v>5396</v>
      </c>
      <c r="B4702" t="s">
        <v>462</v>
      </c>
      <c r="C4702" t="s">
        <v>6594</v>
      </c>
      <c r="D4702" t="s">
        <v>6137</v>
      </c>
      <c r="E4702" t="s">
        <v>28550</v>
      </c>
      <c r="F4702">
        <v>27</v>
      </c>
      <c r="G4702">
        <v>2774939</v>
      </c>
      <c r="H4702" t="s">
        <v>28551</v>
      </c>
      <c r="J4702" s="54" t="s">
        <v>28550</v>
      </c>
      <c r="K4702" s="54">
        <v>1</v>
      </c>
      <c r="L4702" s="22" t="s">
        <v>104</v>
      </c>
      <c r="M4702" s="22" t="s">
        <v>463</v>
      </c>
    </row>
    <row r="4703" spans="1:13" x14ac:dyDescent="0.75">
      <c r="A4703" t="s">
        <v>5806</v>
      </c>
      <c r="B4703" t="s">
        <v>462</v>
      </c>
      <c r="C4703" t="s">
        <v>6594</v>
      </c>
      <c r="D4703" t="s">
        <v>6137</v>
      </c>
      <c r="E4703" t="s">
        <v>29774</v>
      </c>
      <c r="F4703">
        <v>113</v>
      </c>
      <c r="G4703">
        <v>2800382</v>
      </c>
      <c r="H4703" t="s">
        <v>29775</v>
      </c>
      <c r="J4703" s="54" t="s">
        <v>30844</v>
      </c>
      <c r="K4703" s="54">
        <v>1</v>
      </c>
      <c r="L4703" s="22" t="s">
        <v>104</v>
      </c>
      <c r="M4703" s="22" t="s">
        <v>463</v>
      </c>
    </row>
    <row r="4704" spans="1:13" x14ac:dyDescent="0.75">
      <c r="A4704" t="s">
        <v>5451</v>
      </c>
      <c r="B4704" t="s">
        <v>462</v>
      </c>
      <c r="C4704" t="s">
        <v>6594</v>
      </c>
      <c r="D4704" t="s">
        <v>6137</v>
      </c>
      <c r="E4704" t="s">
        <v>28937</v>
      </c>
      <c r="F4704">
        <v>202</v>
      </c>
      <c r="G4704">
        <v>2600842</v>
      </c>
      <c r="H4704" t="s">
        <v>28938</v>
      </c>
      <c r="J4704" s="54" t="s">
        <v>30844</v>
      </c>
      <c r="K4704" s="54">
        <v>1</v>
      </c>
      <c r="L4704" s="22" t="s">
        <v>104</v>
      </c>
      <c r="M4704" s="22" t="s">
        <v>463</v>
      </c>
    </row>
    <row r="4705" spans="1:13" x14ac:dyDescent="0.75">
      <c r="A4705" t="s">
        <v>5513</v>
      </c>
      <c r="B4705" t="s">
        <v>462</v>
      </c>
      <c r="C4705" t="s">
        <v>6594</v>
      </c>
      <c r="D4705" t="s">
        <v>6137</v>
      </c>
      <c r="E4705" t="s">
        <v>29074</v>
      </c>
      <c r="F4705">
        <v>42</v>
      </c>
      <c r="G4705">
        <v>2799231</v>
      </c>
      <c r="H4705" t="s">
        <v>29075</v>
      </c>
      <c r="J4705" s="54" t="s">
        <v>30844</v>
      </c>
      <c r="K4705" s="54">
        <v>1</v>
      </c>
      <c r="L4705" s="22" t="s">
        <v>104</v>
      </c>
      <c r="M4705" s="22" t="s">
        <v>463</v>
      </c>
    </row>
    <row r="4706" spans="1:13" x14ac:dyDescent="0.75">
      <c r="A4706" t="s">
        <v>2183</v>
      </c>
      <c r="B4706" t="s">
        <v>462</v>
      </c>
      <c r="C4706" t="s">
        <v>6594</v>
      </c>
      <c r="D4706" t="s">
        <v>6137</v>
      </c>
      <c r="E4706" t="s">
        <v>15798</v>
      </c>
      <c r="F4706">
        <v>2</v>
      </c>
      <c r="G4706">
        <v>2893847</v>
      </c>
      <c r="H4706" t="s">
        <v>15799</v>
      </c>
      <c r="J4706" s="54" t="s">
        <v>15798</v>
      </c>
      <c r="K4706" s="54">
        <v>1</v>
      </c>
      <c r="L4706" s="22" t="s">
        <v>104</v>
      </c>
      <c r="M4706" s="22" t="s">
        <v>463</v>
      </c>
    </row>
    <row r="4707" spans="1:13" x14ac:dyDescent="0.75">
      <c r="A4707" t="s">
        <v>3065</v>
      </c>
      <c r="B4707" t="s">
        <v>462</v>
      </c>
      <c r="C4707" t="s">
        <v>6594</v>
      </c>
      <c r="D4707" t="s">
        <v>6137</v>
      </c>
      <c r="E4707" t="s">
        <v>19533</v>
      </c>
      <c r="F4707">
        <v>91</v>
      </c>
      <c r="G4707">
        <v>2723297</v>
      </c>
      <c r="H4707" t="s">
        <v>19534</v>
      </c>
      <c r="J4707" s="54" t="s">
        <v>19533</v>
      </c>
      <c r="K4707" s="54">
        <v>1</v>
      </c>
      <c r="L4707" s="22" t="s">
        <v>104</v>
      </c>
      <c r="M4707" s="22" t="s">
        <v>463</v>
      </c>
    </row>
    <row r="4708" spans="1:13" x14ac:dyDescent="0.75">
      <c r="A4708" t="s">
        <v>1252</v>
      </c>
      <c r="B4708" t="s">
        <v>462</v>
      </c>
      <c r="C4708" t="s">
        <v>6594</v>
      </c>
      <c r="D4708" t="s">
        <v>6137</v>
      </c>
      <c r="E4708" t="s">
        <v>10281</v>
      </c>
      <c r="F4708">
        <v>82</v>
      </c>
      <c r="G4708">
        <v>3111749</v>
      </c>
      <c r="H4708" t="s">
        <v>10282</v>
      </c>
      <c r="J4708" s="54" t="s">
        <v>10281</v>
      </c>
      <c r="K4708" s="54">
        <v>1</v>
      </c>
      <c r="L4708" s="22" t="s">
        <v>104</v>
      </c>
      <c r="M4708" s="22" t="s">
        <v>463</v>
      </c>
    </row>
    <row r="4709" spans="1:13" x14ac:dyDescent="0.75">
      <c r="A4709" t="s">
        <v>480</v>
      </c>
      <c r="B4709" t="s">
        <v>462</v>
      </c>
      <c r="C4709" t="s">
        <v>6594</v>
      </c>
      <c r="D4709" t="s">
        <v>6137</v>
      </c>
      <c r="E4709" t="s">
        <v>7569</v>
      </c>
      <c r="F4709">
        <v>1</v>
      </c>
      <c r="G4709">
        <v>2937589</v>
      </c>
      <c r="H4709" t="s">
        <v>7570</v>
      </c>
      <c r="J4709" s="54" t="s">
        <v>7569</v>
      </c>
      <c r="K4709" s="54">
        <v>1</v>
      </c>
      <c r="L4709" s="22" t="s">
        <v>104</v>
      </c>
      <c r="M4709" s="22" t="s">
        <v>463</v>
      </c>
    </row>
    <row r="4710" spans="1:13" x14ac:dyDescent="0.75">
      <c r="A4710" t="s">
        <v>3430</v>
      </c>
      <c r="B4710" t="s">
        <v>462</v>
      </c>
      <c r="C4710" t="s">
        <v>6594</v>
      </c>
      <c r="D4710" t="s">
        <v>6137</v>
      </c>
      <c r="E4710" t="s">
        <v>20661</v>
      </c>
      <c r="F4710">
        <v>2</v>
      </c>
      <c r="G4710">
        <v>2938122</v>
      </c>
      <c r="H4710" t="s">
        <v>20662</v>
      </c>
      <c r="J4710" s="54" t="s">
        <v>20661</v>
      </c>
      <c r="K4710" s="54">
        <v>1</v>
      </c>
      <c r="L4710" s="22" t="s">
        <v>104</v>
      </c>
      <c r="M4710" s="22" t="s">
        <v>463</v>
      </c>
    </row>
    <row r="4711" spans="1:13" x14ac:dyDescent="0.75">
      <c r="A4711" t="s">
        <v>3435</v>
      </c>
      <c r="B4711" t="s">
        <v>462</v>
      </c>
      <c r="C4711" t="s">
        <v>6594</v>
      </c>
      <c r="D4711" t="s">
        <v>6137</v>
      </c>
      <c r="E4711" t="s">
        <v>20663</v>
      </c>
      <c r="F4711">
        <v>1</v>
      </c>
      <c r="G4711">
        <v>3038072</v>
      </c>
      <c r="H4711" t="s">
        <v>20664</v>
      </c>
      <c r="J4711" s="54" t="s">
        <v>20663</v>
      </c>
      <c r="K4711" s="54">
        <v>1</v>
      </c>
      <c r="L4711" s="22" t="s">
        <v>104</v>
      </c>
      <c r="M4711" s="22" t="s">
        <v>463</v>
      </c>
    </row>
    <row r="4712" spans="1:13" x14ac:dyDescent="0.75">
      <c r="A4712" t="s">
        <v>3441</v>
      </c>
      <c r="B4712" t="s">
        <v>462</v>
      </c>
      <c r="C4712" t="s">
        <v>6594</v>
      </c>
      <c r="D4712" t="s">
        <v>6137</v>
      </c>
      <c r="E4712" t="s">
        <v>20665</v>
      </c>
      <c r="F4712">
        <v>3</v>
      </c>
      <c r="G4712">
        <v>3106544</v>
      </c>
      <c r="H4712" t="s">
        <v>20666</v>
      </c>
      <c r="J4712" s="54" t="s">
        <v>20665</v>
      </c>
      <c r="K4712" s="54">
        <v>1</v>
      </c>
      <c r="L4712" s="22" t="s">
        <v>104</v>
      </c>
      <c r="M4712" s="22" t="s">
        <v>463</v>
      </c>
    </row>
    <row r="4713" spans="1:13" x14ac:dyDescent="0.75">
      <c r="A4713" t="s">
        <v>3477</v>
      </c>
      <c r="B4713" t="s">
        <v>462</v>
      </c>
      <c r="C4713" t="s">
        <v>6594</v>
      </c>
      <c r="D4713" t="s">
        <v>6137</v>
      </c>
      <c r="E4713" t="s">
        <v>20702</v>
      </c>
      <c r="F4713">
        <v>1</v>
      </c>
      <c r="G4713">
        <v>3027740</v>
      </c>
      <c r="H4713" t="s">
        <v>20703</v>
      </c>
      <c r="J4713" s="54" t="s">
        <v>20702</v>
      </c>
      <c r="K4713" s="54">
        <v>1</v>
      </c>
      <c r="L4713" s="22" t="s">
        <v>104</v>
      </c>
      <c r="M4713" s="22" t="s">
        <v>463</v>
      </c>
    </row>
    <row r="4714" spans="1:13" x14ac:dyDescent="0.75">
      <c r="A4714" t="s">
        <v>942</v>
      </c>
      <c r="B4714" t="s">
        <v>462</v>
      </c>
      <c r="C4714" t="s">
        <v>6594</v>
      </c>
      <c r="D4714" t="s">
        <v>6137</v>
      </c>
      <c r="E4714" t="s">
        <v>9546</v>
      </c>
      <c r="F4714">
        <v>58</v>
      </c>
      <c r="G4714">
        <v>3056806</v>
      </c>
      <c r="H4714" t="s">
        <v>9547</v>
      </c>
      <c r="J4714" s="54" t="s">
        <v>9546</v>
      </c>
      <c r="K4714" s="54">
        <v>1</v>
      </c>
      <c r="L4714" s="22" t="s">
        <v>104</v>
      </c>
      <c r="M4714" s="22" t="s">
        <v>463</v>
      </c>
    </row>
    <row r="4715" spans="1:13" x14ac:dyDescent="0.75">
      <c r="A4715" t="s">
        <v>1329</v>
      </c>
      <c r="B4715" t="s">
        <v>462</v>
      </c>
      <c r="C4715" t="s">
        <v>6594</v>
      </c>
      <c r="D4715" t="s">
        <v>6137</v>
      </c>
      <c r="E4715" t="s">
        <v>10610</v>
      </c>
      <c r="F4715">
        <v>126</v>
      </c>
      <c r="G4715">
        <v>3050207</v>
      </c>
      <c r="H4715" t="s">
        <v>10611</v>
      </c>
      <c r="J4715" s="54" t="s">
        <v>10610</v>
      </c>
      <c r="K4715" s="54">
        <v>1</v>
      </c>
      <c r="L4715" s="22" t="s">
        <v>104</v>
      </c>
      <c r="M4715" s="22" t="s">
        <v>463</v>
      </c>
    </row>
    <row r="4716" spans="1:13" x14ac:dyDescent="0.75">
      <c r="A4716" t="s">
        <v>461</v>
      </c>
      <c r="B4716" t="s">
        <v>462</v>
      </c>
      <c r="C4716" t="s">
        <v>6594</v>
      </c>
      <c r="D4716" t="s">
        <v>6137</v>
      </c>
      <c r="E4716" t="s">
        <v>7535</v>
      </c>
      <c r="F4716">
        <v>121</v>
      </c>
      <c r="G4716">
        <v>3177783</v>
      </c>
      <c r="H4716" t="s">
        <v>7536</v>
      </c>
      <c r="J4716" s="54" t="s">
        <v>7535</v>
      </c>
      <c r="K4716" s="54">
        <v>1</v>
      </c>
      <c r="L4716" s="22" t="s">
        <v>104</v>
      </c>
      <c r="M4716" s="22" t="s">
        <v>463</v>
      </c>
    </row>
    <row r="4717" spans="1:13" x14ac:dyDescent="0.75">
      <c r="A4717" t="s">
        <v>4833</v>
      </c>
      <c r="B4717" t="s">
        <v>462</v>
      </c>
      <c r="C4717" t="s">
        <v>6594</v>
      </c>
      <c r="D4717" t="s">
        <v>6137</v>
      </c>
      <c r="E4717" t="s">
        <v>24661</v>
      </c>
      <c r="F4717">
        <v>37</v>
      </c>
      <c r="G4717">
        <v>2969575</v>
      </c>
      <c r="H4717" t="s">
        <v>24662</v>
      </c>
      <c r="J4717" s="54" t="s">
        <v>24661</v>
      </c>
      <c r="K4717" s="54">
        <v>1</v>
      </c>
      <c r="L4717" s="22" t="s">
        <v>104</v>
      </c>
      <c r="M4717" s="22" t="s">
        <v>463</v>
      </c>
    </row>
    <row r="4718" spans="1:13" x14ac:dyDescent="0.75">
      <c r="A4718" t="s">
        <v>1420</v>
      </c>
      <c r="B4718" t="s">
        <v>1273</v>
      </c>
      <c r="C4718" t="s">
        <v>6594</v>
      </c>
      <c r="D4718" t="s">
        <v>10319</v>
      </c>
      <c r="E4718" t="s">
        <v>11430</v>
      </c>
      <c r="F4718">
        <v>2</v>
      </c>
      <c r="G4718">
        <v>3261806</v>
      </c>
      <c r="H4718" t="s">
        <v>11431</v>
      </c>
      <c r="J4718" s="54" t="s">
        <v>11430</v>
      </c>
      <c r="K4718" s="54">
        <v>1</v>
      </c>
      <c r="L4718" s="22" t="s">
        <v>104</v>
      </c>
      <c r="M4718" s="22" t="s">
        <v>1274</v>
      </c>
    </row>
    <row r="4719" spans="1:13" x14ac:dyDescent="0.75">
      <c r="A4719" t="s">
        <v>3424</v>
      </c>
      <c r="B4719" t="s">
        <v>1273</v>
      </c>
      <c r="C4719" t="s">
        <v>6594</v>
      </c>
      <c r="D4719" t="s">
        <v>10319</v>
      </c>
      <c r="E4719" t="s">
        <v>11430</v>
      </c>
      <c r="F4719">
        <v>2</v>
      </c>
      <c r="G4719">
        <v>3261788</v>
      </c>
      <c r="H4719" t="s">
        <v>20660</v>
      </c>
      <c r="J4719" s="54" t="s">
        <v>11430</v>
      </c>
      <c r="K4719" s="54">
        <v>1</v>
      </c>
      <c r="L4719" s="22" t="s">
        <v>104</v>
      </c>
      <c r="M4719" s="22" t="s">
        <v>1274</v>
      </c>
    </row>
    <row r="4720" spans="1:13" x14ac:dyDescent="0.75">
      <c r="A4720" t="s">
        <v>1272</v>
      </c>
      <c r="B4720" t="s">
        <v>1273</v>
      </c>
      <c r="C4720" t="s">
        <v>6594</v>
      </c>
      <c r="D4720" t="s">
        <v>10319</v>
      </c>
      <c r="E4720" t="s">
        <v>10320</v>
      </c>
      <c r="F4720">
        <v>116</v>
      </c>
      <c r="G4720">
        <v>3173817</v>
      </c>
      <c r="H4720" t="s">
        <v>10321</v>
      </c>
      <c r="J4720" s="54" t="s">
        <v>10320</v>
      </c>
      <c r="K4720" s="54">
        <v>1</v>
      </c>
      <c r="L4720" s="22" t="s">
        <v>104</v>
      </c>
      <c r="M4720" s="22" t="s">
        <v>1274</v>
      </c>
    </row>
    <row r="4721" spans="1:13" x14ac:dyDescent="0.75">
      <c r="A4721" t="s">
        <v>3051</v>
      </c>
      <c r="B4721" t="s">
        <v>559</v>
      </c>
      <c r="C4721" t="s">
        <v>6594</v>
      </c>
      <c r="D4721" t="s">
        <v>8295</v>
      </c>
      <c r="E4721" t="s">
        <v>19524</v>
      </c>
      <c r="F4721">
        <v>95</v>
      </c>
      <c r="G4721">
        <v>2645149</v>
      </c>
      <c r="H4721" t="s">
        <v>19525</v>
      </c>
      <c r="J4721" s="54" t="s">
        <v>19524</v>
      </c>
      <c r="K4721" s="54">
        <v>2</v>
      </c>
      <c r="L4721" s="22" t="s">
        <v>104</v>
      </c>
      <c r="M4721" s="22" t="s">
        <v>560</v>
      </c>
    </row>
    <row r="4722" spans="1:13" x14ac:dyDescent="0.75">
      <c r="A4722" t="s">
        <v>3815</v>
      </c>
      <c r="B4722" t="s">
        <v>559</v>
      </c>
      <c r="C4722" t="s">
        <v>6594</v>
      </c>
      <c r="D4722" t="s">
        <v>8295</v>
      </c>
      <c r="E4722" t="s">
        <v>21311</v>
      </c>
      <c r="F4722">
        <v>48</v>
      </c>
      <c r="G4722">
        <v>3019506</v>
      </c>
      <c r="H4722" t="s">
        <v>21312</v>
      </c>
      <c r="J4722" s="54" t="s">
        <v>21311</v>
      </c>
      <c r="K4722" s="54">
        <v>1</v>
      </c>
      <c r="L4722" s="22" t="s">
        <v>104</v>
      </c>
      <c r="M4722" s="22" t="s">
        <v>560</v>
      </c>
    </row>
    <row r="4723" spans="1:13" x14ac:dyDescent="0.75">
      <c r="A4723" t="s">
        <v>3695</v>
      </c>
      <c r="B4723" t="s">
        <v>559</v>
      </c>
      <c r="C4723" t="s">
        <v>6594</v>
      </c>
      <c r="D4723" t="s">
        <v>8295</v>
      </c>
      <c r="E4723" t="s">
        <v>21243</v>
      </c>
      <c r="F4723">
        <v>43</v>
      </c>
      <c r="G4723">
        <v>3018404</v>
      </c>
      <c r="H4723" t="s">
        <v>21244</v>
      </c>
      <c r="J4723" s="54" t="s">
        <v>21243</v>
      </c>
      <c r="K4723" s="54">
        <v>1</v>
      </c>
      <c r="L4723" s="22" t="s">
        <v>104</v>
      </c>
      <c r="M4723" s="22" t="s">
        <v>560</v>
      </c>
    </row>
    <row r="4724" spans="1:13" x14ac:dyDescent="0.75">
      <c r="A4724" t="s">
        <v>3811</v>
      </c>
      <c r="B4724" t="s">
        <v>559</v>
      </c>
      <c r="C4724" t="s">
        <v>6594</v>
      </c>
      <c r="D4724" t="s">
        <v>8295</v>
      </c>
      <c r="E4724" t="s">
        <v>21306</v>
      </c>
      <c r="F4724">
        <v>52</v>
      </c>
      <c r="G4724">
        <v>3119736</v>
      </c>
      <c r="H4724" t="s">
        <v>21307</v>
      </c>
      <c r="J4724" s="54" t="s">
        <v>21306</v>
      </c>
      <c r="K4724" s="54">
        <v>1</v>
      </c>
      <c r="L4724" s="22" t="s">
        <v>104</v>
      </c>
      <c r="M4724" s="22" t="s">
        <v>560</v>
      </c>
    </row>
    <row r="4725" spans="1:13" x14ac:dyDescent="0.75">
      <c r="A4725" t="s">
        <v>3706</v>
      </c>
      <c r="B4725" t="s">
        <v>559</v>
      </c>
      <c r="C4725" t="s">
        <v>6594</v>
      </c>
      <c r="D4725" t="s">
        <v>8295</v>
      </c>
      <c r="E4725" t="s">
        <v>21250</v>
      </c>
      <c r="F4725">
        <v>48</v>
      </c>
      <c r="G4725">
        <v>3023315</v>
      </c>
      <c r="H4725" t="s">
        <v>21251</v>
      </c>
      <c r="J4725" s="54" t="s">
        <v>21250</v>
      </c>
      <c r="K4725" s="54">
        <v>1</v>
      </c>
      <c r="L4725" s="22" t="s">
        <v>104</v>
      </c>
      <c r="M4725" s="22" t="s">
        <v>560</v>
      </c>
    </row>
    <row r="4726" spans="1:13" x14ac:dyDescent="0.75">
      <c r="A4726" t="s">
        <v>3715</v>
      </c>
      <c r="B4726" t="s">
        <v>559</v>
      </c>
      <c r="C4726" t="s">
        <v>6594</v>
      </c>
      <c r="D4726" t="s">
        <v>8295</v>
      </c>
      <c r="E4726" t="s">
        <v>21254</v>
      </c>
      <c r="F4726">
        <v>33</v>
      </c>
      <c r="G4726">
        <v>2969307</v>
      </c>
      <c r="H4726" t="s">
        <v>21255</v>
      </c>
      <c r="J4726" s="54" t="s">
        <v>21254</v>
      </c>
      <c r="K4726" s="54">
        <v>1</v>
      </c>
      <c r="L4726" s="22" t="s">
        <v>104</v>
      </c>
      <c r="M4726" s="22" t="s">
        <v>560</v>
      </c>
    </row>
    <row r="4727" spans="1:13" x14ac:dyDescent="0.75">
      <c r="A4727" t="s">
        <v>3746</v>
      </c>
      <c r="B4727" t="s">
        <v>559</v>
      </c>
      <c r="C4727" t="s">
        <v>6594</v>
      </c>
      <c r="D4727" t="s">
        <v>8295</v>
      </c>
      <c r="E4727" t="s">
        <v>21269</v>
      </c>
      <c r="F4727">
        <v>78</v>
      </c>
      <c r="G4727">
        <v>3009370</v>
      </c>
      <c r="H4727" t="s">
        <v>21270</v>
      </c>
      <c r="J4727" s="54" t="s">
        <v>21269</v>
      </c>
      <c r="K4727" s="54">
        <v>1</v>
      </c>
      <c r="L4727" s="22" t="s">
        <v>104</v>
      </c>
      <c r="M4727" s="22" t="s">
        <v>560</v>
      </c>
    </row>
    <row r="4728" spans="1:13" x14ac:dyDescent="0.75">
      <c r="A4728" t="s">
        <v>3761</v>
      </c>
      <c r="B4728" t="s">
        <v>559</v>
      </c>
      <c r="C4728" t="s">
        <v>6594</v>
      </c>
      <c r="D4728" t="s">
        <v>8295</v>
      </c>
      <c r="E4728" t="s">
        <v>21275</v>
      </c>
      <c r="F4728">
        <v>132</v>
      </c>
      <c r="G4728">
        <v>3124769</v>
      </c>
      <c r="H4728" t="s">
        <v>21276</v>
      </c>
      <c r="J4728" s="54" t="s">
        <v>21275</v>
      </c>
      <c r="K4728" s="54">
        <v>1</v>
      </c>
      <c r="L4728" s="22" t="s">
        <v>104</v>
      </c>
      <c r="M4728" s="22" t="s">
        <v>560</v>
      </c>
    </row>
    <row r="4729" spans="1:13" x14ac:dyDescent="0.75">
      <c r="A4729" t="s">
        <v>3771</v>
      </c>
      <c r="B4729" t="s">
        <v>559</v>
      </c>
      <c r="C4729" t="s">
        <v>6594</v>
      </c>
      <c r="D4729" t="s">
        <v>8295</v>
      </c>
      <c r="E4729" t="s">
        <v>21285</v>
      </c>
      <c r="F4729">
        <v>74</v>
      </c>
      <c r="G4729">
        <v>2954595</v>
      </c>
      <c r="H4729" t="s">
        <v>21286</v>
      </c>
      <c r="J4729" s="54" t="s">
        <v>21285</v>
      </c>
      <c r="K4729" s="54">
        <v>1</v>
      </c>
      <c r="L4729" s="22" t="s">
        <v>104</v>
      </c>
      <c r="M4729" s="22" t="s">
        <v>560</v>
      </c>
    </row>
    <row r="4730" spans="1:13" x14ac:dyDescent="0.75">
      <c r="A4730" t="s">
        <v>5687</v>
      </c>
      <c r="B4730" t="s">
        <v>559</v>
      </c>
      <c r="C4730" t="s">
        <v>6594</v>
      </c>
      <c r="D4730" t="s">
        <v>8295</v>
      </c>
      <c r="E4730" t="s">
        <v>29434</v>
      </c>
      <c r="F4730">
        <v>210</v>
      </c>
      <c r="G4730">
        <v>2840808</v>
      </c>
      <c r="H4730" t="s">
        <v>29435</v>
      </c>
      <c r="J4730" s="54" t="s">
        <v>30844</v>
      </c>
      <c r="K4730" s="54">
        <v>1</v>
      </c>
      <c r="L4730" s="22" t="s">
        <v>104</v>
      </c>
      <c r="M4730" s="22" t="s">
        <v>560</v>
      </c>
    </row>
    <row r="4731" spans="1:13" x14ac:dyDescent="0.75">
      <c r="A4731" t="s">
        <v>8459</v>
      </c>
      <c r="B4731" t="s">
        <v>8460</v>
      </c>
      <c r="C4731" t="s">
        <v>7243</v>
      </c>
      <c r="D4731" t="s">
        <v>8461</v>
      </c>
      <c r="E4731" s="5">
        <v>46035</v>
      </c>
      <c r="F4731">
        <v>56</v>
      </c>
      <c r="G4731">
        <v>1885265</v>
      </c>
      <c r="H4731" t="s">
        <v>8462</v>
      </c>
      <c r="J4731" s="54" t="s">
        <v>6052</v>
      </c>
      <c r="K4731" s="54">
        <v>0</v>
      </c>
      <c r="L4731" s="22" t="s">
        <v>36807</v>
      </c>
      <c r="M4731" s="22" t="s">
        <v>37203</v>
      </c>
    </row>
    <row r="4732" spans="1:13" x14ac:dyDescent="0.75">
      <c r="A4732" t="s">
        <v>7241</v>
      </c>
      <c r="B4732" t="s">
        <v>7242</v>
      </c>
      <c r="C4732" t="s">
        <v>7243</v>
      </c>
      <c r="D4732" t="s">
        <v>7244</v>
      </c>
      <c r="E4732" t="s">
        <v>7245</v>
      </c>
      <c r="F4732">
        <v>71</v>
      </c>
      <c r="G4732">
        <v>1699205</v>
      </c>
      <c r="H4732" t="s">
        <v>7246</v>
      </c>
      <c r="J4732" s="54" t="s">
        <v>6052</v>
      </c>
      <c r="K4732" s="54">
        <v>0</v>
      </c>
      <c r="L4732" s="22" t="s">
        <v>1563</v>
      </c>
      <c r="M4732" s="22" t="s">
        <v>37204</v>
      </c>
    </row>
    <row r="4733" spans="1:13" x14ac:dyDescent="0.75">
      <c r="A4733" t="s">
        <v>27275</v>
      </c>
      <c r="B4733" t="s">
        <v>20277</v>
      </c>
      <c r="C4733" t="s">
        <v>7243</v>
      </c>
      <c r="D4733" t="s">
        <v>20278</v>
      </c>
      <c r="E4733" t="s">
        <v>27276</v>
      </c>
      <c r="F4733">
        <v>17</v>
      </c>
      <c r="G4733">
        <v>2232586</v>
      </c>
      <c r="H4733" t="s">
        <v>27277</v>
      </c>
      <c r="J4733" s="54" t="s">
        <v>6052</v>
      </c>
      <c r="K4733" s="54">
        <v>0</v>
      </c>
      <c r="L4733" s="22" t="s">
        <v>1563</v>
      </c>
      <c r="M4733" s="22" t="s">
        <v>37205</v>
      </c>
    </row>
    <row r="4734" spans="1:13" x14ac:dyDescent="0.75">
      <c r="A4734" t="s">
        <v>9374</v>
      </c>
      <c r="B4734" t="s">
        <v>7242</v>
      </c>
      <c r="C4734" t="s">
        <v>7243</v>
      </c>
      <c r="D4734" t="s">
        <v>7244</v>
      </c>
      <c r="E4734" t="s">
        <v>9375</v>
      </c>
      <c r="F4734">
        <v>22</v>
      </c>
      <c r="G4734">
        <v>1849203</v>
      </c>
      <c r="H4734" t="s">
        <v>9376</v>
      </c>
      <c r="J4734" s="54" t="s">
        <v>6052</v>
      </c>
      <c r="K4734" s="54">
        <v>0</v>
      </c>
      <c r="L4734" s="22" t="s">
        <v>1563</v>
      </c>
      <c r="M4734" s="22" t="s">
        <v>37204</v>
      </c>
    </row>
    <row r="4735" spans="1:13" x14ac:dyDescent="0.75">
      <c r="A4735" t="s">
        <v>27172</v>
      </c>
      <c r="B4735" t="s">
        <v>8460</v>
      </c>
      <c r="C4735" t="s">
        <v>7243</v>
      </c>
      <c r="D4735" t="s">
        <v>8461</v>
      </c>
      <c r="E4735" t="s">
        <v>25341</v>
      </c>
      <c r="F4735">
        <v>3</v>
      </c>
      <c r="G4735">
        <v>1845182</v>
      </c>
      <c r="H4735" t="s">
        <v>27173</v>
      </c>
      <c r="J4735" s="54" t="s">
        <v>6052</v>
      </c>
      <c r="K4735" s="54">
        <v>0</v>
      </c>
      <c r="L4735" s="22" t="s">
        <v>36807</v>
      </c>
      <c r="M4735" s="22" t="s">
        <v>37203</v>
      </c>
    </row>
    <row r="4736" spans="1:13" x14ac:dyDescent="0.75">
      <c r="A4736" t="s">
        <v>7300</v>
      </c>
      <c r="B4736" t="s">
        <v>7242</v>
      </c>
      <c r="C4736" t="s">
        <v>7243</v>
      </c>
      <c r="D4736" t="s">
        <v>7244</v>
      </c>
      <c r="E4736" t="s">
        <v>7301</v>
      </c>
      <c r="F4736">
        <v>145</v>
      </c>
      <c r="G4736">
        <v>1625156</v>
      </c>
      <c r="H4736" t="s">
        <v>7302</v>
      </c>
      <c r="J4736" s="54" t="s">
        <v>6052</v>
      </c>
      <c r="K4736" s="54">
        <v>0</v>
      </c>
      <c r="L4736" s="22" t="s">
        <v>1563</v>
      </c>
      <c r="M4736" s="22" t="s">
        <v>37204</v>
      </c>
    </row>
    <row r="4737" spans="1:13" x14ac:dyDescent="0.75">
      <c r="A4737" t="s">
        <v>20080</v>
      </c>
      <c r="B4737" t="s">
        <v>20081</v>
      </c>
      <c r="C4737" t="s">
        <v>7243</v>
      </c>
      <c r="D4737" t="s">
        <v>20082</v>
      </c>
      <c r="E4737" t="s">
        <v>20083</v>
      </c>
      <c r="F4737">
        <v>1</v>
      </c>
      <c r="G4737">
        <v>1791970</v>
      </c>
      <c r="H4737" t="s">
        <v>20084</v>
      </c>
      <c r="J4737" s="54" t="s">
        <v>6052</v>
      </c>
      <c r="K4737" s="54">
        <v>0</v>
      </c>
      <c r="L4737" s="22" t="s">
        <v>1563</v>
      </c>
      <c r="M4737" s="22" t="s">
        <v>37206</v>
      </c>
    </row>
    <row r="4738" spans="1:13" x14ac:dyDescent="0.75">
      <c r="A4738" t="s">
        <v>20276</v>
      </c>
      <c r="B4738" t="s">
        <v>20277</v>
      </c>
      <c r="C4738" t="s">
        <v>7243</v>
      </c>
      <c r="D4738" t="s">
        <v>20278</v>
      </c>
      <c r="E4738" t="s">
        <v>20279</v>
      </c>
      <c r="F4738">
        <v>3</v>
      </c>
      <c r="G4738">
        <v>2320207</v>
      </c>
      <c r="H4738" t="s">
        <v>20280</v>
      </c>
      <c r="J4738" s="54" t="s">
        <v>6052</v>
      </c>
      <c r="K4738" s="54">
        <v>0</v>
      </c>
      <c r="L4738" s="22" t="s">
        <v>1563</v>
      </c>
      <c r="M4738" s="22" t="s">
        <v>37205</v>
      </c>
    </row>
    <row r="4739" spans="1:13" x14ac:dyDescent="0.75">
      <c r="A4739" t="s">
        <v>20200</v>
      </c>
      <c r="B4739" t="s">
        <v>20081</v>
      </c>
      <c r="C4739" t="s">
        <v>7243</v>
      </c>
      <c r="D4739" t="s">
        <v>20082</v>
      </c>
      <c r="E4739" t="s">
        <v>20201</v>
      </c>
      <c r="F4739">
        <v>1</v>
      </c>
      <c r="G4739">
        <v>1929566</v>
      </c>
      <c r="H4739" t="s">
        <v>20202</v>
      </c>
      <c r="J4739" s="54" t="s">
        <v>6052</v>
      </c>
      <c r="K4739" s="54">
        <v>0</v>
      </c>
      <c r="L4739" s="22" t="s">
        <v>1563</v>
      </c>
      <c r="M4739" s="22" t="s">
        <v>37206</v>
      </c>
    </row>
    <row r="4740" spans="1:13" x14ac:dyDescent="0.75">
      <c r="A4740" t="s">
        <v>30160</v>
      </c>
      <c r="B4740" t="s">
        <v>8460</v>
      </c>
      <c r="C4740" t="s">
        <v>7243</v>
      </c>
      <c r="D4740" t="s">
        <v>8461</v>
      </c>
      <c r="E4740" t="s">
        <v>30161</v>
      </c>
      <c r="F4740">
        <v>43</v>
      </c>
      <c r="G4740">
        <v>1707411</v>
      </c>
      <c r="H4740" t="s">
        <v>30162</v>
      </c>
      <c r="J4740" s="54" t="s">
        <v>6052</v>
      </c>
      <c r="K4740" s="54">
        <v>0</v>
      </c>
      <c r="L4740" s="22" t="s">
        <v>36807</v>
      </c>
      <c r="M4740" s="22" t="s">
        <v>37203</v>
      </c>
    </row>
    <row r="4741" spans="1:13" x14ac:dyDescent="0.75">
      <c r="A4741" t="s">
        <v>12792</v>
      </c>
      <c r="B4741" t="s">
        <v>8909</v>
      </c>
      <c r="C4741" t="s">
        <v>7243</v>
      </c>
      <c r="D4741" t="s">
        <v>8910</v>
      </c>
      <c r="E4741" t="s">
        <v>12793</v>
      </c>
      <c r="F4741">
        <v>120</v>
      </c>
      <c r="G4741">
        <v>1883002</v>
      </c>
      <c r="H4741" t="s">
        <v>12794</v>
      </c>
      <c r="J4741" s="54" t="s">
        <v>6052</v>
      </c>
      <c r="K4741" s="54">
        <v>0</v>
      </c>
      <c r="L4741" s="22" t="s">
        <v>1563</v>
      </c>
      <c r="M4741" s="22" t="s">
        <v>37207</v>
      </c>
    </row>
    <row r="4742" spans="1:13" x14ac:dyDescent="0.75">
      <c r="A4742" t="s">
        <v>20944</v>
      </c>
      <c r="B4742" t="s">
        <v>8460</v>
      </c>
      <c r="C4742" t="s">
        <v>7243</v>
      </c>
      <c r="D4742" t="s">
        <v>8461</v>
      </c>
      <c r="E4742" t="s">
        <v>20945</v>
      </c>
      <c r="F4742">
        <v>81</v>
      </c>
      <c r="G4742">
        <v>1811805</v>
      </c>
      <c r="H4742" t="s">
        <v>20946</v>
      </c>
      <c r="J4742" s="54" t="s">
        <v>6052</v>
      </c>
      <c r="K4742" s="54">
        <v>0</v>
      </c>
      <c r="L4742" s="22" t="s">
        <v>36807</v>
      </c>
      <c r="M4742" s="22" t="s">
        <v>37203</v>
      </c>
    </row>
    <row r="4743" spans="1:13" x14ac:dyDescent="0.75">
      <c r="A4743" t="s">
        <v>30474</v>
      </c>
      <c r="B4743" t="s">
        <v>20081</v>
      </c>
      <c r="C4743" t="s">
        <v>7243</v>
      </c>
      <c r="D4743" t="s">
        <v>20082</v>
      </c>
      <c r="E4743" t="s">
        <v>30475</v>
      </c>
      <c r="F4743">
        <v>29</v>
      </c>
      <c r="G4743">
        <v>2038234</v>
      </c>
      <c r="H4743" t="s">
        <v>30476</v>
      </c>
      <c r="J4743" s="54" t="s">
        <v>6052</v>
      </c>
      <c r="K4743" s="54">
        <v>0</v>
      </c>
      <c r="L4743" s="22" t="s">
        <v>1563</v>
      </c>
      <c r="M4743" s="22" t="s">
        <v>37206</v>
      </c>
    </row>
    <row r="4744" spans="1:13" x14ac:dyDescent="0.75">
      <c r="A4744" t="s">
        <v>28337</v>
      </c>
      <c r="B4744" t="s">
        <v>8909</v>
      </c>
      <c r="C4744" t="s">
        <v>7243</v>
      </c>
      <c r="D4744" t="s">
        <v>8910</v>
      </c>
      <c r="E4744" t="s">
        <v>28338</v>
      </c>
      <c r="F4744">
        <v>77</v>
      </c>
      <c r="G4744">
        <v>2029837</v>
      </c>
      <c r="H4744" t="s">
        <v>28339</v>
      </c>
      <c r="J4744" s="54" t="s">
        <v>6052</v>
      </c>
      <c r="K4744" s="54">
        <v>0</v>
      </c>
      <c r="L4744" s="22" t="s">
        <v>1563</v>
      </c>
      <c r="M4744" s="22" t="s">
        <v>37207</v>
      </c>
    </row>
    <row r="4745" spans="1:13" x14ac:dyDescent="0.75">
      <c r="A4745" t="s">
        <v>28519</v>
      </c>
      <c r="B4745" t="s">
        <v>8460</v>
      </c>
      <c r="C4745" t="s">
        <v>7243</v>
      </c>
      <c r="D4745" t="s">
        <v>8461</v>
      </c>
      <c r="E4745" t="s">
        <v>28520</v>
      </c>
      <c r="F4745">
        <v>12</v>
      </c>
      <c r="G4745">
        <v>1622414</v>
      </c>
      <c r="H4745" t="s">
        <v>28521</v>
      </c>
      <c r="J4745" s="54" t="s">
        <v>6052</v>
      </c>
      <c r="K4745" s="54">
        <v>0</v>
      </c>
      <c r="L4745" s="22" t="s">
        <v>36807</v>
      </c>
      <c r="M4745" s="22" t="s">
        <v>37203</v>
      </c>
    </row>
    <row r="4746" spans="1:13" x14ac:dyDescent="0.75">
      <c r="A4746" t="s">
        <v>27543</v>
      </c>
      <c r="B4746" t="s">
        <v>27544</v>
      </c>
      <c r="C4746" t="s">
        <v>7243</v>
      </c>
      <c r="D4746" t="s">
        <v>27545</v>
      </c>
      <c r="E4746" t="s">
        <v>27546</v>
      </c>
      <c r="F4746">
        <v>4</v>
      </c>
      <c r="G4746">
        <v>2247968</v>
      </c>
      <c r="H4746" t="s">
        <v>27547</v>
      </c>
      <c r="J4746" s="54" t="s">
        <v>6052</v>
      </c>
      <c r="K4746" s="54">
        <v>0</v>
      </c>
      <c r="L4746" s="22" t="s">
        <v>1563</v>
      </c>
      <c r="M4746" s="22" t="s">
        <v>37208</v>
      </c>
    </row>
    <row r="4747" spans="1:13" x14ac:dyDescent="0.75">
      <c r="A4747" t="s">
        <v>27548</v>
      </c>
      <c r="B4747" t="s">
        <v>20081</v>
      </c>
      <c r="C4747" t="s">
        <v>7243</v>
      </c>
      <c r="D4747" t="s">
        <v>20082</v>
      </c>
      <c r="E4747" t="s">
        <v>27549</v>
      </c>
      <c r="F4747">
        <v>36</v>
      </c>
      <c r="G4747">
        <v>2168934</v>
      </c>
      <c r="H4747" t="s">
        <v>27550</v>
      </c>
      <c r="J4747" s="54" t="s">
        <v>6052</v>
      </c>
      <c r="K4747" s="54">
        <v>0</v>
      </c>
      <c r="L4747" s="22" t="s">
        <v>1563</v>
      </c>
      <c r="M4747" s="22" t="s">
        <v>37206</v>
      </c>
    </row>
    <row r="4748" spans="1:13" x14ac:dyDescent="0.75">
      <c r="A4748" t="s">
        <v>28033</v>
      </c>
      <c r="B4748" t="s">
        <v>20081</v>
      </c>
      <c r="C4748" t="s">
        <v>7243</v>
      </c>
      <c r="D4748" t="s">
        <v>20082</v>
      </c>
      <c r="E4748" t="s">
        <v>28034</v>
      </c>
      <c r="F4748">
        <v>1</v>
      </c>
      <c r="G4748">
        <v>1739102</v>
      </c>
      <c r="H4748" t="s">
        <v>28035</v>
      </c>
      <c r="J4748" s="54" t="s">
        <v>6052</v>
      </c>
      <c r="K4748" s="54">
        <v>0</v>
      </c>
      <c r="L4748" s="22" t="s">
        <v>1563</v>
      </c>
      <c r="M4748" s="22" t="s">
        <v>37206</v>
      </c>
    </row>
    <row r="4749" spans="1:13" x14ac:dyDescent="0.75">
      <c r="A4749" t="s">
        <v>27551</v>
      </c>
      <c r="B4749" t="s">
        <v>7242</v>
      </c>
      <c r="C4749" t="s">
        <v>7243</v>
      </c>
      <c r="D4749" t="s">
        <v>7244</v>
      </c>
      <c r="E4749" t="s">
        <v>27552</v>
      </c>
      <c r="F4749">
        <v>2</v>
      </c>
      <c r="G4749">
        <v>1883562</v>
      </c>
      <c r="H4749" t="s">
        <v>27553</v>
      </c>
      <c r="J4749" s="54" t="s">
        <v>6052</v>
      </c>
      <c r="K4749" s="54">
        <v>0</v>
      </c>
      <c r="L4749" s="22" t="s">
        <v>1563</v>
      </c>
      <c r="M4749" s="22" t="s">
        <v>37204</v>
      </c>
    </row>
    <row r="4750" spans="1:13" x14ac:dyDescent="0.75">
      <c r="A4750" t="s">
        <v>8908</v>
      </c>
      <c r="B4750" t="s">
        <v>8909</v>
      </c>
      <c r="C4750" t="s">
        <v>7243</v>
      </c>
      <c r="D4750" t="s">
        <v>8910</v>
      </c>
      <c r="E4750" t="s">
        <v>8911</v>
      </c>
      <c r="F4750">
        <v>77</v>
      </c>
      <c r="G4750">
        <v>2101866</v>
      </c>
      <c r="H4750" t="s">
        <v>8912</v>
      </c>
      <c r="J4750" s="54" t="s">
        <v>6052</v>
      </c>
      <c r="K4750" s="54">
        <v>0</v>
      </c>
      <c r="L4750" s="22" t="s">
        <v>1563</v>
      </c>
      <c r="M4750" s="22" t="s">
        <v>37207</v>
      </c>
    </row>
    <row r="4751" spans="1:13" x14ac:dyDescent="0.75">
      <c r="A4751" t="s">
        <v>23360</v>
      </c>
      <c r="B4751" t="s">
        <v>20081</v>
      </c>
      <c r="C4751" t="s">
        <v>7243</v>
      </c>
      <c r="D4751" t="s">
        <v>20082</v>
      </c>
      <c r="E4751" t="s">
        <v>23361</v>
      </c>
      <c r="F4751">
        <v>1</v>
      </c>
      <c r="G4751">
        <v>1917962</v>
      </c>
      <c r="H4751" t="s">
        <v>23362</v>
      </c>
      <c r="J4751" s="54" t="s">
        <v>6052</v>
      </c>
      <c r="K4751" s="54">
        <v>0</v>
      </c>
      <c r="L4751" s="22" t="s">
        <v>1563</v>
      </c>
      <c r="M4751" s="22" t="s">
        <v>37206</v>
      </c>
    </row>
    <row r="4752" spans="1:13" x14ac:dyDescent="0.75">
      <c r="A4752" t="s">
        <v>30338</v>
      </c>
      <c r="B4752" t="s">
        <v>7242</v>
      </c>
      <c r="C4752" t="s">
        <v>7243</v>
      </c>
      <c r="D4752" t="s">
        <v>7244</v>
      </c>
      <c r="E4752" t="s">
        <v>30339</v>
      </c>
      <c r="F4752">
        <v>29</v>
      </c>
      <c r="G4752">
        <v>1853746</v>
      </c>
      <c r="H4752" t="s">
        <v>30340</v>
      </c>
      <c r="J4752" s="54" t="s">
        <v>6052</v>
      </c>
      <c r="K4752" s="54">
        <v>0</v>
      </c>
      <c r="L4752" s="22" t="s">
        <v>1563</v>
      </c>
      <c r="M4752" s="22" t="s">
        <v>37204</v>
      </c>
    </row>
    <row r="4753" spans="1:13" x14ac:dyDescent="0.75">
      <c r="A4753" t="s">
        <v>29748</v>
      </c>
      <c r="B4753" t="s">
        <v>8909</v>
      </c>
      <c r="C4753" t="s">
        <v>7243</v>
      </c>
      <c r="D4753" t="s">
        <v>8910</v>
      </c>
      <c r="E4753" t="s">
        <v>29749</v>
      </c>
      <c r="F4753">
        <v>142</v>
      </c>
      <c r="G4753">
        <v>1389669</v>
      </c>
      <c r="H4753" t="s">
        <v>29750</v>
      </c>
      <c r="J4753" s="54" t="s">
        <v>6052</v>
      </c>
      <c r="K4753" s="54">
        <v>0</v>
      </c>
      <c r="L4753" s="22" t="s">
        <v>1563</v>
      </c>
      <c r="M4753" s="22" t="s">
        <v>37207</v>
      </c>
    </row>
    <row r="4754" spans="1:13" x14ac:dyDescent="0.75">
      <c r="A4754" t="s">
        <v>30270</v>
      </c>
      <c r="B4754" t="s">
        <v>7242</v>
      </c>
      <c r="C4754" t="s">
        <v>7243</v>
      </c>
      <c r="D4754" t="s">
        <v>7244</v>
      </c>
      <c r="E4754" t="s">
        <v>30271</v>
      </c>
      <c r="F4754">
        <v>36</v>
      </c>
      <c r="G4754">
        <v>1573547</v>
      </c>
      <c r="H4754" t="s">
        <v>30272</v>
      </c>
      <c r="J4754" s="54" t="s">
        <v>6052</v>
      </c>
      <c r="K4754" s="54">
        <v>0</v>
      </c>
      <c r="L4754" s="22" t="s">
        <v>1563</v>
      </c>
      <c r="M4754" s="22" t="s">
        <v>37204</v>
      </c>
    </row>
    <row r="4755" spans="1:13" x14ac:dyDescent="0.75">
      <c r="A4755" t="s">
        <v>30421</v>
      </c>
      <c r="B4755" t="s">
        <v>7242</v>
      </c>
      <c r="C4755" t="s">
        <v>7243</v>
      </c>
      <c r="D4755" t="s">
        <v>7244</v>
      </c>
      <c r="E4755" t="s">
        <v>30422</v>
      </c>
      <c r="F4755">
        <v>37</v>
      </c>
      <c r="G4755">
        <v>1495121</v>
      </c>
      <c r="H4755" t="s">
        <v>30423</v>
      </c>
      <c r="J4755" s="54" t="s">
        <v>6052</v>
      </c>
      <c r="K4755" s="54">
        <v>0</v>
      </c>
      <c r="L4755" s="22" t="s">
        <v>1563</v>
      </c>
      <c r="M4755" s="22" t="s">
        <v>37204</v>
      </c>
    </row>
    <row r="4756" spans="1:13" x14ac:dyDescent="0.75">
      <c r="A4756" t="s">
        <v>25881</v>
      </c>
      <c r="B4756" t="s">
        <v>20081</v>
      </c>
      <c r="C4756" t="s">
        <v>7243</v>
      </c>
      <c r="D4756" t="s">
        <v>20082</v>
      </c>
      <c r="E4756" t="s">
        <v>25882</v>
      </c>
      <c r="F4756">
        <v>19</v>
      </c>
      <c r="G4756">
        <v>1962376</v>
      </c>
      <c r="H4756" t="s">
        <v>25883</v>
      </c>
      <c r="J4756" s="54" t="s">
        <v>6052</v>
      </c>
      <c r="K4756" s="54">
        <v>0</v>
      </c>
      <c r="L4756" s="22" t="s">
        <v>1563</v>
      </c>
      <c r="M4756" s="22" t="s">
        <v>37206</v>
      </c>
    </row>
    <row r="4757" spans="1:13" x14ac:dyDescent="0.75">
      <c r="A4757" t="s">
        <v>25905</v>
      </c>
      <c r="B4757" t="s">
        <v>20081</v>
      </c>
      <c r="C4757" t="s">
        <v>7243</v>
      </c>
      <c r="D4757" t="s">
        <v>20082</v>
      </c>
      <c r="E4757" t="s">
        <v>25906</v>
      </c>
      <c r="F4757">
        <v>18</v>
      </c>
      <c r="G4757">
        <v>1966886</v>
      </c>
      <c r="H4757" t="s">
        <v>25907</v>
      </c>
      <c r="J4757" s="54" t="s">
        <v>6052</v>
      </c>
      <c r="K4757" s="54">
        <v>0</v>
      </c>
      <c r="L4757" s="22" t="s">
        <v>1563</v>
      </c>
      <c r="M4757" s="22" t="s">
        <v>37206</v>
      </c>
    </row>
    <row r="4758" spans="1:13" x14ac:dyDescent="0.75">
      <c r="A4758" t="s">
        <v>25908</v>
      </c>
      <c r="B4758" t="s">
        <v>20081</v>
      </c>
      <c r="C4758" t="s">
        <v>7243</v>
      </c>
      <c r="D4758" t="s">
        <v>20082</v>
      </c>
      <c r="E4758" t="s">
        <v>25909</v>
      </c>
      <c r="F4758">
        <v>18</v>
      </c>
      <c r="G4758">
        <v>1967478</v>
      </c>
      <c r="H4758" t="s">
        <v>25910</v>
      </c>
      <c r="J4758" s="54" t="s">
        <v>6052</v>
      </c>
      <c r="K4758" s="54">
        <v>0</v>
      </c>
      <c r="L4758" s="22" t="s">
        <v>1563</v>
      </c>
      <c r="M4758" s="22" t="s">
        <v>37206</v>
      </c>
    </row>
    <row r="4759" spans="1:13" x14ac:dyDescent="0.75">
      <c r="A4759" t="s">
        <v>25971</v>
      </c>
      <c r="B4759" t="s">
        <v>7242</v>
      </c>
      <c r="C4759" t="s">
        <v>7243</v>
      </c>
      <c r="D4759" t="s">
        <v>7244</v>
      </c>
      <c r="E4759" t="s">
        <v>25972</v>
      </c>
      <c r="F4759">
        <v>74</v>
      </c>
      <c r="G4759">
        <v>1799428</v>
      </c>
      <c r="H4759" t="s">
        <v>25973</v>
      </c>
      <c r="J4759" s="54" t="s">
        <v>6052</v>
      </c>
      <c r="K4759" s="54">
        <v>0</v>
      </c>
      <c r="L4759" s="22" t="s">
        <v>1563</v>
      </c>
      <c r="M4759" s="22" t="s">
        <v>37204</v>
      </c>
    </row>
    <row r="4760" spans="1:13" x14ac:dyDescent="0.75">
      <c r="A4760" t="s">
        <v>25902</v>
      </c>
      <c r="B4760" t="s">
        <v>7242</v>
      </c>
      <c r="C4760" t="s">
        <v>7243</v>
      </c>
      <c r="D4760" t="s">
        <v>7244</v>
      </c>
      <c r="E4760" t="s">
        <v>25903</v>
      </c>
      <c r="F4760">
        <v>45</v>
      </c>
      <c r="G4760">
        <v>1786622</v>
      </c>
      <c r="H4760" t="s">
        <v>25904</v>
      </c>
      <c r="J4760" s="54" t="s">
        <v>6052</v>
      </c>
      <c r="K4760" s="54">
        <v>0</v>
      </c>
      <c r="L4760" s="22" t="s">
        <v>1563</v>
      </c>
      <c r="M4760" s="22" t="s">
        <v>37204</v>
      </c>
    </row>
    <row r="4761" spans="1:13" x14ac:dyDescent="0.75">
      <c r="A4761" t="s">
        <v>25899</v>
      </c>
      <c r="B4761" t="s">
        <v>7242</v>
      </c>
      <c r="C4761" t="s">
        <v>7243</v>
      </c>
      <c r="D4761" t="s">
        <v>7244</v>
      </c>
      <c r="E4761" t="s">
        <v>25900</v>
      </c>
      <c r="F4761">
        <v>40</v>
      </c>
      <c r="G4761">
        <v>1786004</v>
      </c>
      <c r="H4761" t="s">
        <v>25901</v>
      </c>
      <c r="J4761" s="54" t="s">
        <v>6052</v>
      </c>
      <c r="K4761" s="54">
        <v>0</v>
      </c>
      <c r="L4761" s="22" t="s">
        <v>1563</v>
      </c>
      <c r="M4761" s="22" t="s">
        <v>37204</v>
      </c>
    </row>
    <row r="4762" spans="1:13" x14ac:dyDescent="0.75">
      <c r="A4762" t="s">
        <v>27848</v>
      </c>
      <c r="B4762" t="s">
        <v>8460</v>
      </c>
      <c r="C4762" t="s">
        <v>7243</v>
      </c>
      <c r="D4762" t="s">
        <v>8461</v>
      </c>
      <c r="E4762" t="s">
        <v>27849</v>
      </c>
      <c r="F4762">
        <v>12</v>
      </c>
      <c r="G4762">
        <v>1622414</v>
      </c>
      <c r="H4762" t="s">
        <v>27850</v>
      </c>
      <c r="J4762" s="54" t="s">
        <v>6052</v>
      </c>
      <c r="K4762" s="54">
        <v>0</v>
      </c>
      <c r="L4762" s="22" t="s">
        <v>36807</v>
      </c>
      <c r="M4762" s="22" t="s">
        <v>37203</v>
      </c>
    </row>
    <row r="4763" spans="1:13" x14ac:dyDescent="0.75">
      <c r="A4763" t="s">
        <v>27851</v>
      </c>
      <c r="B4763" t="s">
        <v>8909</v>
      </c>
      <c r="C4763" t="s">
        <v>7243</v>
      </c>
      <c r="D4763" t="s">
        <v>8910</v>
      </c>
      <c r="E4763" t="s">
        <v>27852</v>
      </c>
      <c r="F4763">
        <v>83</v>
      </c>
      <c r="G4763">
        <v>1753032</v>
      </c>
      <c r="H4763" t="s">
        <v>27853</v>
      </c>
      <c r="J4763" s="54" t="s">
        <v>6052</v>
      </c>
      <c r="K4763" s="54">
        <v>0</v>
      </c>
      <c r="L4763" s="22" t="s">
        <v>1563</v>
      </c>
      <c r="M4763" s="22" t="s">
        <v>37207</v>
      </c>
    </row>
    <row r="4764" spans="1:13" x14ac:dyDescent="0.75">
      <c r="A4764" t="s">
        <v>6014</v>
      </c>
      <c r="B4764" t="s">
        <v>559</v>
      </c>
      <c r="C4764" t="s">
        <v>6594</v>
      </c>
      <c r="D4764" t="s">
        <v>8295</v>
      </c>
      <c r="E4764" t="s">
        <v>30480</v>
      </c>
      <c r="F4764">
        <v>293</v>
      </c>
      <c r="G4764">
        <v>2864228</v>
      </c>
      <c r="H4764" t="s">
        <v>30481</v>
      </c>
      <c r="J4764" s="54" t="s">
        <v>30844</v>
      </c>
      <c r="K4764" s="54">
        <v>1</v>
      </c>
      <c r="L4764" s="22" t="s">
        <v>104</v>
      </c>
      <c r="M4764" s="22" t="s">
        <v>560</v>
      </c>
    </row>
    <row r="4765" spans="1:13" x14ac:dyDescent="0.75">
      <c r="A4765" t="s">
        <v>7280</v>
      </c>
      <c r="B4765" t="s">
        <v>7281</v>
      </c>
      <c r="C4765" t="s">
        <v>6657</v>
      </c>
      <c r="D4765" t="s">
        <v>7282</v>
      </c>
      <c r="E4765" t="s">
        <v>7283</v>
      </c>
      <c r="F4765">
        <v>73</v>
      </c>
      <c r="G4765">
        <v>2083092</v>
      </c>
      <c r="H4765" t="s">
        <v>7284</v>
      </c>
      <c r="J4765" s="54" t="s">
        <v>6052</v>
      </c>
      <c r="K4765" s="54">
        <v>0</v>
      </c>
      <c r="L4765" s="22" t="s">
        <v>1563</v>
      </c>
      <c r="M4765" s="22" t="s">
        <v>37210</v>
      </c>
    </row>
    <row r="4766" spans="1:13" x14ac:dyDescent="0.75">
      <c r="A4766" t="s">
        <v>24872</v>
      </c>
      <c r="B4766" t="s">
        <v>7281</v>
      </c>
      <c r="C4766" t="s">
        <v>6657</v>
      </c>
      <c r="D4766" t="s">
        <v>7282</v>
      </c>
      <c r="E4766" t="s">
        <v>24873</v>
      </c>
      <c r="F4766">
        <v>49</v>
      </c>
      <c r="G4766">
        <v>2029988</v>
      </c>
      <c r="H4766" t="s">
        <v>24874</v>
      </c>
      <c r="J4766" s="54" t="s">
        <v>6052</v>
      </c>
      <c r="K4766" s="54">
        <v>0</v>
      </c>
      <c r="L4766" s="22" t="s">
        <v>1563</v>
      </c>
      <c r="M4766" s="22" t="s">
        <v>37210</v>
      </c>
    </row>
    <row r="4767" spans="1:13" x14ac:dyDescent="0.75">
      <c r="A4767" t="s">
        <v>24869</v>
      </c>
      <c r="B4767" t="s">
        <v>7281</v>
      </c>
      <c r="C4767" t="s">
        <v>6657</v>
      </c>
      <c r="D4767" t="s">
        <v>7282</v>
      </c>
      <c r="E4767" t="s">
        <v>24870</v>
      </c>
      <c r="F4767">
        <v>52</v>
      </c>
      <c r="G4767">
        <v>2028953</v>
      </c>
      <c r="H4767" t="s">
        <v>24871</v>
      </c>
      <c r="J4767" s="54" t="s">
        <v>6052</v>
      </c>
      <c r="K4767" s="54">
        <v>0</v>
      </c>
      <c r="L4767" s="22" t="s">
        <v>1563</v>
      </c>
      <c r="M4767" s="22" t="s">
        <v>37210</v>
      </c>
    </row>
    <row r="4768" spans="1:13" x14ac:dyDescent="0.75">
      <c r="A4768" t="s">
        <v>24854</v>
      </c>
      <c r="B4768" t="s">
        <v>7281</v>
      </c>
      <c r="C4768" t="s">
        <v>6657</v>
      </c>
      <c r="D4768" t="s">
        <v>7282</v>
      </c>
      <c r="E4768" t="s">
        <v>24855</v>
      </c>
      <c r="F4768">
        <v>52</v>
      </c>
      <c r="G4768">
        <v>2032015</v>
      </c>
      <c r="H4768" t="s">
        <v>24856</v>
      </c>
      <c r="J4768" s="54" t="s">
        <v>6052</v>
      </c>
      <c r="K4768" s="54">
        <v>0</v>
      </c>
      <c r="L4768" s="22" t="s">
        <v>1563</v>
      </c>
      <c r="M4768" s="22" t="s">
        <v>37210</v>
      </c>
    </row>
    <row r="4769" spans="1:13" x14ac:dyDescent="0.75">
      <c r="A4769" t="s">
        <v>24857</v>
      </c>
      <c r="B4769" t="s">
        <v>7281</v>
      </c>
      <c r="C4769" t="s">
        <v>6657</v>
      </c>
      <c r="D4769" t="s">
        <v>7282</v>
      </c>
      <c r="E4769" t="s">
        <v>24858</v>
      </c>
      <c r="F4769">
        <v>50</v>
      </c>
      <c r="G4769">
        <v>2028057</v>
      </c>
      <c r="H4769" t="s">
        <v>24859</v>
      </c>
      <c r="J4769" s="54" t="s">
        <v>6052</v>
      </c>
      <c r="K4769" s="54">
        <v>0</v>
      </c>
      <c r="L4769" s="22" t="s">
        <v>1563</v>
      </c>
      <c r="M4769" s="22" t="s">
        <v>37210</v>
      </c>
    </row>
    <row r="4770" spans="1:13" x14ac:dyDescent="0.75">
      <c r="A4770" t="s">
        <v>19748</v>
      </c>
      <c r="B4770" t="s">
        <v>7281</v>
      </c>
      <c r="C4770" t="s">
        <v>6657</v>
      </c>
      <c r="D4770" t="s">
        <v>7282</v>
      </c>
      <c r="E4770" t="s">
        <v>19749</v>
      </c>
      <c r="F4770">
        <v>49</v>
      </c>
      <c r="G4770">
        <v>2077187</v>
      </c>
      <c r="H4770" t="s">
        <v>19750</v>
      </c>
      <c r="J4770" s="54" t="s">
        <v>6052</v>
      </c>
      <c r="K4770" s="54">
        <v>0</v>
      </c>
      <c r="L4770" s="22" t="s">
        <v>1563</v>
      </c>
      <c r="M4770" s="22" t="s">
        <v>37210</v>
      </c>
    </row>
    <row r="4771" spans="1:13" x14ac:dyDescent="0.75">
      <c r="A4771" t="s">
        <v>24881</v>
      </c>
      <c r="B4771" t="s">
        <v>7281</v>
      </c>
      <c r="C4771" t="s">
        <v>6657</v>
      </c>
      <c r="D4771" t="s">
        <v>7282</v>
      </c>
      <c r="E4771" t="s">
        <v>24882</v>
      </c>
      <c r="F4771">
        <v>49</v>
      </c>
      <c r="G4771">
        <v>2077619</v>
      </c>
      <c r="H4771" t="s">
        <v>24883</v>
      </c>
      <c r="J4771" s="54" t="s">
        <v>6052</v>
      </c>
      <c r="K4771" s="54">
        <v>0</v>
      </c>
      <c r="L4771" s="22" t="s">
        <v>1563</v>
      </c>
      <c r="M4771" s="22" t="s">
        <v>37210</v>
      </c>
    </row>
    <row r="4772" spans="1:13" x14ac:dyDescent="0.75">
      <c r="A4772" t="s">
        <v>27194</v>
      </c>
      <c r="B4772" t="s">
        <v>7281</v>
      </c>
      <c r="C4772" t="s">
        <v>6657</v>
      </c>
      <c r="D4772" t="s">
        <v>7282</v>
      </c>
      <c r="E4772" t="s">
        <v>27195</v>
      </c>
      <c r="F4772">
        <v>61</v>
      </c>
      <c r="G4772">
        <v>2116810</v>
      </c>
      <c r="H4772" t="s">
        <v>27196</v>
      </c>
      <c r="J4772" s="54" t="s">
        <v>6052</v>
      </c>
      <c r="K4772" s="54">
        <v>0</v>
      </c>
      <c r="L4772" s="22" t="s">
        <v>1563</v>
      </c>
      <c r="M4772" s="22" t="s">
        <v>37210</v>
      </c>
    </row>
    <row r="4773" spans="1:13" x14ac:dyDescent="0.75">
      <c r="A4773" t="s">
        <v>21104</v>
      </c>
      <c r="B4773" t="s">
        <v>7281</v>
      </c>
      <c r="C4773" t="s">
        <v>6657</v>
      </c>
      <c r="D4773" t="s">
        <v>7282</v>
      </c>
      <c r="E4773" t="s">
        <v>21105</v>
      </c>
      <c r="F4773">
        <v>207</v>
      </c>
      <c r="G4773">
        <v>1632659</v>
      </c>
      <c r="H4773" t="s">
        <v>21106</v>
      </c>
      <c r="J4773" s="54" t="s">
        <v>6052</v>
      </c>
      <c r="K4773" s="54">
        <v>0</v>
      </c>
      <c r="L4773" s="22" t="s">
        <v>1563</v>
      </c>
      <c r="M4773" s="22" t="s">
        <v>37210</v>
      </c>
    </row>
    <row r="4774" spans="1:13" x14ac:dyDescent="0.75">
      <c r="A4774" t="s">
        <v>24851</v>
      </c>
      <c r="B4774" t="s">
        <v>7281</v>
      </c>
      <c r="C4774" t="s">
        <v>6657</v>
      </c>
      <c r="D4774" t="s">
        <v>7282</v>
      </c>
      <c r="E4774" t="s">
        <v>24852</v>
      </c>
      <c r="F4774">
        <v>51</v>
      </c>
      <c r="G4774">
        <v>2023578</v>
      </c>
      <c r="H4774" t="s">
        <v>24853</v>
      </c>
      <c r="J4774" s="54" t="s">
        <v>6052</v>
      </c>
      <c r="K4774" s="54">
        <v>0</v>
      </c>
      <c r="L4774" s="22" t="s">
        <v>1563</v>
      </c>
      <c r="M4774" s="22" t="s">
        <v>37210</v>
      </c>
    </row>
    <row r="4775" spans="1:13" x14ac:dyDescent="0.75">
      <c r="A4775" t="s">
        <v>23749</v>
      </c>
      <c r="B4775" t="s">
        <v>7281</v>
      </c>
      <c r="C4775" t="s">
        <v>6657</v>
      </c>
      <c r="D4775" t="s">
        <v>7282</v>
      </c>
      <c r="E4775" t="s">
        <v>23750</v>
      </c>
      <c r="F4775">
        <v>95</v>
      </c>
      <c r="G4775">
        <v>2088515</v>
      </c>
      <c r="H4775" t="s">
        <v>23751</v>
      </c>
      <c r="J4775" s="54" t="s">
        <v>6052</v>
      </c>
      <c r="K4775" s="54">
        <v>0</v>
      </c>
      <c r="L4775" s="22" t="s">
        <v>1563</v>
      </c>
      <c r="M4775" s="22" t="s">
        <v>37210</v>
      </c>
    </row>
    <row r="4776" spans="1:13" x14ac:dyDescent="0.75">
      <c r="A4776" t="s">
        <v>21777</v>
      </c>
      <c r="B4776" t="s">
        <v>7281</v>
      </c>
      <c r="C4776" t="s">
        <v>6657</v>
      </c>
      <c r="D4776" t="s">
        <v>7282</v>
      </c>
      <c r="E4776" t="s">
        <v>21778</v>
      </c>
      <c r="F4776">
        <v>114</v>
      </c>
      <c r="G4776">
        <v>2079750</v>
      </c>
      <c r="H4776" t="s">
        <v>21779</v>
      </c>
      <c r="J4776" s="54" t="s">
        <v>6052</v>
      </c>
      <c r="K4776" s="54">
        <v>0</v>
      </c>
      <c r="L4776" s="22" t="s">
        <v>1563</v>
      </c>
      <c r="M4776" s="22" t="s">
        <v>37210</v>
      </c>
    </row>
    <row r="4777" spans="1:13" x14ac:dyDescent="0.75">
      <c r="A4777" t="s">
        <v>5639</v>
      </c>
      <c r="B4777" t="s">
        <v>559</v>
      </c>
      <c r="C4777" t="s">
        <v>6594</v>
      </c>
      <c r="D4777" t="s">
        <v>8295</v>
      </c>
      <c r="E4777" t="s">
        <v>29376</v>
      </c>
      <c r="F4777">
        <v>183</v>
      </c>
      <c r="G4777">
        <v>2995149</v>
      </c>
      <c r="H4777" t="s">
        <v>29377</v>
      </c>
      <c r="J4777" s="54" t="s">
        <v>30844</v>
      </c>
      <c r="K4777" s="54">
        <v>1</v>
      </c>
      <c r="L4777" s="22" t="s">
        <v>104</v>
      </c>
      <c r="M4777" s="22" t="s">
        <v>560</v>
      </c>
    </row>
    <row r="4778" spans="1:13" x14ac:dyDescent="0.75">
      <c r="A4778" t="s">
        <v>9392</v>
      </c>
      <c r="B4778" t="s">
        <v>7281</v>
      </c>
      <c r="C4778" t="s">
        <v>6657</v>
      </c>
      <c r="D4778" t="s">
        <v>7282</v>
      </c>
      <c r="E4778" t="s">
        <v>9393</v>
      </c>
      <c r="F4778">
        <v>72</v>
      </c>
      <c r="G4778">
        <v>2106935</v>
      </c>
      <c r="H4778" t="s">
        <v>9394</v>
      </c>
      <c r="J4778" s="54" t="s">
        <v>6052</v>
      </c>
      <c r="K4778" s="54">
        <v>0</v>
      </c>
      <c r="L4778" s="22" t="s">
        <v>1563</v>
      </c>
      <c r="M4778" s="22" t="s">
        <v>37210</v>
      </c>
    </row>
    <row r="4779" spans="1:13" x14ac:dyDescent="0.75">
      <c r="A4779" t="s">
        <v>24848</v>
      </c>
      <c r="B4779" t="s">
        <v>7281</v>
      </c>
      <c r="C4779" t="s">
        <v>6657</v>
      </c>
      <c r="D4779" t="s">
        <v>7282</v>
      </c>
      <c r="E4779" t="s">
        <v>24849</v>
      </c>
      <c r="F4779">
        <v>52</v>
      </c>
      <c r="G4779">
        <v>2028115</v>
      </c>
      <c r="H4779" t="s">
        <v>24850</v>
      </c>
      <c r="J4779" s="54" t="s">
        <v>6052</v>
      </c>
      <c r="K4779" s="54">
        <v>0</v>
      </c>
      <c r="L4779" s="22" t="s">
        <v>1563</v>
      </c>
      <c r="M4779" s="22" t="s">
        <v>37210</v>
      </c>
    </row>
    <row r="4780" spans="1:13" x14ac:dyDescent="0.75">
      <c r="A4780" t="s">
        <v>24842</v>
      </c>
      <c r="B4780" t="s">
        <v>7281</v>
      </c>
      <c r="C4780" t="s">
        <v>6657</v>
      </c>
      <c r="D4780" t="s">
        <v>7282</v>
      </c>
      <c r="E4780" t="s">
        <v>24843</v>
      </c>
      <c r="F4780">
        <v>49</v>
      </c>
      <c r="G4780">
        <v>2022280</v>
      </c>
      <c r="H4780" t="s">
        <v>24844</v>
      </c>
      <c r="J4780" s="54" t="s">
        <v>6052</v>
      </c>
      <c r="K4780" s="54">
        <v>0</v>
      </c>
      <c r="L4780" s="22" t="s">
        <v>1563</v>
      </c>
      <c r="M4780" s="22" t="s">
        <v>37210</v>
      </c>
    </row>
    <row r="4781" spans="1:13" x14ac:dyDescent="0.75">
      <c r="A4781" t="s">
        <v>28746</v>
      </c>
      <c r="B4781" t="s">
        <v>7281</v>
      </c>
      <c r="C4781" t="s">
        <v>6657</v>
      </c>
      <c r="D4781" t="s">
        <v>7282</v>
      </c>
      <c r="E4781" t="s">
        <v>28747</v>
      </c>
      <c r="F4781">
        <v>112</v>
      </c>
      <c r="G4781">
        <v>1853305</v>
      </c>
      <c r="H4781" t="s">
        <v>28748</v>
      </c>
      <c r="J4781" s="54" t="s">
        <v>6052</v>
      </c>
      <c r="K4781" s="54">
        <v>0</v>
      </c>
      <c r="L4781" s="22" t="s">
        <v>1563</v>
      </c>
      <c r="M4781" s="22" t="s">
        <v>37210</v>
      </c>
    </row>
    <row r="4782" spans="1:13" x14ac:dyDescent="0.75">
      <c r="A4782" t="s">
        <v>5824</v>
      </c>
      <c r="B4782" t="s">
        <v>559</v>
      </c>
      <c r="C4782" t="s">
        <v>6594</v>
      </c>
      <c r="D4782" t="s">
        <v>8295</v>
      </c>
      <c r="E4782" t="s">
        <v>29808</v>
      </c>
      <c r="F4782">
        <v>114</v>
      </c>
      <c r="G4782">
        <v>2952585</v>
      </c>
      <c r="H4782" t="s">
        <v>29809</v>
      </c>
      <c r="J4782" s="54" t="s">
        <v>30844</v>
      </c>
      <c r="K4782" s="54">
        <v>1</v>
      </c>
      <c r="L4782" s="22" t="s">
        <v>104</v>
      </c>
      <c r="M4782" s="22" t="s">
        <v>560</v>
      </c>
    </row>
    <row r="4783" spans="1:13" x14ac:dyDescent="0.75">
      <c r="A4783" t="s">
        <v>24827</v>
      </c>
      <c r="B4783" t="s">
        <v>7281</v>
      </c>
      <c r="C4783" t="s">
        <v>6657</v>
      </c>
      <c r="D4783" t="s">
        <v>7282</v>
      </c>
      <c r="E4783" t="s">
        <v>24828</v>
      </c>
      <c r="F4783">
        <v>51</v>
      </c>
      <c r="G4783">
        <v>2025859</v>
      </c>
      <c r="H4783" t="s">
        <v>24829</v>
      </c>
      <c r="J4783" s="54" t="s">
        <v>6052</v>
      </c>
      <c r="K4783" s="54">
        <v>0</v>
      </c>
      <c r="L4783" s="22" t="s">
        <v>1563</v>
      </c>
      <c r="M4783" s="22" t="s">
        <v>37210</v>
      </c>
    </row>
    <row r="4784" spans="1:13" x14ac:dyDescent="0.75">
      <c r="A4784" t="s">
        <v>24845</v>
      </c>
      <c r="B4784" t="s">
        <v>7281</v>
      </c>
      <c r="C4784" t="s">
        <v>6657</v>
      </c>
      <c r="D4784" t="s">
        <v>7282</v>
      </c>
      <c r="E4784" t="s">
        <v>24846</v>
      </c>
      <c r="F4784">
        <v>54</v>
      </c>
      <c r="G4784">
        <v>2035337</v>
      </c>
      <c r="H4784" t="s">
        <v>24847</v>
      </c>
      <c r="J4784" s="54" t="s">
        <v>6052</v>
      </c>
      <c r="K4784" s="54">
        <v>0</v>
      </c>
      <c r="L4784" s="22" t="s">
        <v>1563</v>
      </c>
      <c r="M4784" s="22" t="s">
        <v>37210</v>
      </c>
    </row>
    <row r="4785" spans="1:13" x14ac:dyDescent="0.75">
      <c r="A4785" t="s">
        <v>24839</v>
      </c>
      <c r="B4785" t="s">
        <v>7281</v>
      </c>
      <c r="C4785" t="s">
        <v>6657</v>
      </c>
      <c r="D4785" t="s">
        <v>7282</v>
      </c>
      <c r="E4785" t="s">
        <v>24840</v>
      </c>
      <c r="F4785">
        <v>52</v>
      </c>
      <c r="G4785">
        <v>2033547</v>
      </c>
      <c r="H4785" t="s">
        <v>24841</v>
      </c>
      <c r="J4785" s="54" t="s">
        <v>6052</v>
      </c>
      <c r="K4785" s="54">
        <v>0</v>
      </c>
      <c r="L4785" s="22" t="s">
        <v>1563</v>
      </c>
      <c r="M4785" s="22" t="s">
        <v>37210</v>
      </c>
    </row>
    <row r="4786" spans="1:13" x14ac:dyDescent="0.75">
      <c r="A4786" t="s">
        <v>24836</v>
      </c>
      <c r="B4786" t="s">
        <v>7281</v>
      </c>
      <c r="C4786" t="s">
        <v>6657</v>
      </c>
      <c r="D4786" t="s">
        <v>7282</v>
      </c>
      <c r="E4786" t="s">
        <v>24837</v>
      </c>
      <c r="F4786">
        <v>51</v>
      </c>
      <c r="G4786">
        <v>2031286</v>
      </c>
      <c r="H4786" t="s">
        <v>24838</v>
      </c>
      <c r="J4786" s="54" t="s">
        <v>6052</v>
      </c>
      <c r="K4786" s="54">
        <v>0</v>
      </c>
      <c r="L4786" s="22" t="s">
        <v>1563</v>
      </c>
      <c r="M4786" s="22" t="s">
        <v>37210</v>
      </c>
    </row>
    <row r="4787" spans="1:13" x14ac:dyDescent="0.75">
      <c r="A4787" t="s">
        <v>24830</v>
      </c>
      <c r="B4787" t="s">
        <v>7281</v>
      </c>
      <c r="C4787" t="s">
        <v>6657</v>
      </c>
      <c r="D4787" t="s">
        <v>7282</v>
      </c>
      <c r="E4787" t="s">
        <v>24831</v>
      </c>
      <c r="F4787">
        <v>47</v>
      </c>
      <c r="G4787">
        <v>2025954</v>
      </c>
      <c r="H4787" t="s">
        <v>24832</v>
      </c>
      <c r="J4787" s="54" t="s">
        <v>6052</v>
      </c>
      <c r="K4787" s="54">
        <v>0</v>
      </c>
      <c r="L4787" s="22" t="s">
        <v>1563</v>
      </c>
      <c r="M4787" s="22" t="s">
        <v>37210</v>
      </c>
    </row>
    <row r="4788" spans="1:13" x14ac:dyDescent="0.75">
      <c r="A4788" t="s">
        <v>24833</v>
      </c>
      <c r="B4788" t="s">
        <v>7281</v>
      </c>
      <c r="C4788" t="s">
        <v>6657</v>
      </c>
      <c r="D4788" t="s">
        <v>7282</v>
      </c>
      <c r="E4788" t="s">
        <v>24834</v>
      </c>
      <c r="F4788">
        <v>49</v>
      </c>
      <c r="G4788">
        <v>2027472</v>
      </c>
      <c r="H4788" t="s">
        <v>24835</v>
      </c>
      <c r="J4788" s="54" t="s">
        <v>6052</v>
      </c>
      <c r="K4788" s="54">
        <v>0</v>
      </c>
      <c r="L4788" s="22" t="s">
        <v>1563</v>
      </c>
      <c r="M4788" s="22" t="s">
        <v>37210</v>
      </c>
    </row>
    <row r="4789" spans="1:13" x14ac:dyDescent="0.75">
      <c r="A4789" t="s">
        <v>24824</v>
      </c>
      <c r="B4789" t="s">
        <v>7281</v>
      </c>
      <c r="C4789" t="s">
        <v>6657</v>
      </c>
      <c r="D4789" t="s">
        <v>7282</v>
      </c>
      <c r="E4789" t="s">
        <v>24825</v>
      </c>
      <c r="F4789">
        <v>52</v>
      </c>
      <c r="G4789">
        <v>2029923</v>
      </c>
      <c r="H4789" t="s">
        <v>24826</v>
      </c>
      <c r="J4789" s="54" t="s">
        <v>6052</v>
      </c>
      <c r="K4789" s="54">
        <v>0</v>
      </c>
      <c r="L4789" s="22" t="s">
        <v>1563</v>
      </c>
      <c r="M4789" s="22" t="s">
        <v>37210</v>
      </c>
    </row>
    <row r="4790" spans="1:13" x14ac:dyDescent="0.75">
      <c r="A4790" t="s">
        <v>24878</v>
      </c>
      <c r="B4790" t="s">
        <v>7281</v>
      </c>
      <c r="C4790" t="s">
        <v>6657</v>
      </c>
      <c r="D4790" t="s">
        <v>7282</v>
      </c>
      <c r="E4790" t="s">
        <v>24879</v>
      </c>
      <c r="F4790">
        <v>84</v>
      </c>
      <c r="G4790">
        <v>2130226</v>
      </c>
      <c r="H4790" t="s">
        <v>24880</v>
      </c>
      <c r="J4790" s="54" t="s">
        <v>6052</v>
      </c>
      <c r="K4790" s="54">
        <v>0</v>
      </c>
      <c r="L4790" s="22" t="s">
        <v>1563</v>
      </c>
      <c r="M4790" s="22" t="s">
        <v>37210</v>
      </c>
    </row>
    <row r="4791" spans="1:13" x14ac:dyDescent="0.75">
      <c r="A4791" t="s">
        <v>24875</v>
      </c>
      <c r="B4791" t="s">
        <v>7281</v>
      </c>
      <c r="C4791" t="s">
        <v>6657</v>
      </c>
      <c r="D4791" t="s">
        <v>7282</v>
      </c>
      <c r="E4791" t="s">
        <v>24876</v>
      </c>
      <c r="F4791">
        <v>81</v>
      </c>
      <c r="G4791">
        <v>2132440</v>
      </c>
      <c r="H4791" t="s">
        <v>24877</v>
      </c>
      <c r="J4791" s="54" t="s">
        <v>6052</v>
      </c>
      <c r="K4791" s="54">
        <v>0</v>
      </c>
      <c r="L4791" s="22" t="s">
        <v>1563</v>
      </c>
      <c r="M4791" s="22" t="s">
        <v>37210</v>
      </c>
    </row>
    <row r="4792" spans="1:13" x14ac:dyDescent="0.75">
      <c r="A4792" t="s">
        <v>24884</v>
      </c>
      <c r="B4792" t="s">
        <v>7281</v>
      </c>
      <c r="C4792" t="s">
        <v>6657</v>
      </c>
      <c r="D4792" t="s">
        <v>7282</v>
      </c>
      <c r="E4792" t="s">
        <v>24885</v>
      </c>
      <c r="F4792">
        <v>83</v>
      </c>
      <c r="G4792">
        <v>2129957</v>
      </c>
      <c r="H4792" t="s">
        <v>24886</v>
      </c>
      <c r="J4792" s="54" t="s">
        <v>6052</v>
      </c>
      <c r="K4792" s="54">
        <v>0</v>
      </c>
      <c r="L4792" s="22" t="s">
        <v>1563</v>
      </c>
      <c r="M4792" s="22" t="s">
        <v>37210</v>
      </c>
    </row>
    <row r="4793" spans="1:13" x14ac:dyDescent="0.75">
      <c r="A4793" t="s">
        <v>11881</v>
      </c>
      <c r="B4793" t="s">
        <v>7281</v>
      </c>
      <c r="C4793" t="s">
        <v>6657</v>
      </c>
      <c r="D4793" t="s">
        <v>7282</v>
      </c>
      <c r="E4793" t="s">
        <v>11882</v>
      </c>
      <c r="F4793">
        <v>106</v>
      </c>
      <c r="G4793">
        <v>2002682</v>
      </c>
      <c r="H4793" t="s">
        <v>11883</v>
      </c>
      <c r="J4793" s="54" t="s">
        <v>6052</v>
      </c>
      <c r="K4793" s="54">
        <v>0</v>
      </c>
      <c r="L4793" s="22" t="s">
        <v>1563</v>
      </c>
      <c r="M4793" s="22" t="s">
        <v>37210</v>
      </c>
    </row>
    <row r="4794" spans="1:13" x14ac:dyDescent="0.75">
      <c r="A4794" t="s">
        <v>20833</v>
      </c>
      <c r="B4794" t="s">
        <v>7281</v>
      </c>
      <c r="C4794" t="s">
        <v>6657</v>
      </c>
      <c r="D4794" t="s">
        <v>7282</v>
      </c>
      <c r="E4794" t="s">
        <v>20834</v>
      </c>
      <c r="F4794">
        <v>70</v>
      </c>
      <c r="G4794">
        <v>1983030</v>
      </c>
      <c r="H4794" t="s">
        <v>20835</v>
      </c>
      <c r="J4794" s="54" t="s">
        <v>6052</v>
      </c>
      <c r="K4794" s="54">
        <v>0</v>
      </c>
      <c r="L4794" s="22" t="s">
        <v>1563</v>
      </c>
      <c r="M4794" s="22" t="s">
        <v>37210</v>
      </c>
    </row>
    <row r="4795" spans="1:13" x14ac:dyDescent="0.75">
      <c r="A4795" t="s">
        <v>28450</v>
      </c>
      <c r="B4795" t="s">
        <v>7281</v>
      </c>
      <c r="C4795" t="s">
        <v>6657</v>
      </c>
      <c r="D4795" t="s">
        <v>7282</v>
      </c>
      <c r="E4795" t="s">
        <v>28451</v>
      </c>
      <c r="F4795">
        <v>38</v>
      </c>
      <c r="G4795">
        <v>1868390</v>
      </c>
      <c r="H4795" t="s">
        <v>28452</v>
      </c>
      <c r="J4795" s="54" t="s">
        <v>6052</v>
      </c>
      <c r="K4795" s="54">
        <v>0</v>
      </c>
      <c r="L4795" s="22" t="s">
        <v>1563</v>
      </c>
      <c r="M4795" s="22" t="s">
        <v>37210</v>
      </c>
    </row>
    <row r="4796" spans="1:13" x14ac:dyDescent="0.75">
      <c r="A4796" t="s">
        <v>3634</v>
      </c>
      <c r="B4796" t="s">
        <v>559</v>
      </c>
      <c r="C4796" t="s">
        <v>6594</v>
      </c>
      <c r="D4796" t="s">
        <v>8295</v>
      </c>
      <c r="E4796" t="s">
        <v>20862</v>
      </c>
      <c r="F4796">
        <v>171</v>
      </c>
      <c r="G4796">
        <v>2815723</v>
      </c>
      <c r="H4796" t="s">
        <v>20863</v>
      </c>
      <c r="J4796" s="54" t="s">
        <v>30844</v>
      </c>
      <c r="K4796" s="54">
        <v>1</v>
      </c>
      <c r="L4796" s="22" t="s">
        <v>104</v>
      </c>
      <c r="M4796" s="22" t="s">
        <v>560</v>
      </c>
    </row>
    <row r="4797" spans="1:13" x14ac:dyDescent="0.75">
      <c r="A4797" t="s">
        <v>11974</v>
      </c>
      <c r="B4797" t="s">
        <v>7281</v>
      </c>
      <c r="C4797" t="s">
        <v>6657</v>
      </c>
      <c r="D4797" t="s">
        <v>7282</v>
      </c>
      <c r="E4797" t="s">
        <v>11975</v>
      </c>
      <c r="F4797">
        <v>105</v>
      </c>
      <c r="G4797">
        <v>2023341</v>
      </c>
      <c r="H4797" t="s">
        <v>11976</v>
      </c>
      <c r="J4797" s="54" t="s">
        <v>6052</v>
      </c>
      <c r="K4797" s="54">
        <v>0</v>
      </c>
      <c r="L4797" s="22" t="s">
        <v>1563</v>
      </c>
      <c r="M4797" s="22" t="s">
        <v>37210</v>
      </c>
    </row>
    <row r="4798" spans="1:13" x14ac:dyDescent="0.75">
      <c r="A4798" t="s">
        <v>9599</v>
      </c>
      <c r="B4798" t="s">
        <v>7281</v>
      </c>
      <c r="C4798" t="s">
        <v>6657</v>
      </c>
      <c r="D4798" t="s">
        <v>7282</v>
      </c>
      <c r="E4798" t="s">
        <v>6504</v>
      </c>
      <c r="F4798">
        <v>124</v>
      </c>
      <c r="G4798">
        <v>1900981</v>
      </c>
      <c r="H4798" t="s">
        <v>9600</v>
      </c>
      <c r="J4798" s="54" t="s">
        <v>6052</v>
      </c>
      <c r="K4798" s="54">
        <v>0</v>
      </c>
      <c r="L4798" s="22" t="s">
        <v>1563</v>
      </c>
      <c r="M4798" s="22" t="s">
        <v>37210</v>
      </c>
    </row>
    <row r="4799" spans="1:13" x14ac:dyDescent="0.75">
      <c r="A4799" t="s">
        <v>27540</v>
      </c>
      <c r="B4799" t="s">
        <v>7281</v>
      </c>
      <c r="C4799" t="s">
        <v>6657</v>
      </c>
      <c r="D4799" t="s">
        <v>7282</v>
      </c>
      <c r="E4799" t="s">
        <v>27541</v>
      </c>
      <c r="F4799">
        <v>5</v>
      </c>
      <c r="G4799">
        <v>2256756</v>
      </c>
      <c r="H4799" t="s">
        <v>27542</v>
      </c>
      <c r="J4799" s="54" t="s">
        <v>6052</v>
      </c>
      <c r="K4799" s="54">
        <v>0</v>
      </c>
      <c r="L4799" s="22" t="s">
        <v>1563</v>
      </c>
      <c r="M4799" s="22" t="s">
        <v>37210</v>
      </c>
    </row>
    <row r="4800" spans="1:13" x14ac:dyDescent="0.75">
      <c r="A4800" t="s">
        <v>30314</v>
      </c>
      <c r="B4800" t="s">
        <v>7281</v>
      </c>
      <c r="C4800" t="s">
        <v>6657</v>
      </c>
      <c r="D4800" t="s">
        <v>7282</v>
      </c>
      <c r="E4800" t="s">
        <v>30315</v>
      </c>
      <c r="F4800">
        <v>84</v>
      </c>
      <c r="G4800">
        <v>1788916</v>
      </c>
      <c r="H4800" t="s">
        <v>30316</v>
      </c>
      <c r="J4800" s="54" t="s">
        <v>6052</v>
      </c>
      <c r="K4800" s="54">
        <v>0</v>
      </c>
      <c r="L4800" s="22" t="s">
        <v>1563</v>
      </c>
      <c r="M4800" s="22" t="s">
        <v>37210</v>
      </c>
    </row>
    <row r="4801" spans="1:13" x14ac:dyDescent="0.75">
      <c r="A4801" t="s">
        <v>30267</v>
      </c>
      <c r="B4801" t="s">
        <v>7281</v>
      </c>
      <c r="C4801" t="s">
        <v>6657</v>
      </c>
      <c r="D4801" t="s">
        <v>7282</v>
      </c>
      <c r="E4801" t="s">
        <v>30268</v>
      </c>
      <c r="F4801">
        <v>47</v>
      </c>
      <c r="G4801">
        <v>1860680</v>
      </c>
      <c r="H4801" t="s">
        <v>30269</v>
      </c>
      <c r="J4801" s="54" t="s">
        <v>6052</v>
      </c>
      <c r="K4801" s="54">
        <v>0</v>
      </c>
      <c r="L4801" s="22" t="s">
        <v>1563</v>
      </c>
      <c r="M4801" s="22" t="s">
        <v>37210</v>
      </c>
    </row>
    <row r="4802" spans="1:13" x14ac:dyDescent="0.75">
      <c r="A4802" t="s">
        <v>30404</v>
      </c>
      <c r="B4802" t="s">
        <v>7281</v>
      </c>
      <c r="C4802" t="s">
        <v>6657</v>
      </c>
      <c r="D4802" t="s">
        <v>7282</v>
      </c>
      <c r="E4802" t="s">
        <v>30405</v>
      </c>
      <c r="F4802">
        <v>83</v>
      </c>
      <c r="G4802">
        <v>2012644</v>
      </c>
      <c r="H4802" t="s">
        <v>30406</v>
      </c>
      <c r="J4802" s="54" t="s">
        <v>6052</v>
      </c>
      <c r="K4802" s="54">
        <v>0</v>
      </c>
      <c r="L4802" s="22" t="s">
        <v>1563</v>
      </c>
      <c r="M4802" s="22" t="s">
        <v>37210</v>
      </c>
    </row>
    <row r="4803" spans="1:13" x14ac:dyDescent="0.75">
      <c r="A4803" t="s">
        <v>29731</v>
      </c>
      <c r="B4803" t="s">
        <v>7281</v>
      </c>
      <c r="C4803" t="s">
        <v>6657</v>
      </c>
      <c r="D4803" t="s">
        <v>7282</v>
      </c>
      <c r="E4803" t="s">
        <v>29732</v>
      </c>
      <c r="F4803">
        <v>62</v>
      </c>
      <c r="G4803">
        <v>1783490</v>
      </c>
      <c r="H4803" t="s">
        <v>29733</v>
      </c>
      <c r="J4803" s="54" t="s">
        <v>6052</v>
      </c>
      <c r="K4803" s="54">
        <v>0</v>
      </c>
      <c r="L4803" s="22" t="s">
        <v>1563</v>
      </c>
      <c r="M4803" s="22" t="s">
        <v>37210</v>
      </c>
    </row>
    <row r="4804" spans="1:13" x14ac:dyDescent="0.75">
      <c r="A4804" t="s">
        <v>25959</v>
      </c>
      <c r="B4804" t="s">
        <v>7281</v>
      </c>
      <c r="C4804" t="s">
        <v>6657</v>
      </c>
      <c r="D4804" t="s">
        <v>7282</v>
      </c>
      <c r="E4804" t="s">
        <v>25960</v>
      </c>
      <c r="F4804">
        <v>76</v>
      </c>
      <c r="G4804">
        <v>1992791</v>
      </c>
      <c r="H4804" t="s">
        <v>25961</v>
      </c>
      <c r="J4804" s="54" t="s">
        <v>6052</v>
      </c>
      <c r="K4804" s="54">
        <v>0</v>
      </c>
      <c r="L4804" s="22" t="s">
        <v>1563</v>
      </c>
      <c r="M4804" s="22" t="s">
        <v>37210</v>
      </c>
    </row>
    <row r="4805" spans="1:13" x14ac:dyDescent="0.75">
      <c r="A4805" t="s">
        <v>8961</v>
      </c>
      <c r="B4805" t="s">
        <v>7281</v>
      </c>
      <c r="C4805" t="s">
        <v>6657</v>
      </c>
      <c r="D4805" t="s">
        <v>7282</v>
      </c>
      <c r="E4805" t="s">
        <v>8962</v>
      </c>
      <c r="F4805">
        <v>110</v>
      </c>
      <c r="G4805">
        <v>1988451</v>
      </c>
      <c r="H4805" t="s">
        <v>8963</v>
      </c>
      <c r="J4805" s="54" t="s">
        <v>6052</v>
      </c>
      <c r="K4805" s="54">
        <v>0</v>
      </c>
      <c r="L4805" s="22" t="s">
        <v>1563</v>
      </c>
      <c r="M4805" s="22" t="s">
        <v>37210</v>
      </c>
    </row>
    <row r="4806" spans="1:13" x14ac:dyDescent="0.75">
      <c r="A4806" t="s">
        <v>4951</v>
      </c>
      <c r="B4806" t="s">
        <v>1604</v>
      </c>
      <c r="C4806" t="s">
        <v>6255</v>
      </c>
      <c r="D4806" t="s">
        <v>12218</v>
      </c>
      <c r="E4806">
        <v>1</v>
      </c>
      <c r="F4806">
        <v>2</v>
      </c>
      <c r="G4806">
        <v>5572610</v>
      </c>
      <c r="H4806" t="s">
        <v>25336</v>
      </c>
      <c r="J4806" s="54" t="s">
        <v>6052</v>
      </c>
      <c r="K4806" s="54">
        <v>0</v>
      </c>
      <c r="L4806" s="22" t="s">
        <v>34</v>
      </c>
      <c r="M4806" s="22" t="s">
        <v>1605</v>
      </c>
    </row>
    <row r="4807" spans="1:13" x14ac:dyDescent="0.75">
      <c r="A4807" t="s">
        <v>4866</v>
      </c>
      <c r="B4807" t="s">
        <v>436</v>
      </c>
      <c r="C4807" t="s">
        <v>6255</v>
      </c>
      <c r="D4807" t="s">
        <v>7478</v>
      </c>
      <c r="E4807" t="s">
        <v>24684</v>
      </c>
      <c r="F4807">
        <v>106</v>
      </c>
      <c r="G4807">
        <v>3854113</v>
      </c>
      <c r="H4807" t="s">
        <v>24685</v>
      </c>
      <c r="J4807" s="54" t="s">
        <v>6052</v>
      </c>
      <c r="K4807" s="54">
        <v>0</v>
      </c>
      <c r="L4807" s="22" t="s">
        <v>34</v>
      </c>
      <c r="M4807" s="22" t="s">
        <v>437</v>
      </c>
    </row>
    <row r="4808" spans="1:13" x14ac:dyDescent="0.75">
      <c r="A4808" t="s">
        <v>4843</v>
      </c>
      <c r="B4808" t="s">
        <v>436</v>
      </c>
      <c r="C4808" t="s">
        <v>6255</v>
      </c>
      <c r="D4808" t="s">
        <v>7478</v>
      </c>
      <c r="E4808" t="s">
        <v>24680</v>
      </c>
      <c r="F4808">
        <v>115</v>
      </c>
      <c r="G4808">
        <v>3852563</v>
      </c>
      <c r="H4808" t="s">
        <v>24681</v>
      </c>
      <c r="J4808" s="54" t="s">
        <v>6052</v>
      </c>
      <c r="K4808" s="54">
        <v>0</v>
      </c>
      <c r="L4808" s="22" t="s">
        <v>34</v>
      </c>
      <c r="M4808" s="22" t="s">
        <v>437</v>
      </c>
    </row>
    <row r="4809" spans="1:13" x14ac:dyDescent="0.75">
      <c r="A4809" t="s">
        <v>4838</v>
      </c>
      <c r="B4809" t="s">
        <v>863</v>
      </c>
      <c r="C4809" t="s">
        <v>6255</v>
      </c>
      <c r="D4809" t="s">
        <v>8644</v>
      </c>
      <c r="E4809" t="s">
        <v>24669</v>
      </c>
      <c r="F4809">
        <v>78</v>
      </c>
      <c r="G4809">
        <v>3917087</v>
      </c>
      <c r="H4809" t="s">
        <v>24670</v>
      </c>
      <c r="J4809" s="54" t="s">
        <v>6052</v>
      </c>
      <c r="K4809" s="54">
        <v>0</v>
      </c>
      <c r="L4809" s="22" t="s">
        <v>34</v>
      </c>
      <c r="M4809" s="22" t="s">
        <v>864</v>
      </c>
    </row>
    <row r="4810" spans="1:13" x14ac:dyDescent="0.75">
      <c r="A4810" t="s">
        <v>2163</v>
      </c>
      <c r="B4810" t="s">
        <v>436</v>
      </c>
      <c r="C4810" t="s">
        <v>6255</v>
      </c>
      <c r="D4810" t="s">
        <v>7478</v>
      </c>
      <c r="E4810" t="s">
        <v>15614</v>
      </c>
      <c r="F4810">
        <v>109</v>
      </c>
      <c r="G4810">
        <v>3729283</v>
      </c>
      <c r="H4810" t="s">
        <v>15615</v>
      </c>
      <c r="J4810" s="54" t="s">
        <v>6052</v>
      </c>
      <c r="K4810" s="54">
        <v>0</v>
      </c>
      <c r="L4810" s="22" t="s">
        <v>34</v>
      </c>
      <c r="M4810" s="22" t="s">
        <v>437</v>
      </c>
    </row>
    <row r="4811" spans="1:13" x14ac:dyDescent="0.75">
      <c r="A4811" t="s">
        <v>2176</v>
      </c>
      <c r="B4811" t="s">
        <v>436</v>
      </c>
      <c r="C4811" t="s">
        <v>6255</v>
      </c>
      <c r="D4811" t="s">
        <v>7478</v>
      </c>
      <c r="E4811" t="s">
        <v>15616</v>
      </c>
      <c r="F4811">
        <v>110</v>
      </c>
      <c r="G4811">
        <v>3721697</v>
      </c>
      <c r="H4811" t="s">
        <v>15617</v>
      </c>
      <c r="J4811" s="54" t="s">
        <v>6052</v>
      </c>
      <c r="K4811" s="54">
        <v>0</v>
      </c>
      <c r="L4811" s="22" t="s">
        <v>34</v>
      </c>
      <c r="M4811" s="22" t="s">
        <v>437</v>
      </c>
    </row>
    <row r="4812" spans="1:13" x14ac:dyDescent="0.75">
      <c r="A4812" t="s">
        <v>4814</v>
      </c>
      <c r="B4812" t="s">
        <v>863</v>
      </c>
      <c r="C4812" t="s">
        <v>6255</v>
      </c>
      <c r="D4812" t="s">
        <v>8644</v>
      </c>
      <c r="E4812" t="s">
        <v>24598</v>
      </c>
      <c r="F4812">
        <v>88</v>
      </c>
      <c r="G4812">
        <v>4032207</v>
      </c>
      <c r="H4812" t="s">
        <v>24599</v>
      </c>
      <c r="J4812" s="54" t="s">
        <v>6052</v>
      </c>
      <c r="K4812" s="54">
        <v>0</v>
      </c>
      <c r="L4812" s="22" t="s">
        <v>34</v>
      </c>
      <c r="M4812" s="22" t="s">
        <v>864</v>
      </c>
    </row>
    <row r="4813" spans="1:13" x14ac:dyDescent="0.75">
      <c r="A4813" t="s">
        <v>2157</v>
      </c>
      <c r="B4813" t="s">
        <v>436</v>
      </c>
      <c r="C4813" t="s">
        <v>6255</v>
      </c>
      <c r="D4813" t="s">
        <v>7478</v>
      </c>
      <c r="E4813" t="s">
        <v>15609</v>
      </c>
      <c r="F4813">
        <v>115</v>
      </c>
      <c r="G4813">
        <v>3530609</v>
      </c>
      <c r="H4813" t="s">
        <v>15610</v>
      </c>
      <c r="J4813" s="54" t="s">
        <v>6052</v>
      </c>
      <c r="K4813" s="54">
        <v>0</v>
      </c>
      <c r="L4813" s="22" t="s">
        <v>34</v>
      </c>
      <c r="M4813" s="22" t="s">
        <v>437</v>
      </c>
    </row>
    <row r="4814" spans="1:13" x14ac:dyDescent="0.75">
      <c r="A4814" t="s">
        <v>2085</v>
      </c>
      <c r="B4814" t="s">
        <v>863</v>
      </c>
      <c r="C4814" t="s">
        <v>6255</v>
      </c>
      <c r="D4814" t="s">
        <v>8644</v>
      </c>
      <c r="E4814" t="s">
        <v>15532</v>
      </c>
      <c r="F4814">
        <v>80</v>
      </c>
      <c r="G4814">
        <v>3948010</v>
      </c>
      <c r="H4814" t="s">
        <v>15533</v>
      </c>
      <c r="J4814" s="54" t="s">
        <v>6052</v>
      </c>
      <c r="K4814" s="54">
        <v>0</v>
      </c>
      <c r="L4814" s="22" t="s">
        <v>34</v>
      </c>
      <c r="M4814" s="22" t="s">
        <v>864</v>
      </c>
    </row>
    <row r="4815" spans="1:13" x14ac:dyDescent="0.75">
      <c r="A4815" t="s">
        <v>2098</v>
      </c>
      <c r="B4815" t="s">
        <v>863</v>
      </c>
      <c r="C4815" t="s">
        <v>6255</v>
      </c>
      <c r="D4815" t="s">
        <v>8644</v>
      </c>
      <c r="E4815" t="s">
        <v>15581</v>
      </c>
      <c r="F4815">
        <v>92</v>
      </c>
      <c r="G4815">
        <v>4177369</v>
      </c>
      <c r="H4815" t="s">
        <v>15582</v>
      </c>
      <c r="J4815" s="54" t="s">
        <v>6052</v>
      </c>
      <c r="K4815" s="54">
        <v>0</v>
      </c>
      <c r="L4815" s="22" t="s">
        <v>34</v>
      </c>
      <c r="M4815" s="22" t="s">
        <v>864</v>
      </c>
    </row>
    <row r="4816" spans="1:13" x14ac:dyDescent="0.75">
      <c r="A4816" t="s">
        <v>2130</v>
      </c>
      <c r="B4816" t="s">
        <v>436</v>
      </c>
      <c r="C4816" t="s">
        <v>6255</v>
      </c>
      <c r="D4816" t="s">
        <v>7478</v>
      </c>
      <c r="E4816" t="s">
        <v>15596</v>
      </c>
      <c r="F4816">
        <v>100</v>
      </c>
      <c r="G4816">
        <v>3723715</v>
      </c>
      <c r="H4816" t="s">
        <v>15597</v>
      </c>
      <c r="J4816" s="54" t="s">
        <v>6052</v>
      </c>
      <c r="K4816" s="54">
        <v>0</v>
      </c>
      <c r="L4816" s="22" t="s">
        <v>34</v>
      </c>
      <c r="M4816" s="22" t="s">
        <v>437</v>
      </c>
    </row>
    <row r="4817" spans="1:13" x14ac:dyDescent="0.75">
      <c r="A4817" t="s">
        <v>33</v>
      </c>
      <c r="B4817" t="s">
        <v>35</v>
      </c>
      <c r="C4817" t="s">
        <v>6255</v>
      </c>
      <c r="D4817" t="s">
        <v>6256</v>
      </c>
      <c r="E4817" t="s">
        <v>6257</v>
      </c>
      <c r="F4817">
        <v>1</v>
      </c>
      <c r="G4817">
        <v>5163189</v>
      </c>
      <c r="H4817" t="s">
        <v>6258</v>
      </c>
      <c r="J4817" s="54" t="s">
        <v>6052</v>
      </c>
      <c r="K4817" s="54">
        <v>0</v>
      </c>
      <c r="L4817" s="22" t="s">
        <v>34</v>
      </c>
      <c r="M4817" s="22" t="s">
        <v>36</v>
      </c>
    </row>
    <row r="4818" spans="1:13" x14ac:dyDescent="0.75">
      <c r="A4818" t="s">
        <v>4596</v>
      </c>
      <c r="B4818" t="s">
        <v>35</v>
      </c>
      <c r="C4818" t="s">
        <v>6255</v>
      </c>
      <c r="D4818" t="s">
        <v>6256</v>
      </c>
      <c r="E4818" t="s">
        <v>23913</v>
      </c>
      <c r="F4818">
        <v>3</v>
      </c>
      <c r="G4818">
        <v>5325727</v>
      </c>
      <c r="H4818" t="s">
        <v>23914</v>
      </c>
      <c r="J4818" s="54" t="s">
        <v>6052</v>
      </c>
      <c r="K4818" s="54">
        <v>0</v>
      </c>
      <c r="L4818" s="22" t="s">
        <v>34</v>
      </c>
      <c r="M4818" s="22" t="s">
        <v>36</v>
      </c>
    </row>
    <row r="4819" spans="1:13" x14ac:dyDescent="0.75">
      <c r="A4819" t="s">
        <v>4496</v>
      </c>
      <c r="B4819" t="s">
        <v>35</v>
      </c>
      <c r="C4819" t="s">
        <v>6255</v>
      </c>
      <c r="D4819" t="s">
        <v>6256</v>
      </c>
      <c r="E4819" t="s">
        <v>23892</v>
      </c>
      <c r="F4819">
        <v>2</v>
      </c>
      <c r="G4819">
        <v>5381150</v>
      </c>
      <c r="H4819" t="s">
        <v>23893</v>
      </c>
      <c r="J4819" s="54" t="s">
        <v>6052</v>
      </c>
      <c r="K4819" s="54">
        <v>0</v>
      </c>
      <c r="L4819" s="22" t="s">
        <v>34</v>
      </c>
      <c r="M4819" s="22" t="s">
        <v>36</v>
      </c>
    </row>
    <row r="4820" spans="1:13" x14ac:dyDescent="0.75">
      <c r="A4820" t="s">
        <v>4657</v>
      </c>
      <c r="B4820" t="s">
        <v>35</v>
      </c>
      <c r="C4820" t="s">
        <v>6255</v>
      </c>
      <c r="D4820" t="s">
        <v>6256</v>
      </c>
      <c r="E4820" t="s">
        <v>23921</v>
      </c>
      <c r="F4820">
        <v>2</v>
      </c>
      <c r="G4820">
        <v>5142176</v>
      </c>
      <c r="H4820" t="s">
        <v>23922</v>
      </c>
      <c r="J4820" s="54" t="s">
        <v>6052</v>
      </c>
      <c r="K4820" s="54">
        <v>0</v>
      </c>
      <c r="L4820" s="22" t="s">
        <v>34</v>
      </c>
      <c r="M4820" s="22" t="s">
        <v>36</v>
      </c>
    </row>
    <row r="4821" spans="1:13" x14ac:dyDescent="0.75">
      <c r="A4821" t="s">
        <v>4620</v>
      </c>
      <c r="B4821" t="s">
        <v>35</v>
      </c>
      <c r="C4821" t="s">
        <v>6255</v>
      </c>
      <c r="D4821" t="s">
        <v>6256</v>
      </c>
      <c r="E4821" t="s">
        <v>23917</v>
      </c>
      <c r="F4821">
        <v>3</v>
      </c>
      <c r="G4821">
        <v>5062946</v>
      </c>
      <c r="H4821" t="s">
        <v>23918</v>
      </c>
      <c r="J4821" s="54" t="s">
        <v>6052</v>
      </c>
      <c r="K4821" s="54">
        <v>0</v>
      </c>
      <c r="L4821" s="22" t="s">
        <v>34</v>
      </c>
      <c r="M4821" s="22" t="s">
        <v>36</v>
      </c>
    </row>
    <row r="4822" spans="1:13" x14ac:dyDescent="0.75">
      <c r="A4822" t="s">
        <v>4273</v>
      </c>
      <c r="B4822" t="s">
        <v>35</v>
      </c>
      <c r="C4822" t="s">
        <v>6255</v>
      </c>
      <c r="D4822" t="s">
        <v>6256</v>
      </c>
      <c r="E4822" t="s">
        <v>23863</v>
      </c>
      <c r="F4822">
        <v>1</v>
      </c>
      <c r="G4822">
        <v>4919717</v>
      </c>
      <c r="H4822" t="s">
        <v>23864</v>
      </c>
      <c r="J4822" s="54" t="s">
        <v>6052</v>
      </c>
      <c r="K4822" s="54">
        <v>0</v>
      </c>
      <c r="L4822" s="22" t="s">
        <v>34</v>
      </c>
      <c r="M4822" s="22" t="s">
        <v>36</v>
      </c>
    </row>
    <row r="4823" spans="1:13" x14ac:dyDescent="0.75">
      <c r="A4823" t="s">
        <v>1603</v>
      </c>
      <c r="B4823" t="s">
        <v>1604</v>
      </c>
      <c r="C4823" t="s">
        <v>6255</v>
      </c>
      <c r="D4823" t="s">
        <v>12218</v>
      </c>
      <c r="E4823" t="s">
        <v>12219</v>
      </c>
      <c r="F4823">
        <v>1</v>
      </c>
      <c r="G4823">
        <v>5310365</v>
      </c>
      <c r="H4823" t="s">
        <v>12220</v>
      </c>
      <c r="J4823" s="54" t="s">
        <v>6052</v>
      </c>
      <c r="K4823" s="54">
        <v>0</v>
      </c>
      <c r="L4823" s="22" t="s">
        <v>34</v>
      </c>
      <c r="M4823" s="22" t="s">
        <v>1605</v>
      </c>
    </row>
    <row r="4824" spans="1:13" x14ac:dyDescent="0.75">
      <c r="A4824" t="s">
        <v>3566</v>
      </c>
      <c r="B4824" t="s">
        <v>35</v>
      </c>
      <c r="C4824" t="s">
        <v>6255</v>
      </c>
      <c r="D4824" t="s">
        <v>6256</v>
      </c>
      <c r="E4824" t="s">
        <v>20736</v>
      </c>
      <c r="F4824">
        <v>2</v>
      </c>
      <c r="G4824">
        <v>5306031</v>
      </c>
      <c r="H4824" t="s">
        <v>20737</v>
      </c>
      <c r="J4824" s="54" t="s">
        <v>6052</v>
      </c>
      <c r="K4824" s="54">
        <v>0</v>
      </c>
      <c r="L4824" s="22" t="s">
        <v>34</v>
      </c>
      <c r="M4824" s="22" t="s">
        <v>36</v>
      </c>
    </row>
    <row r="4825" spans="1:13" x14ac:dyDescent="0.75">
      <c r="A4825" t="s">
        <v>3099</v>
      </c>
      <c r="B4825" t="s">
        <v>863</v>
      </c>
      <c r="C4825" t="s">
        <v>6255</v>
      </c>
      <c r="D4825" t="s">
        <v>8644</v>
      </c>
      <c r="E4825" t="s">
        <v>19833</v>
      </c>
      <c r="F4825">
        <v>70</v>
      </c>
      <c r="G4825">
        <v>4015887</v>
      </c>
      <c r="H4825" t="s">
        <v>19834</v>
      </c>
      <c r="J4825" s="54" t="s">
        <v>6052</v>
      </c>
      <c r="K4825" s="54">
        <v>0</v>
      </c>
      <c r="L4825" s="22" t="s">
        <v>34</v>
      </c>
      <c r="M4825" s="22" t="s">
        <v>864</v>
      </c>
    </row>
    <row r="4826" spans="1:13" x14ac:dyDescent="0.75">
      <c r="A4826" t="s">
        <v>435</v>
      </c>
      <c r="B4826" t="s">
        <v>436</v>
      </c>
      <c r="C4826" t="s">
        <v>6255</v>
      </c>
      <c r="D4826" t="s">
        <v>7478</v>
      </c>
      <c r="E4826" t="s">
        <v>7479</v>
      </c>
      <c r="F4826">
        <v>25</v>
      </c>
      <c r="G4826">
        <v>4421924</v>
      </c>
      <c r="H4826" t="s">
        <v>7480</v>
      </c>
      <c r="J4826" s="54" t="s">
        <v>6052</v>
      </c>
      <c r="K4826" s="54">
        <v>0</v>
      </c>
      <c r="L4826" s="22" t="s">
        <v>34</v>
      </c>
      <c r="M4826" s="22" t="s">
        <v>437</v>
      </c>
    </row>
    <row r="4827" spans="1:13" x14ac:dyDescent="0.75">
      <c r="A4827" t="s">
        <v>862</v>
      </c>
      <c r="B4827" t="s">
        <v>863</v>
      </c>
      <c r="C4827" t="s">
        <v>6255</v>
      </c>
      <c r="D4827" t="s">
        <v>8644</v>
      </c>
      <c r="E4827" t="s">
        <v>9326</v>
      </c>
      <c r="F4827">
        <v>99</v>
      </c>
      <c r="G4827">
        <v>4510688</v>
      </c>
      <c r="H4827" t="s">
        <v>9327</v>
      </c>
      <c r="J4827" s="54" t="s">
        <v>6052</v>
      </c>
      <c r="K4827" s="54">
        <v>0</v>
      </c>
      <c r="L4827" s="22" t="s">
        <v>34</v>
      </c>
      <c r="M4827" s="22" t="s">
        <v>864</v>
      </c>
    </row>
    <row r="4828" spans="1:13" x14ac:dyDescent="0.75">
      <c r="A4828" t="s">
        <v>908</v>
      </c>
      <c r="B4828" t="s">
        <v>863</v>
      </c>
      <c r="C4828" t="s">
        <v>6255</v>
      </c>
      <c r="D4828" t="s">
        <v>8644</v>
      </c>
      <c r="E4828" t="s">
        <v>9326</v>
      </c>
      <c r="F4828">
        <v>55</v>
      </c>
      <c r="G4828">
        <v>4646209</v>
      </c>
      <c r="H4828" t="s">
        <v>9397</v>
      </c>
      <c r="J4828" s="54" t="s">
        <v>6052</v>
      </c>
      <c r="K4828" s="54">
        <v>0</v>
      </c>
      <c r="L4828" s="22" t="s">
        <v>34</v>
      </c>
      <c r="M4828" s="22" t="s">
        <v>864</v>
      </c>
    </row>
    <row r="4829" spans="1:13" x14ac:dyDescent="0.75">
      <c r="A4829" t="s">
        <v>2648</v>
      </c>
      <c r="B4829" t="s">
        <v>1604</v>
      </c>
      <c r="C4829" t="s">
        <v>6255</v>
      </c>
      <c r="D4829" t="s">
        <v>12218</v>
      </c>
      <c r="E4829" t="s">
        <v>18405</v>
      </c>
      <c r="F4829">
        <v>1</v>
      </c>
      <c r="G4829">
        <v>5625488</v>
      </c>
      <c r="H4829" t="s">
        <v>18406</v>
      </c>
      <c r="J4829" s="54" t="s">
        <v>6052</v>
      </c>
      <c r="K4829" s="54">
        <v>0</v>
      </c>
      <c r="L4829" s="22" t="s">
        <v>34</v>
      </c>
      <c r="M4829" s="22" t="s">
        <v>1605</v>
      </c>
    </row>
    <row r="4830" spans="1:13" x14ac:dyDescent="0.75">
      <c r="A4830" t="s">
        <v>4708</v>
      </c>
      <c r="B4830" t="s">
        <v>1604</v>
      </c>
      <c r="C4830" t="s">
        <v>6255</v>
      </c>
      <c r="D4830" t="s">
        <v>12218</v>
      </c>
      <c r="E4830" t="s">
        <v>18405</v>
      </c>
      <c r="F4830">
        <v>1</v>
      </c>
      <c r="G4830">
        <v>5625379</v>
      </c>
      <c r="H4830" t="s">
        <v>24001</v>
      </c>
      <c r="J4830" s="54" t="s">
        <v>6052</v>
      </c>
      <c r="K4830" s="54">
        <v>0</v>
      </c>
      <c r="L4830" s="22" t="s">
        <v>34</v>
      </c>
      <c r="M4830" s="22" t="s">
        <v>1605</v>
      </c>
    </row>
    <row r="4831" spans="1:13" x14ac:dyDescent="0.75">
      <c r="A4831" t="s">
        <v>3185</v>
      </c>
      <c r="B4831" t="s">
        <v>35</v>
      </c>
      <c r="C4831" t="s">
        <v>6255</v>
      </c>
      <c r="D4831" t="s">
        <v>6256</v>
      </c>
      <c r="E4831" t="s">
        <v>20257</v>
      </c>
      <c r="F4831">
        <v>1</v>
      </c>
      <c r="G4831">
        <v>5141011</v>
      </c>
      <c r="H4831" t="s">
        <v>20258</v>
      </c>
      <c r="J4831" s="54" t="s">
        <v>6052</v>
      </c>
      <c r="K4831" s="54">
        <v>0</v>
      </c>
      <c r="L4831" s="22" t="s">
        <v>34</v>
      </c>
      <c r="M4831" s="22" t="s">
        <v>36</v>
      </c>
    </row>
    <row r="4832" spans="1:13" x14ac:dyDescent="0.75">
      <c r="A4832" t="s">
        <v>3193</v>
      </c>
      <c r="B4832" t="s">
        <v>35</v>
      </c>
      <c r="C4832" t="s">
        <v>6255</v>
      </c>
      <c r="D4832" t="s">
        <v>6256</v>
      </c>
      <c r="E4832" t="s">
        <v>20259</v>
      </c>
      <c r="F4832">
        <v>2</v>
      </c>
      <c r="G4832">
        <v>5359526</v>
      </c>
      <c r="H4832" t="s">
        <v>20260</v>
      </c>
      <c r="J4832" s="54" t="s">
        <v>6052</v>
      </c>
      <c r="K4832" s="54">
        <v>0</v>
      </c>
      <c r="L4832" s="22" t="s">
        <v>34</v>
      </c>
      <c r="M4832" s="22" t="s">
        <v>36</v>
      </c>
    </row>
    <row r="4833" spans="1:13" x14ac:dyDescent="0.75">
      <c r="A4833" t="s">
        <v>2657</v>
      </c>
      <c r="B4833" t="s">
        <v>1604</v>
      </c>
      <c r="C4833" t="s">
        <v>6255</v>
      </c>
      <c r="D4833" t="s">
        <v>12218</v>
      </c>
      <c r="E4833" t="s">
        <v>18407</v>
      </c>
      <c r="F4833">
        <v>1</v>
      </c>
      <c r="G4833">
        <v>5511747</v>
      </c>
      <c r="H4833" t="s">
        <v>18408</v>
      </c>
      <c r="J4833" s="54" t="s">
        <v>6052</v>
      </c>
      <c r="K4833" s="54">
        <v>0</v>
      </c>
      <c r="L4833" s="22" t="s">
        <v>34</v>
      </c>
      <c r="M4833" s="22" t="s">
        <v>1605</v>
      </c>
    </row>
    <row r="4834" spans="1:13" x14ac:dyDescent="0.75">
      <c r="A4834" t="s">
        <v>2667</v>
      </c>
      <c r="B4834" t="s">
        <v>1604</v>
      </c>
      <c r="C4834" t="s">
        <v>6255</v>
      </c>
      <c r="D4834" t="s">
        <v>12218</v>
      </c>
      <c r="E4834" t="s">
        <v>18409</v>
      </c>
      <c r="F4834">
        <v>1</v>
      </c>
      <c r="G4834">
        <v>5515594</v>
      </c>
      <c r="H4834" t="s">
        <v>18410</v>
      </c>
      <c r="J4834" s="54" t="s">
        <v>6052</v>
      </c>
      <c r="K4834" s="54">
        <v>0</v>
      </c>
      <c r="L4834" s="22" t="s">
        <v>34</v>
      </c>
      <c r="M4834" s="22" t="s">
        <v>1605</v>
      </c>
    </row>
    <row r="4835" spans="1:13" x14ac:dyDescent="0.75">
      <c r="A4835" t="s">
        <v>2677</v>
      </c>
      <c r="B4835" t="s">
        <v>1604</v>
      </c>
      <c r="C4835" t="s">
        <v>6255</v>
      </c>
      <c r="D4835" t="s">
        <v>12218</v>
      </c>
      <c r="E4835" t="s">
        <v>18411</v>
      </c>
      <c r="F4835">
        <v>1</v>
      </c>
      <c r="G4835">
        <v>5510617</v>
      </c>
      <c r="H4835" t="s">
        <v>18412</v>
      </c>
      <c r="J4835" s="54" t="s">
        <v>6052</v>
      </c>
      <c r="K4835" s="54">
        <v>0</v>
      </c>
      <c r="L4835" s="22" t="s">
        <v>34</v>
      </c>
      <c r="M4835" s="22" t="s">
        <v>1605</v>
      </c>
    </row>
    <row r="4836" spans="1:13" x14ac:dyDescent="0.75">
      <c r="A4836" t="s">
        <v>2686</v>
      </c>
      <c r="B4836" t="s">
        <v>1604</v>
      </c>
      <c r="C4836" t="s">
        <v>6255</v>
      </c>
      <c r="D4836" t="s">
        <v>12218</v>
      </c>
      <c r="E4836" t="s">
        <v>18413</v>
      </c>
      <c r="F4836">
        <v>1</v>
      </c>
      <c r="G4836">
        <v>5575489</v>
      </c>
      <c r="H4836" t="s">
        <v>18414</v>
      </c>
      <c r="J4836" s="54" t="s">
        <v>6052</v>
      </c>
      <c r="K4836" s="54">
        <v>0</v>
      </c>
      <c r="L4836" s="22" t="s">
        <v>34</v>
      </c>
      <c r="M4836" s="22" t="s">
        <v>1605</v>
      </c>
    </row>
    <row r="4837" spans="1:13" x14ac:dyDescent="0.75">
      <c r="A4837" t="s">
        <v>2696</v>
      </c>
      <c r="B4837" t="s">
        <v>1604</v>
      </c>
      <c r="C4837" t="s">
        <v>6255</v>
      </c>
      <c r="D4837" t="s">
        <v>12218</v>
      </c>
      <c r="E4837" t="s">
        <v>18415</v>
      </c>
      <c r="F4837">
        <v>1</v>
      </c>
      <c r="G4837">
        <v>5571237</v>
      </c>
      <c r="H4837" t="s">
        <v>18416</v>
      </c>
      <c r="J4837" s="54" t="s">
        <v>6052</v>
      </c>
      <c r="K4837" s="54">
        <v>0</v>
      </c>
      <c r="L4837" s="22" t="s">
        <v>34</v>
      </c>
      <c r="M4837" s="22" t="s">
        <v>1605</v>
      </c>
    </row>
    <row r="4838" spans="1:13" x14ac:dyDescent="0.75">
      <c r="A4838" t="s">
        <v>4209</v>
      </c>
      <c r="B4838" t="s">
        <v>863</v>
      </c>
      <c r="C4838" t="s">
        <v>6255</v>
      </c>
      <c r="D4838" t="s">
        <v>8644</v>
      </c>
      <c r="E4838" t="s">
        <v>23377</v>
      </c>
      <c r="F4838">
        <v>81</v>
      </c>
      <c r="G4838">
        <v>4740807</v>
      </c>
      <c r="H4838" t="s">
        <v>23378</v>
      </c>
      <c r="J4838" s="54" t="s">
        <v>6052</v>
      </c>
      <c r="K4838" s="54">
        <v>0</v>
      </c>
      <c r="L4838" s="22" t="s">
        <v>34</v>
      </c>
      <c r="M4838" s="22" t="s">
        <v>864</v>
      </c>
    </row>
    <row r="4839" spans="1:13" x14ac:dyDescent="0.75">
      <c r="A4839" t="s">
        <v>4204</v>
      </c>
      <c r="B4839" t="s">
        <v>863</v>
      </c>
      <c r="C4839" t="s">
        <v>6255</v>
      </c>
      <c r="D4839" t="s">
        <v>8644</v>
      </c>
      <c r="E4839" t="s">
        <v>23375</v>
      </c>
      <c r="F4839">
        <v>88</v>
      </c>
      <c r="G4839">
        <v>4458544</v>
      </c>
      <c r="H4839" t="s">
        <v>23376</v>
      </c>
      <c r="J4839" s="54" t="s">
        <v>6052</v>
      </c>
      <c r="K4839" s="54">
        <v>0</v>
      </c>
      <c r="L4839" s="22" t="s">
        <v>34</v>
      </c>
      <c r="M4839" s="22" t="s">
        <v>864</v>
      </c>
    </row>
    <row r="4840" spans="1:13" x14ac:dyDescent="0.75">
      <c r="A4840" t="s">
        <v>5316</v>
      </c>
      <c r="B4840" t="s">
        <v>863</v>
      </c>
      <c r="C4840" t="s">
        <v>6255</v>
      </c>
      <c r="D4840" t="s">
        <v>8644</v>
      </c>
      <c r="E4840" t="s">
        <v>28203</v>
      </c>
      <c r="F4840">
        <v>80</v>
      </c>
      <c r="G4840">
        <v>3948010</v>
      </c>
      <c r="H4840" t="s">
        <v>28204</v>
      </c>
      <c r="J4840" s="54" t="s">
        <v>6052</v>
      </c>
      <c r="K4840" s="54">
        <v>0</v>
      </c>
      <c r="L4840" s="22" t="s">
        <v>34</v>
      </c>
      <c r="M4840" s="22" t="s">
        <v>864</v>
      </c>
    </row>
    <row r="4841" spans="1:13" x14ac:dyDescent="0.75">
      <c r="A4841" t="s">
        <v>5321</v>
      </c>
      <c r="B4841" t="s">
        <v>436</v>
      </c>
      <c r="C4841" t="s">
        <v>6255</v>
      </c>
      <c r="D4841" t="s">
        <v>7478</v>
      </c>
      <c r="E4841" t="s">
        <v>28274</v>
      </c>
      <c r="F4841">
        <v>25</v>
      </c>
      <c r="G4841">
        <v>4421924</v>
      </c>
      <c r="H4841" t="s">
        <v>28275</v>
      </c>
      <c r="J4841" s="54" t="s">
        <v>6052</v>
      </c>
      <c r="K4841" s="54">
        <v>0</v>
      </c>
      <c r="L4841" s="22" t="s">
        <v>34</v>
      </c>
      <c r="M4841" s="22" t="s">
        <v>437</v>
      </c>
    </row>
    <row r="4842" spans="1:13" x14ac:dyDescent="0.75">
      <c r="A4842" t="s">
        <v>4879</v>
      </c>
      <c r="B4842" t="s">
        <v>436</v>
      </c>
      <c r="C4842" t="s">
        <v>6255</v>
      </c>
      <c r="D4842" t="s">
        <v>7478</v>
      </c>
      <c r="E4842" t="s">
        <v>24722</v>
      </c>
      <c r="F4842">
        <v>150</v>
      </c>
      <c r="G4842">
        <v>3663941</v>
      </c>
      <c r="H4842" t="s">
        <v>24723</v>
      </c>
      <c r="J4842" s="54" t="s">
        <v>6052</v>
      </c>
      <c r="K4842" s="54">
        <v>0</v>
      </c>
      <c r="L4842" s="22" t="s">
        <v>34</v>
      </c>
      <c r="M4842" s="22" t="s">
        <v>437</v>
      </c>
    </row>
    <row r="4843" spans="1:13" x14ac:dyDescent="0.75">
      <c r="A4843" t="s">
        <v>2090</v>
      </c>
      <c r="B4843" t="s">
        <v>436</v>
      </c>
      <c r="C4843" t="s">
        <v>6255</v>
      </c>
      <c r="D4843" t="s">
        <v>7478</v>
      </c>
      <c r="E4843" t="s">
        <v>15549</v>
      </c>
      <c r="F4843">
        <v>79</v>
      </c>
      <c r="G4843">
        <v>3889096</v>
      </c>
      <c r="H4843" t="s">
        <v>15550</v>
      </c>
      <c r="J4843" s="54" t="s">
        <v>6052</v>
      </c>
      <c r="K4843" s="54">
        <v>0</v>
      </c>
      <c r="L4843" s="22" t="s">
        <v>34</v>
      </c>
      <c r="M4843" s="22" t="s">
        <v>437</v>
      </c>
    </row>
    <row r="4844" spans="1:13" x14ac:dyDescent="0.75">
      <c r="A4844" t="s">
        <v>2504</v>
      </c>
      <c r="B4844" t="s">
        <v>35</v>
      </c>
      <c r="C4844" t="s">
        <v>6255</v>
      </c>
      <c r="D4844" t="s">
        <v>6256</v>
      </c>
      <c r="E4844" t="s">
        <v>17443</v>
      </c>
      <c r="F4844">
        <v>1</v>
      </c>
      <c r="G4844">
        <v>5010342</v>
      </c>
      <c r="H4844" t="s">
        <v>17444</v>
      </c>
      <c r="J4844" s="54" t="s">
        <v>6052</v>
      </c>
      <c r="K4844" s="54">
        <v>0</v>
      </c>
      <c r="L4844" s="22" t="s">
        <v>34</v>
      </c>
      <c r="M4844" s="22" t="s">
        <v>36</v>
      </c>
    </row>
    <row r="4845" spans="1:13" x14ac:dyDescent="0.75">
      <c r="A4845" t="s">
        <v>3655</v>
      </c>
      <c r="B4845" t="s">
        <v>559</v>
      </c>
      <c r="C4845" t="s">
        <v>6594</v>
      </c>
      <c r="D4845" t="s">
        <v>8295</v>
      </c>
      <c r="E4845" t="s">
        <v>20964</v>
      </c>
      <c r="F4845">
        <v>75</v>
      </c>
      <c r="G4845">
        <v>2945174</v>
      </c>
      <c r="H4845" t="s">
        <v>20965</v>
      </c>
      <c r="J4845" s="54" t="s">
        <v>30844</v>
      </c>
      <c r="K4845" s="54">
        <v>1</v>
      </c>
      <c r="L4845" s="22" t="s">
        <v>104</v>
      </c>
      <c r="M4845" s="22" t="s">
        <v>560</v>
      </c>
    </row>
    <row r="4846" spans="1:13" x14ac:dyDescent="0.75">
      <c r="A4846" t="s">
        <v>3026</v>
      </c>
      <c r="B4846" t="s">
        <v>559</v>
      </c>
      <c r="C4846" t="s">
        <v>6594</v>
      </c>
      <c r="D4846" t="s">
        <v>8295</v>
      </c>
      <c r="E4846" t="s">
        <v>19514</v>
      </c>
      <c r="F4846">
        <v>157</v>
      </c>
      <c r="G4846">
        <v>2832231</v>
      </c>
      <c r="H4846" t="s">
        <v>19515</v>
      </c>
      <c r="J4846" s="54" t="s">
        <v>19514</v>
      </c>
      <c r="K4846" s="54">
        <v>1</v>
      </c>
      <c r="L4846" s="22" t="s">
        <v>104</v>
      </c>
      <c r="M4846" s="22" t="s">
        <v>560</v>
      </c>
    </row>
    <row r="4847" spans="1:13" x14ac:dyDescent="0.75">
      <c r="A4847" t="s">
        <v>3036</v>
      </c>
      <c r="B4847" t="s">
        <v>559</v>
      </c>
      <c r="C4847" t="s">
        <v>6594</v>
      </c>
      <c r="D4847" t="s">
        <v>8295</v>
      </c>
      <c r="E4847" t="s">
        <v>19518</v>
      </c>
      <c r="F4847">
        <v>96</v>
      </c>
      <c r="G4847">
        <v>2811180</v>
      </c>
      <c r="H4847" t="s">
        <v>19519</v>
      </c>
      <c r="J4847" s="54" t="s">
        <v>19518</v>
      </c>
      <c r="K4847" s="54">
        <v>1</v>
      </c>
      <c r="L4847" s="22" t="s">
        <v>104</v>
      </c>
      <c r="M4847" s="22" t="s">
        <v>560</v>
      </c>
    </row>
    <row r="4848" spans="1:13" x14ac:dyDescent="0.75">
      <c r="A4848" t="s">
        <v>3041</v>
      </c>
      <c r="B4848" t="s">
        <v>559</v>
      </c>
      <c r="C4848" t="s">
        <v>6594</v>
      </c>
      <c r="D4848" t="s">
        <v>8295</v>
      </c>
      <c r="E4848" t="s">
        <v>19520</v>
      </c>
      <c r="F4848">
        <v>111</v>
      </c>
      <c r="G4848">
        <v>2921805</v>
      </c>
      <c r="H4848" t="s">
        <v>19521</v>
      </c>
      <c r="J4848" s="54" t="s">
        <v>19520</v>
      </c>
      <c r="K4848" s="54">
        <v>1</v>
      </c>
      <c r="L4848" s="22" t="s">
        <v>104</v>
      </c>
      <c r="M4848" s="22" t="s">
        <v>560</v>
      </c>
    </row>
    <row r="4849" spans="1:13" x14ac:dyDescent="0.75">
      <c r="A4849" t="s">
        <v>3047</v>
      </c>
      <c r="B4849" t="s">
        <v>559</v>
      </c>
      <c r="C4849" t="s">
        <v>6594</v>
      </c>
      <c r="D4849" t="s">
        <v>8295</v>
      </c>
      <c r="E4849" t="s">
        <v>19522</v>
      </c>
      <c r="F4849">
        <v>94</v>
      </c>
      <c r="G4849">
        <v>2551002</v>
      </c>
      <c r="H4849" t="s">
        <v>19523</v>
      </c>
      <c r="J4849" s="54" t="s">
        <v>19522</v>
      </c>
      <c r="K4849" s="54">
        <v>1</v>
      </c>
      <c r="L4849" s="22" t="s">
        <v>104</v>
      </c>
      <c r="M4849" s="22" t="s">
        <v>560</v>
      </c>
    </row>
    <row r="4850" spans="1:13" x14ac:dyDescent="0.75">
      <c r="A4850" t="s">
        <v>3057</v>
      </c>
      <c r="B4850" t="s">
        <v>559</v>
      </c>
      <c r="C4850" t="s">
        <v>6594</v>
      </c>
      <c r="D4850" t="s">
        <v>8295</v>
      </c>
      <c r="E4850" t="s">
        <v>19526</v>
      </c>
      <c r="F4850">
        <v>51</v>
      </c>
      <c r="G4850">
        <v>3063233</v>
      </c>
      <c r="H4850" t="s">
        <v>19527</v>
      </c>
      <c r="J4850" s="54" t="s">
        <v>19526</v>
      </c>
      <c r="K4850" s="54">
        <v>1</v>
      </c>
      <c r="L4850" s="22" t="s">
        <v>104</v>
      </c>
      <c r="M4850" s="22" t="s">
        <v>560</v>
      </c>
    </row>
    <row r="4851" spans="1:13" x14ac:dyDescent="0.75">
      <c r="A4851" t="s">
        <v>3061</v>
      </c>
      <c r="B4851" t="s">
        <v>559</v>
      </c>
      <c r="C4851" t="s">
        <v>6594</v>
      </c>
      <c r="D4851" t="s">
        <v>8295</v>
      </c>
      <c r="E4851" t="s">
        <v>19531</v>
      </c>
      <c r="F4851">
        <v>103</v>
      </c>
      <c r="G4851">
        <v>3116790</v>
      </c>
      <c r="H4851" t="s">
        <v>19532</v>
      </c>
      <c r="J4851" s="54" t="s">
        <v>19531</v>
      </c>
      <c r="K4851" s="54">
        <v>1</v>
      </c>
      <c r="L4851" s="22" t="s">
        <v>104</v>
      </c>
      <c r="M4851" s="22" t="s">
        <v>560</v>
      </c>
    </row>
    <row r="4852" spans="1:13" x14ac:dyDescent="0.75">
      <c r="A4852" t="s">
        <v>1258</v>
      </c>
      <c r="B4852" t="s">
        <v>559</v>
      </c>
      <c r="C4852" t="s">
        <v>6594</v>
      </c>
      <c r="D4852" t="s">
        <v>8295</v>
      </c>
      <c r="E4852" t="s">
        <v>10298</v>
      </c>
      <c r="F4852">
        <v>55</v>
      </c>
      <c r="G4852">
        <v>2949807</v>
      </c>
      <c r="H4852" t="s">
        <v>10299</v>
      </c>
      <c r="J4852" s="54" t="s">
        <v>10298</v>
      </c>
      <c r="K4852" s="54">
        <v>1</v>
      </c>
      <c r="L4852" s="22" t="s">
        <v>104</v>
      </c>
      <c r="M4852" s="22" t="s">
        <v>560</v>
      </c>
    </row>
    <row r="4853" spans="1:13" x14ac:dyDescent="0.75">
      <c r="A4853" t="s">
        <v>558</v>
      </c>
      <c r="B4853" t="s">
        <v>559</v>
      </c>
      <c r="C4853" t="s">
        <v>6594</v>
      </c>
      <c r="D4853" t="s">
        <v>8295</v>
      </c>
      <c r="E4853" t="s">
        <v>8296</v>
      </c>
      <c r="F4853">
        <v>39</v>
      </c>
      <c r="G4853">
        <v>2992428</v>
      </c>
      <c r="H4853" t="s">
        <v>8297</v>
      </c>
      <c r="J4853" s="54" t="s">
        <v>8296</v>
      </c>
      <c r="K4853" s="54">
        <v>1</v>
      </c>
      <c r="L4853" s="22" t="s">
        <v>104</v>
      </c>
      <c r="M4853" s="22" t="s">
        <v>560</v>
      </c>
    </row>
    <row r="4854" spans="1:13" x14ac:dyDescent="0.75">
      <c r="A4854" t="s">
        <v>3420</v>
      </c>
      <c r="B4854" t="s">
        <v>559</v>
      </c>
      <c r="C4854" t="s">
        <v>6594</v>
      </c>
      <c r="D4854" t="s">
        <v>8295</v>
      </c>
      <c r="E4854" t="s">
        <v>8296</v>
      </c>
      <c r="F4854">
        <v>2</v>
      </c>
      <c r="G4854">
        <v>2999514</v>
      </c>
      <c r="H4854" t="s">
        <v>20659</v>
      </c>
      <c r="J4854" s="54" t="s">
        <v>8296</v>
      </c>
      <c r="K4854" s="54">
        <v>1</v>
      </c>
      <c r="L4854" s="22" t="s">
        <v>104</v>
      </c>
      <c r="M4854" s="22" t="s">
        <v>560</v>
      </c>
    </row>
    <row r="4855" spans="1:13" x14ac:dyDescent="0.75">
      <c r="A4855" t="s">
        <v>7174</v>
      </c>
      <c r="B4855" t="s">
        <v>7175</v>
      </c>
      <c r="C4855" t="s">
        <v>6118</v>
      </c>
      <c r="D4855" t="s">
        <v>7176</v>
      </c>
      <c r="E4855" t="s">
        <v>7177</v>
      </c>
      <c r="F4855">
        <v>250</v>
      </c>
      <c r="G4855">
        <v>2242885</v>
      </c>
      <c r="H4855" t="s">
        <v>7178</v>
      </c>
      <c r="J4855" s="54" t="s">
        <v>6052</v>
      </c>
      <c r="K4855" s="54">
        <v>0</v>
      </c>
      <c r="L4855" s="22" t="s">
        <v>1308</v>
      </c>
      <c r="M4855" s="22" t="s">
        <v>37212</v>
      </c>
    </row>
    <row r="4856" spans="1:13" x14ac:dyDescent="0.75">
      <c r="A4856" t="s">
        <v>1322</v>
      </c>
      <c r="B4856" t="s">
        <v>559</v>
      </c>
      <c r="C4856" t="s">
        <v>6594</v>
      </c>
      <c r="D4856" t="s">
        <v>8295</v>
      </c>
      <c r="E4856" t="s">
        <v>10599</v>
      </c>
      <c r="F4856">
        <v>109</v>
      </c>
      <c r="G4856">
        <v>3059956</v>
      </c>
      <c r="H4856" t="s">
        <v>10600</v>
      </c>
      <c r="J4856" s="54" t="s">
        <v>10599</v>
      </c>
      <c r="K4856" s="54">
        <v>1</v>
      </c>
      <c r="L4856" s="22" t="s">
        <v>104</v>
      </c>
      <c r="M4856" s="22" t="s">
        <v>560</v>
      </c>
    </row>
    <row r="4857" spans="1:13" x14ac:dyDescent="0.75">
      <c r="A4857" t="s">
        <v>2047</v>
      </c>
      <c r="B4857" t="s">
        <v>2048</v>
      </c>
      <c r="C4857" t="s">
        <v>6594</v>
      </c>
      <c r="D4857" t="s">
        <v>14792</v>
      </c>
      <c r="E4857" t="s">
        <v>14793</v>
      </c>
      <c r="F4857">
        <v>2</v>
      </c>
      <c r="G4857">
        <v>3198654</v>
      </c>
      <c r="H4857" t="s">
        <v>14794</v>
      </c>
      <c r="J4857" s="54" t="s">
        <v>14793</v>
      </c>
      <c r="K4857" s="54">
        <v>1</v>
      </c>
      <c r="L4857" s="22" t="s">
        <v>104</v>
      </c>
      <c r="M4857" s="22" t="s">
        <v>2049</v>
      </c>
    </row>
    <row r="4858" spans="1:13" x14ac:dyDescent="0.75">
      <c r="A4858" t="s">
        <v>3310</v>
      </c>
      <c r="B4858" t="s">
        <v>2048</v>
      </c>
      <c r="C4858" t="s">
        <v>6594</v>
      </c>
      <c r="D4858" t="s">
        <v>14792</v>
      </c>
      <c r="E4858" t="s">
        <v>20493</v>
      </c>
      <c r="F4858">
        <v>144</v>
      </c>
      <c r="G4858">
        <v>3088950</v>
      </c>
      <c r="H4858" t="s">
        <v>20494</v>
      </c>
      <c r="J4858" s="54" t="s">
        <v>20493</v>
      </c>
      <c r="K4858" s="54">
        <v>1</v>
      </c>
      <c r="L4858" s="22" t="s">
        <v>104</v>
      </c>
      <c r="M4858" s="22" t="s">
        <v>2049</v>
      </c>
    </row>
    <row r="4859" spans="1:13" x14ac:dyDescent="0.75">
      <c r="A4859" t="s">
        <v>8599</v>
      </c>
      <c r="B4859" t="s">
        <v>8600</v>
      </c>
      <c r="C4859" t="s">
        <v>6594</v>
      </c>
      <c r="D4859" t="s">
        <v>8601</v>
      </c>
      <c r="E4859">
        <v>17</v>
      </c>
      <c r="F4859">
        <v>2</v>
      </c>
      <c r="G4859">
        <v>2699437</v>
      </c>
      <c r="H4859" t="s">
        <v>8602</v>
      </c>
      <c r="J4859" s="54" t="s">
        <v>6052</v>
      </c>
      <c r="K4859" s="54">
        <v>0</v>
      </c>
      <c r="L4859" s="22" t="s">
        <v>104</v>
      </c>
      <c r="M4859" s="22" t="s">
        <v>37219</v>
      </c>
    </row>
    <row r="4860" spans="1:13" x14ac:dyDescent="0.75">
      <c r="A4860" t="s">
        <v>11858</v>
      </c>
      <c r="B4860" t="s">
        <v>8600</v>
      </c>
      <c r="C4860" t="s">
        <v>6594</v>
      </c>
      <c r="D4860" t="s">
        <v>8601</v>
      </c>
      <c r="E4860" t="s">
        <v>11859</v>
      </c>
      <c r="F4860">
        <v>2</v>
      </c>
      <c r="G4860">
        <v>2737273</v>
      </c>
      <c r="H4860" t="s">
        <v>11860</v>
      </c>
      <c r="J4860" s="54" t="s">
        <v>6052</v>
      </c>
      <c r="K4860" s="54">
        <v>0</v>
      </c>
      <c r="L4860" s="22" t="s">
        <v>104</v>
      </c>
      <c r="M4860" s="22" t="s">
        <v>37219</v>
      </c>
    </row>
    <row r="4861" spans="1:13" x14ac:dyDescent="0.75">
      <c r="A4861" t="s">
        <v>16053</v>
      </c>
      <c r="B4861" t="s">
        <v>8600</v>
      </c>
      <c r="C4861" t="s">
        <v>6594</v>
      </c>
      <c r="D4861" t="s">
        <v>8601</v>
      </c>
      <c r="E4861" t="s">
        <v>16054</v>
      </c>
      <c r="F4861">
        <v>78</v>
      </c>
      <c r="G4861">
        <v>2848426</v>
      </c>
      <c r="H4861" t="s">
        <v>16055</v>
      </c>
      <c r="J4861" s="54" t="s">
        <v>6052</v>
      </c>
      <c r="K4861" s="54">
        <v>0</v>
      </c>
      <c r="L4861" s="22" t="s">
        <v>104</v>
      </c>
      <c r="M4861" s="22" t="s">
        <v>37219</v>
      </c>
    </row>
    <row r="4862" spans="1:13" x14ac:dyDescent="0.75">
      <c r="A4862" t="s">
        <v>16085</v>
      </c>
      <c r="B4862" t="s">
        <v>8600</v>
      </c>
      <c r="C4862" t="s">
        <v>6594</v>
      </c>
      <c r="D4862" t="s">
        <v>8601</v>
      </c>
      <c r="E4862" t="s">
        <v>16086</v>
      </c>
      <c r="F4862">
        <v>74</v>
      </c>
      <c r="G4862">
        <v>2849281</v>
      </c>
      <c r="H4862" t="s">
        <v>16087</v>
      </c>
      <c r="J4862" s="54" t="s">
        <v>6052</v>
      </c>
      <c r="K4862" s="54">
        <v>0</v>
      </c>
      <c r="L4862" s="22" t="s">
        <v>104</v>
      </c>
      <c r="M4862" s="22" t="s">
        <v>37219</v>
      </c>
    </row>
    <row r="4863" spans="1:13" x14ac:dyDescent="0.75">
      <c r="A4863" t="s">
        <v>10143</v>
      </c>
      <c r="B4863" t="s">
        <v>8600</v>
      </c>
      <c r="C4863" t="s">
        <v>6594</v>
      </c>
      <c r="D4863" t="s">
        <v>8601</v>
      </c>
      <c r="E4863" t="s">
        <v>10144</v>
      </c>
      <c r="F4863">
        <v>26</v>
      </c>
      <c r="G4863">
        <v>2573247</v>
      </c>
      <c r="H4863" t="s">
        <v>10145</v>
      </c>
      <c r="J4863" s="54" t="s">
        <v>6052</v>
      </c>
      <c r="K4863" s="54">
        <v>0</v>
      </c>
      <c r="L4863" s="22" t="s">
        <v>104</v>
      </c>
      <c r="M4863" s="22" t="s">
        <v>37219</v>
      </c>
    </row>
    <row r="4864" spans="1:13" x14ac:dyDescent="0.75">
      <c r="A4864" t="s">
        <v>13254</v>
      </c>
      <c r="B4864" t="s">
        <v>8600</v>
      </c>
      <c r="C4864" t="s">
        <v>6594</v>
      </c>
      <c r="D4864" t="s">
        <v>8601</v>
      </c>
      <c r="E4864" t="s">
        <v>10144</v>
      </c>
      <c r="F4864">
        <v>2</v>
      </c>
      <c r="G4864">
        <v>2674170</v>
      </c>
      <c r="H4864" t="s">
        <v>13255</v>
      </c>
      <c r="J4864" s="54" t="s">
        <v>6052</v>
      </c>
      <c r="K4864" s="54">
        <v>0</v>
      </c>
      <c r="L4864" s="22" t="s">
        <v>104</v>
      </c>
      <c r="M4864" s="22" t="s">
        <v>37219</v>
      </c>
    </row>
    <row r="4865" spans="1:13" x14ac:dyDescent="0.75">
      <c r="A4865" t="s">
        <v>12107</v>
      </c>
      <c r="B4865" t="s">
        <v>8600</v>
      </c>
      <c r="C4865" t="s">
        <v>6594</v>
      </c>
      <c r="D4865" t="s">
        <v>8601</v>
      </c>
      <c r="E4865" t="s">
        <v>12108</v>
      </c>
      <c r="F4865">
        <v>70</v>
      </c>
      <c r="G4865">
        <v>2673161</v>
      </c>
      <c r="H4865" t="s">
        <v>12109</v>
      </c>
      <c r="J4865" s="54" t="s">
        <v>6052</v>
      </c>
      <c r="K4865" s="54">
        <v>0</v>
      </c>
      <c r="L4865" s="22" t="s">
        <v>104</v>
      </c>
      <c r="M4865" s="22" t="s">
        <v>37219</v>
      </c>
    </row>
    <row r="4866" spans="1:13" x14ac:dyDescent="0.75">
      <c r="A4866" t="s">
        <v>9615</v>
      </c>
      <c r="B4866" t="s">
        <v>8600</v>
      </c>
      <c r="C4866" t="s">
        <v>6594</v>
      </c>
      <c r="D4866" t="s">
        <v>8601</v>
      </c>
      <c r="E4866" t="s">
        <v>9616</v>
      </c>
      <c r="F4866">
        <v>25</v>
      </c>
      <c r="G4866">
        <v>2564533</v>
      </c>
      <c r="H4866" t="s">
        <v>9617</v>
      </c>
      <c r="J4866" s="54" t="s">
        <v>6052</v>
      </c>
      <c r="K4866" s="54">
        <v>0</v>
      </c>
      <c r="L4866" s="22" t="s">
        <v>104</v>
      </c>
      <c r="M4866" s="22" t="s">
        <v>37219</v>
      </c>
    </row>
    <row r="4867" spans="1:13" x14ac:dyDescent="0.75">
      <c r="A4867" t="s">
        <v>23171</v>
      </c>
      <c r="B4867" t="s">
        <v>8600</v>
      </c>
      <c r="C4867" t="s">
        <v>6594</v>
      </c>
      <c r="D4867" t="s">
        <v>8601</v>
      </c>
      <c r="E4867" t="s">
        <v>23172</v>
      </c>
      <c r="F4867">
        <v>52</v>
      </c>
      <c r="G4867">
        <v>2635238</v>
      </c>
      <c r="H4867" t="s">
        <v>23173</v>
      </c>
      <c r="J4867" s="54" t="s">
        <v>6052</v>
      </c>
      <c r="K4867" s="54">
        <v>0</v>
      </c>
      <c r="L4867" s="22" t="s">
        <v>104</v>
      </c>
      <c r="M4867" s="22" t="s">
        <v>37219</v>
      </c>
    </row>
    <row r="4868" spans="1:13" x14ac:dyDescent="0.75">
      <c r="A4868" t="s">
        <v>14102</v>
      </c>
      <c r="B4868" t="s">
        <v>8600</v>
      </c>
      <c r="C4868" t="s">
        <v>6594</v>
      </c>
      <c r="D4868" t="s">
        <v>8601</v>
      </c>
      <c r="E4868" t="s">
        <v>14103</v>
      </c>
      <c r="F4868">
        <v>4</v>
      </c>
      <c r="G4868">
        <v>2905571</v>
      </c>
      <c r="H4868" t="s">
        <v>14104</v>
      </c>
      <c r="J4868" s="54" t="s">
        <v>6052</v>
      </c>
      <c r="K4868" s="54">
        <v>0</v>
      </c>
      <c r="L4868" s="22" t="s">
        <v>104</v>
      </c>
      <c r="M4868" s="22" t="s">
        <v>37219</v>
      </c>
    </row>
    <row r="4869" spans="1:13" x14ac:dyDescent="0.75">
      <c r="A4869" t="s">
        <v>13696</v>
      </c>
      <c r="B4869" t="s">
        <v>8600</v>
      </c>
      <c r="C4869" t="s">
        <v>6594</v>
      </c>
      <c r="D4869" t="s">
        <v>8601</v>
      </c>
      <c r="E4869" t="s">
        <v>13697</v>
      </c>
      <c r="F4869">
        <v>21</v>
      </c>
      <c r="G4869">
        <v>2781500</v>
      </c>
      <c r="H4869" t="s">
        <v>13698</v>
      </c>
      <c r="J4869" s="54" t="s">
        <v>6052</v>
      </c>
      <c r="K4869" s="54">
        <v>0</v>
      </c>
      <c r="L4869" s="22" t="s">
        <v>104</v>
      </c>
      <c r="M4869" s="22" t="s">
        <v>37219</v>
      </c>
    </row>
    <row r="4870" spans="1:13" x14ac:dyDescent="0.75">
      <c r="A4870" t="s">
        <v>14099</v>
      </c>
      <c r="B4870" t="s">
        <v>8600</v>
      </c>
      <c r="C4870" t="s">
        <v>6594</v>
      </c>
      <c r="D4870" t="s">
        <v>8601</v>
      </c>
      <c r="E4870" t="s">
        <v>14100</v>
      </c>
      <c r="F4870">
        <v>2</v>
      </c>
      <c r="G4870">
        <v>2951033</v>
      </c>
      <c r="H4870" t="s">
        <v>14101</v>
      </c>
      <c r="J4870" s="54" t="s">
        <v>6052</v>
      </c>
      <c r="K4870" s="54">
        <v>0</v>
      </c>
      <c r="L4870" s="22" t="s">
        <v>104</v>
      </c>
      <c r="M4870" s="22" t="s">
        <v>37219</v>
      </c>
    </row>
    <row r="4871" spans="1:13" x14ac:dyDescent="0.75">
      <c r="A4871" t="s">
        <v>14218</v>
      </c>
      <c r="B4871" t="s">
        <v>8600</v>
      </c>
      <c r="C4871" t="s">
        <v>6594</v>
      </c>
      <c r="D4871" t="s">
        <v>8601</v>
      </c>
      <c r="E4871" t="s">
        <v>14219</v>
      </c>
      <c r="F4871">
        <v>2</v>
      </c>
      <c r="G4871">
        <v>2928459</v>
      </c>
      <c r="H4871" t="s">
        <v>14220</v>
      </c>
      <c r="J4871" s="54" t="s">
        <v>6052</v>
      </c>
      <c r="K4871" s="54">
        <v>0</v>
      </c>
      <c r="L4871" s="22" t="s">
        <v>104</v>
      </c>
      <c r="M4871" s="22" t="s">
        <v>37219</v>
      </c>
    </row>
    <row r="4872" spans="1:13" x14ac:dyDescent="0.75">
      <c r="A4872" t="s">
        <v>14236</v>
      </c>
      <c r="B4872" t="s">
        <v>8600</v>
      </c>
      <c r="C4872" t="s">
        <v>6594</v>
      </c>
      <c r="D4872" t="s">
        <v>8601</v>
      </c>
      <c r="E4872" t="s">
        <v>14237</v>
      </c>
      <c r="F4872">
        <v>3</v>
      </c>
      <c r="G4872">
        <v>2798400</v>
      </c>
      <c r="H4872" t="s">
        <v>14238</v>
      </c>
      <c r="J4872" s="54" t="s">
        <v>6052</v>
      </c>
      <c r="K4872" s="54">
        <v>0</v>
      </c>
      <c r="L4872" s="22" t="s">
        <v>104</v>
      </c>
      <c r="M4872" s="22" t="s">
        <v>37219</v>
      </c>
    </row>
    <row r="4873" spans="1:13" x14ac:dyDescent="0.75">
      <c r="A4873" t="s">
        <v>14206</v>
      </c>
      <c r="B4873" t="s">
        <v>8600</v>
      </c>
      <c r="C4873" t="s">
        <v>6594</v>
      </c>
      <c r="D4873" t="s">
        <v>8601</v>
      </c>
      <c r="E4873" t="s">
        <v>14207</v>
      </c>
      <c r="F4873">
        <v>2</v>
      </c>
      <c r="G4873">
        <v>2737112</v>
      </c>
      <c r="H4873" t="s">
        <v>14208</v>
      </c>
      <c r="J4873" s="54" t="s">
        <v>6052</v>
      </c>
      <c r="K4873" s="54">
        <v>0</v>
      </c>
      <c r="L4873" s="22" t="s">
        <v>104</v>
      </c>
      <c r="M4873" s="22" t="s">
        <v>37219</v>
      </c>
    </row>
    <row r="4874" spans="1:13" x14ac:dyDescent="0.75">
      <c r="A4874" t="s">
        <v>14221</v>
      </c>
      <c r="B4874" t="s">
        <v>8600</v>
      </c>
      <c r="C4874" t="s">
        <v>6594</v>
      </c>
      <c r="D4874" t="s">
        <v>8601</v>
      </c>
      <c r="E4874" t="s">
        <v>14222</v>
      </c>
      <c r="F4874">
        <v>2</v>
      </c>
      <c r="G4874">
        <v>2813841</v>
      </c>
      <c r="H4874" t="s">
        <v>14223</v>
      </c>
      <c r="J4874" s="54" t="s">
        <v>6052</v>
      </c>
      <c r="K4874" s="54">
        <v>0</v>
      </c>
      <c r="L4874" s="22" t="s">
        <v>104</v>
      </c>
      <c r="M4874" s="22" t="s">
        <v>37219</v>
      </c>
    </row>
    <row r="4875" spans="1:13" x14ac:dyDescent="0.75">
      <c r="A4875" t="s">
        <v>14239</v>
      </c>
      <c r="B4875" t="s">
        <v>8600</v>
      </c>
      <c r="C4875" t="s">
        <v>6594</v>
      </c>
      <c r="D4875" t="s">
        <v>8601</v>
      </c>
      <c r="E4875" t="s">
        <v>14240</v>
      </c>
      <c r="F4875">
        <v>2</v>
      </c>
      <c r="G4875">
        <v>3027672</v>
      </c>
      <c r="H4875" t="s">
        <v>14241</v>
      </c>
      <c r="J4875" s="54" t="s">
        <v>6052</v>
      </c>
      <c r="K4875" s="54">
        <v>0</v>
      </c>
      <c r="L4875" s="22" t="s">
        <v>104</v>
      </c>
      <c r="M4875" s="22" t="s">
        <v>37219</v>
      </c>
    </row>
    <row r="4876" spans="1:13" x14ac:dyDescent="0.75">
      <c r="A4876" t="s">
        <v>14188</v>
      </c>
      <c r="B4876" t="s">
        <v>8600</v>
      </c>
      <c r="C4876" t="s">
        <v>6594</v>
      </c>
      <c r="D4876" t="s">
        <v>8601</v>
      </c>
      <c r="E4876" t="s">
        <v>14189</v>
      </c>
      <c r="F4876">
        <v>2</v>
      </c>
      <c r="G4876">
        <v>2764740</v>
      </c>
      <c r="H4876" t="s">
        <v>14190</v>
      </c>
      <c r="J4876" s="54" t="s">
        <v>6052</v>
      </c>
      <c r="K4876" s="54">
        <v>0</v>
      </c>
      <c r="L4876" s="22" t="s">
        <v>104</v>
      </c>
      <c r="M4876" s="22" t="s">
        <v>37219</v>
      </c>
    </row>
    <row r="4877" spans="1:13" x14ac:dyDescent="0.75">
      <c r="A4877" t="s">
        <v>14173</v>
      </c>
      <c r="B4877" t="s">
        <v>8600</v>
      </c>
      <c r="C4877" t="s">
        <v>6594</v>
      </c>
      <c r="D4877" t="s">
        <v>8601</v>
      </c>
      <c r="E4877" t="s">
        <v>14174</v>
      </c>
      <c r="F4877">
        <v>1</v>
      </c>
      <c r="G4877">
        <v>2777805</v>
      </c>
      <c r="H4877" t="s">
        <v>14175</v>
      </c>
      <c r="J4877" s="54" t="s">
        <v>6052</v>
      </c>
      <c r="K4877" s="54">
        <v>0</v>
      </c>
      <c r="L4877" s="22" t="s">
        <v>104</v>
      </c>
      <c r="M4877" s="22" t="s">
        <v>37219</v>
      </c>
    </row>
    <row r="4878" spans="1:13" x14ac:dyDescent="0.75">
      <c r="A4878" t="s">
        <v>7728</v>
      </c>
      <c r="B4878" t="s">
        <v>7357</v>
      </c>
      <c r="C4878" t="s">
        <v>6118</v>
      </c>
      <c r="D4878" t="s">
        <v>7358</v>
      </c>
      <c r="E4878" t="s">
        <v>7729</v>
      </c>
      <c r="F4878">
        <v>1</v>
      </c>
      <c r="G4878">
        <v>2186370</v>
      </c>
      <c r="H4878" t="s">
        <v>7730</v>
      </c>
      <c r="J4878" s="54" t="s">
        <v>6052</v>
      </c>
      <c r="K4878" s="54">
        <v>0</v>
      </c>
      <c r="L4878" s="22" t="s">
        <v>1563</v>
      </c>
      <c r="M4878" s="22" t="s">
        <v>37216</v>
      </c>
    </row>
    <row r="4879" spans="1:13" x14ac:dyDescent="0.75">
      <c r="A4879" t="s">
        <v>10023</v>
      </c>
      <c r="B4879" t="s">
        <v>7175</v>
      </c>
      <c r="C4879" t="s">
        <v>6118</v>
      </c>
      <c r="D4879" t="s">
        <v>7176</v>
      </c>
      <c r="E4879" t="s">
        <v>10024</v>
      </c>
      <c r="F4879">
        <v>48</v>
      </c>
      <c r="G4879">
        <v>2254407</v>
      </c>
      <c r="H4879" t="s">
        <v>10025</v>
      </c>
      <c r="J4879" s="54" t="s">
        <v>6052</v>
      </c>
      <c r="K4879" s="54">
        <v>0</v>
      </c>
      <c r="L4879" s="22" t="s">
        <v>1308</v>
      </c>
      <c r="M4879" s="22" t="s">
        <v>37212</v>
      </c>
    </row>
    <row r="4880" spans="1:13" x14ac:dyDescent="0.75">
      <c r="A4880" t="s">
        <v>14170</v>
      </c>
      <c r="B4880" t="s">
        <v>8600</v>
      </c>
      <c r="C4880" t="s">
        <v>6594</v>
      </c>
      <c r="D4880" t="s">
        <v>8601</v>
      </c>
      <c r="E4880" t="s">
        <v>14171</v>
      </c>
      <c r="F4880">
        <v>3</v>
      </c>
      <c r="G4880">
        <v>2730073</v>
      </c>
      <c r="H4880" t="s">
        <v>14172</v>
      </c>
      <c r="J4880" s="54" t="s">
        <v>6052</v>
      </c>
      <c r="K4880" s="54">
        <v>0</v>
      </c>
      <c r="L4880" s="22" t="s">
        <v>104</v>
      </c>
      <c r="M4880" s="22" t="s">
        <v>37219</v>
      </c>
    </row>
    <row r="4881" spans="1:13" x14ac:dyDescent="0.75">
      <c r="A4881" t="s">
        <v>14242</v>
      </c>
      <c r="B4881" t="s">
        <v>8600</v>
      </c>
      <c r="C4881" t="s">
        <v>6594</v>
      </c>
      <c r="D4881" t="s">
        <v>8601</v>
      </c>
      <c r="E4881" t="s">
        <v>14243</v>
      </c>
      <c r="F4881">
        <v>2</v>
      </c>
      <c r="G4881">
        <v>2730832</v>
      </c>
      <c r="H4881" t="s">
        <v>14244</v>
      </c>
      <c r="J4881" s="54" t="s">
        <v>6052</v>
      </c>
      <c r="K4881" s="54">
        <v>0</v>
      </c>
      <c r="L4881" s="22" t="s">
        <v>104</v>
      </c>
      <c r="M4881" s="22" t="s">
        <v>37219</v>
      </c>
    </row>
    <row r="4882" spans="1:13" x14ac:dyDescent="0.75">
      <c r="A4882" t="s">
        <v>30578</v>
      </c>
      <c r="B4882" t="s">
        <v>7175</v>
      </c>
      <c r="C4882" t="s">
        <v>6118</v>
      </c>
      <c r="D4882" t="s">
        <v>7176</v>
      </c>
      <c r="E4882" t="s">
        <v>30579</v>
      </c>
      <c r="F4882">
        <v>128</v>
      </c>
      <c r="G4882">
        <v>2040527</v>
      </c>
      <c r="H4882" t="s">
        <v>30580</v>
      </c>
      <c r="J4882" s="54" t="s">
        <v>6052</v>
      </c>
      <c r="K4882" s="54">
        <v>0</v>
      </c>
      <c r="L4882" s="22" t="s">
        <v>1308</v>
      </c>
      <c r="M4882" s="22" t="s">
        <v>37212</v>
      </c>
    </row>
    <row r="4883" spans="1:13" x14ac:dyDescent="0.75">
      <c r="A4883" t="s">
        <v>29906</v>
      </c>
      <c r="B4883" t="s">
        <v>7357</v>
      </c>
      <c r="C4883" t="s">
        <v>6118</v>
      </c>
      <c r="D4883" t="s">
        <v>7358</v>
      </c>
      <c r="E4883" t="s">
        <v>29907</v>
      </c>
      <c r="F4883">
        <v>120</v>
      </c>
      <c r="G4883">
        <v>2193345</v>
      </c>
      <c r="H4883" t="s">
        <v>29908</v>
      </c>
      <c r="J4883" s="54" t="s">
        <v>6052</v>
      </c>
      <c r="K4883" s="54">
        <v>0</v>
      </c>
      <c r="L4883" s="22" t="s">
        <v>1563</v>
      </c>
      <c r="M4883" s="22" t="s">
        <v>37216</v>
      </c>
    </row>
    <row r="4884" spans="1:13" x14ac:dyDescent="0.75">
      <c r="A4884" t="s">
        <v>15243</v>
      </c>
      <c r="B4884" t="s">
        <v>8600</v>
      </c>
      <c r="C4884" t="s">
        <v>6594</v>
      </c>
      <c r="D4884" t="s">
        <v>8601</v>
      </c>
      <c r="E4884" t="s">
        <v>15244</v>
      </c>
      <c r="F4884">
        <v>2</v>
      </c>
      <c r="G4884">
        <v>2949063</v>
      </c>
      <c r="H4884" t="s">
        <v>15245</v>
      </c>
      <c r="J4884" s="54" t="s">
        <v>6052</v>
      </c>
      <c r="K4884" s="54">
        <v>0</v>
      </c>
      <c r="L4884" s="22" t="s">
        <v>104</v>
      </c>
      <c r="M4884" s="22" t="s">
        <v>37219</v>
      </c>
    </row>
    <row r="4885" spans="1:13" x14ac:dyDescent="0.75">
      <c r="A4885" t="s">
        <v>14248</v>
      </c>
      <c r="B4885" t="s">
        <v>8600</v>
      </c>
      <c r="C4885" t="s">
        <v>6594</v>
      </c>
      <c r="D4885" t="s">
        <v>8601</v>
      </c>
      <c r="E4885" t="s">
        <v>14249</v>
      </c>
      <c r="F4885">
        <v>3</v>
      </c>
      <c r="G4885">
        <v>3016889</v>
      </c>
      <c r="H4885" t="s">
        <v>14250</v>
      </c>
      <c r="J4885" s="54" t="s">
        <v>6052</v>
      </c>
      <c r="K4885" s="54">
        <v>0</v>
      </c>
      <c r="L4885" s="22" t="s">
        <v>104</v>
      </c>
      <c r="M4885" s="22" t="s">
        <v>37219</v>
      </c>
    </row>
    <row r="4886" spans="1:13" x14ac:dyDescent="0.75">
      <c r="A4886" t="s">
        <v>14245</v>
      </c>
      <c r="B4886" t="s">
        <v>8600</v>
      </c>
      <c r="C4886" t="s">
        <v>6594</v>
      </c>
      <c r="D4886" t="s">
        <v>8601</v>
      </c>
      <c r="E4886" t="s">
        <v>14246</v>
      </c>
      <c r="F4886">
        <v>4</v>
      </c>
      <c r="G4886">
        <v>2871118</v>
      </c>
      <c r="H4886" t="s">
        <v>14247</v>
      </c>
      <c r="J4886" s="54" t="s">
        <v>6052</v>
      </c>
      <c r="K4886" s="54">
        <v>0</v>
      </c>
      <c r="L4886" s="22" t="s">
        <v>104</v>
      </c>
      <c r="M4886" s="22" t="s">
        <v>37219</v>
      </c>
    </row>
    <row r="4887" spans="1:13" x14ac:dyDescent="0.75">
      <c r="A4887" t="s">
        <v>14176</v>
      </c>
      <c r="B4887" t="s">
        <v>8600</v>
      </c>
      <c r="C4887" t="s">
        <v>6594</v>
      </c>
      <c r="D4887" t="s">
        <v>8601</v>
      </c>
      <c r="E4887" t="s">
        <v>14177</v>
      </c>
      <c r="F4887">
        <v>1</v>
      </c>
      <c r="G4887">
        <v>2760702</v>
      </c>
      <c r="H4887" t="s">
        <v>14178</v>
      </c>
      <c r="J4887" s="54" t="s">
        <v>6052</v>
      </c>
      <c r="K4887" s="54">
        <v>0</v>
      </c>
      <c r="L4887" s="22" t="s">
        <v>104</v>
      </c>
      <c r="M4887" s="22" t="s">
        <v>37219</v>
      </c>
    </row>
    <row r="4888" spans="1:13" x14ac:dyDescent="0.75">
      <c r="A4888" t="s">
        <v>14194</v>
      </c>
      <c r="B4888" t="s">
        <v>8600</v>
      </c>
      <c r="C4888" t="s">
        <v>6594</v>
      </c>
      <c r="D4888" t="s">
        <v>8601</v>
      </c>
      <c r="E4888" t="s">
        <v>14195</v>
      </c>
      <c r="F4888">
        <v>2</v>
      </c>
      <c r="G4888">
        <v>2890050</v>
      </c>
      <c r="H4888" t="s">
        <v>14196</v>
      </c>
      <c r="J4888" s="54" t="s">
        <v>6052</v>
      </c>
      <c r="K4888" s="54">
        <v>0</v>
      </c>
      <c r="L4888" s="22" t="s">
        <v>104</v>
      </c>
      <c r="M4888" s="22" t="s">
        <v>37219</v>
      </c>
    </row>
    <row r="4889" spans="1:13" x14ac:dyDescent="0.75">
      <c r="A4889" t="s">
        <v>14200</v>
      </c>
      <c r="B4889" t="s">
        <v>8600</v>
      </c>
      <c r="C4889" t="s">
        <v>6594</v>
      </c>
      <c r="D4889" t="s">
        <v>8601</v>
      </c>
      <c r="E4889" t="s">
        <v>14201</v>
      </c>
      <c r="F4889">
        <v>2</v>
      </c>
      <c r="G4889">
        <v>2775833</v>
      </c>
      <c r="H4889" t="s">
        <v>14202</v>
      </c>
      <c r="J4889" s="54" t="s">
        <v>6052</v>
      </c>
      <c r="K4889" s="54">
        <v>0</v>
      </c>
      <c r="L4889" s="22" t="s">
        <v>104</v>
      </c>
      <c r="M4889" s="22" t="s">
        <v>37219</v>
      </c>
    </row>
    <row r="4890" spans="1:13" x14ac:dyDescent="0.75">
      <c r="A4890" t="s">
        <v>29625</v>
      </c>
      <c r="B4890" t="s">
        <v>7175</v>
      </c>
      <c r="C4890" t="s">
        <v>6118</v>
      </c>
      <c r="D4890" t="s">
        <v>7176</v>
      </c>
      <c r="E4890" t="s">
        <v>29626</v>
      </c>
      <c r="F4890">
        <v>100</v>
      </c>
      <c r="G4890">
        <v>2104354</v>
      </c>
      <c r="H4890" t="s">
        <v>29627</v>
      </c>
      <c r="J4890" s="54" t="s">
        <v>6052</v>
      </c>
      <c r="K4890" s="54">
        <v>0</v>
      </c>
      <c r="L4890" s="22" t="s">
        <v>1308</v>
      </c>
      <c r="M4890" s="22" t="s">
        <v>37212</v>
      </c>
    </row>
    <row r="4891" spans="1:13" x14ac:dyDescent="0.75">
      <c r="A4891" t="s">
        <v>28640</v>
      </c>
      <c r="B4891" t="s">
        <v>8600</v>
      </c>
      <c r="C4891" t="s">
        <v>6594</v>
      </c>
      <c r="D4891" t="s">
        <v>8601</v>
      </c>
      <c r="E4891" t="s">
        <v>28641</v>
      </c>
      <c r="F4891">
        <v>68</v>
      </c>
      <c r="G4891">
        <v>2382499</v>
      </c>
      <c r="H4891" t="s">
        <v>28642</v>
      </c>
      <c r="J4891" s="54" t="s">
        <v>6052</v>
      </c>
      <c r="K4891" s="54">
        <v>0</v>
      </c>
      <c r="L4891" s="22" t="s">
        <v>104</v>
      </c>
      <c r="M4891" s="22" t="s">
        <v>37219</v>
      </c>
    </row>
    <row r="4892" spans="1:13" x14ac:dyDescent="0.75">
      <c r="A4892" t="s">
        <v>30106</v>
      </c>
      <c r="B4892" t="s">
        <v>7357</v>
      </c>
      <c r="C4892" t="s">
        <v>6118</v>
      </c>
      <c r="D4892" t="s">
        <v>7358</v>
      </c>
      <c r="E4892" t="s">
        <v>30107</v>
      </c>
      <c r="F4892">
        <v>248</v>
      </c>
      <c r="G4892">
        <v>1812413</v>
      </c>
      <c r="H4892" t="s">
        <v>30108</v>
      </c>
      <c r="J4892" s="54" t="s">
        <v>6052</v>
      </c>
      <c r="K4892" s="54">
        <v>0</v>
      </c>
      <c r="L4892" s="22" t="s">
        <v>1563</v>
      </c>
      <c r="M4892" s="22" t="s">
        <v>37216</v>
      </c>
    </row>
    <row r="4893" spans="1:13" x14ac:dyDescent="0.75">
      <c r="A4893" t="s">
        <v>27567</v>
      </c>
      <c r="B4893" t="s">
        <v>8600</v>
      </c>
      <c r="C4893" t="s">
        <v>6594</v>
      </c>
      <c r="D4893" t="s">
        <v>8601</v>
      </c>
      <c r="E4893" t="s">
        <v>27568</v>
      </c>
      <c r="F4893">
        <v>2</v>
      </c>
      <c r="G4893">
        <v>2607163</v>
      </c>
      <c r="H4893" t="s">
        <v>27569</v>
      </c>
      <c r="J4893" s="54" t="s">
        <v>6052</v>
      </c>
      <c r="K4893" s="54">
        <v>0</v>
      </c>
      <c r="L4893" s="22" t="s">
        <v>104</v>
      </c>
      <c r="M4893" s="22" t="s">
        <v>37219</v>
      </c>
    </row>
    <row r="4894" spans="1:13" x14ac:dyDescent="0.75">
      <c r="A4894" t="s">
        <v>13919</v>
      </c>
      <c r="B4894" t="s">
        <v>8600</v>
      </c>
      <c r="C4894" t="s">
        <v>6594</v>
      </c>
      <c r="D4894" t="s">
        <v>8601</v>
      </c>
      <c r="E4894" t="s">
        <v>13920</v>
      </c>
      <c r="F4894">
        <v>2</v>
      </c>
      <c r="G4894">
        <v>3148117</v>
      </c>
      <c r="H4894" t="s">
        <v>13921</v>
      </c>
      <c r="J4894" s="54" t="s">
        <v>6052</v>
      </c>
      <c r="K4894" s="54">
        <v>0</v>
      </c>
      <c r="L4894" s="22" t="s">
        <v>104</v>
      </c>
      <c r="M4894" s="22" t="s">
        <v>37219</v>
      </c>
    </row>
    <row r="4895" spans="1:13" x14ac:dyDescent="0.75">
      <c r="A4895" t="s">
        <v>30354</v>
      </c>
      <c r="B4895" t="s">
        <v>8600</v>
      </c>
      <c r="C4895" t="s">
        <v>6594</v>
      </c>
      <c r="D4895" t="s">
        <v>8601</v>
      </c>
      <c r="E4895" t="s">
        <v>30355</v>
      </c>
      <c r="F4895">
        <v>163</v>
      </c>
      <c r="G4895">
        <v>2344677</v>
      </c>
      <c r="H4895" t="s">
        <v>30356</v>
      </c>
      <c r="J4895" s="54" t="s">
        <v>6052</v>
      </c>
      <c r="K4895" s="54">
        <v>0</v>
      </c>
      <c r="L4895" s="22" t="s">
        <v>104</v>
      </c>
      <c r="M4895" s="22" t="s">
        <v>37219</v>
      </c>
    </row>
    <row r="4896" spans="1:13" x14ac:dyDescent="0.75">
      <c r="A4896" t="s">
        <v>28939</v>
      </c>
      <c r="B4896" t="s">
        <v>8600</v>
      </c>
      <c r="C4896" t="s">
        <v>6594</v>
      </c>
      <c r="D4896" t="s">
        <v>8601</v>
      </c>
      <c r="E4896" t="s">
        <v>28940</v>
      </c>
      <c r="F4896">
        <v>75</v>
      </c>
      <c r="G4896">
        <v>2550728</v>
      </c>
      <c r="H4896" t="s">
        <v>28941</v>
      </c>
      <c r="J4896" s="54" t="s">
        <v>6052</v>
      </c>
      <c r="K4896" s="54">
        <v>0</v>
      </c>
      <c r="L4896" s="22" t="s">
        <v>104</v>
      </c>
      <c r="M4896" s="22" t="s">
        <v>37219</v>
      </c>
    </row>
    <row r="4897" spans="1:13" x14ac:dyDescent="0.75">
      <c r="A4897" t="s">
        <v>13251</v>
      </c>
      <c r="B4897" t="s">
        <v>8600</v>
      </c>
      <c r="C4897" t="s">
        <v>6594</v>
      </c>
      <c r="D4897" t="s">
        <v>8601</v>
      </c>
      <c r="E4897" t="s">
        <v>13252</v>
      </c>
      <c r="F4897">
        <v>2</v>
      </c>
      <c r="G4897">
        <v>2736315</v>
      </c>
      <c r="H4897" t="s">
        <v>13253</v>
      </c>
      <c r="J4897" s="54" t="s">
        <v>6052</v>
      </c>
      <c r="K4897" s="54">
        <v>0</v>
      </c>
      <c r="L4897" s="22" t="s">
        <v>104</v>
      </c>
      <c r="M4897" s="22" t="s">
        <v>37219</v>
      </c>
    </row>
    <row r="4898" spans="1:13" x14ac:dyDescent="0.75">
      <c r="A4898" t="s">
        <v>13996</v>
      </c>
      <c r="B4898" t="s">
        <v>8600</v>
      </c>
      <c r="C4898" t="s">
        <v>6594</v>
      </c>
      <c r="D4898" t="s">
        <v>8601</v>
      </c>
      <c r="E4898" t="s">
        <v>13997</v>
      </c>
      <c r="F4898">
        <v>126</v>
      </c>
      <c r="G4898">
        <v>2804910</v>
      </c>
      <c r="H4898" t="s">
        <v>13998</v>
      </c>
      <c r="J4898" s="54" t="s">
        <v>6052</v>
      </c>
      <c r="K4898" s="54">
        <v>0</v>
      </c>
      <c r="L4898" s="22" t="s">
        <v>104</v>
      </c>
      <c r="M4898" s="22" t="s">
        <v>37219</v>
      </c>
    </row>
    <row r="4899" spans="1:13" x14ac:dyDescent="0.75">
      <c r="A4899" t="s">
        <v>14025</v>
      </c>
      <c r="B4899" t="s">
        <v>8600</v>
      </c>
      <c r="C4899" t="s">
        <v>6594</v>
      </c>
      <c r="D4899" t="s">
        <v>8601</v>
      </c>
      <c r="E4899" t="s">
        <v>14026</v>
      </c>
      <c r="F4899">
        <v>62</v>
      </c>
      <c r="G4899">
        <v>2620156</v>
      </c>
      <c r="H4899" t="s">
        <v>14027</v>
      </c>
      <c r="J4899" s="54" t="s">
        <v>6052</v>
      </c>
      <c r="K4899" s="54">
        <v>0</v>
      </c>
      <c r="L4899" s="22" t="s">
        <v>104</v>
      </c>
      <c r="M4899" s="22" t="s">
        <v>37219</v>
      </c>
    </row>
    <row r="4900" spans="1:13" x14ac:dyDescent="0.75">
      <c r="A4900" t="s">
        <v>14007</v>
      </c>
      <c r="B4900" t="s">
        <v>8600</v>
      </c>
      <c r="C4900" t="s">
        <v>6594</v>
      </c>
      <c r="D4900" t="s">
        <v>8601</v>
      </c>
      <c r="E4900" t="s">
        <v>14008</v>
      </c>
      <c r="F4900">
        <v>137</v>
      </c>
      <c r="G4900">
        <v>2688123</v>
      </c>
      <c r="H4900" t="s">
        <v>14009</v>
      </c>
      <c r="J4900" s="54" t="s">
        <v>6052</v>
      </c>
      <c r="K4900" s="54">
        <v>0</v>
      </c>
      <c r="L4900" s="22" t="s">
        <v>104</v>
      </c>
      <c r="M4900" s="22" t="s">
        <v>37219</v>
      </c>
    </row>
    <row r="4901" spans="1:13" x14ac:dyDescent="0.75">
      <c r="A4901" t="s">
        <v>10786</v>
      </c>
      <c r="B4901" t="s">
        <v>8600</v>
      </c>
      <c r="C4901" t="s">
        <v>6594</v>
      </c>
      <c r="D4901" t="s">
        <v>8601</v>
      </c>
      <c r="E4901" t="s">
        <v>10787</v>
      </c>
      <c r="F4901">
        <v>168</v>
      </c>
      <c r="G4901">
        <v>2790340</v>
      </c>
      <c r="H4901" t="s">
        <v>10788</v>
      </c>
      <c r="J4901" s="54" t="s">
        <v>6052</v>
      </c>
      <c r="K4901" s="54">
        <v>0</v>
      </c>
      <c r="L4901" s="22" t="s">
        <v>104</v>
      </c>
      <c r="M4901" s="22" t="s">
        <v>37219</v>
      </c>
    </row>
    <row r="4902" spans="1:13" x14ac:dyDescent="0.75">
      <c r="A4902" t="s">
        <v>3752</v>
      </c>
      <c r="B4902" t="s">
        <v>550</v>
      </c>
      <c r="C4902" t="s">
        <v>6594</v>
      </c>
      <c r="D4902" t="s">
        <v>7955</v>
      </c>
      <c r="E4902" t="s">
        <v>21271</v>
      </c>
      <c r="F4902">
        <v>111</v>
      </c>
      <c r="G4902">
        <v>3930832</v>
      </c>
      <c r="H4902" t="s">
        <v>21272</v>
      </c>
      <c r="J4902" s="54" t="s">
        <v>21271</v>
      </c>
      <c r="K4902" s="54">
        <v>1</v>
      </c>
      <c r="L4902" s="22" t="s">
        <v>104</v>
      </c>
      <c r="M4902" s="22" t="s">
        <v>551</v>
      </c>
    </row>
    <row r="4903" spans="1:13" x14ac:dyDescent="0.75">
      <c r="A4903" t="s">
        <v>5601</v>
      </c>
      <c r="B4903" t="s">
        <v>550</v>
      </c>
      <c r="C4903" t="s">
        <v>6594</v>
      </c>
      <c r="D4903" t="s">
        <v>7955</v>
      </c>
      <c r="E4903" t="s">
        <v>29286</v>
      </c>
      <c r="F4903">
        <v>2</v>
      </c>
      <c r="G4903">
        <v>3766836</v>
      </c>
      <c r="H4903" t="s">
        <v>29287</v>
      </c>
      <c r="J4903" s="54" t="s">
        <v>30844</v>
      </c>
      <c r="K4903" s="54">
        <v>1</v>
      </c>
      <c r="L4903" s="22" t="s">
        <v>104</v>
      </c>
      <c r="M4903" s="22" t="s">
        <v>551</v>
      </c>
    </row>
    <row r="4904" spans="1:13" x14ac:dyDescent="0.75">
      <c r="A4904" t="s">
        <v>5834</v>
      </c>
      <c r="B4904" t="s">
        <v>550</v>
      </c>
      <c r="C4904" t="s">
        <v>6594</v>
      </c>
      <c r="D4904" t="s">
        <v>7955</v>
      </c>
      <c r="E4904" t="s">
        <v>29815</v>
      </c>
      <c r="F4904">
        <v>236</v>
      </c>
      <c r="G4904">
        <v>3927966</v>
      </c>
      <c r="H4904" t="s">
        <v>29816</v>
      </c>
      <c r="J4904" s="54" t="s">
        <v>30844</v>
      </c>
      <c r="K4904" s="54">
        <v>1</v>
      </c>
      <c r="L4904" s="22" t="s">
        <v>104</v>
      </c>
      <c r="M4904" s="22" t="s">
        <v>551</v>
      </c>
    </row>
    <row r="4905" spans="1:13" x14ac:dyDescent="0.75">
      <c r="A4905" t="s">
        <v>3410</v>
      </c>
      <c r="B4905" t="s">
        <v>550</v>
      </c>
      <c r="C4905" t="s">
        <v>6594</v>
      </c>
      <c r="D4905" t="s">
        <v>7955</v>
      </c>
      <c r="E4905" t="s">
        <v>20655</v>
      </c>
      <c r="F4905">
        <v>2</v>
      </c>
      <c r="G4905">
        <v>3944801</v>
      </c>
      <c r="H4905" t="s">
        <v>20656</v>
      </c>
      <c r="J4905" s="54" t="s">
        <v>20655</v>
      </c>
      <c r="K4905" s="54">
        <v>1</v>
      </c>
      <c r="L4905" s="22" t="s">
        <v>104</v>
      </c>
      <c r="M4905" s="22" t="s">
        <v>551</v>
      </c>
    </row>
    <row r="4906" spans="1:13" x14ac:dyDescent="0.75">
      <c r="A4906" t="s">
        <v>2056</v>
      </c>
      <c r="B4906" t="s">
        <v>550</v>
      </c>
      <c r="C4906" t="s">
        <v>6594</v>
      </c>
      <c r="D4906" t="s">
        <v>7955</v>
      </c>
      <c r="E4906" t="s">
        <v>14795</v>
      </c>
      <c r="F4906">
        <v>3</v>
      </c>
      <c r="G4906">
        <v>3915696</v>
      </c>
      <c r="H4906" t="s">
        <v>14796</v>
      </c>
      <c r="J4906" s="54" t="s">
        <v>14795</v>
      </c>
      <c r="K4906" s="54">
        <v>1</v>
      </c>
      <c r="L4906" s="22" t="s">
        <v>104</v>
      </c>
      <c r="M4906" s="22" t="s">
        <v>551</v>
      </c>
    </row>
    <row r="4907" spans="1:13" x14ac:dyDescent="0.75">
      <c r="A4907" t="s">
        <v>10286</v>
      </c>
      <c r="B4907" t="s">
        <v>7175</v>
      </c>
      <c r="C4907" t="s">
        <v>6118</v>
      </c>
      <c r="D4907" t="s">
        <v>7176</v>
      </c>
      <c r="E4907" t="s">
        <v>10287</v>
      </c>
      <c r="F4907">
        <v>112</v>
      </c>
      <c r="G4907">
        <v>2260105</v>
      </c>
      <c r="H4907" t="s">
        <v>10288</v>
      </c>
      <c r="J4907" s="54" t="s">
        <v>6052</v>
      </c>
      <c r="K4907" s="54">
        <v>0</v>
      </c>
      <c r="L4907" s="22" t="s">
        <v>1308</v>
      </c>
      <c r="M4907" s="22" t="s">
        <v>37212</v>
      </c>
    </row>
    <row r="4908" spans="1:13" x14ac:dyDescent="0.75">
      <c r="A4908" t="s">
        <v>3415</v>
      </c>
      <c r="B4908" t="s">
        <v>550</v>
      </c>
      <c r="C4908" t="s">
        <v>6594</v>
      </c>
      <c r="D4908" t="s">
        <v>7955</v>
      </c>
      <c r="E4908" t="s">
        <v>20657</v>
      </c>
      <c r="F4908">
        <v>2</v>
      </c>
      <c r="G4908">
        <v>4115533</v>
      </c>
      <c r="H4908" t="s">
        <v>20658</v>
      </c>
      <c r="J4908" s="54" t="s">
        <v>20657</v>
      </c>
      <c r="K4908" s="54">
        <v>1</v>
      </c>
      <c r="L4908" s="22" t="s">
        <v>104</v>
      </c>
      <c r="M4908" s="22" t="s">
        <v>551</v>
      </c>
    </row>
    <row r="4909" spans="1:13" x14ac:dyDescent="0.75">
      <c r="A4909" t="s">
        <v>5164</v>
      </c>
      <c r="B4909" t="s">
        <v>550</v>
      </c>
      <c r="C4909" t="s">
        <v>6594</v>
      </c>
      <c r="D4909" t="s">
        <v>7955</v>
      </c>
      <c r="E4909" t="s">
        <v>27318</v>
      </c>
      <c r="F4909">
        <v>93</v>
      </c>
      <c r="G4909">
        <v>3646938</v>
      </c>
      <c r="H4909" t="s">
        <v>27319</v>
      </c>
      <c r="J4909" s="54" t="s">
        <v>27318</v>
      </c>
      <c r="K4909" s="54">
        <v>1</v>
      </c>
      <c r="L4909" s="22" t="s">
        <v>104</v>
      </c>
      <c r="M4909" s="22" t="s">
        <v>551</v>
      </c>
    </row>
    <row r="4910" spans="1:13" x14ac:dyDescent="0.75">
      <c r="A4910" t="s">
        <v>1894</v>
      </c>
      <c r="B4910" t="s">
        <v>550</v>
      </c>
      <c r="C4910" t="s">
        <v>6594</v>
      </c>
      <c r="D4910" t="s">
        <v>7955</v>
      </c>
      <c r="E4910" t="s">
        <v>14304</v>
      </c>
      <c r="F4910">
        <v>2</v>
      </c>
      <c r="G4910">
        <v>3913006</v>
      </c>
      <c r="H4910" t="s">
        <v>14305</v>
      </c>
      <c r="J4910" s="54" t="s">
        <v>14304</v>
      </c>
      <c r="K4910" s="54">
        <v>1</v>
      </c>
      <c r="L4910" s="22" t="s">
        <v>104</v>
      </c>
      <c r="M4910" s="22" t="s">
        <v>551</v>
      </c>
    </row>
    <row r="4911" spans="1:13" x14ac:dyDescent="0.75">
      <c r="A4911" t="s">
        <v>549</v>
      </c>
      <c r="B4911" t="s">
        <v>550</v>
      </c>
      <c r="C4911" t="s">
        <v>6594</v>
      </c>
      <c r="D4911" t="s">
        <v>7955</v>
      </c>
      <c r="E4911" t="s">
        <v>7956</v>
      </c>
      <c r="F4911">
        <v>195</v>
      </c>
      <c r="G4911">
        <v>4031149</v>
      </c>
      <c r="H4911" t="s">
        <v>7957</v>
      </c>
      <c r="J4911" s="54" t="s">
        <v>7956</v>
      </c>
      <c r="K4911" s="54">
        <v>1</v>
      </c>
      <c r="L4911" s="22" t="s">
        <v>104</v>
      </c>
      <c r="M4911" s="22" t="s">
        <v>551</v>
      </c>
    </row>
    <row r="4912" spans="1:13" x14ac:dyDescent="0.75">
      <c r="A4912" t="s">
        <v>3370</v>
      </c>
      <c r="B4912" t="s">
        <v>153</v>
      </c>
      <c r="C4912" t="s">
        <v>6594</v>
      </c>
      <c r="D4912" t="s">
        <v>6595</v>
      </c>
      <c r="E4912" t="s">
        <v>20646</v>
      </c>
      <c r="F4912">
        <v>2</v>
      </c>
      <c r="G4912">
        <v>3218481</v>
      </c>
      <c r="H4912" t="s">
        <v>20647</v>
      </c>
      <c r="J4912" s="54" t="s">
        <v>20646</v>
      </c>
      <c r="K4912" s="54">
        <v>2</v>
      </c>
      <c r="L4912" s="22" t="s">
        <v>104</v>
      </c>
      <c r="M4912" s="22" t="s">
        <v>154</v>
      </c>
    </row>
    <row r="4913" spans="1:13" x14ac:dyDescent="0.75">
      <c r="A4913" t="s">
        <v>3358</v>
      </c>
      <c r="B4913" t="s">
        <v>153</v>
      </c>
      <c r="C4913" t="s">
        <v>6594</v>
      </c>
      <c r="D4913" t="s">
        <v>6595</v>
      </c>
      <c r="E4913" t="s">
        <v>20644</v>
      </c>
      <c r="F4913">
        <v>3</v>
      </c>
      <c r="G4913">
        <v>3334355</v>
      </c>
      <c r="H4913" t="s">
        <v>20645</v>
      </c>
      <c r="J4913" s="54" t="s">
        <v>20644</v>
      </c>
      <c r="K4913" s="54">
        <v>2</v>
      </c>
      <c r="L4913" s="22" t="s">
        <v>104</v>
      </c>
      <c r="M4913" s="22" t="s">
        <v>154</v>
      </c>
    </row>
    <row r="4914" spans="1:13" x14ac:dyDescent="0.75">
      <c r="A4914" t="s">
        <v>3388</v>
      </c>
      <c r="B4914" t="s">
        <v>153</v>
      </c>
      <c r="C4914" t="s">
        <v>6594</v>
      </c>
      <c r="D4914" t="s">
        <v>6595</v>
      </c>
      <c r="E4914" t="s">
        <v>20650</v>
      </c>
      <c r="F4914">
        <v>3</v>
      </c>
      <c r="G4914">
        <v>3619436</v>
      </c>
      <c r="H4914" t="s">
        <v>20651</v>
      </c>
      <c r="J4914" s="54" t="s">
        <v>20650</v>
      </c>
      <c r="K4914" s="54">
        <v>2</v>
      </c>
      <c r="L4914" s="22" t="s">
        <v>104</v>
      </c>
      <c r="M4914" s="22" t="s">
        <v>154</v>
      </c>
    </row>
    <row r="4915" spans="1:13" x14ac:dyDescent="0.75">
      <c r="A4915" t="s">
        <v>3777</v>
      </c>
      <c r="B4915" t="s">
        <v>153</v>
      </c>
      <c r="C4915" t="s">
        <v>6594</v>
      </c>
      <c r="D4915" t="s">
        <v>6595</v>
      </c>
      <c r="E4915" t="s">
        <v>21287</v>
      </c>
      <c r="F4915">
        <v>62</v>
      </c>
      <c r="G4915">
        <v>3285599</v>
      </c>
      <c r="H4915" t="s">
        <v>21288</v>
      </c>
      <c r="J4915" s="54" t="s">
        <v>21287</v>
      </c>
      <c r="K4915" s="54">
        <v>1</v>
      </c>
      <c r="L4915" s="22" t="s">
        <v>104</v>
      </c>
      <c r="M4915" s="22" t="s">
        <v>154</v>
      </c>
    </row>
    <row r="4916" spans="1:13" x14ac:dyDescent="0.75">
      <c r="A4916" t="s">
        <v>3690</v>
      </c>
      <c r="B4916" t="s">
        <v>153</v>
      </c>
      <c r="C4916" t="s">
        <v>6594</v>
      </c>
      <c r="D4916" t="s">
        <v>6595</v>
      </c>
      <c r="E4916" t="s">
        <v>21241</v>
      </c>
      <c r="F4916">
        <v>42</v>
      </c>
      <c r="G4916">
        <v>3112350</v>
      </c>
      <c r="H4916" t="s">
        <v>21242</v>
      </c>
      <c r="J4916" s="54" t="s">
        <v>21241</v>
      </c>
      <c r="K4916" s="54">
        <v>1</v>
      </c>
      <c r="L4916" s="22" t="s">
        <v>104</v>
      </c>
      <c r="M4916" s="22" t="s">
        <v>154</v>
      </c>
    </row>
    <row r="4917" spans="1:13" x14ac:dyDescent="0.75">
      <c r="A4917" t="s">
        <v>3795</v>
      </c>
      <c r="B4917" t="s">
        <v>153</v>
      </c>
      <c r="C4917" t="s">
        <v>6594</v>
      </c>
      <c r="D4917" t="s">
        <v>6595</v>
      </c>
      <c r="E4917" t="s">
        <v>21291</v>
      </c>
      <c r="F4917">
        <v>36</v>
      </c>
      <c r="G4917">
        <v>3309181</v>
      </c>
      <c r="H4917" t="s">
        <v>21292</v>
      </c>
      <c r="J4917" s="54" t="s">
        <v>21291</v>
      </c>
      <c r="K4917" s="54">
        <v>1</v>
      </c>
      <c r="L4917" s="22" t="s">
        <v>104</v>
      </c>
      <c r="M4917" s="22" t="s">
        <v>154</v>
      </c>
    </row>
    <row r="4918" spans="1:13" x14ac:dyDescent="0.75">
      <c r="A4918" t="s">
        <v>3685</v>
      </c>
      <c r="B4918" t="s">
        <v>153</v>
      </c>
      <c r="C4918" t="s">
        <v>6594</v>
      </c>
      <c r="D4918" t="s">
        <v>6595</v>
      </c>
      <c r="E4918" t="s">
        <v>21239</v>
      </c>
      <c r="F4918">
        <v>43</v>
      </c>
      <c r="G4918">
        <v>3293085</v>
      </c>
      <c r="H4918" t="s">
        <v>21240</v>
      </c>
      <c r="J4918" s="54" t="s">
        <v>21239</v>
      </c>
      <c r="K4918" s="54">
        <v>1</v>
      </c>
      <c r="L4918" s="22" t="s">
        <v>104</v>
      </c>
      <c r="M4918" s="22" t="s">
        <v>154</v>
      </c>
    </row>
    <row r="4919" spans="1:13" x14ac:dyDescent="0.75">
      <c r="A4919" t="s">
        <v>3701</v>
      </c>
      <c r="B4919" t="s">
        <v>153</v>
      </c>
      <c r="C4919" t="s">
        <v>6594</v>
      </c>
      <c r="D4919" t="s">
        <v>6595</v>
      </c>
      <c r="E4919" t="s">
        <v>21248</v>
      </c>
      <c r="F4919">
        <v>44</v>
      </c>
      <c r="G4919">
        <v>3265850</v>
      </c>
      <c r="H4919" t="s">
        <v>21249</v>
      </c>
      <c r="J4919" s="54" t="s">
        <v>21248</v>
      </c>
      <c r="K4919" s="54">
        <v>1</v>
      </c>
      <c r="L4919" s="22" t="s">
        <v>104</v>
      </c>
      <c r="M4919" s="22" t="s">
        <v>154</v>
      </c>
    </row>
    <row r="4920" spans="1:13" x14ac:dyDescent="0.75">
      <c r="A4920" t="s">
        <v>3801</v>
      </c>
      <c r="B4920" t="s">
        <v>153</v>
      </c>
      <c r="C4920" t="s">
        <v>6594</v>
      </c>
      <c r="D4920" t="s">
        <v>6595</v>
      </c>
      <c r="E4920" t="s">
        <v>21296</v>
      </c>
      <c r="F4920">
        <v>40</v>
      </c>
      <c r="G4920">
        <v>3280014</v>
      </c>
      <c r="H4920" t="s">
        <v>21297</v>
      </c>
      <c r="J4920" s="54" t="s">
        <v>21296</v>
      </c>
      <c r="K4920" s="54">
        <v>1</v>
      </c>
      <c r="L4920" s="22" t="s">
        <v>104</v>
      </c>
      <c r="M4920" s="22" t="s">
        <v>154</v>
      </c>
    </row>
    <row r="4921" spans="1:13" x14ac:dyDescent="0.75">
      <c r="A4921" t="s">
        <v>3734</v>
      </c>
      <c r="B4921" t="s">
        <v>153</v>
      </c>
      <c r="C4921" t="s">
        <v>6594</v>
      </c>
      <c r="D4921" t="s">
        <v>6595</v>
      </c>
      <c r="E4921" t="s">
        <v>21262</v>
      </c>
      <c r="F4921">
        <v>97</v>
      </c>
      <c r="G4921">
        <v>3348634</v>
      </c>
      <c r="H4921" t="s">
        <v>21263</v>
      </c>
      <c r="J4921" s="54" t="s">
        <v>21262</v>
      </c>
      <c r="K4921" s="54">
        <v>1</v>
      </c>
      <c r="L4921" s="22" t="s">
        <v>104</v>
      </c>
      <c r="M4921" s="22" t="s">
        <v>154</v>
      </c>
    </row>
    <row r="4922" spans="1:13" x14ac:dyDescent="0.75">
      <c r="A4922" t="s">
        <v>3739</v>
      </c>
      <c r="B4922" t="s">
        <v>153</v>
      </c>
      <c r="C4922" t="s">
        <v>6594</v>
      </c>
      <c r="D4922" t="s">
        <v>6595</v>
      </c>
      <c r="E4922" t="s">
        <v>21267</v>
      </c>
      <c r="F4922">
        <v>63</v>
      </c>
      <c r="G4922">
        <v>3422092</v>
      </c>
      <c r="H4922" t="s">
        <v>21268</v>
      </c>
      <c r="J4922" s="54" t="s">
        <v>21267</v>
      </c>
      <c r="K4922" s="54">
        <v>1</v>
      </c>
      <c r="L4922" s="22" t="s">
        <v>104</v>
      </c>
      <c r="M4922" s="22" t="s">
        <v>154</v>
      </c>
    </row>
    <row r="4923" spans="1:13" x14ac:dyDescent="0.75">
      <c r="A4923" t="s">
        <v>3719</v>
      </c>
      <c r="B4923" t="s">
        <v>153</v>
      </c>
      <c r="C4923" t="s">
        <v>6594</v>
      </c>
      <c r="D4923" t="s">
        <v>6595</v>
      </c>
      <c r="E4923" t="s">
        <v>21256</v>
      </c>
      <c r="F4923">
        <v>86</v>
      </c>
      <c r="G4923">
        <v>3421699</v>
      </c>
      <c r="H4923" t="s">
        <v>21257</v>
      </c>
      <c r="J4923" s="54" t="s">
        <v>21256</v>
      </c>
      <c r="K4923" s="54">
        <v>1</v>
      </c>
      <c r="L4923" s="22" t="s">
        <v>104</v>
      </c>
      <c r="M4923" s="22" t="s">
        <v>154</v>
      </c>
    </row>
    <row r="4924" spans="1:13" x14ac:dyDescent="0.75">
      <c r="A4924" t="s">
        <v>3729</v>
      </c>
      <c r="B4924" t="s">
        <v>153</v>
      </c>
      <c r="C4924" t="s">
        <v>6594</v>
      </c>
      <c r="D4924" t="s">
        <v>6595</v>
      </c>
      <c r="E4924" t="s">
        <v>21260</v>
      </c>
      <c r="F4924">
        <v>74</v>
      </c>
      <c r="G4924">
        <v>3307101</v>
      </c>
      <c r="H4924" t="s">
        <v>21261</v>
      </c>
      <c r="J4924" s="54" t="s">
        <v>21260</v>
      </c>
      <c r="K4924" s="54">
        <v>1</v>
      </c>
      <c r="L4924" s="22" t="s">
        <v>104</v>
      </c>
      <c r="M4924" s="22" t="s">
        <v>154</v>
      </c>
    </row>
    <row r="4925" spans="1:13" x14ac:dyDescent="0.75">
      <c r="A4925" t="s">
        <v>3766</v>
      </c>
      <c r="B4925" t="s">
        <v>153</v>
      </c>
      <c r="C4925" t="s">
        <v>6594</v>
      </c>
      <c r="D4925" t="s">
        <v>6595</v>
      </c>
      <c r="E4925" t="s">
        <v>21280</v>
      </c>
      <c r="F4925">
        <v>69</v>
      </c>
      <c r="G4925">
        <v>3349000</v>
      </c>
      <c r="H4925" t="s">
        <v>21281</v>
      </c>
      <c r="J4925" s="54" t="s">
        <v>21280</v>
      </c>
      <c r="K4925" s="54">
        <v>1</v>
      </c>
      <c r="L4925" s="22" t="s">
        <v>104</v>
      </c>
      <c r="M4925" s="22" t="s">
        <v>154</v>
      </c>
    </row>
    <row r="4926" spans="1:13" x14ac:dyDescent="0.75">
      <c r="A4926" t="s">
        <v>5312</v>
      </c>
      <c r="B4926" t="s">
        <v>153</v>
      </c>
      <c r="C4926" t="s">
        <v>6594</v>
      </c>
      <c r="D4926" t="s">
        <v>6595</v>
      </c>
      <c r="E4926" t="s">
        <v>28162</v>
      </c>
      <c r="F4926">
        <v>57</v>
      </c>
      <c r="G4926">
        <v>3192247</v>
      </c>
      <c r="H4926" t="s">
        <v>28163</v>
      </c>
      <c r="J4926" s="54" t="s">
        <v>30841</v>
      </c>
      <c r="K4926" s="54">
        <v>1</v>
      </c>
      <c r="L4926" s="22" t="s">
        <v>104</v>
      </c>
      <c r="M4926" s="22" t="s">
        <v>154</v>
      </c>
    </row>
    <row r="4927" spans="1:13" x14ac:dyDescent="0.75">
      <c r="A4927" t="s">
        <v>5400</v>
      </c>
      <c r="B4927" t="s">
        <v>153</v>
      </c>
      <c r="C4927" t="s">
        <v>6594</v>
      </c>
      <c r="D4927" t="s">
        <v>6595</v>
      </c>
      <c r="E4927" t="s">
        <v>28561</v>
      </c>
      <c r="F4927">
        <v>145</v>
      </c>
      <c r="G4927">
        <v>3259243</v>
      </c>
      <c r="H4927" t="s">
        <v>28562</v>
      </c>
      <c r="J4927" s="54" t="s">
        <v>28561</v>
      </c>
      <c r="K4927" s="54">
        <v>1</v>
      </c>
      <c r="L4927" s="22" t="s">
        <v>104</v>
      </c>
      <c r="M4927" s="22" t="s">
        <v>154</v>
      </c>
    </row>
    <row r="4928" spans="1:13" x14ac:dyDescent="0.75">
      <c r="A4928" t="s">
        <v>5409</v>
      </c>
      <c r="B4928" t="s">
        <v>153</v>
      </c>
      <c r="C4928" t="s">
        <v>6594</v>
      </c>
      <c r="D4928" t="s">
        <v>6595</v>
      </c>
      <c r="E4928" t="s">
        <v>28823</v>
      </c>
      <c r="F4928">
        <v>54</v>
      </c>
      <c r="G4928">
        <v>3181064</v>
      </c>
      <c r="H4928" t="s">
        <v>28824</v>
      </c>
      <c r="J4928" s="54" t="s">
        <v>30844</v>
      </c>
      <c r="K4928" s="54">
        <v>1</v>
      </c>
      <c r="L4928" s="22" t="s">
        <v>104</v>
      </c>
      <c r="M4928" s="22" t="s">
        <v>154</v>
      </c>
    </row>
    <row r="4929" spans="1:13" x14ac:dyDescent="0.75">
      <c r="A4929" t="s">
        <v>5585</v>
      </c>
      <c r="B4929" t="s">
        <v>153</v>
      </c>
      <c r="C4929" t="s">
        <v>6594</v>
      </c>
      <c r="D4929" t="s">
        <v>6595</v>
      </c>
      <c r="E4929" t="s">
        <v>29282</v>
      </c>
      <c r="F4929">
        <v>2</v>
      </c>
      <c r="G4929">
        <v>3305739</v>
      </c>
      <c r="H4929" t="s">
        <v>29283</v>
      </c>
      <c r="J4929" s="54" t="s">
        <v>30844</v>
      </c>
      <c r="K4929" s="54">
        <v>1</v>
      </c>
      <c r="L4929" s="22" t="s">
        <v>104</v>
      </c>
      <c r="M4929" s="22" t="s">
        <v>154</v>
      </c>
    </row>
    <row r="4930" spans="1:13" x14ac:dyDescent="0.75">
      <c r="A4930" t="s">
        <v>5420</v>
      </c>
      <c r="B4930" t="s">
        <v>153</v>
      </c>
      <c r="C4930" t="s">
        <v>6594</v>
      </c>
      <c r="D4930" t="s">
        <v>6595</v>
      </c>
      <c r="E4930" t="s">
        <v>28845</v>
      </c>
      <c r="F4930">
        <v>190</v>
      </c>
      <c r="G4930">
        <v>3187960</v>
      </c>
      <c r="H4930" t="s">
        <v>28846</v>
      </c>
      <c r="J4930" s="54" t="s">
        <v>30844</v>
      </c>
      <c r="K4930" s="54">
        <v>1</v>
      </c>
      <c r="L4930" s="22" t="s">
        <v>104</v>
      </c>
      <c r="M4930" s="22" t="s">
        <v>154</v>
      </c>
    </row>
    <row r="4931" spans="1:13" x14ac:dyDescent="0.75">
      <c r="A4931" t="s">
        <v>5578</v>
      </c>
      <c r="B4931" t="s">
        <v>153</v>
      </c>
      <c r="C4931" t="s">
        <v>6594</v>
      </c>
      <c r="D4931" t="s">
        <v>6595</v>
      </c>
      <c r="E4931" t="s">
        <v>29271</v>
      </c>
      <c r="F4931">
        <v>101</v>
      </c>
      <c r="G4931">
        <v>3044475</v>
      </c>
      <c r="H4931" t="s">
        <v>29272</v>
      </c>
      <c r="J4931" s="54" t="s">
        <v>30844</v>
      </c>
      <c r="K4931" s="54">
        <v>1</v>
      </c>
      <c r="L4931" s="22" t="s">
        <v>104</v>
      </c>
      <c r="M4931" s="22" t="s">
        <v>154</v>
      </c>
    </row>
    <row r="4932" spans="1:13" x14ac:dyDescent="0.75">
      <c r="A4932" t="s">
        <v>5869</v>
      </c>
      <c r="B4932" t="s">
        <v>153</v>
      </c>
      <c r="C4932" t="s">
        <v>6594</v>
      </c>
      <c r="D4932" t="s">
        <v>6595</v>
      </c>
      <c r="E4932" t="s">
        <v>29909</v>
      </c>
      <c r="F4932">
        <v>76</v>
      </c>
      <c r="G4932">
        <v>3142635</v>
      </c>
      <c r="H4932" t="s">
        <v>29910</v>
      </c>
      <c r="J4932" s="54" t="s">
        <v>30844</v>
      </c>
      <c r="K4932" s="54">
        <v>1</v>
      </c>
      <c r="L4932" s="22" t="s">
        <v>104</v>
      </c>
      <c r="M4932" s="22" t="s">
        <v>154</v>
      </c>
    </row>
    <row r="4933" spans="1:13" x14ac:dyDescent="0.75">
      <c r="A4933" t="s">
        <v>5563</v>
      </c>
      <c r="B4933" t="s">
        <v>153</v>
      </c>
      <c r="C4933" t="s">
        <v>6594</v>
      </c>
      <c r="D4933" t="s">
        <v>6595</v>
      </c>
      <c r="E4933" t="s">
        <v>29202</v>
      </c>
      <c r="F4933">
        <v>201</v>
      </c>
      <c r="G4933">
        <v>2859685</v>
      </c>
      <c r="H4933" t="s">
        <v>29203</v>
      </c>
      <c r="J4933" s="54" t="s">
        <v>30844</v>
      </c>
      <c r="K4933" s="54">
        <v>1</v>
      </c>
      <c r="L4933" s="22" t="s">
        <v>104</v>
      </c>
      <c r="M4933" s="22" t="s">
        <v>154</v>
      </c>
    </row>
    <row r="4934" spans="1:13" x14ac:dyDescent="0.75">
      <c r="A4934" t="s">
        <v>5899</v>
      </c>
      <c r="B4934" t="s">
        <v>153</v>
      </c>
      <c r="C4934" t="s">
        <v>6594</v>
      </c>
      <c r="D4934" t="s">
        <v>6595</v>
      </c>
      <c r="E4934" t="s">
        <v>29988</v>
      </c>
      <c r="F4934">
        <v>108</v>
      </c>
      <c r="G4934">
        <v>3042679</v>
      </c>
      <c r="H4934" t="s">
        <v>29989</v>
      </c>
      <c r="J4934" s="54" t="s">
        <v>30844</v>
      </c>
      <c r="K4934" s="54">
        <v>1</v>
      </c>
      <c r="L4934" s="22" t="s">
        <v>104</v>
      </c>
      <c r="M4934" s="22" t="s">
        <v>154</v>
      </c>
    </row>
    <row r="4935" spans="1:13" x14ac:dyDescent="0.75">
      <c r="A4935" t="s">
        <v>6018</v>
      </c>
      <c r="B4935" t="s">
        <v>153</v>
      </c>
      <c r="C4935" t="s">
        <v>6594</v>
      </c>
      <c r="D4935" t="s">
        <v>6595</v>
      </c>
      <c r="E4935" t="s">
        <v>30482</v>
      </c>
      <c r="F4935">
        <v>167</v>
      </c>
      <c r="G4935">
        <v>3051936</v>
      </c>
      <c r="H4935" t="s">
        <v>30483</v>
      </c>
      <c r="J4935" s="54" t="s">
        <v>30844</v>
      </c>
      <c r="K4935" s="54">
        <v>1</v>
      </c>
      <c r="L4935" s="22" t="s">
        <v>104</v>
      </c>
      <c r="M4935" s="22" t="s">
        <v>154</v>
      </c>
    </row>
    <row r="4936" spans="1:13" x14ac:dyDescent="0.75">
      <c r="A4936" t="s">
        <v>5968</v>
      </c>
      <c r="B4936" t="s">
        <v>153</v>
      </c>
      <c r="C4936" t="s">
        <v>6594</v>
      </c>
      <c r="D4936" t="s">
        <v>6595</v>
      </c>
      <c r="E4936" t="s">
        <v>30259</v>
      </c>
      <c r="F4936">
        <v>297</v>
      </c>
      <c r="G4936">
        <v>3015449</v>
      </c>
      <c r="H4936" t="s">
        <v>30260</v>
      </c>
      <c r="J4936" s="54" t="s">
        <v>30844</v>
      </c>
      <c r="K4936" s="54">
        <v>1</v>
      </c>
      <c r="L4936" s="22" t="s">
        <v>104</v>
      </c>
      <c r="M4936" s="22" t="s">
        <v>154</v>
      </c>
    </row>
    <row r="4937" spans="1:13" x14ac:dyDescent="0.75">
      <c r="A4937" t="s">
        <v>2972</v>
      </c>
      <c r="B4937" t="s">
        <v>153</v>
      </c>
      <c r="C4937" t="s">
        <v>6594</v>
      </c>
      <c r="D4937" t="s">
        <v>6595</v>
      </c>
      <c r="E4937" t="s">
        <v>19343</v>
      </c>
      <c r="F4937">
        <v>128</v>
      </c>
      <c r="G4937">
        <v>2961485</v>
      </c>
      <c r="H4937" t="s">
        <v>19344</v>
      </c>
      <c r="J4937" s="54" t="s">
        <v>19343</v>
      </c>
      <c r="K4937" s="54">
        <v>1</v>
      </c>
      <c r="L4937" s="22" t="s">
        <v>104</v>
      </c>
      <c r="M4937" s="22" t="s">
        <v>154</v>
      </c>
    </row>
    <row r="4938" spans="1:13" x14ac:dyDescent="0.75">
      <c r="A4938" t="s">
        <v>3032</v>
      </c>
      <c r="B4938" t="s">
        <v>153</v>
      </c>
      <c r="C4938" t="s">
        <v>6594</v>
      </c>
      <c r="D4938" t="s">
        <v>6595</v>
      </c>
      <c r="E4938" t="s">
        <v>19516</v>
      </c>
      <c r="F4938">
        <v>227</v>
      </c>
      <c r="G4938">
        <v>2790165</v>
      </c>
      <c r="H4938" t="s">
        <v>19517</v>
      </c>
      <c r="J4938" s="54" t="s">
        <v>19516</v>
      </c>
      <c r="K4938" s="54">
        <v>1</v>
      </c>
      <c r="L4938" s="22" t="s">
        <v>104</v>
      </c>
      <c r="M4938" s="22" t="s">
        <v>154</v>
      </c>
    </row>
    <row r="4939" spans="1:13" x14ac:dyDescent="0.75">
      <c r="A4939" t="s">
        <v>2984</v>
      </c>
      <c r="B4939" t="s">
        <v>153</v>
      </c>
      <c r="C4939" t="s">
        <v>6594</v>
      </c>
      <c r="D4939" t="s">
        <v>6595</v>
      </c>
      <c r="E4939" t="s">
        <v>19347</v>
      </c>
      <c r="F4939">
        <v>86</v>
      </c>
      <c r="G4939">
        <v>3078150</v>
      </c>
      <c r="H4939" t="s">
        <v>19348</v>
      </c>
      <c r="J4939" s="54" t="s">
        <v>19347</v>
      </c>
      <c r="K4939" s="54">
        <v>1</v>
      </c>
      <c r="L4939" s="22" t="s">
        <v>104</v>
      </c>
      <c r="M4939" s="22" t="s">
        <v>154</v>
      </c>
    </row>
    <row r="4940" spans="1:13" x14ac:dyDescent="0.75">
      <c r="A4940" t="s">
        <v>2978</v>
      </c>
      <c r="B4940" t="s">
        <v>153</v>
      </c>
      <c r="C4940" t="s">
        <v>6594</v>
      </c>
      <c r="D4940" t="s">
        <v>6595</v>
      </c>
      <c r="E4940" t="s">
        <v>19345</v>
      </c>
      <c r="F4940">
        <v>238</v>
      </c>
      <c r="G4940">
        <v>2656281</v>
      </c>
      <c r="H4940" t="s">
        <v>19346</v>
      </c>
      <c r="J4940" s="54" t="s">
        <v>19345</v>
      </c>
      <c r="K4940" s="54">
        <v>1</v>
      </c>
      <c r="L4940" s="22" t="s">
        <v>104</v>
      </c>
      <c r="M4940" s="22" t="s">
        <v>154</v>
      </c>
    </row>
    <row r="4941" spans="1:13" x14ac:dyDescent="0.75">
      <c r="A4941" t="s">
        <v>2990</v>
      </c>
      <c r="B4941" t="s">
        <v>153</v>
      </c>
      <c r="C4941" t="s">
        <v>6594</v>
      </c>
      <c r="D4941" t="s">
        <v>6595</v>
      </c>
      <c r="E4941" t="s">
        <v>19349</v>
      </c>
      <c r="F4941">
        <v>145</v>
      </c>
      <c r="G4941">
        <v>3083634</v>
      </c>
      <c r="H4941" t="s">
        <v>19350</v>
      </c>
      <c r="J4941" s="54" t="s">
        <v>19349</v>
      </c>
      <c r="K4941" s="54">
        <v>1</v>
      </c>
      <c r="L4941" s="22" t="s">
        <v>104</v>
      </c>
      <c r="M4941" s="22" t="s">
        <v>154</v>
      </c>
    </row>
    <row r="4942" spans="1:13" x14ac:dyDescent="0.75">
      <c r="A4942" t="s">
        <v>2996</v>
      </c>
      <c r="B4942" t="s">
        <v>153</v>
      </c>
      <c r="C4942" t="s">
        <v>6594</v>
      </c>
      <c r="D4942" t="s">
        <v>6595</v>
      </c>
      <c r="E4942" t="s">
        <v>19351</v>
      </c>
      <c r="F4942">
        <v>143</v>
      </c>
      <c r="G4942">
        <v>3109113</v>
      </c>
      <c r="H4942" t="s">
        <v>19352</v>
      </c>
      <c r="J4942" s="54" t="s">
        <v>19351</v>
      </c>
      <c r="K4942" s="54">
        <v>1</v>
      </c>
      <c r="L4942" s="22" t="s">
        <v>104</v>
      </c>
      <c r="M4942" s="22" t="s">
        <v>154</v>
      </c>
    </row>
    <row r="4943" spans="1:13" x14ac:dyDescent="0.75">
      <c r="A4943" t="s">
        <v>3000</v>
      </c>
      <c r="B4943" t="s">
        <v>153</v>
      </c>
      <c r="C4943" t="s">
        <v>6594</v>
      </c>
      <c r="D4943" t="s">
        <v>6595</v>
      </c>
      <c r="E4943" t="s">
        <v>19353</v>
      </c>
      <c r="F4943">
        <v>135</v>
      </c>
      <c r="G4943">
        <v>3033758</v>
      </c>
      <c r="H4943" t="s">
        <v>19354</v>
      </c>
      <c r="J4943" s="54" t="s">
        <v>19353</v>
      </c>
      <c r="K4943" s="54">
        <v>1</v>
      </c>
      <c r="L4943" s="22" t="s">
        <v>104</v>
      </c>
      <c r="M4943" s="22" t="s">
        <v>154</v>
      </c>
    </row>
    <row r="4944" spans="1:13" x14ac:dyDescent="0.75">
      <c r="A4944" t="s">
        <v>3006</v>
      </c>
      <c r="B4944" t="s">
        <v>153</v>
      </c>
      <c r="C4944" t="s">
        <v>6594</v>
      </c>
      <c r="D4944" t="s">
        <v>6595</v>
      </c>
      <c r="E4944" t="s">
        <v>19355</v>
      </c>
      <c r="F4944">
        <v>159</v>
      </c>
      <c r="G4944">
        <v>2962341</v>
      </c>
      <c r="H4944" t="s">
        <v>19356</v>
      </c>
      <c r="J4944" s="54" t="s">
        <v>19355</v>
      </c>
      <c r="K4944" s="54">
        <v>1</v>
      </c>
      <c r="L4944" s="22" t="s">
        <v>104</v>
      </c>
      <c r="M4944" s="22" t="s">
        <v>154</v>
      </c>
    </row>
    <row r="4945" spans="1:13" x14ac:dyDescent="0.75">
      <c r="A4945" t="s">
        <v>3013</v>
      </c>
      <c r="B4945" t="s">
        <v>153</v>
      </c>
      <c r="C4945" t="s">
        <v>6594</v>
      </c>
      <c r="D4945" t="s">
        <v>6595</v>
      </c>
      <c r="E4945" t="s">
        <v>19357</v>
      </c>
      <c r="F4945">
        <v>124</v>
      </c>
      <c r="G4945">
        <v>3009011</v>
      </c>
      <c r="H4945" t="s">
        <v>19358</v>
      </c>
      <c r="J4945" s="54" t="s">
        <v>19357</v>
      </c>
      <c r="K4945" s="54">
        <v>1</v>
      </c>
      <c r="L4945" s="22" t="s">
        <v>104</v>
      </c>
      <c r="M4945" s="22" t="s">
        <v>154</v>
      </c>
    </row>
    <row r="4946" spans="1:13" x14ac:dyDescent="0.75">
      <c r="A4946" t="s">
        <v>3020</v>
      </c>
      <c r="B4946" t="s">
        <v>153</v>
      </c>
      <c r="C4946" t="s">
        <v>6594</v>
      </c>
      <c r="D4946" t="s">
        <v>6595</v>
      </c>
      <c r="E4946" t="s">
        <v>19359</v>
      </c>
      <c r="F4946">
        <v>167</v>
      </c>
      <c r="G4946">
        <v>3031294</v>
      </c>
      <c r="H4946" t="s">
        <v>19360</v>
      </c>
      <c r="J4946" s="54" t="s">
        <v>19359</v>
      </c>
      <c r="K4946" s="54">
        <v>1</v>
      </c>
      <c r="L4946" s="22" t="s">
        <v>104</v>
      </c>
      <c r="M4946" s="22" t="s">
        <v>154</v>
      </c>
    </row>
    <row r="4947" spans="1:13" x14ac:dyDescent="0.75">
      <c r="A4947" t="s">
        <v>28472</v>
      </c>
      <c r="B4947" t="s">
        <v>7175</v>
      </c>
      <c r="C4947" t="s">
        <v>6118</v>
      </c>
      <c r="D4947" t="s">
        <v>7176</v>
      </c>
      <c r="E4947" t="s">
        <v>28473</v>
      </c>
      <c r="F4947">
        <v>45</v>
      </c>
      <c r="G4947">
        <v>2042909</v>
      </c>
      <c r="H4947" t="s">
        <v>28474</v>
      </c>
      <c r="J4947" s="54" t="s">
        <v>6052</v>
      </c>
      <c r="K4947" s="54">
        <v>0</v>
      </c>
      <c r="L4947" s="22" t="s">
        <v>1308</v>
      </c>
      <c r="M4947" s="22" t="s">
        <v>37212</v>
      </c>
    </row>
    <row r="4948" spans="1:13" x14ac:dyDescent="0.75">
      <c r="A4948" t="s">
        <v>28599</v>
      </c>
      <c r="B4948" t="s">
        <v>7175</v>
      </c>
      <c r="C4948" t="s">
        <v>6118</v>
      </c>
      <c r="D4948" t="s">
        <v>7176</v>
      </c>
      <c r="E4948" t="s">
        <v>28600</v>
      </c>
      <c r="F4948">
        <v>153</v>
      </c>
      <c r="G4948">
        <v>1715041</v>
      </c>
      <c r="H4948" t="s">
        <v>28601</v>
      </c>
      <c r="J4948" s="54" t="s">
        <v>6052</v>
      </c>
      <c r="K4948" s="54">
        <v>0</v>
      </c>
      <c r="L4948" s="22" t="s">
        <v>1308</v>
      </c>
      <c r="M4948" s="22" t="s">
        <v>37212</v>
      </c>
    </row>
    <row r="4949" spans="1:13" x14ac:dyDescent="0.75">
      <c r="A4949" t="s">
        <v>28375</v>
      </c>
      <c r="B4949" t="s">
        <v>7357</v>
      </c>
      <c r="C4949" t="s">
        <v>6118</v>
      </c>
      <c r="D4949" t="s">
        <v>7358</v>
      </c>
      <c r="E4949" t="s">
        <v>28376</v>
      </c>
      <c r="F4949">
        <v>74</v>
      </c>
      <c r="G4949">
        <v>2088006</v>
      </c>
      <c r="H4949" t="s">
        <v>28377</v>
      </c>
      <c r="J4949" s="54" t="s">
        <v>6052</v>
      </c>
      <c r="K4949" s="54">
        <v>0</v>
      </c>
      <c r="L4949" s="22" t="s">
        <v>1563</v>
      </c>
      <c r="M4949" s="22" t="s">
        <v>37216</v>
      </c>
    </row>
    <row r="4950" spans="1:13" x14ac:dyDescent="0.75">
      <c r="A4950" t="s">
        <v>1195</v>
      </c>
      <c r="B4950" t="s">
        <v>153</v>
      </c>
      <c r="C4950" t="s">
        <v>6594</v>
      </c>
      <c r="D4950" t="s">
        <v>6595</v>
      </c>
      <c r="E4950" t="s">
        <v>10136</v>
      </c>
      <c r="F4950">
        <v>110</v>
      </c>
      <c r="G4950">
        <v>3192877</v>
      </c>
      <c r="H4950" t="s">
        <v>10137</v>
      </c>
      <c r="J4950" s="54" t="s">
        <v>10136</v>
      </c>
      <c r="K4950" s="54">
        <v>1</v>
      </c>
      <c r="L4950" s="22" t="s">
        <v>104</v>
      </c>
      <c r="M4950" s="22" t="s">
        <v>154</v>
      </c>
    </row>
    <row r="4951" spans="1:13" x14ac:dyDescent="0.75">
      <c r="A4951" t="s">
        <v>2188</v>
      </c>
      <c r="B4951" t="s">
        <v>153</v>
      </c>
      <c r="C4951" t="s">
        <v>6594</v>
      </c>
      <c r="D4951" t="s">
        <v>6595</v>
      </c>
      <c r="E4951" t="s">
        <v>15873</v>
      </c>
      <c r="F4951">
        <v>3</v>
      </c>
      <c r="G4951">
        <v>3090326</v>
      </c>
      <c r="H4951" t="s">
        <v>15874</v>
      </c>
      <c r="J4951" s="54" t="s">
        <v>15873</v>
      </c>
      <c r="K4951" s="54">
        <v>1</v>
      </c>
      <c r="L4951" s="22" t="s">
        <v>104</v>
      </c>
      <c r="M4951" s="22" t="s">
        <v>154</v>
      </c>
    </row>
    <row r="4952" spans="1:13" x14ac:dyDescent="0.75">
      <c r="A4952" t="s">
        <v>7356</v>
      </c>
      <c r="B4952" t="s">
        <v>7357</v>
      </c>
      <c r="C4952" t="s">
        <v>6118</v>
      </c>
      <c r="D4952" t="s">
        <v>7358</v>
      </c>
      <c r="E4952" t="s">
        <v>7359</v>
      </c>
      <c r="F4952">
        <v>58</v>
      </c>
      <c r="G4952">
        <v>2199119</v>
      </c>
      <c r="H4952" t="s">
        <v>7360</v>
      </c>
      <c r="J4952" s="54" t="s">
        <v>6052</v>
      </c>
      <c r="K4952" s="54">
        <v>0</v>
      </c>
      <c r="L4952" s="22" t="s">
        <v>1563</v>
      </c>
      <c r="M4952" s="22" t="s">
        <v>37216</v>
      </c>
    </row>
    <row r="4953" spans="1:13" x14ac:dyDescent="0.75">
      <c r="A4953" t="s">
        <v>2714</v>
      </c>
      <c r="B4953" t="s">
        <v>153</v>
      </c>
      <c r="C4953" t="s">
        <v>6594</v>
      </c>
      <c r="D4953" t="s">
        <v>6595</v>
      </c>
      <c r="E4953" t="s">
        <v>18470</v>
      </c>
      <c r="F4953">
        <v>2</v>
      </c>
      <c r="G4953">
        <v>3352987</v>
      </c>
      <c r="H4953" t="s">
        <v>18471</v>
      </c>
      <c r="J4953" s="54" t="s">
        <v>18470</v>
      </c>
      <c r="K4953" s="54">
        <v>1</v>
      </c>
      <c r="L4953" s="22" t="s">
        <v>104</v>
      </c>
      <c r="M4953" s="22" t="s">
        <v>154</v>
      </c>
    </row>
    <row r="4954" spans="1:13" x14ac:dyDescent="0.75">
      <c r="A4954" t="s">
        <v>1726</v>
      </c>
      <c r="B4954" t="s">
        <v>153</v>
      </c>
      <c r="C4954" t="s">
        <v>6594</v>
      </c>
      <c r="D4954" t="s">
        <v>6595</v>
      </c>
      <c r="E4954" t="s">
        <v>13744</v>
      </c>
      <c r="F4954">
        <v>2</v>
      </c>
      <c r="G4954">
        <v>3168230</v>
      </c>
      <c r="H4954" t="s">
        <v>13745</v>
      </c>
      <c r="J4954" s="54" t="s">
        <v>13744</v>
      </c>
      <c r="K4954" s="54">
        <v>1</v>
      </c>
      <c r="L4954" s="22" t="s">
        <v>104</v>
      </c>
      <c r="M4954" s="22" t="s">
        <v>154</v>
      </c>
    </row>
    <row r="4955" spans="1:13" x14ac:dyDescent="0.75">
      <c r="A4955" t="s">
        <v>4014</v>
      </c>
      <c r="B4955" t="s">
        <v>153</v>
      </c>
      <c r="C4955" t="s">
        <v>6594</v>
      </c>
      <c r="D4955" t="s">
        <v>6595</v>
      </c>
      <c r="E4955" t="s">
        <v>21853</v>
      </c>
      <c r="F4955">
        <v>2</v>
      </c>
      <c r="G4955">
        <v>3168227</v>
      </c>
      <c r="H4955" t="s">
        <v>21854</v>
      </c>
      <c r="J4955" s="54" t="s">
        <v>21853</v>
      </c>
      <c r="K4955" s="54">
        <v>1</v>
      </c>
      <c r="L4955" s="22" t="s">
        <v>104</v>
      </c>
      <c r="M4955" s="22" t="s">
        <v>154</v>
      </c>
    </row>
    <row r="4956" spans="1:13" x14ac:dyDescent="0.75">
      <c r="A4956" t="s">
        <v>3341</v>
      </c>
      <c r="B4956" t="s">
        <v>153</v>
      </c>
      <c r="C4956" t="s">
        <v>6594</v>
      </c>
      <c r="D4956" t="s">
        <v>6595</v>
      </c>
      <c r="E4956" t="s">
        <v>20638</v>
      </c>
      <c r="F4956">
        <v>2</v>
      </c>
      <c r="G4956">
        <v>3168321</v>
      </c>
      <c r="H4956" t="s">
        <v>20639</v>
      </c>
      <c r="J4956" s="54" t="s">
        <v>20638</v>
      </c>
      <c r="K4956" s="54">
        <v>1</v>
      </c>
      <c r="L4956" s="22" t="s">
        <v>104</v>
      </c>
      <c r="M4956" s="22" t="s">
        <v>154</v>
      </c>
    </row>
    <row r="4957" spans="1:13" x14ac:dyDescent="0.75">
      <c r="A4957" t="s">
        <v>3346</v>
      </c>
      <c r="B4957" t="s">
        <v>153</v>
      </c>
      <c r="C4957" t="s">
        <v>6594</v>
      </c>
      <c r="D4957" t="s">
        <v>6595</v>
      </c>
      <c r="E4957" t="s">
        <v>20640</v>
      </c>
      <c r="F4957">
        <v>2</v>
      </c>
      <c r="G4957">
        <v>3169665</v>
      </c>
      <c r="H4957" t="s">
        <v>20641</v>
      </c>
      <c r="J4957" s="54" t="s">
        <v>20640</v>
      </c>
      <c r="K4957" s="54">
        <v>1</v>
      </c>
      <c r="L4957" s="22" t="s">
        <v>104</v>
      </c>
      <c r="M4957" s="22" t="s">
        <v>154</v>
      </c>
    </row>
    <row r="4958" spans="1:13" x14ac:dyDescent="0.75">
      <c r="A4958" t="s">
        <v>3351</v>
      </c>
      <c r="B4958" t="s">
        <v>153</v>
      </c>
      <c r="C4958" t="s">
        <v>6594</v>
      </c>
      <c r="D4958" t="s">
        <v>6595</v>
      </c>
      <c r="E4958" t="s">
        <v>20642</v>
      </c>
      <c r="F4958">
        <v>2</v>
      </c>
      <c r="G4958">
        <v>3360806</v>
      </c>
      <c r="H4958" t="s">
        <v>20643</v>
      </c>
      <c r="J4958" s="54" t="s">
        <v>20642</v>
      </c>
      <c r="K4958" s="54">
        <v>1</v>
      </c>
      <c r="L4958" s="22" t="s">
        <v>104</v>
      </c>
      <c r="M4958" s="22" t="s">
        <v>154</v>
      </c>
    </row>
    <row r="4959" spans="1:13" x14ac:dyDescent="0.75">
      <c r="A4959" t="s">
        <v>297</v>
      </c>
      <c r="B4959" t="s">
        <v>153</v>
      </c>
      <c r="C4959" t="s">
        <v>6594</v>
      </c>
      <c r="D4959" t="s">
        <v>6595</v>
      </c>
      <c r="E4959" t="s">
        <v>7021</v>
      </c>
      <c r="F4959">
        <v>173</v>
      </c>
      <c r="G4959">
        <v>3292341</v>
      </c>
      <c r="H4959" t="s">
        <v>7022</v>
      </c>
      <c r="J4959" s="54" t="s">
        <v>7021</v>
      </c>
      <c r="K4959" s="54">
        <v>1</v>
      </c>
      <c r="L4959" s="22" t="s">
        <v>104</v>
      </c>
      <c r="M4959" s="22" t="s">
        <v>154</v>
      </c>
    </row>
    <row r="4960" spans="1:13" x14ac:dyDescent="0.75">
      <c r="A4960" t="s">
        <v>152</v>
      </c>
      <c r="B4960" t="s">
        <v>153</v>
      </c>
      <c r="C4960" t="s">
        <v>6594</v>
      </c>
      <c r="D4960" t="s">
        <v>6595</v>
      </c>
      <c r="E4960" t="s">
        <v>6596</v>
      </c>
      <c r="F4960">
        <v>2</v>
      </c>
      <c r="G4960">
        <v>3168282</v>
      </c>
      <c r="H4960" t="s">
        <v>6597</v>
      </c>
      <c r="J4960" s="54" t="s">
        <v>6596</v>
      </c>
      <c r="K4960" s="54">
        <v>1</v>
      </c>
      <c r="L4960" s="22" t="s">
        <v>104</v>
      </c>
      <c r="M4960" s="22" t="s">
        <v>154</v>
      </c>
    </row>
    <row r="4961" spans="1:13" x14ac:dyDescent="0.75">
      <c r="A4961" t="s">
        <v>30190</v>
      </c>
      <c r="B4961" t="s">
        <v>153</v>
      </c>
      <c r="C4961" t="s">
        <v>6594</v>
      </c>
      <c r="D4961" t="s">
        <v>6595</v>
      </c>
      <c r="E4961" t="s">
        <v>30191</v>
      </c>
      <c r="F4961">
        <v>125</v>
      </c>
      <c r="G4961">
        <v>3310601</v>
      </c>
      <c r="H4961" t="s">
        <v>30192</v>
      </c>
      <c r="J4961" s="54" t="s">
        <v>6052</v>
      </c>
      <c r="K4961" s="54">
        <v>0</v>
      </c>
      <c r="L4961" s="22" t="s">
        <v>104</v>
      </c>
      <c r="M4961" s="22" t="s">
        <v>154</v>
      </c>
    </row>
    <row r="4962" spans="1:13" x14ac:dyDescent="0.75">
      <c r="A4962" t="s">
        <v>30244</v>
      </c>
      <c r="B4962" t="s">
        <v>7175</v>
      </c>
      <c r="C4962" t="s">
        <v>6118</v>
      </c>
      <c r="D4962" t="s">
        <v>7176</v>
      </c>
      <c r="E4962" t="s">
        <v>30245</v>
      </c>
      <c r="F4962">
        <v>83</v>
      </c>
      <c r="G4962">
        <v>2035398</v>
      </c>
      <c r="H4962" t="s">
        <v>30246</v>
      </c>
      <c r="J4962" s="54" t="s">
        <v>6052</v>
      </c>
      <c r="K4962" s="54">
        <v>0</v>
      </c>
      <c r="L4962" s="22" t="s">
        <v>1308</v>
      </c>
      <c r="M4962" s="22" t="s">
        <v>37212</v>
      </c>
    </row>
    <row r="4963" spans="1:13" x14ac:dyDescent="0.75">
      <c r="A4963" t="s">
        <v>30459</v>
      </c>
      <c r="B4963" t="s">
        <v>7175</v>
      </c>
      <c r="C4963" t="s">
        <v>6118</v>
      </c>
      <c r="D4963" t="s">
        <v>7176</v>
      </c>
      <c r="E4963" t="s">
        <v>30460</v>
      </c>
      <c r="F4963">
        <v>138</v>
      </c>
      <c r="G4963">
        <v>1855518</v>
      </c>
      <c r="H4963" t="s">
        <v>30461</v>
      </c>
      <c r="J4963" s="54" t="s">
        <v>6052</v>
      </c>
      <c r="K4963" s="54">
        <v>0</v>
      </c>
      <c r="L4963" s="22" t="s">
        <v>1308</v>
      </c>
      <c r="M4963" s="22" t="s">
        <v>37212</v>
      </c>
    </row>
    <row r="4964" spans="1:13" x14ac:dyDescent="0.75">
      <c r="A4964" t="s">
        <v>29152</v>
      </c>
      <c r="B4964" t="s">
        <v>153</v>
      </c>
      <c r="C4964" t="s">
        <v>6594</v>
      </c>
      <c r="D4964" t="s">
        <v>6595</v>
      </c>
      <c r="E4964" t="s">
        <v>29153</v>
      </c>
      <c r="F4964">
        <v>165</v>
      </c>
      <c r="G4964">
        <v>2982440</v>
      </c>
      <c r="H4964" t="s">
        <v>29154</v>
      </c>
      <c r="J4964" s="54" t="s">
        <v>6052</v>
      </c>
      <c r="K4964" s="54">
        <v>0</v>
      </c>
      <c r="L4964" s="22" t="s">
        <v>104</v>
      </c>
      <c r="M4964" s="22" t="s">
        <v>154</v>
      </c>
    </row>
    <row r="4965" spans="1:13" x14ac:dyDescent="0.75">
      <c r="A4965" t="s">
        <v>29263</v>
      </c>
      <c r="B4965" t="s">
        <v>153</v>
      </c>
      <c r="C4965" t="s">
        <v>6594</v>
      </c>
      <c r="D4965" t="s">
        <v>6595</v>
      </c>
      <c r="E4965" t="s">
        <v>29264</v>
      </c>
      <c r="F4965">
        <v>192</v>
      </c>
      <c r="G4965">
        <v>3056285</v>
      </c>
      <c r="H4965" t="s">
        <v>29265</v>
      </c>
      <c r="J4965" s="54" t="s">
        <v>6052</v>
      </c>
      <c r="K4965" s="54">
        <v>0</v>
      </c>
      <c r="L4965" s="22" t="s">
        <v>104</v>
      </c>
      <c r="M4965" s="22" t="s">
        <v>154</v>
      </c>
    </row>
    <row r="4966" spans="1:13" x14ac:dyDescent="0.75">
      <c r="A4966" t="s">
        <v>29454</v>
      </c>
      <c r="B4966" t="s">
        <v>153</v>
      </c>
      <c r="C4966" t="s">
        <v>6594</v>
      </c>
      <c r="D4966" t="s">
        <v>6595</v>
      </c>
      <c r="E4966" t="s">
        <v>29455</v>
      </c>
      <c r="F4966">
        <v>243</v>
      </c>
      <c r="G4966">
        <v>3139129</v>
      </c>
      <c r="H4966" t="s">
        <v>29456</v>
      </c>
      <c r="J4966" s="54" t="s">
        <v>6052</v>
      </c>
      <c r="K4966" s="54">
        <v>0</v>
      </c>
      <c r="L4966" s="22" t="s">
        <v>104</v>
      </c>
      <c r="M4966" s="22" t="s">
        <v>154</v>
      </c>
    </row>
    <row r="4967" spans="1:13" x14ac:dyDescent="0.75">
      <c r="A4967" t="s">
        <v>21858</v>
      </c>
      <c r="B4967" t="s">
        <v>153</v>
      </c>
      <c r="C4967" t="s">
        <v>6594</v>
      </c>
      <c r="D4967" t="s">
        <v>6595</v>
      </c>
      <c r="E4967" t="s">
        <v>21859</v>
      </c>
      <c r="F4967">
        <v>2</v>
      </c>
      <c r="G4967">
        <v>3306754</v>
      </c>
      <c r="H4967" t="s">
        <v>21860</v>
      </c>
      <c r="J4967" s="54" t="s">
        <v>6052</v>
      </c>
      <c r="K4967" s="54">
        <v>0</v>
      </c>
      <c r="L4967" s="22" t="s">
        <v>104</v>
      </c>
      <c r="M4967" s="22" t="s">
        <v>154</v>
      </c>
    </row>
    <row r="4968" spans="1:13" x14ac:dyDescent="0.75">
      <c r="A4968" t="s">
        <v>19361</v>
      </c>
      <c r="B4968" t="s">
        <v>153</v>
      </c>
      <c r="C4968" t="s">
        <v>6594</v>
      </c>
      <c r="D4968" t="s">
        <v>6595</v>
      </c>
      <c r="E4968" t="s">
        <v>19362</v>
      </c>
      <c r="F4968">
        <v>98</v>
      </c>
      <c r="G4968">
        <v>3029562</v>
      </c>
      <c r="H4968" t="s">
        <v>19363</v>
      </c>
      <c r="J4968" s="54" t="s">
        <v>6052</v>
      </c>
      <c r="K4968" s="54">
        <v>0</v>
      </c>
      <c r="L4968" s="22" t="s">
        <v>104</v>
      </c>
      <c r="M4968" s="22" t="s">
        <v>154</v>
      </c>
    </row>
    <row r="4969" spans="1:13" x14ac:dyDescent="0.75">
      <c r="A4969" t="s">
        <v>21236</v>
      </c>
      <c r="B4969" t="s">
        <v>153</v>
      </c>
      <c r="C4969" t="s">
        <v>6594</v>
      </c>
      <c r="D4969" t="s">
        <v>6595</v>
      </c>
      <c r="E4969" t="s">
        <v>21237</v>
      </c>
      <c r="F4969">
        <v>52</v>
      </c>
      <c r="G4969">
        <v>3473651</v>
      </c>
      <c r="H4969" t="s">
        <v>21238</v>
      </c>
      <c r="J4969" s="54" t="s">
        <v>6052</v>
      </c>
      <c r="K4969" s="54">
        <v>0</v>
      </c>
      <c r="L4969" s="22" t="s">
        <v>104</v>
      </c>
      <c r="M4969" s="22" t="s">
        <v>154</v>
      </c>
    </row>
    <row r="4970" spans="1:13" x14ac:dyDescent="0.75">
      <c r="A4970" t="s">
        <v>29330</v>
      </c>
      <c r="B4970" t="s">
        <v>153</v>
      </c>
      <c r="C4970" t="s">
        <v>6594</v>
      </c>
      <c r="D4970" t="s">
        <v>6595</v>
      </c>
      <c r="E4970" t="s">
        <v>29331</v>
      </c>
      <c r="F4970">
        <v>116</v>
      </c>
      <c r="G4970">
        <v>3070081</v>
      </c>
      <c r="H4970" t="s">
        <v>29332</v>
      </c>
      <c r="J4970" s="54" t="s">
        <v>6052</v>
      </c>
      <c r="K4970" s="54">
        <v>0</v>
      </c>
      <c r="L4970" s="22" t="s">
        <v>104</v>
      </c>
      <c r="M4970" s="22" t="s">
        <v>154</v>
      </c>
    </row>
    <row r="4971" spans="1:13" x14ac:dyDescent="0.75">
      <c r="A4971" t="s">
        <v>28853</v>
      </c>
      <c r="B4971" t="s">
        <v>153</v>
      </c>
      <c r="C4971" t="s">
        <v>6594</v>
      </c>
      <c r="D4971" t="s">
        <v>6595</v>
      </c>
      <c r="E4971" t="s">
        <v>28854</v>
      </c>
      <c r="F4971">
        <v>99</v>
      </c>
      <c r="G4971">
        <v>3123098</v>
      </c>
      <c r="H4971" t="s">
        <v>28855</v>
      </c>
      <c r="J4971" s="54" t="s">
        <v>6052</v>
      </c>
      <c r="K4971" s="54">
        <v>0</v>
      </c>
      <c r="L4971" s="22" t="s">
        <v>104</v>
      </c>
      <c r="M4971" s="22" t="s">
        <v>154</v>
      </c>
    </row>
    <row r="4972" spans="1:13" x14ac:dyDescent="0.75">
      <c r="A4972" t="s">
        <v>9334</v>
      </c>
      <c r="B4972" t="s">
        <v>8446</v>
      </c>
      <c r="C4972" t="s">
        <v>6594</v>
      </c>
      <c r="D4972" t="s">
        <v>8447</v>
      </c>
      <c r="E4972" t="s">
        <v>9335</v>
      </c>
      <c r="F4972">
        <v>56</v>
      </c>
      <c r="G4972">
        <v>2435292</v>
      </c>
      <c r="H4972" t="s">
        <v>9336</v>
      </c>
      <c r="J4972" s="54" t="s">
        <v>6052</v>
      </c>
      <c r="K4972" s="54">
        <v>0</v>
      </c>
      <c r="L4972" s="22" t="s">
        <v>104</v>
      </c>
      <c r="M4972" s="22" t="s">
        <v>37225</v>
      </c>
    </row>
    <row r="4973" spans="1:13" x14ac:dyDescent="0.75">
      <c r="A4973" t="s">
        <v>29631</v>
      </c>
      <c r="B4973" t="s">
        <v>8446</v>
      </c>
      <c r="C4973" t="s">
        <v>6594</v>
      </c>
      <c r="D4973" t="s">
        <v>8447</v>
      </c>
      <c r="E4973" t="s">
        <v>29632</v>
      </c>
      <c r="F4973">
        <v>96</v>
      </c>
      <c r="G4973">
        <v>2298888</v>
      </c>
      <c r="H4973" t="s">
        <v>29633</v>
      </c>
      <c r="J4973" s="54" t="s">
        <v>6052</v>
      </c>
      <c r="K4973" s="54">
        <v>0</v>
      </c>
      <c r="L4973" s="22" t="s">
        <v>104</v>
      </c>
      <c r="M4973" s="22" t="s">
        <v>37225</v>
      </c>
    </row>
    <row r="4974" spans="1:13" x14ac:dyDescent="0.75">
      <c r="A4974" t="s">
        <v>8445</v>
      </c>
      <c r="B4974" t="s">
        <v>8446</v>
      </c>
      <c r="C4974" t="s">
        <v>6594</v>
      </c>
      <c r="D4974" t="s">
        <v>8447</v>
      </c>
      <c r="E4974" t="s">
        <v>8448</v>
      </c>
      <c r="F4974">
        <v>69</v>
      </c>
      <c r="G4974">
        <v>2487950</v>
      </c>
      <c r="H4974" t="s">
        <v>8449</v>
      </c>
      <c r="J4974" s="54" t="s">
        <v>6052</v>
      </c>
      <c r="K4974" s="54">
        <v>0</v>
      </c>
      <c r="L4974" s="22" t="s">
        <v>104</v>
      </c>
      <c r="M4974" s="22" t="s">
        <v>37225</v>
      </c>
    </row>
    <row r="4975" spans="1:13" x14ac:dyDescent="0.75">
      <c r="A4975" t="s">
        <v>10313</v>
      </c>
      <c r="B4975" t="s">
        <v>8446</v>
      </c>
      <c r="C4975" t="s">
        <v>6594</v>
      </c>
      <c r="D4975" t="s">
        <v>8447</v>
      </c>
      <c r="E4975" t="s">
        <v>10314</v>
      </c>
      <c r="F4975">
        <v>108</v>
      </c>
      <c r="G4975">
        <v>2426740</v>
      </c>
      <c r="H4975" t="s">
        <v>10315</v>
      </c>
      <c r="J4975" s="54" t="s">
        <v>6052</v>
      </c>
      <c r="K4975" s="54">
        <v>0</v>
      </c>
      <c r="L4975" s="22" t="s">
        <v>104</v>
      </c>
      <c r="M4975" s="22" t="s">
        <v>37225</v>
      </c>
    </row>
    <row r="4976" spans="1:13" x14ac:dyDescent="0.75">
      <c r="A4976" t="s">
        <v>5856</v>
      </c>
      <c r="B4976" t="s">
        <v>450</v>
      </c>
      <c r="C4976" t="s">
        <v>6594</v>
      </c>
      <c r="D4976" t="s">
        <v>7498</v>
      </c>
      <c r="E4976" t="s">
        <v>29833</v>
      </c>
      <c r="F4976">
        <v>159</v>
      </c>
      <c r="G4976">
        <v>3357401</v>
      </c>
      <c r="H4976" t="s">
        <v>29834</v>
      </c>
      <c r="J4976" s="54" t="s">
        <v>30844</v>
      </c>
      <c r="K4976" s="54">
        <v>1</v>
      </c>
      <c r="L4976" s="22" t="s">
        <v>104</v>
      </c>
      <c r="M4976" s="22" t="s">
        <v>451</v>
      </c>
    </row>
    <row r="4977" spans="1:13" x14ac:dyDescent="0.75">
      <c r="A4977" t="s">
        <v>5983</v>
      </c>
      <c r="B4977" t="s">
        <v>450</v>
      </c>
      <c r="C4977" t="s">
        <v>6594</v>
      </c>
      <c r="D4977" t="s">
        <v>7498</v>
      </c>
      <c r="E4977" t="s">
        <v>30341</v>
      </c>
      <c r="F4977">
        <v>205</v>
      </c>
      <c r="G4977">
        <v>2378702</v>
      </c>
      <c r="H4977" t="s">
        <v>30342</v>
      </c>
      <c r="J4977" s="54" t="s">
        <v>30844</v>
      </c>
      <c r="K4977" s="54">
        <v>1</v>
      </c>
      <c r="L4977" s="22" t="s">
        <v>104</v>
      </c>
      <c r="M4977" s="22" t="s">
        <v>451</v>
      </c>
    </row>
    <row r="4978" spans="1:13" x14ac:dyDescent="0.75">
      <c r="A4978" t="s">
        <v>3380</v>
      </c>
      <c r="B4978" t="s">
        <v>450</v>
      </c>
      <c r="C4978" t="s">
        <v>6594</v>
      </c>
      <c r="D4978" t="s">
        <v>7498</v>
      </c>
      <c r="E4978" t="s">
        <v>20648</v>
      </c>
      <c r="F4978">
        <v>2</v>
      </c>
      <c r="G4978">
        <v>3025491</v>
      </c>
      <c r="H4978" t="s">
        <v>20649</v>
      </c>
      <c r="J4978" s="54" t="s">
        <v>20648</v>
      </c>
      <c r="K4978" s="54">
        <v>1</v>
      </c>
      <c r="L4978" s="22" t="s">
        <v>104</v>
      </c>
      <c r="M4978" s="22" t="s">
        <v>451</v>
      </c>
    </row>
    <row r="4979" spans="1:13" x14ac:dyDescent="0.75">
      <c r="A4979" t="s">
        <v>449</v>
      </c>
      <c r="B4979" t="s">
        <v>450</v>
      </c>
      <c r="C4979" t="s">
        <v>6594</v>
      </c>
      <c r="D4979" t="s">
        <v>7498</v>
      </c>
      <c r="E4979" t="s">
        <v>7499</v>
      </c>
      <c r="F4979">
        <v>70</v>
      </c>
      <c r="G4979">
        <v>3057407</v>
      </c>
      <c r="H4979" t="s">
        <v>7500</v>
      </c>
      <c r="J4979" s="54" t="s">
        <v>7499</v>
      </c>
      <c r="K4979" s="54">
        <v>1</v>
      </c>
      <c r="L4979" s="22" t="s">
        <v>104</v>
      </c>
      <c r="M4979" s="22" t="s">
        <v>451</v>
      </c>
    </row>
    <row r="4980" spans="1:13" x14ac:dyDescent="0.75">
      <c r="A4980" t="s">
        <v>7849</v>
      </c>
      <c r="B4980" t="s">
        <v>7850</v>
      </c>
      <c r="C4980" t="s">
        <v>6594</v>
      </c>
      <c r="D4980" t="s">
        <v>7851</v>
      </c>
      <c r="E4980" t="s">
        <v>7852</v>
      </c>
      <c r="F4980">
        <v>86</v>
      </c>
      <c r="G4980">
        <v>2669193</v>
      </c>
      <c r="H4980" t="s">
        <v>7853</v>
      </c>
      <c r="J4980" s="54" t="s">
        <v>6052</v>
      </c>
      <c r="K4980" s="54">
        <v>0</v>
      </c>
      <c r="L4980" s="22" t="s">
        <v>104</v>
      </c>
      <c r="M4980" s="22" t="s">
        <v>37221</v>
      </c>
    </row>
    <row r="4981" spans="1:13" x14ac:dyDescent="0.75">
      <c r="A4981" t="s">
        <v>10096</v>
      </c>
      <c r="B4981" t="s">
        <v>7850</v>
      </c>
      <c r="C4981" t="s">
        <v>6594</v>
      </c>
      <c r="D4981" t="s">
        <v>7851</v>
      </c>
      <c r="E4981" t="s">
        <v>10097</v>
      </c>
      <c r="F4981">
        <v>59</v>
      </c>
      <c r="G4981">
        <v>2986732</v>
      </c>
      <c r="H4981" t="s">
        <v>10098</v>
      </c>
      <c r="J4981" s="54" t="s">
        <v>6052</v>
      </c>
      <c r="K4981" s="54">
        <v>0</v>
      </c>
      <c r="L4981" s="22" t="s">
        <v>104</v>
      </c>
      <c r="M4981" s="22" t="s">
        <v>37221</v>
      </c>
    </row>
    <row r="4982" spans="1:13" x14ac:dyDescent="0.75">
      <c r="A4982" t="s">
        <v>26639</v>
      </c>
      <c r="B4982" t="s">
        <v>7850</v>
      </c>
      <c r="C4982" t="s">
        <v>6594</v>
      </c>
      <c r="D4982" t="s">
        <v>7851</v>
      </c>
      <c r="E4982" t="s">
        <v>26640</v>
      </c>
      <c r="F4982">
        <v>6</v>
      </c>
      <c r="G4982">
        <v>2684891</v>
      </c>
      <c r="H4982" t="s">
        <v>26641</v>
      </c>
      <c r="J4982" s="54" t="s">
        <v>6052</v>
      </c>
      <c r="K4982" s="54">
        <v>0</v>
      </c>
      <c r="L4982" s="22" t="s">
        <v>104</v>
      </c>
      <c r="M4982" s="22" t="s">
        <v>37221</v>
      </c>
    </row>
    <row r="4983" spans="1:13" x14ac:dyDescent="0.75">
      <c r="A4983" t="s">
        <v>29876</v>
      </c>
      <c r="B4983" t="s">
        <v>7850</v>
      </c>
      <c r="C4983" t="s">
        <v>6594</v>
      </c>
      <c r="D4983" t="s">
        <v>7851</v>
      </c>
      <c r="E4983" t="s">
        <v>29877</v>
      </c>
      <c r="F4983">
        <v>43</v>
      </c>
      <c r="G4983">
        <v>2453895</v>
      </c>
      <c r="H4983" t="s">
        <v>29878</v>
      </c>
      <c r="J4983" s="54" t="s">
        <v>6052</v>
      </c>
      <c r="K4983" s="54">
        <v>0</v>
      </c>
      <c r="L4983" s="22" t="s">
        <v>104</v>
      </c>
      <c r="M4983" s="22" t="s">
        <v>37221</v>
      </c>
    </row>
    <row r="4984" spans="1:13" x14ac:dyDescent="0.75">
      <c r="A4984" t="s">
        <v>9026</v>
      </c>
      <c r="B4984" t="s">
        <v>7850</v>
      </c>
      <c r="C4984" t="s">
        <v>6594</v>
      </c>
      <c r="D4984" t="s">
        <v>7851</v>
      </c>
      <c r="E4984" t="s">
        <v>9027</v>
      </c>
      <c r="F4984">
        <v>131</v>
      </c>
      <c r="G4984">
        <v>3021735</v>
      </c>
      <c r="H4984" t="s">
        <v>9028</v>
      </c>
      <c r="J4984" s="54" t="s">
        <v>6052</v>
      </c>
      <c r="K4984" s="54">
        <v>0</v>
      </c>
      <c r="L4984" s="22" t="s">
        <v>104</v>
      </c>
      <c r="M4984" s="22" t="s">
        <v>37221</v>
      </c>
    </row>
    <row r="4985" spans="1:13" x14ac:dyDescent="0.75">
      <c r="A4985" t="s">
        <v>20636</v>
      </c>
      <c r="B4985" t="s">
        <v>7850</v>
      </c>
      <c r="C4985" t="s">
        <v>6594</v>
      </c>
      <c r="D4985" t="s">
        <v>7851</v>
      </c>
      <c r="E4985" t="s">
        <v>9027</v>
      </c>
      <c r="F4985">
        <v>3</v>
      </c>
      <c r="G4985">
        <v>3069220</v>
      </c>
      <c r="H4985" t="s">
        <v>20637</v>
      </c>
      <c r="J4985" s="54" t="s">
        <v>6052</v>
      </c>
      <c r="K4985" s="54">
        <v>0</v>
      </c>
      <c r="L4985" s="22" t="s">
        <v>104</v>
      </c>
      <c r="M4985" s="22" t="s">
        <v>37221</v>
      </c>
    </row>
    <row r="4986" spans="1:13" x14ac:dyDescent="0.75">
      <c r="A4986" t="s">
        <v>20630</v>
      </c>
      <c r="B4986" t="s">
        <v>7850</v>
      </c>
      <c r="C4986" t="s">
        <v>6594</v>
      </c>
      <c r="D4986" t="s">
        <v>7851</v>
      </c>
      <c r="E4986" t="s">
        <v>20631</v>
      </c>
      <c r="F4986">
        <v>3</v>
      </c>
      <c r="G4986">
        <v>2887107</v>
      </c>
      <c r="H4986" t="s">
        <v>20632</v>
      </c>
      <c r="J4986" s="54" t="s">
        <v>6052</v>
      </c>
      <c r="K4986" s="54">
        <v>0</v>
      </c>
      <c r="L4986" s="22" t="s">
        <v>104</v>
      </c>
      <c r="M4986" s="22" t="s">
        <v>37221</v>
      </c>
    </row>
    <row r="4987" spans="1:13" x14ac:dyDescent="0.75">
      <c r="A4987" t="s">
        <v>20633</v>
      </c>
      <c r="B4987" t="s">
        <v>7850</v>
      </c>
      <c r="C4987" t="s">
        <v>6594</v>
      </c>
      <c r="D4987" t="s">
        <v>7851</v>
      </c>
      <c r="E4987" t="s">
        <v>20634</v>
      </c>
      <c r="F4987">
        <v>2</v>
      </c>
      <c r="G4987">
        <v>2928207</v>
      </c>
      <c r="H4987" t="s">
        <v>20635</v>
      </c>
      <c r="J4987" s="54" t="s">
        <v>6052</v>
      </c>
      <c r="K4987" s="54">
        <v>0</v>
      </c>
      <c r="L4987" s="22" t="s">
        <v>104</v>
      </c>
      <c r="M4987" s="22" t="s">
        <v>37221</v>
      </c>
    </row>
    <row r="4988" spans="1:13" x14ac:dyDescent="0.75">
      <c r="A4988" t="s">
        <v>21653</v>
      </c>
      <c r="B4988" t="s">
        <v>7850</v>
      </c>
      <c r="C4988" t="s">
        <v>6594</v>
      </c>
      <c r="D4988" t="s">
        <v>7851</v>
      </c>
      <c r="E4988" t="s">
        <v>21654</v>
      </c>
      <c r="F4988">
        <v>2</v>
      </c>
      <c r="G4988">
        <v>2673077</v>
      </c>
      <c r="H4988" t="s">
        <v>21655</v>
      </c>
      <c r="J4988" s="54" t="s">
        <v>6052</v>
      </c>
      <c r="K4988" s="54">
        <v>0</v>
      </c>
      <c r="L4988" s="22" t="s">
        <v>104</v>
      </c>
      <c r="M4988" s="22" t="s">
        <v>37221</v>
      </c>
    </row>
    <row r="4989" spans="1:13" x14ac:dyDescent="0.75">
      <c r="A4989" t="s">
        <v>19493</v>
      </c>
      <c r="B4989" t="s">
        <v>7850</v>
      </c>
      <c r="C4989" t="s">
        <v>6594</v>
      </c>
      <c r="D4989" t="s">
        <v>7851</v>
      </c>
      <c r="E4989" t="s">
        <v>19494</v>
      </c>
      <c r="F4989">
        <v>237</v>
      </c>
      <c r="G4989">
        <v>2813428</v>
      </c>
      <c r="H4989" t="s">
        <v>19495</v>
      </c>
      <c r="J4989" s="54" t="s">
        <v>6052</v>
      </c>
      <c r="K4989" s="54">
        <v>0</v>
      </c>
      <c r="L4989" s="22" t="s">
        <v>104</v>
      </c>
      <c r="M4989" s="22" t="s">
        <v>37221</v>
      </c>
    </row>
    <row r="4990" spans="1:13" x14ac:dyDescent="0.75">
      <c r="A4990" t="s">
        <v>13705</v>
      </c>
      <c r="B4990" t="s">
        <v>7850</v>
      </c>
      <c r="C4990" t="s">
        <v>6594</v>
      </c>
      <c r="D4990" t="s">
        <v>7851</v>
      </c>
      <c r="E4990" t="s">
        <v>13706</v>
      </c>
      <c r="F4990">
        <v>13</v>
      </c>
      <c r="G4990">
        <v>2837965</v>
      </c>
      <c r="H4990" t="s">
        <v>13707</v>
      </c>
      <c r="J4990" s="54" t="s">
        <v>6052</v>
      </c>
      <c r="K4990" s="54">
        <v>0</v>
      </c>
      <c r="L4990" s="22" t="s">
        <v>104</v>
      </c>
      <c r="M4990" s="22" t="s">
        <v>37221</v>
      </c>
    </row>
    <row r="4991" spans="1:13" x14ac:dyDescent="0.75">
      <c r="A4991" t="s">
        <v>28637</v>
      </c>
      <c r="B4991" t="s">
        <v>7850</v>
      </c>
      <c r="C4991" t="s">
        <v>6594</v>
      </c>
      <c r="D4991" t="s">
        <v>7851</v>
      </c>
      <c r="E4991" t="s">
        <v>28638</v>
      </c>
      <c r="F4991">
        <v>37</v>
      </c>
      <c r="G4991">
        <v>2663266</v>
      </c>
      <c r="H4991" t="s">
        <v>28639</v>
      </c>
      <c r="J4991" s="54" t="s">
        <v>6052</v>
      </c>
      <c r="K4991" s="54">
        <v>0</v>
      </c>
      <c r="L4991" s="22" t="s">
        <v>104</v>
      </c>
      <c r="M4991" s="22" t="s">
        <v>37221</v>
      </c>
    </row>
    <row r="4992" spans="1:13" x14ac:dyDescent="0.75">
      <c r="A4992" t="s">
        <v>27564</v>
      </c>
      <c r="B4992" t="s">
        <v>7850</v>
      </c>
      <c r="C4992" t="s">
        <v>6594</v>
      </c>
      <c r="D4992" t="s">
        <v>7851</v>
      </c>
      <c r="E4992" t="s">
        <v>27565</v>
      </c>
      <c r="F4992">
        <v>5</v>
      </c>
      <c r="G4992">
        <v>2715986</v>
      </c>
      <c r="H4992" t="s">
        <v>27566</v>
      </c>
      <c r="J4992" s="54" t="s">
        <v>6052</v>
      </c>
      <c r="K4992" s="54">
        <v>0</v>
      </c>
      <c r="L4992" s="22" t="s">
        <v>104</v>
      </c>
      <c r="M4992" s="22" t="s">
        <v>37221</v>
      </c>
    </row>
    <row r="4993" spans="1:13" x14ac:dyDescent="0.75">
      <c r="A4993" t="s">
        <v>21245</v>
      </c>
      <c r="B4993" t="s">
        <v>7850</v>
      </c>
      <c r="C4993" t="s">
        <v>6594</v>
      </c>
      <c r="D4993" t="s">
        <v>7851</v>
      </c>
      <c r="E4993" t="s">
        <v>21246</v>
      </c>
      <c r="F4993">
        <v>108</v>
      </c>
      <c r="G4993">
        <v>3147434</v>
      </c>
      <c r="H4993" t="s">
        <v>21247</v>
      </c>
      <c r="J4993" s="54" t="s">
        <v>6052</v>
      </c>
      <c r="K4993" s="54">
        <v>0</v>
      </c>
      <c r="L4993" s="22" t="s">
        <v>104</v>
      </c>
      <c r="M4993" s="22" t="s">
        <v>37221</v>
      </c>
    </row>
    <row r="4994" spans="1:13" x14ac:dyDescent="0.75">
      <c r="A4994" t="s">
        <v>29158</v>
      </c>
      <c r="B4994" t="s">
        <v>7850</v>
      </c>
      <c r="C4994" t="s">
        <v>6594</v>
      </c>
      <c r="D4994" t="s">
        <v>7851</v>
      </c>
      <c r="E4994" t="s">
        <v>29159</v>
      </c>
      <c r="F4994">
        <v>180</v>
      </c>
      <c r="G4994">
        <v>2561906</v>
      </c>
      <c r="H4994" t="s">
        <v>29160</v>
      </c>
      <c r="J4994" s="54" t="s">
        <v>6052</v>
      </c>
      <c r="K4994" s="54">
        <v>0</v>
      </c>
      <c r="L4994" s="22" t="s">
        <v>104</v>
      </c>
      <c r="M4994" s="22" t="s">
        <v>37221</v>
      </c>
    </row>
    <row r="4995" spans="1:13" x14ac:dyDescent="0.75">
      <c r="A4995" t="s">
        <v>29029</v>
      </c>
      <c r="B4995" t="s">
        <v>7850</v>
      </c>
      <c r="C4995" t="s">
        <v>6594</v>
      </c>
      <c r="D4995" t="s">
        <v>7851</v>
      </c>
      <c r="E4995" t="s">
        <v>29030</v>
      </c>
      <c r="F4995">
        <v>92</v>
      </c>
      <c r="G4995">
        <v>2490701</v>
      </c>
      <c r="H4995" t="s">
        <v>29031</v>
      </c>
      <c r="J4995" s="54" t="s">
        <v>6052</v>
      </c>
      <c r="K4995" s="54">
        <v>0</v>
      </c>
      <c r="L4995" s="22" t="s">
        <v>104</v>
      </c>
      <c r="M4995" s="22" t="s">
        <v>37221</v>
      </c>
    </row>
    <row r="4996" spans="1:13" x14ac:dyDescent="0.75">
      <c r="A4996" t="s">
        <v>7854</v>
      </c>
      <c r="B4996" t="s">
        <v>7855</v>
      </c>
      <c r="C4996" t="s">
        <v>6594</v>
      </c>
      <c r="D4996" t="s">
        <v>7856</v>
      </c>
      <c r="E4996" t="s">
        <v>7857</v>
      </c>
      <c r="F4996">
        <v>168</v>
      </c>
      <c r="G4996">
        <v>3127600</v>
      </c>
      <c r="H4996" t="s">
        <v>7858</v>
      </c>
      <c r="J4996" s="54" t="s">
        <v>6052</v>
      </c>
      <c r="K4996" s="54">
        <v>0</v>
      </c>
      <c r="L4996" s="22" t="s">
        <v>104</v>
      </c>
      <c r="M4996" s="22" t="s">
        <v>37222</v>
      </c>
    </row>
    <row r="4997" spans="1:13" x14ac:dyDescent="0.75">
      <c r="A4997" t="s">
        <v>28825</v>
      </c>
      <c r="B4997" t="s">
        <v>7855</v>
      </c>
      <c r="C4997" t="s">
        <v>6594</v>
      </c>
      <c r="D4997" t="s">
        <v>7856</v>
      </c>
      <c r="E4997" t="s">
        <v>28826</v>
      </c>
      <c r="F4997">
        <v>260</v>
      </c>
      <c r="G4997">
        <v>2449921</v>
      </c>
      <c r="H4997" t="s">
        <v>28827</v>
      </c>
      <c r="J4997" s="54" t="s">
        <v>6052</v>
      </c>
      <c r="K4997" s="54">
        <v>0</v>
      </c>
      <c r="L4997" s="22" t="s">
        <v>104</v>
      </c>
      <c r="M4997" s="22" t="s">
        <v>37222</v>
      </c>
    </row>
    <row r="4998" spans="1:13" x14ac:dyDescent="0.75">
      <c r="A4998" t="s">
        <v>15246</v>
      </c>
      <c r="B4998" t="s">
        <v>7855</v>
      </c>
      <c r="C4998" t="s">
        <v>6594</v>
      </c>
      <c r="D4998" t="s">
        <v>7856</v>
      </c>
      <c r="E4998" t="s">
        <v>15247</v>
      </c>
      <c r="F4998">
        <v>82</v>
      </c>
      <c r="G4998">
        <v>3053674</v>
      </c>
      <c r="H4998" t="s">
        <v>15248</v>
      </c>
      <c r="J4998" s="54" t="s">
        <v>6052</v>
      </c>
      <c r="K4998" s="54">
        <v>0</v>
      </c>
      <c r="L4998" s="22" t="s">
        <v>104</v>
      </c>
      <c r="M4998" s="22" t="s">
        <v>37222</v>
      </c>
    </row>
    <row r="4999" spans="1:13" x14ac:dyDescent="0.75">
      <c r="A4999" t="s">
        <v>29199</v>
      </c>
      <c r="B4999" t="s">
        <v>7855</v>
      </c>
      <c r="C4999" t="s">
        <v>6594</v>
      </c>
      <c r="D4999" t="s">
        <v>7856</v>
      </c>
      <c r="E4999" t="s">
        <v>29200</v>
      </c>
      <c r="F4999">
        <v>163</v>
      </c>
      <c r="G4999">
        <v>2599276</v>
      </c>
      <c r="H4999" t="s">
        <v>29201</v>
      </c>
      <c r="J4999" s="54" t="s">
        <v>6052</v>
      </c>
      <c r="K4999" s="54">
        <v>0</v>
      </c>
      <c r="L4999" s="22" t="s">
        <v>104</v>
      </c>
      <c r="M4999" s="22" t="s">
        <v>37222</v>
      </c>
    </row>
    <row r="5000" spans="1:13" x14ac:dyDescent="0.75">
      <c r="A5000" t="s">
        <v>19469</v>
      </c>
      <c r="B5000" t="s">
        <v>7855</v>
      </c>
      <c r="C5000" t="s">
        <v>6594</v>
      </c>
      <c r="D5000" t="s">
        <v>7856</v>
      </c>
      <c r="E5000" t="s">
        <v>19470</v>
      </c>
      <c r="F5000">
        <v>98</v>
      </c>
      <c r="G5000">
        <v>2802193</v>
      </c>
      <c r="H5000" t="s">
        <v>19471</v>
      </c>
      <c r="J5000" s="54" t="s">
        <v>6052</v>
      </c>
      <c r="K5000" s="54">
        <v>0</v>
      </c>
      <c r="L5000" s="22" t="s">
        <v>104</v>
      </c>
      <c r="M5000" s="22" t="s">
        <v>37222</v>
      </c>
    </row>
    <row r="5001" spans="1:13" x14ac:dyDescent="0.75">
      <c r="A5001" t="s">
        <v>19487</v>
      </c>
      <c r="B5001" t="s">
        <v>7855</v>
      </c>
      <c r="C5001" t="s">
        <v>6594</v>
      </c>
      <c r="D5001" t="s">
        <v>7856</v>
      </c>
      <c r="E5001" t="s">
        <v>19488</v>
      </c>
      <c r="F5001">
        <v>80</v>
      </c>
      <c r="G5001">
        <v>2602635</v>
      </c>
      <c r="H5001" t="s">
        <v>19489</v>
      </c>
      <c r="J5001" s="54" t="s">
        <v>6052</v>
      </c>
      <c r="K5001" s="54">
        <v>0</v>
      </c>
      <c r="L5001" s="22" t="s">
        <v>104</v>
      </c>
      <c r="M5001" s="22" t="s">
        <v>37222</v>
      </c>
    </row>
    <row r="5002" spans="1:13" x14ac:dyDescent="0.75">
      <c r="A5002" t="s">
        <v>19490</v>
      </c>
      <c r="B5002" t="s">
        <v>7855</v>
      </c>
      <c r="C5002" t="s">
        <v>6594</v>
      </c>
      <c r="D5002" t="s">
        <v>7856</v>
      </c>
      <c r="E5002" t="s">
        <v>19491</v>
      </c>
      <c r="F5002">
        <v>98</v>
      </c>
      <c r="G5002">
        <v>2640930</v>
      </c>
      <c r="H5002" t="s">
        <v>19492</v>
      </c>
      <c r="J5002" s="54" t="s">
        <v>6052</v>
      </c>
      <c r="K5002" s="54">
        <v>0</v>
      </c>
      <c r="L5002" s="22" t="s">
        <v>104</v>
      </c>
      <c r="M5002" s="22" t="s">
        <v>37222</v>
      </c>
    </row>
    <row r="5003" spans="1:13" x14ac:dyDescent="0.75">
      <c r="A5003" t="s">
        <v>19484</v>
      </c>
      <c r="B5003" t="s">
        <v>7855</v>
      </c>
      <c r="C5003" t="s">
        <v>6594</v>
      </c>
      <c r="D5003" t="s">
        <v>7856</v>
      </c>
      <c r="E5003" t="s">
        <v>19485</v>
      </c>
      <c r="F5003">
        <v>85</v>
      </c>
      <c r="G5003">
        <v>2813865</v>
      </c>
      <c r="H5003" t="s">
        <v>19486</v>
      </c>
      <c r="J5003" s="54" t="s">
        <v>6052</v>
      </c>
      <c r="K5003" s="54">
        <v>0</v>
      </c>
      <c r="L5003" s="22" t="s">
        <v>104</v>
      </c>
      <c r="M5003" s="22" t="s">
        <v>37222</v>
      </c>
    </row>
    <row r="5004" spans="1:13" x14ac:dyDescent="0.75">
      <c r="A5004" t="s">
        <v>9639</v>
      </c>
      <c r="B5004" t="s">
        <v>1919</v>
      </c>
      <c r="C5004" t="s">
        <v>6594</v>
      </c>
      <c r="D5004" t="s">
        <v>7895</v>
      </c>
      <c r="E5004">
        <v>4401737</v>
      </c>
      <c r="F5004">
        <v>101</v>
      </c>
      <c r="G5004">
        <v>3217068</v>
      </c>
      <c r="H5004" t="s">
        <v>9640</v>
      </c>
      <c r="J5004" s="54" t="s">
        <v>6052</v>
      </c>
      <c r="K5004" s="54">
        <v>0</v>
      </c>
      <c r="L5004" s="22" t="s">
        <v>1308</v>
      </c>
      <c r="M5004" s="22" t="s">
        <v>1920</v>
      </c>
    </row>
    <row r="5005" spans="1:13" x14ac:dyDescent="0.75">
      <c r="A5005" t="s">
        <v>19475</v>
      </c>
      <c r="B5005" t="s">
        <v>7855</v>
      </c>
      <c r="C5005" t="s">
        <v>6594</v>
      </c>
      <c r="D5005" t="s">
        <v>7856</v>
      </c>
      <c r="E5005" t="s">
        <v>19476</v>
      </c>
      <c r="F5005">
        <v>75</v>
      </c>
      <c r="G5005">
        <v>2689706</v>
      </c>
      <c r="H5005" t="s">
        <v>19477</v>
      </c>
      <c r="J5005" s="54" t="s">
        <v>6052</v>
      </c>
      <c r="K5005" s="54">
        <v>0</v>
      </c>
      <c r="L5005" s="22" t="s">
        <v>104</v>
      </c>
      <c r="M5005" s="22" t="s">
        <v>37222</v>
      </c>
    </row>
    <row r="5006" spans="1:13" x14ac:dyDescent="0.75">
      <c r="A5006" t="s">
        <v>19481</v>
      </c>
      <c r="B5006" t="s">
        <v>7855</v>
      </c>
      <c r="C5006" t="s">
        <v>6594</v>
      </c>
      <c r="D5006" t="s">
        <v>7856</v>
      </c>
      <c r="E5006" t="s">
        <v>19482</v>
      </c>
      <c r="F5006">
        <v>124</v>
      </c>
      <c r="G5006">
        <v>2683598</v>
      </c>
      <c r="H5006" t="s">
        <v>19483</v>
      </c>
      <c r="J5006" s="54" t="s">
        <v>6052</v>
      </c>
      <c r="K5006" s="54">
        <v>0</v>
      </c>
      <c r="L5006" s="22" t="s">
        <v>104</v>
      </c>
      <c r="M5006" s="22" t="s">
        <v>37222</v>
      </c>
    </row>
    <row r="5007" spans="1:13" x14ac:dyDescent="0.75">
      <c r="A5007" t="s">
        <v>19478</v>
      </c>
      <c r="B5007" t="s">
        <v>7855</v>
      </c>
      <c r="C5007" t="s">
        <v>6594</v>
      </c>
      <c r="D5007" t="s">
        <v>7856</v>
      </c>
      <c r="E5007" t="s">
        <v>19479</v>
      </c>
      <c r="F5007">
        <v>70</v>
      </c>
      <c r="G5007">
        <v>2646254</v>
      </c>
      <c r="H5007" t="s">
        <v>19480</v>
      </c>
      <c r="J5007" s="54" t="s">
        <v>6052</v>
      </c>
      <c r="K5007" s="54">
        <v>0</v>
      </c>
      <c r="L5007" s="22" t="s">
        <v>104</v>
      </c>
      <c r="M5007" s="22" t="s">
        <v>37222</v>
      </c>
    </row>
    <row r="5008" spans="1:13" x14ac:dyDescent="0.75">
      <c r="A5008" t="s">
        <v>19472</v>
      </c>
      <c r="B5008" t="s">
        <v>7855</v>
      </c>
      <c r="C5008" t="s">
        <v>6594</v>
      </c>
      <c r="D5008" t="s">
        <v>7856</v>
      </c>
      <c r="E5008" t="s">
        <v>19473</v>
      </c>
      <c r="F5008">
        <v>70</v>
      </c>
      <c r="G5008">
        <v>2609891</v>
      </c>
      <c r="H5008" t="s">
        <v>19474</v>
      </c>
      <c r="J5008" s="54" t="s">
        <v>6052</v>
      </c>
      <c r="K5008" s="54">
        <v>0</v>
      </c>
      <c r="L5008" s="22" t="s">
        <v>104</v>
      </c>
      <c r="M5008" s="22" t="s">
        <v>37222</v>
      </c>
    </row>
    <row r="5009" spans="1:13" x14ac:dyDescent="0.75">
      <c r="A5009" t="s">
        <v>19466</v>
      </c>
      <c r="B5009" t="s">
        <v>7855</v>
      </c>
      <c r="C5009" t="s">
        <v>6594</v>
      </c>
      <c r="D5009" t="s">
        <v>7856</v>
      </c>
      <c r="E5009" t="s">
        <v>19467</v>
      </c>
      <c r="F5009">
        <v>217</v>
      </c>
      <c r="G5009">
        <v>2528698</v>
      </c>
      <c r="H5009" t="s">
        <v>19468</v>
      </c>
      <c r="J5009" s="54" t="s">
        <v>6052</v>
      </c>
      <c r="K5009" s="54">
        <v>0</v>
      </c>
      <c r="L5009" s="22" t="s">
        <v>104</v>
      </c>
      <c r="M5009" s="22" t="s">
        <v>37222</v>
      </c>
    </row>
    <row r="5010" spans="1:13" x14ac:dyDescent="0.75">
      <c r="A5010" t="s">
        <v>19463</v>
      </c>
      <c r="B5010" t="s">
        <v>7855</v>
      </c>
      <c r="C5010" t="s">
        <v>6594</v>
      </c>
      <c r="D5010" t="s">
        <v>7856</v>
      </c>
      <c r="E5010" t="s">
        <v>19464</v>
      </c>
      <c r="F5010">
        <v>116</v>
      </c>
      <c r="G5010">
        <v>2639886</v>
      </c>
      <c r="H5010" t="s">
        <v>19465</v>
      </c>
      <c r="J5010" s="54" t="s">
        <v>6052</v>
      </c>
      <c r="K5010" s="54">
        <v>0</v>
      </c>
      <c r="L5010" s="22" t="s">
        <v>104</v>
      </c>
      <c r="M5010" s="22" t="s">
        <v>37222</v>
      </c>
    </row>
    <row r="5011" spans="1:13" x14ac:dyDescent="0.75">
      <c r="A5011" t="s">
        <v>19460</v>
      </c>
      <c r="B5011" t="s">
        <v>7855</v>
      </c>
      <c r="C5011" t="s">
        <v>6594</v>
      </c>
      <c r="D5011" t="s">
        <v>7856</v>
      </c>
      <c r="E5011" t="s">
        <v>19461</v>
      </c>
      <c r="F5011">
        <v>95</v>
      </c>
      <c r="G5011">
        <v>2743181</v>
      </c>
      <c r="H5011" t="s">
        <v>19462</v>
      </c>
      <c r="J5011" s="54" t="s">
        <v>6052</v>
      </c>
      <c r="K5011" s="54">
        <v>0</v>
      </c>
      <c r="L5011" s="22" t="s">
        <v>104</v>
      </c>
      <c r="M5011" s="22" t="s">
        <v>37222</v>
      </c>
    </row>
    <row r="5012" spans="1:13" x14ac:dyDescent="0.75">
      <c r="A5012" t="s">
        <v>19457</v>
      </c>
      <c r="B5012" t="s">
        <v>7855</v>
      </c>
      <c r="C5012" t="s">
        <v>6594</v>
      </c>
      <c r="D5012" t="s">
        <v>7856</v>
      </c>
      <c r="E5012" t="s">
        <v>19458</v>
      </c>
      <c r="F5012">
        <v>142</v>
      </c>
      <c r="G5012">
        <v>2519827</v>
      </c>
      <c r="H5012" t="s">
        <v>19459</v>
      </c>
      <c r="J5012" s="54" t="s">
        <v>6052</v>
      </c>
      <c r="K5012" s="54">
        <v>0</v>
      </c>
      <c r="L5012" s="22" t="s">
        <v>104</v>
      </c>
      <c r="M5012" s="22" t="s">
        <v>37222</v>
      </c>
    </row>
    <row r="5013" spans="1:13" x14ac:dyDescent="0.75">
      <c r="A5013" t="s">
        <v>19448</v>
      </c>
      <c r="B5013" t="s">
        <v>7855</v>
      </c>
      <c r="C5013" t="s">
        <v>6594</v>
      </c>
      <c r="D5013" t="s">
        <v>7856</v>
      </c>
      <c r="E5013" t="s">
        <v>19449</v>
      </c>
      <c r="F5013">
        <v>128</v>
      </c>
      <c r="G5013">
        <v>2504788</v>
      </c>
      <c r="H5013" t="s">
        <v>19450</v>
      </c>
      <c r="J5013" s="54" t="s">
        <v>6052</v>
      </c>
      <c r="K5013" s="54">
        <v>0</v>
      </c>
      <c r="L5013" s="22" t="s">
        <v>104</v>
      </c>
      <c r="M5013" s="22" t="s">
        <v>37222</v>
      </c>
    </row>
    <row r="5014" spans="1:13" x14ac:dyDescent="0.75">
      <c r="A5014" t="s">
        <v>19454</v>
      </c>
      <c r="B5014" t="s">
        <v>7855</v>
      </c>
      <c r="C5014" t="s">
        <v>6594</v>
      </c>
      <c r="D5014" t="s">
        <v>7856</v>
      </c>
      <c r="E5014" t="s">
        <v>19455</v>
      </c>
      <c r="F5014">
        <v>283</v>
      </c>
      <c r="G5014">
        <v>2300340</v>
      </c>
      <c r="H5014" t="s">
        <v>19456</v>
      </c>
      <c r="J5014" s="54" t="s">
        <v>6052</v>
      </c>
      <c r="K5014" s="54">
        <v>0</v>
      </c>
      <c r="L5014" s="22" t="s">
        <v>104</v>
      </c>
      <c r="M5014" s="22" t="s">
        <v>37222</v>
      </c>
    </row>
    <row r="5015" spans="1:13" x14ac:dyDescent="0.75">
      <c r="A5015" t="s">
        <v>3079</v>
      </c>
      <c r="B5015" t="s">
        <v>1919</v>
      </c>
      <c r="C5015" t="s">
        <v>6594</v>
      </c>
      <c r="D5015" t="s">
        <v>7895</v>
      </c>
      <c r="E5015" t="s">
        <v>19746</v>
      </c>
      <c r="F5015">
        <v>264</v>
      </c>
      <c r="G5015">
        <v>3469033</v>
      </c>
      <c r="H5015" t="s">
        <v>19747</v>
      </c>
      <c r="J5015" s="54" t="s">
        <v>6052</v>
      </c>
      <c r="K5015" s="54">
        <v>0</v>
      </c>
      <c r="L5015" s="22" t="s">
        <v>1308</v>
      </c>
      <c r="M5015" s="22" t="s">
        <v>1920</v>
      </c>
    </row>
    <row r="5016" spans="1:13" x14ac:dyDescent="0.75">
      <c r="A5016" t="s">
        <v>19445</v>
      </c>
      <c r="B5016" t="s">
        <v>7855</v>
      </c>
      <c r="C5016" t="s">
        <v>6594</v>
      </c>
      <c r="D5016" t="s">
        <v>7856</v>
      </c>
      <c r="E5016" t="s">
        <v>19446</v>
      </c>
      <c r="F5016">
        <v>105</v>
      </c>
      <c r="G5016">
        <v>2635776</v>
      </c>
      <c r="H5016" t="s">
        <v>19447</v>
      </c>
      <c r="J5016" s="54" t="s">
        <v>6052</v>
      </c>
      <c r="K5016" s="54">
        <v>0</v>
      </c>
      <c r="L5016" s="22" t="s">
        <v>104</v>
      </c>
      <c r="M5016" s="22" t="s">
        <v>37222</v>
      </c>
    </row>
    <row r="5017" spans="1:13" x14ac:dyDescent="0.75">
      <c r="A5017" t="s">
        <v>7261</v>
      </c>
      <c r="B5017" t="s">
        <v>7262</v>
      </c>
      <c r="C5017" t="s">
        <v>6594</v>
      </c>
      <c r="D5017" t="s">
        <v>7263</v>
      </c>
      <c r="E5017" t="s">
        <v>7264</v>
      </c>
      <c r="F5017">
        <v>117</v>
      </c>
      <c r="G5017">
        <v>2415558</v>
      </c>
      <c r="H5017" t="s">
        <v>7265</v>
      </c>
      <c r="J5017" s="54" t="s">
        <v>6052</v>
      </c>
      <c r="K5017" s="54">
        <v>0</v>
      </c>
      <c r="L5017" s="22" t="s">
        <v>1308</v>
      </c>
      <c r="M5017" s="22" t="s">
        <v>37223</v>
      </c>
    </row>
    <row r="5018" spans="1:13" x14ac:dyDescent="0.75">
      <c r="A5018" t="s">
        <v>10618</v>
      </c>
      <c r="B5018" t="s">
        <v>7262</v>
      </c>
      <c r="C5018" t="s">
        <v>6594</v>
      </c>
      <c r="D5018" t="s">
        <v>7263</v>
      </c>
      <c r="E5018" t="s">
        <v>10619</v>
      </c>
      <c r="F5018">
        <v>179</v>
      </c>
      <c r="G5018">
        <v>2450252</v>
      </c>
      <c r="H5018" t="s">
        <v>10620</v>
      </c>
      <c r="J5018" s="54" t="s">
        <v>6052</v>
      </c>
      <c r="K5018" s="54">
        <v>0</v>
      </c>
      <c r="L5018" s="22" t="s">
        <v>1308</v>
      </c>
      <c r="M5018" s="22" t="s">
        <v>37223</v>
      </c>
    </row>
    <row r="5019" spans="1:13" x14ac:dyDescent="0.75">
      <c r="A5019" t="s">
        <v>1918</v>
      </c>
      <c r="B5019" t="s">
        <v>1919</v>
      </c>
      <c r="C5019" t="s">
        <v>6594</v>
      </c>
      <c r="D5019" t="s">
        <v>7895</v>
      </c>
      <c r="E5019" t="s">
        <v>14446</v>
      </c>
      <c r="F5019">
        <v>22</v>
      </c>
      <c r="G5019">
        <v>3000907</v>
      </c>
      <c r="H5019" t="s">
        <v>14447</v>
      </c>
      <c r="J5019" s="54" t="s">
        <v>6052</v>
      </c>
      <c r="K5019" s="54">
        <v>0</v>
      </c>
      <c r="L5019" s="22" t="s">
        <v>1308</v>
      </c>
      <c r="M5019" s="22" t="s">
        <v>1920</v>
      </c>
    </row>
    <row r="5020" spans="1:13" x14ac:dyDescent="0.75">
      <c r="A5020" t="s">
        <v>10591</v>
      </c>
      <c r="B5020" t="s">
        <v>7251</v>
      </c>
      <c r="C5020" t="s">
        <v>6594</v>
      </c>
      <c r="D5020" t="s">
        <v>7252</v>
      </c>
      <c r="E5020" t="s">
        <v>10592</v>
      </c>
      <c r="F5020">
        <v>158</v>
      </c>
      <c r="G5020">
        <v>2527024</v>
      </c>
      <c r="H5020" t="s">
        <v>10593</v>
      </c>
      <c r="J5020" s="54" t="s">
        <v>6052</v>
      </c>
      <c r="K5020" s="54">
        <v>0</v>
      </c>
      <c r="L5020" s="22" t="s">
        <v>1563</v>
      </c>
      <c r="M5020" s="22" t="s">
        <v>37224</v>
      </c>
    </row>
    <row r="5021" spans="1:13" x14ac:dyDescent="0.75">
      <c r="A5021" t="s">
        <v>11890</v>
      </c>
      <c r="B5021" t="s">
        <v>7262</v>
      </c>
      <c r="C5021" t="s">
        <v>6594</v>
      </c>
      <c r="D5021" t="s">
        <v>7263</v>
      </c>
      <c r="E5021" t="s">
        <v>11891</v>
      </c>
      <c r="F5021">
        <v>155</v>
      </c>
      <c r="G5021">
        <v>2378563</v>
      </c>
      <c r="H5021" t="s">
        <v>11892</v>
      </c>
      <c r="J5021" s="54" t="s">
        <v>6052</v>
      </c>
      <c r="K5021" s="54">
        <v>0</v>
      </c>
      <c r="L5021" s="22" t="s">
        <v>1308</v>
      </c>
      <c r="M5021" s="22" t="s">
        <v>37223</v>
      </c>
    </row>
    <row r="5022" spans="1:13" x14ac:dyDescent="0.75">
      <c r="A5022" t="s">
        <v>10612</v>
      </c>
      <c r="B5022" t="s">
        <v>7251</v>
      </c>
      <c r="C5022" t="s">
        <v>6594</v>
      </c>
      <c r="D5022" t="s">
        <v>7252</v>
      </c>
      <c r="E5022" t="s">
        <v>10613</v>
      </c>
      <c r="F5022">
        <v>179</v>
      </c>
      <c r="G5022">
        <v>2584224</v>
      </c>
      <c r="H5022" t="s">
        <v>10614</v>
      </c>
      <c r="J5022" s="54" t="s">
        <v>6052</v>
      </c>
      <c r="K5022" s="54">
        <v>0</v>
      </c>
      <c r="L5022" s="22" t="s">
        <v>1563</v>
      </c>
      <c r="M5022" s="22" t="s">
        <v>37224</v>
      </c>
    </row>
    <row r="5023" spans="1:13" x14ac:dyDescent="0.75">
      <c r="A5023" t="s">
        <v>10604</v>
      </c>
      <c r="B5023" t="s">
        <v>7251</v>
      </c>
      <c r="C5023" t="s">
        <v>6594</v>
      </c>
      <c r="D5023" t="s">
        <v>7252</v>
      </c>
      <c r="E5023" t="s">
        <v>10605</v>
      </c>
      <c r="F5023">
        <v>173</v>
      </c>
      <c r="G5023">
        <v>2408181</v>
      </c>
      <c r="H5023" t="s">
        <v>10606</v>
      </c>
      <c r="J5023" s="54" t="s">
        <v>6052</v>
      </c>
      <c r="K5023" s="54">
        <v>0</v>
      </c>
      <c r="L5023" s="22" t="s">
        <v>1563</v>
      </c>
      <c r="M5023" s="22" t="s">
        <v>37224</v>
      </c>
    </row>
    <row r="5024" spans="1:13" x14ac:dyDescent="0.75">
      <c r="A5024" t="s">
        <v>19451</v>
      </c>
      <c r="B5024" t="s">
        <v>7855</v>
      </c>
      <c r="C5024" t="s">
        <v>6594</v>
      </c>
      <c r="D5024" t="s">
        <v>7856</v>
      </c>
      <c r="E5024" t="s">
        <v>19452</v>
      </c>
      <c r="F5024">
        <v>103</v>
      </c>
      <c r="G5024">
        <v>2612025</v>
      </c>
      <c r="H5024" t="s">
        <v>19453</v>
      </c>
      <c r="J5024" s="54" t="s">
        <v>6052</v>
      </c>
      <c r="K5024" s="54">
        <v>0</v>
      </c>
      <c r="L5024" s="22" t="s">
        <v>104</v>
      </c>
      <c r="M5024" s="22" t="s">
        <v>37222</v>
      </c>
    </row>
    <row r="5025" spans="1:13" x14ac:dyDescent="0.75">
      <c r="A5025" t="s">
        <v>19442</v>
      </c>
      <c r="B5025" t="s">
        <v>7855</v>
      </c>
      <c r="C5025" t="s">
        <v>6594</v>
      </c>
      <c r="D5025" t="s">
        <v>7856</v>
      </c>
      <c r="E5025" t="s">
        <v>19443</v>
      </c>
      <c r="F5025">
        <v>89</v>
      </c>
      <c r="G5025">
        <v>2785755</v>
      </c>
      <c r="H5025" t="s">
        <v>19444</v>
      </c>
      <c r="J5025" s="54" t="s">
        <v>6052</v>
      </c>
      <c r="K5025" s="54">
        <v>0</v>
      </c>
      <c r="L5025" s="22" t="s">
        <v>104</v>
      </c>
      <c r="M5025" s="22" t="s">
        <v>37222</v>
      </c>
    </row>
    <row r="5026" spans="1:13" x14ac:dyDescent="0.75">
      <c r="A5026" t="s">
        <v>19439</v>
      </c>
      <c r="B5026" t="s">
        <v>7855</v>
      </c>
      <c r="C5026" t="s">
        <v>6594</v>
      </c>
      <c r="D5026" t="s">
        <v>7856</v>
      </c>
      <c r="E5026" t="s">
        <v>19440</v>
      </c>
      <c r="F5026">
        <v>85</v>
      </c>
      <c r="G5026">
        <v>2571726</v>
      </c>
      <c r="H5026" t="s">
        <v>19441</v>
      </c>
      <c r="J5026" s="54" t="s">
        <v>6052</v>
      </c>
      <c r="K5026" s="54">
        <v>0</v>
      </c>
      <c r="L5026" s="22" t="s">
        <v>104</v>
      </c>
      <c r="M5026" s="22" t="s">
        <v>37222</v>
      </c>
    </row>
    <row r="5027" spans="1:13" x14ac:dyDescent="0.75">
      <c r="A5027" t="s">
        <v>19436</v>
      </c>
      <c r="B5027" t="s">
        <v>7855</v>
      </c>
      <c r="C5027" t="s">
        <v>6594</v>
      </c>
      <c r="D5027" t="s">
        <v>7856</v>
      </c>
      <c r="E5027" t="s">
        <v>19437</v>
      </c>
      <c r="F5027">
        <v>73</v>
      </c>
      <c r="G5027">
        <v>2748189</v>
      </c>
      <c r="H5027" t="s">
        <v>19438</v>
      </c>
      <c r="J5027" s="54" t="s">
        <v>6052</v>
      </c>
      <c r="K5027" s="54">
        <v>0</v>
      </c>
      <c r="L5027" s="22" t="s">
        <v>104</v>
      </c>
      <c r="M5027" s="22" t="s">
        <v>37222</v>
      </c>
    </row>
    <row r="5028" spans="1:13" x14ac:dyDescent="0.75">
      <c r="A5028" t="s">
        <v>8617</v>
      </c>
      <c r="B5028" t="s">
        <v>7251</v>
      </c>
      <c r="C5028" t="s">
        <v>6594</v>
      </c>
      <c r="D5028" t="s">
        <v>7252</v>
      </c>
      <c r="E5028" t="s">
        <v>8618</v>
      </c>
      <c r="F5028">
        <v>14</v>
      </c>
      <c r="G5028">
        <v>2521238</v>
      </c>
      <c r="H5028" t="s">
        <v>8619</v>
      </c>
      <c r="J5028" s="54" t="s">
        <v>6052</v>
      </c>
      <c r="K5028" s="54">
        <v>0</v>
      </c>
      <c r="L5028" s="22" t="s">
        <v>1563</v>
      </c>
      <c r="M5028" s="22" t="s">
        <v>37224</v>
      </c>
    </row>
    <row r="5029" spans="1:13" x14ac:dyDescent="0.75">
      <c r="A5029" t="s">
        <v>19433</v>
      </c>
      <c r="B5029" t="s">
        <v>7855</v>
      </c>
      <c r="C5029" t="s">
        <v>6594</v>
      </c>
      <c r="D5029" t="s">
        <v>7856</v>
      </c>
      <c r="E5029" t="s">
        <v>19434</v>
      </c>
      <c r="F5029">
        <v>93</v>
      </c>
      <c r="G5029">
        <v>2542694</v>
      </c>
      <c r="H5029" t="s">
        <v>19435</v>
      </c>
      <c r="J5029" s="54" t="s">
        <v>6052</v>
      </c>
      <c r="K5029" s="54">
        <v>0</v>
      </c>
      <c r="L5029" s="22" t="s">
        <v>104</v>
      </c>
      <c r="M5029" s="22" t="s">
        <v>37222</v>
      </c>
    </row>
    <row r="5030" spans="1:13" x14ac:dyDescent="0.75">
      <c r="A5030" t="s">
        <v>19430</v>
      </c>
      <c r="B5030" t="s">
        <v>7855</v>
      </c>
      <c r="C5030" t="s">
        <v>6594</v>
      </c>
      <c r="D5030" t="s">
        <v>7856</v>
      </c>
      <c r="E5030" t="s">
        <v>19431</v>
      </c>
      <c r="F5030">
        <v>101</v>
      </c>
      <c r="G5030">
        <v>2642913</v>
      </c>
      <c r="H5030" t="s">
        <v>19432</v>
      </c>
      <c r="J5030" s="54" t="s">
        <v>6052</v>
      </c>
      <c r="K5030" s="54">
        <v>0</v>
      </c>
      <c r="L5030" s="22" t="s">
        <v>104</v>
      </c>
      <c r="M5030" s="22" t="s">
        <v>37222</v>
      </c>
    </row>
    <row r="5031" spans="1:13" x14ac:dyDescent="0.75">
      <c r="A5031" t="s">
        <v>19427</v>
      </c>
      <c r="B5031" t="s">
        <v>7855</v>
      </c>
      <c r="C5031" t="s">
        <v>6594</v>
      </c>
      <c r="D5031" t="s">
        <v>7856</v>
      </c>
      <c r="E5031" t="s">
        <v>19428</v>
      </c>
      <c r="F5031">
        <v>86</v>
      </c>
      <c r="G5031">
        <v>2862168</v>
      </c>
      <c r="H5031" t="s">
        <v>19429</v>
      </c>
      <c r="J5031" s="54" t="s">
        <v>6052</v>
      </c>
      <c r="K5031" s="54">
        <v>0</v>
      </c>
      <c r="L5031" s="22" t="s">
        <v>104</v>
      </c>
      <c r="M5031" s="22" t="s">
        <v>37222</v>
      </c>
    </row>
    <row r="5032" spans="1:13" x14ac:dyDescent="0.75">
      <c r="A5032" t="s">
        <v>9596</v>
      </c>
      <c r="B5032" t="s">
        <v>1919</v>
      </c>
      <c r="C5032" t="s">
        <v>6594</v>
      </c>
      <c r="D5032" t="s">
        <v>7895</v>
      </c>
      <c r="E5032" t="s">
        <v>9597</v>
      </c>
      <c r="F5032">
        <v>126</v>
      </c>
      <c r="G5032">
        <v>3156061</v>
      </c>
      <c r="H5032" t="s">
        <v>9598</v>
      </c>
      <c r="J5032" s="54" t="s">
        <v>6052</v>
      </c>
      <c r="K5032" s="54">
        <v>0</v>
      </c>
      <c r="L5032" s="22" t="s">
        <v>1308</v>
      </c>
      <c r="M5032" s="22" t="s">
        <v>1920</v>
      </c>
    </row>
    <row r="5033" spans="1:13" x14ac:dyDescent="0.75">
      <c r="A5033" t="s">
        <v>9377</v>
      </c>
      <c r="B5033" t="s">
        <v>7262</v>
      </c>
      <c r="C5033" t="s">
        <v>6594</v>
      </c>
      <c r="D5033" t="s">
        <v>7263</v>
      </c>
      <c r="E5033" t="s">
        <v>9378</v>
      </c>
      <c r="F5033">
        <v>86</v>
      </c>
      <c r="G5033">
        <v>2391937</v>
      </c>
      <c r="H5033" t="s">
        <v>9379</v>
      </c>
      <c r="J5033" s="54" t="s">
        <v>6052</v>
      </c>
      <c r="K5033" s="54">
        <v>0</v>
      </c>
      <c r="L5033" s="22" t="s">
        <v>1308</v>
      </c>
      <c r="M5033" s="22" t="s">
        <v>37223</v>
      </c>
    </row>
    <row r="5034" spans="1:13" x14ac:dyDescent="0.75">
      <c r="A5034" t="s">
        <v>19421</v>
      </c>
      <c r="B5034" t="s">
        <v>7855</v>
      </c>
      <c r="C5034" t="s">
        <v>6594</v>
      </c>
      <c r="D5034" t="s">
        <v>7856</v>
      </c>
      <c r="E5034" t="s">
        <v>19422</v>
      </c>
      <c r="F5034">
        <v>67</v>
      </c>
      <c r="G5034">
        <v>2753317</v>
      </c>
      <c r="H5034" t="s">
        <v>19423</v>
      </c>
      <c r="J5034" s="54" t="s">
        <v>6052</v>
      </c>
      <c r="K5034" s="54">
        <v>0</v>
      </c>
      <c r="L5034" s="22" t="s">
        <v>104</v>
      </c>
      <c r="M5034" s="22" t="s">
        <v>37222</v>
      </c>
    </row>
    <row r="5035" spans="1:13" x14ac:dyDescent="0.75">
      <c r="A5035" t="s">
        <v>19424</v>
      </c>
      <c r="B5035" t="s">
        <v>7855</v>
      </c>
      <c r="C5035" t="s">
        <v>6594</v>
      </c>
      <c r="D5035" t="s">
        <v>7856</v>
      </c>
      <c r="E5035" t="s">
        <v>19425</v>
      </c>
      <c r="F5035">
        <v>85</v>
      </c>
      <c r="G5035">
        <v>2546294</v>
      </c>
      <c r="H5035" t="s">
        <v>19426</v>
      </c>
      <c r="J5035" s="54" t="s">
        <v>6052</v>
      </c>
      <c r="K5035" s="54">
        <v>0</v>
      </c>
      <c r="L5035" s="22" t="s">
        <v>104</v>
      </c>
      <c r="M5035" s="22" t="s">
        <v>37222</v>
      </c>
    </row>
    <row r="5036" spans="1:13" x14ac:dyDescent="0.75">
      <c r="A5036" t="s">
        <v>19415</v>
      </c>
      <c r="B5036" t="s">
        <v>7855</v>
      </c>
      <c r="C5036" t="s">
        <v>6594</v>
      </c>
      <c r="D5036" t="s">
        <v>7856</v>
      </c>
      <c r="E5036" t="s">
        <v>19416</v>
      </c>
      <c r="F5036">
        <v>202</v>
      </c>
      <c r="G5036">
        <v>2465798</v>
      </c>
      <c r="H5036" t="s">
        <v>19417</v>
      </c>
      <c r="J5036" s="54" t="s">
        <v>6052</v>
      </c>
      <c r="K5036" s="54">
        <v>0</v>
      </c>
      <c r="L5036" s="22" t="s">
        <v>104</v>
      </c>
      <c r="M5036" s="22" t="s">
        <v>37222</v>
      </c>
    </row>
    <row r="5037" spans="1:13" x14ac:dyDescent="0.75">
      <c r="A5037" t="s">
        <v>30302</v>
      </c>
      <c r="B5037" t="s">
        <v>7251</v>
      </c>
      <c r="C5037" t="s">
        <v>6594</v>
      </c>
      <c r="D5037" t="s">
        <v>7252</v>
      </c>
      <c r="E5037" t="s">
        <v>30303</v>
      </c>
      <c r="F5037">
        <v>46</v>
      </c>
      <c r="G5037">
        <v>2110058</v>
      </c>
      <c r="H5037" t="s">
        <v>30304</v>
      </c>
      <c r="J5037" s="54" t="s">
        <v>6052</v>
      </c>
      <c r="K5037" s="54">
        <v>0</v>
      </c>
      <c r="L5037" s="22" t="s">
        <v>1563</v>
      </c>
      <c r="M5037" s="22" t="s">
        <v>37224</v>
      </c>
    </row>
    <row r="5038" spans="1:13" x14ac:dyDescent="0.75">
      <c r="A5038" t="s">
        <v>30305</v>
      </c>
      <c r="B5038" t="s">
        <v>7262</v>
      </c>
      <c r="C5038" t="s">
        <v>6594</v>
      </c>
      <c r="D5038" t="s">
        <v>7263</v>
      </c>
      <c r="E5038" t="s">
        <v>30306</v>
      </c>
      <c r="F5038">
        <v>51</v>
      </c>
      <c r="G5038">
        <v>1947050</v>
      </c>
      <c r="H5038" t="s">
        <v>30307</v>
      </c>
      <c r="J5038" s="54" t="s">
        <v>6052</v>
      </c>
      <c r="K5038" s="54">
        <v>0</v>
      </c>
      <c r="L5038" s="22" t="s">
        <v>1308</v>
      </c>
      <c r="M5038" s="22" t="s">
        <v>37223</v>
      </c>
    </row>
    <row r="5039" spans="1:13" x14ac:dyDescent="0.75">
      <c r="A5039" t="s">
        <v>19418</v>
      </c>
      <c r="B5039" t="s">
        <v>7855</v>
      </c>
      <c r="C5039" t="s">
        <v>6594</v>
      </c>
      <c r="D5039" t="s">
        <v>7856</v>
      </c>
      <c r="E5039" t="s">
        <v>19419</v>
      </c>
      <c r="F5039">
        <v>128</v>
      </c>
      <c r="G5039">
        <v>2577142</v>
      </c>
      <c r="H5039" t="s">
        <v>19420</v>
      </c>
      <c r="J5039" s="54" t="s">
        <v>6052</v>
      </c>
      <c r="K5039" s="54">
        <v>0</v>
      </c>
      <c r="L5039" s="22" t="s">
        <v>104</v>
      </c>
      <c r="M5039" s="22" t="s">
        <v>37222</v>
      </c>
    </row>
    <row r="5040" spans="1:13" x14ac:dyDescent="0.75">
      <c r="A5040" t="s">
        <v>19412</v>
      </c>
      <c r="B5040" t="s">
        <v>7855</v>
      </c>
      <c r="C5040" t="s">
        <v>6594</v>
      </c>
      <c r="D5040" t="s">
        <v>7856</v>
      </c>
      <c r="E5040" t="s">
        <v>19413</v>
      </c>
      <c r="F5040">
        <v>127</v>
      </c>
      <c r="G5040">
        <v>2550145</v>
      </c>
      <c r="H5040" t="s">
        <v>19414</v>
      </c>
      <c r="J5040" s="54" t="s">
        <v>6052</v>
      </c>
      <c r="K5040" s="54">
        <v>0</v>
      </c>
      <c r="L5040" s="22" t="s">
        <v>104</v>
      </c>
      <c r="M5040" s="22" t="s">
        <v>37222</v>
      </c>
    </row>
    <row r="5041" spans="1:13" x14ac:dyDescent="0.75">
      <c r="A5041" t="s">
        <v>19409</v>
      </c>
      <c r="B5041" t="s">
        <v>7855</v>
      </c>
      <c r="C5041" t="s">
        <v>6594</v>
      </c>
      <c r="D5041" t="s">
        <v>7856</v>
      </c>
      <c r="E5041" t="s">
        <v>19410</v>
      </c>
      <c r="F5041">
        <v>124</v>
      </c>
      <c r="G5041">
        <v>2416341</v>
      </c>
      <c r="H5041" t="s">
        <v>19411</v>
      </c>
      <c r="J5041" s="54" t="s">
        <v>6052</v>
      </c>
      <c r="K5041" s="54">
        <v>0</v>
      </c>
      <c r="L5041" s="22" t="s">
        <v>104</v>
      </c>
      <c r="M5041" s="22" t="s">
        <v>37222</v>
      </c>
    </row>
    <row r="5042" spans="1:13" x14ac:dyDescent="0.75">
      <c r="A5042" t="s">
        <v>19406</v>
      </c>
      <c r="B5042" t="s">
        <v>7855</v>
      </c>
      <c r="C5042" t="s">
        <v>6594</v>
      </c>
      <c r="D5042" t="s">
        <v>7856</v>
      </c>
      <c r="E5042" t="s">
        <v>19407</v>
      </c>
      <c r="F5042">
        <v>117</v>
      </c>
      <c r="G5042">
        <v>2388918</v>
      </c>
      <c r="H5042" t="s">
        <v>19408</v>
      </c>
      <c r="J5042" s="54" t="s">
        <v>6052</v>
      </c>
      <c r="K5042" s="54">
        <v>0</v>
      </c>
      <c r="L5042" s="22" t="s">
        <v>104</v>
      </c>
      <c r="M5042" s="22" t="s">
        <v>37222</v>
      </c>
    </row>
    <row r="5043" spans="1:13" x14ac:dyDescent="0.75">
      <c r="A5043" t="s">
        <v>28151</v>
      </c>
      <c r="B5043" t="s">
        <v>7855</v>
      </c>
      <c r="C5043" t="s">
        <v>6594</v>
      </c>
      <c r="D5043" t="s">
        <v>7856</v>
      </c>
      <c r="E5043" t="s">
        <v>6504</v>
      </c>
      <c r="F5043">
        <v>151</v>
      </c>
      <c r="G5043">
        <v>2861587</v>
      </c>
      <c r="H5043" t="s">
        <v>28152</v>
      </c>
      <c r="J5043" s="54" t="s">
        <v>6052</v>
      </c>
      <c r="K5043" s="54">
        <v>0</v>
      </c>
      <c r="L5043" s="22" t="s">
        <v>104</v>
      </c>
      <c r="M5043" s="22" t="s">
        <v>37222</v>
      </c>
    </row>
    <row r="5044" spans="1:13" x14ac:dyDescent="0.75">
      <c r="A5044" t="s">
        <v>27561</v>
      </c>
      <c r="B5044" t="s">
        <v>7855</v>
      </c>
      <c r="C5044" t="s">
        <v>6594</v>
      </c>
      <c r="D5044" t="s">
        <v>7856</v>
      </c>
      <c r="E5044" t="s">
        <v>27562</v>
      </c>
      <c r="F5044">
        <v>7</v>
      </c>
      <c r="G5044">
        <v>3108714</v>
      </c>
      <c r="H5044" t="s">
        <v>27563</v>
      </c>
      <c r="J5044" s="54" t="s">
        <v>6052</v>
      </c>
      <c r="K5044" s="54">
        <v>0</v>
      </c>
      <c r="L5044" s="22" t="s">
        <v>104</v>
      </c>
      <c r="M5044" s="22" t="s">
        <v>37222</v>
      </c>
    </row>
    <row r="5045" spans="1:13" x14ac:dyDescent="0.75">
      <c r="A5045" t="s">
        <v>29370</v>
      </c>
      <c r="B5045" t="s">
        <v>7855</v>
      </c>
      <c r="C5045" t="s">
        <v>6594</v>
      </c>
      <c r="D5045" t="s">
        <v>7856</v>
      </c>
      <c r="E5045" t="s">
        <v>29371</v>
      </c>
      <c r="F5045">
        <v>70</v>
      </c>
      <c r="G5045">
        <v>2606342</v>
      </c>
      <c r="H5045" t="s">
        <v>29372</v>
      </c>
      <c r="J5045" s="54" t="s">
        <v>6052</v>
      </c>
      <c r="K5045" s="54">
        <v>0</v>
      </c>
      <c r="L5045" s="22" t="s">
        <v>104</v>
      </c>
      <c r="M5045" s="22" t="s">
        <v>37222</v>
      </c>
    </row>
    <row r="5046" spans="1:13" x14ac:dyDescent="0.75">
      <c r="A5046" t="s">
        <v>29570</v>
      </c>
      <c r="B5046" t="s">
        <v>7855</v>
      </c>
      <c r="C5046" t="s">
        <v>6594</v>
      </c>
      <c r="D5046" t="s">
        <v>7856</v>
      </c>
      <c r="E5046" t="s">
        <v>29571</v>
      </c>
      <c r="F5046">
        <v>83</v>
      </c>
      <c r="G5046">
        <v>2732166</v>
      </c>
      <c r="H5046" t="s">
        <v>29572</v>
      </c>
      <c r="J5046" s="54" t="s">
        <v>6052</v>
      </c>
      <c r="K5046" s="54">
        <v>0</v>
      </c>
      <c r="L5046" s="22" t="s">
        <v>104</v>
      </c>
      <c r="M5046" s="22" t="s">
        <v>37222</v>
      </c>
    </row>
    <row r="5047" spans="1:13" x14ac:dyDescent="0.75">
      <c r="A5047" t="s">
        <v>28850</v>
      </c>
      <c r="B5047" t="s">
        <v>7855</v>
      </c>
      <c r="C5047" t="s">
        <v>6594</v>
      </c>
      <c r="D5047" t="s">
        <v>7856</v>
      </c>
      <c r="E5047" t="s">
        <v>28851</v>
      </c>
      <c r="F5047">
        <v>152</v>
      </c>
      <c r="G5047">
        <v>2606864</v>
      </c>
      <c r="H5047" t="s">
        <v>28852</v>
      </c>
      <c r="J5047" s="54" t="s">
        <v>6052</v>
      </c>
      <c r="K5047" s="54">
        <v>0</v>
      </c>
      <c r="L5047" s="22" t="s">
        <v>104</v>
      </c>
      <c r="M5047" s="22" t="s">
        <v>37222</v>
      </c>
    </row>
    <row r="5048" spans="1:13" x14ac:dyDescent="0.75">
      <c r="A5048" t="s">
        <v>30193</v>
      </c>
      <c r="B5048" t="s">
        <v>7262</v>
      </c>
      <c r="C5048" t="s">
        <v>6594</v>
      </c>
      <c r="D5048" t="s">
        <v>7263</v>
      </c>
      <c r="E5048" t="s">
        <v>30194</v>
      </c>
      <c r="F5048">
        <v>159</v>
      </c>
      <c r="G5048">
        <v>1804246</v>
      </c>
      <c r="H5048" t="s">
        <v>30195</v>
      </c>
      <c r="J5048" s="54" t="s">
        <v>6052</v>
      </c>
      <c r="K5048" s="54">
        <v>0</v>
      </c>
      <c r="L5048" s="22" t="s">
        <v>1308</v>
      </c>
      <c r="M5048" s="22" t="s">
        <v>37223</v>
      </c>
    </row>
    <row r="5049" spans="1:13" x14ac:dyDescent="0.75">
      <c r="A5049" t="s">
        <v>30311</v>
      </c>
      <c r="B5049" t="s">
        <v>7855</v>
      </c>
      <c r="C5049" t="s">
        <v>6594</v>
      </c>
      <c r="D5049" t="s">
        <v>7856</v>
      </c>
      <c r="E5049" t="s">
        <v>30312</v>
      </c>
      <c r="F5049">
        <v>123</v>
      </c>
      <c r="G5049">
        <v>2520277</v>
      </c>
      <c r="H5049" t="s">
        <v>30313</v>
      </c>
      <c r="J5049" s="54" t="s">
        <v>6052</v>
      </c>
      <c r="K5049" s="54">
        <v>0</v>
      </c>
      <c r="L5049" s="22" t="s">
        <v>104</v>
      </c>
      <c r="M5049" s="22" t="s">
        <v>37222</v>
      </c>
    </row>
    <row r="5050" spans="1:13" x14ac:dyDescent="0.75">
      <c r="A5050" t="s">
        <v>29008</v>
      </c>
      <c r="B5050" t="s">
        <v>7855</v>
      </c>
      <c r="C5050" t="s">
        <v>6594</v>
      </c>
      <c r="D5050" t="s">
        <v>7856</v>
      </c>
      <c r="E5050" t="s">
        <v>29009</v>
      </c>
      <c r="F5050">
        <v>191</v>
      </c>
      <c r="G5050">
        <v>2977182</v>
      </c>
      <c r="H5050" t="s">
        <v>29010</v>
      </c>
      <c r="J5050" s="54" t="s">
        <v>6052</v>
      </c>
      <c r="K5050" s="54">
        <v>0</v>
      </c>
      <c r="L5050" s="22" t="s">
        <v>104</v>
      </c>
      <c r="M5050" s="22" t="s">
        <v>37222</v>
      </c>
    </row>
    <row r="5051" spans="1:13" x14ac:dyDescent="0.75">
      <c r="A5051" t="s">
        <v>11840</v>
      </c>
      <c r="B5051" t="s">
        <v>7251</v>
      </c>
      <c r="C5051" t="s">
        <v>6594</v>
      </c>
      <c r="D5051" t="s">
        <v>7252</v>
      </c>
      <c r="E5051" t="s">
        <v>11841</v>
      </c>
      <c r="F5051">
        <v>153</v>
      </c>
      <c r="G5051">
        <v>2459295</v>
      </c>
      <c r="H5051" t="s">
        <v>11842</v>
      </c>
      <c r="J5051" s="54" t="s">
        <v>6052</v>
      </c>
      <c r="K5051" s="54">
        <v>0</v>
      </c>
      <c r="L5051" s="22" t="s">
        <v>1563</v>
      </c>
      <c r="M5051" s="22" t="s">
        <v>37224</v>
      </c>
    </row>
    <row r="5052" spans="1:13" x14ac:dyDescent="0.75">
      <c r="A5052" t="s">
        <v>11993</v>
      </c>
      <c r="B5052" t="s">
        <v>7251</v>
      </c>
      <c r="C5052" t="s">
        <v>6594</v>
      </c>
      <c r="D5052" t="s">
        <v>7252</v>
      </c>
      <c r="E5052" t="s">
        <v>11994</v>
      </c>
      <c r="F5052">
        <v>141</v>
      </c>
      <c r="G5052">
        <v>2579172</v>
      </c>
      <c r="H5052" t="s">
        <v>11995</v>
      </c>
      <c r="J5052" s="54" t="s">
        <v>6052</v>
      </c>
      <c r="K5052" s="54">
        <v>0</v>
      </c>
      <c r="L5052" s="22" t="s">
        <v>1563</v>
      </c>
      <c r="M5052" s="22" t="s">
        <v>37224</v>
      </c>
    </row>
    <row r="5053" spans="1:13" x14ac:dyDescent="0.75">
      <c r="A5053" t="s">
        <v>4247</v>
      </c>
      <c r="B5053" t="s">
        <v>2524</v>
      </c>
      <c r="C5053" t="s">
        <v>6594</v>
      </c>
      <c r="D5053" t="s">
        <v>13818</v>
      </c>
      <c r="E5053" t="s">
        <v>23711</v>
      </c>
      <c r="F5053">
        <v>88</v>
      </c>
      <c r="G5053">
        <v>3597500</v>
      </c>
      <c r="H5053" t="s">
        <v>23712</v>
      </c>
      <c r="J5053" s="54" t="s">
        <v>6052</v>
      </c>
      <c r="K5053" s="54">
        <v>0</v>
      </c>
      <c r="L5053" s="22" t="s">
        <v>34</v>
      </c>
      <c r="M5053" s="22" t="s">
        <v>2525</v>
      </c>
    </row>
    <row r="5054" spans="1:13" x14ac:dyDescent="0.75">
      <c r="A5054" t="s">
        <v>4241</v>
      </c>
      <c r="B5054" t="s">
        <v>2524</v>
      </c>
      <c r="C5054" t="s">
        <v>6594</v>
      </c>
      <c r="D5054" t="s">
        <v>13818</v>
      </c>
      <c r="E5054" t="s">
        <v>23709</v>
      </c>
      <c r="F5054">
        <v>85</v>
      </c>
      <c r="G5054">
        <v>3654088</v>
      </c>
      <c r="H5054" t="s">
        <v>23710</v>
      </c>
      <c r="J5054" s="54" t="s">
        <v>6052</v>
      </c>
      <c r="K5054" s="54">
        <v>0</v>
      </c>
      <c r="L5054" s="22" t="s">
        <v>34</v>
      </c>
      <c r="M5054" s="22" t="s">
        <v>2525</v>
      </c>
    </row>
    <row r="5055" spans="1:13" x14ac:dyDescent="0.75">
      <c r="A5055" t="s">
        <v>4236</v>
      </c>
      <c r="B5055" t="s">
        <v>2524</v>
      </c>
      <c r="C5055" t="s">
        <v>6594</v>
      </c>
      <c r="D5055" t="s">
        <v>13818</v>
      </c>
      <c r="E5055" t="s">
        <v>23707</v>
      </c>
      <c r="F5055">
        <v>82</v>
      </c>
      <c r="G5055">
        <v>3602531</v>
      </c>
      <c r="H5055" t="s">
        <v>23708</v>
      </c>
      <c r="J5055" s="54" t="s">
        <v>6052</v>
      </c>
      <c r="K5055" s="54">
        <v>0</v>
      </c>
      <c r="L5055" s="22" t="s">
        <v>34</v>
      </c>
      <c r="M5055" s="22" t="s">
        <v>2525</v>
      </c>
    </row>
    <row r="5056" spans="1:13" x14ac:dyDescent="0.75">
      <c r="A5056" t="s">
        <v>4257</v>
      </c>
      <c r="B5056" t="s">
        <v>2524</v>
      </c>
      <c r="C5056" t="s">
        <v>6594</v>
      </c>
      <c r="D5056" t="s">
        <v>13818</v>
      </c>
      <c r="E5056" t="s">
        <v>23715</v>
      </c>
      <c r="F5056">
        <v>86</v>
      </c>
      <c r="G5056">
        <v>3675783</v>
      </c>
      <c r="H5056" t="s">
        <v>23716</v>
      </c>
      <c r="J5056" s="54" t="s">
        <v>6052</v>
      </c>
      <c r="K5056" s="54">
        <v>0</v>
      </c>
      <c r="L5056" s="22" t="s">
        <v>34</v>
      </c>
      <c r="M5056" s="22" t="s">
        <v>2525</v>
      </c>
    </row>
    <row r="5057" spans="1:13" x14ac:dyDescent="0.75">
      <c r="A5057" t="s">
        <v>4262</v>
      </c>
      <c r="B5057" t="s">
        <v>2524</v>
      </c>
      <c r="C5057" t="s">
        <v>6594</v>
      </c>
      <c r="D5057" t="s">
        <v>13818</v>
      </c>
      <c r="E5057" t="s">
        <v>23717</v>
      </c>
      <c r="F5057">
        <v>89</v>
      </c>
      <c r="G5057">
        <v>3609956</v>
      </c>
      <c r="H5057" t="s">
        <v>23718</v>
      </c>
      <c r="J5057" s="54" t="s">
        <v>6052</v>
      </c>
      <c r="K5057" s="54">
        <v>0</v>
      </c>
      <c r="L5057" s="22" t="s">
        <v>34</v>
      </c>
      <c r="M5057" s="22" t="s">
        <v>2525</v>
      </c>
    </row>
    <row r="5058" spans="1:13" x14ac:dyDescent="0.75">
      <c r="A5058" t="s">
        <v>4252</v>
      </c>
      <c r="B5058" t="s">
        <v>2524</v>
      </c>
      <c r="C5058" t="s">
        <v>6594</v>
      </c>
      <c r="D5058" t="s">
        <v>13818</v>
      </c>
      <c r="E5058" t="s">
        <v>23713</v>
      </c>
      <c r="F5058">
        <v>83</v>
      </c>
      <c r="G5058">
        <v>3663674</v>
      </c>
      <c r="H5058" t="s">
        <v>23714</v>
      </c>
      <c r="J5058" s="54" t="s">
        <v>6052</v>
      </c>
      <c r="K5058" s="54">
        <v>0</v>
      </c>
      <c r="L5058" s="22" t="s">
        <v>34</v>
      </c>
      <c r="M5058" s="22" t="s">
        <v>2525</v>
      </c>
    </row>
    <row r="5059" spans="1:13" x14ac:dyDescent="0.75">
      <c r="A5059" t="s">
        <v>4228</v>
      </c>
      <c r="B5059" t="s">
        <v>2524</v>
      </c>
      <c r="C5059" t="s">
        <v>6594</v>
      </c>
      <c r="D5059" t="s">
        <v>13818</v>
      </c>
      <c r="E5059" t="s">
        <v>23705</v>
      </c>
      <c r="F5059">
        <v>85</v>
      </c>
      <c r="G5059">
        <v>3615176</v>
      </c>
      <c r="H5059" t="s">
        <v>23706</v>
      </c>
      <c r="J5059" s="54" t="s">
        <v>6052</v>
      </c>
      <c r="K5059" s="54">
        <v>0</v>
      </c>
      <c r="L5059" s="22" t="s">
        <v>34</v>
      </c>
      <c r="M5059" s="22" t="s">
        <v>2525</v>
      </c>
    </row>
    <row r="5060" spans="1:13" x14ac:dyDescent="0.75">
      <c r="A5060" t="s">
        <v>27218</v>
      </c>
      <c r="B5060" t="s">
        <v>10323</v>
      </c>
      <c r="C5060" t="s">
        <v>6594</v>
      </c>
      <c r="D5060" t="s">
        <v>10324</v>
      </c>
      <c r="E5060" t="s">
        <v>27219</v>
      </c>
      <c r="F5060">
        <v>83</v>
      </c>
      <c r="G5060">
        <v>3209893</v>
      </c>
      <c r="H5060" t="s">
        <v>27220</v>
      </c>
      <c r="J5060" s="54" t="s">
        <v>6052</v>
      </c>
      <c r="K5060" s="54">
        <v>0</v>
      </c>
      <c r="L5060" s="22" t="s">
        <v>104</v>
      </c>
      <c r="M5060" s="22" t="s">
        <v>37226</v>
      </c>
    </row>
    <row r="5061" spans="1:13" x14ac:dyDescent="0.75">
      <c r="A5061" t="s">
        <v>5928</v>
      </c>
      <c r="B5061" t="s">
        <v>1919</v>
      </c>
      <c r="C5061" t="s">
        <v>6594</v>
      </c>
      <c r="D5061" t="s">
        <v>7895</v>
      </c>
      <c r="E5061" t="s">
        <v>30098</v>
      </c>
      <c r="F5061">
        <v>89</v>
      </c>
      <c r="G5061">
        <v>2859184</v>
      </c>
      <c r="H5061" t="s">
        <v>30099</v>
      </c>
      <c r="J5061" s="54" t="s">
        <v>6052</v>
      </c>
      <c r="K5061" s="54">
        <v>0</v>
      </c>
      <c r="L5061" s="22" t="s">
        <v>1308</v>
      </c>
      <c r="M5061" s="22" t="s">
        <v>1920</v>
      </c>
    </row>
    <row r="5062" spans="1:13" x14ac:dyDescent="0.75">
      <c r="A5062" t="s">
        <v>2523</v>
      </c>
      <c r="B5062" t="s">
        <v>2524</v>
      </c>
      <c r="C5062" t="s">
        <v>6594</v>
      </c>
      <c r="D5062" t="s">
        <v>13818</v>
      </c>
      <c r="E5062" t="s">
        <v>17629</v>
      </c>
      <c r="F5062">
        <v>170</v>
      </c>
      <c r="G5062">
        <v>3908415</v>
      </c>
      <c r="H5062" t="s">
        <v>17630</v>
      </c>
      <c r="J5062" s="54" t="s">
        <v>6052</v>
      </c>
      <c r="K5062" s="54">
        <v>0</v>
      </c>
      <c r="L5062" s="22" t="s">
        <v>34</v>
      </c>
      <c r="M5062" s="22" t="s">
        <v>2525</v>
      </c>
    </row>
    <row r="5063" spans="1:13" x14ac:dyDescent="0.75">
      <c r="A5063" t="s">
        <v>2533</v>
      </c>
      <c r="B5063" t="s">
        <v>2524</v>
      </c>
      <c r="C5063" t="s">
        <v>6594</v>
      </c>
      <c r="D5063" t="s">
        <v>13818</v>
      </c>
      <c r="E5063" t="s">
        <v>17631</v>
      </c>
      <c r="F5063">
        <v>167</v>
      </c>
      <c r="G5063">
        <v>3905699</v>
      </c>
      <c r="H5063" t="s">
        <v>17632</v>
      </c>
      <c r="J5063" s="54" t="s">
        <v>6052</v>
      </c>
      <c r="K5063" s="54">
        <v>0</v>
      </c>
      <c r="L5063" s="22" t="s">
        <v>34</v>
      </c>
      <c r="M5063" s="22" t="s">
        <v>2525</v>
      </c>
    </row>
    <row r="5064" spans="1:13" x14ac:dyDescent="0.75">
      <c r="A5064" t="s">
        <v>13817</v>
      </c>
      <c r="B5064" t="s">
        <v>2524</v>
      </c>
      <c r="C5064" t="s">
        <v>6594</v>
      </c>
      <c r="D5064" t="s">
        <v>13818</v>
      </c>
      <c r="E5064" t="s">
        <v>13819</v>
      </c>
      <c r="F5064">
        <v>88</v>
      </c>
      <c r="G5064">
        <v>3920563</v>
      </c>
      <c r="H5064" t="s">
        <v>13820</v>
      </c>
      <c r="J5064" s="54" t="s">
        <v>6052</v>
      </c>
      <c r="K5064" s="54">
        <v>0</v>
      </c>
      <c r="L5064" s="22" t="s">
        <v>34</v>
      </c>
      <c r="M5064" s="22" t="s">
        <v>2525</v>
      </c>
    </row>
    <row r="5065" spans="1:13" x14ac:dyDescent="0.75">
      <c r="A5065" t="s">
        <v>10292</v>
      </c>
      <c r="B5065" t="s">
        <v>7262</v>
      </c>
      <c r="C5065" t="s">
        <v>6594</v>
      </c>
      <c r="D5065" t="s">
        <v>7263</v>
      </c>
      <c r="E5065" t="s">
        <v>10293</v>
      </c>
      <c r="F5065">
        <v>159</v>
      </c>
      <c r="G5065">
        <v>2372746</v>
      </c>
      <c r="H5065" t="s">
        <v>10294</v>
      </c>
      <c r="J5065" s="54" t="s">
        <v>6052</v>
      </c>
      <c r="K5065" s="54">
        <v>0</v>
      </c>
      <c r="L5065" s="22" t="s">
        <v>1308</v>
      </c>
      <c r="M5065" s="22" t="s">
        <v>37223</v>
      </c>
    </row>
    <row r="5066" spans="1:13" x14ac:dyDescent="0.75">
      <c r="A5066" t="s">
        <v>10305</v>
      </c>
      <c r="B5066" t="s">
        <v>1919</v>
      </c>
      <c r="C5066" t="s">
        <v>6594</v>
      </c>
      <c r="D5066" t="s">
        <v>7895</v>
      </c>
      <c r="E5066" t="s">
        <v>10306</v>
      </c>
      <c r="F5066">
        <v>179</v>
      </c>
      <c r="G5066">
        <v>3116396</v>
      </c>
      <c r="H5066" t="s">
        <v>10307</v>
      </c>
      <c r="J5066" s="54" t="s">
        <v>6052</v>
      </c>
      <c r="K5066" s="54">
        <v>0</v>
      </c>
      <c r="L5066" s="22" t="s">
        <v>1308</v>
      </c>
      <c r="M5066" s="22" t="s">
        <v>1920</v>
      </c>
    </row>
    <row r="5067" spans="1:13" x14ac:dyDescent="0.75">
      <c r="A5067" t="s">
        <v>10322</v>
      </c>
      <c r="B5067" t="s">
        <v>10323</v>
      </c>
      <c r="C5067" t="s">
        <v>6594</v>
      </c>
      <c r="D5067" t="s">
        <v>10324</v>
      </c>
      <c r="E5067" t="s">
        <v>10325</v>
      </c>
      <c r="F5067">
        <v>113</v>
      </c>
      <c r="G5067">
        <v>3184425</v>
      </c>
      <c r="H5067" t="s">
        <v>10326</v>
      </c>
      <c r="J5067" s="54" t="s">
        <v>6052</v>
      </c>
      <c r="K5067" s="54">
        <v>0</v>
      </c>
      <c r="L5067" s="22" t="s">
        <v>104</v>
      </c>
      <c r="M5067" s="22" t="s">
        <v>37226</v>
      </c>
    </row>
    <row r="5068" spans="1:13" x14ac:dyDescent="0.75">
      <c r="A5068" t="s">
        <v>12372</v>
      </c>
      <c r="B5068" t="s">
        <v>10323</v>
      </c>
      <c r="C5068" t="s">
        <v>6594</v>
      </c>
      <c r="D5068" t="s">
        <v>10324</v>
      </c>
      <c r="E5068" t="s">
        <v>12373</v>
      </c>
      <c r="F5068">
        <v>15</v>
      </c>
      <c r="G5068">
        <v>3303745</v>
      </c>
      <c r="H5068" t="s">
        <v>12374</v>
      </c>
      <c r="J5068" s="54" t="s">
        <v>6052</v>
      </c>
      <c r="K5068" s="54">
        <v>0</v>
      </c>
      <c r="L5068" s="22" t="s">
        <v>104</v>
      </c>
      <c r="M5068" s="22" t="s">
        <v>37226</v>
      </c>
    </row>
    <row r="5069" spans="1:13" x14ac:dyDescent="0.75">
      <c r="A5069" t="s">
        <v>20623</v>
      </c>
      <c r="B5069" t="s">
        <v>10323</v>
      </c>
      <c r="C5069" t="s">
        <v>6594</v>
      </c>
      <c r="D5069" t="s">
        <v>10324</v>
      </c>
      <c r="E5069" t="s">
        <v>12373</v>
      </c>
      <c r="F5069">
        <v>3</v>
      </c>
      <c r="G5069">
        <v>3304345</v>
      </c>
      <c r="H5069" t="s">
        <v>20624</v>
      </c>
      <c r="J5069" s="54" t="s">
        <v>6052</v>
      </c>
      <c r="K5069" s="54">
        <v>0</v>
      </c>
      <c r="L5069" s="22" t="s">
        <v>104</v>
      </c>
      <c r="M5069" s="22" t="s">
        <v>37226</v>
      </c>
    </row>
    <row r="5070" spans="1:13" x14ac:dyDescent="0.75">
      <c r="A5070" t="s">
        <v>5518</v>
      </c>
      <c r="B5070" t="s">
        <v>1054</v>
      </c>
      <c r="C5070" t="s">
        <v>6594</v>
      </c>
      <c r="D5070" t="s">
        <v>9777</v>
      </c>
      <c r="E5070" t="s">
        <v>29082</v>
      </c>
      <c r="F5070">
        <v>212</v>
      </c>
      <c r="G5070">
        <v>2519807</v>
      </c>
      <c r="H5070" t="s">
        <v>29083</v>
      </c>
      <c r="J5070" s="54" t="s">
        <v>30844</v>
      </c>
      <c r="K5070" s="54">
        <v>2</v>
      </c>
      <c r="L5070" s="22" t="s">
        <v>104</v>
      </c>
      <c r="M5070" s="22" t="s">
        <v>36816</v>
      </c>
    </row>
    <row r="5071" spans="1:13" x14ac:dyDescent="0.75">
      <c r="A5071" t="s">
        <v>3398</v>
      </c>
      <c r="B5071" t="s">
        <v>1054</v>
      </c>
      <c r="C5071" t="s">
        <v>6594</v>
      </c>
      <c r="D5071" t="s">
        <v>9777</v>
      </c>
      <c r="E5071" t="s">
        <v>20652</v>
      </c>
      <c r="F5071">
        <v>2</v>
      </c>
      <c r="G5071">
        <v>3358299</v>
      </c>
      <c r="H5071" t="s">
        <v>20653</v>
      </c>
      <c r="J5071" s="54" t="s">
        <v>20652</v>
      </c>
      <c r="K5071" s="54">
        <v>2</v>
      </c>
      <c r="L5071" s="22" t="s">
        <v>104</v>
      </c>
      <c r="M5071" s="22" t="s">
        <v>36816</v>
      </c>
    </row>
    <row r="5072" spans="1:13" x14ac:dyDescent="0.75">
      <c r="A5072" t="s">
        <v>1053</v>
      </c>
      <c r="B5072" t="s">
        <v>1054</v>
      </c>
      <c r="C5072" t="s">
        <v>6594</v>
      </c>
      <c r="D5072" t="s">
        <v>9777</v>
      </c>
      <c r="E5072" t="s">
        <v>9778</v>
      </c>
      <c r="F5072">
        <v>285</v>
      </c>
      <c r="G5072">
        <v>3193725</v>
      </c>
      <c r="H5072" t="s">
        <v>9779</v>
      </c>
      <c r="J5072" s="54" t="s">
        <v>9778</v>
      </c>
      <c r="K5072" s="54">
        <v>1</v>
      </c>
      <c r="L5072" s="22" t="s">
        <v>104</v>
      </c>
      <c r="M5072" s="22" t="s">
        <v>36816</v>
      </c>
    </row>
    <row r="5073" spans="1:13" x14ac:dyDescent="0.75">
      <c r="A5073" t="s">
        <v>3406</v>
      </c>
      <c r="B5073" t="s">
        <v>1054</v>
      </c>
      <c r="C5073" t="s">
        <v>6594</v>
      </c>
      <c r="D5073" t="s">
        <v>9777</v>
      </c>
      <c r="E5073" t="s">
        <v>9778</v>
      </c>
      <c r="F5073">
        <v>2</v>
      </c>
      <c r="G5073">
        <v>3342898</v>
      </c>
      <c r="H5073" t="s">
        <v>20654</v>
      </c>
      <c r="J5073" s="54" t="s">
        <v>9778</v>
      </c>
      <c r="K5073" s="54">
        <v>1</v>
      </c>
      <c r="L5073" s="22" t="s">
        <v>104</v>
      </c>
      <c r="M5073" s="22" t="s">
        <v>36816</v>
      </c>
    </row>
    <row r="5074" spans="1:13" x14ac:dyDescent="0.75">
      <c r="A5074" t="s">
        <v>10252</v>
      </c>
      <c r="B5074" t="s">
        <v>10253</v>
      </c>
      <c r="C5074" t="s">
        <v>6594</v>
      </c>
      <c r="D5074" t="s">
        <v>10254</v>
      </c>
      <c r="E5074" t="s">
        <v>10255</v>
      </c>
      <c r="F5074">
        <v>181</v>
      </c>
      <c r="G5074">
        <v>3023893</v>
      </c>
      <c r="H5074" t="s">
        <v>10256</v>
      </c>
      <c r="J5074" s="54" t="s">
        <v>6052</v>
      </c>
      <c r="K5074" s="54">
        <v>0</v>
      </c>
      <c r="L5074" s="22" t="s">
        <v>104</v>
      </c>
      <c r="M5074" s="22" t="s">
        <v>37227</v>
      </c>
    </row>
    <row r="5075" spans="1:13" x14ac:dyDescent="0.75">
      <c r="A5075" t="s">
        <v>19364</v>
      </c>
      <c r="B5075" t="s">
        <v>10253</v>
      </c>
      <c r="C5075" t="s">
        <v>6594</v>
      </c>
      <c r="D5075" t="s">
        <v>10254</v>
      </c>
      <c r="E5075" t="s">
        <v>19365</v>
      </c>
      <c r="F5075">
        <v>208</v>
      </c>
      <c r="G5075">
        <v>2379466</v>
      </c>
      <c r="H5075" t="s">
        <v>19366</v>
      </c>
      <c r="J5075" s="54" t="s">
        <v>6052</v>
      </c>
      <c r="K5075" s="54">
        <v>0</v>
      </c>
      <c r="L5075" s="22" t="s">
        <v>104</v>
      </c>
      <c r="M5075" s="22" t="s">
        <v>37227</v>
      </c>
    </row>
    <row r="5076" spans="1:13" x14ac:dyDescent="0.75">
      <c r="A5076" t="s">
        <v>5885</v>
      </c>
      <c r="B5076" t="s">
        <v>275</v>
      </c>
      <c r="C5076" t="s">
        <v>6594</v>
      </c>
      <c r="D5076" t="s">
        <v>7015</v>
      </c>
      <c r="E5076" t="s">
        <v>29949</v>
      </c>
      <c r="F5076">
        <v>150</v>
      </c>
      <c r="G5076">
        <v>2391019</v>
      </c>
      <c r="H5076" t="s">
        <v>29950</v>
      </c>
      <c r="J5076" s="54" t="s">
        <v>30844</v>
      </c>
      <c r="K5076" s="54">
        <v>1</v>
      </c>
      <c r="L5076" s="22" t="s">
        <v>104</v>
      </c>
      <c r="M5076" s="22" t="s">
        <v>276</v>
      </c>
    </row>
    <row r="5077" spans="1:13" x14ac:dyDescent="0.75">
      <c r="A5077" t="s">
        <v>1226</v>
      </c>
      <c r="B5077" t="s">
        <v>275</v>
      </c>
      <c r="C5077" t="s">
        <v>6594</v>
      </c>
      <c r="D5077" t="s">
        <v>7015</v>
      </c>
      <c r="E5077" t="s">
        <v>10263</v>
      </c>
      <c r="F5077">
        <v>65</v>
      </c>
      <c r="G5077">
        <v>2834450</v>
      </c>
      <c r="H5077" t="s">
        <v>10264</v>
      </c>
      <c r="J5077" s="54" t="s">
        <v>10263</v>
      </c>
      <c r="K5077" s="54">
        <v>1</v>
      </c>
      <c r="L5077" s="22" t="s">
        <v>104</v>
      </c>
      <c r="M5077" s="22" t="s">
        <v>276</v>
      </c>
    </row>
    <row r="5078" spans="1:13" x14ac:dyDescent="0.75">
      <c r="A5078" t="s">
        <v>274</v>
      </c>
      <c r="B5078" t="s">
        <v>275</v>
      </c>
      <c r="C5078" t="s">
        <v>6594</v>
      </c>
      <c r="D5078" t="s">
        <v>7015</v>
      </c>
      <c r="E5078" t="s">
        <v>7016</v>
      </c>
      <c r="F5078">
        <v>98</v>
      </c>
      <c r="G5078">
        <v>2993935</v>
      </c>
      <c r="H5078" t="s">
        <v>7017</v>
      </c>
      <c r="J5078" s="54" t="s">
        <v>7016</v>
      </c>
      <c r="K5078" s="54">
        <v>1</v>
      </c>
      <c r="L5078" s="22" t="s">
        <v>104</v>
      </c>
      <c r="M5078" s="22" t="s">
        <v>276</v>
      </c>
    </row>
    <row r="5079" spans="1:13" x14ac:dyDescent="0.75">
      <c r="A5079" t="s">
        <v>3336</v>
      </c>
      <c r="B5079" t="s">
        <v>275</v>
      </c>
      <c r="C5079" t="s">
        <v>6594</v>
      </c>
      <c r="D5079" t="s">
        <v>7015</v>
      </c>
      <c r="E5079" t="s">
        <v>7016</v>
      </c>
      <c r="F5079">
        <v>3</v>
      </c>
      <c r="G5079">
        <v>2990547</v>
      </c>
      <c r="H5079" t="s">
        <v>20622</v>
      </c>
      <c r="J5079" s="54" t="s">
        <v>7016</v>
      </c>
      <c r="K5079" s="54">
        <v>1</v>
      </c>
      <c r="L5079" s="22" t="s">
        <v>104</v>
      </c>
      <c r="M5079" s="22" t="s">
        <v>276</v>
      </c>
    </row>
    <row r="5080" spans="1:13" x14ac:dyDescent="0.75">
      <c r="A5080" t="s">
        <v>881</v>
      </c>
      <c r="B5080" t="s">
        <v>275</v>
      </c>
      <c r="C5080" t="s">
        <v>6594</v>
      </c>
      <c r="D5080" t="s">
        <v>7015</v>
      </c>
      <c r="E5080" t="s">
        <v>9367</v>
      </c>
      <c r="F5080">
        <v>31</v>
      </c>
      <c r="G5080">
        <v>2845746</v>
      </c>
      <c r="H5080" t="s">
        <v>9368</v>
      </c>
      <c r="J5080" s="54" t="s">
        <v>9367</v>
      </c>
      <c r="K5080" s="54">
        <v>1</v>
      </c>
      <c r="L5080" s="22" t="s">
        <v>104</v>
      </c>
      <c r="M5080" s="22" t="s">
        <v>276</v>
      </c>
    </row>
    <row r="5081" spans="1:13" x14ac:dyDescent="0.75">
      <c r="A5081" t="s">
        <v>17887</v>
      </c>
      <c r="B5081" t="s">
        <v>8547</v>
      </c>
      <c r="C5081" t="s">
        <v>6594</v>
      </c>
      <c r="D5081" t="s">
        <v>8548</v>
      </c>
      <c r="E5081" t="s">
        <v>17888</v>
      </c>
      <c r="F5081">
        <v>25</v>
      </c>
      <c r="G5081">
        <v>2818117</v>
      </c>
      <c r="H5081" t="s">
        <v>17889</v>
      </c>
      <c r="J5081" s="54" t="s">
        <v>6052</v>
      </c>
      <c r="K5081" s="54">
        <v>0</v>
      </c>
      <c r="L5081" s="22" t="s">
        <v>104</v>
      </c>
      <c r="M5081" s="22" t="s">
        <v>37220</v>
      </c>
    </row>
    <row r="5082" spans="1:13" x14ac:dyDescent="0.75">
      <c r="A5082" t="s">
        <v>8546</v>
      </c>
      <c r="B5082" t="s">
        <v>8547</v>
      </c>
      <c r="C5082" t="s">
        <v>6594</v>
      </c>
      <c r="D5082" t="s">
        <v>8548</v>
      </c>
      <c r="E5082" t="s">
        <v>8549</v>
      </c>
      <c r="F5082">
        <v>74</v>
      </c>
      <c r="G5082">
        <v>2945767</v>
      </c>
      <c r="H5082" t="s">
        <v>8550</v>
      </c>
      <c r="J5082" s="54" t="s">
        <v>6052</v>
      </c>
      <c r="K5082" s="54">
        <v>0</v>
      </c>
      <c r="L5082" s="22" t="s">
        <v>104</v>
      </c>
      <c r="M5082" s="22" t="s">
        <v>37220</v>
      </c>
    </row>
    <row r="5083" spans="1:13" x14ac:dyDescent="0.75">
      <c r="A5083" t="s">
        <v>19340</v>
      </c>
      <c r="B5083" t="s">
        <v>8547</v>
      </c>
      <c r="C5083" t="s">
        <v>6594</v>
      </c>
      <c r="D5083" t="s">
        <v>8548</v>
      </c>
      <c r="E5083" t="s">
        <v>19341</v>
      </c>
      <c r="F5083">
        <v>115</v>
      </c>
      <c r="G5083">
        <v>2447744</v>
      </c>
      <c r="H5083" t="s">
        <v>19342</v>
      </c>
      <c r="J5083" s="54" t="s">
        <v>6052</v>
      </c>
      <c r="K5083" s="54">
        <v>0</v>
      </c>
      <c r="L5083" s="22" t="s">
        <v>104</v>
      </c>
      <c r="M5083" s="22" t="s">
        <v>37220</v>
      </c>
    </row>
    <row r="5084" spans="1:13" x14ac:dyDescent="0.75">
      <c r="A5084" t="s">
        <v>29373</v>
      </c>
      <c r="B5084" t="s">
        <v>8547</v>
      </c>
      <c r="C5084" t="s">
        <v>6594</v>
      </c>
      <c r="D5084" t="s">
        <v>8548</v>
      </c>
      <c r="E5084" t="s">
        <v>29374</v>
      </c>
      <c r="F5084">
        <v>120</v>
      </c>
      <c r="G5084">
        <v>2177646</v>
      </c>
      <c r="H5084" t="s">
        <v>29375</v>
      </c>
      <c r="J5084" s="54" t="s">
        <v>6052</v>
      </c>
      <c r="K5084" s="54">
        <v>0</v>
      </c>
      <c r="L5084" s="22" t="s">
        <v>104</v>
      </c>
      <c r="M5084" s="22" t="s">
        <v>37220</v>
      </c>
    </row>
    <row r="5085" spans="1:13" x14ac:dyDescent="0.75">
      <c r="A5085" t="s">
        <v>29759</v>
      </c>
      <c r="B5085" t="s">
        <v>8547</v>
      </c>
      <c r="C5085" t="s">
        <v>6594</v>
      </c>
      <c r="D5085" t="s">
        <v>8548</v>
      </c>
      <c r="E5085" t="s">
        <v>29760</v>
      </c>
      <c r="F5085">
        <v>127</v>
      </c>
      <c r="G5085">
        <v>2672086</v>
      </c>
      <c r="H5085" t="s">
        <v>29761</v>
      </c>
      <c r="J5085" s="54" t="s">
        <v>6052</v>
      </c>
      <c r="K5085" s="54">
        <v>0</v>
      </c>
      <c r="L5085" s="22" t="s">
        <v>104</v>
      </c>
      <c r="M5085" s="22" t="s">
        <v>37220</v>
      </c>
    </row>
    <row r="5086" spans="1:13" x14ac:dyDescent="0.75">
      <c r="A5086" t="s">
        <v>9571</v>
      </c>
      <c r="B5086" t="s">
        <v>9572</v>
      </c>
      <c r="C5086" t="s">
        <v>9573</v>
      </c>
      <c r="D5086" t="s">
        <v>9574</v>
      </c>
      <c r="E5086" t="s">
        <v>9575</v>
      </c>
      <c r="F5086">
        <v>88</v>
      </c>
      <c r="G5086">
        <v>3043901</v>
      </c>
      <c r="H5086" t="s">
        <v>9576</v>
      </c>
      <c r="J5086" s="54" t="s">
        <v>6052</v>
      </c>
      <c r="K5086" s="54">
        <v>0</v>
      </c>
      <c r="L5086" s="22" t="s">
        <v>104</v>
      </c>
      <c r="M5086" s="22" t="s">
        <v>37229</v>
      </c>
    </row>
    <row r="5087" spans="1:13" x14ac:dyDescent="0.75">
      <c r="A5087" t="s">
        <v>29911</v>
      </c>
      <c r="B5087" t="s">
        <v>9572</v>
      </c>
      <c r="C5087" t="s">
        <v>9573</v>
      </c>
      <c r="D5087" t="s">
        <v>9574</v>
      </c>
      <c r="E5087" t="s">
        <v>29912</v>
      </c>
      <c r="F5087">
        <v>121</v>
      </c>
      <c r="G5087">
        <v>2820612</v>
      </c>
      <c r="H5087" t="s">
        <v>29913</v>
      </c>
      <c r="J5087" s="54" t="s">
        <v>6052</v>
      </c>
      <c r="K5087" s="54">
        <v>0</v>
      </c>
      <c r="L5087" s="22" t="s">
        <v>104</v>
      </c>
      <c r="M5087" s="22" t="s">
        <v>37229</v>
      </c>
    </row>
    <row r="5088" spans="1:13" x14ac:dyDescent="0.75">
      <c r="A5088" t="s">
        <v>16029</v>
      </c>
      <c r="B5088" t="s">
        <v>9572</v>
      </c>
      <c r="C5088" t="s">
        <v>9573</v>
      </c>
      <c r="D5088" t="s">
        <v>9574</v>
      </c>
      <c r="E5088" t="s">
        <v>16030</v>
      </c>
      <c r="F5088">
        <v>1</v>
      </c>
      <c r="G5088">
        <v>3072768</v>
      </c>
      <c r="H5088" t="s">
        <v>16031</v>
      </c>
      <c r="J5088" s="54" t="s">
        <v>6052</v>
      </c>
      <c r="K5088" s="54">
        <v>0</v>
      </c>
      <c r="L5088" s="22" t="s">
        <v>104</v>
      </c>
      <c r="M5088" s="22" t="s">
        <v>37229</v>
      </c>
    </row>
    <row r="5089" spans="1:13" x14ac:dyDescent="0.75">
      <c r="A5089" t="s">
        <v>29058</v>
      </c>
      <c r="B5089" t="s">
        <v>9572</v>
      </c>
      <c r="C5089" t="s">
        <v>9573</v>
      </c>
      <c r="D5089" t="s">
        <v>9574</v>
      </c>
      <c r="E5089" t="s">
        <v>29059</v>
      </c>
      <c r="F5089">
        <v>113</v>
      </c>
      <c r="G5089">
        <v>2841507</v>
      </c>
      <c r="H5089" t="s">
        <v>29060</v>
      </c>
      <c r="J5089" s="54" t="s">
        <v>6052</v>
      </c>
      <c r="K5089" s="54">
        <v>0</v>
      </c>
      <c r="L5089" s="22" t="s">
        <v>104</v>
      </c>
      <c r="M5089" s="22" t="s">
        <v>37229</v>
      </c>
    </row>
    <row r="5090" spans="1:13" x14ac:dyDescent="0.75">
      <c r="A5090" t="s">
        <v>2409</v>
      </c>
      <c r="B5090" t="s">
        <v>360</v>
      </c>
      <c r="C5090" t="s">
        <v>7224</v>
      </c>
      <c r="D5090" t="s">
        <v>7225</v>
      </c>
      <c r="E5090" t="s">
        <v>17194</v>
      </c>
      <c r="F5090">
        <v>1</v>
      </c>
      <c r="G5090">
        <v>2290729</v>
      </c>
      <c r="H5090" t="s">
        <v>17195</v>
      </c>
      <c r="J5090" s="54" t="s">
        <v>17194</v>
      </c>
      <c r="K5090" s="54">
        <v>1</v>
      </c>
      <c r="L5090" s="22" t="s">
        <v>104</v>
      </c>
      <c r="M5090" s="22" t="s">
        <v>361</v>
      </c>
    </row>
    <row r="5091" spans="1:13" x14ac:dyDescent="0.75">
      <c r="A5091" t="s">
        <v>359</v>
      </c>
      <c r="B5091" t="s">
        <v>360</v>
      </c>
      <c r="C5091" t="s">
        <v>7224</v>
      </c>
      <c r="D5091" t="s">
        <v>7225</v>
      </c>
      <c r="E5091" t="s">
        <v>7226</v>
      </c>
      <c r="F5091">
        <v>208</v>
      </c>
      <c r="G5091">
        <v>2287284</v>
      </c>
      <c r="H5091" t="s">
        <v>7227</v>
      </c>
      <c r="J5091" s="54" t="s">
        <v>7226</v>
      </c>
      <c r="K5091" s="54">
        <v>1</v>
      </c>
      <c r="L5091" s="22" t="s">
        <v>104</v>
      </c>
      <c r="M5091" s="22" t="s">
        <v>361</v>
      </c>
    </row>
    <row r="5092" spans="1:13" x14ac:dyDescent="0.75">
      <c r="A5092" t="s">
        <v>1187</v>
      </c>
      <c r="B5092" t="s">
        <v>360</v>
      </c>
      <c r="C5092" t="s">
        <v>7224</v>
      </c>
      <c r="D5092" t="s">
        <v>7225</v>
      </c>
      <c r="E5092" t="s">
        <v>10126</v>
      </c>
      <c r="F5092">
        <v>3</v>
      </c>
      <c r="G5092">
        <v>2281162</v>
      </c>
      <c r="H5092" t="s">
        <v>10127</v>
      </c>
      <c r="J5092" s="54" t="s">
        <v>10126</v>
      </c>
      <c r="K5092" s="54">
        <v>1</v>
      </c>
      <c r="L5092" s="22" t="s">
        <v>104</v>
      </c>
      <c r="M5092" s="22" t="s">
        <v>361</v>
      </c>
    </row>
    <row r="5093" spans="1:13" x14ac:dyDescent="0.75">
      <c r="A5093" t="s">
        <v>5810</v>
      </c>
      <c r="B5093" t="s">
        <v>1428</v>
      </c>
      <c r="C5093" t="s">
        <v>7224</v>
      </c>
      <c r="D5093" t="s">
        <v>11466</v>
      </c>
      <c r="E5093" t="s">
        <v>29797</v>
      </c>
      <c r="F5093">
        <v>121</v>
      </c>
      <c r="G5093">
        <v>2345923</v>
      </c>
      <c r="H5093" t="s">
        <v>29798</v>
      </c>
      <c r="J5093" s="54" t="s">
        <v>30844</v>
      </c>
      <c r="K5093" s="54">
        <v>3</v>
      </c>
      <c r="L5093" s="22" t="s">
        <v>104</v>
      </c>
      <c r="M5093" s="22" t="s">
        <v>36811</v>
      </c>
    </row>
    <row r="5094" spans="1:13" x14ac:dyDescent="0.75">
      <c r="A5094" t="s">
        <v>1427</v>
      </c>
      <c r="B5094" t="s">
        <v>1428</v>
      </c>
      <c r="C5094" t="s">
        <v>7224</v>
      </c>
      <c r="D5094" t="s">
        <v>11466</v>
      </c>
      <c r="E5094" t="s">
        <v>11467</v>
      </c>
      <c r="F5094">
        <v>1</v>
      </c>
      <c r="G5094">
        <v>2444904</v>
      </c>
      <c r="H5094" t="s">
        <v>11468</v>
      </c>
      <c r="J5094" s="54" t="s">
        <v>11467</v>
      </c>
      <c r="K5094" s="54">
        <v>2</v>
      </c>
      <c r="L5094" s="22" t="s">
        <v>104</v>
      </c>
      <c r="M5094" s="22" t="s">
        <v>36811</v>
      </c>
    </row>
    <row r="5095" spans="1:13" x14ac:dyDescent="0.75">
      <c r="A5095" t="s">
        <v>5527</v>
      </c>
      <c r="B5095" t="s">
        <v>1428</v>
      </c>
      <c r="C5095" t="s">
        <v>7224</v>
      </c>
      <c r="D5095" t="s">
        <v>11466</v>
      </c>
      <c r="E5095" t="s">
        <v>29087</v>
      </c>
      <c r="F5095">
        <v>292</v>
      </c>
      <c r="G5095">
        <v>1514253</v>
      </c>
      <c r="H5095" t="s">
        <v>29088</v>
      </c>
      <c r="J5095" s="54" t="s">
        <v>30844</v>
      </c>
      <c r="K5095" s="54">
        <v>2</v>
      </c>
      <c r="L5095" s="22" t="s">
        <v>104</v>
      </c>
      <c r="M5095" s="22" t="s">
        <v>36811</v>
      </c>
    </row>
    <row r="5096" spans="1:13" x14ac:dyDescent="0.75">
      <c r="A5096" t="s">
        <v>1084</v>
      </c>
      <c r="B5096" t="s">
        <v>1085</v>
      </c>
      <c r="C5096" t="s">
        <v>7224</v>
      </c>
      <c r="D5096" t="s">
        <v>9848</v>
      </c>
      <c r="E5096" t="s">
        <v>9849</v>
      </c>
      <c r="F5096">
        <v>95</v>
      </c>
      <c r="G5096">
        <v>2308492</v>
      </c>
      <c r="H5096" t="s">
        <v>9850</v>
      </c>
      <c r="J5096" s="54" t="s">
        <v>9849</v>
      </c>
      <c r="K5096" s="54">
        <v>2</v>
      </c>
      <c r="L5096" s="22" t="s">
        <v>104</v>
      </c>
      <c r="M5096" s="22" t="s">
        <v>36812</v>
      </c>
    </row>
    <row r="5097" spans="1:13" x14ac:dyDescent="0.75">
      <c r="A5097" t="s">
        <v>5606</v>
      </c>
      <c r="B5097" t="s">
        <v>1085</v>
      </c>
      <c r="C5097" t="s">
        <v>7224</v>
      </c>
      <c r="D5097" t="s">
        <v>9848</v>
      </c>
      <c r="E5097" t="s">
        <v>29297</v>
      </c>
      <c r="F5097">
        <v>2</v>
      </c>
      <c r="G5097">
        <v>2502365</v>
      </c>
      <c r="H5097" t="s">
        <v>29298</v>
      </c>
      <c r="J5097" s="54" t="s">
        <v>30844</v>
      </c>
      <c r="K5097" s="54">
        <v>1</v>
      </c>
      <c r="L5097" s="22" t="s">
        <v>104</v>
      </c>
      <c r="M5097" s="22" t="s">
        <v>36812</v>
      </c>
    </row>
    <row r="5098" spans="1:13" x14ac:dyDescent="0.75">
      <c r="A5098" t="s">
        <v>7410</v>
      </c>
      <c r="B5098" t="s">
        <v>7411</v>
      </c>
      <c r="C5098" t="s">
        <v>7412</v>
      </c>
      <c r="D5098" t="s">
        <v>7413</v>
      </c>
      <c r="E5098" t="s">
        <v>7414</v>
      </c>
      <c r="F5098">
        <v>75</v>
      </c>
      <c r="G5098">
        <v>2362882</v>
      </c>
      <c r="H5098" t="s">
        <v>7415</v>
      </c>
      <c r="J5098" s="54" t="s">
        <v>6052</v>
      </c>
      <c r="K5098" s="54">
        <v>0</v>
      </c>
      <c r="L5098" s="22" t="s">
        <v>104</v>
      </c>
      <c r="M5098" s="22" t="s">
        <v>37236</v>
      </c>
    </row>
    <row r="5099" spans="1:13" x14ac:dyDescent="0.75">
      <c r="A5099" t="s">
        <v>20361</v>
      </c>
      <c r="B5099" t="s">
        <v>7411</v>
      </c>
      <c r="C5099" t="s">
        <v>7412</v>
      </c>
      <c r="D5099" t="s">
        <v>7413</v>
      </c>
      <c r="E5099" t="s">
        <v>20362</v>
      </c>
      <c r="F5099">
        <v>170</v>
      </c>
      <c r="G5099">
        <v>2119067</v>
      </c>
      <c r="H5099" t="s">
        <v>20363</v>
      </c>
      <c r="J5099" s="54" t="s">
        <v>6052</v>
      </c>
      <c r="K5099" s="54">
        <v>0</v>
      </c>
      <c r="L5099" s="22" t="s">
        <v>104</v>
      </c>
      <c r="M5099" s="22" t="s">
        <v>37236</v>
      </c>
    </row>
    <row r="5100" spans="1:13" x14ac:dyDescent="0.75">
      <c r="A5100" t="s">
        <v>30050</v>
      </c>
      <c r="B5100" t="s">
        <v>7411</v>
      </c>
      <c r="C5100" t="s">
        <v>7412</v>
      </c>
      <c r="D5100" t="s">
        <v>7413</v>
      </c>
      <c r="E5100" t="s">
        <v>30051</v>
      </c>
      <c r="F5100">
        <v>45</v>
      </c>
      <c r="G5100">
        <v>2242345</v>
      </c>
      <c r="H5100" t="s">
        <v>30052</v>
      </c>
      <c r="J5100" s="54" t="s">
        <v>6052</v>
      </c>
      <c r="K5100" s="54">
        <v>0</v>
      </c>
      <c r="L5100" s="22" t="s">
        <v>104</v>
      </c>
      <c r="M5100" s="22" t="s">
        <v>37236</v>
      </c>
    </row>
    <row r="5101" spans="1:13" x14ac:dyDescent="0.75">
      <c r="A5101" t="s">
        <v>22963</v>
      </c>
      <c r="B5101" t="s">
        <v>7256</v>
      </c>
      <c r="C5101" t="s">
        <v>7257</v>
      </c>
      <c r="D5101" t="s">
        <v>7258</v>
      </c>
      <c r="E5101" t="s">
        <v>22964</v>
      </c>
      <c r="F5101">
        <v>1</v>
      </c>
      <c r="G5101">
        <v>2686623</v>
      </c>
      <c r="H5101" t="s">
        <v>22965</v>
      </c>
      <c r="J5101" s="54" t="s">
        <v>6052</v>
      </c>
      <c r="K5101" s="54">
        <v>0</v>
      </c>
      <c r="L5101" s="22" t="s">
        <v>104</v>
      </c>
      <c r="M5101" s="22" t="s">
        <v>37237</v>
      </c>
    </row>
    <row r="5102" spans="1:13" x14ac:dyDescent="0.75">
      <c r="A5102" t="s">
        <v>28764</v>
      </c>
      <c r="B5102" t="s">
        <v>7256</v>
      </c>
      <c r="C5102" t="s">
        <v>7257</v>
      </c>
      <c r="D5102" t="s">
        <v>7258</v>
      </c>
      <c r="E5102" t="s">
        <v>28765</v>
      </c>
      <c r="F5102">
        <v>44</v>
      </c>
      <c r="G5102">
        <v>2400787</v>
      </c>
      <c r="H5102" t="s">
        <v>28766</v>
      </c>
      <c r="J5102" s="54" t="s">
        <v>6052</v>
      </c>
      <c r="K5102" s="54">
        <v>0</v>
      </c>
      <c r="L5102" s="22" t="s">
        <v>104</v>
      </c>
      <c r="M5102" s="22" t="s">
        <v>37237</v>
      </c>
    </row>
    <row r="5103" spans="1:13" x14ac:dyDescent="0.75">
      <c r="A5103" t="s">
        <v>30508</v>
      </c>
      <c r="B5103" t="s">
        <v>7256</v>
      </c>
      <c r="C5103" t="s">
        <v>7257</v>
      </c>
      <c r="D5103" t="s">
        <v>7258</v>
      </c>
      <c r="E5103" t="s">
        <v>30509</v>
      </c>
      <c r="F5103">
        <v>53</v>
      </c>
      <c r="G5103">
        <v>2484058</v>
      </c>
      <c r="H5103" t="s">
        <v>30510</v>
      </c>
      <c r="J5103" s="54" t="s">
        <v>6052</v>
      </c>
      <c r="K5103" s="54">
        <v>0</v>
      </c>
      <c r="L5103" s="22" t="s">
        <v>104</v>
      </c>
      <c r="M5103" s="22" t="s">
        <v>37237</v>
      </c>
    </row>
    <row r="5104" spans="1:13" x14ac:dyDescent="0.75">
      <c r="A5104" t="s">
        <v>28475</v>
      </c>
      <c r="B5104" t="s">
        <v>7256</v>
      </c>
      <c r="C5104" t="s">
        <v>7257</v>
      </c>
      <c r="D5104" t="s">
        <v>7258</v>
      </c>
      <c r="E5104" t="s">
        <v>28476</v>
      </c>
      <c r="F5104">
        <v>38</v>
      </c>
      <c r="G5104">
        <v>2462654</v>
      </c>
      <c r="H5104" t="s">
        <v>28477</v>
      </c>
      <c r="J5104" s="54" t="s">
        <v>6052</v>
      </c>
      <c r="K5104" s="54">
        <v>0</v>
      </c>
      <c r="L5104" s="22" t="s">
        <v>104</v>
      </c>
      <c r="M5104" s="22" t="s">
        <v>37237</v>
      </c>
    </row>
    <row r="5105" spans="1:13" x14ac:dyDescent="0.75">
      <c r="A5105" t="s">
        <v>7250</v>
      </c>
      <c r="B5105" t="s">
        <v>7251</v>
      </c>
      <c r="C5105" t="s">
        <v>6594</v>
      </c>
      <c r="D5105" t="s">
        <v>7252</v>
      </c>
      <c r="E5105" t="s">
        <v>7253</v>
      </c>
      <c r="F5105">
        <v>121</v>
      </c>
      <c r="G5105">
        <v>2424432</v>
      </c>
      <c r="H5105" t="s">
        <v>7254</v>
      </c>
      <c r="J5105" s="54" t="s">
        <v>6052</v>
      </c>
      <c r="K5105" s="54">
        <v>0</v>
      </c>
      <c r="L5105" s="22" t="s">
        <v>1563</v>
      </c>
      <c r="M5105" s="22" t="s">
        <v>37224</v>
      </c>
    </row>
    <row r="5106" spans="1:13" x14ac:dyDescent="0.75">
      <c r="A5106" t="s">
        <v>23283</v>
      </c>
      <c r="B5106" t="s">
        <v>7256</v>
      </c>
      <c r="C5106" t="s">
        <v>7257</v>
      </c>
      <c r="D5106" t="s">
        <v>7258</v>
      </c>
      <c r="E5106" t="s">
        <v>23284</v>
      </c>
      <c r="F5106">
        <v>69</v>
      </c>
      <c r="G5106">
        <v>2438666</v>
      </c>
      <c r="H5106" t="s">
        <v>23285</v>
      </c>
      <c r="J5106" s="54" t="s">
        <v>6052</v>
      </c>
      <c r="K5106" s="54">
        <v>0</v>
      </c>
      <c r="L5106" s="22" t="s">
        <v>104</v>
      </c>
      <c r="M5106" s="22" t="s">
        <v>37237</v>
      </c>
    </row>
    <row r="5107" spans="1:13" x14ac:dyDescent="0.75">
      <c r="A5107" t="s">
        <v>30673</v>
      </c>
      <c r="B5107" t="s">
        <v>7256</v>
      </c>
      <c r="C5107" t="s">
        <v>7257</v>
      </c>
      <c r="D5107" t="s">
        <v>7258</v>
      </c>
      <c r="E5107" t="s">
        <v>30674</v>
      </c>
      <c r="F5107">
        <v>113</v>
      </c>
      <c r="G5107">
        <v>2376926</v>
      </c>
      <c r="H5107" t="s">
        <v>30675</v>
      </c>
      <c r="J5107" s="54" t="s">
        <v>6052</v>
      </c>
      <c r="K5107" s="54">
        <v>0</v>
      </c>
      <c r="L5107" s="22" t="s">
        <v>104</v>
      </c>
      <c r="M5107" s="22" t="s">
        <v>37237</v>
      </c>
    </row>
    <row r="5108" spans="1:13" x14ac:dyDescent="0.75">
      <c r="A5108" t="s">
        <v>30499</v>
      </c>
      <c r="B5108" t="s">
        <v>7256</v>
      </c>
      <c r="C5108" t="s">
        <v>7257</v>
      </c>
      <c r="D5108" t="s">
        <v>7258</v>
      </c>
      <c r="E5108" t="s">
        <v>30500</v>
      </c>
      <c r="F5108">
        <v>83</v>
      </c>
      <c r="G5108">
        <v>2457884</v>
      </c>
      <c r="H5108" t="s">
        <v>30501</v>
      </c>
      <c r="J5108" s="54" t="s">
        <v>6052</v>
      </c>
      <c r="K5108" s="54">
        <v>0</v>
      </c>
      <c r="L5108" s="22" t="s">
        <v>104</v>
      </c>
      <c r="M5108" s="22" t="s">
        <v>37237</v>
      </c>
    </row>
    <row r="5109" spans="1:13" x14ac:dyDescent="0.75">
      <c r="A5109" t="s">
        <v>29663</v>
      </c>
      <c r="B5109" t="s">
        <v>7256</v>
      </c>
      <c r="C5109" t="s">
        <v>7257</v>
      </c>
      <c r="D5109" t="s">
        <v>7258</v>
      </c>
      <c r="E5109" t="s">
        <v>29664</v>
      </c>
      <c r="F5109">
        <v>74</v>
      </c>
      <c r="G5109">
        <v>2545610</v>
      </c>
      <c r="H5109" t="s">
        <v>29665</v>
      </c>
      <c r="J5109" s="54" t="s">
        <v>6052</v>
      </c>
      <c r="K5109" s="54">
        <v>0</v>
      </c>
      <c r="L5109" s="22" t="s">
        <v>104</v>
      </c>
      <c r="M5109" s="22" t="s">
        <v>37237</v>
      </c>
    </row>
    <row r="5110" spans="1:13" x14ac:dyDescent="0.75">
      <c r="A5110" t="s">
        <v>7255</v>
      </c>
      <c r="B5110" t="s">
        <v>7256</v>
      </c>
      <c r="C5110" t="s">
        <v>7257</v>
      </c>
      <c r="D5110" t="s">
        <v>7258</v>
      </c>
      <c r="E5110" t="s">
        <v>7259</v>
      </c>
      <c r="F5110">
        <v>140</v>
      </c>
      <c r="G5110">
        <v>2562014</v>
      </c>
      <c r="H5110" t="s">
        <v>7260</v>
      </c>
      <c r="J5110" s="54" t="s">
        <v>6052</v>
      </c>
      <c r="K5110" s="54">
        <v>0</v>
      </c>
      <c r="L5110" s="22" t="s">
        <v>104</v>
      </c>
      <c r="M5110" s="22" t="s">
        <v>37237</v>
      </c>
    </row>
    <row r="5111" spans="1:13" x14ac:dyDescent="0.75">
      <c r="A5111" t="s">
        <v>10558</v>
      </c>
      <c r="B5111" t="s">
        <v>10559</v>
      </c>
      <c r="C5111" t="s">
        <v>10560</v>
      </c>
      <c r="D5111" t="s">
        <v>10561</v>
      </c>
      <c r="E5111" t="s">
        <v>10562</v>
      </c>
      <c r="F5111">
        <v>27</v>
      </c>
      <c r="G5111">
        <v>4765599</v>
      </c>
      <c r="H5111" t="s">
        <v>10563</v>
      </c>
      <c r="J5111" s="54" t="s">
        <v>6052</v>
      </c>
      <c r="K5111" s="54">
        <v>0</v>
      </c>
      <c r="L5111" s="22" t="s">
        <v>104</v>
      </c>
      <c r="M5111" s="22" t="s">
        <v>37238</v>
      </c>
    </row>
    <row r="5112" spans="1:13" x14ac:dyDescent="0.75">
      <c r="A5112" t="s">
        <v>21054</v>
      </c>
      <c r="B5112" t="s">
        <v>10559</v>
      </c>
      <c r="C5112" t="s">
        <v>10560</v>
      </c>
      <c r="D5112" t="s">
        <v>10561</v>
      </c>
      <c r="E5112" t="s">
        <v>21055</v>
      </c>
      <c r="F5112">
        <v>2</v>
      </c>
      <c r="G5112">
        <v>4939245</v>
      </c>
      <c r="H5112" t="s">
        <v>21056</v>
      </c>
      <c r="J5112" s="54" t="s">
        <v>6052</v>
      </c>
      <c r="K5112" s="54">
        <v>0</v>
      </c>
      <c r="L5112" s="22" t="s">
        <v>104</v>
      </c>
      <c r="M5112" s="22" t="s">
        <v>37238</v>
      </c>
    </row>
    <row r="5113" spans="1:13" x14ac:dyDescent="0.75">
      <c r="A5113" t="s">
        <v>21739</v>
      </c>
      <c r="B5113" t="s">
        <v>10559</v>
      </c>
      <c r="C5113" t="s">
        <v>10560</v>
      </c>
      <c r="D5113" t="s">
        <v>10561</v>
      </c>
      <c r="E5113" t="s">
        <v>21740</v>
      </c>
      <c r="F5113">
        <v>5</v>
      </c>
      <c r="G5113">
        <v>5008012</v>
      </c>
      <c r="H5113" t="s">
        <v>21741</v>
      </c>
      <c r="J5113" s="54" t="s">
        <v>6052</v>
      </c>
      <c r="K5113" s="54">
        <v>0</v>
      </c>
      <c r="L5113" s="22" t="s">
        <v>104</v>
      </c>
      <c r="M5113" s="22" t="s">
        <v>37238</v>
      </c>
    </row>
    <row r="5114" spans="1:13" x14ac:dyDescent="0.75">
      <c r="A5114" t="s">
        <v>20103</v>
      </c>
      <c r="B5114" t="s">
        <v>10559</v>
      </c>
      <c r="C5114" t="s">
        <v>10560</v>
      </c>
      <c r="D5114" t="s">
        <v>10561</v>
      </c>
      <c r="E5114" t="s">
        <v>20104</v>
      </c>
      <c r="F5114">
        <v>3</v>
      </c>
      <c r="G5114">
        <v>4831420</v>
      </c>
      <c r="H5114" t="s">
        <v>20105</v>
      </c>
      <c r="J5114" s="54" t="s">
        <v>6052</v>
      </c>
      <c r="K5114" s="54">
        <v>0</v>
      </c>
      <c r="L5114" s="22" t="s">
        <v>104</v>
      </c>
      <c r="M5114" s="22" t="s">
        <v>37238</v>
      </c>
    </row>
    <row r="5115" spans="1:13" x14ac:dyDescent="0.75">
      <c r="A5115" t="s">
        <v>18722</v>
      </c>
      <c r="B5115" t="s">
        <v>10559</v>
      </c>
      <c r="C5115" t="s">
        <v>10560</v>
      </c>
      <c r="D5115" t="s">
        <v>10561</v>
      </c>
      <c r="E5115" t="s">
        <v>18723</v>
      </c>
      <c r="F5115">
        <v>11</v>
      </c>
      <c r="G5115">
        <v>5320276</v>
      </c>
      <c r="H5115" t="s">
        <v>18724</v>
      </c>
      <c r="J5115" s="54" t="s">
        <v>6052</v>
      </c>
      <c r="K5115" s="54">
        <v>0</v>
      </c>
      <c r="L5115" s="22" t="s">
        <v>104</v>
      </c>
      <c r="M5115" s="22" t="s">
        <v>37238</v>
      </c>
    </row>
    <row r="5116" spans="1:13" x14ac:dyDescent="0.75">
      <c r="A5116" t="s">
        <v>11822</v>
      </c>
      <c r="B5116" t="s">
        <v>10559</v>
      </c>
      <c r="C5116" t="s">
        <v>10560</v>
      </c>
      <c r="D5116" t="s">
        <v>10561</v>
      </c>
      <c r="E5116" t="s">
        <v>11823</v>
      </c>
      <c r="F5116">
        <v>52</v>
      </c>
      <c r="G5116">
        <v>4733058</v>
      </c>
      <c r="H5116" t="s">
        <v>11824</v>
      </c>
      <c r="J5116" s="54" t="s">
        <v>6052</v>
      </c>
      <c r="K5116" s="54">
        <v>0</v>
      </c>
      <c r="L5116" s="22" t="s">
        <v>104</v>
      </c>
      <c r="M5116" s="22" t="s">
        <v>37238</v>
      </c>
    </row>
    <row r="5117" spans="1:13" x14ac:dyDescent="0.75">
      <c r="A5117" t="s">
        <v>27576</v>
      </c>
      <c r="B5117" t="s">
        <v>10559</v>
      </c>
      <c r="C5117" t="s">
        <v>10560</v>
      </c>
      <c r="D5117" t="s">
        <v>10561</v>
      </c>
      <c r="E5117" t="s">
        <v>27577</v>
      </c>
      <c r="F5117">
        <v>5</v>
      </c>
      <c r="G5117">
        <v>4810167</v>
      </c>
      <c r="H5117" t="s">
        <v>27578</v>
      </c>
      <c r="J5117" s="54" t="s">
        <v>6052</v>
      </c>
      <c r="K5117" s="54">
        <v>0</v>
      </c>
      <c r="L5117" s="22" t="s">
        <v>104</v>
      </c>
      <c r="M5117" s="22" t="s">
        <v>37238</v>
      </c>
    </row>
    <row r="5118" spans="1:13" x14ac:dyDescent="0.75">
      <c r="A5118" t="s">
        <v>10630</v>
      </c>
      <c r="B5118" t="s">
        <v>8552</v>
      </c>
      <c r="C5118" t="s">
        <v>6227</v>
      </c>
      <c r="D5118" t="s">
        <v>8553</v>
      </c>
      <c r="E5118" t="s">
        <v>10631</v>
      </c>
      <c r="F5118">
        <v>38</v>
      </c>
      <c r="G5118">
        <v>2644345</v>
      </c>
      <c r="H5118" t="s">
        <v>10632</v>
      </c>
      <c r="J5118" s="54" t="s">
        <v>6052</v>
      </c>
      <c r="K5118" s="54">
        <v>0</v>
      </c>
      <c r="L5118" s="22" t="s">
        <v>104</v>
      </c>
      <c r="M5118" s="22" t="s">
        <v>37244</v>
      </c>
    </row>
    <row r="5119" spans="1:13" x14ac:dyDescent="0.75">
      <c r="A5119" t="s">
        <v>10639</v>
      </c>
      <c r="B5119" t="s">
        <v>8552</v>
      </c>
      <c r="C5119" t="s">
        <v>6227</v>
      </c>
      <c r="D5119" t="s">
        <v>8553</v>
      </c>
      <c r="E5119" t="s">
        <v>10640</v>
      </c>
      <c r="F5119">
        <v>31</v>
      </c>
      <c r="G5119">
        <v>2639435</v>
      </c>
      <c r="H5119" t="s">
        <v>10641</v>
      </c>
      <c r="J5119" s="54" t="s">
        <v>6052</v>
      </c>
      <c r="K5119" s="54">
        <v>0</v>
      </c>
      <c r="L5119" s="22" t="s">
        <v>104</v>
      </c>
      <c r="M5119" s="22" t="s">
        <v>37244</v>
      </c>
    </row>
    <row r="5120" spans="1:13" x14ac:dyDescent="0.75">
      <c r="A5120" t="s">
        <v>29683</v>
      </c>
      <c r="B5120" t="s">
        <v>8552</v>
      </c>
      <c r="C5120" t="s">
        <v>6227</v>
      </c>
      <c r="D5120" t="s">
        <v>8553</v>
      </c>
      <c r="E5120" t="s">
        <v>29684</v>
      </c>
      <c r="F5120">
        <v>34</v>
      </c>
      <c r="G5120">
        <v>2581706</v>
      </c>
      <c r="H5120" t="s">
        <v>29685</v>
      </c>
      <c r="J5120" s="54" t="s">
        <v>6052</v>
      </c>
      <c r="K5120" s="54">
        <v>0</v>
      </c>
      <c r="L5120" s="22" t="s">
        <v>104</v>
      </c>
      <c r="M5120" s="22" t="s">
        <v>37244</v>
      </c>
    </row>
    <row r="5121" spans="1:13" x14ac:dyDescent="0.75">
      <c r="A5121" t="s">
        <v>9995</v>
      </c>
      <c r="B5121" t="s">
        <v>8552</v>
      </c>
      <c r="C5121" t="s">
        <v>6227</v>
      </c>
      <c r="D5121" t="s">
        <v>8553</v>
      </c>
      <c r="E5121" t="s">
        <v>9996</v>
      </c>
      <c r="F5121">
        <v>83</v>
      </c>
      <c r="G5121">
        <v>2603188</v>
      </c>
      <c r="H5121" t="s">
        <v>9997</v>
      </c>
      <c r="J5121" s="54" t="s">
        <v>6052</v>
      </c>
      <c r="K5121" s="54">
        <v>0</v>
      </c>
      <c r="L5121" s="22" t="s">
        <v>104</v>
      </c>
      <c r="M5121" s="22" t="s">
        <v>37244</v>
      </c>
    </row>
    <row r="5122" spans="1:13" x14ac:dyDescent="0.75">
      <c r="A5122" t="s">
        <v>8551</v>
      </c>
      <c r="B5122" t="s">
        <v>8552</v>
      </c>
      <c r="C5122" t="s">
        <v>6227</v>
      </c>
      <c r="D5122" t="s">
        <v>8553</v>
      </c>
      <c r="E5122" t="s">
        <v>8554</v>
      </c>
      <c r="F5122">
        <v>50</v>
      </c>
      <c r="G5122">
        <v>2584293</v>
      </c>
      <c r="H5122" t="s">
        <v>8555</v>
      </c>
      <c r="J5122" s="54" t="s">
        <v>6052</v>
      </c>
      <c r="K5122" s="54">
        <v>0</v>
      </c>
      <c r="L5122" s="22" t="s">
        <v>104</v>
      </c>
      <c r="M5122" s="22" t="s">
        <v>37244</v>
      </c>
    </row>
    <row r="5123" spans="1:13" x14ac:dyDescent="0.75">
      <c r="A5123" t="s">
        <v>20197</v>
      </c>
      <c r="B5123" t="s">
        <v>8552</v>
      </c>
      <c r="C5123" t="s">
        <v>6227</v>
      </c>
      <c r="D5123" t="s">
        <v>8553</v>
      </c>
      <c r="E5123" t="s">
        <v>20198</v>
      </c>
      <c r="F5123">
        <v>1</v>
      </c>
      <c r="G5123">
        <v>2583917</v>
      </c>
      <c r="H5123" t="s">
        <v>20199</v>
      </c>
      <c r="J5123" s="54" t="s">
        <v>6052</v>
      </c>
      <c r="K5123" s="54">
        <v>0</v>
      </c>
      <c r="L5123" s="22" t="s">
        <v>104</v>
      </c>
      <c r="M5123" s="22" t="s">
        <v>37244</v>
      </c>
    </row>
    <row r="5124" spans="1:13" x14ac:dyDescent="0.75">
      <c r="A5124" t="s">
        <v>16435</v>
      </c>
      <c r="B5124" t="s">
        <v>8552</v>
      </c>
      <c r="C5124" t="s">
        <v>6227</v>
      </c>
      <c r="D5124" t="s">
        <v>8553</v>
      </c>
      <c r="E5124" t="s">
        <v>16436</v>
      </c>
      <c r="F5124">
        <v>17</v>
      </c>
      <c r="G5124">
        <v>2641641</v>
      </c>
      <c r="H5124" t="s">
        <v>16437</v>
      </c>
      <c r="J5124" s="54" t="s">
        <v>6052</v>
      </c>
      <c r="K5124" s="54">
        <v>0</v>
      </c>
      <c r="L5124" s="22" t="s">
        <v>104</v>
      </c>
      <c r="M5124" s="22" t="s">
        <v>37244</v>
      </c>
    </row>
    <row r="5125" spans="1:13" x14ac:dyDescent="0.75">
      <c r="A5125" t="s">
        <v>28566</v>
      </c>
      <c r="B5125" t="s">
        <v>7251</v>
      </c>
      <c r="C5125" t="s">
        <v>6594</v>
      </c>
      <c r="D5125" t="s">
        <v>7252</v>
      </c>
      <c r="E5125" t="s">
        <v>28567</v>
      </c>
      <c r="F5125">
        <v>73</v>
      </c>
      <c r="G5125">
        <v>2286602</v>
      </c>
      <c r="H5125" t="s">
        <v>28568</v>
      </c>
      <c r="J5125" s="54" t="s">
        <v>6052</v>
      </c>
      <c r="K5125" s="54">
        <v>0</v>
      </c>
      <c r="L5125" s="22" t="s">
        <v>1563</v>
      </c>
      <c r="M5125" s="22" t="s">
        <v>37224</v>
      </c>
    </row>
    <row r="5126" spans="1:13" x14ac:dyDescent="0.75">
      <c r="A5126" t="s">
        <v>16417</v>
      </c>
      <c r="B5126" t="s">
        <v>8552</v>
      </c>
      <c r="C5126" t="s">
        <v>6227</v>
      </c>
      <c r="D5126" t="s">
        <v>8553</v>
      </c>
      <c r="E5126" t="s">
        <v>16418</v>
      </c>
      <c r="F5126">
        <v>35</v>
      </c>
      <c r="G5126">
        <v>2639394</v>
      </c>
      <c r="H5126" t="s">
        <v>16419</v>
      </c>
      <c r="J5126" s="54" t="s">
        <v>6052</v>
      </c>
      <c r="K5126" s="54">
        <v>0</v>
      </c>
      <c r="L5126" s="22" t="s">
        <v>104</v>
      </c>
      <c r="M5126" s="22" t="s">
        <v>37244</v>
      </c>
    </row>
    <row r="5127" spans="1:13" x14ac:dyDescent="0.75">
      <c r="A5127" t="s">
        <v>13922</v>
      </c>
      <c r="B5127" t="s">
        <v>8552</v>
      </c>
      <c r="C5127" t="s">
        <v>6227</v>
      </c>
      <c r="D5127" t="s">
        <v>8553</v>
      </c>
      <c r="E5127" t="s">
        <v>13923</v>
      </c>
      <c r="F5127">
        <v>1</v>
      </c>
      <c r="G5127">
        <v>2588680</v>
      </c>
      <c r="H5127" t="s">
        <v>13924</v>
      </c>
      <c r="J5127" s="54" t="s">
        <v>6052</v>
      </c>
      <c r="K5127" s="54">
        <v>0</v>
      </c>
      <c r="L5127" s="22" t="s">
        <v>104</v>
      </c>
      <c r="M5127" s="22" t="s">
        <v>37244</v>
      </c>
    </row>
    <row r="5128" spans="1:13" x14ac:dyDescent="0.75">
      <c r="A5128" t="s">
        <v>21217</v>
      </c>
      <c r="B5128" t="s">
        <v>8552</v>
      </c>
      <c r="C5128" t="s">
        <v>6227</v>
      </c>
      <c r="D5128" t="s">
        <v>8553</v>
      </c>
      <c r="E5128" t="s">
        <v>21218</v>
      </c>
      <c r="F5128">
        <v>1</v>
      </c>
      <c r="G5128">
        <v>2634007</v>
      </c>
      <c r="H5128" t="s">
        <v>21219</v>
      </c>
      <c r="J5128" s="54" t="s">
        <v>6052</v>
      </c>
      <c r="K5128" s="54">
        <v>0</v>
      </c>
      <c r="L5128" s="22" t="s">
        <v>104</v>
      </c>
      <c r="M5128" s="22" t="s">
        <v>37244</v>
      </c>
    </row>
    <row r="5129" spans="1:13" x14ac:dyDescent="0.75">
      <c r="A5129" t="s">
        <v>28010</v>
      </c>
      <c r="B5129" t="s">
        <v>8552</v>
      </c>
      <c r="C5129" t="s">
        <v>6227</v>
      </c>
      <c r="D5129" t="s">
        <v>8553</v>
      </c>
      <c r="E5129" t="s">
        <v>28011</v>
      </c>
      <c r="F5129">
        <v>1</v>
      </c>
      <c r="G5129">
        <v>2707814</v>
      </c>
      <c r="H5129" t="s">
        <v>28012</v>
      </c>
      <c r="J5129" s="54" t="s">
        <v>6052</v>
      </c>
      <c r="K5129" s="54">
        <v>0</v>
      </c>
      <c r="L5129" s="22" t="s">
        <v>104</v>
      </c>
      <c r="M5129" s="22" t="s">
        <v>37244</v>
      </c>
    </row>
    <row r="5130" spans="1:13" x14ac:dyDescent="0.75">
      <c r="A5130" t="s">
        <v>25141</v>
      </c>
      <c r="B5130" t="s">
        <v>8552</v>
      </c>
      <c r="C5130" t="s">
        <v>6227</v>
      </c>
      <c r="D5130" t="s">
        <v>8553</v>
      </c>
      <c r="E5130" t="s">
        <v>25142</v>
      </c>
      <c r="F5130">
        <v>18</v>
      </c>
      <c r="G5130">
        <v>2572352</v>
      </c>
      <c r="H5130" t="s">
        <v>25143</v>
      </c>
      <c r="J5130" s="54" t="s">
        <v>6052</v>
      </c>
      <c r="K5130" s="54">
        <v>0</v>
      </c>
      <c r="L5130" s="22" t="s">
        <v>104</v>
      </c>
      <c r="M5130" s="22" t="s">
        <v>37244</v>
      </c>
    </row>
    <row r="5131" spans="1:13" x14ac:dyDescent="0.75">
      <c r="A5131" t="s">
        <v>25144</v>
      </c>
      <c r="B5131" t="s">
        <v>8552</v>
      </c>
      <c r="C5131" t="s">
        <v>6227</v>
      </c>
      <c r="D5131" t="s">
        <v>8553</v>
      </c>
      <c r="E5131" t="s">
        <v>25145</v>
      </c>
      <c r="F5131">
        <v>46</v>
      </c>
      <c r="G5131">
        <v>2640529</v>
      </c>
      <c r="H5131" t="s">
        <v>25146</v>
      </c>
      <c r="J5131" s="54" t="s">
        <v>6052</v>
      </c>
      <c r="K5131" s="54">
        <v>0</v>
      </c>
      <c r="L5131" s="22" t="s">
        <v>104</v>
      </c>
      <c r="M5131" s="22" t="s">
        <v>37244</v>
      </c>
    </row>
    <row r="5132" spans="1:13" x14ac:dyDescent="0.75">
      <c r="A5132" t="s">
        <v>25126</v>
      </c>
      <c r="B5132" t="s">
        <v>8552</v>
      </c>
      <c r="C5132" t="s">
        <v>6227</v>
      </c>
      <c r="D5132" t="s">
        <v>8553</v>
      </c>
      <c r="E5132" t="s">
        <v>25127</v>
      </c>
      <c r="F5132">
        <v>60</v>
      </c>
      <c r="G5132">
        <v>2660360</v>
      </c>
      <c r="H5132" t="s">
        <v>25128</v>
      </c>
      <c r="J5132" s="54" t="s">
        <v>6052</v>
      </c>
      <c r="K5132" s="54">
        <v>0</v>
      </c>
      <c r="L5132" s="22" t="s">
        <v>104</v>
      </c>
      <c r="M5132" s="22" t="s">
        <v>37244</v>
      </c>
    </row>
    <row r="5133" spans="1:13" x14ac:dyDescent="0.75">
      <c r="A5133" t="s">
        <v>25884</v>
      </c>
      <c r="B5133" t="s">
        <v>7251</v>
      </c>
      <c r="C5133" t="s">
        <v>6594</v>
      </c>
      <c r="D5133" t="s">
        <v>7252</v>
      </c>
      <c r="E5133" t="s">
        <v>25885</v>
      </c>
      <c r="F5133">
        <v>2</v>
      </c>
      <c r="G5133">
        <v>2427673</v>
      </c>
      <c r="H5133" t="s">
        <v>25886</v>
      </c>
      <c r="J5133" s="54" t="s">
        <v>6052</v>
      </c>
      <c r="K5133" s="54">
        <v>0</v>
      </c>
      <c r="L5133" s="22" t="s">
        <v>1563</v>
      </c>
      <c r="M5133" s="22" t="s">
        <v>37224</v>
      </c>
    </row>
    <row r="5134" spans="1:13" x14ac:dyDescent="0.75">
      <c r="A5134" t="s">
        <v>29469</v>
      </c>
      <c r="B5134" t="s">
        <v>7251</v>
      </c>
      <c r="C5134" t="s">
        <v>6594</v>
      </c>
      <c r="D5134" t="s">
        <v>7252</v>
      </c>
      <c r="E5134" t="s">
        <v>29470</v>
      </c>
      <c r="F5134">
        <v>64</v>
      </c>
      <c r="G5134">
        <v>1981710</v>
      </c>
      <c r="H5134" t="s">
        <v>29471</v>
      </c>
      <c r="J5134" s="54" t="s">
        <v>6052</v>
      </c>
      <c r="K5134" s="54">
        <v>0</v>
      </c>
      <c r="L5134" s="22" t="s">
        <v>1563</v>
      </c>
      <c r="M5134" s="22" t="s">
        <v>37224</v>
      </c>
    </row>
    <row r="5135" spans="1:13" x14ac:dyDescent="0.75">
      <c r="A5135" t="s">
        <v>25138</v>
      </c>
      <c r="B5135" t="s">
        <v>8552</v>
      </c>
      <c r="C5135" t="s">
        <v>6227</v>
      </c>
      <c r="D5135" t="s">
        <v>8553</v>
      </c>
      <c r="E5135" t="s">
        <v>25139</v>
      </c>
      <c r="F5135">
        <v>39</v>
      </c>
      <c r="G5135">
        <v>2558284</v>
      </c>
      <c r="H5135" t="s">
        <v>25140</v>
      </c>
      <c r="J5135" s="54" t="s">
        <v>6052</v>
      </c>
      <c r="K5135" s="54">
        <v>0</v>
      </c>
      <c r="L5135" s="22" t="s">
        <v>104</v>
      </c>
      <c r="M5135" s="22" t="s">
        <v>37244</v>
      </c>
    </row>
    <row r="5136" spans="1:13" x14ac:dyDescent="0.75">
      <c r="A5136" t="s">
        <v>26419</v>
      </c>
      <c r="B5136" t="s">
        <v>8552</v>
      </c>
      <c r="C5136" t="s">
        <v>6227</v>
      </c>
      <c r="D5136" t="s">
        <v>8553</v>
      </c>
      <c r="E5136" t="s">
        <v>26420</v>
      </c>
      <c r="F5136">
        <v>46</v>
      </c>
      <c r="G5136">
        <v>2429980</v>
      </c>
      <c r="H5136" t="s">
        <v>26421</v>
      </c>
      <c r="J5136" s="54" t="s">
        <v>6052</v>
      </c>
      <c r="K5136" s="54">
        <v>0</v>
      </c>
      <c r="L5136" s="22" t="s">
        <v>104</v>
      </c>
      <c r="M5136" s="22" t="s">
        <v>37244</v>
      </c>
    </row>
    <row r="5137" spans="1:13" x14ac:dyDescent="0.75">
      <c r="A5137" t="s">
        <v>30329</v>
      </c>
      <c r="B5137" t="s">
        <v>7251</v>
      </c>
      <c r="C5137" t="s">
        <v>6594</v>
      </c>
      <c r="D5137" t="s">
        <v>7252</v>
      </c>
      <c r="E5137" t="s">
        <v>30330</v>
      </c>
      <c r="F5137">
        <v>59</v>
      </c>
      <c r="G5137">
        <v>2187650</v>
      </c>
      <c r="H5137" t="s">
        <v>30331</v>
      </c>
      <c r="J5137" s="54" t="s">
        <v>6052</v>
      </c>
      <c r="K5137" s="54">
        <v>0</v>
      </c>
      <c r="L5137" s="22" t="s">
        <v>1563</v>
      </c>
      <c r="M5137" s="22" t="s">
        <v>37224</v>
      </c>
    </row>
    <row r="5138" spans="1:13" x14ac:dyDescent="0.75">
      <c r="A5138" t="s">
        <v>29407</v>
      </c>
      <c r="B5138" t="s">
        <v>8552</v>
      </c>
      <c r="C5138" t="s">
        <v>6227</v>
      </c>
      <c r="D5138" t="s">
        <v>8553</v>
      </c>
      <c r="E5138" t="s">
        <v>29408</v>
      </c>
      <c r="F5138">
        <v>125</v>
      </c>
      <c r="G5138">
        <v>2591757</v>
      </c>
      <c r="H5138" t="s">
        <v>29409</v>
      </c>
      <c r="J5138" s="54" t="s">
        <v>6052</v>
      </c>
      <c r="K5138" s="54">
        <v>0</v>
      </c>
      <c r="L5138" s="22" t="s">
        <v>104</v>
      </c>
      <c r="M5138" s="22" t="s">
        <v>37244</v>
      </c>
    </row>
    <row r="5139" spans="1:13" x14ac:dyDescent="0.75">
      <c r="A5139" t="s">
        <v>30208</v>
      </c>
      <c r="B5139" t="s">
        <v>7251</v>
      </c>
      <c r="C5139" t="s">
        <v>6594</v>
      </c>
      <c r="D5139" t="s">
        <v>7252</v>
      </c>
      <c r="E5139" t="s">
        <v>30209</v>
      </c>
      <c r="F5139">
        <v>176</v>
      </c>
      <c r="G5139">
        <v>2061982</v>
      </c>
      <c r="H5139" t="s">
        <v>30210</v>
      </c>
      <c r="J5139" s="54" t="s">
        <v>6052</v>
      </c>
      <c r="K5139" s="54">
        <v>0</v>
      </c>
      <c r="L5139" s="22" t="s">
        <v>1563</v>
      </c>
      <c r="M5139" s="22" t="s">
        <v>37224</v>
      </c>
    </row>
    <row r="5140" spans="1:13" x14ac:dyDescent="0.75">
      <c r="A5140" t="s">
        <v>30217</v>
      </c>
      <c r="B5140" t="s">
        <v>7262</v>
      </c>
      <c r="C5140" t="s">
        <v>6594</v>
      </c>
      <c r="D5140" t="s">
        <v>7263</v>
      </c>
      <c r="E5140" t="s">
        <v>30218</v>
      </c>
      <c r="F5140">
        <v>55</v>
      </c>
      <c r="G5140">
        <v>1916178</v>
      </c>
      <c r="H5140" t="s">
        <v>30219</v>
      </c>
      <c r="J5140" s="54" t="s">
        <v>6052</v>
      </c>
      <c r="K5140" s="54">
        <v>0</v>
      </c>
      <c r="L5140" s="22" t="s">
        <v>1308</v>
      </c>
      <c r="M5140" s="22" t="s">
        <v>37223</v>
      </c>
    </row>
    <row r="5141" spans="1:13" x14ac:dyDescent="0.75">
      <c r="A5141" t="s">
        <v>28997</v>
      </c>
      <c r="B5141" t="s">
        <v>8552</v>
      </c>
      <c r="C5141" t="s">
        <v>6227</v>
      </c>
      <c r="D5141" t="s">
        <v>8553</v>
      </c>
      <c r="E5141" t="s">
        <v>28998</v>
      </c>
      <c r="F5141">
        <v>35</v>
      </c>
      <c r="G5141">
        <v>2587545</v>
      </c>
      <c r="H5141" t="s">
        <v>28999</v>
      </c>
      <c r="J5141" s="54" t="s">
        <v>6052</v>
      </c>
      <c r="K5141" s="54">
        <v>0</v>
      </c>
      <c r="L5141" s="22" t="s">
        <v>104</v>
      </c>
      <c r="M5141" s="22" t="s">
        <v>37244</v>
      </c>
    </row>
    <row r="5142" spans="1:13" x14ac:dyDescent="0.75">
      <c r="A5142" t="s">
        <v>25893</v>
      </c>
      <c r="B5142" t="s">
        <v>8552</v>
      </c>
      <c r="C5142" t="s">
        <v>6227</v>
      </c>
      <c r="D5142" t="s">
        <v>8553</v>
      </c>
      <c r="E5142" t="s">
        <v>25894</v>
      </c>
      <c r="F5142">
        <v>23</v>
      </c>
      <c r="G5142">
        <v>2566350</v>
      </c>
      <c r="H5142" t="s">
        <v>25895</v>
      </c>
      <c r="J5142" s="54" t="s">
        <v>6052</v>
      </c>
      <c r="K5142" s="54">
        <v>0</v>
      </c>
      <c r="L5142" s="22" t="s">
        <v>104</v>
      </c>
      <c r="M5142" s="22" t="s">
        <v>37244</v>
      </c>
    </row>
    <row r="5143" spans="1:13" x14ac:dyDescent="0.75">
      <c r="A5143" t="s">
        <v>25869</v>
      </c>
      <c r="B5143" t="s">
        <v>8552</v>
      </c>
      <c r="C5143" t="s">
        <v>6227</v>
      </c>
      <c r="D5143" t="s">
        <v>8553</v>
      </c>
      <c r="E5143" t="s">
        <v>25870</v>
      </c>
      <c r="F5143">
        <v>177</v>
      </c>
      <c r="G5143">
        <v>2612471</v>
      </c>
      <c r="H5143" t="s">
        <v>25871</v>
      </c>
      <c r="J5143" s="54" t="s">
        <v>6052</v>
      </c>
      <c r="K5143" s="54">
        <v>0</v>
      </c>
      <c r="L5143" s="22" t="s">
        <v>104</v>
      </c>
      <c r="M5143" s="22" t="s">
        <v>37244</v>
      </c>
    </row>
    <row r="5144" spans="1:13" x14ac:dyDescent="0.75">
      <c r="A5144" t="s">
        <v>5972</v>
      </c>
      <c r="B5144" t="s">
        <v>1919</v>
      </c>
      <c r="C5144" t="s">
        <v>6594</v>
      </c>
      <c r="D5144" t="s">
        <v>7895</v>
      </c>
      <c r="E5144" t="s">
        <v>30279</v>
      </c>
      <c r="F5144">
        <v>122</v>
      </c>
      <c r="G5144">
        <v>3085383</v>
      </c>
      <c r="H5144" t="s">
        <v>30280</v>
      </c>
      <c r="J5144" s="54" t="s">
        <v>6052</v>
      </c>
      <c r="K5144" s="54">
        <v>0</v>
      </c>
      <c r="L5144" s="22" t="s">
        <v>1308</v>
      </c>
      <c r="M5144" s="22" t="s">
        <v>1920</v>
      </c>
    </row>
    <row r="5145" spans="1:13" x14ac:dyDescent="0.75">
      <c r="A5145" t="s">
        <v>30273</v>
      </c>
      <c r="B5145" t="s">
        <v>7262</v>
      </c>
      <c r="C5145" t="s">
        <v>6594</v>
      </c>
      <c r="D5145" t="s">
        <v>7263</v>
      </c>
      <c r="E5145" t="s">
        <v>30274</v>
      </c>
      <c r="F5145">
        <v>56</v>
      </c>
      <c r="G5145">
        <v>1930108</v>
      </c>
      <c r="H5145" t="s">
        <v>30275</v>
      </c>
      <c r="J5145" s="54" t="s">
        <v>6052</v>
      </c>
      <c r="K5145" s="54">
        <v>0</v>
      </c>
      <c r="L5145" s="22" t="s">
        <v>1308</v>
      </c>
      <c r="M5145" s="22" t="s">
        <v>37223</v>
      </c>
    </row>
    <row r="5146" spans="1:13" x14ac:dyDescent="0.75">
      <c r="A5146" t="s">
        <v>30247</v>
      </c>
      <c r="B5146" t="s">
        <v>7251</v>
      </c>
      <c r="C5146" t="s">
        <v>6594</v>
      </c>
      <c r="D5146" t="s">
        <v>7252</v>
      </c>
      <c r="E5146" t="s">
        <v>30248</v>
      </c>
      <c r="F5146">
        <v>47</v>
      </c>
      <c r="G5146">
        <v>2028815</v>
      </c>
      <c r="H5146" t="s">
        <v>30249</v>
      </c>
      <c r="J5146" s="54" t="s">
        <v>6052</v>
      </c>
      <c r="K5146" s="54">
        <v>0</v>
      </c>
      <c r="L5146" s="22" t="s">
        <v>1563</v>
      </c>
      <c r="M5146" s="22" t="s">
        <v>37224</v>
      </c>
    </row>
    <row r="5147" spans="1:13" x14ac:dyDescent="0.75">
      <c r="A5147" t="s">
        <v>5997</v>
      </c>
      <c r="B5147" t="s">
        <v>1919</v>
      </c>
      <c r="C5147" t="s">
        <v>6594</v>
      </c>
      <c r="D5147" t="s">
        <v>7895</v>
      </c>
      <c r="E5147" t="s">
        <v>30419</v>
      </c>
      <c r="F5147">
        <v>141</v>
      </c>
      <c r="G5147">
        <v>2642021</v>
      </c>
      <c r="H5147" t="s">
        <v>30420</v>
      </c>
      <c r="J5147" s="54" t="s">
        <v>6052</v>
      </c>
      <c r="K5147" s="54">
        <v>0</v>
      </c>
      <c r="L5147" s="22" t="s">
        <v>1308</v>
      </c>
      <c r="M5147" s="22" t="s">
        <v>1920</v>
      </c>
    </row>
    <row r="5148" spans="1:13" x14ac:dyDescent="0.75">
      <c r="A5148" t="s">
        <v>6008</v>
      </c>
      <c r="B5148" t="s">
        <v>1919</v>
      </c>
      <c r="C5148" t="s">
        <v>6594</v>
      </c>
      <c r="D5148" t="s">
        <v>7895</v>
      </c>
      <c r="E5148" t="s">
        <v>30457</v>
      </c>
      <c r="F5148">
        <v>140</v>
      </c>
      <c r="G5148">
        <v>2468824</v>
      </c>
      <c r="H5148" t="s">
        <v>30458</v>
      </c>
      <c r="J5148" s="54" t="s">
        <v>6052</v>
      </c>
      <c r="K5148" s="54">
        <v>0</v>
      </c>
      <c r="L5148" s="22" t="s">
        <v>1308</v>
      </c>
      <c r="M5148" s="22" t="s">
        <v>1920</v>
      </c>
    </row>
    <row r="5149" spans="1:13" x14ac:dyDescent="0.75">
      <c r="A5149" t="s">
        <v>30401</v>
      </c>
      <c r="B5149" t="s">
        <v>7262</v>
      </c>
      <c r="C5149" t="s">
        <v>6594</v>
      </c>
      <c r="D5149" t="s">
        <v>7263</v>
      </c>
      <c r="E5149" t="s">
        <v>30402</v>
      </c>
      <c r="F5149">
        <v>43</v>
      </c>
      <c r="G5149">
        <v>2043528</v>
      </c>
      <c r="H5149" t="s">
        <v>30403</v>
      </c>
      <c r="J5149" s="54" t="s">
        <v>6052</v>
      </c>
      <c r="K5149" s="54">
        <v>0</v>
      </c>
      <c r="L5149" s="22" t="s">
        <v>1308</v>
      </c>
      <c r="M5149" s="22" t="s">
        <v>37223</v>
      </c>
    </row>
    <row r="5150" spans="1:13" x14ac:dyDescent="0.75">
      <c r="A5150" t="s">
        <v>30442</v>
      </c>
      <c r="B5150" t="s">
        <v>7251</v>
      </c>
      <c r="C5150" t="s">
        <v>6594</v>
      </c>
      <c r="D5150" t="s">
        <v>7252</v>
      </c>
      <c r="E5150" t="s">
        <v>30443</v>
      </c>
      <c r="F5150">
        <v>72</v>
      </c>
      <c r="G5150">
        <v>2394447</v>
      </c>
      <c r="H5150" t="s">
        <v>30444</v>
      </c>
      <c r="J5150" s="54" t="s">
        <v>6052</v>
      </c>
      <c r="K5150" s="54">
        <v>0</v>
      </c>
      <c r="L5150" s="22" t="s">
        <v>1563</v>
      </c>
      <c r="M5150" s="22" t="s">
        <v>37224</v>
      </c>
    </row>
    <row r="5151" spans="1:13" x14ac:dyDescent="0.75">
      <c r="A5151" t="s">
        <v>11110</v>
      </c>
      <c r="B5151" t="s">
        <v>6569</v>
      </c>
      <c r="C5151" t="s">
        <v>6227</v>
      </c>
      <c r="D5151" t="s">
        <v>6570</v>
      </c>
      <c r="E5151" t="s">
        <v>11111</v>
      </c>
      <c r="F5151">
        <v>121</v>
      </c>
      <c r="G5151">
        <v>2476244</v>
      </c>
      <c r="H5151" t="s">
        <v>11112</v>
      </c>
      <c r="J5151" s="54" t="s">
        <v>6052</v>
      </c>
      <c r="K5151" s="54">
        <v>0</v>
      </c>
      <c r="L5151" s="22" t="s">
        <v>104</v>
      </c>
      <c r="M5151" s="22" t="s">
        <v>37242</v>
      </c>
    </row>
    <row r="5152" spans="1:13" x14ac:dyDescent="0.75">
      <c r="A5152" t="s">
        <v>11090</v>
      </c>
      <c r="B5152" t="s">
        <v>6569</v>
      </c>
      <c r="C5152" t="s">
        <v>6227</v>
      </c>
      <c r="D5152" t="s">
        <v>6570</v>
      </c>
      <c r="E5152" t="s">
        <v>11091</v>
      </c>
      <c r="F5152">
        <v>94</v>
      </c>
      <c r="G5152">
        <v>2491306</v>
      </c>
      <c r="H5152" t="s">
        <v>11092</v>
      </c>
      <c r="J5152" s="54" t="s">
        <v>6052</v>
      </c>
      <c r="K5152" s="54">
        <v>0</v>
      </c>
      <c r="L5152" s="22" t="s">
        <v>104</v>
      </c>
      <c r="M5152" s="22" t="s">
        <v>37242</v>
      </c>
    </row>
    <row r="5153" spans="1:13" x14ac:dyDescent="0.75">
      <c r="A5153" t="s">
        <v>16655</v>
      </c>
      <c r="B5153" t="s">
        <v>6569</v>
      </c>
      <c r="C5153" t="s">
        <v>6227</v>
      </c>
      <c r="D5153" t="s">
        <v>6570</v>
      </c>
      <c r="E5153" t="s">
        <v>16656</v>
      </c>
      <c r="F5153">
        <v>97</v>
      </c>
      <c r="G5153">
        <v>2536666</v>
      </c>
      <c r="H5153" t="s">
        <v>16657</v>
      </c>
      <c r="J5153" s="54" t="s">
        <v>6052</v>
      </c>
      <c r="K5153" s="54">
        <v>0</v>
      </c>
      <c r="L5153" s="22" t="s">
        <v>104</v>
      </c>
      <c r="M5153" s="22" t="s">
        <v>37242</v>
      </c>
    </row>
    <row r="5154" spans="1:13" x14ac:dyDescent="0.75">
      <c r="A5154" t="s">
        <v>11142</v>
      </c>
      <c r="B5154" t="s">
        <v>6569</v>
      </c>
      <c r="C5154" t="s">
        <v>6227</v>
      </c>
      <c r="D5154" t="s">
        <v>6570</v>
      </c>
      <c r="E5154" t="s">
        <v>11143</v>
      </c>
      <c r="F5154">
        <v>48</v>
      </c>
      <c r="G5154">
        <v>2504054</v>
      </c>
      <c r="H5154" t="s">
        <v>11144</v>
      </c>
      <c r="J5154" s="54" t="s">
        <v>6052</v>
      </c>
      <c r="K5154" s="54">
        <v>0</v>
      </c>
      <c r="L5154" s="22" t="s">
        <v>104</v>
      </c>
      <c r="M5154" s="22" t="s">
        <v>37242</v>
      </c>
    </row>
    <row r="5155" spans="1:13" x14ac:dyDescent="0.75">
      <c r="A5155" t="s">
        <v>11184</v>
      </c>
      <c r="B5155" t="s">
        <v>6569</v>
      </c>
      <c r="C5155" t="s">
        <v>6227</v>
      </c>
      <c r="D5155" t="s">
        <v>6570</v>
      </c>
      <c r="E5155" t="s">
        <v>11185</v>
      </c>
      <c r="F5155">
        <v>85</v>
      </c>
      <c r="G5155">
        <v>2425579</v>
      </c>
      <c r="H5155" t="s">
        <v>11186</v>
      </c>
      <c r="J5155" s="54" t="s">
        <v>6052</v>
      </c>
      <c r="K5155" s="54">
        <v>0</v>
      </c>
      <c r="L5155" s="22" t="s">
        <v>104</v>
      </c>
      <c r="M5155" s="22" t="s">
        <v>37242</v>
      </c>
    </row>
    <row r="5156" spans="1:13" x14ac:dyDescent="0.75">
      <c r="A5156" t="s">
        <v>7082</v>
      </c>
      <c r="B5156" t="s">
        <v>6569</v>
      </c>
      <c r="C5156" t="s">
        <v>6227</v>
      </c>
      <c r="D5156" t="s">
        <v>6570</v>
      </c>
      <c r="E5156" t="s">
        <v>7083</v>
      </c>
      <c r="F5156">
        <v>1</v>
      </c>
      <c r="G5156">
        <v>2506025</v>
      </c>
      <c r="H5156" t="s">
        <v>7084</v>
      </c>
      <c r="J5156" s="54" t="s">
        <v>6052</v>
      </c>
      <c r="K5156" s="54">
        <v>0</v>
      </c>
      <c r="L5156" s="22" t="s">
        <v>104</v>
      </c>
      <c r="M5156" s="22" t="s">
        <v>37242</v>
      </c>
    </row>
    <row r="5157" spans="1:13" x14ac:dyDescent="0.75">
      <c r="A5157" t="s">
        <v>26651</v>
      </c>
      <c r="B5157" t="s">
        <v>6569</v>
      </c>
      <c r="C5157" t="s">
        <v>6227</v>
      </c>
      <c r="D5157" t="s">
        <v>6570</v>
      </c>
      <c r="E5157" t="s">
        <v>26652</v>
      </c>
      <c r="F5157">
        <v>1</v>
      </c>
      <c r="G5157">
        <v>2462892</v>
      </c>
      <c r="H5157" t="s">
        <v>26653</v>
      </c>
      <c r="J5157" s="54" t="s">
        <v>6052</v>
      </c>
      <c r="K5157" s="54">
        <v>0</v>
      </c>
      <c r="L5157" s="22" t="s">
        <v>104</v>
      </c>
      <c r="M5157" s="22" t="s">
        <v>37242</v>
      </c>
    </row>
    <row r="5158" spans="1:13" x14ac:dyDescent="0.75">
      <c r="A5158" t="s">
        <v>29827</v>
      </c>
      <c r="B5158" t="s">
        <v>6569</v>
      </c>
      <c r="C5158" t="s">
        <v>6227</v>
      </c>
      <c r="D5158" t="s">
        <v>6570</v>
      </c>
      <c r="E5158" t="s">
        <v>29828</v>
      </c>
      <c r="F5158">
        <v>41</v>
      </c>
      <c r="G5158">
        <v>2459680</v>
      </c>
      <c r="H5158" t="s">
        <v>29829</v>
      </c>
      <c r="J5158" s="54" t="s">
        <v>6052</v>
      </c>
      <c r="K5158" s="54">
        <v>0</v>
      </c>
      <c r="L5158" s="22" t="s">
        <v>104</v>
      </c>
      <c r="M5158" s="22" t="s">
        <v>37242</v>
      </c>
    </row>
    <row r="5159" spans="1:13" x14ac:dyDescent="0.75">
      <c r="A5159" t="s">
        <v>18480</v>
      </c>
      <c r="B5159" t="s">
        <v>6569</v>
      </c>
      <c r="C5159" t="s">
        <v>6227</v>
      </c>
      <c r="D5159" t="s">
        <v>6570</v>
      </c>
      <c r="E5159" t="s">
        <v>18481</v>
      </c>
      <c r="F5159">
        <v>1</v>
      </c>
      <c r="G5159">
        <v>2533415</v>
      </c>
      <c r="H5159" t="s">
        <v>18482</v>
      </c>
      <c r="J5159" s="54" t="s">
        <v>6052</v>
      </c>
      <c r="K5159" s="54">
        <v>0</v>
      </c>
      <c r="L5159" s="22" t="s">
        <v>104</v>
      </c>
      <c r="M5159" s="22" t="s">
        <v>37242</v>
      </c>
    </row>
    <row r="5160" spans="1:13" x14ac:dyDescent="0.75">
      <c r="A5160" t="s">
        <v>12933</v>
      </c>
      <c r="B5160" t="s">
        <v>6569</v>
      </c>
      <c r="C5160" t="s">
        <v>6227</v>
      </c>
      <c r="D5160" t="s">
        <v>6570</v>
      </c>
      <c r="E5160" t="s">
        <v>12934</v>
      </c>
      <c r="F5160">
        <v>72</v>
      </c>
      <c r="G5160">
        <v>2491181</v>
      </c>
      <c r="H5160" t="s">
        <v>12935</v>
      </c>
      <c r="J5160" s="54" t="s">
        <v>6052</v>
      </c>
      <c r="K5160" s="54">
        <v>0</v>
      </c>
      <c r="L5160" s="22" t="s">
        <v>104</v>
      </c>
      <c r="M5160" s="22" t="s">
        <v>37242</v>
      </c>
    </row>
    <row r="5161" spans="1:13" x14ac:dyDescent="0.75">
      <c r="A5161" t="s">
        <v>12693</v>
      </c>
      <c r="B5161" t="s">
        <v>6569</v>
      </c>
      <c r="C5161" t="s">
        <v>6227</v>
      </c>
      <c r="D5161" t="s">
        <v>6570</v>
      </c>
      <c r="E5161" t="s">
        <v>12694</v>
      </c>
      <c r="F5161">
        <v>76</v>
      </c>
      <c r="G5161">
        <v>2439224</v>
      </c>
      <c r="H5161" t="s">
        <v>12695</v>
      </c>
      <c r="J5161" s="54" t="s">
        <v>6052</v>
      </c>
      <c r="K5161" s="54">
        <v>0</v>
      </c>
      <c r="L5161" s="22" t="s">
        <v>104</v>
      </c>
      <c r="M5161" s="22" t="s">
        <v>37242</v>
      </c>
    </row>
    <row r="5162" spans="1:13" x14ac:dyDescent="0.75">
      <c r="A5162" t="s">
        <v>12699</v>
      </c>
      <c r="B5162" t="s">
        <v>6569</v>
      </c>
      <c r="C5162" t="s">
        <v>6227</v>
      </c>
      <c r="D5162" t="s">
        <v>6570</v>
      </c>
      <c r="E5162" t="s">
        <v>12700</v>
      </c>
      <c r="F5162">
        <v>47</v>
      </c>
      <c r="G5162">
        <v>2459656</v>
      </c>
      <c r="H5162" t="s">
        <v>12701</v>
      </c>
      <c r="J5162" s="54" t="s">
        <v>6052</v>
      </c>
      <c r="K5162" s="54">
        <v>0</v>
      </c>
      <c r="L5162" s="22" t="s">
        <v>104</v>
      </c>
      <c r="M5162" s="22" t="s">
        <v>37242</v>
      </c>
    </row>
    <row r="5163" spans="1:13" x14ac:dyDescent="0.75">
      <c r="A5163" t="s">
        <v>4200</v>
      </c>
      <c r="B5163" t="s">
        <v>1919</v>
      </c>
      <c r="C5163" t="s">
        <v>6594</v>
      </c>
      <c r="D5163" t="s">
        <v>7895</v>
      </c>
      <c r="E5163" t="s">
        <v>23340</v>
      </c>
      <c r="F5163">
        <v>149</v>
      </c>
      <c r="G5163">
        <v>3061518</v>
      </c>
      <c r="H5163" t="s">
        <v>23341</v>
      </c>
      <c r="J5163" s="54" t="s">
        <v>6052</v>
      </c>
      <c r="K5163" s="54">
        <v>0</v>
      </c>
      <c r="L5163" s="22" t="s">
        <v>1308</v>
      </c>
      <c r="M5163" s="22" t="s">
        <v>1920</v>
      </c>
    </row>
    <row r="5164" spans="1:13" x14ac:dyDescent="0.75">
      <c r="A5164" t="s">
        <v>12978</v>
      </c>
      <c r="B5164" t="s">
        <v>6569</v>
      </c>
      <c r="C5164" t="s">
        <v>6227</v>
      </c>
      <c r="D5164" t="s">
        <v>6570</v>
      </c>
      <c r="E5164" t="s">
        <v>12979</v>
      </c>
      <c r="F5164">
        <v>62</v>
      </c>
      <c r="G5164">
        <v>2478701</v>
      </c>
      <c r="H5164" t="s">
        <v>12980</v>
      </c>
      <c r="J5164" s="54" t="s">
        <v>6052</v>
      </c>
      <c r="K5164" s="54">
        <v>0</v>
      </c>
      <c r="L5164" s="22" t="s">
        <v>104</v>
      </c>
      <c r="M5164" s="22" t="s">
        <v>37242</v>
      </c>
    </row>
    <row r="5165" spans="1:13" x14ac:dyDescent="0.75">
      <c r="A5165" t="s">
        <v>12795</v>
      </c>
      <c r="B5165" t="s">
        <v>6569</v>
      </c>
      <c r="C5165" t="s">
        <v>6227</v>
      </c>
      <c r="D5165" t="s">
        <v>6570</v>
      </c>
      <c r="E5165" t="s">
        <v>12796</v>
      </c>
      <c r="F5165">
        <v>56</v>
      </c>
      <c r="G5165">
        <v>2512257</v>
      </c>
      <c r="H5165" t="s">
        <v>12797</v>
      </c>
      <c r="J5165" s="54" t="s">
        <v>6052</v>
      </c>
      <c r="K5165" s="54">
        <v>0</v>
      </c>
      <c r="L5165" s="22" t="s">
        <v>104</v>
      </c>
      <c r="M5165" s="22" t="s">
        <v>37242</v>
      </c>
    </row>
    <row r="5166" spans="1:13" x14ac:dyDescent="0.75">
      <c r="A5166" t="s">
        <v>12753</v>
      </c>
      <c r="B5166" t="s">
        <v>6569</v>
      </c>
      <c r="C5166" t="s">
        <v>6227</v>
      </c>
      <c r="D5166" t="s">
        <v>6570</v>
      </c>
      <c r="E5166" t="s">
        <v>12754</v>
      </c>
      <c r="F5166">
        <v>81</v>
      </c>
      <c r="G5166">
        <v>2490080</v>
      </c>
      <c r="H5166" t="s">
        <v>12755</v>
      </c>
      <c r="J5166" s="54" t="s">
        <v>6052</v>
      </c>
      <c r="K5166" s="54">
        <v>0</v>
      </c>
      <c r="L5166" s="22" t="s">
        <v>104</v>
      </c>
      <c r="M5166" s="22" t="s">
        <v>37242</v>
      </c>
    </row>
    <row r="5167" spans="1:13" x14ac:dyDescent="0.75">
      <c r="A5167" t="s">
        <v>12957</v>
      </c>
      <c r="B5167" t="s">
        <v>6569</v>
      </c>
      <c r="C5167" t="s">
        <v>6227</v>
      </c>
      <c r="D5167" t="s">
        <v>6570</v>
      </c>
      <c r="E5167" t="s">
        <v>12958</v>
      </c>
      <c r="F5167">
        <v>62</v>
      </c>
      <c r="G5167">
        <v>2416608</v>
      </c>
      <c r="H5167" t="s">
        <v>12959</v>
      </c>
      <c r="J5167" s="54" t="s">
        <v>6052</v>
      </c>
      <c r="K5167" s="54">
        <v>0</v>
      </c>
      <c r="L5167" s="22" t="s">
        <v>104</v>
      </c>
      <c r="M5167" s="22" t="s">
        <v>37242</v>
      </c>
    </row>
    <row r="5168" spans="1:13" x14ac:dyDescent="0.75">
      <c r="A5168" t="s">
        <v>12673</v>
      </c>
      <c r="B5168" t="s">
        <v>6569</v>
      </c>
      <c r="C5168" t="s">
        <v>6227</v>
      </c>
      <c r="D5168" t="s">
        <v>6570</v>
      </c>
      <c r="E5168" t="s">
        <v>12674</v>
      </c>
      <c r="F5168">
        <v>185</v>
      </c>
      <c r="G5168">
        <v>2547863</v>
      </c>
      <c r="H5168" t="s">
        <v>12675</v>
      </c>
      <c r="J5168" s="54" t="s">
        <v>6052</v>
      </c>
      <c r="K5168" s="54">
        <v>0</v>
      </c>
      <c r="L5168" s="22" t="s">
        <v>104</v>
      </c>
      <c r="M5168" s="22" t="s">
        <v>37242</v>
      </c>
    </row>
    <row r="5169" spans="1:13" x14ac:dyDescent="0.75">
      <c r="A5169" t="s">
        <v>30178</v>
      </c>
      <c r="B5169" t="s">
        <v>7251</v>
      </c>
      <c r="C5169" t="s">
        <v>6594</v>
      </c>
      <c r="D5169" t="s">
        <v>7252</v>
      </c>
      <c r="E5169" t="s">
        <v>30179</v>
      </c>
      <c r="F5169">
        <v>48</v>
      </c>
      <c r="G5169">
        <v>2062950</v>
      </c>
      <c r="H5169" t="s">
        <v>30180</v>
      </c>
      <c r="J5169" s="54" t="s">
        <v>6052</v>
      </c>
      <c r="K5169" s="54">
        <v>0</v>
      </c>
      <c r="L5169" s="22" t="s">
        <v>1563</v>
      </c>
      <c r="M5169" s="22" t="s">
        <v>37224</v>
      </c>
    </row>
    <row r="5170" spans="1:13" x14ac:dyDescent="0.75">
      <c r="A5170" t="s">
        <v>12640</v>
      </c>
      <c r="B5170" t="s">
        <v>6569</v>
      </c>
      <c r="C5170" t="s">
        <v>6227</v>
      </c>
      <c r="D5170" t="s">
        <v>6570</v>
      </c>
      <c r="E5170" t="s">
        <v>12641</v>
      </c>
      <c r="F5170">
        <v>61</v>
      </c>
      <c r="G5170">
        <v>2486809</v>
      </c>
      <c r="H5170" t="s">
        <v>12642</v>
      </c>
      <c r="J5170" s="54" t="s">
        <v>6052</v>
      </c>
      <c r="K5170" s="54">
        <v>0</v>
      </c>
      <c r="L5170" s="22" t="s">
        <v>104</v>
      </c>
      <c r="M5170" s="22" t="s">
        <v>37242</v>
      </c>
    </row>
    <row r="5171" spans="1:13" x14ac:dyDescent="0.75">
      <c r="A5171" t="s">
        <v>21149</v>
      </c>
      <c r="B5171" t="s">
        <v>6569</v>
      </c>
      <c r="C5171" t="s">
        <v>6227</v>
      </c>
      <c r="D5171" t="s">
        <v>6570</v>
      </c>
      <c r="E5171" t="s">
        <v>21150</v>
      </c>
      <c r="F5171">
        <v>1</v>
      </c>
      <c r="G5171">
        <v>2434262</v>
      </c>
      <c r="H5171" t="s">
        <v>21151</v>
      </c>
      <c r="J5171" s="54" t="s">
        <v>6052</v>
      </c>
      <c r="K5171" s="54">
        <v>0</v>
      </c>
      <c r="L5171" s="22" t="s">
        <v>104</v>
      </c>
      <c r="M5171" s="22" t="s">
        <v>37242</v>
      </c>
    </row>
    <row r="5172" spans="1:13" x14ac:dyDescent="0.75">
      <c r="A5172" t="s">
        <v>6568</v>
      </c>
      <c r="B5172" t="s">
        <v>6569</v>
      </c>
      <c r="C5172" t="s">
        <v>6227</v>
      </c>
      <c r="D5172" t="s">
        <v>6570</v>
      </c>
      <c r="E5172" t="s">
        <v>6571</v>
      </c>
      <c r="F5172">
        <v>26</v>
      </c>
      <c r="G5172">
        <v>2532787</v>
      </c>
      <c r="H5172" t="s">
        <v>6572</v>
      </c>
      <c r="J5172" s="54" t="s">
        <v>6052</v>
      </c>
      <c r="K5172" s="54">
        <v>0</v>
      </c>
      <c r="L5172" s="22" t="s">
        <v>104</v>
      </c>
      <c r="M5172" s="22" t="s">
        <v>37242</v>
      </c>
    </row>
    <row r="5173" spans="1:13" x14ac:dyDescent="0.75">
      <c r="A5173" t="s">
        <v>23385</v>
      </c>
      <c r="B5173" t="s">
        <v>6569</v>
      </c>
      <c r="C5173" t="s">
        <v>6227</v>
      </c>
      <c r="D5173" t="s">
        <v>6570</v>
      </c>
      <c r="E5173" t="s">
        <v>23386</v>
      </c>
      <c r="F5173">
        <v>76</v>
      </c>
      <c r="G5173">
        <v>2448390</v>
      </c>
      <c r="H5173" t="s">
        <v>23387</v>
      </c>
      <c r="J5173" s="54" t="s">
        <v>6052</v>
      </c>
      <c r="K5173" s="54">
        <v>0</v>
      </c>
      <c r="L5173" s="22" t="s">
        <v>104</v>
      </c>
      <c r="M5173" s="22" t="s">
        <v>37242</v>
      </c>
    </row>
    <row r="5174" spans="1:13" x14ac:dyDescent="0.75">
      <c r="A5174" t="s">
        <v>27579</v>
      </c>
      <c r="B5174" t="s">
        <v>6569</v>
      </c>
      <c r="C5174" t="s">
        <v>6227</v>
      </c>
      <c r="D5174" t="s">
        <v>6570</v>
      </c>
      <c r="E5174" t="s">
        <v>27580</v>
      </c>
      <c r="F5174">
        <v>2</v>
      </c>
      <c r="G5174">
        <v>2490333</v>
      </c>
      <c r="H5174" t="s">
        <v>27581</v>
      </c>
      <c r="J5174" s="54" t="s">
        <v>6052</v>
      </c>
      <c r="K5174" s="54">
        <v>0</v>
      </c>
      <c r="L5174" s="22" t="s">
        <v>104</v>
      </c>
      <c r="M5174" s="22" t="s">
        <v>37242</v>
      </c>
    </row>
    <row r="5175" spans="1:13" x14ac:dyDescent="0.75">
      <c r="A5175" t="s">
        <v>13386</v>
      </c>
      <c r="B5175" t="s">
        <v>6943</v>
      </c>
      <c r="C5175" t="s">
        <v>6944</v>
      </c>
      <c r="D5175" t="s">
        <v>6945</v>
      </c>
      <c r="E5175" t="s">
        <v>13387</v>
      </c>
      <c r="F5175">
        <v>1</v>
      </c>
      <c r="G5175">
        <v>4191021</v>
      </c>
      <c r="H5175" t="s">
        <v>13388</v>
      </c>
      <c r="J5175" s="54" t="s">
        <v>6052</v>
      </c>
      <c r="K5175" s="54">
        <v>0</v>
      </c>
      <c r="L5175" s="22" t="s">
        <v>144</v>
      </c>
      <c r="M5175" s="22" t="s">
        <v>37230</v>
      </c>
    </row>
    <row r="5176" spans="1:13" x14ac:dyDescent="0.75">
      <c r="A5176" t="s">
        <v>6942</v>
      </c>
      <c r="B5176" t="s">
        <v>6943</v>
      </c>
      <c r="C5176" t="s">
        <v>6944</v>
      </c>
      <c r="D5176" t="s">
        <v>6945</v>
      </c>
      <c r="E5176" t="s">
        <v>6946</v>
      </c>
      <c r="F5176">
        <v>115</v>
      </c>
      <c r="G5176">
        <v>4027100</v>
      </c>
      <c r="H5176" t="s">
        <v>6947</v>
      </c>
      <c r="J5176" s="54" t="s">
        <v>6052</v>
      </c>
      <c r="K5176" s="54">
        <v>0</v>
      </c>
      <c r="L5176" s="22" t="s">
        <v>144</v>
      </c>
      <c r="M5176" s="22" t="s">
        <v>37230</v>
      </c>
    </row>
    <row r="5177" spans="1:13" x14ac:dyDescent="0.75">
      <c r="A5177" t="s">
        <v>9624</v>
      </c>
      <c r="B5177" t="s">
        <v>6943</v>
      </c>
      <c r="C5177" t="s">
        <v>6944</v>
      </c>
      <c r="D5177" t="s">
        <v>6945</v>
      </c>
      <c r="E5177" t="s">
        <v>9625</v>
      </c>
      <c r="F5177">
        <v>1</v>
      </c>
      <c r="G5177">
        <v>3846754</v>
      </c>
      <c r="H5177" t="s">
        <v>9626</v>
      </c>
      <c r="J5177" s="54" t="s">
        <v>6052</v>
      </c>
      <c r="K5177" s="54">
        <v>0</v>
      </c>
      <c r="L5177" s="22" t="s">
        <v>144</v>
      </c>
      <c r="M5177" s="22" t="s">
        <v>37230</v>
      </c>
    </row>
    <row r="5178" spans="1:13" x14ac:dyDescent="0.75">
      <c r="A5178" t="s">
        <v>20382</v>
      </c>
      <c r="B5178" t="s">
        <v>6943</v>
      </c>
      <c r="C5178" t="s">
        <v>6944</v>
      </c>
      <c r="D5178" t="s">
        <v>6945</v>
      </c>
      <c r="E5178" t="s">
        <v>20383</v>
      </c>
      <c r="F5178">
        <v>3</v>
      </c>
      <c r="G5178">
        <v>4296295</v>
      </c>
      <c r="H5178" t="s">
        <v>20384</v>
      </c>
      <c r="J5178" s="54" t="s">
        <v>6052</v>
      </c>
      <c r="K5178" s="54">
        <v>0</v>
      </c>
      <c r="L5178" s="22" t="s">
        <v>144</v>
      </c>
      <c r="M5178" s="22" t="s">
        <v>37230</v>
      </c>
    </row>
    <row r="5179" spans="1:13" x14ac:dyDescent="0.75">
      <c r="A5179" t="s">
        <v>16059</v>
      </c>
      <c r="B5179" t="s">
        <v>6943</v>
      </c>
      <c r="C5179" t="s">
        <v>6944</v>
      </c>
      <c r="D5179" t="s">
        <v>6945</v>
      </c>
      <c r="E5179" t="s">
        <v>16060</v>
      </c>
      <c r="F5179">
        <v>1</v>
      </c>
      <c r="G5179">
        <v>4074828</v>
      </c>
      <c r="H5179" t="s">
        <v>16061</v>
      </c>
      <c r="J5179" s="54" t="s">
        <v>6052</v>
      </c>
      <c r="K5179" s="54">
        <v>0</v>
      </c>
      <c r="L5179" s="22" t="s">
        <v>144</v>
      </c>
      <c r="M5179" s="22" t="s">
        <v>37230</v>
      </c>
    </row>
    <row r="5180" spans="1:13" x14ac:dyDescent="0.75">
      <c r="A5180" t="s">
        <v>18692</v>
      </c>
      <c r="B5180" t="s">
        <v>6943</v>
      </c>
      <c r="C5180" t="s">
        <v>6944</v>
      </c>
      <c r="D5180" t="s">
        <v>6945</v>
      </c>
      <c r="E5180" t="s">
        <v>18693</v>
      </c>
      <c r="F5180">
        <v>1</v>
      </c>
      <c r="G5180">
        <v>4029664</v>
      </c>
      <c r="H5180" t="s">
        <v>18694</v>
      </c>
      <c r="J5180" s="54" t="s">
        <v>6052</v>
      </c>
      <c r="K5180" s="54">
        <v>0</v>
      </c>
      <c r="L5180" s="22" t="s">
        <v>144</v>
      </c>
      <c r="M5180" s="22" t="s">
        <v>37230</v>
      </c>
    </row>
    <row r="5181" spans="1:13" x14ac:dyDescent="0.75">
      <c r="A5181" t="s">
        <v>22520</v>
      </c>
      <c r="B5181" t="s">
        <v>6943</v>
      </c>
      <c r="C5181" t="s">
        <v>6944</v>
      </c>
      <c r="D5181" t="s">
        <v>6945</v>
      </c>
      <c r="E5181" t="s">
        <v>22521</v>
      </c>
      <c r="F5181">
        <v>1</v>
      </c>
      <c r="G5181">
        <v>4000636</v>
      </c>
      <c r="H5181" t="s">
        <v>22522</v>
      </c>
      <c r="J5181" s="54" t="s">
        <v>6052</v>
      </c>
      <c r="K5181" s="54">
        <v>0</v>
      </c>
      <c r="L5181" s="22" t="s">
        <v>144</v>
      </c>
      <c r="M5181" s="22" t="s">
        <v>37230</v>
      </c>
    </row>
    <row r="5182" spans="1:13" x14ac:dyDescent="0.75">
      <c r="A5182" t="s">
        <v>23009</v>
      </c>
      <c r="B5182" t="s">
        <v>6943</v>
      </c>
      <c r="C5182" t="s">
        <v>6944</v>
      </c>
      <c r="D5182" t="s">
        <v>6945</v>
      </c>
      <c r="E5182" t="s">
        <v>23010</v>
      </c>
      <c r="F5182">
        <v>1</v>
      </c>
      <c r="G5182">
        <v>4001374</v>
      </c>
      <c r="H5182" t="s">
        <v>23011</v>
      </c>
      <c r="J5182" s="54" t="s">
        <v>6052</v>
      </c>
      <c r="K5182" s="54">
        <v>0</v>
      </c>
      <c r="L5182" s="22" t="s">
        <v>144</v>
      </c>
      <c r="M5182" s="22" t="s">
        <v>37230</v>
      </c>
    </row>
    <row r="5183" spans="1:13" x14ac:dyDescent="0.75">
      <c r="A5183" t="s">
        <v>13908</v>
      </c>
      <c r="B5183" t="s">
        <v>6943</v>
      </c>
      <c r="C5183" t="s">
        <v>6944</v>
      </c>
      <c r="D5183" t="s">
        <v>6945</v>
      </c>
      <c r="E5183" t="s">
        <v>13909</v>
      </c>
      <c r="F5183">
        <v>3</v>
      </c>
      <c r="G5183">
        <v>4286593</v>
      </c>
      <c r="H5183" t="s">
        <v>13910</v>
      </c>
      <c r="J5183" s="54" t="s">
        <v>6052</v>
      </c>
      <c r="K5183" s="54">
        <v>0</v>
      </c>
      <c r="L5183" s="22" t="s">
        <v>144</v>
      </c>
      <c r="M5183" s="22" t="s">
        <v>37230</v>
      </c>
    </row>
    <row r="5184" spans="1:13" x14ac:dyDescent="0.75">
      <c r="A5184" t="s">
        <v>18794</v>
      </c>
      <c r="B5184" t="s">
        <v>13480</v>
      </c>
      <c r="C5184" t="s">
        <v>7972</v>
      </c>
      <c r="D5184" t="s">
        <v>13481</v>
      </c>
      <c r="E5184" t="s">
        <v>18795</v>
      </c>
      <c r="F5184">
        <v>31</v>
      </c>
      <c r="G5184">
        <v>5610094</v>
      </c>
      <c r="H5184" t="s">
        <v>18796</v>
      </c>
      <c r="J5184" s="54" t="s">
        <v>6052</v>
      </c>
      <c r="K5184" s="54">
        <v>0</v>
      </c>
      <c r="L5184" s="22" t="s">
        <v>144</v>
      </c>
      <c r="M5184" s="22" t="s">
        <v>37231</v>
      </c>
    </row>
    <row r="5185" spans="1:13" x14ac:dyDescent="0.75">
      <c r="A5185" t="s">
        <v>22481</v>
      </c>
      <c r="B5185" t="s">
        <v>13480</v>
      </c>
      <c r="C5185" t="s">
        <v>7972</v>
      </c>
      <c r="D5185" t="s">
        <v>13481</v>
      </c>
      <c r="E5185" t="s">
        <v>22482</v>
      </c>
      <c r="F5185">
        <v>30</v>
      </c>
      <c r="G5185">
        <v>4707544</v>
      </c>
      <c r="H5185" t="s">
        <v>22483</v>
      </c>
      <c r="J5185" s="54" t="s">
        <v>6052</v>
      </c>
      <c r="K5185" s="54">
        <v>0</v>
      </c>
      <c r="L5185" s="22" t="s">
        <v>144</v>
      </c>
      <c r="M5185" s="22" t="s">
        <v>37231</v>
      </c>
    </row>
    <row r="5186" spans="1:13" x14ac:dyDescent="0.75">
      <c r="A5186" t="s">
        <v>14615</v>
      </c>
      <c r="B5186" t="s">
        <v>11458</v>
      </c>
      <c r="C5186" t="s">
        <v>7972</v>
      </c>
      <c r="D5186" t="s">
        <v>11459</v>
      </c>
      <c r="E5186" t="s">
        <v>14616</v>
      </c>
      <c r="F5186">
        <v>120</v>
      </c>
      <c r="G5186">
        <v>6442614</v>
      </c>
      <c r="H5186" t="s">
        <v>14617</v>
      </c>
      <c r="J5186" s="54" t="s">
        <v>6052</v>
      </c>
      <c r="K5186" s="54">
        <v>0</v>
      </c>
      <c r="L5186" s="22" t="s">
        <v>1563</v>
      </c>
      <c r="M5186" s="22" t="s">
        <v>37232</v>
      </c>
    </row>
    <row r="5187" spans="1:13" x14ac:dyDescent="0.75">
      <c r="A5187" t="s">
        <v>15456</v>
      </c>
      <c r="B5187" t="s">
        <v>11458</v>
      </c>
      <c r="C5187" t="s">
        <v>7972</v>
      </c>
      <c r="D5187" t="s">
        <v>11459</v>
      </c>
      <c r="E5187" t="s">
        <v>14616</v>
      </c>
      <c r="F5187">
        <v>279</v>
      </c>
      <c r="G5187">
        <v>6447692</v>
      </c>
      <c r="H5187" t="s">
        <v>15457</v>
      </c>
      <c r="J5187" s="54" t="s">
        <v>6052</v>
      </c>
      <c r="K5187" s="54">
        <v>0</v>
      </c>
      <c r="L5187" s="22" t="s">
        <v>1563</v>
      </c>
      <c r="M5187" s="22" t="s">
        <v>37232</v>
      </c>
    </row>
    <row r="5188" spans="1:13" x14ac:dyDescent="0.75">
      <c r="A5188" t="s">
        <v>27320</v>
      </c>
      <c r="B5188" t="s">
        <v>11458</v>
      </c>
      <c r="C5188" t="s">
        <v>7972</v>
      </c>
      <c r="D5188" t="s">
        <v>11459</v>
      </c>
      <c r="E5188" t="s">
        <v>14616</v>
      </c>
      <c r="F5188">
        <v>1</v>
      </c>
      <c r="G5188">
        <v>6511547</v>
      </c>
      <c r="H5188" t="s">
        <v>27321</v>
      </c>
      <c r="J5188" s="54" t="s">
        <v>6052</v>
      </c>
      <c r="K5188" s="54">
        <v>0</v>
      </c>
      <c r="L5188" s="22" t="s">
        <v>1563</v>
      </c>
      <c r="M5188" s="22" t="s">
        <v>37232</v>
      </c>
    </row>
    <row r="5189" spans="1:13" x14ac:dyDescent="0.75">
      <c r="A5189" t="s">
        <v>11581</v>
      </c>
      <c r="B5189" t="s">
        <v>7971</v>
      </c>
      <c r="C5189" t="s">
        <v>7972</v>
      </c>
      <c r="D5189" t="s">
        <v>7973</v>
      </c>
      <c r="E5189" t="s">
        <v>11582</v>
      </c>
      <c r="F5189">
        <v>73</v>
      </c>
      <c r="G5189">
        <v>6491764</v>
      </c>
      <c r="H5189" t="s">
        <v>11583</v>
      </c>
      <c r="J5189" s="54" t="s">
        <v>6052</v>
      </c>
      <c r="K5189" s="54">
        <v>0</v>
      </c>
      <c r="L5189" s="22" t="s">
        <v>963</v>
      </c>
      <c r="M5189" s="22" t="s">
        <v>37233</v>
      </c>
    </row>
    <row r="5190" spans="1:13" x14ac:dyDescent="0.75">
      <c r="A5190" t="s">
        <v>16340</v>
      </c>
      <c r="B5190" t="s">
        <v>7971</v>
      </c>
      <c r="C5190" t="s">
        <v>7972</v>
      </c>
      <c r="D5190" t="s">
        <v>7973</v>
      </c>
      <c r="E5190" t="s">
        <v>16341</v>
      </c>
      <c r="F5190">
        <v>1</v>
      </c>
      <c r="G5190">
        <v>6744658</v>
      </c>
      <c r="H5190" t="s">
        <v>16342</v>
      </c>
      <c r="J5190" s="54" t="s">
        <v>6052</v>
      </c>
      <c r="K5190" s="54">
        <v>0</v>
      </c>
      <c r="L5190" s="22" t="s">
        <v>963</v>
      </c>
      <c r="M5190" s="22" t="s">
        <v>37233</v>
      </c>
    </row>
    <row r="5191" spans="1:13" x14ac:dyDescent="0.75">
      <c r="A5191" t="s">
        <v>24318</v>
      </c>
      <c r="B5191" t="s">
        <v>17024</v>
      </c>
      <c r="C5191" t="s">
        <v>7972</v>
      </c>
      <c r="D5191" t="s">
        <v>8856</v>
      </c>
      <c r="E5191" t="s">
        <v>24319</v>
      </c>
      <c r="F5191">
        <v>1</v>
      </c>
      <c r="G5191">
        <v>6113211</v>
      </c>
      <c r="H5191" t="s">
        <v>24320</v>
      </c>
      <c r="J5191" s="54" t="s">
        <v>6052</v>
      </c>
      <c r="K5191" s="54">
        <v>0</v>
      </c>
      <c r="L5191" s="22" t="s">
        <v>36805</v>
      </c>
      <c r="M5191" s="22" t="s">
        <v>37234</v>
      </c>
    </row>
    <row r="5192" spans="1:13" x14ac:dyDescent="0.75">
      <c r="A5192" t="s">
        <v>10624</v>
      </c>
      <c r="B5192" t="s">
        <v>7971</v>
      </c>
      <c r="C5192" t="s">
        <v>7972</v>
      </c>
      <c r="D5192" t="s">
        <v>7973</v>
      </c>
      <c r="E5192" t="s">
        <v>10625</v>
      </c>
      <c r="F5192">
        <v>1</v>
      </c>
      <c r="G5192">
        <v>6834257</v>
      </c>
      <c r="H5192" t="s">
        <v>10626</v>
      </c>
      <c r="J5192" s="54" t="s">
        <v>6052</v>
      </c>
      <c r="K5192" s="54">
        <v>0</v>
      </c>
      <c r="L5192" s="22" t="s">
        <v>963</v>
      </c>
      <c r="M5192" s="22" t="s">
        <v>37233</v>
      </c>
    </row>
    <row r="5193" spans="1:13" x14ac:dyDescent="0.75">
      <c r="A5193" t="s">
        <v>8862</v>
      </c>
      <c r="B5193" t="s">
        <v>8863</v>
      </c>
      <c r="C5193" t="s">
        <v>7972</v>
      </c>
      <c r="D5193" t="s">
        <v>8864</v>
      </c>
      <c r="E5193" t="s">
        <v>8865</v>
      </c>
      <c r="F5193">
        <v>1</v>
      </c>
      <c r="G5193">
        <v>4686340</v>
      </c>
      <c r="H5193" t="s">
        <v>8866</v>
      </c>
      <c r="J5193" s="54" t="s">
        <v>6052</v>
      </c>
      <c r="K5193" s="54">
        <v>0</v>
      </c>
      <c r="L5193" s="22" t="s">
        <v>144</v>
      </c>
      <c r="M5193" s="22" t="s">
        <v>37235</v>
      </c>
    </row>
    <row r="5194" spans="1:13" x14ac:dyDescent="0.75">
      <c r="A5194" t="s">
        <v>21510</v>
      </c>
      <c r="B5194" t="s">
        <v>17024</v>
      </c>
      <c r="C5194" t="s">
        <v>7972</v>
      </c>
      <c r="D5194" t="s">
        <v>8856</v>
      </c>
      <c r="E5194" t="s">
        <v>21511</v>
      </c>
      <c r="F5194">
        <v>1</v>
      </c>
      <c r="G5194">
        <v>6202375</v>
      </c>
      <c r="H5194" t="s">
        <v>21512</v>
      </c>
      <c r="J5194" s="54" t="s">
        <v>6052</v>
      </c>
      <c r="K5194" s="54">
        <v>0</v>
      </c>
      <c r="L5194" s="22" t="s">
        <v>36805</v>
      </c>
      <c r="M5194" s="22" t="s">
        <v>37234</v>
      </c>
    </row>
    <row r="5195" spans="1:13" x14ac:dyDescent="0.75">
      <c r="A5195" t="s">
        <v>13687</v>
      </c>
      <c r="B5195" t="s">
        <v>8863</v>
      </c>
      <c r="C5195" t="s">
        <v>7972</v>
      </c>
      <c r="D5195" t="s">
        <v>8864</v>
      </c>
      <c r="E5195" t="s">
        <v>13688</v>
      </c>
      <c r="F5195">
        <v>109</v>
      </c>
      <c r="G5195">
        <v>4852859</v>
      </c>
      <c r="H5195" t="s">
        <v>13689</v>
      </c>
      <c r="J5195" s="54" t="s">
        <v>6052</v>
      </c>
      <c r="K5195" s="54">
        <v>0</v>
      </c>
      <c r="L5195" s="22" t="s">
        <v>144</v>
      </c>
      <c r="M5195" s="22" t="s">
        <v>37235</v>
      </c>
    </row>
    <row r="5196" spans="1:13" x14ac:dyDescent="0.75">
      <c r="A5196" t="s">
        <v>27186</v>
      </c>
      <c r="B5196" t="s">
        <v>17024</v>
      </c>
      <c r="C5196" t="s">
        <v>7972</v>
      </c>
      <c r="D5196" t="s">
        <v>8856</v>
      </c>
      <c r="E5196" t="s">
        <v>27187</v>
      </c>
      <c r="F5196">
        <v>54</v>
      </c>
      <c r="G5196">
        <v>6344741</v>
      </c>
      <c r="H5196" t="s">
        <v>27188</v>
      </c>
      <c r="J5196" s="54" t="s">
        <v>6052</v>
      </c>
      <c r="K5196" s="54">
        <v>0</v>
      </c>
      <c r="L5196" s="22" t="s">
        <v>36805</v>
      </c>
      <c r="M5196" s="22" t="s">
        <v>37234</v>
      </c>
    </row>
    <row r="5197" spans="1:13" x14ac:dyDescent="0.75">
      <c r="A5197" t="s">
        <v>10940</v>
      </c>
      <c r="B5197" t="s">
        <v>7971</v>
      </c>
      <c r="C5197" t="s">
        <v>7972</v>
      </c>
      <c r="D5197" t="s">
        <v>7973</v>
      </c>
      <c r="E5197" t="s">
        <v>10941</v>
      </c>
      <c r="F5197">
        <v>30</v>
      </c>
      <c r="G5197">
        <v>6291043</v>
      </c>
      <c r="H5197" t="s">
        <v>10942</v>
      </c>
      <c r="J5197" s="54" t="s">
        <v>6052</v>
      </c>
      <c r="K5197" s="54">
        <v>0</v>
      </c>
      <c r="L5197" s="22" t="s">
        <v>963</v>
      </c>
      <c r="M5197" s="22" t="s">
        <v>37233</v>
      </c>
    </row>
    <row r="5198" spans="1:13" x14ac:dyDescent="0.75">
      <c r="A5198" t="s">
        <v>10948</v>
      </c>
      <c r="B5198" t="s">
        <v>7971</v>
      </c>
      <c r="C5198" t="s">
        <v>7972</v>
      </c>
      <c r="D5198" t="s">
        <v>7973</v>
      </c>
      <c r="E5198" t="s">
        <v>10941</v>
      </c>
      <c r="F5198">
        <v>1</v>
      </c>
      <c r="G5198">
        <v>6317050</v>
      </c>
      <c r="H5198" t="s">
        <v>10949</v>
      </c>
      <c r="J5198" s="54" t="s">
        <v>6052</v>
      </c>
      <c r="K5198" s="54">
        <v>0</v>
      </c>
      <c r="L5198" s="22" t="s">
        <v>963</v>
      </c>
      <c r="M5198" s="22" t="s">
        <v>37233</v>
      </c>
    </row>
    <row r="5199" spans="1:13" x14ac:dyDescent="0.75">
      <c r="A5199" t="s">
        <v>11457</v>
      </c>
      <c r="B5199" t="s">
        <v>11458</v>
      </c>
      <c r="C5199" t="s">
        <v>7972</v>
      </c>
      <c r="D5199" t="s">
        <v>11459</v>
      </c>
      <c r="E5199" t="s">
        <v>11460</v>
      </c>
      <c r="F5199">
        <v>17</v>
      </c>
      <c r="G5199">
        <v>6388150</v>
      </c>
      <c r="H5199" t="s">
        <v>11461</v>
      </c>
      <c r="J5199" s="54" t="s">
        <v>6052</v>
      </c>
      <c r="K5199" s="54">
        <v>0</v>
      </c>
      <c r="L5199" s="22" t="s">
        <v>1563</v>
      </c>
      <c r="M5199" s="22" t="s">
        <v>37232</v>
      </c>
    </row>
    <row r="5200" spans="1:13" x14ac:dyDescent="0.75">
      <c r="A5200" t="s">
        <v>17179</v>
      </c>
      <c r="B5200" t="s">
        <v>11458</v>
      </c>
      <c r="C5200" t="s">
        <v>7972</v>
      </c>
      <c r="D5200" t="s">
        <v>11459</v>
      </c>
      <c r="E5200" t="s">
        <v>11460</v>
      </c>
      <c r="F5200">
        <v>31</v>
      </c>
      <c r="G5200">
        <v>6374365</v>
      </c>
      <c r="H5200" t="s">
        <v>17180</v>
      </c>
      <c r="J5200" s="54" t="s">
        <v>6052</v>
      </c>
      <c r="K5200" s="54">
        <v>0</v>
      </c>
      <c r="L5200" s="22" t="s">
        <v>1563</v>
      </c>
      <c r="M5200" s="22" t="s">
        <v>37232</v>
      </c>
    </row>
    <row r="5201" spans="1:13" x14ac:dyDescent="0.75">
      <c r="A5201" t="s">
        <v>17416</v>
      </c>
      <c r="B5201" t="s">
        <v>13480</v>
      </c>
      <c r="C5201" t="s">
        <v>7972</v>
      </c>
      <c r="D5201" t="s">
        <v>13481</v>
      </c>
      <c r="E5201" t="s">
        <v>17417</v>
      </c>
      <c r="F5201">
        <v>5</v>
      </c>
      <c r="G5201">
        <v>5901383</v>
      </c>
      <c r="H5201" t="s">
        <v>17418</v>
      </c>
      <c r="J5201" s="54" t="s">
        <v>6052</v>
      </c>
      <c r="K5201" s="54">
        <v>0</v>
      </c>
      <c r="L5201" s="22" t="s">
        <v>144</v>
      </c>
      <c r="M5201" s="22" t="s">
        <v>37231</v>
      </c>
    </row>
    <row r="5202" spans="1:13" x14ac:dyDescent="0.75">
      <c r="A5202" t="s">
        <v>25118</v>
      </c>
      <c r="B5202" t="s">
        <v>8863</v>
      </c>
      <c r="C5202" t="s">
        <v>7972</v>
      </c>
      <c r="D5202" t="s">
        <v>8864</v>
      </c>
      <c r="E5202" t="s">
        <v>25119</v>
      </c>
      <c r="F5202">
        <v>3</v>
      </c>
      <c r="G5202">
        <v>4684111</v>
      </c>
      <c r="H5202" t="s">
        <v>25120</v>
      </c>
      <c r="J5202" s="54" t="s">
        <v>6052</v>
      </c>
      <c r="K5202" s="54">
        <v>0</v>
      </c>
      <c r="L5202" s="22" t="s">
        <v>144</v>
      </c>
      <c r="M5202" s="22" t="s">
        <v>37235</v>
      </c>
    </row>
    <row r="5203" spans="1:13" x14ac:dyDescent="0.75">
      <c r="A5203" t="s">
        <v>25115</v>
      </c>
      <c r="B5203" t="s">
        <v>17024</v>
      </c>
      <c r="C5203" t="s">
        <v>7972</v>
      </c>
      <c r="D5203" t="s">
        <v>8856</v>
      </c>
      <c r="E5203" t="s">
        <v>25116</v>
      </c>
      <c r="F5203">
        <v>73</v>
      </c>
      <c r="G5203">
        <v>6219932</v>
      </c>
      <c r="H5203" t="s">
        <v>25117</v>
      </c>
      <c r="J5203" s="54" t="s">
        <v>6052</v>
      </c>
      <c r="K5203" s="54">
        <v>0</v>
      </c>
      <c r="L5203" s="22" t="s">
        <v>36805</v>
      </c>
      <c r="M5203" s="22" t="s">
        <v>37234</v>
      </c>
    </row>
    <row r="5204" spans="1:13" x14ac:dyDescent="0.75">
      <c r="A5204" t="s">
        <v>25103</v>
      </c>
      <c r="B5204" t="s">
        <v>8863</v>
      </c>
      <c r="C5204" t="s">
        <v>7972</v>
      </c>
      <c r="D5204" t="s">
        <v>8864</v>
      </c>
      <c r="E5204" t="s">
        <v>25104</v>
      </c>
      <c r="F5204">
        <v>1</v>
      </c>
      <c r="G5204">
        <v>4677167</v>
      </c>
      <c r="H5204" t="s">
        <v>25105</v>
      </c>
      <c r="J5204" s="54" t="s">
        <v>6052</v>
      </c>
      <c r="K5204" s="54">
        <v>0</v>
      </c>
      <c r="L5204" s="22" t="s">
        <v>144</v>
      </c>
      <c r="M5204" s="22" t="s">
        <v>37235</v>
      </c>
    </row>
    <row r="5205" spans="1:13" x14ac:dyDescent="0.75">
      <c r="A5205" t="s">
        <v>11802</v>
      </c>
      <c r="B5205" t="s">
        <v>7971</v>
      </c>
      <c r="C5205" t="s">
        <v>7972</v>
      </c>
      <c r="D5205" t="s">
        <v>7973</v>
      </c>
      <c r="E5205" t="s">
        <v>11803</v>
      </c>
      <c r="F5205">
        <v>1</v>
      </c>
      <c r="G5205">
        <v>6836415</v>
      </c>
      <c r="H5205" t="s">
        <v>11804</v>
      </c>
      <c r="J5205" s="54" t="s">
        <v>6052</v>
      </c>
      <c r="K5205" s="54">
        <v>0</v>
      </c>
      <c r="L5205" s="22" t="s">
        <v>963</v>
      </c>
      <c r="M5205" s="22" t="s">
        <v>37233</v>
      </c>
    </row>
    <row r="5206" spans="1:13" x14ac:dyDescent="0.75">
      <c r="A5206" t="s">
        <v>27221</v>
      </c>
      <c r="B5206" t="s">
        <v>13480</v>
      </c>
      <c r="C5206" t="s">
        <v>7972</v>
      </c>
      <c r="D5206" t="s">
        <v>13481</v>
      </c>
      <c r="E5206" t="s">
        <v>27222</v>
      </c>
      <c r="F5206">
        <v>39</v>
      </c>
      <c r="G5206">
        <v>5339831</v>
      </c>
      <c r="H5206" t="s">
        <v>27223</v>
      </c>
      <c r="J5206" s="54" t="s">
        <v>6052</v>
      </c>
      <c r="K5206" s="54">
        <v>0</v>
      </c>
      <c r="L5206" s="22" t="s">
        <v>144</v>
      </c>
      <c r="M5206" s="22" t="s">
        <v>37231</v>
      </c>
    </row>
    <row r="5207" spans="1:13" x14ac:dyDescent="0.75">
      <c r="A5207" t="s">
        <v>12520</v>
      </c>
      <c r="B5207" t="s">
        <v>11458</v>
      </c>
      <c r="C5207" t="s">
        <v>7972</v>
      </c>
      <c r="D5207" t="s">
        <v>11459</v>
      </c>
      <c r="E5207" t="s">
        <v>12521</v>
      </c>
      <c r="F5207">
        <v>1</v>
      </c>
      <c r="G5207">
        <v>6641144</v>
      </c>
      <c r="H5207" t="s">
        <v>12522</v>
      </c>
      <c r="J5207" s="54" t="s">
        <v>6052</v>
      </c>
      <c r="K5207" s="54">
        <v>0</v>
      </c>
      <c r="L5207" s="22" t="s">
        <v>1563</v>
      </c>
      <c r="M5207" s="22" t="s">
        <v>37232</v>
      </c>
    </row>
    <row r="5208" spans="1:13" x14ac:dyDescent="0.75">
      <c r="A5208" t="s">
        <v>27183</v>
      </c>
      <c r="B5208" t="s">
        <v>13480</v>
      </c>
      <c r="C5208" t="s">
        <v>7972</v>
      </c>
      <c r="D5208" t="s">
        <v>13481</v>
      </c>
      <c r="E5208" t="s">
        <v>27184</v>
      </c>
      <c r="F5208">
        <v>53</v>
      </c>
      <c r="G5208">
        <v>5421602</v>
      </c>
      <c r="H5208" t="s">
        <v>27185</v>
      </c>
      <c r="J5208" s="54" t="s">
        <v>6052</v>
      </c>
      <c r="K5208" s="54">
        <v>0</v>
      </c>
      <c r="L5208" s="22" t="s">
        <v>144</v>
      </c>
      <c r="M5208" s="22" t="s">
        <v>37231</v>
      </c>
    </row>
    <row r="5209" spans="1:13" x14ac:dyDescent="0.75">
      <c r="A5209" t="s">
        <v>15987</v>
      </c>
      <c r="B5209" t="s">
        <v>13480</v>
      </c>
      <c r="C5209" t="s">
        <v>7972</v>
      </c>
      <c r="D5209" t="s">
        <v>13481</v>
      </c>
      <c r="E5209" t="s">
        <v>15988</v>
      </c>
      <c r="F5209">
        <v>1</v>
      </c>
      <c r="G5209">
        <v>5539211</v>
      </c>
      <c r="H5209" t="s">
        <v>15989</v>
      </c>
      <c r="J5209" s="54" t="s">
        <v>6052</v>
      </c>
      <c r="K5209" s="54">
        <v>0</v>
      </c>
      <c r="L5209" s="22" t="s">
        <v>144</v>
      </c>
      <c r="M5209" s="22" t="s">
        <v>37231</v>
      </c>
    </row>
    <row r="5210" spans="1:13" x14ac:dyDescent="0.75">
      <c r="A5210" t="s">
        <v>7970</v>
      </c>
      <c r="B5210" t="s">
        <v>7971</v>
      </c>
      <c r="C5210" t="s">
        <v>7972</v>
      </c>
      <c r="D5210" t="s">
        <v>7973</v>
      </c>
      <c r="E5210" t="s">
        <v>7968</v>
      </c>
      <c r="F5210">
        <v>1</v>
      </c>
      <c r="G5210">
        <v>6327754</v>
      </c>
      <c r="H5210" t="s">
        <v>7974</v>
      </c>
      <c r="J5210" s="54" t="s">
        <v>6052</v>
      </c>
      <c r="K5210" s="54">
        <v>0</v>
      </c>
      <c r="L5210" s="22" t="s">
        <v>963</v>
      </c>
      <c r="M5210" s="22" t="s">
        <v>37233</v>
      </c>
    </row>
    <row r="5211" spans="1:13" x14ac:dyDescent="0.75">
      <c r="A5211" t="s">
        <v>28293</v>
      </c>
      <c r="B5211" t="s">
        <v>13480</v>
      </c>
      <c r="C5211" t="s">
        <v>7972</v>
      </c>
      <c r="D5211" t="s">
        <v>13481</v>
      </c>
      <c r="E5211" t="s">
        <v>28294</v>
      </c>
      <c r="F5211">
        <v>34</v>
      </c>
      <c r="G5211">
        <v>5701016</v>
      </c>
      <c r="H5211" t="s">
        <v>28295</v>
      </c>
      <c r="J5211" s="54" t="s">
        <v>6052</v>
      </c>
      <c r="K5211" s="54">
        <v>0</v>
      </c>
      <c r="L5211" s="22" t="s">
        <v>144</v>
      </c>
      <c r="M5211" s="22" t="s">
        <v>37231</v>
      </c>
    </row>
    <row r="5212" spans="1:13" x14ac:dyDescent="0.75">
      <c r="A5212" t="s">
        <v>18093</v>
      </c>
      <c r="B5212" t="s">
        <v>17024</v>
      </c>
      <c r="C5212" t="s">
        <v>7972</v>
      </c>
      <c r="D5212" t="s">
        <v>8856</v>
      </c>
      <c r="E5212" t="s">
        <v>18094</v>
      </c>
      <c r="F5212">
        <v>1</v>
      </c>
      <c r="G5212">
        <v>6089454</v>
      </c>
      <c r="H5212" t="s">
        <v>18095</v>
      </c>
      <c r="J5212" s="54" t="s">
        <v>6052</v>
      </c>
      <c r="K5212" s="54">
        <v>0</v>
      </c>
      <c r="L5212" s="22" t="s">
        <v>36805</v>
      </c>
      <c r="M5212" s="22" t="s">
        <v>37234</v>
      </c>
    </row>
    <row r="5213" spans="1:13" x14ac:dyDescent="0.75">
      <c r="A5213" t="s">
        <v>18830</v>
      </c>
      <c r="B5213" t="s">
        <v>8863</v>
      </c>
      <c r="C5213" t="s">
        <v>7972</v>
      </c>
      <c r="D5213" t="s">
        <v>8864</v>
      </c>
      <c r="E5213" t="s">
        <v>18831</v>
      </c>
      <c r="F5213">
        <v>1</v>
      </c>
      <c r="G5213">
        <v>5654212</v>
      </c>
      <c r="H5213" t="s">
        <v>18832</v>
      </c>
      <c r="J5213" s="54" t="s">
        <v>6052</v>
      </c>
      <c r="K5213" s="54">
        <v>0</v>
      </c>
      <c r="L5213" s="22" t="s">
        <v>144</v>
      </c>
      <c r="M5213" s="22" t="s">
        <v>37235</v>
      </c>
    </row>
    <row r="5214" spans="1:13" x14ac:dyDescent="0.75">
      <c r="A5214" t="s">
        <v>10784</v>
      </c>
      <c r="B5214" t="s">
        <v>8863</v>
      </c>
      <c r="C5214" t="s">
        <v>7972</v>
      </c>
      <c r="D5214" t="s">
        <v>8864</v>
      </c>
      <c r="E5214" t="s">
        <v>6504</v>
      </c>
      <c r="F5214">
        <v>1</v>
      </c>
      <c r="G5214">
        <v>4696984</v>
      </c>
      <c r="H5214" t="s">
        <v>10785</v>
      </c>
      <c r="J5214" s="54" t="s">
        <v>6052</v>
      </c>
      <c r="K5214" s="54">
        <v>0</v>
      </c>
      <c r="L5214" s="22" t="s">
        <v>144</v>
      </c>
      <c r="M5214" s="22" t="s">
        <v>37235</v>
      </c>
    </row>
    <row r="5215" spans="1:13" x14ac:dyDescent="0.75">
      <c r="A5215" t="s">
        <v>13479</v>
      </c>
      <c r="B5215" t="s">
        <v>13480</v>
      </c>
      <c r="C5215" t="s">
        <v>7972</v>
      </c>
      <c r="D5215" t="s">
        <v>13481</v>
      </c>
      <c r="E5215" t="s">
        <v>13482</v>
      </c>
      <c r="F5215">
        <v>104</v>
      </c>
      <c r="G5215">
        <v>5395279</v>
      </c>
      <c r="H5215" t="s">
        <v>13483</v>
      </c>
      <c r="J5215" s="54" t="s">
        <v>6052</v>
      </c>
      <c r="K5215" s="54">
        <v>0</v>
      </c>
      <c r="L5215" s="22" t="s">
        <v>144</v>
      </c>
      <c r="M5215" s="22" t="s">
        <v>37231</v>
      </c>
    </row>
    <row r="5216" spans="1:13" x14ac:dyDescent="0.75">
      <c r="A5216" t="s">
        <v>13484</v>
      </c>
      <c r="B5216" t="s">
        <v>8863</v>
      </c>
      <c r="C5216" t="s">
        <v>7972</v>
      </c>
      <c r="D5216" t="s">
        <v>8864</v>
      </c>
      <c r="E5216" t="s">
        <v>13485</v>
      </c>
      <c r="F5216">
        <v>123</v>
      </c>
      <c r="G5216">
        <v>4870767</v>
      </c>
      <c r="H5216" t="s">
        <v>13486</v>
      </c>
      <c r="J5216" s="54" t="s">
        <v>6052</v>
      </c>
      <c r="K5216" s="54">
        <v>0</v>
      </c>
      <c r="L5216" s="22" t="s">
        <v>144</v>
      </c>
      <c r="M5216" s="22" t="s">
        <v>37235</v>
      </c>
    </row>
    <row r="5217" spans="1:13" x14ac:dyDescent="0.75">
      <c r="A5217" t="s">
        <v>13476</v>
      </c>
      <c r="B5217" t="s">
        <v>11458</v>
      </c>
      <c r="C5217" t="s">
        <v>7972</v>
      </c>
      <c r="D5217" t="s">
        <v>11459</v>
      </c>
      <c r="E5217" t="s">
        <v>13477</v>
      </c>
      <c r="F5217">
        <v>67</v>
      </c>
      <c r="G5217">
        <v>6364335</v>
      </c>
      <c r="H5217" t="s">
        <v>13478</v>
      </c>
      <c r="J5217" s="54" t="s">
        <v>6052</v>
      </c>
      <c r="K5217" s="54">
        <v>0</v>
      </c>
      <c r="L5217" s="22" t="s">
        <v>1563</v>
      </c>
      <c r="M5217" s="22" t="s">
        <v>37232</v>
      </c>
    </row>
    <row r="5218" spans="1:13" x14ac:dyDescent="0.75">
      <c r="A5218" t="s">
        <v>27678</v>
      </c>
      <c r="B5218" t="s">
        <v>11458</v>
      </c>
      <c r="C5218" t="s">
        <v>7972</v>
      </c>
      <c r="D5218" t="s">
        <v>11459</v>
      </c>
      <c r="E5218" t="s">
        <v>27679</v>
      </c>
      <c r="F5218">
        <v>1</v>
      </c>
      <c r="G5218">
        <v>6515171</v>
      </c>
      <c r="H5218" t="s">
        <v>27680</v>
      </c>
      <c r="J5218" s="54" t="s">
        <v>6052</v>
      </c>
      <c r="K5218" s="54">
        <v>0</v>
      </c>
      <c r="L5218" s="22" t="s">
        <v>1563</v>
      </c>
      <c r="M5218" s="22" t="s">
        <v>37232</v>
      </c>
    </row>
    <row r="5219" spans="1:13" x14ac:dyDescent="0.75">
      <c r="A5219" t="s">
        <v>11723</v>
      </c>
      <c r="B5219" t="s">
        <v>7971</v>
      </c>
      <c r="C5219" t="s">
        <v>7972</v>
      </c>
      <c r="D5219" t="s">
        <v>7973</v>
      </c>
      <c r="E5219" t="s">
        <v>11724</v>
      </c>
      <c r="F5219">
        <v>1</v>
      </c>
      <c r="G5219">
        <v>6316979</v>
      </c>
      <c r="H5219" t="s">
        <v>11725</v>
      </c>
      <c r="J5219" s="54" t="s">
        <v>6052</v>
      </c>
      <c r="K5219" s="54">
        <v>0</v>
      </c>
      <c r="L5219" s="22" t="s">
        <v>963</v>
      </c>
      <c r="M5219" s="22" t="s">
        <v>37233</v>
      </c>
    </row>
    <row r="5220" spans="1:13" x14ac:dyDescent="0.75">
      <c r="A5220" t="s">
        <v>27573</v>
      </c>
      <c r="B5220" t="s">
        <v>8863</v>
      </c>
      <c r="C5220" t="s">
        <v>7972</v>
      </c>
      <c r="D5220" t="s">
        <v>8864</v>
      </c>
      <c r="E5220" t="s">
        <v>27574</v>
      </c>
      <c r="F5220">
        <v>5</v>
      </c>
      <c r="G5220">
        <v>5049026</v>
      </c>
      <c r="H5220" t="s">
        <v>27575</v>
      </c>
      <c r="J5220" s="54" t="s">
        <v>6052</v>
      </c>
      <c r="K5220" s="54">
        <v>0</v>
      </c>
      <c r="L5220" s="22" t="s">
        <v>144</v>
      </c>
      <c r="M5220" s="22" t="s">
        <v>37235</v>
      </c>
    </row>
    <row r="5221" spans="1:13" x14ac:dyDescent="0.75">
      <c r="A5221" t="s">
        <v>27570</v>
      </c>
      <c r="B5221" t="s">
        <v>13480</v>
      </c>
      <c r="C5221" t="s">
        <v>7972</v>
      </c>
      <c r="D5221" t="s">
        <v>13481</v>
      </c>
      <c r="E5221" t="s">
        <v>27571</v>
      </c>
      <c r="F5221">
        <v>16</v>
      </c>
      <c r="G5221">
        <v>6089776</v>
      </c>
      <c r="H5221" t="s">
        <v>27572</v>
      </c>
      <c r="J5221" s="54" t="s">
        <v>6052</v>
      </c>
      <c r="K5221" s="54">
        <v>0</v>
      </c>
      <c r="L5221" s="22" t="s">
        <v>144</v>
      </c>
      <c r="M5221" s="22" t="s">
        <v>37231</v>
      </c>
    </row>
    <row r="5222" spans="1:13" x14ac:dyDescent="0.75">
      <c r="A5222" t="s">
        <v>27945</v>
      </c>
      <c r="B5222" t="s">
        <v>11458</v>
      </c>
      <c r="C5222" t="s">
        <v>7972</v>
      </c>
      <c r="D5222" t="s">
        <v>11459</v>
      </c>
      <c r="E5222" t="s">
        <v>27946</v>
      </c>
      <c r="F5222">
        <v>1</v>
      </c>
      <c r="G5222">
        <v>6033966</v>
      </c>
      <c r="H5222" t="s">
        <v>27947</v>
      </c>
      <c r="J5222" s="54" t="s">
        <v>6052</v>
      </c>
      <c r="K5222" s="54">
        <v>0</v>
      </c>
      <c r="L5222" s="22" t="s">
        <v>1563</v>
      </c>
      <c r="M5222" s="22" t="s">
        <v>37232</v>
      </c>
    </row>
    <row r="5223" spans="1:13" x14ac:dyDescent="0.75">
      <c r="A5223" t="s">
        <v>26241</v>
      </c>
      <c r="B5223" t="s">
        <v>17024</v>
      </c>
      <c r="C5223" t="s">
        <v>7972</v>
      </c>
      <c r="D5223" t="s">
        <v>8856</v>
      </c>
      <c r="E5223" t="s">
        <v>26242</v>
      </c>
      <c r="F5223">
        <v>33</v>
      </c>
      <c r="G5223">
        <v>6031849</v>
      </c>
      <c r="H5223" t="s">
        <v>26243</v>
      </c>
      <c r="J5223" s="54" t="s">
        <v>6052</v>
      </c>
      <c r="K5223" s="54">
        <v>0</v>
      </c>
      <c r="L5223" s="22" t="s">
        <v>36805</v>
      </c>
      <c r="M5223" s="22" t="s">
        <v>37234</v>
      </c>
    </row>
    <row r="5224" spans="1:13" x14ac:dyDescent="0.75">
      <c r="A5224" t="s">
        <v>15450</v>
      </c>
      <c r="B5224" t="s">
        <v>8863</v>
      </c>
      <c r="C5224" t="s">
        <v>7972</v>
      </c>
      <c r="D5224" t="s">
        <v>8864</v>
      </c>
      <c r="E5224" t="s">
        <v>15451</v>
      </c>
      <c r="F5224">
        <v>1</v>
      </c>
      <c r="G5224">
        <v>4727682</v>
      </c>
      <c r="H5224" t="s">
        <v>15452</v>
      </c>
      <c r="J5224" s="54" t="s">
        <v>6052</v>
      </c>
      <c r="K5224" s="54">
        <v>0</v>
      </c>
      <c r="L5224" s="22" t="s">
        <v>144</v>
      </c>
      <c r="M5224" s="22" t="s">
        <v>37235</v>
      </c>
    </row>
    <row r="5225" spans="1:13" x14ac:dyDescent="0.75">
      <c r="A5225" t="s">
        <v>21516</v>
      </c>
      <c r="B5225" t="s">
        <v>7971</v>
      </c>
      <c r="C5225" t="s">
        <v>7972</v>
      </c>
      <c r="D5225" t="s">
        <v>7973</v>
      </c>
      <c r="E5225" t="s">
        <v>21517</v>
      </c>
      <c r="F5225">
        <v>1</v>
      </c>
      <c r="G5225">
        <v>7093992</v>
      </c>
      <c r="H5225" t="s">
        <v>21518</v>
      </c>
      <c r="J5225" s="54" t="s">
        <v>6052</v>
      </c>
      <c r="K5225" s="54">
        <v>0</v>
      </c>
      <c r="L5225" s="22" t="s">
        <v>963</v>
      </c>
      <c r="M5225" s="22" t="s">
        <v>37233</v>
      </c>
    </row>
    <row r="5226" spans="1:13" x14ac:dyDescent="0.75">
      <c r="A5226" t="s">
        <v>23513</v>
      </c>
      <c r="B5226" t="s">
        <v>17024</v>
      </c>
      <c r="C5226" t="s">
        <v>7972</v>
      </c>
      <c r="D5226" t="s">
        <v>8856</v>
      </c>
      <c r="E5226" t="s">
        <v>23514</v>
      </c>
      <c r="F5226">
        <v>1</v>
      </c>
      <c r="G5226">
        <v>6298479</v>
      </c>
      <c r="H5226" t="s">
        <v>23515</v>
      </c>
      <c r="J5226" s="54" t="s">
        <v>6052</v>
      </c>
      <c r="K5226" s="54">
        <v>0</v>
      </c>
      <c r="L5226" s="22" t="s">
        <v>36805</v>
      </c>
      <c r="M5226" s="22" t="s">
        <v>37234</v>
      </c>
    </row>
    <row r="5227" spans="1:13" x14ac:dyDescent="0.75">
      <c r="A5227" t="s">
        <v>17023</v>
      </c>
      <c r="B5227" t="s">
        <v>17024</v>
      </c>
      <c r="C5227" t="s">
        <v>7972</v>
      </c>
      <c r="D5227" t="s">
        <v>8856</v>
      </c>
      <c r="E5227" t="s">
        <v>17025</v>
      </c>
      <c r="F5227">
        <v>1</v>
      </c>
      <c r="G5227">
        <v>6298475</v>
      </c>
      <c r="H5227" t="s">
        <v>17026</v>
      </c>
      <c r="J5227" s="54" t="s">
        <v>6052</v>
      </c>
      <c r="K5227" s="54">
        <v>0</v>
      </c>
      <c r="L5227" s="22" t="s">
        <v>36805</v>
      </c>
      <c r="M5227" s="22" t="s">
        <v>37234</v>
      </c>
    </row>
    <row r="5228" spans="1:13" x14ac:dyDescent="0.75">
      <c r="A5228" t="s">
        <v>25346</v>
      </c>
      <c r="B5228" t="s">
        <v>17024</v>
      </c>
      <c r="C5228" t="s">
        <v>7972</v>
      </c>
      <c r="D5228" t="s">
        <v>8856</v>
      </c>
      <c r="E5228" t="s">
        <v>25347</v>
      </c>
      <c r="F5228">
        <v>1</v>
      </c>
      <c r="G5228">
        <v>6062106</v>
      </c>
      <c r="H5228" t="s">
        <v>25348</v>
      </c>
      <c r="J5228" s="54" t="s">
        <v>6052</v>
      </c>
      <c r="K5228" s="54">
        <v>0</v>
      </c>
      <c r="L5228" s="22" t="s">
        <v>36805</v>
      </c>
      <c r="M5228" s="22" t="s">
        <v>37234</v>
      </c>
    </row>
    <row r="5229" spans="1:13" x14ac:dyDescent="0.75">
      <c r="A5229" t="s">
        <v>26209</v>
      </c>
      <c r="B5229" t="s">
        <v>13480</v>
      </c>
      <c r="C5229" t="s">
        <v>7972</v>
      </c>
      <c r="D5229" t="s">
        <v>13481</v>
      </c>
      <c r="E5229" t="s">
        <v>26210</v>
      </c>
      <c r="F5229">
        <v>18</v>
      </c>
      <c r="G5229">
        <v>5019075</v>
      </c>
      <c r="H5229" t="s">
        <v>26211</v>
      </c>
      <c r="J5229" s="54" t="s">
        <v>6052</v>
      </c>
      <c r="K5229" s="54">
        <v>0</v>
      </c>
      <c r="L5229" s="22" t="s">
        <v>144</v>
      </c>
      <c r="M5229" s="22" t="s">
        <v>37231</v>
      </c>
    </row>
    <row r="5230" spans="1:13" x14ac:dyDescent="0.75">
      <c r="A5230" t="s">
        <v>18844</v>
      </c>
      <c r="B5230" t="s">
        <v>17024</v>
      </c>
      <c r="C5230" t="s">
        <v>7972</v>
      </c>
      <c r="D5230" t="s">
        <v>8856</v>
      </c>
      <c r="E5230" t="s">
        <v>18845</v>
      </c>
      <c r="F5230">
        <v>1</v>
      </c>
      <c r="G5230">
        <v>6198093</v>
      </c>
      <c r="H5230" t="s">
        <v>18846</v>
      </c>
      <c r="J5230" s="54" t="s">
        <v>6052</v>
      </c>
      <c r="K5230" s="54">
        <v>0</v>
      </c>
      <c r="L5230" s="22" t="s">
        <v>36805</v>
      </c>
      <c r="M5230" s="22" t="s">
        <v>37234</v>
      </c>
    </row>
    <row r="5231" spans="1:13" x14ac:dyDescent="0.75">
      <c r="A5231" t="s">
        <v>28027</v>
      </c>
      <c r="B5231" t="s">
        <v>6569</v>
      </c>
      <c r="C5231" t="s">
        <v>6227</v>
      </c>
      <c r="D5231" t="s">
        <v>6570</v>
      </c>
      <c r="E5231" t="s">
        <v>28028</v>
      </c>
      <c r="F5231">
        <v>1</v>
      </c>
      <c r="G5231">
        <v>2501750</v>
      </c>
      <c r="H5231" t="s">
        <v>28029</v>
      </c>
      <c r="J5231" s="54" t="s">
        <v>6052</v>
      </c>
      <c r="K5231" s="54">
        <v>0</v>
      </c>
      <c r="L5231" s="22" t="s">
        <v>104</v>
      </c>
      <c r="M5231" s="22" t="s">
        <v>37242</v>
      </c>
    </row>
    <row r="5232" spans="1:13" x14ac:dyDescent="0.75">
      <c r="A5232" t="s">
        <v>13868</v>
      </c>
      <c r="B5232" t="s">
        <v>6569</v>
      </c>
      <c r="C5232" t="s">
        <v>6227</v>
      </c>
      <c r="D5232" t="s">
        <v>6570</v>
      </c>
      <c r="E5232" t="s">
        <v>13869</v>
      </c>
      <c r="F5232">
        <v>85</v>
      </c>
      <c r="G5232">
        <v>2469903</v>
      </c>
      <c r="H5232" t="s">
        <v>13870</v>
      </c>
      <c r="J5232" s="54" t="s">
        <v>6052</v>
      </c>
      <c r="K5232" s="54">
        <v>0</v>
      </c>
      <c r="L5232" s="22" t="s">
        <v>104</v>
      </c>
      <c r="M5232" s="22" t="s">
        <v>37242</v>
      </c>
    </row>
    <row r="5233" spans="1:13" x14ac:dyDescent="0.75">
      <c r="A5233" t="s">
        <v>14028</v>
      </c>
      <c r="B5233" t="s">
        <v>6569</v>
      </c>
      <c r="C5233" t="s">
        <v>6227</v>
      </c>
      <c r="D5233" t="s">
        <v>6570</v>
      </c>
      <c r="E5233" t="s">
        <v>13866</v>
      </c>
      <c r="F5233">
        <v>68</v>
      </c>
      <c r="G5233">
        <v>2446762</v>
      </c>
      <c r="H5233" t="s">
        <v>14029</v>
      </c>
      <c r="J5233" s="54" t="s">
        <v>6052</v>
      </c>
      <c r="K5233" s="54">
        <v>0</v>
      </c>
      <c r="L5233" s="22" t="s">
        <v>104</v>
      </c>
      <c r="M5233" s="22" t="s">
        <v>37242</v>
      </c>
    </row>
    <row r="5234" spans="1:13" x14ac:dyDescent="0.75">
      <c r="A5234" t="s">
        <v>28156</v>
      </c>
      <c r="B5234" t="s">
        <v>6569</v>
      </c>
      <c r="C5234" t="s">
        <v>6227</v>
      </c>
      <c r="D5234" t="s">
        <v>6570</v>
      </c>
      <c r="E5234" t="s">
        <v>28157</v>
      </c>
      <c r="F5234">
        <v>11</v>
      </c>
      <c r="G5234">
        <v>2453562</v>
      </c>
      <c r="H5234" t="s">
        <v>28158</v>
      </c>
      <c r="J5234" s="54" t="s">
        <v>6052</v>
      </c>
      <c r="K5234" s="54">
        <v>0</v>
      </c>
      <c r="L5234" s="22" t="s">
        <v>104</v>
      </c>
      <c r="M5234" s="22" t="s">
        <v>37242</v>
      </c>
    </row>
    <row r="5235" spans="1:13" x14ac:dyDescent="0.75">
      <c r="A5235" t="s">
        <v>25147</v>
      </c>
      <c r="B5235" t="s">
        <v>6569</v>
      </c>
      <c r="C5235" t="s">
        <v>6227</v>
      </c>
      <c r="D5235" t="s">
        <v>6570</v>
      </c>
      <c r="E5235" t="s">
        <v>25148</v>
      </c>
      <c r="F5235">
        <v>47</v>
      </c>
      <c r="G5235">
        <v>2489860</v>
      </c>
      <c r="H5235" t="s">
        <v>25149</v>
      </c>
      <c r="J5235" s="54" t="s">
        <v>6052</v>
      </c>
      <c r="K5235" s="54">
        <v>0</v>
      </c>
      <c r="L5235" s="22" t="s">
        <v>104</v>
      </c>
      <c r="M5235" s="22" t="s">
        <v>37242</v>
      </c>
    </row>
    <row r="5236" spans="1:13" x14ac:dyDescent="0.75">
      <c r="A5236" t="s">
        <v>25132</v>
      </c>
      <c r="B5236" t="s">
        <v>6569</v>
      </c>
      <c r="C5236" t="s">
        <v>6227</v>
      </c>
      <c r="D5236" t="s">
        <v>6570</v>
      </c>
      <c r="E5236" t="s">
        <v>25133</v>
      </c>
      <c r="F5236">
        <v>57</v>
      </c>
      <c r="G5236">
        <v>2457731</v>
      </c>
      <c r="H5236" t="s">
        <v>25134</v>
      </c>
      <c r="J5236" s="54" t="s">
        <v>6052</v>
      </c>
      <c r="K5236" s="54">
        <v>0</v>
      </c>
      <c r="L5236" s="22" t="s">
        <v>104</v>
      </c>
      <c r="M5236" s="22" t="s">
        <v>37242</v>
      </c>
    </row>
    <row r="5237" spans="1:13" x14ac:dyDescent="0.75">
      <c r="A5237" t="s">
        <v>25129</v>
      </c>
      <c r="B5237" t="s">
        <v>6569</v>
      </c>
      <c r="C5237" t="s">
        <v>6227</v>
      </c>
      <c r="D5237" t="s">
        <v>6570</v>
      </c>
      <c r="E5237" t="s">
        <v>25130</v>
      </c>
      <c r="F5237">
        <v>36</v>
      </c>
      <c r="G5237">
        <v>2462448</v>
      </c>
      <c r="H5237" t="s">
        <v>25131</v>
      </c>
      <c r="J5237" s="54" t="s">
        <v>6052</v>
      </c>
      <c r="K5237" s="54">
        <v>0</v>
      </c>
      <c r="L5237" s="22" t="s">
        <v>104</v>
      </c>
      <c r="M5237" s="22" t="s">
        <v>37242</v>
      </c>
    </row>
    <row r="5238" spans="1:13" x14ac:dyDescent="0.75">
      <c r="A5238" t="s">
        <v>25135</v>
      </c>
      <c r="B5238" t="s">
        <v>6569</v>
      </c>
      <c r="C5238" t="s">
        <v>6227</v>
      </c>
      <c r="D5238" t="s">
        <v>6570</v>
      </c>
      <c r="E5238" t="s">
        <v>25136</v>
      </c>
      <c r="F5238">
        <v>26</v>
      </c>
      <c r="G5238">
        <v>2414940</v>
      </c>
      <c r="H5238" t="s">
        <v>25137</v>
      </c>
      <c r="J5238" s="54" t="s">
        <v>6052</v>
      </c>
      <c r="K5238" s="54">
        <v>0</v>
      </c>
      <c r="L5238" s="22" t="s">
        <v>104</v>
      </c>
      <c r="M5238" s="22" t="s">
        <v>37242</v>
      </c>
    </row>
    <row r="5239" spans="1:13" x14ac:dyDescent="0.75">
      <c r="A5239" t="s">
        <v>29179</v>
      </c>
      <c r="B5239" t="s">
        <v>6569</v>
      </c>
      <c r="C5239" t="s">
        <v>6227</v>
      </c>
      <c r="D5239" t="s">
        <v>6570</v>
      </c>
      <c r="E5239" t="s">
        <v>29180</v>
      </c>
      <c r="F5239">
        <v>123</v>
      </c>
      <c r="G5239">
        <v>2362988</v>
      </c>
      <c r="H5239" t="s">
        <v>29181</v>
      </c>
      <c r="J5239" s="54" t="s">
        <v>6052</v>
      </c>
      <c r="K5239" s="54">
        <v>0</v>
      </c>
      <c r="L5239" s="22" t="s">
        <v>104</v>
      </c>
      <c r="M5239" s="22" t="s">
        <v>37242</v>
      </c>
    </row>
    <row r="5240" spans="1:13" x14ac:dyDescent="0.75">
      <c r="A5240" t="s">
        <v>29389</v>
      </c>
      <c r="B5240" t="s">
        <v>6569</v>
      </c>
      <c r="C5240" t="s">
        <v>6227</v>
      </c>
      <c r="D5240" t="s">
        <v>6570</v>
      </c>
      <c r="E5240" t="s">
        <v>29390</v>
      </c>
      <c r="F5240">
        <v>194</v>
      </c>
      <c r="G5240">
        <v>2293427</v>
      </c>
      <c r="H5240" t="s">
        <v>29391</v>
      </c>
      <c r="J5240" s="54" t="s">
        <v>6052</v>
      </c>
      <c r="K5240" s="54">
        <v>0</v>
      </c>
      <c r="L5240" s="22" t="s">
        <v>104</v>
      </c>
      <c r="M5240" s="22" t="s">
        <v>37242</v>
      </c>
    </row>
    <row r="5241" spans="1:13" x14ac:dyDescent="0.75">
      <c r="A5241" t="s">
        <v>28923</v>
      </c>
      <c r="B5241" t="s">
        <v>6569</v>
      </c>
      <c r="C5241" t="s">
        <v>6227</v>
      </c>
      <c r="D5241" t="s">
        <v>6570</v>
      </c>
      <c r="E5241" t="s">
        <v>28924</v>
      </c>
      <c r="F5241">
        <v>63</v>
      </c>
      <c r="G5241">
        <v>2480934</v>
      </c>
      <c r="H5241" t="s">
        <v>28925</v>
      </c>
      <c r="J5241" s="54" t="s">
        <v>6052</v>
      </c>
      <c r="K5241" s="54">
        <v>0</v>
      </c>
      <c r="L5241" s="22" t="s">
        <v>104</v>
      </c>
      <c r="M5241" s="22" t="s">
        <v>37242</v>
      </c>
    </row>
    <row r="5242" spans="1:13" x14ac:dyDescent="0.75">
      <c r="A5242" t="s">
        <v>18233</v>
      </c>
      <c r="B5242" t="s">
        <v>6569</v>
      </c>
      <c r="C5242" t="s">
        <v>6227</v>
      </c>
      <c r="D5242" t="s">
        <v>6570</v>
      </c>
      <c r="E5242" t="s">
        <v>18234</v>
      </c>
      <c r="F5242">
        <v>36</v>
      </c>
      <c r="G5242">
        <v>2597203</v>
      </c>
      <c r="H5242" t="s">
        <v>18235</v>
      </c>
      <c r="J5242" s="54" t="s">
        <v>6052</v>
      </c>
      <c r="K5242" s="54">
        <v>0</v>
      </c>
      <c r="L5242" s="22" t="s">
        <v>104</v>
      </c>
      <c r="M5242" s="22" t="s">
        <v>37242</v>
      </c>
    </row>
    <row r="5243" spans="1:13" x14ac:dyDescent="0.75">
      <c r="A5243" t="s">
        <v>14338</v>
      </c>
      <c r="B5243" t="s">
        <v>6569</v>
      </c>
      <c r="C5243" t="s">
        <v>6227</v>
      </c>
      <c r="D5243" t="s">
        <v>6570</v>
      </c>
      <c r="E5243" t="s">
        <v>14339</v>
      </c>
      <c r="F5243">
        <v>11</v>
      </c>
      <c r="G5243">
        <v>2494324</v>
      </c>
      <c r="H5243" t="s">
        <v>14340</v>
      </c>
      <c r="J5243" s="54" t="s">
        <v>6052</v>
      </c>
      <c r="K5243" s="54">
        <v>0</v>
      </c>
      <c r="L5243" s="22" t="s">
        <v>104</v>
      </c>
      <c r="M5243" s="22" t="s">
        <v>37242</v>
      </c>
    </row>
    <row r="5244" spans="1:13" x14ac:dyDescent="0.75">
      <c r="A5244" t="s">
        <v>11099</v>
      </c>
      <c r="B5244" t="s">
        <v>11100</v>
      </c>
      <c r="C5244" t="s">
        <v>6227</v>
      </c>
      <c r="D5244" t="s">
        <v>11101</v>
      </c>
      <c r="E5244" t="s">
        <v>11102</v>
      </c>
      <c r="F5244">
        <v>22</v>
      </c>
      <c r="G5244">
        <v>2236745</v>
      </c>
      <c r="H5244" t="s">
        <v>11103</v>
      </c>
      <c r="J5244" s="54" t="s">
        <v>6052</v>
      </c>
      <c r="K5244" s="54">
        <v>0</v>
      </c>
      <c r="L5244" s="22" t="s">
        <v>104</v>
      </c>
      <c r="M5244" s="22" t="s">
        <v>37243</v>
      </c>
    </row>
    <row r="5245" spans="1:13" x14ac:dyDescent="0.75">
      <c r="A5245" t="s">
        <v>11166</v>
      </c>
      <c r="B5245" t="s">
        <v>11100</v>
      </c>
      <c r="C5245" t="s">
        <v>6227</v>
      </c>
      <c r="D5245" t="s">
        <v>11101</v>
      </c>
      <c r="E5245" t="s">
        <v>11167</v>
      </c>
      <c r="F5245">
        <v>66</v>
      </c>
      <c r="G5245">
        <v>2271708</v>
      </c>
      <c r="H5245" t="s">
        <v>11168</v>
      </c>
      <c r="J5245" s="54" t="s">
        <v>6052</v>
      </c>
      <c r="K5245" s="54">
        <v>0</v>
      </c>
      <c r="L5245" s="22" t="s">
        <v>104</v>
      </c>
      <c r="M5245" s="22" t="s">
        <v>37243</v>
      </c>
    </row>
    <row r="5246" spans="1:13" x14ac:dyDescent="0.75">
      <c r="A5246" t="s">
        <v>11169</v>
      </c>
      <c r="B5246" t="s">
        <v>11100</v>
      </c>
      <c r="C5246" t="s">
        <v>6227</v>
      </c>
      <c r="D5246" t="s">
        <v>11101</v>
      </c>
      <c r="E5246" t="s">
        <v>11170</v>
      </c>
      <c r="F5246">
        <v>168</v>
      </c>
      <c r="G5246">
        <v>2232412</v>
      </c>
      <c r="H5246" t="s">
        <v>11171</v>
      </c>
      <c r="J5246" s="54" t="s">
        <v>6052</v>
      </c>
      <c r="K5246" s="54">
        <v>0</v>
      </c>
      <c r="L5246" s="22" t="s">
        <v>104</v>
      </c>
      <c r="M5246" s="22" t="s">
        <v>37243</v>
      </c>
    </row>
    <row r="5247" spans="1:13" x14ac:dyDescent="0.75">
      <c r="A5247" t="s">
        <v>29995</v>
      </c>
      <c r="B5247" t="s">
        <v>11100</v>
      </c>
      <c r="C5247" t="s">
        <v>6227</v>
      </c>
      <c r="D5247" t="s">
        <v>11101</v>
      </c>
      <c r="E5247" t="s">
        <v>29996</v>
      </c>
      <c r="F5247">
        <v>23</v>
      </c>
      <c r="G5247">
        <v>2181303</v>
      </c>
      <c r="H5247" t="s">
        <v>29997</v>
      </c>
      <c r="J5247" s="54" t="s">
        <v>6052</v>
      </c>
      <c r="K5247" s="54">
        <v>0</v>
      </c>
      <c r="L5247" s="22" t="s">
        <v>104</v>
      </c>
      <c r="M5247" s="22" t="s">
        <v>37243</v>
      </c>
    </row>
    <row r="5248" spans="1:13" x14ac:dyDescent="0.75">
      <c r="A5248" t="s">
        <v>13034</v>
      </c>
      <c r="B5248" t="s">
        <v>11100</v>
      </c>
      <c r="C5248" t="s">
        <v>6227</v>
      </c>
      <c r="D5248" t="s">
        <v>11101</v>
      </c>
      <c r="E5248" t="s">
        <v>13035</v>
      </c>
      <c r="F5248">
        <v>72</v>
      </c>
      <c r="G5248">
        <v>2271942</v>
      </c>
      <c r="H5248" t="s">
        <v>13036</v>
      </c>
      <c r="J5248" s="54" t="s">
        <v>6052</v>
      </c>
      <c r="K5248" s="54">
        <v>0</v>
      </c>
      <c r="L5248" s="22" t="s">
        <v>104</v>
      </c>
      <c r="M5248" s="22" t="s">
        <v>37243</v>
      </c>
    </row>
    <row r="5249" spans="1:13" x14ac:dyDescent="0.75">
      <c r="A5249" t="s">
        <v>12847</v>
      </c>
      <c r="B5249" t="s">
        <v>11100</v>
      </c>
      <c r="C5249" t="s">
        <v>6227</v>
      </c>
      <c r="D5249" t="s">
        <v>11101</v>
      </c>
      <c r="E5249" t="s">
        <v>12848</v>
      </c>
      <c r="F5249">
        <v>72</v>
      </c>
      <c r="G5249">
        <v>2239545</v>
      </c>
      <c r="H5249" t="s">
        <v>12849</v>
      </c>
      <c r="J5249" s="54" t="s">
        <v>6052</v>
      </c>
      <c r="K5249" s="54">
        <v>0</v>
      </c>
      <c r="L5249" s="22" t="s">
        <v>104</v>
      </c>
      <c r="M5249" s="22" t="s">
        <v>37243</v>
      </c>
    </row>
    <row r="5250" spans="1:13" x14ac:dyDescent="0.75">
      <c r="A5250" t="s">
        <v>25038</v>
      </c>
      <c r="B5250" t="s">
        <v>6385</v>
      </c>
      <c r="C5250" t="s">
        <v>6386</v>
      </c>
      <c r="D5250" t="s">
        <v>6387</v>
      </c>
      <c r="E5250" t="s">
        <v>25039</v>
      </c>
      <c r="F5250">
        <v>1</v>
      </c>
      <c r="G5250">
        <v>3912233</v>
      </c>
      <c r="H5250" t="s">
        <v>25040</v>
      </c>
      <c r="J5250" s="54" t="s">
        <v>6052</v>
      </c>
      <c r="K5250" s="54">
        <v>0</v>
      </c>
      <c r="L5250" s="22" t="s">
        <v>144</v>
      </c>
      <c r="M5250" s="22" t="s">
        <v>37239</v>
      </c>
    </row>
    <row r="5251" spans="1:13" x14ac:dyDescent="0.75">
      <c r="A5251" t="s">
        <v>19006</v>
      </c>
      <c r="B5251" t="s">
        <v>6385</v>
      </c>
      <c r="C5251" t="s">
        <v>6386</v>
      </c>
      <c r="D5251" t="s">
        <v>6387</v>
      </c>
      <c r="E5251" t="s">
        <v>12022</v>
      </c>
      <c r="F5251">
        <v>1</v>
      </c>
      <c r="G5251">
        <v>3616128</v>
      </c>
      <c r="H5251" t="s">
        <v>19007</v>
      </c>
      <c r="J5251" s="54" t="s">
        <v>6052</v>
      </c>
      <c r="K5251" s="54">
        <v>0</v>
      </c>
      <c r="L5251" s="22" t="s">
        <v>144</v>
      </c>
      <c r="M5251" s="22" t="s">
        <v>37239</v>
      </c>
    </row>
    <row r="5252" spans="1:13" x14ac:dyDescent="0.75">
      <c r="A5252" t="s">
        <v>11587</v>
      </c>
      <c r="B5252" t="s">
        <v>6385</v>
      </c>
      <c r="C5252" t="s">
        <v>6386</v>
      </c>
      <c r="D5252" t="s">
        <v>6387</v>
      </c>
      <c r="E5252" t="s">
        <v>11588</v>
      </c>
      <c r="F5252">
        <v>83</v>
      </c>
      <c r="G5252">
        <v>3607570</v>
      </c>
      <c r="H5252" t="s">
        <v>11589</v>
      </c>
      <c r="J5252" s="54" t="s">
        <v>6052</v>
      </c>
      <c r="K5252" s="54">
        <v>0</v>
      </c>
      <c r="L5252" s="22" t="s">
        <v>144</v>
      </c>
      <c r="M5252" s="22" t="s">
        <v>37239</v>
      </c>
    </row>
    <row r="5253" spans="1:13" x14ac:dyDescent="0.75">
      <c r="A5253" t="s">
        <v>11584</v>
      </c>
      <c r="B5253" t="s">
        <v>6385</v>
      </c>
      <c r="C5253" t="s">
        <v>6386</v>
      </c>
      <c r="D5253" t="s">
        <v>6387</v>
      </c>
      <c r="E5253" t="s">
        <v>11585</v>
      </c>
      <c r="F5253">
        <v>72</v>
      </c>
      <c r="G5253">
        <v>3675736</v>
      </c>
      <c r="H5253" t="s">
        <v>11586</v>
      </c>
      <c r="J5253" s="54" t="s">
        <v>6052</v>
      </c>
      <c r="K5253" s="54">
        <v>0</v>
      </c>
      <c r="L5253" s="22" t="s">
        <v>144</v>
      </c>
      <c r="M5253" s="22" t="s">
        <v>37239</v>
      </c>
    </row>
    <row r="5254" spans="1:13" x14ac:dyDescent="0.75">
      <c r="A5254" t="s">
        <v>10078</v>
      </c>
      <c r="B5254" t="s">
        <v>6385</v>
      </c>
      <c r="C5254" t="s">
        <v>6386</v>
      </c>
      <c r="D5254" t="s">
        <v>6387</v>
      </c>
      <c r="E5254" t="s">
        <v>10079</v>
      </c>
      <c r="F5254">
        <v>80</v>
      </c>
      <c r="G5254">
        <v>3760501</v>
      </c>
      <c r="H5254" t="s">
        <v>10080</v>
      </c>
      <c r="J5254" s="54" t="s">
        <v>6052</v>
      </c>
      <c r="K5254" s="54">
        <v>0</v>
      </c>
      <c r="L5254" s="22" t="s">
        <v>144</v>
      </c>
      <c r="M5254" s="22" t="s">
        <v>37239</v>
      </c>
    </row>
    <row r="5255" spans="1:13" x14ac:dyDescent="0.75">
      <c r="A5255" t="s">
        <v>15190</v>
      </c>
      <c r="B5255" t="s">
        <v>6385</v>
      </c>
      <c r="C5255" t="s">
        <v>6386</v>
      </c>
      <c r="D5255" t="s">
        <v>6387</v>
      </c>
      <c r="E5255" t="s">
        <v>15191</v>
      </c>
      <c r="F5255">
        <v>30</v>
      </c>
      <c r="G5255">
        <v>3668822</v>
      </c>
      <c r="H5255" t="s">
        <v>15192</v>
      </c>
      <c r="J5255" s="54" t="s">
        <v>6052</v>
      </c>
      <c r="K5255" s="54">
        <v>0</v>
      </c>
      <c r="L5255" s="22" t="s">
        <v>144</v>
      </c>
      <c r="M5255" s="22" t="s">
        <v>37239</v>
      </c>
    </row>
    <row r="5256" spans="1:13" x14ac:dyDescent="0.75">
      <c r="A5256" t="s">
        <v>27147</v>
      </c>
      <c r="B5256" t="s">
        <v>6385</v>
      </c>
      <c r="C5256" t="s">
        <v>6386</v>
      </c>
      <c r="D5256" t="s">
        <v>6387</v>
      </c>
      <c r="E5256" t="s">
        <v>27148</v>
      </c>
      <c r="F5256">
        <v>68</v>
      </c>
      <c r="G5256">
        <v>3864762</v>
      </c>
      <c r="H5256" t="s">
        <v>27149</v>
      </c>
      <c r="J5256" s="54" t="s">
        <v>6052</v>
      </c>
      <c r="K5256" s="54">
        <v>0</v>
      </c>
      <c r="L5256" s="22" t="s">
        <v>144</v>
      </c>
      <c r="M5256" s="22" t="s">
        <v>37239</v>
      </c>
    </row>
    <row r="5257" spans="1:13" x14ac:dyDescent="0.75">
      <c r="A5257" t="s">
        <v>10081</v>
      </c>
      <c r="B5257" t="s">
        <v>6385</v>
      </c>
      <c r="C5257" t="s">
        <v>6386</v>
      </c>
      <c r="D5257" t="s">
        <v>6387</v>
      </c>
      <c r="E5257" t="s">
        <v>10082</v>
      </c>
      <c r="F5257">
        <v>75</v>
      </c>
      <c r="G5257">
        <v>3760694</v>
      </c>
      <c r="H5257" t="s">
        <v>10083</v>
      </c>
      <c r="J5257" s="54" t="s">
        <v>6052</v>
      </c>
      <c r="K5257" s="54">
        <v>0</v>
      </c>
      <c r="L5257" s="22" t="s">
        <v>144</v>
      </c>
      <c r="M5257" s="22" t="s">
        <v>37239</v>
      </c>
    </row>
    <row r="5258" spans="1:13" x14ac:dyDescent="0.75">
      <c r="A5258" t="s">
        <v>6384</v>
      </c>
      <c r="B5258" t="s">
        <v>6385</v>
      </c>
      <c r="C5258" t="s">
        <v>6386</v>
      </c>
      <c r="D5258" t="s">
        <v>6387</v>
      </c>
      <c r="E5258" t="s">
        <v>6388</v>
      </c>
      <c r="F5258">
        <v>2</v>
      </c>
      <c r="G5258">
        <v>3871920</v>
      </c>
      <c r="H5258" t="s">
        <v>6389</v>
      </c>
      <c r="J5258" s="54" t="s">
        <v>6052</v>
      </c>
      <c r="K5258" s="54">
        <v>0</v>
      </c>
      <c r="L5258" s="22" t="s">
        <v>144</v>
      </c>
      <c r="M5258" s="22" t="s">
        <v>37239</v>
      </c>
    </row>
    <row r="5259" spans="1:13" x14ac:dyDescent="0.75">
      <c r="A5259" t="s">
        <v>24282</v>
      </c>
      <c r="B5259" t="s">
        <v>8791</v>
      </c>
      <c r="C5259" t="s">
        <v>8792</v>
      </c>
      <c r="D5259" t="s">
        <v>7120</v>
      </c>
      <c r="E5259" t="s">
        <v>24283</v>
      </c>
      <c r="F5259">
        <v>6</v>
      </c>
      <c r="G5259">
        <v>5007091</v>
      </c>
      <c r="H5259" t="s">
        <v>24284</v>
      </c>
      <c r="J5259" s="54" t="s">
        <v>6052</v>
      </c>
      <c r="K5259" s="54">
        <v>0</v>
      </c>
      <c r="L5259" s="22" t="s">
        <v>1563</v>
      </c>
      <c r="M5259" s="22" t="s">
        <v>37240</v>
      </c>
    </row>
    <row r="5260" spans="1:13" x14ac:dyDescent="0.75">
      <c r="A5260" t="s">
        <v>23005</v>
      </c>
      <c r="B5260" t="s">
        <v>23006</v>
      </c>
      <c r="C5260" t="s">
        <v>8792</v>
      </c>
      <c r="D5260" t="s">
        <v>11502</v>
      </c>
      <c r="E5260" t="s">
        <v>23007</v>
      </c>
      <c r="F5260">
        <v>2</v>
      </c>
      <c r="G5260">
        <v>4624884</v>
      </c>
      <c r="H5260" t="s">
        <v>23008</v>
      </c>
      <c r="J5260" s="54" t="s">
        <v>6052</v>
      </c>
      <c r="K5260" s="54">
        <v>0</v>
      </c>
      <c r="L5260" s="22" t="s">
        <v>144</v>
      </c>
      <c r="M5260" s="22" t="s">
        <v>37241</v>
      </c>
    </row>
    <row r="5261" spans="1:13" x14ac:dyDescent="0.75">
      <c r="A5261" t="s">
        <v>10368</v>
      </c>
      <c r="B5261" t="s">
        <v>8791</v>
      </c>
      <c r="C5261" t="s">
        <v>8792</v>
      </c>
      <c r="D5261" t="s">
        <v>7120</v>
      </c>
      <c r="E5261" t="s">
        <v>10369</v>
      </c>
      <c r="F5261">
        <v>90</v>
      </c>
      <c r="G5261">
        <v>4864580</v>
      </c>
      <c r="H5261" t="s">
        <v>10370</v>
      </c>
      <c r="J5261" s="54" t="s">
        <v>6052</v>
      </c>
      <c r="K5261" s="54">
        <v>0</v>
      </c>
      <c r="L5261" s="22" t="s">
        <v>1563</v>
      </c>
      <c r="M5261" s="22" t="s">
        <v>37240</v>
      </c>
    </row>
    <row r="5262" spans="1:13" x14ac:dyDescent="0.75">
      <c r="A5262" t="s">
        <v>11741</v>
      </c>
      <c r="B5262" t="s">
        <v>8791</v>
      </c>
      <c r="C5262" t="s">
        <v>8792</v>
      </c>
      <c r="D5262" t="s">
        <v>7120</v>
      </c>
      <c r="E5262" t="s">
        <v>11742</v>
      </c>
      <c r="F5262">
        <v>249</v>
      </c>
      <c r="G5262">
        <v>4741248</v>
      </c>
      <c r="H5262" t="s">
        <v>11743</v>
      </c>
      <c r="J5262" s="54" t="s">
        <v>6052</v>
      </c>
      <c r="K5262" s="54">
        <v>0</v>
      </c>
      <c r="L5262" s="22" t="s">
        <v>1563</v>
      </c>
      <c r="M5262" s="22" t="s">
        <v>37240</v>
      </c>
    </row>
    <row r="5263" spans="1:13" x14ac:dyDescent="0.75">
      <c r="A5263" t="s">
        <v>8790</v>
      </c>
      <c r="B5263" t="s">
        <v>8791</v>
      </c>
      <c r="C5263" t="s">
        <v>8792</v>
      </c>
      <c r="D5263" t="s">
        <v>7120</v>
      </c>
      <c r="E5263" t="s">
        <v>8793</v>
      </c>
      <c r="F5263">
        <v>228</v>
      </c>
      <c r="G5263">
        <v>4719255</v>
      </c>
      <c r="H5263" t="s">
        <v>8794</v>
      </c>
      <c r="J5263" s="54" t="s">
        <v>6052</v>
      </c>
      <c r="K5263" s="54">
        <v>0</v>
      </c>
      <c r="L5263" s="22" t="s">
        <v>1563</v>
      </c>
      <c r="M5263" s="22" t="s">
        <v>37240</v>
      </c>
    </row>
    <row r="5264" spans="1:13" x14ac:dyDescent="0.75">
      <c r="A5264" t="s">
        <v>14138</v>
      </c>
      <c r="B5264" t="s">
        <v>8791</v>
      </c>
      <c r="C5264" t="s">
        <v>8792</v>
      </c>
      <c r="D5264" t="s">
        <v>7120</v>
      </c>
      <c r="E5264" t="s">
        <v>14139</v>
      </c>
      <c r="F5264">
        <v>8</v>
      </c>
      <c r="G5264">
        <v>5174209</v>
      </c>
      <c r="H5264" t="s">
        <v>14140</v>
      </c>
      <c r="J5264" s="54" t="s">
        <v>6052</v>
      </c>
      <c r="K5264" s="54">
        <v>0</v>
      </c>
      <c r="L5264" s="22" t="s">
        <v>1563</v>
      </c>
      <c r="M5264" s="22" t="s">
        <v>37240</v>
      </c>
    </row>
    <row r="5265" spans="1:13" x14ac:dyDescent="0.75">
      <c r="A5265" t="s">
        <v>17410</v>
      </c>
      <c r="B5265" t="s">
        <v>8791</v>
      </c>
      <c r="C5265" t="s">
        <v>8792</v>
      </c>
      <c r="D5265" t="s">
        <v>7120</v>
      </c>
      <c r="E5265" t="s">
        <v>17411</v>
      </c>
      <c r="F5265">
        <v>5</v>
      </c>
      <c r="G5265">
        <v>4996294</v>
      </c>
      <c r="H5265" t="s">
        <v>17412</v>
      </c>
      <c r="J5265" s="54" t="s">
        <v>6052</v>
      </c>
      <c r="K5265" s="54">
        <v>0</v>
      </c>
      <c r="L5265" s="22" t="s">
        <v>1563</v>
      </c>
      <c r="M5265" s="22" t="s">
        <v>37240</v>
      </c>
    </row>
    <row r="5266" spans="1:13" x14ac:dyDescent="0.75">
      <c r="A5266" t="s">
        <v>24285</v>
      </c>
      <c r="B5266" t="s">
        <v>8791</v>
      </c>
      <c r="C5266" t="s">
        <v>8792</v>
      </c>
      <c r="D5266" t="s">
        <v>7120</v>
      </c>
      <c r="E5266" t="s">
        <v>24286</v>
      </c>
      <c r="F5266">
        <v>6</v>
      </c>
      <c r="G5266">
        <v>4878034</v>
      </c>
      <c r="H5266" t="s">
        <v>24287</v>
      </c>
      <c r="J5266" s="54" t="s">
        <v>6052</v>
      </c>
      <c r="K5266" s="54">
        <v>0</v>
      </c>
      <c r="L5266" s="22" t="s">
        <v>1563</v>
      </c>
      <c r="M5266" s="22" t="s">
        <v>37240</v>
      </c>
    </row>
    <row r="5267" spans="1:13" x14ac:dyDescent="0.75">
      <c r="A5267" t="s">
        <v>27582</v>
      </c>
      <c r="B5267" t="s">
        <v>8791</v>
      </c>
      <c r="C5267" t="s">
        <v>8792</v>
      </c>
      <c r="D5267" t="s">
        <v>7120</v>
      </c>
      <c r="E5267" t="s">
        <v>27583</v>
      </c>
      <c r="F5267">
        <v>4</v>
      </c>
      <c r="G5267">
        <v>5000569</v>
      </c>
      <c r="H5267" t="s">
        <v>27584</v>
      </c>
      <c r="J5267" s="54" t="s">
        <v>6052</v>
      </c>
      <c r="K5267" s="54">
        <v>0</v>
      </c>
      <c r="L5267" s="22" t="s">
        <v>1563</v>
      </c>
      <c r="M5267" s="22" t="s">
        <v>37240</v>
      </c>
    </row>
    <row r="5268" spans="1:13" x14ac:dyDescent="0.75">
      <c r="A5268" t="s">
        <v>17047</v>
      </c>
      <c r="B5268" t="s">
        <v>8791</v>
      </c>
      <c r="C5268" t="s">
        <v>8792</v>
      </c>
      <c r="D5268" t="s">
        <v>7120</v>
      </c>
      <c r="E5268" t="s">
        <v>17048</v>
      </c>
      <c r="F5268">
        <v>5</v>
      </c>
      <c r="G5268">
        <v>4974701</v>
      </c>
      <c r="H5268" t="s">
        <v>17049</v>
      </c>
      <c r="J5268" s="54" t="s">
        <v>6052</v>
      </c>
      <c r="K5268" s="54">
        <v>0</v>
      </c>
      <c r="L5268" s="22" t="s">
        <v>1563</v>
      </c>
      <c r="M5268" s="22" t="s">
        <v>37240</v>
      </c>
    </row>
    <row r="5269" spans="1:13" x14ac:dyDescent="0.75">
      <c r="A5269" t="s">
        <v>23413</v>
      </c>
      <c r="B5269" t="s">
        <v>8791</v>
      </c>
      <c r="C5269" t="s">
        <v>8792</v>
      </c>
      <c r="D5269" t="s">
        <v>7120</v>
      </c>
      <c r="E5269" t="s">
        <v>23414</v>
      </c>
      <c r="F5269">
        <v>10</v>
      </c>
      <c r="G5269">
        <v>5531171</v>
      </c>
      <c r="H5269" t="s">
        <v>23415</v>
      </c>
      <c r="J5269" s="54" t="s">
        <v>6052</v>
      </c>
      <c r="K5269" s="54">
        <v>0</v>
      </c>
      <c r="L5269" s="22" t="s">
        <v>1563</v>
      </c>
      <c r="M5269" s="22" t="s">
        <v>37240</v>
      </c>
    </row>
    <row r="5270" spans="1:13" x14ac:dyDescent="0.75">
      <c r="A5270" t="s">
        <v>12702</v>
      </c>
      <c r="B5270" t="s">
        <v>11100</v>
      </c>
      <c r="C5270" t="s">
        <v>6227</v>
      </c>
      <c r="D5270" t="s">
        <v>11101</v>
      </c>
      <c r="E5270" t="s">
        <v>12703</v>
      </c>
      <c r="F5270">
        <v>74</v>
      </c>
      <c r="G5270">
        <v>2235828</v>
      </c>
      <c r="H5270" t="s">
        <v>12704</v>
      </c>
      <c r="J5270" s="54" t="s">
        <v>6052</v>
      </c>
      <c r="K5270" s="54">
        <v>0</v>
      </c>
      <c r="L5270" s="22" t="s">
        <v>104</v>
      </c>
      <c r="M5270" s="22" t="s">
        <v>37243</v>
      </c>
    </row>
    <row r="5271" spans="1:13" x14ac:dyDescent="0.75">
      <c r="A5271" t="s">
        <v>12921</v>
      </c>
      <c r="B5271" t="s">
        <v>11100</v>
      </c>
      <c r="C5271" t="s">
        <v>6227</v>
      </c>
      <c r="D5271" t="s">
        <v>11101</v>
      </c>
      <c r="E5271" t="s">
        <v>12922</v>
      </c>
      <c r="F5271">
        <v>81</v>
      </c>
      <c r="G5271">
        <v>2245099</v>
      </c>
      <c r="H5271" t="s">
        <v>12923</v>
      </c>
      <c r="J5271" s="54" t="s">
        <v>6052</v>
      </c>
      <c r="K5271" s="54">
        <v>0</v>
      </c>
      <c r="L5271" s="22" t="s">
        <v>104</v>
      </c>
      <c r="M5271" s="22" t="s">
        <v>37243</v>
      </c>
    </row>
    <row r="5272" spans="1:13" x14ac:dyDescent="0.75">
      <c r="A5272" t="s">
        <v>5622</v>
      </c>
      <c r="B5272" t="s">
        <v>2965</v>
      </c>
      <c r="C5272" t="s">
        <v>6227</v>
      </c>
      <c r="D5272" t="s">
        <v>6228</v>
      </c>
      <c r="E5272" t="s">
        <v>29325</v>
      </c>
      <c r="F5272">
        <v>93</v>
      </c>
      <c r="G5272">
        <v>2379505</v>
      </c>
      <c r="H5272" t="s">
        <v>29326</v>
      </c>
      <c r="J5272" s="54" t="s">
        <v>30844</v>
      </c>
      <c r="K5272" s="54">
        <v>1</v>
      </c>
      <c r="L5272" s="22" t="s">
        <v>104</v>
      </c>
      <c r="M5272" s="22" t="s">
        <v>36830</v>
      </c>
    </row>
    <row r="5273" spans="1:13" x14ac:dyDescent="0.75">
      <c r="A5273" t="s">
        <v>2964</v>
      </c>
      <c r="B5273" t="s">
        <v>2965</v>
      </c>
      <c r="C5273" t="s">
        <v>6227</v>
      </c>
      <c r="D5273" t="s">
        <v>6228</v>
      </c>
      <c r="E5273" t="s">
        <v>19326</v>
      </c>
      <c r="F5273">
        <v>113</v>
      </c>
      <c r="G5273">
        <v>2370162</v>
      </c>
      <c r="H5273" t="s">
        <v>19327</v>
      </c>
      <c r="J5273" s="54" t="s">
        <v>19326</v>
      </c>
      <c r="K5273" s="54">
        <v>1</v>
      </c>
      <c r="L5273" s="22" t="s">
        <v>104</v>
      </c>
      <c r="M5273" s="22" t="s">
        <v>36830</v>
      </c>
    </row>
    <row r="5274" spans="1:13" x14ac:dyDescent="0.75">
      <c r="A5274" t="s">
        <v>13171</v>
      </c>
      <c r="B5274" t="s">
        <v>2965</v>
      </c>
      <c r="C5274" t="s">
        <v>6227</v>
      </c>
      <c r="D5274" t="s">
        <v>6228</v>
      </c>
      <c r="E5274" t="s">
        <v>13172</v>
      </c>
      <c r="F5274">
        <v>28</v>
      </c>
      <c r="G5274">
        <v>2294456</v>
      </c>
      <c r="H5274" t="s">
        <v>13173</v>
      </c>
      <c r="J5274" s="54" t="s">
        <v>6052</v>
      </c>
      <c r="K5274" s="54">
        <v>0</v>
      </c>
      <c r="L5274" s="22" t="s">
        <v>104</v>
      </c>
      <c r="M5274" s="22" t="s">
        <v>36830</v>
      </c>
    </row>
    <row r="5275" spans="1:13" x14ac:dyDescent="0.75">
      <c r="A5275" t="s">
        <v>11084</v>
      </c>
      <c r="B5275" t="s">
        <v>2965</v>
      </c>
      <c r="C5275" t="s">
        <v>6227</v>
      </c>
      <c r="D5275" t="s">
        <v>6228</v>
      </c>
      <c r="E5275" t="s">
        <v>11085</v>
      </c>
      <c r="F5275">
        <v>38</v>
      </c>
      <c r="G5275">
        <v>2277731</v>
      </c>
      <c r="H5275" t="s">
        <v>11086</v>
      </c>
      <c r="J5275" s="54" t="s">
        <v>6052</v>
      </c>
      <c r="K5275" s="54">
        <v>0</v>
      </c>
      <c r="L5275" s="22" t="s">
        <v>104</v>
      </c>
      <c r="M5275" s="22" t="s">
        <v>36830</v>
      </c>
    </row>
    <row r="5276" spans="1:13" x14ac:dyDescent="0.75">
      <c r="A5276" t="s">
        <v>11096</v>
      </c>
      <c r="B5276" t="s">
        <v>2965</v>
      </c>
      <c r="C5276" t="s">
        <v>6227</v>
      </c>
      <c r="D5276" t="s">
        <v>6228</v>
      </c>
      <c r="E5276" t="s">
        <v>11097</v>
      </c>
      <c r="F5276">
        <v>46</v>
      </c>
      <c r="G5276">
        <v>2308239</v>
      </c>
      <c r="H5276" t="s">
        <v>11098</v>
      </c>
      <c r="J5276" s="54" t="s">
        <v>6052</v>
      </c>
      <c r="K5276" s="54">
        <v>0</v>
      </c>
      <c r="L5276" s="22" t="s">
        <v>104</v>
      </c>
      <c r="M5276" s="22" t="s">
        <v>36830</v>
      </c>
    </row>
    <row r="5277" spans="1:13" x14ac:dyDescent="0.75">
      <c r="A5277" t="s">
        <v>11113</v>
      </c>
      <c r="B5277" t="s">
        <v>2965</v>
      </c>
      <c r="C5277" t="s">
        <v>6227</v>
      </c>
      <c r="D5277" t="s">
        <v>6228</v>
      </c>
      <c r="E5277" t="s">
        <v>11114</v>
      </c>
      <c r="F5277">
        <v>29</v>
      </c>
      <c r="G5277">
        <v>2292653</v>
      </c>
      <c r="H5277" t="s">
        <v>11115</v>
      </c>
      <c r="J5277" s="54" t="s">
        <v>6052</v>
      </c>
      <c r="K5277" s="54">
        <v>0</v>
      </c>
      <c r="L5277" s="22" t="s">
        <v>104</v>
      </c>
      <c r="M5277" s="22" t="s">
        <v>36830</v>
      </c>
    </row>
    <row r="5278" spans="1:13" x14ac:dyDescent="0.75">
      <c r="A5278" t="s">
        <v>30118</v>
      </c>
      <c r="B5278" t="s">
        <v>2965</v>
      </c>
      <c r="C5278" t="s">
        <v>6227</v>
      </c>
      <c r="D5278" t="s">
        <v>6228</v>
      </c>
      <c r="E5278" t="s">
        <v>30119</v>
      </c>
      <c r="F5278">
        <v>190</v>
      </c>
      <c r="G5278">
        <v>2195757</v>
      </c>
      <c r="H5278" t="s">
        <v>30120</v>
      </c>
      <c r="J5278" s="54" t="s">
        <v>6052</v>
      </c>
      <c r="K5278" s="54">
        <v>0</v>
      </c>
      <c r="L5278" s="22" t="s">
        <v>104</v>
      </c>
      <c r="M5278" s="22" t="s">
        <v>36830</v>
      </c>
    </row>
    <row r="5279" spans="1:13" x14ac:dyDescent="0.75">
      <c r="A5279" t="s">
        <v>11133</v>
      </c>
      <c r="B5279" t="s">
        <v>2965</v>
      </c>
      <c r="C5279" t="s">
        <v>6227</v>
      </c>
      <c r="D5279" t="s">
        <v>6228</v>
      </c>
      <c r="E5279" t="s">
        <v>11134</v>
      </c>
      <c r="F5279">
        <v>15</v>
      </c>
      <c r="G5279">
        <v>2323428</v>
      </c>
      <c r="H5279" t="s">
        <v>11135</v>
      </c>
      <c r="J5279" s="54" t="s">
        <v>6052</v>
      </c>
      <c r="K5279" s="54">
        <v>0</v>
      </c>
      <c r="L5279" s="22" t="s">
        <v>104</v>
      </c>
      <c r="M5279" s="22" t="s">
        <v>36830</v>
      </c>
    </row>
    <row r="5280" spans="1:13" x14ac:dyDescent="0.75">
      <c r="A5280" t="s">
        <v>11139</v>
      </c>
      <c r="B5280" t="s">
        <v>2965</v>
      </c>
      <c r="C5280" t="s">
        <v>6227</v>
      </c>
      <c r="D5280" t="s">
        <v>6228</v>
      </c>
      <c r="E5280" t="s">
        <v>11140</v>
      </c>
      <c r="F5280">
        <v>19</v>
      </c>
      <c r="G5280">
        <v>2275643</v>
      </c>
      <c r="H5280" t="s">
        <v>11141</v>
      </c>
      <c r="J5280" s="54" t="s">
        <v>6052</v>
      </c>
      <c r="K5280" s="54">
        <v>0</v>
      </c>
      <c r="L5280" s="22" t="s">
        <v>104</v>
      </c>
      <c r="M5280" s="22" t="s">
        <v>36830</v>
      </c>
    </row>
    <row r="5281" spans="1:13" x14ac:dyDescent="0.75">
      <c r="A5281" t="s">
        <v>11145</v>
      </c>
      <c r="B5281" t="s">
        <v>2965</v>
      </c>
      <c r="C5281" t="s">
        <v>6227</v>
      </c>
      <c r="D5281" t="s">
        <v>6228</v>
      </c>
      <c r="E5281" t="s">
        <v>11146</v>
      </c>
      <c r="F5281">
        <v>232</v>
      </c>
      <c r="G5281">
        <v>2337099</v>
      </c>
      <c r="H5281" t="s">
        <v>11147</v>
      </c>
      <c r="J5281" s="54" t="s">
        <v>6052</v>
      </c>
      <c r="K5281" s="54">
        <v>0</v>
      </c>
      <c r="L5281" s="22" t="s">
        <v>104</v>
      </c>
      <c r="M5281" s="22" t="s">
        <v>36830</v>
      </c>
    </row>
    <row r="5282" spans="1:13" x14ac:dyDescent="0.75">
      <c r="A5282" t="s">
        <v>11148</v>
      </c>
      <c r="B5282" t="s">
        <v>2965</v>
      </c>
      <c r="C5282" t="s">
        <v>6227</v>
      </c>
      <c r="D5282" t="s">
        <v>6228</v>
      </c>
      <c r="E5282" t="s">
        <v>11149</v>
      </c>
      <c r="F5282">
        <v>102</v>
      </c>
      <c r="G5282">
        <v>2359913</v>
      </c>
      <c r="H5282" t="s">
        <v>11150</v>
      </c>
      <c r="J5282" s="54" t="s">
        <v>6052</v>
      </c>
      <c r="K5282" s="54">
        <v>0</v>
      </c>
      <c r="L5282" s="22" t="s">
        <v>104</v>
      </c>
      <c r="M5282" s="22" t="s">
        <v>36830</v>
      </c>
    </row>
    <row r="5283" spans="1:13" x14ac:dyDescent="0.75">
      <c r="A5283" t="s">
        <v>11163</v>
      </c>
      <c r="B5283" t="s">
        <v>2965</v>
      </c>
      <c r="C5283" t="s">
        <v>6227</v>
      </c>
      <c r="D5283" t="s">
        <v>6228</v>
      </c>
      <c r="E5283" t="s">
        <v>11164</v>
      </c>
      <c r="F5283">
        <v>15</v>
      </c>
      <c r="G5283">
        <v>2244809</v>
      </c>
      <c r="H5283" t="s">
        <v>11165</v>
      </c>
      <c r="J5283" s="54" t="s">
        <v>6052</v>
      </c>
      <c r="K5283" s="54">
        <v>0</v>
      </c>
      <c r="L5283" s="22" t="s">
        <v>104</v>
      </c>
      <c r="M5283" s="22" t="s">
        <v>36830</v>
      </c>
    </row>
    <row r="5284" spans="1:13" x14ac:dyDescent="0.75">
      <c r="A5284" t="s">
        <v>11122</v>
      </c>
      <c r="B5284" t="s">
        <v>2965</v>
      </c>
      <c r="C5284" t="s">
        <v>6227</v>
      </c>
      <c r="D5284" t="s">
        <v>6228</v>
      </c>
      <c r="E5284" t="s">
        <v>11123</v>
      </c>
      <c r="F5284">
        <v>47</v>
      </c>
      <c r="G5284">
        <v>2374318</v>
      </c>
      <c r="H5284" t="s">
        <v>11124</v>
      </c>
      <c r="J5284" s="54" t="s">
        <v>6052</v>
      </c>
      <c r="K5284" s="54">
        <v>0</v>
      </c>
      <c r="L5284" s="22" t="s">
        <v>104</v>
      </c>
      <c r="M5284" s="22" t="s">
        <v>36830</v>
      </c>
    </row>
    <row r="5285" spans="1:13" x14ac:dyDescent="0.75">
      <c r="A5285" t="s">
        <v>11193</v>
      </c>
      <c r="B5285" t="s">
        <v>2965</v>
      </c>
      <c r="C5285" t="s">
        <v>6227</v>
      </c>
      <c r="D5285" t="s">
        <v>6228</v>
      </c>
      <c r="E5285" t="s">
        <v>11194</v>
      </c>
      <c r="F5285">
        <v>237</v>
      </c>
      <c r="G5285">
        <v>2257570</v>
      </c>
      <c r="H5285" t="s">
        <v>11195</v>
      </c>
      <c r="J5285" s="54" t="s">
        <v>6052</v>
      </c>
      <c r="K5285" s="54">
        <v>0</v>
      </c>
      <c r="L5285" s="22" t="s">
        <v>104</v>
      </c>
      <c r="M5285" s="22" t="s">
        <v>36830</v>
      </c>
    </row>
    <row r="5286" spans="1:13" x14ac:dyDescent="0.75">
      <c r="A5286" t="s">
        <v>11202</v>
      </c>
      <c r="B5286" t="s">
        <v>2965</v>
      </c>
      <c r="C5286" t="s">
        <v>6227</v>
      </c>
      <c r="D5286" t="s">
        <v>6228</v>
      </c>
      <c r="E5286" t="s">
        <v>11203</v>
      </c>
      <c r="F5286">
        <v>66</v>
      </c>
      <c r="G5286">
        <v>2264347</v>
      </c>
      <c r="H5286" t="s">
        <v>11204</v>
      </c>
      <c r="J5286" s="54" t="s">
        <v>6052</v>
      </c>
      <c r="K5286" s="54">
        <v>0</v>
      </c>
      <c r="L5286" s="22" t="s">
        <v>104</v>
      </c>
      <c r="M5286" s="22" t="s">
        <v>36830</v>
      </c>
    </row>
    <row r="5287" spans="1:13" x14ac:dyDescent="0.75">
      <c r="A5287" t="s">
        <v>7203</v>
      </c>
      <c r="B5287" t="s">
        <v>2965</v>
      </c>
      <c r="C5287" t="s">
        <v>6227</v>
      </c>
      <c r="D5287" t="s">
        <v>6228</v>
      </c>
      <c r="E5287" t="s">
        <v>7204</v>
      </c>
      <c r="F5287">
        <v>25</v>
      </c>
      <c r="G5287">
        <v>2255158</v>
      </c>
      <c r="H5287" t="s">
        <v>7205</v>
      </c>
      <c r="J5287" s="54" t="s">
        <v>6052</v>
      </c>
      <c r="K5287" s="54">
        <v>0</v>
      </c>
      <c r="L5287" s="22" t="s">
        <v>104</v>
      </c>
      <c r="M5287" s="22" t="s">
        <v>36830</v>
      </c>
    </row>
    <row r="5288" spans="1:13" x14ac:dyDescent="0.75">
      <c r="A5288" t="s">
        <v>19065</v>
      </c>
      <c r="B5288" t="s">
        <v>2965</v>
      </c>
      <c r="C5288" t="s">
        <v>6227</v>
      </c>
      <c r="D5288" t="s">
        <v>6228</v>
      </c>
      <c r="E5288" t="s">
        <v>19066</v>
      </c>
      <c r="F5288">
        <v>4</v>
      </c>
      <c r="G5288">
        <v>2351715</v>
      </c>
      <c r="H5288" t="s">
        <v>19067</v>
      </c>
      <c r="J5288" s="54" t="s">
        <v>6052</v>
      </c>
      <c r="K5288" s="54">
        <v>0</v>
      </c>
      <c r="L5288" s="22" t="s">
        <v>104</v>
      </c>
      <c r="M5288" s="22" t="s">
        <v>36830</v>
      </c>
    </row>
    <row r="5289" spans="1:13" x14ac:dyDescent="0.75">
      <c r="A5289" t="s">
        <v>19062</v>
      </c>
      <c r="B5289" t="s">
        <v>2965</v>
      </c>
      <c r="C5289" t="s">
        <v>6227</v>
      </c>
      <c r="D5289" t="s">
        <v>6228</v>
      </c>
      <c r="E5289" t="s">
        <v>19063</v>
      </c>
      <c r="F5289">
        <v>2</v>
      </c>
      <c r="G5289">
        <v>2327745</v>
      </c>
      <c r="H5289" t="s">
        <v>19064</v>
      </c>
      <c r="J5289" s="54" t="s">
        <v>6052</v>
      </c>
      <c r="K5289" s="54">
        <v>0</v>
      </c>
      <c r="L5289" s="22" t="s">
        <v>104</v>
      </c>
      <c r="M5289" s="22" t="s">
        <v>36830</v>
      </c>
    </row>
    <row r="5290" spans="1:13" x14ac:dyDescent="0.75">
      <c r="A5290" t="s">
        <v>19164</v>
      </c>
      <c r="B5290" t="s">
        <v>2965</v>
      </c>
      <c r="C5290" t="s">
        <v>6227</v>
      </c>
      <c r="D5290" t="s">
        <v>6228</v>
      </c>
      <c r="E5290" t="s">
        <v>19165</v>
      </c>
      <c r="F5290">
        <v>1</v>
      </c>
      <c r="G5290">
        <v>2316433</v>
      </c>
      <c r="H5290" t="s">
        <v>19166</v>
      </c>
      <c r="J5290" s="54" t="s">
        <v>6052</v>
      </c>
      <c r="K5290" s="54">
        <v>0</v>
      </c>
      <c r="L5290" s="22" t="s">
        <v>104</v>
      </c>
      <c r="M5290" s="22" t="s">
        <v>36830</v>
      </c>
    </row>
    <row r="5291" spans="1:13" x14ac:dyDescent="0.75">
      <c r="A5291" t="s">
        <v>28831</v>
      </c>
      <c r="B5291" t="s">
        <v>2965</v>
      </c>
      <c r="C5291" t="s">
        <v>6227</v>
      </c>
      <c r="D5291" t="s">
        <v>6228</v>
      </c>
      <c r="E5291" t="s">
        <v>28832</v>
      </c>
      <c r="F5291">
        <v>26</v>
      </c>
      <c r="G5291">
        <v>2216574</v>
      </c>
      <c r="H5291" t="s">
        <v>28833</v>
      </c>
      <c r="J5291" s="54" t="s">
        <v>6052</v>
      </c>
      <c r="K5291" s="54">
        <v>0</v>
      </c>
      <c r="L5291" s="22" t="s">
        <v>104</v>
      </c>
      <c r="M5291" s="22" t="s">
        <v>36830</v>
      </c>
    </row>
    <row r="5292" spans="1:13" x14ac:dyDescent="0.75">
      <c r="A5292" t="s">
        <v>29310</v>
      </c>
      <c r="B5292" t="s">
        <v>2965</v>
      </c>
      <c r="C5292" t="s">
        <v>6227</v>
      </c>
      <c r="D5292" t="s">
        <v>6228</v>
      </c>
      <c r="E5292" t="s">
        <v>29311</v>
      </c>
      <c r="F5292">
        <v>1</v>
      </c>
      <c r="G5292">
        <v>2291235</v>
      </c>
      <c r="H5292" t="s">
        <v>29312</v>
      </c>
      <c r="J5292" s="54" t="s">
        <v>6052</v>
      </c>
      <c r="K5292" s="54">
        <v>0</v>
      </c>
      <c r="L5292" s="22" t="s">
        <v>104</v>
      </c>
      <c r="M5292" s="22" t="s">
        <v>36830</v>
      </c>
    </row>
    <row r="5293" spans="1:13" x14ac:dyDescent="0.75">
      <c r="A5293" t="s">
        <v>29279</v>
      </c>
      <c r="B5293" t="s">
        <v>2965</v>
      </c>
      <c r="C5293" t="s">
        <v>6227</v>
      </c>
      <c r="D5293" t="s">
        <v>6228</v>
      </c>
      <c r="E5293" t="s">
        <v>29280</v>
      </c>
      <c r="F5293">
        <v>9</v>
      </c>
      <c r="G5293">
        <v>2221379</v>
      </c>
      <c r="H5293" t="s">
        <v>29281</v>
      </c>
      <c r="J5293" s="54" t="s">
        <v>6052</v>
      </c>
      <c r="K5293" s="54">
        <v>0</v>
      </c>
      <c r="L5293" s="22" t="s">
        <v>104</v>
      </c>
      <c r="M5293" s="22" t="s">
        <v>36830</v>
      </c>
    </row>
    <row r="5294" spans="1:13" x14ac:dyDescent="0.75">
      <c r="A5294" t="s">
        <v>6226</v>
      </c>
      <c r="B5294" t="s">
        <v>2965</v>
      </c>
      <c r="C5294" t="s">
        <v>6227</v>
      </c>
      <c r="D5294" t="s">
        <v>6228</v>
      </c>
      <c r="E5294" t="s">
        <v>6229</v>
      </c>
      <c r="F5294">
        <v>1</v>
      </c>
      <c r="G5294">
        <v>2264603</v>
      </c>
      <c r="H5294" t="s">
        <v>6230</v>
      </c>
      <c r="J5294" s="54" t="s">
        <v>6052</v>
      </c>
      <c r="K5294" s="54">
        <v>0</v>
      </c>
      <c r="L5294" s="22" t="s">
        <v>104</v>
      </c>
      <c r="M5294" s="22" t="s">
        <v>36830</v>
      </c>
    </row>
    <row r="5295" spans="1:13" x14ac:dyDescent="0.75">
      <c r="A5295" t="s">
        <v>30643</v>
      </c>
      <c r="B5295" t="s">
        <v>2965</v>
      </c>
      <c r="C5295" t="s">
        <v>6227</v>
      </c>
      <c r="D5295" t="s">
        <v>6228</v>
      </c>
      <c r="E5295" t="s">
        <v>30644</v>
      </c>
      <c r="F5295">
        <v>21</v>
      </c>
      <c r="G5295">
        <v>2207314</v>
      </c>
      <c r="H5295" t="s">
        <v>30645</v>
      </c>
      <c r="J5295" s="54" t="s">
        <v>6052</v>
      </c>
      <c r="K5295" s="54">
        <v>0</v>
      </c>
      <c r="L5295" s="22" t="s">
        <v>104</v>
      </c>
      <c r="M5295" s="22" t="s">
        <v>36830</v>
      </c>
    </row>
    <row r="5296" spans="1:13" x14ac:dyDescent="0.75">
      <c r="A5296" t="s">
        <v>30493</v>
      </c>
      <c r="B5296" t="s">
        <v>2965</v>
      </c>
      <c r="C5296" t="s">
        <v>6227</v>
      </c>
      <c r="D5296" t="s">
        <v>6228</v>
      </c>
      <c r="E5296" t="s">
        <v>30494</v>
      </c>
      <c r="F5296">
        <v>119</v>
      </c>
      <c r="G5296">
        <v>2132808</v>
      </c>
      <c r="H5296" t="s">
        <v>30495</v>
      </c>
      <c r="J5296" s="54" t="s">
        <v>6052</v>
      </c>
      <c r="K5296" s="54">
        <v>0</v>
      </c>
      <c r="L5296" s="22" t="s">
        <v>104</v>
      </c>
      <c r="M5296" s="22" t="s">
        <v>36830</v>
      </c>
    </row>
    <row r="5297" spans="1:13" x14ac:dyDescent="0.75">
      <c r="A5297" t="s">
        <v>29227</v>
      </c>
      <c r="B5297" t="s">
        <v>2965</v>
      </c>
      <c r="C5297" t="s">
        <v>6227</v>
      </c>
      <c r="D5297" t="s">
        <v>6228</v>
      </c>
      <c r="E5297" t="s">
        <v>29228</v>
      </c>
      <c r="F5297">
        <v>36</v>
      </c>
      <c r="G5297">
        <v>2227283</v>
      </c>
      <c r="H5297" t="s">
        <v>29229</v>
      </c>
      <c r="J5297" s="54" t="s">
        <v>6052</v>
      </c>
      <c r="K5297" s="54">
        <v>0</v>
      </c>
      <c r="L5297" s="22" t="s">
        <v>104</v>
      </c>
      <c r="M5297" s="22" t="s">
        <v>36830</v>
      </c>
    </row>
    <row r="5298" spans="1:13" x14ac:dyDescent="0.75">
      <c r="A5298" t="s">
        <v>29260</v>
      </c>
      <c r="B5298" t="s">
        <v>2965</v>
      </c>
      <c r="C5298" t="s">
        <v>6227</v>
      </c>
      <c r="D5298" t="s">
        <v>6228</v>
      </c>
      <c r="E5298" t="s">
        <v>29261</v>
      </c>
      <c r="F5298">
        <v>90</v>
      </c>
      <c r="G5298">
        <v>2280104</v>
      </c>
      <c r="H5298" t="s">
        <v>29262</v>
      </c>
      <c r="J5298" s="54" t="s">
        <v>6052</v>
      </c>
      <c r="K5298" s="54">
        <v>0</v>
      </c>
      <c r="L5298" s="22" t="s">
        <v>104</v>
      </c>
      <c r="M5298" s="22" t="s">
        <v>36830</v>
      </c>
    </row>
    <row r="5299" spans="1:13" x14ac:dyDescent="0.75">
      <c r="A5299" t="s">
        <v>29233</v>
      </c>
      <c r="B5299" t="s">
        <v>2965</v>
      </c>
      <c r="C5299" t="s">
        <v>6227</v>
      </c>
      <c r="D5299" t="s">
        <v>6228</v>
      </c>
      <c r="E5299" t="s">
        <v>29234</v>
      </c>
      <c r="F5299">
        <v>15</v>
      </c>
      <c r="G5299">
        <v>2240937</v>
      </c>
      <c r="H5299" t="s">
        <v>29235</v>
      </c>
      <c r="J5299" s="54" t="s">
        <v>6052</v>
      </c>
      <c r="K5299" s="54">
        <v>0</v>
      </c>
      <c r="L5299" s="22" t="s">
        <v>104</v>
      </c>
      <c r="M5299" s="22" t="s">
        <v>36830</v>
      </c>
    </row>
    <row r="5300" spans="1:13" x14ac:dyDescent="0.75">
      <c r="A5300" t="s">
        <v>29251</v>
      </c>
      <c r="B5300" t="s">
        <v>2965</v>
      </c>
      <c r="C5300" t="s">
        <v>6227</v>
      </c>
      <c r="D5300" t="s">
        <v>6228</v>
      </c>
      <c r="E5300" t="s">
        <v>29252</v>
      </c>
      <c r="F5300">
        <v>144</v>
      </c>
      <c r="G5300">
        <v>2122041</v>
      </c>
      <c r="H5300" t="s">
        <v>29253</v>
      </c>
      <c r="J5300" s="54" t="s">
        <v>6052</v>
      </c>
      <c r="K5300" s="54">
        <v>0</v>
      </c>
      <c r="L5300" s="22" t="s">
        <v>104</v>
      </c>
      <c r="M5300" s="22" t="s">
        <v>36830</v>
      </c>
    </row>
    <row r="5301" spans="1:13" x14ac:dyDescent="0.75">
      <c r="A5301" t="s">
        <v>29446</v>
      </c>
      <c r="B5301" t="s">
        <v>2965</v>
      </c>
      <c r="C5301" t="s">
        <v>6227</v>
      </c>
      <c r="D5301" t="s">
        <v>6228</v>
      </c>
      <c r="E5301" t="s">
        <v>29447</v>
      </c>
      <c r="F5301">
        <v>141</v>
      </c>
      <c r="G5301">
        <v>2128110</v>
      </c>
      <c r="H5301" t="s">
        <v>29448</v>
      </c>
      <c r="J5301" s="54" t="s">
        <v>6052</v>
      </c>
      <c r="K5301" s="54">
        <v>0</v>
      </c>
      <c r="L5301" s="22" t="s">
        <v>104</v>
      </c>
      <c r="M5301" s="22" t="s">
        <v>36830</v>
      </c>
    </row>
    <row r="5302" spans="1:13" x14ac:dyDescent="0.75">
      <c r="A5302" t="s">
        <v>29457</v>
      </c>
      <c r="B5302" t="s">
        <v>2965</v>
      </c>
      <c r="C5302" t="s">
        <v>6227</v>
      </c>
      <c r="D5302" t="s">
        <v>6228</v>
      </c>
      <c r="E5302" t="s">
        <v>29458</v>
      </c>
      <c r="F5302">
        <v>175</v>
      </c>
      <c r="G5302">
        <v>2034439</v>
      </c>
      <c r="H5302" t="s">
        <v>29459</v>
      </c>
      <c r="J5302" s="54" t="s">
        <v>6052</v>
      </c>
      <c r="K5302" s="54">
        <v>0</v>
      </c>
      <c r="L5302" s="22" t="s">
        <v>104</v>
      </c>
      <c r="M5302" s="22" t="s">
        <v>36830</v>
      </c>
    </row>
    <row r="5303" spans="1:13" x14ac:dyDescent="0.75">
      <c r="A5303" t="s">
        <v>13951</v>
      </c>
      <c r="B5303" t="s">
        <v>2965</v>
      </c>
      <c r="C5303" t="s">
        <v>6227</v>
      </c>
      <c r="D5303" t="s">
        <v>6228</v>
      </c>
      <c r="E5303" t="s">
        <v>13952</v>
      </c>
      <c r="F5303">
        <v>2</v>
      </c>
      <c r="G5303">
        <v>2408770</v>
      </c>
      <c r="H5303" t="s">
        <v>13953</v>
      </c>
      <c r="J5303" s="54" t="s">
        <v>6052</v>
      </c>
      <c r="K5303" s="54">
        <v>0</v>
      </c>
      <c r="L5303" s="22" t="s">
        <v>104</v>
      </c>
      <c r="M5303" s="22" t="s">
        <v>36830</v>
      </c>
    </row>
    <row r="5304" spans="1:13" x14ac:dyDescent="0.75">
      <c r="A5304" t="s">
        <v>28079</v>
      </c>
      <c r="B5304" t="s">
        <v>2965</v>
      </c>
      <c r="C5304" t="s">
        <v>6227</v>
      </c>
      <c r="D5304" t="s">
        <v>6228</v>
      </c>
      <c r="E5304" t="s">
        <v>28080</v>
      </c>
      <c r="F5304">
        <v>120</v>
      </c>
      <c r="G5304">
        <v>2136992</v>
      </c>
      <c r="H5304" t="s">
        <v>28081</v>
      </c>
      <c r="J5304" s="54" t="s">
        <v>6052</v>
      </c>
      <c r="K5304" s="54">
        <v>0</v>
      </c>
      <c r="L5304" s="22" t="s">
        <v>104</v>
      </c>
      <c r="M5304" s="22" t="s">
        <v>36830</v>
      </c>
    </row>
    <row r="5305" spans="1:13" x14ac:dyDescent="0.75">
      <c r="A5305" t="s">
        <v>30112</v>
      </c>
      <c r="B5305" t="s">
        <v>2965</v>
      </c>
      <c r="C5305" t="s">
        <v>6227</v>
      </c>
      <c r="D5305" t="s">
        <v>6228</v>
      </c>
      <c r="E5305" t="s">
        <v>30113</v>
      </c>
      <c r="F5305">
        <v>54</v>
      </c>
      <c r="G5305">
        <v>2162589</v>
      </c>
      <c r="H5305" t="s">
        <v>30114</v>
      </c>
      <c r="J5305" s="54" t="s">
        <v>6052</v>
      </c>
      <c r="K5305" s="54">
        <v>0</v>
      </c>
      <c r="L5305" s="22" t="s">
        <v>104</v>
      </c>
      <c r="M5305" s="22" t="s">
        <v>36830</v>
      </c>
    </row>
    <row r="5306" spans="1:13" x14ac:dyDescent="0.75">
      <c r="A5306" t="s">
        <v>13005</v>
      </c>
      <c r="B5306" t="s">
        <v>2965</v>
      </c>
      <c r="C5306" t="s">
        <v>6227</v>
      </c>
      <c r="D5306" t="s">
        <v>6228</v>
      </c>
      <c r="E5306" t="s">
        <v>13006</v>
      </c>
      <c r="F5306">
        <v>95</v>
      </c>
      <c r="G5306">
        <v>2282454</v>
      </c>
      <c r="H5306" t="s">
        <v>13007</v>
      </c>
      <c r="J5306" s="54" t="s">
        <v>6052</v>
      </c>
      <c r="K5306" s="54">
        <v>0</v>
      </c>
      <c r="L5306" s="22" t="s">
        <v>104</v>
      </c>
      <c r="M5306" s="22" t="s">
        <v>36830</v>
      </c>
    </row>
    <row r="5307" spans="1:13" x14ac:dyDescent="0.75">
      <c r="A5307" t="s">
        <v>13028</v>
      </c>
      <c r="B5307" t="s">
        <v>2965</v>
      </c>
      <c r="C5307" t="s">
        <v>6227</v>
      </c>
      <c r="D5307" t="s">
        <v>6228</v>
      </c>
      <c r="E5307" t="s">
        <v>13029</v>
      </c>
      <c r="F5307">
        <v>60</v>
      </c>
      <c r="G5307">
        <v>2336535</v>
      </c>
      <c r="H5307" t="s">
        <v>13030</v>
      </c>
      <c r="J5307" s="54" t="s">
        <v>6052</v>
      </c>
      <c r="K5307" s="54">
        <v>0</v>
      </c>
      <c r="L5307" s="22" t="s">
        <v>104</v>
      </c>
      <c r="M5307" s="22" t="s">
        <v>36830</v>
      </c>
    </row>
    <row r="5308" spans="1:13" x14ac:dyDescent="0.75">
      <c r="A5308" t="s">
        <v>12900</v>
      </c>
      <c r="B5308" t="s">
        <v>2965</v>
      </c>
      <c r="C5308" t="s">
        <v>6227</v>
      </c>
      <c r="D5308" t="s">
        <v>6228</v>
      </c>
      <c r="E5308" t="s">
        <v>12901</v>
      </c>
      <c r="F5308">
        <v>63</v>
      </c>
      <c r="G5308">
        <v>2237336</v>
      </c>
      <c r="H5308" t="s">
        <v>12902</v>
      </c>
      <c r="J5308" s="54" t="s">
        <v>6052</v>
      </c>
      <c r="K5308" s="54">
        <v>0</v>
      </c>
      <c r="L5308" s="22" t="s">
        <v>104</v>
      </c>
      <c r="M5308" s="22" t="s">
        <v>36830</v>
      </c>
    </row>
    <row r="5309" spans="1:13" x14ac:dyDescent="0.75">
      <c r="A5309" t="s">
        <v>12759</v>
      </c>
      <c r="B5309" t="s">
        <v>2965</v>
      </c>
      <c r="C5309" t="s">
        <v>6227</v>
      </c>
      <c r="D5309" t="s">
        <v>6228</v>
      </c>
      <c r="E5309" t="s">
        <v>12760</v>
      </c>
      <c r="F5309">
        <v>87</v>
      </c>
      <c r="G5309">
        <v>2299565</v>
      </c>
      <c r="H5309" t="s">
        <v>12761</v>
      </c>
      <c r="J5309" s="54" t="s">
        <v>6052</v>
      </c>
      <c r="K5309" s="54">
        <v>0</v>
      </c>
      <c r="L5309" s="22" t="s">
        <v>104</v>
      </c>
      <c r="M5309" s="22" t="s">
        <v>36830</v>
      </c>
    </row>
    <row r="5310" spans="1:13" x14ac:dyDescent="0.75">
      <c r="A5310" t="s">
        <v>13043</v>
      </c>
      <c r="B5310" t="s">
        <v>2965</v>
      </c>
      <c r="C5310" t="s">
        <v>6227</v>
      </c>
      <c r="D5310" t="s">
        <v>6228</v>
      </c>
      <c r="E5310" t="s">
        <v>13044</v>
      </c>
      <c r="F5310">
        <v>64</v>
      </c>
      <c r="G5310">
        <v>2267615</v>
      </c>
      <c r="H5310" t="s">
        <v>13045</v>
      </c>
      <c r="J5310" s="54" t="s">
        <v>6052</v>
      </c>
      <c r="K5310" s="54">
        <v>0</v>
      </c>
      <c r="L5310" s="22" t="s">
        <v>104</v>
      </c>
      <c r="M5310" s="22" t="s">
        <v>36830</v>
      </c>
    </row>
    <row r="5311" spans="1:13" x14ac:dyDescent="0.75">
      <c r="A5311" t="s">
        <v>12832</v>
      </c>
      <c r="B5311" t="s">
        <v>2965</v>
      </c>
      <c r="C5311" t="s">
        <v>6227</v>
      </c>
      <c r="D5311" t="s">
        <v>6228</v>
      </c>
      <c r="E5311" t="s">
        <v>12833</v>
      </c>
      <c r="F5311">
        <v>66</v>
      </c>
      <c r="G5311">
        <v>2319336</v>
      </c>
      <c r="H5311" t="s">
        <v>12834</v>
      </c>
      <c r="J5311" s="54" t="s">
        <v>6052</v>
      </c>
      <c r="K5311" s="54">
        <v>0</v>
      </c>
      <c r="L5311" s="22" t="s">
        <v>104</v>
      </c>
      <c r="M5311" s="22" t="s">
        <v>36830</v>
      </c>
    </row>
    <row r="5312" spans="1:13" x14ac:dyDescent="0.75">
      <c r="A5312" t="s">
        <v>13046</v>
      </c>
      <c r="B5312" t="s">
        <v>2965</v>
      </c>
      <c r="C5312" t="s">
        <v>6227</v>
      </c>
      <c r="D5312" t="s">
        <v>6228</v>
      </c>
      <c r="E5312" t="s">
        <v>13047</v>
      </c>
      <c r="F5312">
        <v>95</v>
      </c>
      <c r="G5312">
        <v>2352774</v>
      </c>
      <c r="H5312" t="s">
        <v>13048</v>
      </c>
      <c r="J5312" s="54" t="s">
        <v>6052</v>
      </c>
      <c r="K5312" s="54">
        <v>0</v>
      </c>
      <c r="L5312" s="22" t="s">
        <v>104</v>
      </c>
      <c r="M5312" s="22" t="s">
        <v>36830</v>
      </c>
    </row>
    <row r="5313" spans="1:13" x14ac:dyDescent="0.75">
      <c r="A5313" t="s">
        <v>12821</v>
      </c>
      <c r="B5313" t="s">
        <v>2965</v>
      </c>
      <c r="C5313" t="s">
        <v>6227</v>
      </c>
      <c r="D5313" t="s">
        <v>6228</v>
      </c>
      <c r="E5313" t="s">
        <v>12822</v>
      </c>
      <c r="F5313">
        <v>56</v>
      </c>
      <c r="G5313">
        <v>2274293</v>
      </c>
      <c r="H5313" t="s">
        <v>12823</v>
      </c>
      <c r="J5313" s="54" t="s">
        <v>6052</v>
      </c>
      <c r="K5313" s="54">
        <v>0</v>
      </c>
      <c r="L5313" s="22" t="s">
        <v>104</v>
      </c>
      <c r="M5313" s="22" t="s">
        <v>36830</v>
      </c>
    </row>
    <row r="5314" spans="1:13" x14ac:dyDescent="0.75">
      <c r="A5314" t="s">
        <v>12975</v>
      </c>
      <c r="B5314" t="s">
        <v>2965</v>
      </c>
      <c r="C5314" t="s">
        <v>6227</v>
      </c>
      <c r="D5314" t="s">
        <v>6228</v>
      </c>
      <c r="E5314" t="s">
        <v>12976</v>
      </c>
      <c r="F5314">
        <v>71</v>
      </c>
      <c r="G5314">
        <v>2331353</v>
      </c>
      <c r="H5314" t="s">
        <v>12977</v>
      </c>
      <c r="J5314" s="54" t="s">
        <v>6052</v>
      </c>
      <c r="K5314" s="54">
        <v>0</v>
      </c>
      <c r="L5314" s="22" t="s">
        <v>104</v>
      </c>
      <c r="M5314" s="22" t="s">
        <v>36830</v>
      </c>
    </row>
    <row r="5315" spans="1:13" x14ac:dyDescent="0.75">
      <c r="A5315" t="s">
        <v>12873</v>
      </c>
      <c r="B5315" t="s">
        <v>2965</v>
      </c>
      <c r="C5315" t="s">
        <v>6227</v>
      </c>
      <c r="D5315" t="s">
        <v>6228</v>
      </c>
      <c r="E5315" t="s">
        <v>12874</v>
      </c>
      <c r="F5315">
        <v>77</v>
      </c>
      <c r="G5315">
        <v>2269254</v>
      </c>
      <c r="H5315" t="s">
        <v>12875</v>
      </c>
      <c r="J5315" s="54" t="s">
        <v>6052</v>
      </c>
      <c r="K5315" s="54">
        <v>0</v>
      </c>
      <c r="L5315" s="22" t="s">
        <v>104</v>
      </c>
      <c r="M5315" s="22" t="s">
        <v>36830</v>
      </c>
    </row>
    <row r="5316" spans="1:13" x14ac:dyDescent="0.75">
      <c r="A5316" t="s">
        <v>12948</v>
      </c>
      <c r="B5316" t="s">
        <v>2965</v>
      </c>
      <c r="C5316" t="s">
        <v>6227</v>
      </c>
      <c r="D5316" t="s">
        <v>6228</v>
      </c>
      <c r="E5316" t="s">
        <v>12949</v>
      </c>
      <c r="F5316">
        <v>64</v>
      </c>
      <c r="G5316">
        <v>2298993</v>
      </c>
      <c r="H5316" t="s">
        <v>12950</v>
      </c>
      <c r="J5316" s="54" t="s">
        <v>6052</v>
      </c>
      <c r="K5316" s="54">
        <v>0</v>
      </c>
      <c r="L5316" s="22" t="s">
        <v>104</v>
      </c>
      <c r="M5316" s="22" t="s">
        <v>36830</v>
      </c>
    </row>
    <row r="5317" spans="1:13" x14ac:dyDescent="0.75">
      <c r="A5317" t="s">
        <v>12969</v>
      </c>
      <c r="B5317" t="s">
        <v>2965</v>
      </c>
      <c r="C5317" t="s">
        <v>6227</v>
      </c>
      <c r="D5317" t="s">
        <v>6228</v>
      </c>
      <c r="E5317" t="s">
        <v>12970</v>
      </c>
      <c r="F5317">
        <v>59</v>
      </c>
      <c r="G5317">
        <v>2331455</v>
      </c>
      <c r="H5317" t="s">
        <v>12971</v>
      </c>
      <c r="J5317" s="54" t="s">
        <v>6052</v>
      </c>
      <c r="K5317" s="54">
        <v>0</v>
      </c>
      <c r="L5317" s="22" t="s">
        <v>104</v>
      </c>
      <c r="M5317" s="22" t="s">
        <v>36830</v>
      </c>
    </row>
    <row r="5318" spans="1:13" x14ac:dyDescent="0.75">
      <c r="A5318" t="s">
        <v>12894</v>
      </c>
      <c r="B5318" t="s">
        <v>2965</v>
      </c>
      <c r="C5318" t="s">
        <v>6227</v>
      </c>
      <c r="D5318" t="s">
        <v>6228</v>
      </c>
      <c r="E5318" t="s">
        <v>12895</v>
      </c>
      <c r="F5318">
        <v>71</v>
      </c>
      <c r="G5318">
        <v>2296639</v>
      </c>
      <c r="H5318" t="s">
        <v>12896</v>
      </c>
      <c r="J5318" s="54" t="s">
        <v>6052</v>
      </c>
      <c r="K5318" s="54">
        <v>0</v>
      </c>
      <c r="L5318" s="22" t="s">
        <v>104</v>
      </c>
      <c r="M5318" s="22" t="s">
        <v>36830</v>
      </c>
    </row>
    <row r="5319" spans="1:13" x14ac:dyDescent="0.75">
      <c r="A5319" t="s">
        <v>12771</v>
      </c>
      <c r="B5319" t="s">
        <v>2965</v>
      </c>
      <c r="C5319" t="s">
        <v>6227</v>
      </c>
      <c r="D5319" t="s">
        <v>6228</v>
      </c>
      <c r="E5319" t="s">
        <v>12772</v>
      </c>
      <c r="F5319">
        <v>58</v>
      </c>
      <c r="G5319">
        <v>2217530</v>
      </c>
      <c r="H5319" t="s">
        <v>12773</v>
      </c>
      <c r="J5319" s="54" t="s">
        <v>6052</v>
      </c>
      <c r="K5319" s="54">
        <v>0</v>
      </c>
      <c r="L5319" s="22" t="s">
        <v>104</v>
      </c>
      <c r="M5319" s="22" t="s">
        <v>36830</v>
      </c>
    </row>
    <row r="5320" spans="1:13" x14ac:dyDescent="0.75">
      <c r="A5320" t="s">
        <v>12856</v>
      </c>
      <c r="B5320" t="s">
        <v>2965</v>
      </c>
      <c r="C5320" t="s">
        <v>6227</v>
      </c>
      <c r="D5320" t="s">
        <v>6228</v>
      </c>
      <c r="E5320" t="s">
        <v>12857</v>
      </c>
      <c r="F5320">
        <v>98</v>
      </c>
      <c r="G5320">
        <v>2314459</v>
      </c>
      <c r="H5320" t="s">
        <v>12858</v>
      </c>
      <c r="J5320" s="54" t="s">
        <v>6052</v>
      </c>
      <c r="K5320" s="54">
        <v>0</v>
      </c>
      <c r="L5320" s="22" t="s">
        <v>104</v>
      </c>
      <c r="M5320" s="22" t="s">
        <v>36830</v>
      </c>
    </row>
    <row r="5321" spans="1:13" x14ac:dyDescent="0.75">
      <c r="A5321" t="s">
        <v>12824</v>
      </c>
      <c r="B5321" t="s">
        <v>2965</v>
      </c>
      <c r="C5321" t="s">
        <v>6227</v>
      </c>
      <c r="D5321" t="s">
        <v>6228</v>
      </c>
      <c r="E5321" t="s">
        <v>12825</v>
      </c>
      <c r="F5321">
        <v>88</v>
      </c>
      <c r="G5321">
        <v>2285914</v>
      </c>
      <c r="H5321" t="s">
        <v>12826</v>
      </c>
      <c r="J5321" s="54" t="s">
        <v>6052</v>
      </c>
      <c r="K5321" s="54">
        <v>0</v>
      </c>
      <c r="L5321" s="22" t="s">
        <v>104</v>
      </c>
      <c r="M5321" s="22" t="s">
        <v>36830</v>
      </c>
    </row>
    <row r="5322" spans="1:13" x14ac:dyDescent="0.75">
      <c r="A5322" t="s">
        <v>12729</v>
      </c>
      <c r="B5322" t="s">
        <v>2965</v>
      </c>
      <c r="C5322" t="s">
        <v>6227</v>
      </c>
      <c r="D5322" t="s">
        <v>6228</v>
      </c>
      <c r="E5322" t="s">
        <v>12730</v>
      </c>
      <c r="F5322">
        <v>79</v>
      </c>
      <c r="G5322">
        <v>2346201</v>
      </c>
      <c r="H5322" t="s">
        <v>12731</v>
      </c>
      <c r="J5322" s="54" t="s">
        <v>6052</v>
      </c>
      <c r="K5322" s="54">
        <v>0</v>
      </c>
      <c r="L5322" s="22" t="s">
        <v>104</v>
      </c>
      <c r="M5322" s="22" t="s">
        <v>36830</v>
      </c>
    </row>
    <row r="5323" spans="1:13" x14ac:dyDescent="0.75">
      <c r="A5323" t="s">
        <v>12658</v>
      </c>
      <c r="B5323" t="s">
        <v>2965</v>
      </c>
      <c r="C5323" t="s">
        <v>6227</v>
      </c>
      <c r="D5323" t="s">
        <v>6228</v>
      </c>
      <c r="E5323" t="s">
        <v>12659</v>
      </c>
      <c r="F5323">
        <v>82</v>
      </c>
      <c r="G5323">
        <v>2421074</v>
      </c>
      <c r="H5323" t="s">
        <v>12660</v>
      </c>
      <c r="J5323" s="54" t="s">
        <v>6052</v>
      </c>
      <c r="K5323" s="54">
        <v>0</v>
      </c>
      <c r="L5323" s="22" t="s">
        <v>104</v>
      </c>
      <c r="M5323" s="22" t="s">
        <v>36830</v>
      </c>
    </row>
    <row r="5324" spans="1:13" x14ac:dyDescent="0.75">
      <c r="A5324" t="s">
        <v>12915</v>
      </c>
      <c r="B5324" t="s">
        <v>2965</v>
      </c>
      <c r="C5324" t="s">
        <v>6227</v>
      </c>
      <c r="D5324" t="s">
        <v>6228</v>
      </c>
      <c r="E5324" t="s">
        <v>12916</v>
      </c>
      <c r="F5324">
        <v>66</v>
      </c>
      <c r="G5324">
        <v>2353068</v>
      </c>
      <c r="H5324" t="s">
        <v>12917</v>
      </c>
      <c r="J5324" s="54" t="s">
        <v>6052</v>
      </c>
      <c r="K5324" s="54">
        <v>0</v>
      </c>
      <c r="L5324" s="22" t="s">
        <v>104</v>
      </c>
      <c r="M5324" s="22" t="s">
        <v>36830</v>
      </c>
    </row>
    <row r="5325" spans="1:13" x14ac:dyDescent="0.75">
      <c r="A5325" t="s">
        <v>12903</v>
      </c>
      <c r="B5325" t="s">
        <v>2965</v>
      </c>
      <c r="C5325" t="s">
        <v>6227</v>
      </c>
      <c r="D5325" t="s">
        <v>6228</v>
      </c>
      <c r="E5325" t="s">
        <v>12904</v>
      </c>
      <c r="F5325">
        <v>76</v>
      </c>
      <c r="G5325">
        <v>2269450</v>
      </c>
      <c r="H5325" t="s">
        <v>12905</v>
      </c>
      <c r="J5325" s="54" t="s">
        <v>6052</v>
      </c>
      <c r="K5325" s="54">
        <v>0</v>
      </c>
      <c r="L5325" s="22" t="s">
        <v>104</v>
      </c>
      <c r="M5325" s="22" t="s">
        <v>36830</v>
      </c>
    </row>
    <row r="5326" spans="1:13" x14ac:dyDescent="0.75">
      <c r="A5326" t="s">
        <v>12864</v>
      </c>
      <c r="B5326" t="s">
        <v>2965</v>
      </c>
      <c r="C5326" t="s">
        <v>6227</v>
      </c>
      <c r="D5326" t="s">
        <v>6228</v>
      </c>
      <c r="E5326" t="s">
        <v>12865</v>
      </c>
      <c r="F5326">
        <v>105</v>
      </c>
      <c r="G5326">
        <v>2272208</v>
      </c>
      <c r="H5326" t="s">
        <v>12866</v>
      </c>
      <c r="J5326" s="54" t="s">
        <v>6052</v>
      </c>
      <c r="K5326" s="54">
        <v>0</v>
      </c>
      <c r="L5326" s="22" t="s">
        <v>104</v>
      </c>
      <c r="M5326" s="22" t="s">
        <v>36830</v>
      </c>
    </row>
    <row r="5327" spans="1:13" x14ac:dyDescent="0.75">
      <c r="A5327" t="s">
        <v>12741</v>
      </c>
      <c r="B5327" t="s">
        <v>2965</v>
      </c>
      <c r="C5327" t="s">
        <v>6227</v>
      </c>
      <c r="D5327" t="s">
        <v>6228</v>
      </c>
      <c r="E5327" t="s">
        <v>12742</v>
      </c>
      <c r="F5327">
        <v>94</v>
      </c>
      <c r="G5327">
        <v>2309498</v>
      </c>
      <c r="H5327" t="s">
        <v>12743</v>
      </c>
      <c r="J5327" s="54" t="s">
        <v>6052</v>
      </c>
      <c r="K5327" s="54">
        <v>0</v>
      </c>
      <c r="L5327" s="22" t="s">
        <v>104</v>
      </c>
      <c r="M5327" s="22" t="s">
        <v>36830</v>
      </c>
    </row>
    <row r="5328" spans="1:13" x14ac:dyDescent="0.75">
      <c r="A5328" t="s">
        <v>12954</v>
      </c>
      <c r="B5328" t="s">
        <v>2965</v>
      </c>
      <c r="C5328" t="s">
        <v>6227</v>
      </c>
      <c r="D5328" t="s">
        <v>6228</v>
      </c>
      <c r="E5328" t="s">
        <v>12955</v>
      </c>
      <c r="F5328">
        <v>78</v>
      </c>
      <c r="G5328">
        <v>2321240</v>
      </c>
      <c r="H5328" t="s">
        <v>12956</v>
      </c>
      <c r="J5328" s="54" t="s">
        <v>6052</v>
      </c>
      <c r="K5328" s="54">
        <v>0</v>
      </c>
      <c r="L5328" s="22" t="s">
        <v>104</v>
      </c>
      <c r="M5328" s="22" t="s">
        <v>36830</v>
      </c>
    </row>
    <row r="5329" spans="1:13" x14ac:dyDescent="0.75">
      <c r="A5329" t="s">
        <v>12661</v>
      </c>
      <c r="B5329" t="s">
        <v>2965</v>
      </c>
      <c r="C5329" t="s">
        <v>6227</v>
      </c>
      <c r="D5329" t="s">
        <v>6228</v>
      </c>
      <c r="E5329" t="s">
        <v>12662</v>
      </c>
      <c r="F5329">
        <v>62</v>
      </c>
      <c r="G5329">
        <v>2312383</v>
      </c>
      <c r="H5329" t="s">
        <v>12663</v>
      </c>
      <c r="J5329" s="54" t="s">
        <v>6052</v>
      </c>
      <c r="K5329" s="54">
        <v>0</v>
      </c>
      <c r="L5329" s="22" t="s">
        <v>104</v>
      </c>
      <c r="M5329" s="22" t="s">
        <v>36830</v>
      </c>
    </row>
    <row r="5330" spans="1:13" x14ac:dyDescent="0.75">
      <c r="A5330" t="s">
        <v>21325</v>
      </c>
      <c r="B5330" t="s">
        <v>2965</v>
      </c>
      <c r="C5330" t="s">
        <v>6227</v>
      </c>
      <c r="D5330" t="s">
        <v>6228</v>
      </c>
      <c r="E5330" t="s">
        <v>21326</v>
      </c>
      <c r="F5330">
        <v>74</v>
      </c>
      <c r="G5330">
        <v>2270973</v>
      </c>
      <c r="H5330" t="s">
        <v>21327</v>
      </c>
      <c r="J5330" s="54" t="s">
        <v>6052</v>
      </c>
      <c r="K5330" s="54">
        <v>0</v>
      </c>
      <c r="L5330" s="22" t="s">
        <v>104</v>
      </c>
      <c r="M5330" s="22" t="s">
        <v>36830</v>
      </c>
    </row>
    <row r="5331" spans="1:13" x14ac:dyDescent="0.75">
      <c r="A5331" t="s">
        <v>19337</v>
      </c>
      <c r="B5331" t="s">
        <v>2965</v>
      </c>
      <c r="C5331" t="s">
        <v>6227</v>
      </c>
      <c r="D5331" t="s">
        <v>6228</v>
      </c>
      <c r="E5331" t="s">
        <v>19338</v>
      </c>
      <c r="F5331">
        <v>197</v>
      </c>
      <c r="G5331">
        <v>2056875</v>
      </c>
      <c r="H5331" t="s">
        <v>19339</v>
      </c>
      <c r="J5331" s="54" t="s">
        <v>6052</v>
      </c>
      <c r="K5331" s="54">
        <v>0</v>
      </c>
      <c r="L5331" s="22" t="s">
        <v>104</v>
      </c>
      <c r="M5331" s="22" t="s">
        <v>36830</v>
      </c>
    </row>
    <row r="5332" spans="1:13" x14ac:dyDescent="0.75">
      <c r="A5332" t="s">
        <v>19331</v>
      </c>
      <c r="B5332" t="s">
        <v>2965</v>
      </c>
      <c r="C5332" t="s">
        <v>6227</v>
      </c>
      <c r="D5332" t="s">
        <v>6228</v>
      </c>
      <c r="E5332" t="s">
        <v>19332</v>
      </c>
      <c r="F5332">
        <v>138</v>
      </c>
      <c r="G5332">
        <v>2177395</v>
      </c>
      <c r="H5332" t="s">
        <v>19333</v>
      </c>
      <c r="J5332" s="54" t="s">
        <v>6052</v>
      </c>
      <c r="K5332" s="54">
        <v>0</v>
      </c>
      <c r="L5332" s="22" t="s">
        <v>104</v>
      </c>
      <c r="M5332" s="22" t="s">
        <v>36830</v>
      </c>
    </row>
    <row r="5333" spans="1:13" x14ac:dyDescent="0.75">
      <c r="A5333" t="s">
        <v>19328</v>
      </c>
      <c r="B5333" t="s">
        <v>2965</v>
      </c>
      <c r="C5333" t="s">
        <v>6227</v>
      </c>
      <c r="D5333" t="s">
        <v>6228</v>
      </c>
      <c r="E5333" t="s">
        <v>19329</v>
      </c>
      <c r="F5333">
        <v>113</v>
      </c>
      <c r="G5333">
        <v>2005514</v>
      </c>
      <c r="H5333" t="s">
        <v>19330</v>
      </c>
      <c r="J5333" s="54" t="s">
        <v>6052</v>
      </c>
      <c r="K5333" s="54">
        <v>0</v>
      </c>
      <c r="L5333" s="22" t="s">
        <v>104</v>
      </c>
      <c r="M5333" s="22" t="s">
        <v>36830</v>
      </c>
    </row>
    <row r="5334" spans="1:13" x14ac:dyDescent="0.75">
      <c r="A5334" t="s">
        <v>19320</v>
      </c>
      <c r="B5334" t="s">
        <v>2965</v>
      </c>
      <c r="C5334" t="s">
        <v>6227</v>
      </c>
      <c r="D5334" t="s">
        <v>6228</v>
      </c>
      <c r="E5334" t="s">
        <v>19321</v>
      </c>
      <c r="F5334">
        <v>155</v>
      </c>
      <c r="G5334">
        <v>2207952</v>
      </c>
      <c r="H5334" t="s">
        <v>19322</v>
      </c>
      <c r="J5334" s="54" t="s">
        <v>6052</v>
      </c>
      <c r="K5334" s="54">
        <v>0</v>
      </c>
      <c r="L5334" s="22" t="s">
        <v>104</v>
      </c>
      <c r="M5334" s="22" t="s">
        <v>36830</v>
      </c>
    </row>
    <row r="5335" spans="1:13" x14ac:dyDescent="0.75">
      <c r="A5335" t="s">
        <v>19334</v>
      </c>
      <c r="B5335" t="s">
        <v>2965</v>
      </c>
      <c r="C5335" t="s">
        <v>6227</v>
      </c>
      <c r="D5335" t="s">
        <v>6228</v>
      </c>
      <c r="E5335" t="s">
        <v>19335</v>
      </c>
      <c r="F5335">
        <v>153</v>
      </c>
      <c r="G5335">
        <v>2151009</v>
      </c>
      <c r="H5335" t="s">
        <v>19336</v>
      </c>
      <c r="J5335" s="54" t="s">
        <v>6052</v>
      </c>
      <c r="K5335" s="54">
        <v>0</v>
      </c>
      <c r="L5335" s="22" t="s">
        <v>104</v>
      </c>
      <c r="M5335" s="22" t="s">
        <v>36830</v>
      </c>
    </row>
    <row r="5336" spans="1:13" x14ac:dyDescent="0.75">
      <c r="A5336" t="s">
        <v>23237</v>
      </c>
      <c r="B5336" t="s">
        <v>2965</v>
      </c>
      <c r="C5336" t="s">
        <v>6227</v>
      </c>
      <c r="D5336" t="s">
        <v>6228</v>
      </c>
      <c r="E5336" t="s">
        <v>23238</v>
      </c>
      <c r="F5336">
        <v>1</v>
      </c>
      <c r="G5336">
        <v>2273720</v>
      </c>
      <c r="H5336" t="s">
        <v>23239</v>
      </c>
      <c r="J5336" s="54" t="s">
        <v>6052</v>
      </c>
      <c r="K5336" s="54">
        <v>0</v>
      </c>
      <c r="L5336" s="22" t="s">
        <v>104</v>
      </c>
      <c r="M5336" s="22" t="s">
        <v>36830</v>
      </c>
    </row>
    <row r="5337" spans="1:13" x14ac:dyDescent="0.75">
      <c r="A5337" t="s">
        <v>20961</v>
      </c>
      <c r="B5337" t="s">
        <v>2965</v>
      </c>
      <c r="C5337" t="s">
        <v>6227</v>
      </c>
      <c r="D5337" t="s">
        <v>6228</v>
      </c>
      <c r="E5337" t="s">
        <v>20962</v>
      </c>
      <c r="F5337">
        <v>22</v>
      </c>
      <c r="G5337">
        <v>2198841</v>
      </c>
      <c r="H5337" t="s">
        <v>20963</v>
      </c>
      <c r="J5337" s="54" t="s">
        <v>6052</v>
      </c>
      <c r="K5337" s="54">
        <v>0</v>
      </c>
      <c r="L5337" s="22" t="s">
        <v>104</v>
      </c>
      <c r="M5337" s="22" t="s">
        <v>36830</v>
      </c>
    </row>
    <row r="5338" spans="1:13" x14ac:dyDescent="0.75">
      <c r="A5338" t="s">
        <v>20990</v>
      </c>
      <c r="B5338" t="s">
        <v>2965</v>
      </c>
      <c r="C5338" t="s">
        <v>6227</v>
      </c>
      <c r="D5338" t="s">
        <v>6228</v>
      </c>
      <c r="E5338" t="s">
        <v>20991</v>
      </c>
      <c r="F5338">
        <v>57</v>
      </c>
      <c r="G5338">
        <v>2233101</v>
      </c>
      <c r="H5338" t="s">
        <v>20992</v>
      </c>
      <c r="J5338" s="54" t="s">
        <v>6052</v>
      </c>
      <c r="K5338" s="54">
        <v>0</v>
      </c>
      <c r="L5338" s="22" t="s">
        <v>104</v>
      </c>
      <c r="M5338" s="22" t="s">
        <v>36830</v>
      </c>
    </row>
    <row r="5339" spans="1:13" x14ac:dyDescent="0.75">
      <c r="A5339" t="s">
        <v>20777</v>
      </c>
      <c r="B5339" t="s">
        <v>2965</v>
      </c>
      <c r="C5339" t="s">
        <v>6227</v>
      </c>
      <c r="D5339" t="s">
        <v>6228</v>
      </c>
      <c r="E5339" t="s">
        <v>20778</v>
      </c>
      <c r="F5339">
        <v>33</v>
      </c>
      <c r="G5339">
        <v>2303946</v>
      </c>
      <c r="H5339" t="s">
        <v>20779</v>
      </c>
      <c r="J5339" s="54" t="s">
        <v>6052</v>
      </c>
      <c r="K5339" s="54">
        <v>0</v>
      </c>
      <c r="L5339" s="22" t="s">
        <v>104</v>
      </c>
      <c r="M5339" s="22" t="s">
        <v>36830</v>
      </c>
    </row>
    <row r="5340" spans="1:13" x14ac:dyDescent="0.75">
      <c r="A5340" t="s">
        <v>21222</v>
      </c>
      <c r="B5340" t="s">
        <v>2965</v>
      </c>
      <c r="C5340" t="s">
        <v>6227</v>
      </c>
      <c r="D5340" t="s">
        <v>6228</v>
      </c>
      <c r="E5340" t="s">
        <v>21223</v>
      </c>
      <c r="F5340">
        <v>1</v>
      </c>
      <c r="G5340">
        <v>2283079</v>
      </c>
      <c r="H5340" t="s">
        <v>21224</v>
      </c>
      <c r="J5340" s="54" t="s">
        <v>6052</v>
      </c>
      <c r="K5340" s="54">
        <v>0</v>
      </c>
      <c r="L5340" s="22" t="s">
        <v>104</v>
      </c>
      <c r="M5340" s="22" t="s">
        <v>36830</v>
      </c>
    </row>
    <row r="5341" spans="1:13" x14ac:dyDescent="0.75">
      <c r="A5341" t="s">
        <v>8252</v>
      </c>
      <c r="B5341" t="s">
        <v>2965</v>
      </c>
      <c r="C5341" t="s">
        <v>6227</v>
      </c>
      <c r="D5341" t="s">
        <v>6228</v>
      </c>
      <c r="E5341" t="s">
        <v>8253</v>
      </c>
      <c r="F5341">
        <v>18</v>
      </c>
      <c r="G5341">
        <v>2313271</v>
      </c>
      <c r="H5341" t="s">
        <v>8254</v>
      </c>
      <c r="J5341" s="54" t="s">
        <v>6052</v>
      </c>
      <c r="K5341" s="54">
        <v>0</v>
      </c>
      <c r="L5341" s="22" t="s">
        <v>104</v>
      </c>
      <c r="M5341" s="22" t="s">
        <v>36830</v>
      </c>
    </row>
    <row r="5342" spans="1:13" x14ac:dyDescent="0.75">
      <c r="A5342" t="s">
        <v>28458</v>
      </c>
      <c r="B5342" t="s">
        <v>2965</v>
      </c>
      <c r="C5342" t="s">
        <v>6227</v>
      </c>
      <c r="D5342" t="s">
        <v>6228</v>
      </c>
      <c r="E5342" t="s">
        <v>28459</v>
      </c>
      <c r="F5342">
        <v>186</v>
      </c>
      <c r="G5342">
        <v>2184222</v>
      </c>
      <c r="H5342" t="s">
        <v>28460</v>
      </c>
      <c r="J5342" s="54" t="s">
        <v>6052</v>
      </c>
      <c r="K5342" s="54">
        <v>0</v>
      </c>
      <c r="L5342" s="22" t="s">
        <v>104</v>
      </c>
      <c r="M5342" s="22" t="s">
        <v>36830</v>
      </c>
    </row>
    <row r="5343" spans="1:13" x14ac:dyDescent="0.75">
      <c r="A5343" t="s">
        <v>28208</v>
      </c>
      <c r="B5343" t="s">
        <v>2965</v>
      </c>
      <c r="C5343" t="s">
        <v>6227</v>
      </c>
      <c r="D5343" t="s">
        <v>6228</v>
      </c>
      <c r="E5343" t="s">
        <v>28209</v>
      </c>
      <c r="F5343">
        <v>51</v>
      </c>
      <c r="G5343">
        <v>2162110</v>
      </c>
      <c r="H5343" t="s">
        <v>28210</v>
      </c>
      <c r="J5343" s="54" t="s">
        <v>6052</v>
      </c>
      <c r="K5343" s="54">
        <v>0</v>
      </c>
      <c r="L5343" s="22" t="s">
        <v>104</v>
      </c>
      <c r="M5343" s="22" t="s">
        <v>36830</v>
      </c>
    </row>
    <row r="5344" spans="1:13" x14ac:dyDescent="0.75">
      <c r="A5344" t="s">
        <v>28214</v>
      </c>
      <c r="B5344" t="s">
        <v>2965</v>
      </c>
      <c r="C5344" t="s">
        <v>6227</v>
      </c>
      <c r="D5344" t="s">
        <v>6228</v>
      </c>
      <c r="E5344" t="s">
        <v>28215</v>
      </c>
      <c r="F5344">
        <v>163</v>
      </c>
      <c r="G5344">
        <v>2178797</v>
      </c>
      <c r="H5344" t="s">
        <v>28216</v>
      </c>
      <c r="J5344" s="54" t="s">
        <v>6052</v>
      </c>
      <c r="K5344" s="54">
        <v>0</v>
      </c>
      <c r="L5344" s="22" t="s">
        <v>104</v>
      </c>
      <c r="M5344" s="22" t="s">
        <v>36830</v>
      </c>
    </row>
    <row r="5345" spans="1:13" x14ac:dyDescent="0.75">
      <c r="A5345" t="s">
        <v>11861</v>
      </c>
      <c r="B5345" t="s">
        <v>2965</v>
      </c>
      <c r="C5345" t="s">
        <v>6227</v>
      </c>
      <c r="D5345" t="s">
        <v>6228</v>
      </c>
      <c r="E5345" t="s">
        <v>11862</v>
      </c>
      <c r="F5345">
        <v>1</v>
      </c>
      <c r="G5345">
        <v>2292716</v>
      </c>
      <c r="H5345" t="s">
        <v>11863</v>
      </c>
      <c r="J5345" s="54" t="s">
        <v>6052</v>
      </c>
      <c r="K5345" s="54">
        <v>0</v>
      </c>
      <c r="L5345" s="22" t="s">
        <v>104</v>
      </c>
      <c r="M5345" s="22" t="s">
        <v>36830</v>
      </c>
    </row>
    <row r="5346" spans="1:13" x14ac:dyDescent="0.75">
      <c r="A5346" t="s">
        <v>26559</v>
      </c>
      <c r="B5346" t="s">
        <v>2965</v>
      </c>
      <c r="C5346" t="s">
        <v>6227</v>
      </c>
      <c r="D5346" t="s">
        <v>6228</v>
      </c>
      <c r="E5346" t="s">
        <v>26560</v>
      </c>
      <c r="F5346">
        <v>68</v>
      </c>
      <c r="G5346">
        <v>2308735</v>
      </c>
      <c r="H5346" t="s">
        <v>26561</v>
      </c>
      <c r="J5346" s="54" t="s">
        <v>6052</v>
      </c>
      <c r="K5346" s="54">
        <v>0</v>
      </c>
      <c r="L5346" s="22" t="s">
        <v>104</v>
      </c>
      <c r="M5346" s="22" t="s">
        <v>36830</v>
      </c>
    </row>
    <row r="5347" spans="1:13" x14ac:dyDescent="0.75">
      <c r="A5347" t="s">
        <v>29520</v>
      </c>
      <c r="B5347" t="s">
        <v>2965</v>
      </c>
      <c r="C5347" t="s">
        <v>6227</v>
      </c>
      <c r="D5347" t="s">
        <v>6228</v>
      </c>
      <c r="E5347" t="s">
        <v>29521</v>
      </c>
      <c r="F5347">
        <v>38</v>
      </c>
      <c r="G5347">
        <v>1938932</v>
      </c>
      <c r="H5347" t="s">
        <v>29522</v>
      </c>
      <c r="J5347" s="54" t="s">
        <v>6052</v>
      </c>
      <c r="K5347" s="54">
        <v>0</v>
      </c>
      <c r="L5347" s="22" t="s">
        <v>104</v>
      </c>
      <c r="M5347" s="22" t="s">
        <v>36830</v>
      </c>
    </row>
    <row r="5348" spans="1:13" x14ac:dyDescent="0.75">
      <c r="A5348" t="s">
        <v>29517</v>
      </c>
      <c r="B5348" t="s">
        <v>2965</v>
      </c>
      <c r="C5348" t="s">
        <v>6227</v>
      </c>
      <c r="D5348" t="s">
        <v>6228</v>
      </c>
      <c r="E5348" t="s">
        <v>29518</v>
      </c>
      <c r="F5348">
        <v>12</v>
      </c>
      <c r="G5348">
        <v>2196495</v>
      </c>
      <c r="H5348" t="s">
        <v>29519</v>
      </c>
      <c r="J5348" s="54" t="s">
        <v>6052</v>
      </c>
      <c r="K5348" s="54">
        <v>0</v>
      </c>
      <c r="L5348" s="22" t="s">
        <v>104</v>
      </c>
      <c r="M5348" s="22" t="s">
        <v>36830</v>
      </c>
    </row>
    <row r="5349" spans="1:13" x14ac:dyDescent="0.75">
      <c r="A5349" t="s">
        <v>28153</v>
      </c>
      <c r="B5349" t="s">
        <v>2965</v>
      </c>
      <c r="C5349" t="s">
        <v>6227</v>
      </c>
      <c r="D5349" t="s">
        <v>6228</v>
      </c>
      <c r="E5349" t="s">
        <v>28154</v>
      </c>
      <c r="F5349">
        <v>9</v>
      </c>
      <c r="G5349">
        <v>2236411</v>
      </c>
      <c r="H5349" t="s">
        <v>28155</v>
      </c>
      <c r="J5349" s="54" t="s">
        <v>6052</v>
      </c>
      <c r="K5349" s="54">
        <v>0</v>
      </c>
      <c r="L5349" s="22" t="s">
        <v>104</v>
      </c>
      <c r="M5349" s="22" t="s">
        <v>36830</v>
      </c>
    </row>
    <row r="5350" spans="1:13" x14ac:dyDescent="0.75">
      <c r="A5350" t="s">
        <v>29404</v>
      </c>
      <c r="B5350" t="s">
        <v>2965</v>
      </c>
      <c r="C5350" t="s">
        <v>6227</v>
      </c>
      <c r="D5350" t="s">
        <v>6228</v>
      </c>
      <c r="E5350" t="s">
        <v>29405</v>
      </c>
      <c r="F5350">
        <v>29</v>
      </c>
      <c r="G5350">
        <v>2285419</v>
      </c>
      <c r="H5350" t="s">
        <v>29406</v>
      </c>
      <c r="J5350" s="54" t="s">
        <v>6052</v>
      </c>
      <c r="K5350" s="54">
        <v>0</v>
      </c>
      <c r="L5350" s="22" t="s">
        <v>104</v>
      </c>
      <c r="M5350" s="22" t="s">
        <v>36830</v>
      </c>
    </row>
    <row r="5351" spans="1:13" x14ac:dyDescent="0.75">
      <c r="A5351" t="s">
        <v>29333</v>
      </c>
      <c r="B5351" t="s">
        <v>2965</v>
      </c>
      <c r="C5351" t="s">
        <v>6227</v>
      </c>
      <c r="D5351" t="s">
        <v>6228</v>
      </c>
      <c r="E5351" t="s">
        <v>29334</v>
      </c>
      <c r="F5351">
        <v>28</v>
      </c>
      <c r="G5351">
        <v>2288381</v>
      </c>
      <c r="H5351" t="s">
        <v>29335</v>
      </c>
      <c r="J5351" s="54" t="s">
        <v>6052</v>
      </c>
      <c r="K5351" s="54">
        <v>0</v>
      </c>
      <c r="L5351" s="22" t="s">
        <v>104</v>
      </c>
      <c r="M5351" s="22" t="s">
        <v>36830</v>
      </c>
    </row>
    <row r="5352" spans="1:13" x14ac:dyDescent="0.75">
      <c r="A5352" t="s">
        <v>29579</v>
      </c>
      <c r="B5352" t="s">
        <v>2965</v>
      </c>
      <c r="C5352" t="s">
        <v>6227</v>
      </c>
      <c r="D5352" t="s">
        <v>6228</v>
      </c>
      <c r="E5352" t="s">
        <v>29580</v>
      </c>
      <c r="F5352">
        <v>90</v>
      </c>
      <c r="G5352">
        <v>2379345</v>
      </c>
      <c r="H5352" t="s">
        <v>29581</v>
      </c>
      <c r="J5352" s="54" t="s">
        <v>6052</v>
      </c>
      <c r="K5352" s="54">
        <v>0</v>
      </c>
      <c r="L5352" s="22" t="s">
        <v>104</v>
      </c>
      <c r="M5352" s="22" t="s">
        <v>36830</v>
      </c>
    </row>
    <row r="5353" spans="1:13" x14ac:dyDescent="0.75">
      <c r="A5353" t="s">
        <v>29753</v>
      </c>
      <c r="B5353" t="s">
        <v>2965</v>
      </c>
      <c r="C5353" t="s">
        <v>6227</v>
      </c>
      <c r="D5353" t="s">
        <v>6228</v>
      </c>
      <c r="E5353" t="s">
        <v>29754</v>
      </c>
      <c r="F5353">
        <v>54</v>
      </c>
      <c r="G5353">
        <v>2301243</v>
      </c>
      <c r="H5353" t="s">
        <v>29755</v>
      </c>
      <c r="J5353" s="54" t="s">
        <v>6052</v>
      </c>
      <c r="K5353" s="54">
        <v>0</v>
      </c>
      <c r="L5353" s="22" t="s">
        <v>104</v>
      </c>
      <c r="M5353" s="22" t="s">
        <v>36830</v>
      </c>
    </row>
    <row r="5354" spans="1:13" x14ac:dyDescent="0.75">
      <c r="A5354" t="s">
        <v>29701</v>
      </c>
      <c r="B5354" t="s">
        <v>2965</v>
      </c>
      <c r="C5354" t="s">
        <v>6227</v>
      </c>
      <c r="D5354" t="s">
        <v>6228</v>
      </c>
      <c r="E5354" t="s">
        <v>29702</v>
      </c>
      <c r="F5354">
        <v>70</v>
      </c>
      <c r="G5354">
        <v>2266204</v>
      </c>
      <c r="H5354" t="s">
        <v>29703</v>
      </c>
      <c r="J5354" s="54" t="s">
        <v>6052</v>
      </c>
      <c r="K5354" s="54">
        <v>0</v>
      </c>
      <c r="L5354" s="22" t="s">
        <v>104</v>
      </c>
      <c r="M5354" s="22" t="s">
        <v>36830</v>
      </c>
    </row>
    <row r="5355" spans="1:13" x14ac:dyDescent="0.75">
      <c r="A5355" t="s">
        <v>14335</v>
      </c>
      <c r="B5355" t="s">
        <v>2965</v>
      </c>
      <c r="C5355" t="s">
        <v>6227</v>
      </c>
      <c r="D5355" t="s">
        <v>6228</v>
      </c>
      <c r="E5355" t="s">
        <v>14336</v>
      </c>
      <c r="F5355">
        <v>10</v>
      </c>
      <c r="G5355">
        <v>2258154</v>
      </c>
      <c r="H5355" t="s">
        <v>14337</v>
      </c>
      <c r="J5355" s="54" t="s">
        <v>6052</v>
      </c>
      <c r="K5355" s="54">
        <v>0</v>
      </c>
      <c r="L5355" s="22" t="s">
        <v>104</v>
      </c>
      <c r="M5355" s="22" t="s">
        <v>36830</v>
      </c>
    </row>
    <row r="5356" spans="1:13" x14ac:dyDescent="0.75">
      <c r="A5356" t="s">
        <v>17157</v>
      </c>
      <c r="B5356" t="s">
        <v>17158</v>
      </c>
      <c r="C5356" t="s">
        <v>17159</v>
      </c>
      <c r="D5356" t="s">
        <v>17160</v>
      </c>
      <c r="E5356" t="s">
        <v>17161</v>
      </c>
      <c r="F5356">
        <v>42</v>
      </c>
      <c r="G5356">
        <v>523632</v>
      </c>
      <c r="H5356" t="s">
        <v>17162</v>
      </c>
      <c r="J5356" s="54" t="s">
        <v>6052</v>
      </c>
      <c r="K5356" s="54">
        <v>0</v>
      </c>
      <c r="L5356" s="22" t="s">
        <v>104</v>
      </c>
      <c r="M5356" s="22" t="s">
        <v>37245</v>
      </c>
    </row>
    <row r="5357" spans="1:13" x14ac:dyDescent="0.75">
      <c r="A5357" t="s">
        <v>18624</v>
      </c>
      <c r="B5357" t="s">
        <v>18625</v>
      </c>
      <c r="C5357" t="s">
        <v>18626</v>
      </c>
      <c r="D5357" t="s">
        <v>18627</v>
      </c>
      <c r="E5357" t="s">
        <v>18628</v>
      </c>
      <c r="F5357">
        <v>17</v>
      </c>
      <c r="G5357">
        <v>712298</v>
      </c>
      <c r="H5357" t="s">
        <v>18629</v>
      </c>
      <c r="J5357" s="54" t="s">
        <v>6052</v>
      </c>
      <c r="K5357" s="54">
        <v>0</v>
      </c>
      <c r="L5357" s="22" t="s">
        <v>104</v>
      </c>
      <c r="M5357" s="22" t="s">
        <v>37248</v>
      </c>
    </row>
    <row r="5358" spans="1:13" x14ac:dyDescent="0.75">
      <c r="A5358" t="s">
        <v>18426</v>
      </c>
      <c r="B5358" t="s">
        <v>16744</v>
      </c>
      <c r="C5358" t="s">
        <v>9421</v>
      </c>
      <c r="D5358" t="s">
        <v>16745</v>
      </c>
      <c r="E5358" t="s">
        <v>18427</v>
      </c>
      <c r="F5358">
        <v>1</v>
      </c>
      <c r="G5358">
        <v>835009</v>
      </c>
      <c r="H5358" t="s">
        <v>18428</v>
      </c>
      <c r="J5358" s="54" t="s">
        <v>6052</v>
      </c>
      <c r="K5358" s="54">
        <v>0</v>
      </c>
      <c r="L5358" s="22" t="s">
        <v>104</v>
      </c>
      <c r="M5358" s="22" t="s">
        <v>37249</v>
      </c>
    </row>
    <row r="5359" spans="1:13" x14ac:dyDescent="0.75">
      <c r="A5359" t="s">
        <v>18423</v>
      </c>
      <c r="B5359" t="s">
        <v>16744</v>
      </c>
      <c r="C5359" t="s">
        <v>9421</v>
      </c>
      <c r="D5359" t="s">
        <v>16745</v>
      </c>
      <c r="E5359" t="s">
        <v>18424</v>
      </c>
      <c r="F5359">
        <v>1</v>
      </c>
      <c r="G5359">
        <v>841891</v>
      </c>
      <c r="H5359" t="s">
        <v>18425</v>
      </c>
      <c r="J5359" s="54" t="s">
        <v>6052</v>
      </c>
      <c r="K5359" s="54">
        <v>0</v>
      </c>
      <c r="L5359" s="22" t="s">
        <v>104</v>
      </c>
      <c r="M5359" s="22" t="s">
        <v>37249</v>
      </c>
    </row>
    <row r="5360" spans="1:13" x14ac:dyDescent="0.75">
      <c r="A5360" t="s">
        <v>18030</v>
      </c>
      <c r="B5360" t="s">
        <v>16744</v>
      </c>
      <c r="C5360" t="s">
        <v>9421</v>
      </c>
      <c r="D5360" t="s">
        <v>16745</v>
      </c>
      <c r="E5360" t="s">
        <v>18031</v>
      </c>
      <c r="F5360">
        <v>1</v>
      </c>
      <c r="G5360">
        <v>873056</v>
      </c>
      <c r="H5360" t="s">
        <v>18032</v>
      </c>
      <c r="J5360" s="54" t="s">
        <v>6052</v>
      </c>
      <c r="K5360" s="54">
        <v>0</v>
      </c>
      <c r="L5360" s="22" t="s">
        <v>104</v>
      </c>
      <c r="M5360" s="22" t="s">
        <v>37249</v>
      </c>
    </row>
    <row r="5361" spans="1:13" x14ac:dyDescent="0.75">
      <c r="A5361" t="s">
        <v>18024</v>
      </c>
      <c r="B5361" t="s">
        <v>16744</v>
      </c>
      <c r="C5361" t="s">
        <v>9421</v>
      </c>
      <c r="D5361" t="s">
        <v>16745</v>
      </c>
      <c r="E5361" t="s">
        <v>18025</v>
      </c>
      <c r="F5361">
        <v>1</v>
      </c>
      <c r="G5361">
        <v>885960</v>
      </c>
      <c r="H5361" t="s">
        <v>18026</v>
      </c>
      <c r="J5361" s="54" t="s">
        <v>6052</v>
      </c>
      <c r="K5361" s="54">
        <v>0</v>
      </c>
      <c r="L5361" s="22" t="s">
        <v>104</v>
      </c>
      <c r="M5361" s="22" t="s">
        <v>37249</v>
      </c>
    </row>
    <row r="5362" spans="1:13" x14ac:dyDescent="0.75">
      <c r="A5362" t="s">
        <v>18621</v>
      </c>
      <c r="B5362" t="s">
        <v>16744</v>
      </c>
      <c r="C5362" t="s">
        <v>9421</v>
      </c>
      <c r="D5362" t="s">
        <v>16745</v>
      </c>
      <c r="E5362" t="s">
        <v>18622</v>
      </c>
      <c r="F5362">
        <v>21</v>
      </c>
      <c r="G5362">
        <v>783709</v>
      </c>
      <c r="H5362" t="s">
        <v>18623</v>
      </c>
      <c r="J5362" s="54" t="s">
        <v>6052</v>
      </c>
      <c r="K5362" s="54">
        <v>0</v>
      </c>
      <c r="L5362" s="22" t="s">
        <v>104</v>
      </c>
      <c r="M5362" s="22" t="s">
        <v>37249</v>
      </c>
    </row>
    <row r="5363" spans="1:13" x14ac:dyDescent="0.75">
      <c r="A5363" t="s">
        <v>16743</v>
      </c>
      <c r="B5363" t="s">
        <v>16744</v>
      </c>
      <c r="C5363" t="s">
        <v>9421</v>
      </c>
      <c r="D5363" t="s">
        <v>16745</v>
      </c>
      <c r="E5363" t="s">
        <v>16746</v>
      </c>
      <c r="F5363">
        <v>1</v>
      </c>
      <c r="G5363">
        <v>842202</v>
      </c>
      <c r="H5363" t="s">
        <v>16747</v>
      </c>
      <c r="J5363" s="54" t="s">
        <v>6052</v>
      </c>
      <c r="K5363" s="54">
        <v>0</v>
      </c>
      <c r="L5363" s="22" t="s">
        <v>104</v>
      </c>
      <c r="M5363" s="22" t="s">
        <v>37249</v>
      </c>
    </row>
    <row r="5364" spans="1:13" x14ac:dyDescent="0.75">
      <c r="A5364" t="s">
        <v>19282</v>
      </c>
      <c r="B5364" t="s">
        <v>16540</v>
      </c>
      <c r="C5364" t="s">
        <v>9421</v>
      </c>
      <c r="D5364" t="s">
        <v>16541</v>
      </c>
      <c r="E5364" t="s">
        <v>19283</v>
      </c>
      <c r="F5364">
        <v>76</v>
      </c>
      <c r="G5364">
        <v>696341</v>
      </c>
      <c r="H5364" t="s">
        <v>19284</v>
      </c>
      <c r="J5364" s="54" t="s">
        <v>6052</v>
      </c>
      <c r="K5364" s="54">
        <v>0</v>
      </c>
      <c r="L5364" s="22" t="s">
        <v>104</v>
      </c>
      <c r="M5364" s="22" t="s">
        <v>37250</v>
      </c>
    </row>
    <row r="5365" spans="1:13" x14ac:dyDescent="0.75">
      <c r="A5365" t="s">
        <v>19285</v>
      </c>
      <c r="B5365" t="s">
        <v>16540</v>
      </c>
      <c r="C5365" t="s">
        <v>9421</v>
      </c>
      <c r="D5365" t="s">
        <v>16541</v>
      </c>
      <c r="E5365" t="s">
        <v>19286</v>
      </c>
      <c r="F5365">
        <v>78</v>
      </c>
      <c r="G5365">
        <v>777410</v>
      </c>
      <c r="H5365" t="s">
        <v>19287</v>
      </c>
      <c r="J5365" s="54" t="s">
        <v>6052</v>
      </c>
      <c r="K5365" s="54">
        <v>0</v>
      </c>
      <c r="L5365" s="22" t="s">
        <v>104</v>
      </c>
      <c r="M5365" s="22" t="s">
        <v>37250</v>
      </c>
    </row>
    <row r="5366" spans="1:13" x14ac:dyDescent="0.75">
      <c r="A5366" t="s">
        <v>18672</v>
      </c>
      <c r="B5366" t="s">
        <v>16540</v>
      </c>
      <c r="C5366" t="s">
        <v>9421</v>
      </c>
      <c r="D5366" t="s">
        <v>16541</v>
      </c>
      <c r="E5366" t="s">
        <v>18673</v>
      </c>
      <c r="F5366">
        <v>63</v>
      </c>
      <c r="G5366">
        <v>761017</v>
      </c>
      <c r="H5366" t="s">
        <v>18674</v>
      </c>
      <c r="J5366" s="54" t="s">
        <v>6052</v>
      </c>
      <c r="K5366" s="54">
        <v>0</v>
      </c>
      <c r="L5366" s="22" t="s">
        <v>104</v>
      </c>
      <c r="M5366" s="22" t="s">
        <v>37250</v>
      </c>
    </row>
    <row r="5367" spans="1:13" x14ac:dyDescent="0.75">
      <c r="A5367" t="s">
        <v>18666</v>
      </c>
      <c r="B5367" t="s">
        <v>16540</v>
      </c>
      <c r="C5367" t="s">
        <v>9421</v>
      </c>
      <c r="D5367" t="s">
        <v>16541</v>
      </c>
      <c r="E5367" t="s">
        <v>18667</v>
      </c>
      <c r="F5367">
        <v>98</v>
      </c>
      <c r="G5367">
        <v>775906</v>
      </c>
      <c r="H5367" t="s">
        <v>18668</v>
      </c>
      <c r="J5367" s="54" t="s">
        <v>6052</v>
      </c>
      <c r="K5367" s="54">
        <v>0</v>
      </c>
      <c r="L5367" s="22" t="s">
        <v>104</v>
      </c>
      <c r="M5367" s="22" t="s">
        <v>37250</v>
      </c>
    </row>
    <row r="5368" spans="1:13" x14ac:dyDescent="0.75">
      <c r="A5368" t="s">
        <v>18644</v>
      </c>
      <c r="B5368" t="s">
        <v>16540</v>
      </c>
      <c r="C5368" t="s">
        <v>9421</v>
      </c>
      <c r="D5368" t="s">
        <v>16541</v>
      </c>
      <c r="E5368" t="s">
        <v>18645</v>
      </c>
      <c r="F5368">
        <v>45</v>
      </c>
      <c r="G5368">
        <v>829076</v>
      </c>
      <c r="H5368" t="s">
        <v>18646</v>
      </c>
      <c r="J5368" s="54" t="s">
        <v>6052</v>
      </c>
      <c r="K5368" s="54">
        <v>0</v>
      </c>
      <c r="L5368" s="22" t="s">
        <v>104</v>
      </c>
      <c r="M5368" s="22" t="s">
        <v>37250</v>
      </c>
    </row>
    <row r="5369" spans="1:13" x14ac:dyDescent="0.75">
      <c r="A5369" t="s">
        <v>16539</v>
      </c>
      <c r="B5369" t="s">
        <v>16540</v>
      </c>
      <c r="C5369" t="s">
        <v>9421</v>
      </c>
      <c r="D5369" t="s">
        <v>16541</v>
      </c>
      <c r="E5369" t="s">
        <v>16542</v>
      </c>
      <c r="F5369">
        <v>71</v>
      </c>
      <c r="G5369">
        <v>756930</v>
      </c>
      <c r="H5369" t="s">
        <v>16543</v>
      </c>
      <c r="J5369" s="54" t="s">
        <v>6052</v>
      </c>
      <c r="K5369" s="54">
        <v>0</v>
      </c>
      <c r="L5369" s="22" t="s">
        <v>104</v>
      </c>
      <c r="M5369" s="22" t="s">
        <v>37250</v>
      </c>
    </row>
    <row r="5370" spans="1:13" x14ac:dyDescent="0.75">
      <c r="A5370" t="s">
        <v>17176</v>
      </c>
      <c r="B5370" t="s">
        <v>16540</v>
      </c>
      <c r="C5370" t="s">
        <v>9421</v>
      </c>
      <c r="D5370" t="s">
        <v>16541</v>
      </c>
      <c r="E5370" t="s">
        <v>17177</v>
      </c>
      <c r="F5370">
        <v>22</v>
      </c>
      <c r="G5370">
        <v>978051</v>
      </c>
      <c r="H5370" t="s">
        <v>17178</v>
      </c>
      <c r="J5370" s="54" t="s">
        <v>6052</v>
      </c>
      <c r="K5370" s="54">
        <v>0</v>
      </c>
      <c r="L5370" s="22" t="s">
        <v>104</v>
      </c>
      <c r="M5370" s="22" t="s">
        <v>37250</v>
      </c>
    </row>
    <row r="5371" spans="1:13" x14ac:dyDescent="0.75">
      <c r="A5371" t="s">
        <v>26175</v>
      </c>
      <c r="B5371" t="s">
        <v>17172</v>
      </c>
      <c r="C5371" t="s">
        <v>9421</v>
      </c>
      <c r="D5371" t="s">
        <v>17173</v>
      </c>
      <c r="E5371" t="s">
        <v>26173</v>
      </c>
      <c r="F5371">
        <v>1</v>
      </c>
      <c r="G5371">
        <v>864133</v>
      </c>
      <c r="H5371" t="s">
        <v>26176</v>
      </c>
      <c r="J5371" s="54" t="s">
        <v>6052</v>
      </c>
      <c r="K5371" s="54">
        <v>0</v>
      </c>
      <c r="L5371" s="22" t="s">
        <v>104</v>
      </c>
      <c r="M5371" s="22" t="s">
        <v>37252</v>
      </c>
    </row>
    <row r="5372" spans="1:13" x14ac:dyDescent="0.75">
      <c r="A5372" t="s">
        <v>18650</v>
      </c>
      <c r="B5372" t="s">
        <v>17172</v>
      </c>
      <c r="C5372" t="s">
        <v>9421</v>
      </c>
      <c r="D5372" t="s">
        <v>17173</v>
      </c>
      <c r="E5372" t="s">
        <v>18651</v>
      </c>
      <c r="F5372">
        <v>42</v>
      </c>
      <c r="G5372">
        <v>854011</v>
      </c>
      <c r="H5372" t="s">
        <v>18652</v>
      </c>
      <c r="J5372" s="54" t="s">
        <v>6052</v>
      </c>
      <c r="K5372" s="54">
        <v>0</v>
      </c>
      <c r="L5372" s="22" t="s">
        <v>104</v>
      </c>
      <c r="M5372" s="22" t="s">
        <v>37252</v>
      </c>
    </row>
    <row r="5373" spans="1:13" x14ac:dyDescent="0.75">
      <c r="A5373" t="s">
        <v>20612</v>
      </c>
      <c r="B5373" t="s">
        <v>17172</v>
      </c>
      <c r="C5373" t="s">
        <v>9421</v>
      </c>
      <c r="D5373" t="s">
        <v>17173</v>
      </c>
      <c r="E5373" t="s">
        <v>20613</v>
      </c>
      <c r="F5373">
        <v>1</v>
      </c>
      <c r="G5373">
        <v>1021750</v>
      </c>
      <c r="H5373" t="s">
        <v>20614</v>
      </c>
      <c r="J5373" s="54" t="s">
        <v>6052</v>
      </c>
      <c r="K5373" s="54">
        <v>0</v>
      </c>
      <c r="L5373" s="22" t="s">
        <v>104</v>
      </c>
      <c r="M5373" s="22" t="s">
        <v>37252</v>
      </c>
    </row>
    <row r="5374" spans="1:13" x14ac:dyDescent="0.75">
      <c r="A5374" t="s">
        <v>17171</v>
      </c>
      <c r="B5374" t="s">
        <v>17172</v>
      </c>
      <c r="C5374" t="s">
        <v>9421</v>
      </c>
      <c r="D5374" t="s">
        <v>17173</v>
      </c>
      <c r="E5374" t="s">
        <v>17174</v>
      </c>
      <c r="F5374">
        <v>145</v>
      </c>
      <c r="G5374">
        <v>993263</v>
      </c>
      <c r="H5374" t="s">
        <v>17175</v>
      </c>
      <c r="J5374" s="54" t="s">
        <v>6052</v>
      </c>
      <c r="K5374" s="54">
        <v>0</v>
      </c>
      <c r="L5374" s="22" t="s">
        <v>104</v>
      </c>
      <c r="M5374" s="22" t="s">
        <v>37252</v>
      </c>
    </row>
    <row r="5375" spans="1:13" x14ac:dyDescent="0.75">
      <c r="A5375" t="s">
        <v>2915</v>
      </c>
      <c r="B5375" t="s">
        <v>2741</v>
      </c>
      <c r="C5375" t="s">
        <v>9421</v>
      </c>
      <c r="D5375" t="s">
        <v>18647</v>
      </c>
      <c r="E5375" t="s">
        <v>19288</v>
      </c>
      <c r="F5375">
        <v>32</v>
      </c>
      <c r="G5375">
        <v>1040784</v>
      </c>
      <c r="H5375" t="s">
        <v>19289</v>
      </c>
      <c r="J5375" s="54" t="s">
        <v>19288</v>
      </c>
      <c r="K5375" s="54">
        <v>4</v>
      </c>
      <c r="L5375" s="22" t="s">
        <v>104</v>
      </c>
      <c r="M5375" s="22" t="s">
        <v>36810</v>
      </c>
    </row>
    <row r="5376" spans="1:13" x14ac:dyDescent="0.75">
      <c r="A5376" t="s">
        <v>2774</v>
      </c>
      <c r="B5376" t="s">
        <v>2741</v>
      </c>
      <c r="C5376" t="s">
        <v>9421</v>
      </c>
      <c r="D5376" t="s">
        <v>18647</v>
      </c>
      <c r="E5376" t="s">
        <v>18664</v>
      </c>
      <c r="F5376">
        <v>124</v>
      </c>
      <c r="G5376">
        <v>899001</v>
      </c>
      <c r="H5376" t="s">
        <v>18665</v>
      </c>
      <c r="J5376" s="54" t="s">
        <v>30844</v>
      </c>
      <c r="K5376" s="54">
        <v>3</v>
      </c>
      <c r="L5376" s="22" t="s">
        <v>104</v>
      </c>
      <c r="M5376" s="22" t="s">
        <v>36810</v>
      </c>
    </row>
    <row r="5377" spans="1:13" x14ac:dyDescent="0.75">
      <c r="A5377" t="s">
        <v>2740</v>
      </c>
      <c r="B5377" t="s">
        <v>2741</v>
      </c>
      <c r="C5377" t="s">
        <v>9421</v>
      </c>
      <c r="D5377" t="s">
        <v>18647</v>
      </c>
      <c r="E5377" t="s">
        <v>18648</v>
      </c>
      <c r="F5377">
        <v>26</v>
      </c>
      <c r="G5377">
        <v>992849</v>
      </c>
      <c r="H5377" t="s">
        <v>18649</v>
      </c>
      <c r="J5377" s="54" t="s">
        <v>30844</v>
      </c>
      <c r="K5377" s="54">
        <v>3</v>
      </c>
      <c r="L5377" s="22" t="s">
        <v>104</v>
      </c>
      <c r="M5377" s="22" t="s">
        <v>36810</v>
      </c>
    </row>
    <row r="5378" spans="1:13" x14ac:dyDescent="0.75">
      <c r="A5378" t="s">
        <v>19290</v>
      </c>
      <c r="B5378" t="s">
        <v>19291</v>
      </c>
      <c r="C5378" t="s">
        <v>9421</v>
      </c>
      <c r="D5378" t="s">
        <v>19292</v>
      </c>
      <c r="E5378" t="s">
        <v>19293</v>
      </c>
      <c r="F5378">
        <v>31</v>
      </c>
      <c r="G5378">
        <v>725781</v>
      </c>
      <c r="H5378" t="s">
        <v>19294</v>
      </c>
      <c r="J5378" s="54" t="s">
        <v>6052</v>
      </c>
      <c r="K5378" s="54">
        <v>0</v>
      </c>
      <c r="L5378" s="22" t="s">
        <v>104</v>
      </c>
      <c r="M5378" s="22" t="s">
        <v>37251</v>
      </c>
    </row>
    <row r="5379" spans="1:13" x14ac:dyDescent="0.75">
      <c r="A5379" t="s">
        <v>29985</v>
      </c>
      <c r="B5379" t="s">
        <v>7051</v>
      </c>
      <c r="C5379" t="s">
        <v>7052</v>
      </c>
      <c r="D5379" t="s">
        <v>7053</v>
      </c>
      <c r="E5379" t="s">
        <v>29986</v>
      </c>
      <c r="F5379">
        <v>153</v>
      </c>
      <c r="G5379">
        <v>1742962</v>
      </c>
      <c r="H5379" t="s">
        <v>29987</v>
      </c>
      <c r="J5379" s="54" t="s">
        <v>6052</v>
      </c>
      <c r="K5379" s="54">
        <v>0</v>
      </c>
      <c r="L5379" s="22" t="s">
        <v>104</v>
      </c>
      <c r="M5379" s="22" t="s">
        <v>37255</v>
      </c>
    </row>
    <row r="5380" spans="1:13" x14ac:dyDescent="0.75">
      <c r="A5380" t="s">
        <v>7050</v>
      </c>
      <c r="B5380" t="s">
        <v>7051</v>
      </c>
      <c r="C5380" t="s">
        <v>7052</v>
      </c>
      <c r="D5380" t="s">
        <v>7053</v>
      </c>
      <c r="E5380" t="s">
        <v>7054</v>
      </c>
      <c r="F5380">
        <v>20</v>
      </c>
      <c r="G5380">
        <v>1804013</v>
      </c>
      <c r="H5380" t="s">
        <v>7055</v>
      </c>
      <c r="J5380" s="54" t="s">
        <v>6052</v>
      </c>
      <c r="K5380" s="54">
        <v>0</v>
      </c>
      <c r="L5380" s="22" t="s">
        <v>104</v>
      </c>
      <c r="M5380" s="22" t="s">
        <v>37255</v>
      </c>
    </row>
    <row r="5381" spans="1:13" x14ac:dyDescent="0.75">
      <c r="A5381" t="s">
        <v>10937</v>
      </c>
      <c r="B5381" t="s">
        <v>7051</v>
      </c>
      <c r="C5381" t="s">
        <v>7052</v>
      </c>
      <c r="D5381" t="s">
        <v>7053</v>
      </c>
      <c r="E5381" t="s">
        <v>10938</v>
      </c>
      <c r="F5381">
        <v>1</v>
      </c>
      <c r="G5381">
        <v>1797862</v>
      </c>
      <c r="H5381" t="s">
        <v>10939</v>
      </c>
      <c r="J5381" s="54" t="s">
        <v>6052</v>
      </c>
      <c r="K5381" s="54">
        <v>0</v>
      </c>
      <c r="L5381" s="22" t="s">
        <v>104</v>
      </c>
      <c r="M5381" s="22" t="s">
        <v>37255</v>
      </c>
    </row>
    <row r="5382" spans="1:13" x14ac:dyDescent="0.75">
      <c r="A5382" t="s">
        <v>27405</v>
      </c>
      <c r="B5382" t="s">
        <v>7051</v>
      </c>
      <c r="C5382" t="s">
        <v>7052</v>
      </c>
      <c r="D5382" t="s">
        <v>7053</v>
      </c>
      <c r="E5382" t="s">
        <v>27406</v>
      </c>
      <c r="F5382">
        <v>7</v>
      </c>
      <c r="G5382">
        <v>1830728</v>
      </c>
      <c r="H5382" t="s">
        <v>27407</v>
      </c>
      <c r="J5382" s="54" t="s">
        <v>6052</v>
      </c>
      <c r="K5382" s="54">
        <v>0</v>
      </c>
      <c r="L5382" s="22" t="s">
        <v>104</v>
      </c>
      <c r="M5382" s="22" t="s">
        <v>37255</v>
      </c>
    </row>
    <row r="5383" spans="1:13" x14ac:dyDescent="0.75">
      <c r="A5383" t="s">
        <v>30013</v>
      </c>
      <c r="B5383" t="s">
        <v>8635</v>
      </c>
      <c r="C5383" t="s">
        <v>7052</v>
      </c>
      <c r="D5383" t="s">
        <v>8636</v>
      </c>
      <c r="E5383" t="s">
        <v>30014</v>
      </c>
      <c r="F5383">
        <v>11</v>
      </c>
      <c r="G5383">
        <v>1512077</v>
      </c>
      <c r="H5383" t="s">
        <v>30015</v>
      </c>
      <c r="J5383" s="54" t="s">
        <v>6052</v>
      </c>
      <c r="K5383" s="54">
        <v>0</v>
      </c>
      <c r="L5383" s="22" t="s">
        <v>104</v>
      </c>
      <c r="M5383" s="22" t="s">
        <v>37256</v>
      </c>
    </row>
    <row r="5384" spans="1:13" x14ac:dyDescent="0.75">
      <c r="A5384" t="s">
        <v>8634</v>
      </c>
      <c r="B5384" t="s">
        <v>8635</v>
      </c>
      <c r="C5384" t="s">
        <v>7052</v>
      </c>
      <c r="D5384" t="s">
        <v>8636</v>
      </c>
      <c r="E5384" t="s">
        <v>8637</v>
      </c>
      <c r="F5384">
        <v>1</v>
      </c>
      <c r="G5384">
        <v>1550817</v>
      </c>
      <c r="H5384" t="s">
        <v>8638</v>
      </c>
      <c r="J5384" s="54" t="s">
        <v>6052</v>
      </c>
      <c r="K5384" s="54">
        <v>0</v>
      </c>
      <c r="L5384" s="22" t="s">
        <v>104</v>
      </c>
      <c r="M5384" s="22" t="s">
        <v>37256</v>
      </c>
    </row>
    <row r="5385" spans="1:13" x14ac:dyDescent="0.75">
      <c r="A5385" t="s">
        <v>8670</v>
      </c>
      <c r="B5385" t="s">
        <v>8635</v>
      </c>
      <c r="C5385" t="s">
        <v>7052</v>
      </c>
      <c r="D5385" t="s">
        <v>8636</v>
      </c>
      <c r="E5385" t="s">
        <v>8637</v>
      </c>
      <c r="F5385">
        <v>6</v>
      </c>
      <c r="G5385">
        <v>1555498</v>
      </c>
      <c r="H5385" t="s">
        <v>8671</v>
      </c>
      <c r="J5385" s="54" t="s">
        <v>6052</v>
      </c>
      <c r="K5385" s="54">
        <v>0</v>
      </c>
      <c r="L5385" s="22" t="s">
        <v>104</v>
      </c>
      <c r="M5385" s="22" t="s">
        <v>37256</v>
      </c>
    </row>
    <row r="5386" spans="1:13" x14ac:dyDescent="0.75">
      <c r="A5386" t="s">
        <v>19323</v>
      </c>
      <c r="B5386" t="s">
        <v>8635</v>
      </c>
      <c r="C5386" t="s">
        <v>7052</v>
      </c>
      <c r="D5386" t="s">
        <v>8636</v>
      </c>
      <c r="E5386" t="s">
        <v>19324</v>
      </c>
      <c r="F5386">
        <v>9</v>
      </c>
      <c r="G5386">
        <v>1490753</v>
      </c>
      <c r="H5386" t="s">
        <v>19325</v>
      </c>
      <c r="J5386" s="54" t="s">
        <v>6052</v>
      </c>
      <c r="K5386" s="54">
        <v>0</v>
      </c>
      <c r="L5386" s="22" t="s">
        <v>104</v>
      </c>
      <c r="M5386" s="22" t="s">
        <v>37256</v>
      </c>
    </row>
    <row r="5387" spans="1:13" x14ac:dyDescent="0.75">
      <c r="A5387" t="s">
        <v>28217</v>
      </c>
      <c r="B5387" t="s">
        <v>8635</v>
      </c>
      <c r="C5387" t="s">
        <v>7052</v>
      </c>
      <c r="D5387" t="s">
        <v>8636</v>
      </c>
      <c r="E5387" t="s">
        <v>28218</v>
      </c>
      <c r="F5387">
        <v>17</v>
      </c>
      <c r="G5387">
        <v>1508369</v>
      </c>
      <c r="H5387" t="s">
        <v>28219</v>
      </c>
      <c r="J5387" s="54" t="s">
        <v>6052</v>
      </c>
      <c r="K5387" s="54">
        <v>0</v>
      </c>
      <c r="L5387" s="22" t="s">
        <v>104</v>
      </c>
      <c r="M5387" s="22" t="s">
        <v>37256</v>
      </c>
    </row>
    <row r="5388" spans="1:13" x14ac:dyDescent="0.75">
      <c r="A5388" t="s">
        <v>29061</v>
      </c>
      <c r="B5388" t="s">
        <v>8635</v>
      </c>
      <c r="C5388" t="s">
        <v>7052</v>
      </c>
      <c r="D5388" t="s">
        <v>8636</v>
      </c>
      <c r="E5388" t="s">
        <v>29062</v>
      </c>
      <c r="F5388">
        <v>12</v>
      </c>
      <c r="G5388">
        <v>1500032</v>
      </c>
      <c r="H5388" t="s">
        <v>29063</v>
      </c>
      <c r="J5388" s="54" t="s">
        <v>6052</v>
      </c>
      <c r="K5388" s="54">
        <v>0</v>
      </c>
      <c r="L5388" s="22" t="s">
        <v>104</v>
      </c>
      <c r="M5388" s="22" t="s">
        <v>37256</v>
      </c>
    </row>
    <row r="5389" spans="1:13" x14ac:dyDescent="0.75">
      <c r="A5389" t="s">
        <v>20091</v>
      </c>
      <c r="B5389" t="s">
        <v>9293</v>
      </c>
      <c r="C5389" t="s">
        <v>6696</v>
      </c>
      <c r="D5389" t="s">
        <v>9294</v>
      </c>
      <c r="E5389" t="s">
        <v>20092</v>
      </c>
      <c r="F5389">
        <v>38</v>
      </c>
      <c r="G5389">
        <v>2240847</v>
      </c>
      <c r="H5389" t="s">
        <v>20093</v>
      </c>
      <c r="J5389" s="54" t="s">
        <v>6052</v>
      </c>
      <c r="K5389" s="54">
        <v>0</v>
      </c>
      <c r="L5389" s="22" t="s">
        <v>104</v>
      </c>
      <c r="M5389" s="22" t="s">
        <v>37259</v>
      </c>
    </row>
    <row r="5390" spans="1:13" x14ac:dyDescent="0.75">
      <c r="A5390" t="s">
        <v>30027</v>
      </c>
      <c r="B5390" t="s">
        <v>9293</v>
      </c>
      <c r="C5390" t="s">
        <v>6696</v>
      </c>
      <c r="D5390" t="s">
        <v>9294</v>
      </c>
      <c r="E5390" t="s">
        <v>30028</v>
      </c>
      <c r="F5390">
        <v>88</v>
      </c>
      <c r="G5390">
        <v>2205910</v>
      </c>
      <c r="H5390" t="s">
        <v>30029</v>
      </c>
      <c r="J5390" s="54" t="s">
        <v>6052</v>
      </c>
      <c r="K5390" s="54">
        <v>0</v>
      </c>
      <c r="L5390" s="22" t="s">
        <v>104</v>
      </c>
      <c r="M5390" s="22" t="s">
        <v>37259</v>
      </c>
    </row>
    <row r="5391" spans="1:13" x14ac:dyDescent="0.75">
      <c r="A5391" t="s">
        <v>9292</v>
      </c>
      <c r="B5391" t="s">
        <v>9293</v>
      </c>
      <c r="C5391" t="s">
        <v>6696</v>
      </c>
      <c r="D5391" t="s">
        <v>9294</v>
      </c>
      <c r="E5391" t="s">
        <v>9295</v>
      </c>
      <c r="F5391">
        <v>40</v>
      </c>
      <c r="G5391">
        <v>2214851</v>
      </c>
      <c r="H5391" t="s">
        <v>9296</v>
      </c>
      <c r="J5391" s="54" t="s">
        <v>6052</v>
      </c>
      <c r="K5391" s="54">
        <v>0</v>
      </c>
      <c r="L5391" s="22" t="s">
        <v>104</v>
      </c>
      <c r="M5391" s="22" t="s">
        <v>37259</v>
      </c>
    </row>
    <row r="5392" spans="1:13" x14ac:dyDescent="0.75">
      <c r="A5392" t="s">
        <v>16807</v>
      </c>
      <c r="B5392" t="s">
        <v>9293</v>
      </c>
      <c r="C5392" t="s">
        <v>6696</v>
      </c>
      <c r="D5392" t="s">
        <v>9294</v>
      </c>
      <c r="E5392" t="s">
        <v>9295</v>
      </c>
      <c r="F5392">
        <v>1</v>
      </c>
      <c r="G5392">
        <v>2230588</v>
      </c>
      <c r="H5392" t="s">
        <v>16808</v>
      </c>
      <c r="J5392" s="54" t="s">
        <v>6052</v>
      </c>
      <c r="K5392" s="54">
        <v>0</v>
      </c>
      <c r="L5392" s="22" t="s">
        <v>104</v>
      </c>
      <c r="M5392" s="22" t="s">
        <v>37259</v>
      </c>
    </row>
    <row r="5393" spans="1:13" x14ac:dyDescent="0.75">
      <c r="A5393" t="s">
        <v>29046</v>
      </c>
      <c r="B5393" t="s">
        <v>9293</v>
      </c>
      <c r="C5393" t="s">
        <v>6696</v>
      </c>
      <c r="D5393" t="s">
        <v>9294</v>
      </c>
      <c r="E5393" t="s">
        <v>29047</v>
      </c>
      <c r="F5393">
        <v>86</v>
      </c>
      <c r="G5393">
        <v>2144927</v>
      </c>
      <c r="H5393" t="s">
        <v>29048</v>
      </c>
      <c r="J5393" s="54" t="s">
        <v>6052</v>
      </c>
      <c r="K5393" s="54">
        <v>0</v>
      </c>
      <c r="L5393" s="22" t="s">
        <v>104</v>
      </c>
      <c r="M5393" s="22" t="s">
        <v>37259</v>
      </c>
    </row>
    <row r="5394" spans="1:13" x14ac:dyDescent="0.75">
      <c r="A5394" t="s">
        <v>6694</v>
      </c>
      <c r="B5394" t="s">
        <v>6695</v>
      </c>
      <c r="C5394" t="s">
        <v>6696</v>
      </c>
      <c r="D5394" t="s">
        <v>6697</v>
      </c>
      <c r="E5394" t="s">
        <v>6698</v>
      </c>
      <c r="F5394">
        <v>4</v>
      </c>
      <c r="G5394">
        <v>2393958</v>
      </c>
      <c r="H5394" t="s">
        <v>6699</v>
      </c>
      <c r="J5394" s="54" t="s">
        <v>6052</v>
      </c>
      <c r="K5394" s="54">
        <v>0</v>
      </c>
      <c r="L5394" s="22" t="s">
        <v>104</v>
      </c>
      <c r="M5394" s="22" t="s">
        <v>37258</v>
      </c>
    </row>
    <row r="5395" spans="1:13" x14ac:dyDescent="0.75">
      <c r="A5395" t="s">
        <v>26694</v>
      </c>
      <c r="B5395" t="s">
        <v>6695</v>
      </c>
      <c r="C5395" t="s">
        <v>6696</v>
      </c>
      <c r="D5395" t="s">
        <v>6697</v>
      </c>
      <c r="E5395" t="s">
        <v>26695</v>
      </c>
      <c r="F5395">
        <v>22</v>
      </c>
      <c r="G5395">
        <v>2345519</v>
      </c>
      <c r="H5395" t="s">
        <v>26696</v>
      </c>
      <c r="J5395" s="54" t="s">
        <v>6052</v>
      </c>
      <c r="K5395" s="54">
        <v>0</v>
      </c>
      <c r="L5395" s="22" t="s">
        <v>104</v>
      </c>
      <c r="M5395" s="22" t="s">
        <v>37258</v>
      </c>
    </row>
    <row r="5396" spans="1:13" x14ac:dyDescent="0.75">
      <c r="A5396" t="s">
        <v>29239</v>
      </c>
      <c r="B5396" t="s">
        <v>6695</v>
      </c>
      <c r="C5396" t="s">
        <v>6696</v>
      </c>
      <c r="D5396" t="s">
        <v>6697</v>
      </c>
      <c r="E5396" t="s">
        <v>29240</v>
      </c>
      <c r="F5396">
        <v>88</v>
      </c>
      <c r="G5396">
        <v>2356147</v>
      </c>
      <c r="H5396" t="s">
        <v>29241</v>
      </c>
      <c r="J5396" s="54" t="s">
        <v>6052</v>
      </c>
      <c r="K5396" s="54">
        <v>0</v>
      </c>
      <c r="L5396" s="22" t="s">
        <v>104</v>
      </c>
      <c r="M5396" s="22" t="s">
        <v>37258</v>
      </c>
    </row>
    <row r="5397" spans="1:13" x14ac:dyDescent="0.75">
      <c r="A5397" t="s">
        <v>30053</v>
      </c>
      <c r="B5397" t="s">
        <v>6695</v>
      </c>
      <c r="C5397" t="s">
        <v>6696</v>
      </c>
      <c r="D5397" t="s">
        <v>6697</v>
      </c>
      <c r="E5397" t="s">
        <v>30054</v>
      </c>
      <c r="F5397">
        <v>113</v>
      </c>
      <c r="G5397">
        <v>2399312</v>
      </c>
      <c r="H5397" t="s">
        <v>30055</v>
      </c>
      <c r="J5397" s="54" t="s">
        <v>6052</v>
      </c>
      <c r="K5397" s="54">
        <v>0</v>
      </c>
      <c r="L5397" s="22" t="s">
        <v>104</v>
      </c>
      <c r="M5397" s="22" t="s">
        <v>37258</v>
      </c>
    </row>
    <row r="5398" spans="1:13" x14ac:dyDescent="0.75">
      <c r="A5398" t="s">
        <v>7028</v>
      </c>
      <c r="B5398" t="s">
        <v>6695</v>
      </c>
      <c r="C5398" t="s">
        <v>6696</v>
      </c>
      <c r="D5398" t="s">
        <v>6697</v>
      </c>
      <c r="E5398" t="s">
        <v>7029</v>
      </c>
      <c r="F5398">
        <v>97</v>
      </c>
      <c r="G5398">
        <v>2431995</v>
      </c>
      <c r="H5398" t="s">
        <v>7030</v>
      </c>
      <c r="J5398" s="54" t="s">
        <v>6052</v>
      </c>
      <c r="K5398" s="54">
        <v>0</v>
      </c>
      <c r="L5398" s="22" t="s">
        <v>104</v>
      </c>
      <c r="M5398" s="22" t="s">
        <v>37258</v>
      </c>
    </row>
    <row r="5399" spans="1:13" x14ac:dyDescent="0.75">
      <c r="A5399" t="s">
        <v>17902</v>
      </c>
      <c r="B5399" t="s">
        <v>6695</v>
      </c>
      <c r="C5399" t="s">
        <v>6696</v>
      </c>
      <c r="D5399" t="s">
        <v>6697</v>
      </c>
      <c r="E5399" t="s">
        <v>17903</v>
      </c>
      <c r="F5399">
        <v>1</v>
      </c>
      <c r="G5399">
        <v>2432635</v>
      </c>
      <c r="H5399" t="s">
        <v>17904</v>
      </c>
      <c r="J5399" s="54" t="s">
        <v>6052</v>
      </c>
      <c r="K5399" s="54">
        <v>0</v>
      </c>
      <c r="L5399" s="22" t="s">
        <v>104</v>
      </c>
      <c r="M5399" s="22" t="s">
        <v>37258</v>
      </c>
    </row>
    <row r="5400" spans="1:13" x14ac:dyDescent="0.75">
      <c r="A5400" t="s">
        <v>26697</v>
      </c>
      <c r="B5400" t="s">
        <v>6695</v>
      </c>
      <c r="C5400" t="s">
        <v>6696</v>
      </c>
      <c r="D5400" t="s">
        <v>6697</v>
      </c>
      <c r="E5400" t="s">
        <v>26698</v>
      </c>
      <c r="F5400">
        <v>36</v>
      </c>
      <c r="G5400">
        <v>2374847</v>
      </c>
      <c r="H5400" t="s">
        <v>26699</v>
      </c>
      <c r="J5400" s="54" t="s">
        <v>6052</v>
      </c>
      <c r="K5400" s="54">
        <v>0</v>
      </c>
      <c r="L5400" s="22" t="s">
        <v>104</v>
      </c>
      <c r="M5400" s="22" t="s">
        <v>37258</v>
      </c>
    </row>
    <row r="5401" spans="1:13" x14ac:dyDescent="0.75">
      <c r="A5401" t="s">
        <v>26562</v>
      </c>
      <c r="B5401" t="s">
        <v>6695</v>
      </c>
      <c r="C5401" t="s">
        <v>6696</v>
      </c>
      <c r="D5401" t="s">
        <v>6697</v>
      </c>
      <c r="E5401" t="s">
        <v>26563</v>
      </c>
      <c r="F5401">
        <v>277</v>
      </c>
      <c r="G5401">
        <v>2113814</v>
      </c>
      <c r="H5401" t="s">
        <v>26564</v>
      </c>
      <c r="J5401" s="54" t="s">
        <v>6052</v>
      </c>
      <c r="K5401" s="54">
        <v>0</v>
      </c>
      <c r="L5401" s="22" t="s">
        <v>104</v>
      </c>
      <c r="M5401" s="22" t="s">
        <v>37258</v>
      </c>
    </row>
    <row r="5402" spans="1:13" x14ac:dyDescent="0.75">
      <c r="A5402" t="s">
        <v>29119</v>
      </c>
      <c r="B5402" t="s">
        <v>6695</v>
      </c>
      <c r="C5402" t="s">
        <v>6696</v>
      </c>
      <c r="D5402" t="s">
        <v>6697</v>
      </c>
      <c r="E5402" t="s">
        <v>29120</v>
      </c>
      <c r="F5402">
        <v>84</v>
      </c>
      <c r="G5402">
        <v>2323507</v>
      </c>
      <c r="H5402" t="s">
        <v>29121</v>
      </c>
      <c r="J5402" s="54" t="s">
        <v>6052</v>
      </c>
      <c r="K5402" s="54">
        <v>0</v>
      </c>
      <c r="L5402" s="22" t="s">
        <v>104</v>
      </c>
      <c r="M5402" s="22" t="s">
        <v>37258</v>
      </c>
    </row>
    <row r="5403" spans="1:13" x14ac:dyDescent="0.75">
      <c r="A5403" t="s">
        <v>1020</v>
      </c>
      <c r="B5403" t="s">
        <v>1021</v>
      </c>
      <c r="C5403" t="s">
        <v>6696</v>
      </c>
      <c r="D5403" t="s">
        <v>9588</v>
      </c>
      <c r="E5403" t="s">
        <v>9589</v>
      </c>
      <c r="F5403">
        <v>30</v>
      </c>
      <c r="G5403">
        <v>2498023</v>
      </c>
      <c r="H5403" t="s">
        <v>9590</v>
      </c>
      <c r="J5403" s="54" t="s">
        <v>9589</v>
      </c>
      <c r="K5403" s="54">
        <v>1</v>
      </c>
      <c r="L5403" s="22" t="s">
        <v>104</v>
      </c>
      <c r="M5403" s="22" t="s">
        <v>1022</v>
      </c>
    </row>
    <row r="5404" spans="1:13" x14ac:dyDescent="0.75">
      <c r="A5404" t="s">
        <v>5755</v>
      </c>
      <c r="B5404" t="s">
        <v>2200</v>
      </c>
      <c r="C5404" t="s">
        <v>6696</v>
      </c>
      <c r="D5404" t="s">
        <v>12566</v>
      </c>
      <c r="E5404" t="s">
        <v>29640</v>
      </c>
      <c r="F5404">
        <v>106</v>
      </c>
      <c r="G5404">
        <v>2604341</v>
      </c>
      <c r="H5404" t="s">
        <v>29641</v>
      </c>
      <c r="J5404" s="54" t="s">
        <v>30844</v>
      </c>
      <c r="K5404" s="54">
        <v>1</v>
      </c>
      <c r="L5404" s="22" t="s">
        <v>104</v>
      </c>
      <c r="M5404" s="22" t="s">
        <v>2201</v>
      </c>
    </row>
    <row r="5405" spans="1:13" x14ac:dyDescent="0.75">
      <c r="A5405" t="s">
        <v>5488</v>
      </c>
      <c r="B5405" t="s">
        <v>2200</v>
      </c>
      <c r="C5405" t="s">
        <v>6696</v>
      </c>
      <c r="D5405" t="s">
        <v>12566</v>
      </c>
      <c r="E5405" t="s">
        <v>29038</v>
      </c>
      <c r="F5405">
        <v>240</v>
      </c>
      <c r="G5405">
        <v>2355993</v>
      </c>
      <c r="H5405" t="s">
        <v>29039</v>
      </c>
      <c r="J5405" s="54" t="s">
        <v>30844</v>
      </c>
      <c r="K5405" s="54">
        <v>1</v>
      </c>
      <c r="L5405" s="22" t="s">
        <v>104</v>
      </c>
      <c r="M5405" s="22" t="s">
        <v>2201</v>
      </c>
    </row>
    <row r="5406" spans="1:13" x14ac:dyDescent="0.75">
      <c r="A5406" t="s">
        <v>5006</v>
      </c>
      <c r="B5406" t="s">
        <v>2200</v>
      </c>
      <c r="C5406" t="s">
        <v>6696</v>
      </c>
      <c r="D5406" t="s">
        <v>12566</v>
      </c>
      <c r="E5406" t="s">
        <v>26483</v>
      </c>
      <c r="F5406">
        <v>1</v>
      </c>
      <c r="G5406">
        <v>2728238</v>
      </c>
      <c r="H5406" t="s">
        <v>26484</v>
      </c>
      <c r="J5406" s="54" t="s">
        <v>26483</v>
      </c>
      <c r="K5406" s="54">
        <v>1</v>
      </c>
      <c r="L5406" s="22" t="s">
        <v>104</v>
      </c>
      <c r="M5406" s="22" t="s">
        <v>2201</v>
      </c>
    </row>
    <row r="5407" spans="1:13" x14ac:dyDescent="0.75">
      <c r="A5407" t="s">
        <v>2199</v>
      </c>
      <c r="B5407" t="s">
        <v>2200</v>
      </c>
      <c r="C5407" t="s">
        <v>6696</v>
      </c>
      <c r="D5407" t="s">
        <v>12566</v>
      </c>
      <c r="E5407" t="s">
        <v>15961</v>
      </c>
      <c r="F5407">
        <v>159</v>
      </c>
      <c r="G5407">
        <v>1799133</v>
      </c>
      <c r="H5407" t="s">
        <v>15962</v>
      </c>
      <c r="J5407" s="54" t="s">
        <v>15961</v>
      </c>
      <c r="K5407" s="54">
        <v>1</v>
      </c>
      <c r="L5407" s="22" t="s">
        <v>104</v>
      </c>
      <c r="M5407" s="22" t="s">
        <v>2201</v>
      </c>
    </row>
    <row r="5408" spans="1:13" x14ac:dyDescent="0.75">
      <c r="A5408" t="s">
        <v>12565</v>
      </c>
      <c r="B5408" t="s">
        <v>2200</v>
      </c>
      <c r="C5408" t="s">
        <v>6696</v>
      </c>
      <c r="D5408" t="s">
        <v>12566</v>
      </c>
      <c r="E5408" t="s">
        <v>12567</v>
      </c>
      <c r="F5408">
        <v>218</v>
      </c>
      <c r="G5408">
        <v>2141493</v>
      </c>
      <c r="H5408" t="s">
        <v>12568</v>
      </c>
      <c r="J5408" s="54" t="s">
        <v>6052</v>
      </c>
      <c r="K5408" s="54">
        <v>0</v>
      </c>
      <c r="L5408" s="22" t="s">
        <v>104</v>
      </c>
      <c r="M5408" s="22" t="s">
        <v>2201</v>
      </c>
    </row>
    <row r="5409" spans="1:13" x14ac:dyDescent="0.75">
      <c r="A5409" t="s">
        <v>745</v>
      </c>
      <c r="B5409" t="s">
        <v>746</v>
      </c>
      <c r="C5409" t="s">
        <v>6696</v>
      </c>
      <c r="D5409" t="s">
        <v>8905</v>
      </c>
      <c r="E5409" t="s">
        <v>8906</v>
      </c>
      <c r="F5409">
        <v>10</v>
      </c>
      <c r="G5409">
        <v>1864179</v>
      </c>
      <c r="H5409" t="s">
        <v>8907</v>
      </c>
      <c r="J5409" s="54" t="s">
        <v>8906</v>
      </c>
      <c r="K5409" s="54">
        <v>1</v>
      </c>
      <c r="L5409" s="22" t="s">
        <v>104</v>
      </c>
      <c r="M5409" s="22" t="s">
        <v>747</v>
      </c>
    </row>
    <row r="5410" spans="1:13" x14ac:dyDescent="0.75">
      <c r="A5410" t="s">
        <v>5327</v>
      </c>
      <c r="B5410" t="s">
        <v>746</v>
      </c>
      <c r="C5410" t="s">
        <v>6696</v>
      </c>
      <c r="D5410" t="s">
        <v>8905</v>
      </c>
      <c r="E5410" t="s">
        <v>28282</v>
      </c>
      <c r="F5410">
        <v>10</v>
      </c>
      <c r="G5410">
        <v>1864179</v>
      </c>
      <c r="H5410" t="s">
        <v>28283</v>
      </c>
      <c r="J5410" s="54" t="s">
        <v>28282</v>
      </c>
      <c r="K5410" s="54">
        <v>1</v>
      </c>
      <c r="L5410" s="22" t="s">
        <v>104</v>
      </c>
      <c r="M5410" s="22" t="s">
        <v>747</v>
      </c>
    </row>
    <row r="5411" spans="1:13" x14ac:dyDescent="0.75">
      <c r="A5411" t="s">
        <v>5568</v>
      </c>
      <c r="B5411" t="s">
        <v>746</v>
      </c>
      <c r="C5411" t="s">
        <v>6696</v>
      </c>
      <c r="D5411" t="s">
        <v>8905</v>
      </c>
      <c r="E5411" t="s">
        <v>29210</v>
      </c>
      <c r="F5411">
        <v>135</v>
      </c>
      <c r="G5411">
        <v>1741689</v>
      </c>
      <c r="H5411" t="s">
        <v>29211</v>
      </c>
      <c r="J5411" s="54" t="s">
        <v>30844</v>
      </c>
      <c r="K5411" s="54">
        <v>1</v>
      </c>
      <c r="L5411" s="22" t="s">
        <v>104</v>
      </c>
      <c r="M5411" s="22" t="s">
        <v>747</v>
      </c>
    </row>
    <row r="5412" spans="1:13" x14ac:dyDescent="0.75">
      <c r="A5412" t="s">
        <v>5740</v>
      </c>
      <c r="B5412" t="s">
        <v>746</v>
      </c>
      <c r="C5412" t="s">
        <v>6696</v>
      </c>
      <c r="D5412" t="s">
        <v>8905</v>
      </c>
      <c r="E5412" t="s">
        <v>29607</v>
      </c>
      <c r="F5412">
        <v>215</v>
      </c>
      <c r="G5412">
        <v>1999506</v>
      </c>
      <c r="H5412" t="s">
        <v>29608</v>
      </c>
      <c r="J5412" s="54" t="s">
        <v>30844</v>
      </c>
      <c r="K5412" s="54">
        <v>1</v>
      </c>
      <c r="L5412" s="22" t="s">
        <v>104</v>
      </c>
      <c r="M5412" s="22" t="s">
        <v>747</v>
      </c>
    </row>
    <row r="5413" spans="1:13" x14ac:dyDescent="0.75">
      <c r="A5413" t="s">
        <v>3612</v>
      </c>
      <c r="B5413" t="s">
        <v>746</v>
      </c>
      <c r="C5413" t="s">
        <v>6696</v>
      </c>
      <c r="D5413" t="s">
        <v>8905</v>
      </c>
      <c r="E5413" t="s">
        <v>20763</v>
      </c>
      <c r="F5413">
        <v>70</v>
      </c>
      <c r="G5413">
        <v>1885997</v>
      </c>
      <c r="H5413" t="s">
        <v>20764</v>
      </c>
      <c r="J5413" s="54" t="s">
        <v>30844</v>
      </c>
      <c r="K5413" s="54">
        <v>1</v>
      </c>
      <c r="L5413" s="22" t="s">
        <v>104</v>
      </c>
      <c r="M5413" s="22" t="s">
        <v>747</v>
      </c>
    </row>
    <row r="5414" spans="1:13" x14ac:dyDescent="0.75">
      <c r="A5414" t="s">
        <v>2953</v>
      </c>
      <c r="B5414" t="s">
        <v>746</v>
      </c>
      <c r="C5414" t="s">
        <v>6696</v>
      </c>
      <c r="D5414" t="s">
        <v>8905</v>
      </c>
      <c r="E5414" t="s">
        <v>19307</v>
      </c>
      <c r="F5414">
        <v>164</v>
      </c>
      <c r="G5414">
        <v>1685883</v>
      </c>
      <c r="H5414" t="s">
        <v>19308</v>
      </c>
      <c r="J5414" s="54" t="s">
        <v>19307</v>
      </c>
      <c r="K5414" s="54">
        <v>1</v>
      </c>
      <c r="L5414" s="22" t="s">
        <v>104</v>
      </c>
      <c r="M5414" s="22" t="s">
        <v>747</v>
      </c>
    </row>
    <row r="5415" spans="1:13" x14ac:dyDescent="0.75">
      <c r="A5415" t="s">
        <v>2948</v>
      </c>
      <c r="B5415" t="s">
        <v>746</v>
      </c>
      <c r="C5415" t="s">
        <v>6696</v>
      </c>
      <c r="D5415" t="s">
        <v>8905</v>
      </c>
      <c r="E5415" t="s">
        <v>19305</v>
      </c>
      <c r="F5415">
        <v>195</v>
      </c>
      <c r="G5415">
        <v>1712975</v>
      </c>
      <c r="H5415" t="s">
        <v>19306</v>
      </c>
      <c r="J5415" s="54" t="s">
        <v>19305</v>
      </c>
      <c r="K5415" s="54">
        <v>1</v>
      </c>
      <c r="L5415" s="22" t="s">
        <v>104</v>
      </c>
      <c r="M5415" s="22" t="s">
        <v>747</v>
      </c>
    </row>
    <row r="5416" spans="1:13" x14ac:dyDescent="0.75">
      <c r="A5416" t="s">
        <v>9691</v>
      </c>
      <c r="B5416" t="s">
        <v>9692</v>
      </c>
      <c r="C5416" t="s">
        <v>9693</v>
      </c>
      <c r="D5416" t="s">
        <v>9694</v>
      </c>
      <c r="E5416" t="s">
        <v>9695</v>
      </c>
      <c r="F5416">
        <v>68</v>
      </c>
      <c r="G5416">
        <v>752653</v>
      </c>
      <c r="H5416" t="s">
        <v>9696</v>
      </c>
      <c r="J5416" s="54" t="s">
        <v>6052</v>
      </c>
      <c r="K5416" s="54">
        <v>0</v>
      </c>
      <c r="L5416" s="22" t="s">
        <v>686</v>
      </c>
      <c r="M5416" s="22" t="s">
        <v>37246</v>
      </c>
    </row>
    <row r="5417" spans="1:13" x14ac:dyDescent="0.75">
      <c r="A5417" t="s">
        <v>10064</v>
      </c>
      <c r="B5417" t="s">
        <v>10065</v>
      </c>
      <c r="C5417" t="s">
        <v>9693</v>
      </c>
      <c r="D5417" t="s">
        <v>10066</v>
      </c>
      <c r="E5417" t="s">
        <v>10067</v>
      </c>
      <c r="F5417">
        <v>1</v>
      </c>
      <c r="G5417">
        <v>845464</v>
      </c>
      <c r="H5417" t="s">
        <v>10068</v>
      </c>
      <c r="J5417" s="54" t="s">
        <v>6052</v>
      </c>
      <c r="K5417" s="54">
        <v>0</v>
      </c>
      <c r="L5417" s="22" t="s">
        <v>686</v>
      </c>
      <c r="M5417" s="22" t="s">
        <v>37247</v>
      </c>
    </row>
    <row r="5418" spans="1:13" x14ac:dyDescent="0.75">
      <c r="A5418" t="s">
        <v>846</v>
      </c>
      <c r="B5418" t="s">
        <v>746</v>
      </c>
      <c r="C5418" t="s">
        <v>6696</v>
      </c>
      <c r="D5418" t="s">
        <v>8905</v>
      </c>
      <c r="E5418" t="s">
        <v>9001</v>
      </c>
      <c r="F5418">
        <v>31</v>
      </c>
      <c r="G5418">
        <v>1901306</v>
      </c>
      <c r="H5418" t="s">
        <v>9002</v>
      </c>
      <c r="J5418" s="54" t="s">
        <v>9001</v>
      </c>
      <c r="K5418" s="54">
        <v>1</v>
      </c>
      <c r="L5418" s="22" t="s">
        <v>104</v>
      </c>
      <c r="M5418" s="22" t="s">
        <v>747</v>
      </c>
    </row>
    <row r="5419" spans="1:13" x14ac:dyDescent="0.75">
      <c r="A5419" t="s">
        <v>1415</v>
      </c>
      <c r="B5419" t="s">
        <v>746</v>
      </c>
      <c r="C5419" t="s">
        <v>6696</v>
      </c>
      <c r="D5419" t="s">
        <v>8905</v>
      </c>
      <c r="E5419" t="s">
        <v>11232</v>
      </c>
      <c r="F5419">
        <v>27</v>
      </c>
      <c r="G5419">
        <v>1916254</v>
      </c>
      <c r="H5419" t="s">
        <v>11233</v>
      </c>
      <c r="J5419" s="54" t="s">
        <v>11232</v>
      </c>
      <c r="K5419" s="54">
        <v>1</v>
      </c>
      <c r="L5419" s="22" t="s">
        <v>104</v>
      </c>
      <c r="M5419" s="22" t="s">
        <v>747</v>
      </c>
    </row>
    <row r="5420" spans="1:13" x14ac:dyDescent="0.75">
      <c r="A5420" t="s">
        <v>27160</v>
      </c>
      <c r="B5420" t="s">
        <v>11436</v>
      </c>
      <c r="C5420" t="s">
        <v>6696</v>
      </c>
      <c r="D5420" t="s">
        <v>11437</v>
      </c>
      <c r="E5420" t="s">
        <v>27161</v>
      </c>
      <c r="F5420">
        <v>15</v>
      </c>
      <c r="G5420">
        <v>2026407</v>
      </c>
      <c r="H5420" t="s">
        <v>27162</v>
      </c>
      <c r="J5420" s="54" t="s">
        <v>6052</v>
      </c>
      <c r="K5420" s="54">
        <v>0</v>
      </c>
      <c r="L5420" s="22" t="s">
        <v>104</v>
      </c>
      <c r="M5420" s="22" t="s">
        <v>37261</v>
      </c>
    </row>
    <row r="5421" spans="1:13" x14ac:dyDescent="0.75">
      <c r="A5421" t="s">
        <v>20071</v>
      </c>
      <c r="B5421" t="s">
        <v>11436</v>
      </c>
      <c r="C5421" t="s">
        <v>6696</v>
      </c>
      <c r="D5421" t="s">
        <v>11437</v>
      </c>
      <c r="E5421" t="s">
        <v>20072</v>
      </c>
      <c r="F5421">
        <v>1</v>
      </c>
      <c r="G5421">
        <v>2033037</v>
      </c>
      <c r="H5421" t="s">
        <v>20073</v>
      </c>
      <c r="J5421" s="54" t="s">
        <v>6052</v>
      </c>
      <c r="K5421" s="54">
        <v>0</v>
      </c>
      <c r="L5421" s="22" t="s">
        <v>104</v>
      </c>
      <c r="M5421" s="22" t="s">
        <v>37261</v>
      </c>
    </row>
    <row r="5422" spans="1:13" x14ac:dyDescent="0.75">
      <c r="A5422" t="s">
        <v>12924</v>
      </c>
      <c r="B5422" t="s">
        <v>11436</v>
      </c>
      <c r="C5422" t="s">
        <v>6696</v>
      </c>
      <c r="D5422" t="s">
        <v>11437</v>
      </c>
      <c r="E5422" t="s">
        <v>12925</v>
      </c>
      <c r="F5422">
        <v>53</v>
      </c>
      <c r="G5422">
        <v>2085934</v>
      </c>
      <c r="H5422" t="s">
        <v>12926</v>
      </c>
      <c r="J5422" s="54" t="s">
        <v>6052</v>
      </c>
      <c r="K5422" s="54">
        <v>0</v>
      </c>
      <c r="L5422" s="22" t="s">
        <v>104</v>
      </c>
      <c r="M5422" s="22" t="s">
        <v>37261</v>
      </c>
    </row>
    <row r="5423" spans="1:13" x14ac:dyDescent="0.75">
      <c r="A5423" t="s">
        <v>11435</v>
      </c>
      <c r="B5423" t="s">
        <v>11436</v>
      </c>
      <c r="C5423" t="s">
        <v>6696</v>
      </c>
      <c r="D5423" t="s">
        <v>11437</v>
      </c>
      <c r="E5423" t="s">
        <v>11438</v>
      </c>
      <c r="F5423">
        <v>1</v>
      </c>
      <c r="G5423">
        <v>2049088</v>
      </c>
      <c r="H5423" t="s">
        <v>11439</v>
      </c>
      <c r="J5423" s="54" t="s">
        <v>6052</v>
      </c>
      <c r="K5423" s="54">
        <v>0</v>
      </c>
      <c r="L5423" s="22" t="s">
        <v>104</v>
      </c>
      <c r="M5423" s="22" t="s">
        <v>37261</v>
      </c>
    </row>
    <row r="5424" spans="1:13" x14ac:dyDescent="0.75">
      <c r="A5424" t="s">
        <v>29969</v>
      </c>
      <c r="B5424" t="s">
        <v>8726</v>
      </c>
      <c r="C5424" t="s">
        <v>6696</v>
      </c>
      <c r="D5424" t="s">
        <v>8727</v>
      </c>
      <c r="E5424" t="s">
        <v>29970</v>
      </c>
      <c r="F5424">
        <v>213</v>
      </c>
      <c r="G5424">
        <v>2177774</v>
      </c>
      <c r="H5424" t="s">
        <v>29971</v>
      </c>
      <c r="J5424" s="54" t="s">
        <v>6052</v>
      </c>
      <c r="K5424" s="54">
        <v>0</v>
      </c>
      <c r="L5424" s="22" t="s">
        <v>104</v>
      </c>
      <c r="M5424" s="22" t="s">
        <v>37264</v>
      </c>
    </row>
    <row r="5425" spans="1:13" x14ac:dyDescent="0.75">
      <c r="A5425" t="s">
        <v>8725</v>
      </c>
      <c r="B5425" t="s">
        <v>8726</v>
      </c>
      <c r="C5425" t="s">
        <v>6696</v>
      </c>
      <c r="D5425" t="s">
        <v>8727</v>
      </c>
      <c r="E5425" t="s">
        <v>8728</v>
      </c>
      <c r="F5425">
        <v>146</v>
      </c>
      <c r="G5425">
        <v>2267656</v>
      </c>
      <c r="H5425" t="s">
        <v>8729</v>
      </c>
      <c r="J5425" s="54" t="s">
        <v>6052</v>
      </c>
      <c r="K5425" s="54">
        <v>0</v>
      </c>
      <c r="L5425" s="22" t="s">
        <v>104</v>
      </c>
      <c r="M5425" s="22" t="s">
        <v>37264</v>
      </c>
    </row>
    <row r="5426" spans="1:13" x14ac:dyDescent="0.75">
      <c r="A5426" t="s">
        <v>20780</v>
      </c>
      <c r="B5426" t="s">
        <v>8726</v>
      </c>
      <c r="C5426" t="s">
        <v>6696</v>
      </c>
      <c r="D5426" t="s">
        <v>8727</v>
      </c>
      <c r="E5426" t="s">
        <v>20781</v>
      </c>
      <c r="F5426">
        <v>26</v>
      </c>
      <c r="G5426">
        <v>2466950</v>
      </c>
      <c r="H5426" t="s">
        <v>20782</v>
      </c>
      <c r="J5426" s="54" t="s">
        <v>6052</v>
      </c>
      <c r="K5426" s="54">
        <v>0</v>
      </c>
      <c r="L5426" s="22" t="s">
        <v>104</v>
      </c>
      <c r="M5426" s="22" t="s">
        <v>37264</v>
      </c>
    </row>
    <row r="5427" spans="1:13" x14ac:dyDescent="0.75">
      <c r="A5427" t="s">
        <v>26648</v>
      </c>
      <c r="B5427" t="s">
        <v>8726</v>
      </c>
      <c r="C5427" t="s">
        <v>6696</v>
      </c>
      <c r="D5427" t="s">
        <v>8727</v>
      </c>
      <c r="E5427" t="s">
        <v>26649</v>
      </c>
      <c r="F5427">
        <v>1</v>
      </c>
      <c r="G5427">
        <v>2455831</v>
      </c>
      <c r="H5427" t="s">
        <v>26650</v>
      </c>
      <c r="J5427" s="54" t="s">
        <v>6052</v>
      </c>
      <c r="K5427" s="54">
        <v>0</v>
      </c>
      <c r="L5427" s="22" t="s">
        <v>104</v>
      </c>
      <c r="M5427" s="22" t="s">
        <v>37264</v>
      </c>
    </row>
    <row r="5428" spans="1:13" x14ac:dyDescent="0.75">
      <c r="A5428" t="s">
        <v>26666</v>
      </c>
      <c r="B5428" t="s">
        <v>8726</v>
      </c>
      <c r="C5428" t="s">
        <v>6696</v>
      </c>
      <c r="D5428" t="s">
        <v>8727</v>
      </c>
      <c r="E5428" t="s">
        <v>26667</v>
      </c>
      <c r="F5428">
        <v>23</v>
      </c>
      <c r="G5428">
        <v>2435089</v>
      </c>
      <c r="H5428" t="s">
        <v>26668</v>
      </c>
      <c r="J5428" s="54" t="s">
        <v>6052</v>
      </c>
      <c r="K5428" s="54">
        <v>0</v>
      </c>
      <c r="L5428" s="22" t="s">
        <v>104</v>
      </c>
      <c r="M5428" s="22" t="s">
        <v>37264</v>
      </c>
    </row>
    <row r="5429" spans="1:13" x14ac:dyDescent="0.75">
      <c r="A5429" t="s">
        <v>26677</v>
      </c>
      <c r="B5429" t="s">
        <v>8726</v>
      </c>
      <c r="C5429" t="s">
        <v>6696</v>
      </c>
      <c r="D5429" t="s">
        <v>8727</v>
      </c>
      <c r="E5429" t="s">
        <v>26667</v>
      </c>
      <c r="F5429">
        <v>39</v>
      </c>
      <c r="G5429">
        <v>2430395</v>
      </c>
      <c r="H5429" t="s">
        <v>26678</v>
      </c>
      <c r="J5429" s="54" t="s">
        <v>6052</v>
      </c>
      <c r="K5429" s="54">
        <v>0</v>
      </c>
      <c r="L5429" s="22" t="s">
        <v>104</v>
      </c>
      <c r="M5429" s="22" t="s">
        <v>37264</v>
      </c>
    </row>
    <row r="5430" spans="1:13" x14ac:dyDescent="0.75">
      <c r="A5430" t="s">
        <v>26679</v>
      </c>
      <c r="B5430" t="s">
        <v>8726</v>
      </c>
      <c r="C5430" t="s">
        <v>6696</v>
      </c>
      <c r="D5430" t="s">
        <v>8727</v>
      </c>
      <c r="E5430" t="s">
        <v>26667</v>
      </c>
      <c r="F5430">
        <v>38</v>
      </c>
      <c r="G5430">
        <v>2431498</v>
      </c>
      <c r="H5430" t="s">
        <v>26680</v>
      </c>
      <c r="J5430" s="54" t="s">
        <v>6052</v>
      </c>
      <c r="K5430" s="54">
        <v>0</v>
      </c>
      <c r="L5430" s="22" t="s">
        <v>104</v>
      </c>
      <c r="M5430" s="22" t="s">
        <v>37264</v>
      </c>
    </row>
    <row r="5431" spans="1:13" x14ac:dyDescent="0.75">
      <c r="A5431" t="s">
        <v>27369</v>
      </c>
      <c r="B5431" t="s">
        <v>8726</v>
      </c>
      <c r="C5431" t="s">
        <v>6696</v>
      </c>
      <c r="D5431" t="s">
        <v>8727</v>
      </c>
      <c r="E5431" t="s">
        <v>26667</v>
      </c>
      <c r="F5431">
        <v>26</v>
      </c>
      <c r="G5431">
        <v>2454426</v>
      </c>
      <c r="H5431" t="s">
        <v>27370</v>
      </c>
      <c r="J5431" s="54" t="s">
        <v>6052</v>
      </c>
      <c r="K5431" s="54">
        <v>0</v>
      </c>
      <c r="L5431" s="22" t="s">
        <v>104</v>
      </c>
      <c r="M5431" s="22" t="s">
        <v>37264</v>
      </c>
    </row>
    <row r="5432" spans="1:13" x14ac:dyDescent="0.75">
      <c r="A5432" t="s">
        <v>14270</v>
      </c>
      <c r="B5432" t="s">
        <v>8726</v>
      </c>
      <c r="C5432" t="s">
        <v>6696</v>
      </c>
      <c r="D5432" t="s">
        <v>8727</v>
      </c>
      <c r="E5432" t="s">
        <v>14271</v>
      </c>
      <c r="F5432">
        <v>38</v>
      </c>
      <c r="G5432">
        <v>2341511</v>
      </c>
      <c r="H5432" t="s">
        <v>14272</v>
      </c>
      <c r="J5432" s="54" t="s">
        <v>6052</v>
      </c>
      <c r="K5432" s="54">
        <v>0</v>
      </c>
      <c r="L5432" s="22" t="s">
        <v>104</v>
      </c>
      <c r="M5432" s="22" t="s">
        <v>37264</v>
      </c>
    </row>
    <row r="5433" spans="1:13" x14ac:dyDescent="0.75">
      <c r="A5433" t="s">
        <v>11735</v>
      </c>
      <c r="B5433" t="s">
        <v>8726</v>
      </c>
      <c r="C5433" t="s">
        <v>6696</v>
      </c>
      <c r="D5433" t="s">
        <v>8727</v>
      </c>
      <c r="E5433" t="s">
        <v>11736</v>
      </c>
      <c r="F5433">
        <v>6</v>
      </c>
      <c r="G5433">
        <v>2336123</v>
      </c>
      <c r="H5433" t="s">
        <v>11737</v>
      </c>
      <c r="J5433" s="54" t="s">
        <v>6052</v>
      </c>
      <c r="K5433" s="54">
        <v>0</v>
      </c>
      <c r="L5433" s="22" t="s">
        <v>104</v>
      </c>
      <c r="M5433" s="22" t="s">
        <v>37264</v>
      </c>
    </row>
    <row r="5434" spans="1:13" x14ac:dyDescent="0.75">
      <c r="A5434" t="s">
        <v>16738</v>
      </c>
      <c r="B5434" t="s">
        <v>8726</v>
      </c>
      <c r="C5434" t="s">
        <v>6696</v>
      </c>
      <c r="D5434" t="s">
        <v>8727</v>
      </c>
      <c r="E5434" t="s">
        <v>11736</v>
      </c>
      <c r="F5434">
        <v>1</v>
      </c>
      <c r="G5434">
        <v>2360133</v>
      </c>
      <c r="H5434" t="s">
        <v>16739</v>
      </c>
      <c r="J5434" s="54" t="s">
        <v>6052</v>
      </c>
      <c r="K5434" s="54">
        <v>0</v>
      </c>
      <c r="L5434" s="22" t="s">
        <v>104</v>
      </c>
      <c r="M5434" s="22" t="s">
        <v>37264</v>
      </c>
    </row>
    <row r="5435" spans="1:13" x14ac:dyDescent="0.75">
      <c r="A5435" t="s">
        <v>30640</v>
      </c>
      <c r="B5435" t="s">
        <v>8731</v>
      </c>
      <c r="C5435" t="s">
        <v>6696</v>
      </c>
      <c r="D5435" t="s">
        <v>8732</v>
      </c>
      <c r="E5435" t="s">
        <v>30641</v>
      </c>
      <c r="F5435">
        <v>135</v>
      </c>
      <c r="G5435">
        <v>2481161</v>
      </c>
      <c r="H5435" t="s">
        <v>30642</v>
      </c>
      <c r="J5435" s="54" t="s">
        <v>6052</v>
      </c>
      <c r="K5435" s="54">
        <v>0</v>
      </c>
      <c r="L5435" s="22" t="s">
        <v>104</v>
      </c>
      <c r="M5435" s="22" t="s">
        <v>37262</v>
      </c>
    </row>
    <row r="5436" spans="1:13" x14ac:dyDescent="0.75">
      <c r="A5436" t="s">
        <v>29218</v>
      </c>
      <c r="B5436" t="s">
        <v>8731</v>
      </c>
      <c r="C5436" t="s">
        <v>6696</v>
      </c>
      <c r="D5436" t="s">
        <v>8732</v>
      </c>
      <c r="E5436" t="s">
        <v>29219</v>
      </c>
      <c r="F5436">
        <v>34</v>
      </c>
      <c r="G5436">
        <v>2454307</v>
      </c>
      <c r="H5436" t="s">
        <v>29220</v>
      </c>
      <c r="J5436" s="54" t="s">
        <v>6052</v>
      </c>
      <c r="K5436" s="54">
        <v>0</v>
      </c>
      <c r="L5436" s="22" t="s">
        <v>104</v>
      </c>
      <c r="M5436" s="22" t="s">
        <v>37262</v>
      </c>
    </row>
    <row r="5437" spans="1:13" x14ac:dyDescent="0.75">
      <c r="A5437" t="s">
        <v>9419</v>
      </c>
      <c r="B5437" t="s">
        <v>9420</v>
      </c>
      <c r="C5437" t="s">
        <v>9421</v>
      </c>
      <c r="D5437" t="s">
        <v>9422</v>
      </c>
      <c r="E5437" t="s">
        <v>9423</v>
      </c>
      <c r="F5437">
        <v>1</v>
      </c>
      <c r="G5437">
        <v>1013781</v>
      </c>
      <c r="H5437" t="s">
        <v>9424</v>
      </c>
      <c r="J5437" s="54" t="s">
        <v>6052</v>
      </c>
      <c r="K5437" s="54">
        <v>0</v>
      </c>
      <c r="L5437" s="22" t="s">
        <v>686</v>
      </c>
      <c r="M5437" s="22" t="s">
        <v>37253</v>
      </c>
    </row>
    <row r="5438" spans="1:13" x14ac:dyDescent="0.75">
      <c r="A5438" t="s">
        <v>6463</v>
      </c>
      <c r="B5438" t="s">
        <v>6464</v>
      </c>
      <c r="C5438" t="s">
        <v>6465</v>
      </c>
      <c r="D5438" t="s">
        <v>6466</v>
      </c>
      <c r="E5438" t="s">
        <v>6467</v>
      </c>
      <c r="F5438">
        <v>1</v>
      </c>
      <c r="G5438">
        <v>4253413</v>
      </c>
      <c r="H5438" t="s">
        <v>6468</v>
      </c>
      <c r="J5438" s="54" t="s">
        <v>6052</v>
      </c>
      <c r="K5438" s="54">
        <v>0</v>
      </c>
      <c r="L5438" s="22" t="s">
        <v>144</v>
      </c>
      <c r="M5438" s="22" t="s">
        <v>37254</v>
      </c>
    </row>
    <row r="5439" spans="1:13" x14ac:dyDescent="0.75">
      <c r="A5439" t="s">
        <v>9715</v>
      </c>
      <c r="B5439" t="s">
        <v>8731</v>
      </c>
      <c r="C5439" t="s">
        <v>6696</v>
      </c>
      <c r="D5439" t="s">
        <v>8732</v>
      </c>
      <c r="E5439" t="s">
        <v>9716</v>
      </c>
      <c r="F5439">
        <v>293</v>
      </c>
      <c r="G5439">
        <v>2469990</v>
      </c>
      <c r="H5439" t="s">
        <v>9717</v>
      </c>
      <c r="J5439" s="54" t="s">
        <v>6052</v>
      </c>
      <c r="K5439" s="54">
        <v>0</v>
      </c>
      <c r="L5439" s="22" t="s">
        <v>104</v>
      </c>
      <c r="M5439" s="22" t="s">
        <v>37262</v>
      </c>
    </row>
    <row r="5440" spans="1:13" x14ac:dyDescent="0.75">
      <c r="A5440" t="s">
        <v>26485</v>
      </c>
      <c r="B5440" t="s">
        <v>8731</v>
      </c>
      <c r="C5440" t="s">
        <v>6696</v>
      </c>
      <c r="D5440" t="s">
        <v>8732</v>
      </c>
      <c r="E5440" t="s">
        <v>9716</v>
      </c>
      <c r="F5440">
        <v>1</v>
      </c>
      <c r="G5440">
        <v>2533704</v>
      </c>
      <c r="H5440" t="s">
        <v>26486</v>
      </c>
      <c r="J5440" s="54" t="s">
        <v>6052</v>
      </c>
      <c r="K5440" s="54">
        <v>0</v>
      </c>
      <c r="L5440" s="22" t="s">
        <v>104</v>
      </c>
      <c r="M5440" s="22" t="s">
        <v>37262</v>
      </c>
    </row>
    <row r="5441" spans="1:13" x14ac:dyDescent="0.75">
      <c r="A5441" t="s">
        <v>21331</v>
      </c>
      <c r="B5441" t="s">
        <v>8731</v>
      </c>
      <c r="C5441" t="s">
        <v>6696</v>
      </c>
      <c r="D5441" t="s">
        <v>8732</v>
      </c>
      <c r="E5441" t="s">
        <v>21332</v>
      </c>
      <c r="F5441">
        <v>202</v>
      </c>
      <c r="G5441">
        <v>2331782</v>
      </c>
      <c r="H5441" t="s">
        <v>21333</v>
      </c>
      <c r="J5441" s="54" t="s">
        <v>6052</v>
      </c>
      <c r="K5441" s="54">
        <v>0</v>
      </c>
      <c r="L5441" s="22" t="s">
        <v>104</v>
      </c>
      <c r="M5441" s="22" t="s">
        <v>37262</v>
      </c>
    </row>
    <row r="5442" spans="1:13" x14ac:dyDescent="0.75">
      <c r="A5442" t="s">
        <v>8730</v>
      </c>
      <c r="B5442" t="s">
        <v>8731</v>
      </c>
      <c r="C5442" t="s">
        <v>6696</v>
      </c>
      <c r="D5442" t="s">
        <v>8732</v>
      </c>
      <c r="E5442" t="s">
        <v>8733</v>
      </c>
      <c r="F5442">
        <v>239</v>
      </c>
      <c r="G5442">
        <v>2390495</v>
      </c>
      <c r="H5442" t="s">
        <v>8734</v>
      </c>
      <c r="J5442" s="54" t="s">
        <v>6052</v>
      </c>
      <c r="K5442" s="54">
        <v>0</v>
      </c>
      <c r="L5442" s="22" t="s">
        <v>104</v>
      </c>
      <c r="M5442" s="22" t="s">
        <v>37262</v>
      </c>
    </row>
    <row r="5443" spans="1:13" x14ac:dyDescent="0.75">
      <c r="A5443" t="s">
        <v>23391</v>
      </c>
      <c r="B5443" t="s">
        <v>7387</v>
      </c>
      <c r="C5443" t="s">
        <v>6696</v>
      </c>
      <c r="D5443" t="s">
        <v>7388</v>
      </c>
      <c r="E5443">
        <v>11953</v>
      </c>
      <c r="F5443">
        <v>42</v>
      </c>
      <c r="G5443">
        <v>2331528</v>
      </c>
      <c r="H5443" t="s">
        <v>23392</v>
      </c>
      <c r="J5443" s="54" t="s">
        <v>6052</v>
      </c>
      <c r="K5443" s="54">
        <v>0</v>
      </c>
      <c r="L5443" s="22" t="s">
        <v>104</v>
      </c>
      <c r="M5443" s="22" t="s">
        <v>37257</v>
      </c>
    </row>
    <row r="5444" spans="1:13" x14ac:dyDescent="0.75">
      <c r="A5444" t="s">
        <v>11107</v>
      </c>
      <c r="B5444" t="s">
        <v>7387</v>
      </c>
      <c r="C5444" t="s">
        <v>6696</v>
      </c>
      <c r="D5444" t="s">
        <v>7388</v>
      </c>
      <c r="E5444" t="s">
        <v>11108</v>
      </c>
      <c r="F5444">
        <v>105</v>
      </c>
      <c r="G5444">
        <v>2371643</v>
      </c>
      <c r="H5444" t="s">
        <v>11109</v>
      </c>
      <c r="J5444" s="54" t="s">
        <v>6052</v>
      </c>
      <c r="K5444" s="54">
        <v>0</v>
      </c>
      <c r="L5444" s="22" t="s">
        <v>104</v>
      </c>
      <c r="M5444" s="22" t="s">
        <v>37257</v>
      </c>
    </row>
    <row r="5445" spans="1:13" x14ac:dyDescent="0.75">
      <c r="A5445" t="s">
        <v>11136</v>
      </c>
      <c r="B5445" t="s">
        <v>7387</v>
      </c>
      <c r="C5445" t="s">
        <v>6696</v>
      </c>
      <c r="D5445" t="s">
        <v>7388</v>
      </c>
      <c r="E5445" t="s">
        <v>11137</v>
      </c>
      <c r="F5445">
        <v>96</v>
      </c>
      <c r="G5445">
        <v>2452806</v>
      </c>
      <c r="H5445" t="s">
        <v>11138</v>
      </c>
      <c r="J5445" s="54" t="s">
        <v>6052</v>
      </c>
      <c r="K5445" s="54">
        <v>0</v>
      </c>
      <c r="L5445" s="22" t="s">
        <v>104</v>
      </c>
      <c r="M5445" s="22" t="s">
        <v>37257</v>
      </c>
    </row>
    <row r="5446" spans="1:13" x14ac:dyDescent="0.75">
      <c r="A5446" t="s">
        <v>11035</v>
      </c>
      <c r="B5446" t="s">
        <v>7387</v>
      </c>
      <c r="C5446" t="s">
        <v>6696</v>
      </c>
      <c r="D5446" t="s">
        <v>7388</v>
      </c>
      <c r="E5446" t="s">
        <v>11036</v>
      </c>
      <c r="F5446">
        <v>74</v>
      </c>
      <c r="G5446">
        <v>2354316</v>
      </c>
      <c r="H5446" t="s">
        <v>11037</v>
      </c>
      <c r="J5446" s="54" t="s">
        <v>6052</v>
      </c>
      <c r="K5446" s="54">
        <v>0</v>
      </c>
      <c r="L5446" s="22" t="s">
        <v>104</v>
      </c>
      <c r="M5446" s="22" t="s">
        <v>37257</v>
      </c>
    </row>
    <row r="5447" spans="1:13" x14ac:dyDescent="0.75">
      <c r="A5447" t="s">
        <v>7386</v>
      </c>
      <c r="B5447" t="s">
        <v>7387</v>
      </c>
      <c r="C5447" t="s">
        <v>6696</v>
      </c>
      <c r="D5447" t="s">
        <v>7388</v>
      </c>
      <c r="E5447" t="s">
        <v>7389</v>
      </c>
      <c r="F5447">
        <v>42</v>
      </c>
      <c r="G5447">
        <v>2372658</v>
      </c>
      <c r="H5447" t="s">
        <v>7390</v>
      </c>
      <c r="J5447" s="54" t="s">
        <v>6052</v>
      </c>
      <c r="K5447" s="54">
        <v>0</v>
      </c>
      <c r="L5447" s="22" t="s">
        <v>104</v>
      </c>
      <c r="M5447" s="22" t="s">
        <v>37257</v>
      </c>
    </row>
    <row r="5448" spans="1:13" x14ac:dyDescent="0.75">
      <c r="A5448" t="s">
        <v>23784</v>
      </c>
      <c r="B5448" t="s">
        <v>7387</v>
      </c>
      <c r="C5448" t="s">
        <v>6696</v>
      </c>
      <c r="D5448" t="s">
        <v>7388</v>
      </c>
      <c r="E5448" t="s">
        <v>23785</v>
      </c>
      <c r="F5448">
        <v>1</v>
      </c>
      <c r="G5448">
        <v>2389595</v>
      </c>
      <c r="H5448" t="s">
        <v>23786</v>
      </c>
      <c r="J5448" s="54" t="s">
        <v>6052</v>
      </c>
      <c r="K5448" s="54">
        <v>0</v>
      </c>
      <c r="L5448" s="22" t="s">
        <v>104</v>
      </c>
      <c r="M5448" s="22" t="s">
        <v>37257</v>
      </c>
    </row>
    <row r="5449" spans="1:13" x14ac:dyDescent="0.75">
      <c r="A5449" t="s">
        <v>29196</v>
      </c>
      <c r="B5449" t="s">
        <v>7387</v>
      </c>
      <c r="C5449" t="s">
        <v>6696</v>
      </c>
      <c r="D5449" t="s">
        <v>7388</v>
      </c>
      <c r="E5449" t="s">
        <v>29197</v>
      </c>
      <c r="F5449">
        <v>171</v>
      </c>
      <c r="G5449">
        <v>2294888</v>
      </c>
      <c r="H5449" t="s">
        <v>29198</v>
      </c>
      <c r="J5449" s="54" t="s">
        <v>6052</v>
      </c>
      <c r="K5449" s="54">
        <v>0</v>
      </c>
      <c r="L5449" s="22" t="s">
        <v>104</v>
      </c>
      <c r="M5449" s="22" t="s">
        <v>37257</v>
      </c>
    </row>
    <row r="5450" spans="1:13" x14ac:dyDescent="0.75">
      <c r="A5450" t="s">
        <v>28895</v>
      </c>
      <c r="B5450" t="s">
        <v>7387</v>
      </c>
      <c r="C5450" t="s">
        <v>6696</v>
      </c>
      <c r="D5450" t="s">
        <v>7388</v>
      </c>
      <c r="E5450" t="s">
        <v>28896</v>
      </c>
      <c r="F5450">
        <v>100</v>
      </c>
      <c r="G5450">
        <v>2368306</v>
      </c>
      <c r="H5450" t="s">
        <v>28897</v>
      </c>
      <c r="J5450" s="54" t="s">
        <v>6052</v>
      </c>
      <c r="K5450" s="54">
        <v>0</v>
      </c>
      <c r="L5450" s="22" t="s">
        <v>104</v>
      </c>
      <c r="M5450" s="22" t="s">
        <v>37257</v>
      </c>
    </row>
    <row r="5451" spans="1:13" x14ac:dyDescent="0.75">
      <c r="A5451" t="s">
        <v>29302</v>
      </c>
      <c r="B5451" t="s">
        <v>8691</v>
      </c>
      <c r="C5451" t="s">
        <v>6696</v>
      </c>
      <c r="D5451" t="s">
        <v>8692</v>
      </c>
      <c r="E5451" t="s">
        <v>29303</v>
      </c>
      <c r="F5451">
        <v>1</v>
      </c>
      <c r="G5451">
        <v>2460158</v>
      </c>
      <c r="H5451" t="s">
        <v>29304</v>
      </c>
      <c r="J5451" s="54" t="s">
        <v>6052</v>
      </c>
      <c r="K5451" s="54">
        <v>0</v>
      </c>
      <c r="L5451" s="22" t="s">
        <v>104</v>
      </c>
      <c r="M5451" s="22" t="s">
        <v>37260</v>
      </c>
    </row>
    <row r="5452" spans="1:13" x14ac:dyDescent="0.75">
      <c r="A5452" t="s">
        <v>29242</v>
      </c>
      <c r="B5452" t="s">
        <v>8691</v>
      </c>
      <c r="C5452" t="s">
        <v>6696</v>
      </c>
      <c r="D5452" t="s">
        <v>8692</v>
      </c>
      <c r="E5452" t="s">
        <v>29243</v>
      </c>
      <c r="F5452">
        <v>243</v>
      </c>
      <c r="G5452">
        <v>2128014</v>
      </c>
      <c r="H5452" t="s">
        <v>29244</v>
      </c>
      <c r="J5452" s="54" t="s">
        <v>6052</v>
      </c>
      <c r="K5452" s="54">
        <v>0</v>
      </c>
      <c r="L5452" s="22" t="s">
        <v>104</v>
      </c>
      <c r="M5452" s="22" t="s">
        <v>37260</v>
      </c>
    </row>
    <row r="5453" spans="1:13" x14ac:dyDescent="0.75">
      <c r="A5453" t="s">
        <v>8690</v>
      </c>
      <c r="B5453" t="s">
        <v>8691</v>
      </c>
      <c r="C5453" t="s">
        <v>6696</v>
      </c>
      <c r="D5453" t="s">
        <v>8692</v>
      </c>
      <c r="E5453" t="s">
        <v>8693</v>
      </c>
      <c r="F5453">
        <v>143</v>
      </c>
      <c r="G5453">
        <v>2444105</v>
      </c>
      <c r="H5453" t="s">
        <v>8694</v>
      </c>
      <c r="J5453" s="54" t="s">
        <v>6052</v>
      </c>
      <c r="K5453" s="54">
        <v>0</v>
      </c>
      <c r="L5453" s="22" t="s">
        <v>104</v>
      </c>
      <c r="M5453" s="22" t="s">
        <v>37260</v>
      </c>
    </row>
    <row r="5454" spans="1:13" x14ac:dyDescent="0.75">
      <c r="A5454" t="s">
        <v>29266</v>
      </c>
      <c r="B5454" t="s">
        <v>27211</v>
      </c>
      <c r="C5454" t="s">
        <v>6696</v>
      </c>
      <c r="D5454" t="s">
        <v>27212</v>
      </c>
      <c r="E5454" t="s">
        <v>29267</v>
      </c>
      <c r="F5454">
        <v>134</v>
      </c>
      <c r="G5454">
        <v>2203294</v>
      </c>
      <c r="H5454" t="s">
        <v>29268</v>
      </c>
      <c r="J5454" s="54" t="s">
        <v>6052</v>
      </c>
      <c r="K5454" s="54">
        <v>0</v>
      </c>
      <c r="L5454" s="22" t="s">
        <v>104</v>
      </c>
      <c r="M5454" s="22" t="s">
        <v>37263</v>
      </c>
    </row>
    <row r="5455" spans="1:13" x14ac:dyDescent="0.75">
      <c r="A5455" t="s">
        <v>27210</v>
      </c>
      <c r="B5455" t="s">
        <v>27211</v>
      </c>
      <c r="C5455" t="s">
        <v>6696</v>
      </c>
      <c r="D5455" t="s">
        <v>27212</v>
      </c>
      <c r="E5455" t="s">
        <v>27213</v>
      </c>
      <c r="F5455">
        <v>114</v>
      </c>
      <c r="G5455">
        <v>2300105</v>
      </c>
      <c r="H5455" t="s">
        <v>27214</v>
      </c>
      <c r="J5455" s="54" t="s">
        <v>6052</v>
      </c>
      <c r="K5455" s="54">
        <v>0</v>
      </c>
      <c r="L5455" s="22" t="s">
        <v>104</v>
      </c>
      <c r="M5455" s="22" t="s">
        <v>37263</v>
      </c>
    </row>
    <row r="5456" spans="1:13" x14ac:dyDescent="0.75">
      <c r="A5456" t="s">
        <v>30522</v>
      </c>
      <c r="B5456" t="s">
        <v>27211</v>
      </c>
      <c r="C5456" t="s">
        <v>6696</v>
      </c>
      <c r="D5456" t="s">
        <v>27212</v>
      </c>
      <c r="E5456" t="s">
        <v>30523</v>
      </c>
      <c r="F5456">
        <v>234</v>
      </c>
      <c r="G5456">
        <v>1810574</v>
      </c>
      <c r="H5456" t="s">
        <v>30524</v>
      </c>
      <c r="J5456" s="54" t="s">
        <v>6052</v>
      </c>
      <c r="K5456" s="54">
        <v>0</v>
      </c>
      <c r="L5456" s="22" t="s">
        <v>104</v>
      </c>
      <c r="M5456" s="22" t="s">
        <v>37263</v>
      </c>
    </row>
    <row r="5457" spans="1:13" x14ac:dyDescent="0.75">
      <c r="A5457" t="s">
        <v>1240</v>
      </c>
      <c r="B5457" t="s">
        <v>948</v>
      </c>
      <c r="C5457" t="s">
        <v>6564</v>
      </c>
      <c r="D5457" t="s">
        <v>9568</v>
      </c>
      <c r="E5457" t="s">
        <v>10279</v>
      </c>
      <c r="F5457">
        <v>94</v>
      </c>
      <c r="G5457">
        <v>3116148</v>
      </c>
      <c r="H5457" t="s">
        <v>10280</v>
      </c>
      <c r="J5457" s="54" t="s">
        <v>10279</v>
      </c>
      <c r="K5457" s="54">
        <v>2</v>
      </c>
      <c r="L5457" s="22" t="s">
        <v>104</v>
      </c>
      <c r="M5457" s="22" t="s">
        <v>949</v>
      </c>
    </row>
    <row r="5458" spans="1:13" x14ac:dyDescent="0.75">
      <c r="A5458" t="s">
        <v>1059</v>
      </c>
      <c r="B5458" t="s">
        <v>948</v>
      </c>
      <c r="C5458" t="s">
        <v>6564</v>
      </c>
      <c r="D5458" t="s">
        <v>9568</v>
      </c>
      <c r="E5458" t="s">
        <v>9819</v>
      </c>
      <c r="F5458">
        <v>44</v>
      </c>
      <c r="G5458">
        <v>3024338</v>
      </c>
      <c r="H5458" t="s">
        <v>9820</v>
      </c>
      <c r="J5458" s="54" t="s">
        <v>9819</v>
      </c>
      <c r="K5458" s="54">
        <v>2</v>
      </c>
      <c r="L5458" s="22" t="s">
        <v>104</v>
      </c>
      <c r="M5458" s="22" t="s">
        <v>949</v>
      </c>
    </row>
    <row r="5459" spans="1:13" x14ac:dyDescent="0.75">
      <c r="A5459" t="s">
        <v>947</v>
      </c>
      <c r="B5459" t="s">
        <v>948</v>
      </c>
      <c r="C5459" t="s">
        <v>6564</v>
      </c>
      <c r="D5459" t="s">
        <v>9568</v>
      </c>
      <c r="E5459" t="s">
        <v>9569</v>
      </c>
      <c r="F5459">
        <v>48</v>
      </c>
      <c r="G5459">
        <v>3128717</v>
      </c>
      <c r="H5459" t="s">
        <v>9570</v>
      </c>
      <c r="J5459" s="54" t="s">
        <v>9569</v>
      </c>
      <c r="K5459" s="54">
        <v>2</v>
      </c>
      <c r="L5459" s="22" t="s">
        <v>104</v>
      </c>
      <c r="M5459" s="22" t="s">
        <v>949</v>
      </c>
    </row>
    <row r="5460" spans="1:13" x14ac:dyDescent="0.75">
      <c r="A5460" t="s">
        <v>3783</v>
      </c>
      <c r="B5460" t="s">
        <v>241</v>
      </c>
      <c r="C5460" t="s">
        <v>6564</v>
      </c>
      <c r="D5460" t="s">
        <v>6989</v>
      </c>
      <c r="E5460" t="s">
        <v>21289</v>
      </c>
      <c r="F5460">
        <v>45</v>
      </c>
      <c r="G5460">
        <v>3253748</v>
      </c>
      <c r="H5460" t="s">
        <v>21290</v>
      </c>
      <c r="J5460" s="54" t="s">
        <v>21289</v>
      </c>
      <c r="K5460" s="54">
        <v>2</v>
      </c>
      <c r="L5460" s="22" t="s">
        <v>104</v>
      </c>
      <c r="M5460" s="22" t="s">
        <v>242</v>
      </c>
    </row>
    <row r="5461" spans="1:13" x14ac:dyDescent="0.75">
      <c r="A5461" t="s">
        <v>734</v>
      </c>
      <c r="B5461" t="s">
        <v>241</v>
      </c>
      <c r="C5461" t="s">
        <v>6564</v>
      </c>
      <c r="D5461" t="s">
        <v>6989</v>
      </c>
      <c r="E5461" t="s">
        <v>8771</v>
      </c>
      <c r="F5461">
        <v>47</v>
      </c>
      <c r="G5461">
        <v>3164912</v>
      </c>
      <c r="H5461" t="s">
        <v>8772</v>
      </c>
      <c r="J5461" s="54" t="s">
        <v>8771</v>
      </c>
      <c r="K5461" s="54">
        <v>2</v>
      </c>
      <c r="L5461" s="22" t="s">
        <v>104</v>
      </c>
      <c r="M5461" s="22" t="s">
        <v>242</v>
      </c>
    </row>
    <row r="5462" spans="1:13" x14ac:dyDescent="0.75">
      <c r="A5462" t="s">
        <v>5345</v>
      </c>
      <c r="B5462" t="s">
        <v>241</v>
      </c>
      <c r="C5462" t="s">
        <v>6564</v>
      </c>
      <c r="D5462" t="s">
        <v>6989</v>
      </c>
      <c r="E5462" t="s">
        <v>28453</v>
      </c>
      <c r="F5462">
        <v>84</v>
      </c>
      <c r="G5462">
        <v>3001000</v>
      </c>
      <c r="H5462" t="s">
        <v>28454</v>
      </c>
      <c r="J5462" s="54" t="s">
        <v>28453</v>
      </c>
      <c r="K5462" s="54">
        <v>2</v>
      </c>
      <c r="L5462" s="22" t="s">
        <v>104</v>
      </c>
      <c r="M5462" s="22" t="s">
        <v>242</v>
      </c>
    </row>
    <row r="5463" spans="1:13" x14ac:dyDescent="0.75">
      <c r="A5463" t="s">
        <v>6035</v>
      </c>
      <c r="B5463" t="s">
        <v>241</v>
      </c>
      <c r="C5463" t="s">
        <v>6564</v>
      </c>
      <c r="D5463" t="s">
        <v>6989</v>
      </c>
      <c r="E5463" t="s">
        <v>30599</v>
      </c>
      <c r="F5463">
        <v>165</v>
      </c>
      <c r="G5463">
        <v>2924601</v>
      </c>
      <c r="H5463" t="s">
        <v>30600</v>
      </c>
      <c r="J5463" s="54" t="s">
        <v>30844</v>
      </c>
      <c r="K5463" s="54">
        <v>2</v>
      </c>
      <c r="L5463" s="22" t="s">
        <v>104</v>
      </c>
      <c r="M5463" s="22" t="s">
        <v>242</v>
      </c>
    </row>
    <row r="5464" spans="1:13" x14ac:dyDescent="0.75">
      <c r="A5464" t="s">
        <v>5839</v>
      </c>
      <c r="B5464" t="s">
        <v>241</v>
      </c>
      <c r="C5464" t="s">
        <v>6564</v>
      </c>
      <c r="D5464" t="s">
        <v>6989</v>
      </c>
      <c r="E5464" t="s">
        <v>29817</v>
      </c>
      <c r="F5464">
        <v>24</v>
      </c>
      <c r="G5464">
        <v>3206583</v>
      </c>
      <c r="H5464" t="s">
        <v>29818</v>
      </c>
      <c r="J5464" s="54" t="s">
        <v>30844</v>
      </c>
      <c r="K5464" s="54">
        <v>2</v>
      </c>
      <c r="L5464" s="22" t="s">
        <v>104</v>
      </c>
      <c r="M5464" s="22" t="s">
        <v>242</v>
      </c>
    </row>
    <row r="5465" spans="1:13" x14ac:dyDescent="0.75">
      <c r="A5465" t="s">
        <v>3623</v>
      </c>
      <c r="B5465" t="s">
        <v>241</v>
      </c>
      <c r="C5465" t="s">
        <v>6564</v>
      </c>
      <c r="D5465" t="s">
        <v>6989</v>
      </c>
      <c r="E5465" t="s">
        <v>20860</v>
      </c>
      <c r="F5465">
        <v>46</v>
      </c>
      <c r="G5465">
        <v>3274457</v>
      </c>
      <c r="H5465" t="s">
        <v>20861</v>
      </c>
      <c r="J5465" s="54" t="s">
        <v>30844</v>
      </c>
      <c r="K5465" s="54">
        <v>2</v>
      </c>
      <c r="L5465" s="22" t="s">
        <v>104</v>
      </c>
      <c r="M5465" s="22" t="s">
        <v>242</v>
      </c>
    </row>
    <row r="5466" spans="1:13" x14ac:dyDescent="0.75">
      <c r="A5466" t="s">
        <v>240</v>
      </c>
      <c r="B5466" t="s">
        <v>241</v>
      </c>
      <c r="C5466" t="s">
        <v>6564</v>
      </c>
      <c r="D5466" t="s">
        <v>6989</v>
      </c>
      <c r="E5466" t="s">
        <v>6990</v>
      </c>
      <c r="F5466">
        <v>264</v>
      </c>
      <c r="G5466">
        <v>3357950</v>
      </c>
      <c r="H5466" t="s">
        <v>6991</v>
      </c>
      <c r="J5466" s="54" t="s">
        <v>6990</v>
      </c>
      <c r="K5466" s="54">
        <v>2</v>
      </c>
      <c r="L5466" s="22" t="s">
        <v>104</v>
      </c>
      <c r="M5466" s="22" t="s">
        <v>242</v>
      </c>
    </row>
    <row r="5467" spans="1:13" x14ac:dyDescent="0.75">
      <c r="A5467" t="s">
        <v>4886</v>
      </c>
      <c r="B5467" t="s">
        <v>241</v>
      </c>
      <c r="C5467" t="s">
        <v>6564</v>
      </c>
      <c r="D5467" t="s">
        <v>6989</v>
      </c>
      <c r="E5467" t="s">
        <v>24727</v>
      </c>
      <c r="F5467">
        <v>53</v>
      </c>
      <c r="G5467">
        <v>3354828</v>
      </c>
      <c r="H5467" t="s">
        <v>24728</v>
      </c>
      <c r="J5467" s="54" t="s">
        <v>24727</v>
      </c>
      <c r="K5467" s="54">
        <v>2</v>
      </c>
      <c r="L5467" s="22" t="s">
        <v>104</v>
      </c>
      <c r="M5467" s="22" t="s">
        <v>242</v>
      </c>
    </row>
    <row r="5468" spans="1:13" x14ac:dyDescent="0.75">
      <c r="A5468" t="s">
        <v>4897</v>
      </c>
      <c r="B5468" t="s">
        <v>241</v>
      </c>
      <c r="C5468" t="s">
        <v>6564</v>
      </c>
      <c r="D5468" t="s">
        <v>6989</v>
      </c>
      <c r="E5468" t="s">
        <v>24729</v>
      </c>
      <c r="F5468">
        <v>73</v>
      </c>
      <c r="G5468">
        <v>3264850</v>
      </c>
      <c r="H5468" t="s">
        <v>24730</v>
      </c>
      <c r="J5468" s="54" t="s">
        <v>24729</v>
      </c>
      <c r="K5468" s="54">
        <v>2</v>
      </c>
      <c r="L5468" s="22" t="s">
        <v>104</v>
      </c>
      <c r="M5468" s="22" t="s">
        <v>242</v>
      </c>
    </row>
    <row r="5469" spans="1:13" x14ac:dyDescent="0.75">
      <c r="A5469" t="s">
        <v>424</v>
      </c>
      <c r="B5469" t="s">
        <v>241</v>
      </c>
      <c r="C5469" t="s">
        <v>6564</v>
      </c>
      <c r="D5469" t="s">
        <v>6989</v>
      </c>
      <c r="E5469" t="s">
        <v>7377</v>
      </c>
      <c r="F5469">
        <v>69</v>
      </c>
      <c r="G5469">
        <v>3284105</v>
      </c>
      <c r="H5469" t="s">
        <v>7378</v>
      </c>
      <c r="J5469" s="54" t="s">
        <v>7377</v>
      </c>
      <c r="K5469" s="54">
        <v>2</v>
      </c>
      <c r="L5469" s="22" t="s">
        <v>104</v>
      </c>
      <c r="M5469" s="22" t="s">
        <v>242</v>
      </c>
    </row>
    <row r="5470" spans="1:13" x14ac:dyDescent="0.75">
      <c r="A5470" t="s">
        <v>5221</v>
      </c>
      <c r="B5470" t="s">
        <v>241</v>
      </c>
      <c r="C5470" t="s">
        <v>6564</v>
      </c>
      <c r="D5470" t="s">
        <v>6989</v>
      </c>
      <c r="E5470" t="s">
        <v>27559</v>
      </c>
      <c r="F5470">
        <v>3</v>
      </c>
      <c r="G5470">
        <v>3122366</v>
      </c>
      <c r="H5470" t="s">
        <v>27560</v>
      </c>
      <c r="J5470" s="54" t="s">
        <v>27559</v>
      </c>
      <c r="K5470" s="54">
        <v>1</v>
      </c>
      <c r="L5470" s="22" t="s">
        <v>104</v>
      </c>
      <c r="M5470" s="22" t="s">
        <v>242</v>
      </c>
    </row>
    <row r="5471" spans="1:13" x14ac:dyDescent="0.75">
      <c r="A5471" t="s">
        <v>5010</v>
      </c>
      <c r="B5471" t="s">
        <v>241</v>
      </c>
      <c r="C5471" t="s">
        <v>6564</v>
      </c>
      <c r="D5471" t="s">
        <v>6989</v>
      </c>
      <c r="E5471" t="s">
        <v>26574</v>
      </c>
      <c r="F5471">
        <v>74</v>
      </c>
      <c r="G5471">
        <v>3035637</v>
      </c>
      <c r="H5471" t="s">
        <v>26575</v>
      </c>
      <c r="J5471" s="54" t="s">
        <v>26574</v>
      </c>
      <c r="K5471" s="54">
        <v>1</v>
      </c>
      <c r="L5471" s="22" t="s">
        <v>104</v>
      </c>
      <c r="M5471" s="22" t="s">
        <v>242</v>
      </c>
    </row>
    <row r="5472" spans="1:13" x14ac:dyDescent="0.75">
      <c r="A5472" t="s">
        <v>6023</v>
      </c>
      <c r="B5472" t="s">
        <v>241</v>
      </c>
      <c r="C5472" t="s">
        <v>6564</v>
      </c>
      <c r="D5472" t="s">
        <v>6989</v>
      </c>
      <c r="E5472" t="s">
        <v>30520</v>
      </c>
      <c r="F5472">
        <v>163</v>
      </c>
      <c r="G5472">
        <v>2824982</v>
      </c>
      <c r="H5472" t="s">
        <v>30521</v>
      </c>
      <c r="J5472" s="54" t="s">
        <v>30844</v>
      </c>
      <c r="K5472" s="54">
        <v>1</v>
      </c>
      <c r="L5472" s="22" t="s">
        <v>104</v>
      </c>
      <c r="M5472" s="22" t="s">
        <v>242</v>
      </c>
    </row>
    <row r="5473" spans="1:13" x14ac:dyDescent="0.75">
      <c r="A5473" t="s">
        <v>6029</v>
      </c>
      <c r="B5473" t="s">
        <v>241</v>
      </c>
      <c r="C5473" t="s">
        <v>6564</v>
      </c>
      <c r="D5473" t="s">
        <v>6989</v>
      </c>
      <c r="E5473" t="s">
        <v>30528</v>
      </c>
      <c r="F5473">
        <v>184</v>
      </c>
      <c r="G5473">
        <v>2932930</v>
      </c>
      <c r="H5473" t="s">
        <v>30529</v>
      </c>
      <c r="J5473" s="54" t="s">
        <v>30844</v>
      </c>
      <c r="K5473" s="54">
        <v>1</v>
      </c>
      <c r="L5473" s="22" t="s">
        <v>104</v>
      </c>
      <c r="M5473" s="22" t="s">
        <v>242</v>
      </c>
    </row>
    <row r="5474" spans="1:13" x14ac:dyDescent="0.75">
      <c r="A5474" t="s">
        <v>622</v>
      </c>
      <c r="B5474" t="s">
        <v>623</v>
      </c>
      <c r="C5474" t="s">
        <v>6564</v>
      </c>
      <c r="D5474" t="s">
        <v>8442</v>
      </c>
      <c r="E5474" t="s">
        <v>8443</v>
      </c>
      <c r="F5474">
        <v>54</v>
      </c>
      <c r="G5474">
        <v>3151214</v>
      </c>
      <c r="H5474" t="s">
        <v>8444</v>
      </c>
      <c r="J5474" s="54" t="s">
        <v>8443</v>
      </c>
      <c r="K5474" s="54">
        <v>1</v>
      </c>
      <c r="L5474" s="22" t="s">
        <v>104</v>
      </c>
      <c r="M5474" s="22" t="s">
        <v>624</v>
      </c>
    </row>
    <row r="5475" spans="1:13" x14ac:dyDescent="0.75">
      <c r="A5475" t="s">
        <v>5789</v>
      </c>
      <c r="B5475" t="s">
        <v>623</v>
      </c>
      <c r="C5475" t="s">
        <v>6564</v>
      </c>
      <c r="D5475" t="s">
        <v>8442</v>
      </c>
      <c r="E5475" t="s">
        <v>29681</v>
      </c>
      <c r="F5475">
        <v>160</v>
      </c>
      <c r="G5475">
        <v>2688965</v>
      </c>
      <c r="H5475" t="s">
        <v>29682</v>
      </c>
      <c r="J5475" s="54" t="s">
        <v>30844</v>
      </c>
      <c r="K5475" s="54">
        <v>1</v>
      </c>
      <c r="L5475" s="22" t="s">
        <v>104</v>
      </c>
      <c r="M5475" s="22" t="s">
        <v>624</v>
      </c>
    </row>
    <row r="5476" spans="1:13" x14ac:dyDescent="0.75">
      <c r="A5476" t="s">
        <v>5455</v>
      </c>
      <c r="B5476" t="s">
        <v>623</v>
      </c>
      <c r="C5476" t="s">
        <v>6564</v>
      </c>
      <c r="D5476" t="s">
        <v>8442</v>
      </c>
      <c r="E5476" t="s">
        <v>28960</v>
      </c>
      <c r="F5476">
        <v>165</v>
      </c>
      <c r="G5476">
        <v>2693241</v>
      </c>
      <c r="H5476" t="s">
        <v>28961</v>
      </c>
      <c r="J5476" s="54" t="s">
        <v>30844</v>
      </c>
      <c r="K5476" s="54">
        <v>1</v>
      </c>
      <c r="L5476" s="22" t="s">
        <v>104</v>
      </c>
      <c r="M5476" s="22" t="s">
        <v>624</v>
      </c>
    </row>
    <row r="5477" spans="1:13" x14ac:dyDescent="0.75">
      <c r="A5477" t="s">
        <v>896</v>
      </c>
      <c r="B5477" t="s">
        <v>623</v>
      </c>
      <c r="C5477" t="s">
        <v>6564</v>
      </c>
      <c r="D5477" t="s">
        <v>8442</v>
      </c>
      <c r="E5477" t="s">
        <v>9395</v>
      </c>
      <c r="F5477">
        <v>63</v>
      </c>
      <c r="G5477">
        <v>3314235</v>
      </c>
      <c r="H5477" t="s">
        <v>9396</v>
      </c>
      <c r="J5477" s="54" t="s">
        <v>6052</v>
      </c>
      <c r="K5477" s="54">
        <v>0</v>
      </c>
      <c r="L5477" s="22" t="s">
        <v>104</v>
      </c>
      <c r="M5477" s="22" t="s">
        <v>624</v>
      </c>
    </row>
    <row r="5478" spans="1:13" x14ac:dyDescent="0.75">
      <c r="A5478" t="s">
        <v>1264</v>
      </c>
      <c r="B5478" t="s">
        <v>623</v>
      </c>
      <c r="C5478" t="s">
        <v>6564</v>
      </c>
      <c r="D5478" t="s">
        <v>8442</v>
      </c>
      <c r="E5478" t="s">
        <v>10300</v>
      </c>
      <c r="F5478">
        <v>133</v>
      </c>
      <c r="G5478">
        <v>3296416</v>
      </c>
      <c r="H5478" t="s">
        <v>10301</v>
      </c>
      <c r="J5478" s="54" t="s">
        <v>6052</v>
      </c>
      <c r="K5478" s="54">
        <v>0</v>
      </c>
      <c r="L5478" s="22" t="s">
        <v>104</v>
      </c>
      <c r="M5478" s="22" t="s">
        <v>624</v>
      </c>
    </row>
    <row r="5479" spans="1:13" x14ac:dyDescent="0.75">
      <c r="A5479" t="s">
        <v>6562</v>
      </c>
      <c r="B5479" t="s">
        <v>6563</v>
      </c>
      <c r="C5479" t="s">
        <v>6564</v>
      </c>
      <c r="D5479" t="s">
        <v>6565</v>
      </c>
      <c r="E5479" t="s">
        <v>6566</v>
      </c>
      <c r="F5479">
        <v>127</v>
      </c>
      <c r="G5479">
        <v>3346228</v>
      </c>
      <c r="H5479" t="s">
        <v>6567</v>
      </c>
      <c r="J5479" s="54" t="s">
        <v>6052</v>
      </c>
      <c r="K5479" s="54">
        <v>0</v>
      </c>
      <c r="L5479" s="22" t="s">
        <v>104</v>
      </c>
      <c r="M5479" s="22" t="s">
        <v>37267</v>
      </c>
    </row>
    <row r="5480" spans="1:13" x14ac:dyDescent="0.75">
      <c r="A5480" t="s">
        <v>9369</v>
      </c>
      <c r="B5480" t="s">
        <v>6563</v>
      </c>
      <c r="C5480" t="s">
        <v>6564</v>
      </c>
      <c r="D5480" t="s">
        <v>6565</v>
      </c>
      <c r="E5480" t="s">
        <v>9370</v>
      </c>
      <c r="F5480">
        <v>53</v>
      </c>
      <c r="G5480">
        <v>3063215</v>
      </c>
      <c r="H5480" t="s">
        <v>9371</v>
      </c>
      <c r="J5480" s="54" t="s">
        <v>6052</v>
      </c>
      <c r="K5480" s="54">
        <v>0</v>
      </c>
      <c r="L5480" s="22" t="s">
        <v>104</v>
      </c>
      <c r="M5480" s="22" t="s">
        <v>37267</v>
      </c>
    </row>
    <row r="5481" spans="1:13" x14ac:dyDescent="0.75">
      <c r="A5481" t="s">
        <v>29710</v>
      </c>
      <c r="B5481" t="s">
        <v>6563</v>
      </c>
      <c r="C5481" t="s">
        <v>6564</v>
      </c>
      <c r="D5481" t="s">
        <v>6565</v>
      </c>
      <c r="E5481" t="s">
        <v>29711</v>
      </c>
      <c r="F5481">
        <v>216</v>
      </c>
      <c r="G5481">
        <v>2476930</v>
      </c>
      <c r="H5481" t="s">
        <v>29712</v>
      </c>
      <c r="J5481" s="54" t="s">
        <v>6052</v>
      </c>
      <c r="K5481" s="54">
        <v>0</v>
      </c>
      <c r="L5481" s="22" t="s">
        <v>104</v>
      </c>
      <c r="M5481" s="22" t="s">
        <v>37267</v>
      </c>
    </row>
    <row r="5482" spans="1:13" x14ac:dyDescent="0.75">
      <c r="A5482" t="s">
        <v>7012</v>
      </c>
      <c r="B5482" t="s">
        <v>6563</v>
      </c>
      <c r="C5482" t="s">
        <v>6564</v>
      </c>
      <c r="D5482" t="s">
        <v>6565</v>
      </c>
      <c r="E5482" t="s">
        <v>7013</v>
      </c>
      <c r="F5482">
        <v>87</v>
      </c>
      <c r="G5482">
        <v>3251636</v>
      </c>
      <c r="H5482" t="s">
        <v>7014</v>
      </c>
      <c r="J5482" s="54" t="s">
        <v>6052</v>
      </c>
      <c r="K5482" s="54">
        <v>0</v>
      </c>
      <c r="L5482" s="22" t="s">
        <v>104</v>
      </c>
      <c r="M5482" s="22" t="s">
        <v>37267</v>
      </c>
    </row>
    <row r="5483" spans="1:13" x14ac:dyDescent="0.75">
      <c r="A5483" t="s">
        <v>12981</v>
      </c>
      <c r="B5483" t="s">
        <v>6563</v>
      </c>
      <c r="C5483" t="s">
        <v>6564</v>
      </c>
      <c r="D5483" t="s">
        <v>6565</v>
      </c>
      <c r="E5483" t="s">
        <v>12982</v>
      </c>
      <c r="F5483">
        <v>222</v>
      </c>
      <c r="G5483">
        <v>3101169</v>
      </c>
      <c r="H5483" t="s">
        <v>12983</v>
      </c>
      <c r="J5483" s="54" t="s">
        <v>6052</v>
      </c>
      <c r="K5483" s="54">
        <v>0</v>
      </c>
      <c r="L5483" s="22" t="s">
        <v>104</v>
      </c>
      <c r="M5483" s="22" t="s">
        <v>37267</v>
      </c>
    </row>
    <row r="5484" spans="1:13" x14ac:dyDescent="0.75">
      <c r="A5484" t="s">
        <v>12960</v>
      </c>
      <c r="B5484" t="s">
        <v>6563</v>
      </c>
      <c r="C5484" t="s">
        <v>6564</v>
      </c>
      <c r="D5484" t="s">
        <v>6565</v>
      </c>
      <c r="E5484" t="s">
        <v>12961</v>
      </c>
      <c r="F5484">
        <v>216</v>
      </c>
      <c r="G5484">
        <v>3134095</v>
      </c>
      <c r="H5484" t="s">
        <v>12962</v>
      </c>
      <c r="J5484" s="54" t="s">
        <v>6052</v>
      </c>
      <c r="K5484" s="54">
        <v>0</v>
      </c>
      <c r="L5484" s="22" t="s">
        <v>104</v>
      </c>
      <c r="M5484" s="22" t="s">
        <v>37267</v>
      </c>
    </row>
    <row r="5485" spans="1:13" x14ac:dyDescent="0.75">
      <c r="A5485" t="s">
        <v>10276</v>
      </c>
      <c r="B5485" t="s">
        <v>6563</v>
      </c>
      <c r="C5485" t="s">
        <v>6564</v>
      </c>
      <c r="D5485" t="s">
        <v>6565</v>
      </c>
      <c r="E5485" t="s">
        <v>10277</v>
      </c>
      <c r="F5485">
        <v>94</v>
      </c>
      <c r="G5485">
        <v>3077999</v>
      </c>
      <c r="H5485" t="s">
        <v>10278</v>
      </c>
      <c r="J5485" s="54" t="s">
        <v>6052</v>
      </c>
      <c r="K5485" s="54">
        <v>0</v>
      </c>
      <c r="L5485" s="22" t="s">
        <v>104</v>
      </c>
      <c r="M5485" s="22" t="s">
        <v>37267</v>
      </c>
    </row>
    <row r="5486" spans="1:13" x14ac:dyDescent="0.75">
      <c r="A5486" t="s">
        <v>28605</v>
      </c>
      <c r="B5486" t="s">
        <v>6563</v>
      </c>
      <c r="C5486" t="s">
        <v>6564</v>
      </c>
      <c r="D5486" t="s">
        <v>6565</v>
      </c>
      <c r="E5486" t="s">
        <v>28606</v>
      </c>
      <c r="F5486">
        <v>214</v>
      </c>
      <c r="G5486">
        <v>2959023</v>
      </c>
      <c r="H5486" t="s">
        <v>28607</v>
      </c>
      <c r="J5486" s="54" t="s">
        <v>6052</v>
      </c>
      <c r="K5486" s="54">
        <v>0</v>
      </c>
      <c r="L5486" s="22" t="s">
        <v>104</v>
      </c>
      <c r="M5486" s="22" t="s">
        <v>37267</v>
      </c>
    </row>
    <row r="5487" spans="1:13" x14ac:dyDescent="0.75">
      <c r="A5487" t="s">
        <v>27989</v>
      </c>
      <c r="B5487" t="s">
        <v>6563</v>
      </c>
      <c r="C5487" t="s">
        <v>6564</v>
      </c>
      <c r="D5487" t="s">
        <v>6565</v>
      </c>
      <c r="E5487" t="s">
        <v>27990</v>
      </c>
      <c r="F5487">
        <v>1</v>
      </c>
      <c r="G5487">
        <v>3168212</v>
      </c>
      <c r="H5487" t="s">
        <v>27991</v>
      </c>
      <c r="J5487" s="54" t="s">
        <v>6052</v>
      </c>
      <c r="K5487" s="54">
        <v>0</v>
      </c>
      <c r="L5487" s="22" t="s">
        <v>104</v>
      </c>
      <c r="M5487" s="22" t="s">
        <v>37267</v>
      </c>
    </row>
    <row r="5488" spans="1:13" x14ac:dyDescent="0.75">
      <c r="A5488" t="s">
        <v>28988</v>
      </c>
      <c r="B5488" t="s">
        <v>6563</v>
      </c>
      <c r="C5488" t="s">
        <v>6564</v>
      </c>
      <c r="D5488" t="s">
        <v>6565</v>
      </c>
      <c r="E5488" t="s">
        <v>28989</v>
      </c>
      <c r="F5488">
        <v>125</v>
      </c>
      <c r="G5488">
        <v>2878378</v>
      </c>
      <c r="H5488" t="s">
        <v>28990</v>
      </c>
      <c r="J5488" s="54" t="s">
        <v>6052</v>
      </c>
      <c r="K5488" s="54">
        <v>0</v>
      </c>
      <c r="L5488" s="22" t="s">
        <v>104</v>
      </c>
      <c r="M5488" s="22" t="s">
        <v>37267</v>
      </c>
    </row>
    <row r="5489" spans="1:13" x14ac:dyDescent="0.75">
      <c r="A5489" t="s">
        <v>27269</v>
      </c>
      <c r="B5489" t="s">
        <v>7959</v>
      </c>
      <c r="C5489" t="s">
        <v>6564</v>
      </c>
      <c r="D5489" t="s">
        <v>7960</v>
      </c>
      <c r="E5489" t="s">
        <v>27270</v>
      </c>
      <c r="F5489">
        <v>94</v>
      </c>
      <c r="G5489">
        <v>2840943</v>
      </c>
      <c r="H5489" t="s">
        <v>27271</v>
      </c>
      <c r="J5489" s="54" t="s">
        <v>6052</v>
      </c>
      <c r="K5489" s="54">
        <v>0</v>
      </c>
      <c r="L5489" s="22" t="s">
        <v>104</v>
      </c>
      <c r="M5489" s="22" t="s">
        <v>37266</v>
      </c>
    </row>
    <row r="5490" spans="1:13" x14ac:dyDescent="0.75">
      <c r="A5490" t="s">
        <v>15963</v>
      </c>
      <c r="B5490" t="s">
        <v>7959</v>
      </c>
      <c r="C5490" t="s">
        <v>6564</v>
      </c>
      <c r="D5490" t="s">
        <v>7960</v>
      </c>
      <c r="E5490" t="s">
        <v>15964</v>
      </c>
      <c r="F5490">
        <v>246</v>
      </c>
      <c r="G5490">
        <v>2201265</v>
      </c>
      <c r="H5490" t="s">
        <v>15965</v>
      </c>
      <c r="J5490" s="54" t="s">
        <v>6052</v>
      </c>
      <c r="K5490" s="54">
        <v>0</v>
      </c>
      <c r="L5490" s="22" t="s">
        <v>104</v>
      </c>
      <c r="M5490" s="22" t="s">
        <v>37266</v>
      </c>
    </row>
    <row r="5491" spans="1:13" x14ac:dyDescent="0.75">
      <c r="A5491" t="s">
        <v>30018</v>
      </c>
      <c r="B5491" t="s">
        <v>7959</v>
      </c>
      <c r="C5491" t="s">
        <v>6564</v>
      </c>
      <c r="D5491" t="s">
        <v>7960</v>
      </c>
      <c r="E5491" t="s">
        <v>30019</v>
      </c>
      <c r="F5491">
        <v>186</v>
      </c>
      <c r="G5491">
        <v>2439396</v>
      </c>
      <c r="H5491" t="s">
        <v>30020</v>
      </c>
      <c r="J5491" s="54" t="s">
        <v>6052</v>
      </c>
      <c r="K5491" s="54">
        <v>0</v>
      </c>
      <c r="L5491" s="22" t="s">
        <v>104</v>
      </c>
      <c r="M5491" s="22" t="s">
        <v>37266</v>
      </c>
    </row>
    <row r="5492" spans="1:13" x14ac:dyDescent="0.75">
      <c r="A5492" t="s">
        <v>7958</v>
      </c>
      <c r="B5492" t="s">
        <v>7959</v>
      </c>
      <c r="C5492" t="s">
        <v>6564</v>
      </c>
      <c r="D5492" t="s">
        <v>7960</v>
      </c>
      <c r="E5492" t="s">
        <v>7961</v>
      </c>
      <c r="F5492">
        <v>81</v>
      </c>
      <c r="G5492">
        <v>2805893</v>
      </c>
      <c r="H5492" t="s">
        <v>7962</v>
      </c>
      <c r="J5492" s="54" t="s">
        <v>6052</v>
      </c>
      <c r="K5492" s="54">
        <v>0</v>
      </c>
      <c r="L5492" s="22" t="s">
        <v>104</v>
      </c>
      <c r="M5492" s="22" t="s">
        <v>37266</v>
      </c>
    </row>
    <row r="5493" spans="1:13" x14ac:dyDescent="0.75">
      <c r="A5493" t="s">
        <v>10295</v>
      </c>
      <c r="B5493" t="s">
        <v>7959</v>
      </c>
      <c r="C5493" t="s">
        <v>6564</v>
      </c>
      <c r="D5493" t="s">
        <v>7960</v>
      </c>
      <c r="E5493" t="s">
        <v>10296</v>
      </c>
      <c r="F5493">
        <v>138</v>
      </c>
      <c r="G5493">
        <v>2827758</v>
      </c>
      <c r="H5493" t="s">
        <v>10297</v>
      </c>
      <c r="J5493" s="54" t="s">
        <v>6052</v>
      </c>
      <c r="K5493" s="54">
        <v>0</v>
      </c>
      <c r="L5493" s="22" t="s">
        <v>104</v>
      </c>
      <c r="M5493" s="22" t="s">
        <v>37266</v>
      </c>
    </row>
    <row r="5494" spans="1:13" x14ac:dyDescent="0.75">
      <c r="A5494" t="s">
        <v>28965</v>
      </c>
      <c r="B5494" t="s">
        <v>7959</v>
      </c>
      <c r="C5494" t="s">
        <v>6564</v>
      </c>
      <c r="D5494" t="s">
        <v>7960</v>
      </c>
      <c r="E5494" t="s">
        <v>28966</v>
      </c>
      <c r="F5494">
        <v>142</v>
      </c>
      <c r="G5494">
        <v>2509114</v>
      </c>
      <c r="H5494" t="s">
        <v>28967</v>
      </c>
      <c r="J5494" s="54" t="s">
        <v>6052</v>
      </c>
      <c r="K5494" s="54">
        <v>0</v>
      </c>
      <c r="L5494" s="22" t="s">
        <v>104</v>
      </c>
      <c r="M5494" s="22" t="s">
        <v>37266</v>
      </c>
    </row>
    <row r="5495" spans="1:13" x14ac:dyDescent="0.75">
      <c r="A5495" t="s">
        <v>7421</v>
      </c>
      <c r="B5495" t="s">
        <v>7422</v>
      </c>
      <c r="C5495" t="s">
        <v>6564</v>
      </c>
      <c r="D5495" t="s">
        <v>7423</v>
      </c>
      <c r="E5495" t="s">
        <v>7424</v>
      </c>
      <c r="F5495">
        <v>254</v>
      </c>
      <c r="G5495">
        <v>3274581</v>
      </c>
      <c r="H5495" t="s">
        <v>7425</v>
      </c>
      <c r="J5495" s="54" t="s">
        <v>6052</v>
      </c>
      <c r="K5495" s="54">
        <v>0</v>
      </c>
      <c r="L5495" s="22" t="s">
        <v>104</v>
      </c>
      <c r="M5495" s="22" t="s">
        <v>37268</v>
      </c>
    </row>
    <row r="5496" spans="1:13" x14ac:dyDescent="0.75">
      <c r="A5496" t="s">
        <v>29992</v>
      </c>
      <c r="B5496" t="s">
        <v>7422</v>
      </c>
      <c r="C5496" t="s">
        <v>6564</v>
      </c>
      <c r="D5496" t="s">
        <v>7423</v>
      </c>
      <c r="E5496" t="s">
        <v>29993</v>
      </c>
      <c r="F5496">
        <v>64</v>
      </c>
      <c r="G5496">
        <v>2914249</v>
      </c>
      <c r="H5496" t="s">
        <v>29994</v>
      </c>
      <c r="J5496" s="54" t="s">
        <v>6052</v>
      </c>
      <c r="K5496" s="54">
        <v>0</v>
      </c>
      <c r="L5496" s="22" t="s">
        <v>104</v>
      </c>
      <c r="M5496" s="22" t="s">
        <v>37268</v>
      </c>
    </row>
    <row r="5497" spans="1:13" x14ac:dyDescent="0.75">
      <c r="A5497" t="s">
        <v>9918</v>
      </c>
      <c r="B5497" t="s">
        <v>7422</v>
      </c>
      <c r="C5497" t="s">
        <v>6564</v>
      </c>
      <c r="D5497" t="s">
        <v>7423</v>
      </c>
      <c r="E5497" t="s">
        <v>9919</v>
      </c>
      <c r="F5497">
        <v>32</v>
      </c>
      <c r="G5497">
        <v>3099908</v>
      </c>
      <c r="H5497" t="s">
        <v>9920</v>
      </c>
      <c r="J5497" s="54" t="s">
        <v>6052</v>
      </c>
      <c r="K5497" s="54">
        <v>0</v>
      </c>
      <c r="L5497" s="22" t="s">
        <v>104</v>
      </c>
      <c r="M5497" s="22" t="s">
        <v>37268</v>
      </c>
    </row>
    <row r="5498" spans="1:13" x14ac:dyDescent="0.75">
      <c r="A5498" t="s">
        <v>19400</v>
      </c>
      <c r="B5498" t="s">
        <v>7422</v>
      </c>
      <c r="C5498" t="s">
        <v>6564</v>
      </c>
      <c r="D5498" t="s">
        <v>7423</v>
      </c>
      <c r="E5498" t="s">
        <v>19401</v>
      </c>
      <c r="F5498">
        <v>122</v>
      </c>
      <c r="G5498">
        <v>2648668</v>
      </c>
      <c r="H5498" t="s">
        <v>19402</v>
      </c>
      <c r="J5498" s="54" t="s">
        <v>6052</v>
      </c>
      <c r="K5498" s="54">
        <v>0</v>
      </c>
      <c r="L5498" s="22" t="s">
        <v>104</v>
      </c>
      <c r="M5498" s="22" t="s">
        <v>37268</v>
      </c>
    </row>
    <row r="5499" spans="1:13" x14ac:dyDescent="0.75">
      <c r="A5499" t="s">
        <v>16609</v>
      </c>
      <c r="B5499" t="s">
        <v>14607</v>
      </c>
      <c r="C5499" t="s">
        <v>14608</v>
      </c>
      <c r="D5499" t="s">
        <v>14609</v>
      </c>
      <c r="E5499" t="s">
        <v>16610</v>
      </c>
      <c r="F5499">
        <v>37</v>
      </c>
      <c r="G5499">
        <v>4033925</v>
      </c>
      <c r="H5499" t="s">
        <v>16611</v>
      </c>
      <c r="J5499" s="54" t="s">
        <v>6052</v>
      </c>
      <c r="K5499" s="54">
        <v>0</v>
      </c>
      <c r="L5499" s="22" t="s">
        <v>144</v>
      </c>
      <c r="M5499" s="22" t="s">
        <v>37265</v>
      </c>
    </row>
    <row r="5500" spans="1:13" x14ac:dyDescent="0.75">
      <c r="A5500" t="s">
        <v>24262</v>
      </c>
      <c r="B5500" t="s">
        <v>14607</v>
      </c>
      <c r="C5500" t="s">
        <v>14608</v>
      </c>
      <c r="D5500" t="s">
        <v>14609</v>
      </c>
      <c r="E5500" t="s">
        <v>16610</v>
      </c>
      <c r="F5500">
        <v>1</v>
      </c>
      <c r="G5500">
        <v>4030985</v>
      </c>
      <c r="H5500" t="s">
        <v>24263</v>
      </c>
      <c r="J5500" s="54" t="s">
        <v>6052</v>
      </c>
      <c r="K5500" s="54">
        <v>0</v>
      </c>
      <c r="L5500" s="22" t="s">
        <v>144</v>
      </c>
      <c r="M5500" s="22" t="s">
        <v>37265</v>
      </c>
    </row>
    <row r="5501" spans="1:13" x14ac:dyDescent="0.75">
      <c r="A5501" t="s">
        <v>14606</v>
      </c>
      <c r="B5501" t="s">
        <v>14607</v>
      </c>
      <c r="C5501" t="s">
        <v>14608</v>
      </c>
      <c r="D5501" t="s">
        <v>14609</v>
      </c>
      <c r="E5501" t="s">
        <v>14610</v>
      </c>
      <c r="F5501">
        <v>48</v>
      </c>
      <c r="G5501">
        <v>3830945</v>
      </c>
      <c r="H5501" t="s">
        <v>14611</v>
      </c>
      <c r="J5501" s="54" t="s">
        <v>6052</v>
      </c>
      <c r="K5501" s="54">
        <v>0</v>
      </c>
      <c r="L5501" s="22" t="s">
        <v>144</v>
      </c>
      <c r="M5501" s="22" t="s">
        <v>37265</v>
      </c>
    </row>
    <row r="5502" spans="1:13" x14ac:dyDescent="0.75">
      <c r="A5502" t="s">
        <v>15281</v>
      </c>
      <c r="B5502" t="s">
        <v>14607</v>
      </c>
      <c r="C5502" t="s">
        <v>14608</v>
      </c>
      <c r="D5502" t="s">
        <v>14609</v>
      </c>
      <c r="E5502" t="s">
        <v>14610</v>
      </c>
      <c r="F5502">
        <v>33</v>
      </c>
      <c r="G5502">
        <v>3835611</v>
      </c>
      <c r="H5502" t="s">
        <v>15282</v>
      </c>
      <c r="J5502" s="54" t="s">
        <v>6052</v>
      </c>
      <c r="K5502" s="54">
        <v>0</v>
      </c>
      <c r="L5502" s="22" t="s">
        <v>144</v>
      </c>
      <c r="M5502" s="22" t="s">
        <v>37265</v>
      </c>
    </row>
    <row r="5503" spans="1:13" x14ac:dyDescent="0.75">
      <c r="A5503" t="s">
        <v>19726</v>
      </c>
      <c r="B5503" t="s">
        <v>14607</v>
      </c>
      <c r="C5503" t="s">
        <v>14608</v>
      </c>
      <c r="D5503" t="s">
        <v>14609</v>
      </c>
      <c r="E5503" t="s">
        <v>14610</v>
      </c>
      <c r="F5503">
        <v>1</v>
      </c>
      <c r="G5503">
        <v>3858501</v>
      </c>
      <c r="H5503" t="s">
        <v>19727</v>
      </c>
      <c r="J5503" s="54" t="s">
        <v>6052</v>
      </c>
      <c r="K5503" s="54">
        <v>0</v>
      </c>
      <c r="L5503" s="22" t="s">
        <v>144</v>
      </c>
      <c r="M5503" s="22" t="s">
        <v>37265</v>
      </c>
    </row>
    <row r="5504" spans="1:13" x14ac:dyDescent="0.75">
      <c r="A5504" t="s">
        <v>24259</v>
      </c>
      <c r="B5504" t="s">
        <v>14607</v>
      </c>
      <c r="C5504" t="s">
        <v>14608</v>
      </c>
      <c r="D5504" t="s">
        <v>14609</v>
      </c>
      <c r="E5504" t="s">
        <v>24260</v>
      </c>
      <c r="F5504">
        <v>1</v>
      </c>
      <c r="G5504">
        <v>3940444</v>
      </c>
      <c r="H5504" t="s">
        <v>24261</v>
      </c>
      <c r="J5504" s="54" t="s">
        <v>6052</v>
      </c>
      <c r="K5504" s="54">
        <v>0</v>
      </c>
      <c r="L5504" s="22" t="s">
        <v>144</v>
      </c>
      <c r="M5504" s="22" t="s">
        <v>37265</v>
      </c>
    </row>
    <row r="5505" spans="1:13" x14ac:dyDescent="0.75">
      <c r="A5505" t="s">
        <v>29716</v>
      </c>
      <c r="B5505" t="s">
        <v>14607</v>
      </c>
      <c r="C5505" t="s">
        <v>14608</v>
      </c>
      <c r="D5505" t="s">
        <v>14609</v>
      </c>
      <c r="E5505" t="s">
        <v>29717</v>
      </c>
      <c r="F5505">
        <v>66</v>
      </c>
      <c r="G5505">
        <v>4034248</v>
      </c>
      <c r="H5505" t="s">
        <v>29718</v>
      </c>
      <c r="J5505" s="54" t="s">
        <v>6052</v>
      </c>
      <c r="K5505" s="54">
        <v>0</v>
      </c>
      <c r="L5505" s="22" t="s">
        <v>144</v>
      </c>
      <c r="M5505" s="22" t="s">
        <v>37265</v>
      </c>
    </row>
    <row r="5506" spans="1:13" x14ac:dyDescent="0.75">
      <c r="A5506" t="s">
        <v>19403</v>
      </c>
      <c r="B5506" t="s">
        <v>7422</v>
      </c>
      <c r="C5506" t="s">
        <v>6564</v>
      </c>
      <c r="D5506" t="s">
        <v>7423</v>
      </c>
      <c r="E5506" t="s">
        <v>19404</v>
      </c>
      <c r="F5506">
        <v>69</v>
      </c>
      <c r="G5506">
        <v>2842649</v>
      </c>
      <c r="H5506" t="s">
        <v>19405</v>
      </c>
      <c r="J5506" s="54" t="s">
        <v>6052</v>
      </c>
      <c r="K5506" s="54">
        <v>0</v>
      </c>
      <c r="L5506" s="22" t="s">
        <v>104</v>
      </c>
      <c r="M5506" s="22" t="s">
        <v>37268</v>
      </c>
    </row>
    <row r="5507" spans="1:13" x14ac:dyDescent="0.75">
      <c r="A5507" t="s">
        <v>19397</v>
      </c>
      <c r="B5507" t="s">
        <v>7422</v>
      </c>
      <c r="C5507" t="s">
        <v>6564</v>
      </c>
      <c r="D5507" t="s">
        <v>7423</v>
      </c>
      <c r="E5507" t="s">
        <v>19398</v>
      </c>
      <c r="F5507">
        <v>215</v>
      </c>
      <c r="G5507">
        <v>2420300</v>
      </c>
      <c r="H5507" t="s">
        <v>19399</v>
      </c>
      <c r="J5507" s="54" t="s">
        <v>6052</v>
      </c>
      <c r="K5507" s="54">
        <v>0</v>
      </c>
      <c r="L5507" s="22" t="s">
        <v>104</v>
      </c>
      <c r="M5507" s="22" t="s">
        <v>37268</v>
      </c>
    </row>
    <row r="5508" spans="1:13" x14ac:dyDescent="0.75">
      <c r="A5508" t="s">
        <v>19394</v>
      </c>
      <c r="B5508" t="s">
        <v>7422</v>
      </c>
      <c r="C5508" t="s">
        <v>6564</v>
      </c>
      <c r="D5508" t="s">
        <v>7423</v>
      </c>
      <c r="E5508" t="s">
        <v>19395</v>
      </c>
      <c r="F5508">
        <v>242</v>
      </c>
      <c r="G5508">
        <v>2469994</v>
      </c>
      <c r="H5508" t="s">
        <v>19396</v>
      </c>
      <c r="J5508" s="54" t="s">
        <v>6052</v>
      </c>
      <c r="K5508" s="54">
        <v>0</v>
      </c>
      <c r="L5508" s="22" t="s">
        <v>104</v>
      </c>
      <c r="M5508" s="22" t="s">
        <v>37268</v>
      </c>
    </row>
    <row r="5509" spans="1:13" x14ac:dyDescent="0.75">
      <c r="A5509" t="s">
        <v>19391</v>
      </c>
      <c r="B5509" t="s">
        <v>7422</v>
      </c>
      <c r="C5509" t="s">
        <v>6564</v>
      </c>
      <c r="D5509" t="s">
        <v>7423</v>
      </c>
      <c r="E5509" t="s">
        <v>19392</v>
      </c>
      <c r="F5509">
        <v>204</v>
      </c>
      <c r="G5509">
        <v>2665629</v>
      </c>
      <c r="H5509" t="s">
        <v>19393</v>
      </c>
      <c r="J5509" s="54" t="s">
        <v>6052</v>
      </c>
      <c r="K5509" s="54">
        <v>0</v>
      </c>
      <c r="L5509" s="22" t="s">
        <v>104</v>
      </c>
      <c r="M5509" s="22" t="s">
        <v>37268</v>
      </c>
    </row>
    <row r="5510" spans="1:13" x14ac:dyDescent="0.75">
      <c r="A5510" t="s">
        <v>19388</v>
      </c>
      <c r="B5510" t="s">
        <v>7422</v>
      </c>
      <c r="C5510" t="s">
        <v>6564</v>
      </c>
      <c r="D5510" t="s">
        <v>7423</v>
      </c>
      <c r="E5510" t="s">
        <v>19389</v>
      </c>
      <c r="F5510">
        <v>175</v>
      </c>
      <c r="G5510">
        <v>2979517</v>
      </c>
      <c r="H5510" t="s">
        <v>19390</v>
      </c>
      <c r="J5510" s="54" t="s">
        <v>6052</v>
      </c>
      <c r="K5510" s="54">
        <v>0</v>
      </c>
      <c r="L5510" s="22" t="s">
        <v>104</v>
      </c>
      <c r="M5510" s="22" t="s">
        <v>37268</v>
      </c>
    </row>
    <row r="5511" spans="1:13" x14ac:dyDescent="0.75">
      <c r="A5511" t="s">
        <v>19382</v>
      </c>
      <c r="B5511" t="s">
        <v>7422</v>
      </c>
      <c r="C5511" t="s">
        <v>6564</v>
      </c>
      <c r="D5511" t="s">
        <v>7423</v>
      </c>
      <c r="E5511" t="s">
        <v>19383</v>
      </c>
      <c r="F5511">
        <v>278</v>
      </c>
      <c r="G5511">
        <v>2410886</v>
      </c>
      <c r="H5511" t="s">
        <v>19384</v>
      </c>
      <c r="J5511" s="54" t="s">
        <v>6052</v>
      </c>
      <c r="K5511" s="54">
        <v>0</v>
      </c>
      <c r="L5511" s="22" t="s">
        <v>104</v>
      </c>
      <c r="M5511" s="22" t="s">
        <v>37268</v>
      </c>
    </row>
    <row r="5512" spans="1:13" x14ac:dyDescent="0.75">
      <c r="A5512" t="s">
        <v>19385</v>
      </c>
      <c r="B5512" t="s">
        <v>7422</v>
      </c>
      <c r="C5512" t="s">
        <v>6564</v>
      </c>
      <c r="D5512" t="s">
        <v>7423</v>
      </c>
      <c r="E5512" t="s">
        <v>19386</v>
      </c>
      <c r="F5512">
        <v>76</v>
      </c>
      <c r="G5512">
        <v>2700690</v>
      </c>
      <c r="H5512" t="s">
        <v>19387</v>
      </c>
      <c r="J5512" s="54" t="s">
        <v>6052</v>
      </c>
      <c r="K5512" s="54">
        <v>0</v>
      </c>
      <c r="L5512" s="22" t="s">
        <v>104</v>
      </c>
      <c r="M5512" s="22" t="s">
        <v>37268</v>
      </c>
    </row>
    <row r="5513" spans="1:13" x14ac:dyDescent="0.75">
      <c r="A5513" t="s">
        <v>19379</v>
      </c>
      <c r="B5513" t="s">
        <v>7422</v>
      </c>
      <c r="C5513" t="s">
        <v>6564</v>
      </c>
      <c r="D5513" t="s">
        <v>7423</v>
      </c>
      <c r="E5513" t="s">
        <v>19380</v>
      </c>
      <c r="F5513">
        <v>217</v>
      </c>
      <c r="G5513">
        <v>2528043</v>
      </c>
      <c r="H5513" t="s">
        <v>19381</v>
      </c>
      <c r="J5513" s="54" t="s">
        <v>6052</v>
      </c>
      <c r="K5513" s="54">
        <v>0</v>
      </c>
      <c r="L5513" s="22" t="s">
        <v>104</v>
      </c>
      <c r="M5513" s="22" t="s">
        <v>37268</v>
      </c>
    </row>
    <row r="5514" spans="1:13" x14ac:dyDescent="0.75">
      <c r="A5514" t="s">
        <v>19376</v>
      </c>
      <c r="B5514" t="s">
        <v>7422</v>
      </c>
      <c r="C5514" t="s">
        <v>6564</v>
      </c>
      <c r="D5514" t="s">
        <v>7423</v>
      </c>
      <c r="E5514" t="s">
        <v>19377</v>
      </c>
      <c r="F5514">
        <v>136</v>
      </c>
      <c r="G5514">
        <v>2781272</v>
      </c>
      <c r="H5514" t="s">
        <v>19378</v>
      </c>
      <c r="J5514" s="54" t="s">
        <v>6052</v>
      </c>
      <c r="K5514" s="54">
        <v>0</v>
      </c>
      <c r="L5514" s="22" t="s">
        <v>104</v>
      </c>
      <c r="M5514" s="22" t="s">
        <v>37268</v>
      </c>
    </row>
    <row r="5515" spans="1:13" x14ac:dyDescent="0.75">
      <c r="A5515" t="s">
        <v>19373</v>
      </c>
      <c r="B5515" t="s">
        <v>7422</v>
      </c>
      <c r="C5515" t="s">
        <v>6564</v>
      </c>
      <c r="D5515" t="s">
        <v>7423</v>
      </c>
      <c r="E5515" t="s">
        <v>19374</v>
      </c>
      <c r="F5515">
        <v>269</v>
      </c>
      <c r="G5515">
        <v>2560367</v>
      </c>
      <c r="H5515" t="s">
        <v>19375</v>
      </c>
      <c r="J5515" s="54" t="s">
        <v>6052</v>
      </c>
      <c r="K5515" s="54">
        <v>0</v>
      </c>
      <c r="L5515" s="22" t="s">
        <v>104</v>
      </c>
      <c r="M5515" s="22" t="s">
        <v>37268</v>
      </c>
    </row>
    <row r="5516" spans="1:13" x14ac:dyDescent="0.75">
      <c r="A5516" t="s">
        <v>28268</v>
      </c>
      <c r="B5516" t="s">
        <v>7422</v>
      </c>
      <c r="C5516" t="s">
        <v>6564</v>
      </c>
      <c r="D5516" t="s">
        <v>7423</v>
      </c>
      <c r="E5516" t="s">
        <v>28269</v>
      </c>
      <c r="F5516">
        <v>254</v>
      </c>
      <c r="G5516">
        <v>3274581</v>
      </c>
      <c r="H5516" t="s">
        <v>28270</v>
      </c>
      <c r="J5516" s="54" t="s">
        <v>6052</v>
      </c>
      <c r="K5516" s="54">
        <v>0</v>
      </c>
      <c r="L5516" s="22" t="s">
        <v>104</v>
      </c>
      <c r="M5516" s="22" t="s">
        <v>37268</v>
      </c>
    </row>
    <row r="5517" spans="1:13" x14ac:dyDescent="0.75">
      <c r="A5517" t="s">
        <v>21264</v>
      </c>
      <c r="B5517" t="s">
        <v>7422</v>
      </c>
      <c r="C5517" t="s">
        <v>6564</v>
      </c>
      <c r="D5517" t="s">
        <v>7423</v>
      </c>
      <c r="E5517" t="s">
        <v>21265</v>
      </c>
      <c r="F5517">
        <v>53</v>
      </c>
      <c r="G5517">
        <v>3438557</v>
      </c>
      <c r="H5517" t="s">
        <v>21266</v>
      </c>
      <c r="J5517" s="54" t="s">
        <v>6052</v>
      </c>
      <c r="K5517" s="54">
        <v>0</v>
      </c>
      <c r="L5517" s="22" t="s">
        <v>104</v>
      </c>
      <c r="M5517" s="22" t="s">
        <v>37268</v>
      </c>
    </row>
    <row r="5518" spans="1:13" x14ac:dyDescent="0.75">
      <c r="A5518" t="s">
        <v>21303</v>
      </c>
      <c r="B5518" t="s">
        <v>7422</v>
      </c>
      <c r="C5518" t="s">
        <v>6564</v>
      </c>
      <c r="D5518" t="s">
        <v>7423</v>
      </c>
      <c r="E5518" t="s">
        <v>21304</v>
      </c>
      <c r="F5518">
        <v>46</v>
      </c>
      <c r="G5518">
        <v>3275508</v>
      </c>
      <c r="H5518" t="s">
        <v>21305</v>
      </c>
      <c r="J5518" s="54" t="s">
        <v>6052</v>
      </c>
      <c r="K5518" s="54">
        <v>0</v>
      </c>
      <c r="L5518" s="22" t="s">
        <v>104</v>
      </c>
      <c r="M5518" s="22" t="s">
        <v>37268</v>
      </c>
    </row>
    <row r="5519" spans="1:13" x14ac:dyDescent="0.75">
      <c r="A5519" t="s">
        <v>21293</v>
      </c>
      <c r="B5519" t="s">
        <v>7422</v>
      </c>
      <c r="C5519" t="s">
        <v>6564</v>
      </c>
      <c r="D5519" t="s">
        <v>7423</v>
      </c>
      <c r="E5519" t="s">
        <v>21294</v>
      </c>
      <c r="F5519">
        <v>67</v>
      </c>
      <c r="G5519">
        <v>3402911</v>
      </c>
      <c r="H5519" t="s">
        <v>21295</v>
      </c>
      <c r="J5519" s="54" t="s">
        <v>6052</v>
      </c>
      <c r="K5519" s="54">
        <v>0</v>
      </c>
      <c r="L5519" s="22" t="s">
        <v>104</v>
      </c>
      <c r="M5519" s="22" t="s">
        <v>37268</v>
      </c>
    </row>
    <row r="5520" spans="1:13" x14ac:dyDescent="0.75">
      <c r="A5520" t="s">
        <v>21308</v>
      </c>
      <c r="B5520" t="s">
        <v>7422</v>
      </c>
      <c r="C5520" t="s">
        <v>6564</v>
      </c>
      <c r="D5520" t="s">
        <v>7423</v>
      </c>
      <c r="E5520" t="s">
        <v>21309</v>
      </c>
      <c r="F5520">
        <v>50</v>
      </c>
      <c r="G5520">
        <v>3273498</v>
      </c>
      <c r="H5520" t="s">
        <v>21310</v>
      </c>
      <c r="J5520" s="54" t="s">
        <v>6052</v>
      </c>
      <c r="K5520" s="54">
        <v>0</v>
      </c>
      <c r="L5520" s="22" t="s">
        <v>104</v>
      </c>
      <c r="M5520" s="22" t="s">
        <v>37268</v>
      </c>
    </row>
    <row r="5521" spans="1:13" x14ac:dyDescent="0.75">
      <c r="A5521" t="s">
        <v>29398</v>
      </c>
      <c r="B5521" t="s">
        <v>7422</v>
      </c>
      <c r="C5521" t="s">
        <v>6564</v>
      </c>
      <c r="D5521" t="s">
        <v>7423</v>
      </c>
      <c r="E5521" t="s">
        <v>29399</v>
      </c>
      <c r="F5521">
        <v>245</v>
      </c>
      <c r="G5521">
        <v>2474248</v>
      </c>
      <c r="H5521" t="s">
        <v>29400</v>
      </c>
      <c r="J5521" s="54" t="s">
        <v>6052</v>
      </c>
      <c r="K5521" s="54">
        <v>0</v>
      </c>
      <c r="L5521" s="22" t="s">
        <v>104</v>
      </c>
      <c r="M5521" s="22" t="s">
        <v>37268</v>
      </c>
    </row>
    <row r="5522" spans="1:13" x14ac:dyDescent="0.75">
      <c r="A5522" t="s">
        <v>9577</v>
      </c>
      <c r="B5522" t="s">
        <v>7362</v>
      </c>
      <c r="C5522" t="s">
        <v>6623</v>
      </c>
      <c r="D5522" t="s">
        <v>7363</v>
      </c>
      <c r="E5522" t="s">
        <v>9578</v>
      </c>
      <c r="F5522">
        <v>36</v>
      </c>
      <c r="G5522">
        <v>2350599</v>
      </c>
      <c r="H5522" t="s">
        <v>9579</v>
      </c>
      <c r="J5522" s="54" t="s">
        <v>6052</v>
      </c>
      <c r="K5522" s="54">
        <v>0</v>
      </c>
      <c r="L5522" s="22" t="s">
        <v>104</v>
      </c>
      <c r="M5522" s="22" t="s">
        <v>37275</v>
      </c>
    </row>
    <row r="5523" spans="1:13" x14ac:dyDescent="0.75">
      <c r="A5523" t="s">
        <v>29922</v>
      </c>
      <c r="B5523" t="s">
        <v>7362</v>
      </c>
      <c r="C5523" t="s">
        <v>6623</v>
      </c>
      <c r="D5523" t="s">
        <v>7363</v>
      </c>
      <c r="E5523" t="s">
        <v>29923</v>
      </c>
      <c r="F5523">
        <v>115</v>
      </c>
      <c r="G5523">
        <v>2242099</v>
      </c>
      <c r="H5523" t="s">
        <v>29924</v>
      </c>
      <c r="J5523" s="54" t="s">
        <v>6052</v>
      </c>
      <c r="K5523" s="54">
        <v>0</v>
      </c>
      <c r="L5523" s="22" t="s">
        <v>104</v>
      </c>
      <c r="M5523" s="22" t="s">
        <v>37275</v>
      </c>
    </row>
    <row r="5524" spans="1:13" x14ac:dyDescent="0.75">
      <c r="A5524" t="s">
        <v>28791</v>
      </c>
      <c r="B5524" t="s">
        <v>7362</v>
      </c>
      <c r="C5524" t="s">
        <v>6623</v>
      </c>
      <c r="D5524" t="s">
        <v>7363</v>
      </c>
      <c r="E5524" t="s">
        <v>28792</v>
      </c>
      <c r="F5524">
        <v>117</v>
      </c>
      <c r="G5524">
        <v>2221702</v>
      </c>
      <c r="H5524" t="s">
        <v>28793</v>
      </c>
      <c r="J5524" s="54" t="s">
        <v>6052</v>
      </c>
      <c r="K5524" s="54">
        <v>0</v>
      </c>
      <c r="L5524" s="22" t="s">
        <v>104</v>
      </c>
      <c r="M5524" s="22" t="s">
        <v>37275</v>
      </c>
    </row>
    <row r="5525" spans="1:13" x14ac:dyDescent="0.75">
      <c r="A5525" t="s">
        <v>7458</v>
      </c>
      <c r="B5525" t="s">
        <v>7362</v>
      </c>
      <c r="C5525" t="s">
        <v>6623</v>
      </c>
      <c r="D5525" t="s">
        <v>7363</v>
      </c>
      <c r="E5525" t="s">
        <v>7459</v>
      </c>
      <c r="F5525">
        <v>66</v>
      </c>
      <c r="G5525">
        <v>2210307</v>
      </c>
      <c r="H5525" t="s">
        <v>7460</v>
      </c>
      <c r="J5525" s="54" t="s">
        <v>6052</v>
      </c>
      <c r="K5525" s="54">
        <v>0</v>
      </c>
      <c r="L5525" s="22" t="s">
        <v>104</v>
      </c>
      <c r="M5525" s="22" t="s">
        <v>37275</v>
      </c>
    </row>
    <row r="5526" spans="1:13" x14ac:dyDescent="0.75">
      <c r="A5526" t="s">
        <v>7361</v>
      </c>
      <c r="B5526" t="s">
        <v>7362</v>
      </c>
      <c r="C5526" t="s">
        <v>6623</v>
      </c>
      <c r="D5526" t="s">
        <v>7363</v>
      </c>
      <c r="E5526" t="s">
        <v>7364</v>
      </c>
      <c r="F5526">
        <v>15</v>
      </c>
      <c r="G5526">
        <v>2475066</v>
      </c>
      <c r="H5526" t="s">
        <v>7365</v>
      </c>
      <c r="J5526" s="54" t="s">
        <v>6052</v>
      </c>
      <c r="K5526" s="54">
        <v>0</v>
      </c>
      <c r="L5526" s="22" t="s">
        <v>104</v>
      </c>
      <c r="M5526" s="22" t="s">
        <v>37275</v>
      </c>
    </row>
    <row r="5527" spans="1:13" x14ac:dyDescent="0.75">
      <c r="A5527" t="s">
        <v>8773</v>
      </c>
      <c r="B5527" t="s">
        <v>7362</v>
      </c>
      <c r="C5527" t="s">
        <v>6623</v>
      </c>
      <c r="D5527" t="s">
        <v>7363</v>
      </c>
      <c r="E5527" t="s">
        <v>8774</v>
      </c>
      <c r="F5527">
        <v>49</v>
      </c>
      <c r="G5527">
        <v>2336249</v>
      </c>
      <c r="H5527" t="s">
        <v>8775</v>
      </c>
      <c r="J5527" s="54" t="s">
        <v>6052</v>
      </c>
      <c r="K5527" s="54">
        <v>0</v>
      </c>
      <c r="L5527" s="22" t="s">
        <v>104</v>
      </c>
      <c r="M5527" s="22" t="s">
        <v>37275</v>
      </c>
    </row>
    <row r="5528" spans="1:13" x14ac:dyDescent="0.75">
      <c r="A5528" t="s">
        <v>28484</v>
      </c>
      <c r="B5528" t="s">
        <v>7362</v>
      </c>
      <c r="C5528" t="s">
        <v>6623</v>
      </c>
      <c r="D5528" t="s">
        <v>7363</v>
      </c>
      <c r="E5528" t="s">
        <v>28485</v>
      </c>
      <c r="F5528">
        <v>69</v>
      </c>
      <c r="G5528">
        <v>2160973</v>
      </c>
      <c r="H5528" t="s">
        <v>28486</v>
      </c>
      <c r="J5528" s="54" t="s">
        <v>6052</v>
      </c>
      <c r="K5528" s="54">
        <v>0</v>
      </c>
      <c r="L5528" s="22" t="s">
        <v>104</v>
      </c>
      <c r="M5528" s="22" t="s">
        <v>37275</v>
      </c>
    </row>
    <row r="5529" spans="1:13" x14ac:dyDescent="0.75">
      <c r="A5529" t="s">
        <v>30566</v>
      </c>
      <c r="B5529" t="s">
        <v>7362</v>
      </c>
      <c r="C5529" t="s">
        <v>6623</v>
      </c>
      <c r="D5529" t="s">
        <v>7363</v>
      </c>
      <c r="E5529" t="s">
        <v>30567</v>
      </c>
      <c r="F5529">
        <v>177</v>
      </c>
      <c r="G5529">
        <v>1991620</v>
      </c>
      <c r="H5529" t="s">
        <v>30568</v>
      </c>
      <c r="J5529" s="54" t="s">
        <v>6052</v>
      </c>
      <c r="K5529" s="54">
        <v>0</v>
      </c>
      <c r="L5529" s="22" t="s">
        <v>104</v>
      </c>
      <c r="M5529" s="22" t="s">
        <v>37275</v>
      </c>
    </row>
    <row r="5530" spans="1:13" x14ac:dyDescent="0.75">
      <c r="A5530" t="s">
        <v>28972</v>
      </c>
      <c r="B5530" t="s">
        <v>7362</v>
      </c>
      <c r="C5530" t="s">
        <v>6623</v>
      </c>
      <c r="D5530" t="s">
        <v>7363</v>
      </c>
      <c r="E5530" t="s">
        <v>28973</v>
      </c>
      <c r="F5530">
        <v>42</v>
      </c>
      <c r="G5530">
        <v>2301587</v>
      </c>
      <c r="H5530" t="s">
        <v>28974</v>
      </c>
      <c r="J5530" s="54" t="s">
        <v>6052</v>
      </c>
      <c r="K5530" s="54">
        <v>0</v>
      </c>
      <c r="L5530" s="22" t="s">
        <v>104</v>
      </c>
      <c r="M5530" s="22" t="s">
        <v>37275</v>
      </c>
    </row>
    <row r="5531" spans="1:13" x14ac:dyDescent="0.75">
      <c r="A5531" t="s">
        <v>26474</v>
      </c>
      <c r="B5531" t="s">
        <v>26475</v>
      </c>
      <c r="C5531" t="s">
        <v>6623</v>
      </c>
      <c r="D5531" t="s">
        <v>26476</v>
      </c>
      <c r="E5531" t="s">
        <v>26477</v>
      </c>
      <c r="F5531">
        <v>1</v>
      </c>
      <c r="G5531">
        <v>2391311</v>
      </c>
      <c r="H5531" t="s">
        <v>26478</v>
      </c>
      <c r="J5531" s="54" t="s">
        <v>6052</v>
      </c>
      <c r="K5531" s="54">
        <v>0</v>
      </c>
      <c r="L5531" s="22" t="s">
        <v>104</v>
      </c>
      <c r="M5531" s="22" t="s">
        <v>37271</v>
      </c>
    </row>
    <row r="5532" spans="1:13" x14ac:dyDescent="0.75">
      <c r="A5532" t="s">
        <v>6621</v>
      </c>
      <c r="B5532" t="s">
        <v>6622</v>
      </c>
      <c r="C5532" t="s">
        <v>6623</v>
      </c>
      <c r="D5532" t="s">
        <v>6624</v>
      </c>
      <c r="E5532" t="s">
        <v>6625</v>
      </c>
      <c r="F5532">
        <v>56</v>
      </c>
      <c r="G5532">
        <v>2471116</v>
      </c>
      <c r="H5532" t="s">
        <v>6626</v>
      </c>
      <c r="J5532" s="54" t="s">
        <v>6052</v>
      </c>
      <c r="K5532" s="54">
        <v>0</v>
      </c>
      <c r="L5532" s="22" t="s">
        <v>104</v>
      </c>
      <c r="M5532" s="22" t="s">
        <v>37269</v>
      </c>
    </row>
    <row r="5533" spans="1:13" x14ac:dyDescent="0.75">
      <c r="A5533" t="s">
        <v>11947</v>
      </c>
      <c r="B5533" t="s">
        <v>6622</v>
      </c>
      <c r="C5533" t="s">
        <v>6623</v>
      </c>
      <c r="D5533" t="s">
        <v>6624</v>
      </c>
      <c r="E5533" t="s">
        <v>11948</v>
      </c>
      <c r="F5533">
        <v>2</v>
      </c>
      <c r="G5533">
        <v>2458072</v>
      </c>
      <c r="H5533" t="s">
        <v>11949</v>
      </c>
      <c r="J5533" s="54" t="s">
        <v>6052</v>
      </c>
      <c r="K5533" s="54">
        <v>0</v>
      </c>
      <c r="L5533" s="22" t="s">
        <v>104</v>
      </c>
      <c r="M5533" s="22" t="s">
        <v>37269</v>
      </c>
    </row>
    <row r="5534" spans="1:13" x14ac:dyDescent="0.75">
      <c r="A5534" t="s">
        <v>11382</v>
      </c>
      <c r="B5534" t="s">
        <v>6622</v>
      </c>
      <c r="C5534" t="s">
        <v>6623</v>
      </c>
      <c r="D5534" t="s">
        <v>6624</v>
      </c>
      <c r="E5534" t="s">
        <v>11383</v>
      </c>
      <c r="F5534">
        <v>1</v>
      </c>
      <c r="G5534">
        <v>2284135</v>
      </c>
      <c r="H5534" t="s">
        <v>11384</v>
      </c>
      <c r="J5534" s="54" t="s">
        <v>6052</v>
      </c>
      <c r="K5534" s="54">
        <v>0</v>
      </c>
      <c r="L5534" s="22" t="s">
        <v>104</v>
      </c>
      <c r="M5534" s="22" t="s">
        <v>37269</v>
      </c>
    </row>
    <row r="5535" spans="1:13" x14ac:dyDescent="0.75">
      <c r="A5535" t="s">
        <v>27289</v>
      </c>
      <c r="B5535" t="s">
        <v>6622</v>
      </c>
      <c r="C5535" t="s">
        <v>6623</v>
      </c>
      <c r="D5535" t="s">
        <v>6624</v>
      </c>
      <c r="E5535" t="s">
        <v>27290</v>
      </c>
      <c r="F5535">
        <v>19</v>
      </c>
      <c r="G5535">
        <v>2403152</v>
      </c>
      <c r="H5535" t="s">
        <v>27291</v>
      </c>
      <c r="J5535" s="54" t="s">
        <v>6052</v>
      </c>
      <c r="K5535" s="54">
        <v>0</v>
      </c>
      <c r="L5535" s="22" t="s">
        <v>104</v>
      </c>
      <c r="M5535" s="22" t="s">
        <v>37269</v>
      </c>
    </row>
    <row r="5536" spans="1:13" x14ac:dyDescent="0.75">
      <c r="A5536" t="s">
        <v>30590</v>
      </c>
      <c r="B5536" t="s">
        <v>6622</v>
      </c>
      <c r="C5536" t="s">
        <v>6623</v>
      </c>
      <c r="D5536" t="s">
        <v>6624</v>
      </c>
      <c r="E5536" t="s">
        <v>30591</v>
      </c>
      <c r="F5536">
        <v>54</v>
      </c>
      <c r="G5536">
        <v>2631352</v>
      </c>
      <c r="H5536" t="s">
        <v>30592</v>
      </c>
      <c r="J5536" s="54" t="s">
        <v>6052</v>
      </c>
      <c r="K5536" s="54">
        <v>0</v>
      </c>
      <c r="L5536" s="22" t="s">
        <v>104</v>
      </c>
      <c r="M5536" s="22" t="s">
        <v>37269</v>
      </c>
    </row>
    <row r="5537" spans="1:13" x14ac:dyDescent="0.75">
      <c r="A5537" t="s">
        <v>28903</v>
      </c>
      <c r="B5537" t="s">
        <v>6622</v>
      </c>
      <c r="C5537" t="s">
        <v>6623</v>
      </c>
      <c r="D5537" t="s">
        <v>6624</v>
      </c>
      <c r="E5537" t="s">
        <v>28904</v>
      </c>
      <c r="F5537">
        <v>83</v>
      </c>
      <c r="G5537">
        <v>2494191</v>
      </c>
      <c r="H5537" t="s">
        <v>28905</v>
      </c>
      <c r="J5537" s="54" t="s">
        <v>6052</v>
      </c>
      <c r="K5537" s="54">
        <v>0</v>
      </c>
      <c r="L5537" s="22" t="s">
        <v>104</v>
      </c>
      <c r="M5537" s="22" t="s">
        <v>37269</v>
      </c>
    </row>
    <row r="5538" spans="1:13" x14ac:dyDescent="0.75">
      <c r="A5538" t="s">
        <v>6937</v>
      </c>
      <c r="B5538" t="s">
        <v>6938</v>
      </c>
      <c r="C5538" t="s">
        <v>6623</v>
      </c>
      <c r="D5538" t="s">
        <v>6939</v>
      </c>
      <c r="E5538" t="s">
        <v>6940</v>
      </c>
      <c r="F5538">
        <v>33</v>
      </c>
      <c r="G5538">
        <v>2166063</v>
      </c>
      <c r="H5538" t="s">
        <v>6941</v>
      </c>
      <c r="J5538" s="54" t="s">
        <v>6052</v>
      </c>
      <c r="K5538" s="54">
        <v>0</v>
      </c>
      <c r="L5538" s="22" t="s">
        <v>104</v>
      </c>
      <c r="M5538" s="22" t="s">
        <v>37272</v>
      </c>
    </row>
    <row r="5539" spans="1:13" x14ac:dyDescent="0.75">
      <c r="A5539" t="s">
        <v>30575</v>
      </c>
      <c r="B5539" t="s">
        <v>6938</v>
      </c>
      <c r="C5539" t="s">
        <v>6623</v>
      </c>
      <c r="D5539" t="s">
        <v>6939</v>
      </c>
      <c r="E5539" t="s">
        <v>30576</v>
      </c>
      <c r="F5539">
        <v>17</v>
      </c>
      <c r="G5539">
        <v>2234197</v>
      </c>
      <c r="H5539" t="s">
        <v>30577</v>
      </c>
      <c r="J5539" s="54" t="s">
        <v>6052</v>
      </c>
      <c r="K5539" s="54">
        <v>0</v>
      </c>
      <c r="L5539" s="22" t="s">
        <v>104</v>
      </c>
      <c r="M5539" s="22" t="s">
        <v>37272</v>
      </c>
    </row>
    <row r="5540" spans="1:13" x14ac:dyDescent="0.75">
      <c r="A5540" t="s">
        <v>8301</v>
      </c>
      <c r="B5540" t="s">
        <v>8302</v>
      </c>
      <c r="C5540" t="s">
        <v>6623</v>
      </c>
      <c r="D5540" t="s">
        <v>8303</v>
      </c>
      <c r="E5540" t="s">
        <v>8304</v>
      </c>
      <c r="F5540">
        <v>46</v>
      </c>
      <c r="G5540">
        <v>2413634</v>
      </c>
      <c r="H5540" t="s">
        <v>8305</v>
      </c>
      <c r="J5540" s="54" t="s">
        <v>6052</v>
      </c>
      <c r="K5540" s="54">
        <v>0</v>
      </c>
      <c r="L5540" s="22" t="s">
        <v>104</v>
      </c>
      <c r="M5540" s="22" t="s">
        <v>37273</v>
      </c>
    </row>
    <row r="5541" spans="1:13" x14ac:dyDescent="0.75">
      <c r="A5541" t="s">
        <v>6914</v>
      </c>
      <c r="B5541" t="s">
        <v>6915</v>
      </c>
      <c r="C5541" t="s">
        <v>6623</v>
      </c>
      <c r="D5541" t="s">
        <v>6916</v>
      </c>
      <c r="E5541" t="s">
        <v>6917</v>
      </c>
      <c r="F5541">
        <v>56</v>
      </c>
      <c r="G5541">
        <v>2054993</v>
      </c>
      <c r="H5541" t="s">
        <v>6918</v>
      </c>
      <c r="J5541" s="54" t="s">
        <v>6052</v>
      </c>
      <c r="K5541" s="54">
        <v>0</v>
      </c>
      <c r="L5541" s="22" t="s">
        <v>104</v>
      </c>
      <c r="M5541" s="22" t="s">
        <v>37274</v>
      </c>
    </row>
    <row r="5542" spans="1:13" x14ac:dyDescent="0.75">
      <c r="A5542" t="s">
        <v>29931</v>
      </c>
      <c r="B5542" t="s">
        <v>6915</v>
      </c>
      <c r="C5542" t="s">
        <v>6623</v>
      </c>
      <c r="D5542" t="s">
        <v>6916</v>
      </c>
      <c r="E5542" t="s">
        <v>29932</v>
      </c>
      <c r="F5542">
        <v>31</v>
      </c>
      <c r="G5542">
        <v>2008779</v>
      </c>
      <c r="H5542" t="s">
        <v>29933</v>
      </c>
      <c r="J5542" s="54" t="s">
        <v>6052</v>
      </c>
      <c r="K5542" s="54">
        <v>0</v>
      </c>
      <c r="L5542" s="22" t="s">
        <v>104</v>
      </c>
      <c r="M5542" s="22" t="s">
        <v>37274</v>
      </c>
    </row>
    <row r="5543" spans="1:13" x14ac:dyDescent="0.75">
      <c r="A5543" t="s">
        <v>8309</v>
      </c>
      <c r="B5543" t="s">
        <v>6915</v>
      </c>
      <c r="C5543" t="s">
        <v>6623</v>
      </c>
      <c r="D5543" t="s">
        <v>6916</v>
      </c>
      <c r="E5543" t="s">
        <v>8310</v>
      </c>
      <c r="F5543">
        <v>26</v>
      </c>
      <c r="G5543">
        <v>2113402</v>
      </c>
      <c r="H5543" t="s">
        <v>8311</v>
      </c>
      <c r="J5543" s="54" t="s">
        <v>6052</v>
      </c>
      <c r="K5543" s="54">
        <v>0</v>
      </c>
      <c r="L5543" s="22" t="s">
        <v>104</v>
      </c>
      <c r="M5543" s="22" t="s">
        <v>37274</v>
      </c>
    </row>
    <row r="5544" spans="1:13" x14ac:dyDescent="0.75">
      <c r="A5544" t="s">
        <v>2436</v>
      </c>
      <c r="B5544" t="s">
        <v>2437</v>
      </c>
      <c r="C5544" t="s">
        <v>17208</v>
      </c>
      <c r="D5544" t="s">
        <v>17209</v>
      </c>
      <c r="E5544" t="s">
        <v>17210</v>
      </c>
      <c r="F5544">
        <v>79</v>
      </c>
      <c r="G5544">
        <v>5893322</v>
      </c>
      <c r="H5544" t="s">
        <v>17211</v>
      </c>
      <c r="J5544" s="54" t="s">
        <v>6052</v>
      </c>
      <c r="K5544" s="54">
        <v>0</v>
      </c>
      <c r="L5544" s="22" t="s">
        <v>144</v>
      </c>
      <c r="M5544" s="22" t="s">
        <v>2438</v>
      </c>
    </row>
    <row r="5545" spans="1:13" x14ac:dyDescent="0.75">
      <c r="A5545" t="s">
        <v>29184</v>
      </c>
      <c r="B5545" t="s">
        <v>6915</v>
      </c>
      <c r="C5545" t="s">
        <v>6623</v>
      </c>
      <c r="D5545" t="s">
        <v>6916</v>
      </c>
      <c r="E5545" t="s">
        <v>29185</v>
      </c>
      <c r="F5545">
        <v>205</v>
      </c>
      <c r="G5545">
        <v>1949206</v>
      </c>
      <c r="H5545" t="s">
        <v>29186</v>
      </c>
      <c r="J5545" s="54" t="s">
        <v>6052</v>
      </c>
      <c r="K5545" s="54">
        <v>0</v>
      </c>
      <c r="L5545" s="22" t="s">
        <v>104</v>
      </c>
      <c r="M5545" s="22" t="s">
        <v>37274</v>
      </c>
    </row>
    <row r="5546" spans="1:13" x14ac:dyDescent="0.75">
      <c r="A5546" t="s">
        <v>28880</v>
      </c>
      <c r="B5546" t="s">
        <v>6915</v>
      </c>
      <c r="C5546" t="s">
        <v>6623</v>
      </c>
      <c r="D5546" t="s">
        <v>6916</v>
      </c>
      <c r="E5546" t="s">
        <v>28881</v>
      </c>
      <c r="F5546">
        <v>18</v>
      </c>
      <c r="G5546">
        <v>1988923</v>
      </c>
      <c r="H5546" t="s">
        <v>28882</v>
      </c>
      <c r="J5546" s="54" t="s">
        <v>6052</v>
      </c>
      <c r="K5546" s="54">
        <v>0</v>
      </c>
      <c r="L5546" s="22" t="s">
        <v>104</v>
      </c>
      <c r="M5546" s="22" t="s">
        <v>37274</v>
      </c>
    </row>
    <row r="5547" spans="1:13" x14ac:dyDescent="0.75">
      <c r="A5547" t="s">
        <v>12367</v>
      </c>
      <c r="B5547" t="s">
        <v>12368</v>
      </c>
      <c r="C5547" t="s">
        <v>6623</v>
      </c>
      <c r="D5547" t="s">
        <v>12369</v>
      </c>
      <c r="E5547" t="s">
        <v>12370</v>
      </c>
      <c r="F5547">
        <v>142</v>
      </c>
      <c r="G5547">
        <v>2886041</v>
      </c>
      <c r="H5547" t="s">
        <v>12371</v>
      </c>
      <c r="J5547" s="54" t="s">
        <v>6052</v>
      </c>
      <c r="K5547" s="54">
        <v>0</v>
      </c>
      <c r="L5547" s="22" t="s">
        <v>104</v>
      </c>
      <c r="M5547" s="22" t="s">
        <v>37280</v>
      </c>
    </row>
    <row r="5548" spans="1:13" x14ac:dyDescent="0.75">
      <c r="A5548" t="s">
        <v>8946</v>
      </c>
      <c r="B5548" t="s">
        <v>8947</v>
      </c>
      <c r="C5548" t="s">
        <v>6623</v>
      </c>
      <c r="D5548" t="s">
        <v>8948</v>
      </c>
      <c r="E5548" t="s">
        <v>8949</v>
      </c>
      <c r="F5548">
        <v>10</v>
      </c>
      <c r="G5548">
        <v>2067540</v>
      </c>
      <c r="H5548" t="s">
        <v>8950</v>
      </c>
      <c r="J5548" s="54" t="s">
        <v>6052</v>
      </c>
      <c r="K5548" s="54">
        <v>0</v>
      </c>
      <c r="L5548" s="22" t="s">
        <v>104</v>
      </c>
      <c r="M5548" s="22" t="s">
        <v>37278</v>
      </c>
    </row>
    <row r="5549" spans="1:13" x14ac:dyDescent="0.75">
      <c r="A5549" t="s">
        <v>29107</v>
      </c>
      <c r="B5549" t="s">
        <v>8947</v>
      </c>
      <c r="C5549" t="s">
        <v>6623</v>
      </c>
      <c r="D5549" t="s">
        <v>8948</v>
      </c>
      <c r="E5549" t="s">
        <v>29108</v>
      </c>
      <c r="F5549">
        <v>196</v>
      </c>
      <c r="G5549">
        <v>2137020</v>
      </c>
      <c r="H5549" t="s">
        <v>29109</v>
      </c>
      <c r="J5549" s="54" t="s">
        <v>6052</v>
      </c>
      <c r="K5549" s="54">
        <v>0</v>
      </c>
      <c r="L5549" s="22" t="s">
        <v>104</v>
      </c>
      <c r="M5549" s="22" t="s">
        <v>37278</v>
      </c>
    </row>
    <row r="5550" spans="1:13" x14ac:dyDescent="0.75">
      <c r="A5550" t="s">
        <v>9798</v>
      </c>
      <c r="B5550" t="s">
        <v>9799</v>
      </c>
      <c r="C5550" t="s">
        <v>6623</v>
      </c>
      <c r="D5550" t="s">
        <v>9800</v>
      </c>
      <c r="E5550" t="s">
        <v>9801</v>
      </c>
      <c r="F5550">
        <v>111</v>
      </c>
      <c r="G5550">
        <v>2314792</v>
      </c>
      <c r="H5550" t="s">
        <v>9802</v>
      </c>
      <c r="J5550" s="54" t="s">
        <v>6052</v>
      </c>
      <c r="K5550" s="54">
        <v>0</v>
      </c>
      <c r="L5550" s="22" t="s">
        <v>104</v>
      </c>
      <c r="M5550" s="22" t="s">
        <v>37276</v>
      </c>
    </row>
    <row r="5551" spans="1:13" x14ac:dyDescent="0.75">
      <c r="A5551" t="s">
        <v>12547</v>
      </c>
      <c r="B5551" t="s">
        <v>12548</v>
      </c>
      <c r="C5551" t="s">
        <v>6623</v>
      </c>
      <c r="D5551" t="s">
        <v>12549</v>
      </c>
      <c r="E5551" t="s">
        <v>12550</v>
      </c>
      <c r="F5551">
        <v>2</v>
      </c>
      <c r="G5551">
        <v>2440121</v>
      </c>
      <c r="H5551" t="s">
        <v>12551</v>
      </c>
      <c r="J5551" s="54" t="s">
        <v>6052</v>
      </c>
      <c r="K5551" s="54">
        <v>0</v>
      </c>
      <c r="L5551" s="22" t="s">
        <v>104</v>
      </c>
      <c r="M5551" s="22" t="s">
        <v>37279</v>
      </c>
    </row>
    <row r="5552" spans="1:13" x14ac:dyDescent="0.75">
      <c r="A5552" t="s">
        <v>6909</v>
      </c>
      <c r="B5552" t="s">
        <v>6910</v>
      </c>
      <c r="C5552" t="s">
        <v>6623</v>
      </c>
      <c r="D5552" t="s">
        <v>6911</v>
      </c>
      <c r="E5552" t="s">
        <v>6912</v>
      </c>
      <c r="F5552">
        <v>61</v>
      </c>
      <c r="G5552">
        <v>2559453</v>
      </c>
      <c r="H5552" t="s">
        <v>6913</v>
      </c>
      <c r="J5552" s="54" t="s">
        <v>6052</v>
      </c>
      <c r="K5552" s="54">
        <v>0</v>
      </c>
      <c r="L5552" s="22" t="s">
        <v>104</v>
      </c>
      <c r="M5552" s="22" t="s">
        <v>37270</v>
      </c>
    </row>
    <row r="5553" spans="1:13" x14ac:dyDescent="0.75">
      <c r="A5553" t="s">
        <v>7662</v>
      </c>
      <c r="B5553" t="s">
        <v>6910</v>
      </c>
      <c r="C5553" t="s">
        <v>6623</v>
      </c>
      <c r="D5553" t="s">
        <v>6911</v>
      </c>
      <c r="E5553" t="s">
        <v>6912</v>
      </c>
      <c r="F5553">
        <v>1</v>
      </c>
      <c r="G5553">
        <v>2568361</v>
      </c>
      <c r="H5553" t="s">
        <v>7663</v>
      </c>
      <c r="J5553" s="54" t="s">
        <v>6052</v>
      </c>
      <c r="K5553" s="54">
        <v>0</v>
      </c>
      <c r="L5553" s="22" t="s">
        <v>104</v>
      </c>
      <c r="M5553" s="22" t="s">
        <v>37270</v>
      </c>
    </row>
    <row r="5554" spans="1:13" x14ac:dyDescent="0.75">
      <c r="A5554" t="s">
        <v>24256</v>
      </c>
      <c r="B5554" t="s">
        <v>6910</v>
      </c>
      <c r="C5554" t="s">
        <v>6623</v>
      </c>
      <c r="D5554" t="s">
        <v>6911</v>
      </c>
      <c r="E5554" t="s">
        <v>24257</v>
      </c>
      <c r="F5554">
        <v>1</v>
      </c>
      <c r="G5554">
        <v>2740586</v>
      </c>
      <c r="H5554" t="s">
        <v>24258</v>
      </c>
      <c r="J5554" s="54" t="s">
        <v>6052</v>
      </c>
      <c r="K5554" s="54">
        <v>0</v>
      </c>
      <c r="L5554" s="22" t="s">
        <v>104</v>
      </c>
      <c r="M5554" s="22" t="s">
        <v>37270</v>
      </c>
    </row>
    <row r="5555" spans="1:13" x14ac:dyDescent="0.75">
      <c r="A5555" t="s">
        <v>8969</v>
      </c>
      <c r="B5555" t="s">
        <v>8970</v>
      </c>
      <c r="C5555" t="s">
        <v>6623</v>
      </c>
      <c r="D5555" t="s">
        <v>8971</v>
      </c>
      <c r="E5555" t="s">
        <v>8972</v>
      </c>
      <c r="F5555">
        <v>116</v>
      </c>
      <c r="G5555">
        <v>2384529</v>
      </c>
      <c r="H5555" t="s">
        <v>8973</v>
      </c>
      <c r="J5555" s="54" t="s">
        <v>6052</v>
      </c>
      <c r="K5555" s="54">
        <v>0</v>
      </c>
      <c r="L5555" s="22" t="s">
        <v>104</v>
      </c>
      <c r="M5555" s="22" t="s">
        <v>37277</v>
      </c>
    </row>
    <row r="5556" spans="1:13" x14ac:dyDescent="0.75">
      <c r="A5556" t="s">
        <v>18883</v>
      </c>
      <c r="B5556" t="s">
        <v>8970</v>
      </c>
      <c r="C5556" t="s">
        <v>6623</v>
      </c>
      <c r="D5556" t="s">
        <v>8971</v>
      </c>
      <c r="E5556" t="s">
        <v>18884</v>
      </c>
      <c r="F5556">
        <v>1</v>
      </c>
      <c r="G5556">
        <v>2351879</v>
      </c>
      <c r="H5556" t="s">
        <v>18885</v>
      </c>
      <c r="J5556" s="54" t="s">
        <v>6052</v>
      </c>
      <c r="K5556" s="54">
        <v>0</v>
      </c>
      <c r="L5556" s="22" t="s">
        <v>104</v>
      </c>
      <c r="M5556" s="22" t="s">
        <v>37277</v>
      </c>
    </row>
    <row r="5557" spans="1:13" x14ac:dyDescent="0.75">
      <c r="A5557" t="s">
        <v>20513</v>
      </c>
      <c r="B5557" t="s">
        <v>20432</v>
      </c>
      <c r="C5557" t="s">
        <v>20433</v>
      </c>
      <c r="D5557" t="s">
        <v>20434</v>
      </c>
      <c r="E5557" t="s">
        <v>20514</v>
      </c>
      <c r="F5557">
        <v>1</v>
      </c>
      <c r="G5557">
        <v>5140264</v>
      </c>
      <c r="H5557" t="s">
        <v>20515</v>
      </c>
      <c r="J5557" s="54" t="s">
        <v>6052</v>
      </c>
      <c r="K5557" s="54">
        <v>0</v>
      </c>
      <c r="L5557" s="22" t="s">
        <v>104</v>
      </c>
      <c r="M5557" s="22" t="s">
        <v>37281</v>
      </c>
    </row>
    <row r="5558" spans="1:13" x14ac:dyDescent="0.75">
      <c r="A5558" t="s">
        <v>20446</v>
      </c>
      <c r="B5558" t="s">
        <v>20432</v>
      </c>
      <c r="C5558" t="s">
        <v>20433</v>
      </c>
      <c r="D5558" t="s">
        <v>20434</v>
      </c>
      <c r="E5558" t="s">
        <v>20447</v>
      </c>
      <c r="F5558">
        <v>2</v>
      </c>
      <c r="G5558">
        <v>5160529</v>
      </c>
      <c r="H5558" t="s">
        <v>20448</v>
      </c>
      <c r="J5558" s="54" t="s">
        <v>6052</v>
      </c>
      <c r="K5558" s="54">
        <v>0</v>
      </c>
      <c r="L5558" s="22" t="s">
        <v>104</v>
      </c>
      <c r="M5558" s="22" t="s">
        <v>37281</v>
      </c>
    </row>
    <row r="5559" spans="1:13" x14ac:dyDescent="0.75">
      <c r="A5559" t="s">
        <v>20458</v>
      </c>
      <c r="B5559" t="s">
        <v>20432</v>
      </c>
      <c r="C5559" t="s">
        <v>20433</v>
      </c>
      <c r="D5559" t="s">
        <v>20434</v>
      </c>
      <c r="E5559" t="s">
        <v>20459</v>
      </c>
      <c r="F5559">
        <v>2</v>
      </c>
      <c r="G5559">
        <v>5160498</v>
      </c>
      <c r="H5559" t="s">
        <v>20460</v>
      </c>
      <c r="J5559" s="54" t="s">
        <v>6052</v>
      </c>
      <c r="K5559" s="54">
        <v>0</v>
      </c>
      <c r="L5559" s="22" t="s">
        <v>104</v>
      </c>
      <c r="M5559" s="22" t="s">
        <v>37281</v>
      </c>
    </row>
    <row r="5560" spans="1:13" x14ac:dyDescent="0.75">
      <c r="A5560" t="s">
        <v>20452</v>
      </c>
      <c r="B5560" t="s">
        <v>20432</v>
      </c>
      <c r="C5560" t="s">
        <v>20433</v>
      </c>
      <c r="D5560" t="s">
        <v>20434</v>
      </c>
      <c r="E5560" t="s">
        <v>20453</v>
      </c>
      <c r="F5560">
        <v>2</v>
      </c>
      <c r="G5560">
        <v>5160489</v>
      </c>
      <c r="H5560" t="s">
        <v>20454</v>
      </c>
      <c r="J5560" s="54" t="s">
        <v>6052</v>
      </c>
      <c r="K5560" s="54">
        <v>0</v>
      </c>
      <c r="L5560" s="22" t="s">
        <v>104</v>
      </c>
      <c r="M5560" s="22" t="s">
        <v>37281</v>
      </c>
    </row>
    <row r="5561" spans="1:13" x14ac:dyDescent="0.75">
      <c r="A5561" t="s">
        <v>20431</v>
      </c>
      <c r="B5561" t="s">
        <v>20432</v>
      </c>
      <c r="C5561" t="s">
        <v>20433</v>
      </c>
      <c r="D5561" t="s">
        <v>20434</v>
      </c>
      <c r="E5561" t="s">
        <v>20435</v>
      </c>
      <c r="F5561">
        <v>2</v>
      </c>
      <c r="G5561">
        <v>5160508</v>
      </c>
      <c r="H5561" t="s">
        <v>20436</v>
      </c>
      <c r="J5561" s="54" t="s">
        <v>6052</v>
      </c>
      <c r="K5561" s="54">
        <v>0</v>
      </c>
      <c r="L5561" s="22" t="s">
        <v>104</v>
      </c>
      <c r="M5561" s="22" t="s">
        <v>37281</v>
      </c>
    </row>
    <row r="5562" spans="1:13" x14ac:dyDescent="0.75">
      <c r="A5562" t="s">
        <v>20443</v>
      </c>
      <c r="B5562" t="s">
        <v>20432</v>
      </c>
      <c r="C5562" t="s">
        <v>20433</v>
      </c>
      <c r="D5562" t="s">
        <v>20434</v>
      </c>
      <c r="E5562" t="s">
        <v>20444</v>
      </c>
      <c r="F5562">
        <v>2</v>
      </c>
      <c r="G5562">
        <v>5160508</v>
      </c>
      <c r="H5562" t="s">
        <v>20445</v>
      </c>
      <c r="J5562" s="54" t="s">
        <v>6052</v>
      </c>
      <c r="K5562" s="54">
        <v>0</v>
      </c>
      <c r="L5562" s="22" t="s">
        <v>104</v>
      </c>
      <c r="M5562" s="22" t="s">
        <v>37281</v>
      </c>
    </row>
    <row r="5563" spans="1:13" x14ac:dyDescent="0.75">
      <c r="A5563" t="s">
        <v>20449</v>
      </c>
      <c r="B5563" t="s">
        <v>20432</v>
      </c>
      <c r="C5563" t="s">
        <v>20433</v>
      </c>
      <c r="D5563" t="s">
        <v>20434</v>
      </c>
      <c r="E5563" t="s">
        <v>20450</v>
      </c>
      <c r="F5563">
        <v>2</v>
      </c>
      <c r="G5563">
        <v>5160509</v>
      </c>
      <c r="H5563" t="s">
        <v>20451</v>
      </c>
      <c r="J5563" s="54" t="s">
        <v>6052</v>
      </c>
      <c r="K5563" s="54">
        <v>0</v>
      </c>
      <c r="L5563" s="22" t="s">
        <v>104</v>
      </c>
      <c r="M5563" s="22" t="s">
        <v>37281</v>
      </c>
    </row>
    <row r="5564" spans="1:13" x14ac:dyDescent="0.75">
      <c r="A5564" t="s">
        <v>20437</v>
      </c>
      <c r="B5564" t="s">
        <v>20432</v>
      </c>
      <c r="C5564" t="s">
        <v>20433</v>
      </c>
      <c r="D5564" t="s">
        <v>20434</v>
      </c>
      <c r="E5564" t="s">
        <v>20438</v>
      </c>
      <c r="F5564">
        <v>2</v>
      </c>
      <c r="G5564">
        <v>5160529</v>
      </c>
      <c r="H5564" t="s">
        <v>20439</v>
      </c>
      <c r="J5564" s="54" t="s">
        <v>6052</v>
      </c>
      <c r="K5564" s="54">
        <v>0</v>
      </c>
      <c r="L5564" s="22" t="s">
        <v>104</v>
      </c>
      <c r="M5564" s="22" t="s">
        <v>37281</v>
      </c>
    </row>
    <row r="5565" spans="1:13" x14ac:dyDescent="0.75">
      <c r="A5565" t="s">
        <v>20440</v>
      </c>
      <c r="B5565" t="s">
        <v>20432</v>
      </c>
      <c r="C5565" t="s">
        <v>20433</v>
      </c>
      <c r="D5565" t="s">
        <v>20434</v>
      </c>
      <c r="E5565" t="s">
        <v>20441</v>
      </c>
      <c r="F5565">
        <v>2</v>
      </c>
      <c r="G5565">
        <v>5160509</v>
      </c>
      <c r="H5565" t="s">
        <v>20442</v>
      </c>
      <c r="J5565" s="54" t="s">
        <v>6052</v>
      </c>
      <c r="K5565" s="54">
        <v>0</v>
      </c>
      <c r="L5565" s="22" t="s">
        <v>104</v>
      </c>
      <c r="M5565" s="22" t="s">
        <v>37281</v>
      </c>
    </row>
    <row r="5566" spans="1:13" x14ac:dyDescent="0.75">
      <c r="A5566" t="s">
        <v>20455</v>
      </c>
      <c r="B5566" t="s">
        <v>20432</v>
      </c>
      <c r="C5566" t="s">
        <v>20433</v>
      </c>
      <c r="D5566" t="s">
        <v>20434</v>
      </c>
      <c r="E5566" t="s">
        <v>20456</v>
      </c>
      <c r="F5566">
        <v>2</v>
      </c>
      <c r="G5566">
        <v>5160486</v>
      </c>
      <c r="H5566" t="s">
        <v>20457</v>
      </c>
      <c r="J5566" s="54" t="s">
        <v>6052</v>
      </c>
      <c r="K5566" s="54">
        <v>0</v>
      </c>
      <c r="L5566" s="22" t="s">
        <v>104</v>
      </c>
      <c r="M5566" s="22" t="s">
        <v>37281</v>
      </c>
    </row>
    <row r="5567" spans="1:13" x14ac:dyDescent="0.75">
      <c r="A5567" t="s">
        <v>7056</v>
      </c>
      <c r="B5567" t="s">
        <v>7057</v>
      </c>
      <c r="C5567" t="s">
        <v>7058</v>
      </c>
      <c r="D5567" t="s">
        <v>7059</v>
      </c>
      <c r="E5567" t="s">
        <v>7060</v>
      </c>
      <c r="F5567">
        <v>82</v>
      </c>
      <c r="G5567">
        <v>2372614</v>
      </c>
      <c r="H5567" t="s">
        <v>7061</v>
      </c>
      <c r="J5567" s="54" t="s">
        <v>6052</v>
      </c>
      <c r="K5567" s="54">
        <v>0</v>
      </c>
      <c r="L5567" s="22" t="s">
        <v>104</v>
      </c>
      <c r="M5567" s="22" t="s">
        <v>37283</v>
      </c>
    </row>
    <row r="5568" spans="1:13" x14ac:dyDescent="0.75">
      <c r="A5568" t="s">
        <v>14627</v>
      </c>
      <c r="B5568" t="s">
        <v>7057</v>
      </c>
      <c r="C5568" t="s">
        <v>7058</v>
      </c>
      <c r="D5568" t="s">
        <v>7059</v>
      </c>
      <c r="E5568" t="s">
        <v>7060</v>
      </c>
      <c r="F5568">
        <v>1</v>
      </c>
      <c r="G5568">
        <v>2469862</v>
      </c>
      <c r="H5568" t="s">
        <v>14628</v>
      </c>
      <c r="J5568" s="54" t="s">
        <v>6052</v>
      </c>
      <c r="K5568" s="54">
        <v>0</v>
      </c>
      <c r="L5568" s="22" t="s">
        <v>104</v>
      </c>
      <c r="M5568" s="22" t="s">
        <v>37283</v>
      </c>
    </row>
    <row r="5569" spans="1:13" x14ac:dyDescent="0.75">
      <c r="A5569" t="s">
        <v>21730</v>
      </c>
      <c r="B5569" t="s">
        <v>7057</v>
      </c>
      <c r="C5569" t="s">
        <v>7058</v>
      </c>
      <c r="D5569" t="s">
        <v>7059</v>
      </c>
      <c r="E5569" t="s">
        <v>21731</v>
      </c>
      <c r="F5569">
        <v>1</v>
      </c>
      <c r="G5569">
        <v>2482394</v>
      </c>
      <c r="H5569" t="s">
        <v>21732</v>
      </c>
      <c r="J5569" s="54" t="s">
        <v>6052</v>
      </c>
      <c r="K5569" s="54">
        <v>0</v>
      </c>
      <c r="L5569" s="22" t="s">
        <v>104</v>
      </c>
      <c r="M5569" s="22" t="s">
        <v>37283</v>
      </c>
    </row>
    <row r="5570" spans="1:13" x14ac:dyDescent="0.75">
      <c r="A5570" t="s">
        <v>29449</v>
      </c>
      <c r="B5570" t="s">
        <v>7057</v>
      </c>
      <c r="C5570" t="s">
        <v>7058</v>
      </c>
      <c r="D5570" t="s">
        <v>7059</v>
      </c>
      <c r="E5570" t="s">
        <v>29450</v>
      </c>
      <c r="F5570">
        <v>176</v>
      </c>
      <c r="G5570">
        <v>2030979</v>
      </c>
      <c r="H5570" t="s">
        <v>29451</v>
      </c>
      <c r="J5570" s="54" t="s">
        <v>6052</v>
      </c>
      <c r="K5570" s="54">
        <v>0</v>
      </c>
      <c r="L5570" s="22" t="s">
        <v>104</v>
      </c>
      <c r="M5570" s="22" t="s">
        <v>37283</v>
      </c>
    </row>
    <row r="5571" spans="1:13" x14ac:dyDescent="0.75">
      <c r="A5571" t="s">
        <v>7002</v>
      </c>
      <c r="B5571" t="s">
        <v>7003</v>
      </c>
      <c r="C5571" t="s">
        <v>7004</v>
      </c>
      <c r="D5571" t="s">
        <v>7005</v>
      </c>
      <c r="E5571" t="s">
        <v>7006</v>
      </c>
      <c r="F5571">
        <v>19</v>
      </c>
      <c r="G5571">
        <v>2096289</v>
      </c>
      <c r="H5571" t="s">
        <v>7007</v>
      </c>
      <c r="J5571" s="54" t="s">
        <v>6052</v>
      </c>
      <c r="K5571" s="54">
        <v>0</v>
      </c>
      <c r="L5571" s="22" t="s">
        <v>104</v>
      </c>
      <c r="M5571" s="22" t="s">
        <v>37284</v>
      </c>
    </row>
    <row r="5572" spans="1:13" x14ac:dyDescent="0.75">
      <c r="A5572" t="s">
        <v>8826</v>
      </c>
      <c r="B5572" t="s">
        <v>7003</v>
      </c>
      <c r="C5572" t="s">
        <v>7004</v>
      </c>
      <c r="D5572" t="s">
        <v>7005</v>
      </c>
      <c r="E5572" t="s">
        <v>8827</v>
      </c>
      <c r="F5572">
        <v>25</v>
      </c>
      <c r="G5572">
        <v>2051910</v>
      </c>
      <c r="H5572" t="s">
        <v>8828</v>
      </c>
      <c r="J5572" s="54" t="s">
        <v>6052</v>
      </c>
      <c r="K5572" s="54">
        <v>0</v>
      </c>
      <c r="L5572" s="22" t="s">
        <v>104</v>
      </c>
      <c r="M5572" s="22" t="s">
        <v>37284</v>
      </c>
    </row>
    <row r="5573" spans="1:13" x14ac:dyDescent="0.75">
      <c r="A5573" t="s">
        <v>23746</v>
      </c>
      <c r="B5573" t="s">
        <v>7003</v>
      </c>
      <c r="C5573" t="s">
        <v>7004</v>
      </c>
      <c r="D5573" t="s">
        <v>7005</v>
      </c>
      <c r="E5573" t="s">
        <v>23747</v>
      </c>
      <c r="F5573">
        <v>104</v>
      </c>
      <c r="G5573">
        <v>2166447</v>
      </c>
      <c r="H5573" t="s">
        <v>23748</v>
      </c>
      <c r="J5573" s="54" t="s">
        <v>6052</v>
      </c>
      <c r="K5573" s="54">
        <v>0</v>
      </c>
      <c r="L5573" s="22" t="s">
        <v>104</v>
      </c>
      <c r="M5573" s="22" t="s">
        <v>37284</v>
      </c>
    </row>
    <row r="5574" spans="1:13" x14ac:dyDescent="0.75">
      <c r="A5574" t="s">
        <v>29937</v>
      </c>
      <c r="B5574" t="s">
        <v>7003</v>
      </c>
      <c r="C5574" t="s">
        <v>7004</v>
      </c>
      <c r="D5574" t="s">
        <v>7005</v>
      </c>
      <c r="E5574" t="s">
        <v>29938</v>
      </c>
      <c r="F5574">
        <v>21</v>
      </c>
      <c r="G5574">
        <v>2108134</v>
      </c>
      <c r="H5574" t="s">
        <v>29939</v>
      </c>
      <c r="J5574" s="54" t="s">
        <v>6052</v>
      </c>
      <c r="K5574" s="54">
        <v>0</v>
      </c>
      <c r="L5574" s="22" t="s">
        <v>104</v>
      </c>
      <c r="M5574" s="22" t="s">
        <v>37284</v>
      </c>
    </row>
    <row r="5575" spans="1:13" x14ac:dyDescent="0.75">
      <c r="A5575" t="s">
        <v>23168</v>
      </c>
      <c r="B5575" t="s">
        <v>7003</v>
      </c>
      <c r="C5575" t="s">
        <v>7004</v>
      </c>
      <c r="D5575" t="s">
        <v>7005</v>
      </c>
      <c r="E5575" t="s">
        <v>23169</v>
      </c>
      <c r="F5575">
        <v>14</v>
      </c>
      <c r="G5575">
        <v>2108470</v>
      </c>
      <c r="H5575" t="s">
        <v>23170</v>
      </c>
      <c r="J5575" s="54" t="s">
        <v>6052</v>
      </c>
      <c r="K5575" s="54">
        <v>0</v>
      </c>
      <c r="L5575" s="22" t="s">
        <v>104</v>
      </c>
      <c r="M5575" s="22" t="s">
        <v>37284</v>
      </c>
    </row>
    <row r="5576" spans="1:13" x14ac:dyDescent="0.75">
      <c r="A5576" t="s">
        <v>28514</v>
      </c>
      <c r="B5576" t="s">
        <v>7003</v>
      </c>
      <c r="C5576" t="s">
        <v>7004</v>
      </c>
      <c r="D5576" t="s">
        <v>7005</v>
      </c>
      <c r="E5576" t="s">
        <v>28515</v>
      </c>
      <c r="F5576">
        <v>33</v>
      </c>
      <c r="G5576">
        <v>1892476</v>
      </c>
      <c r="H5576" t="s">
        <v>28516</v>
      </c>
      <c r="J5576" s="54" t="s">
        <v>6052</v>
      </c>
      <c r="K5576" s="54">
        <v>0</v>
      </c>
      <c r="L5576" s="22" t="s">
        <v>104</v>
      </c>
      <c r="M5576" s="22" t="s">
        <v>37284</v>
      </c>
    </row>
    <row r="5577" spans="1:13" x14ac:dyDescent="0.75">
      <c r="A5577" t="s">
        <v>27460</v>
      </c>
      <c r="B5577" t="s">
        <v>7003</v>
      </c>
      <c r="C5577" t="s">
        <v>7004</v>
      </c>
      <c r="D5577" t="s">
        <v>7005</v>
      </c>
      <c r="E5577" t="s">
        <v>27461</v>
      </c>
      <c r="F5577">
        <v>2</v>
      </c>
      <c r="G5577">
        <v>2102748</v>
      </c>
      <c r="H5577" t="s">
        <v>27462</v>
      </c>
      <c r="J5577" s="54" t="s">
        <v>6052</v>
      </c>
      <c r="K5577" s="54">
        <v>0</v>
      </c>
      <c r="L5577" s="22" t="s">
        <v>104</v>
      </c>
      <c r="M5577" s="22" t="s">
        <v>37284</v>
      </c>
    </row>
    <row r="5578" spans="1:13" x14ac:dyDescent="0.75">
      <c r="A5578" t="s">
        <v>25896</v>
      </c>
      <c r="B5578" t="s">
        <v>7003</v>
      </c>
      <c r="C5578" t="s">
        <v>7004</v>
      </c>
      <c r="D5578" t="s">
        <v>7005</v>
      </c>
      <c r="E5578" t="s">
        <v>25897</v>
      </c>
      <c r="F5578">
        <v>20</v>
      </c>
      <c r="G5578">
        <v>1915680</v>
      </c>
      <c r="H5578" t="s">
        <v>25898</v>
      </c>
      <c r="J5578" s="54" t="s">
        <v>6052</v>
      </c>
      <c r="K5578" s="54">
        <v>0</v>
      </c>
      <c r="L5578" s="22" t="s">
        <v>104</v>
      </c>
      <c r="M5578" s="22" t="s">
        <v>37284</v>
      </c>
    </row>
    <row r="5579" spans="1:13" x14ac:dyDescent="0.75">
      <c r="A5579" t="s">
        <v>15572</v>
      </c>
      <c r="B5579" t="s">
        <v>7453</v>
      </c>
      <c r="C5579" t="s">
        <v>7454</v>
      </c>
      <c r="D5579" t="s">
        <v>7455</v>
      </c>
      <c r="E5579" t="s">
        <v>15573</v>
      </c>
      <c r="F5579">
        <v>8</v>
      </c>
      <c r="G5579">
        <v>1989891</v>
      </c>
      <c r="H5579" t="s">
        <v>15574</v>
      </c>
      <c r="J5579" s="54" t="s">
        <v>6052</v>
      </c>
      <c r="K5579" s="54">
        <v>0</v>
      </c>
      <c r="L5579" s="22" t="s">
        <v>104</v>
      </c>
      <c r="M5579" s="22" t="s">
        <v>37287</v>
      </c>
    </row>
    <row r="5580" spans="1:13" x14ac:dyDescent="0.75">
      <c r="A5580" t="s">
        <v>9554</v>
      </c>
      <c r="B5580" t="s">
        <v>7453</v>
      </c>
      <c r="C5580" t="s">
        <v>7454</v>
      </c>
      <c r="D5580" t="s">
        <v>7455</v>
      </c>
      <c r="E5580" t="s">
        <v>9555</v>
      </c>
      <c r="F5580">
        <v>170</v>
      </c>
      <c r="G5580">
        <v>2335946</v>
      </c>
      <c r="H5580" t="s">
        <v>9556</v>
      </c>
      <c r="J5580" s="54" t="s">
        <v>6052</v>
      </c>
      <c r="K5580" s="54">
        <v>0</v>
      </c>
      <c r="L5580" s="22" t="s">
        <v>104</v>
      </c>
      <c r="M5580" s="22" t="s">
        <v>37287</v>
      </c>
    </row>
    <row r="5581" spans="1:13" x14ac:dyDescent="0.75">
      <c r="A5581" t="s">
        <v>30001</v>
      </c>
      <c r="B5581" t="s">
        <v>7453</v>
      </c>
      <c r="C5581" t="s">
        <v>7454</v>
      </c>
      <c r="D5581" t="s">
        <v>7455</v>
      </c>
      <c r="E5581" t="s">
        <v>30002</v>
      </c>
      <c r="F5581">
        <v>34</v>
      </c>
      <c r="G5581">
        <v>1843287</v>
      </c>
      <c r="H5581" t="s">
        <v>30003</v>
      </c>
      <c r="J5581" s="54" t="s">
        <v>6052</v>
      </c>
      <c r="K5581" s="54">
        <v>0</v>
      </c>
      <c r="L5581" s="22" t="s">
        <v>104</v>
      </c>
      <c r="M5581" s="22" t="s">
        <v>37287</v>
      </c>
    </row>
    <row r="5582" spans="1:13" x14ac:dyDescent="0.75">
      <c r="A5582" t="s">
        <v>7452</v>
      </c>
      <c r="B5582" t="s">
        <v>7453</v>
      </c>
      <c r="C5582" t="s">
        <v>7454</v>
      </c>
      <c r="D5582" t="s">
        <v>7455</v>
      </c>
      <c r="E5582" t="s">
        <v>7456</v>
      </c>
      <c r="F5582">
        <v>66</v>
      </c>
      <c r="G5582">
        <v>2008072</v>
      </c>
      <c r="H5582" t="s">
        <v>7457</v>
      </c>
      <c r="J5582" s="54" t="s">
        <v>6052</v>
      </c>
      <c r="K5582" s="54">
        <v>0</v>
      </c>
      <c r="L5582" s="22" t="s">
        <v>104</v>
      </c>
      <c r="M5582" s="22" t="s">
        <v>37287</v>
      </c>
    </row>
    <row r="5583" spans="1:13" x14ac:dyDescent="0.75">
      <c r="A5583" t="s">
        <v>25308</v>
      </c>
      <c r="B5583" t="s">
        <v>7453</v>
      </c>
      <c r="C5583" t="s">
        <v>7454</v>
      </c>
      <c r="D5583" t="s">
        <v>7455</v>
      </c>
      <c r="E5583" t="s">
        <v>25309</v>
      </c>
      <c r="F5583">
        <v>47</v>
      </c>
      <c r="G5583">
        <v>2119528</v>
      </c>
      <c r="H5583" t="s">
        <v>25310</v>
      </c>
      <c r="J5583" s="54" t="s">
        <v>6052</v>
      </c>
      <c r="K5583" s="54">
        <v>0</v>
      </c>
      <c r="L5583" s="22" t="s">
        <v>104</v>
      </c>
      <c r="M5583" s="22" t="s">
        <v>37287</v>
      </c>
    </row>
    <row r="5584" spans="1:13" x14ac:dyDescent="0.75">
      <c r="A5584" t="s">
        <v>28200</v>
      </c>
      <c r="B5584" t="s">
        <v>7453</v>
      </c>
      <c r="C5584" t="s">
        <v>7454</v>
      </c>
      <c r="D5584" t="s">
        <v>7455</v>
      </c>
      <c r="E5584" t="s">
        <v>28201</v>
      </c>
      <c r="F5584">
        <v>8</v>
      </c>
      <c r="G5584">
        <v>1989891</v>
      </c>
      <c r="H5584" t="s">
        <v>28202</v>
      </c>
      <c r="J5584" s="54" t="s">
        <v>6052</v>
      </c>
      <c r="K5584" s="54">
        <v>0</v>
      </c>
      <c r="L5584" s="22" t="s">
        <v>104</v>
      </c>
      <c r="M5584" s="22" t="s">
        <v>37287</v>
      </c>
    </row>
    <row r="5585" spans="1:13" x14ac:dyDescent="0.75">
      <c r="A5585" t="s">
        <v>30445</v>
      </c>
      <c r="B5585" t="s">
        <v>7453</v>
      </c>
      <c r="C5585" t="s">
        <v>7454</v>
      </c>
      <c r="D5585" t="s">
        <v>7455</v>
      </c>
      <c r="E5585" t="s">
        <v>30446</v>
      </c>
      <c r="F5585">
        <v>30</v>
      </c>
      <c r="G5585">
        <v>1913019</v>
      </c>
      <c r="H5585" t="s">
        <v>30447</v>
      </c>
      <c r="J5585" s="54" t="s">
        <v>6052</v>
      </c>
      <c r="K5585" s="54">
        <v>0</v>
      </c>
      <c r="L5585" s="22" t="s">
        <v>104</v>
      </c>
      <c r="M5585" s="22" t="s">
        <v>37287</v>
      </c>
    </row>
    <row r="5586" spans="1:13" x14ac:dyDescent="0.75">
      <c r="A5586" t="s">
        <v>29076</v>
      </c>
      <c r="B5586" t="s">
        <v>7453</v>
      </c>
      <c r="C5586" t="s">
        <v>7454</v>
      </c>
      <c r="D5586" t="s">
        <v>7455</v>
      </c>
      <c r="E5586" t="s">
        <v>29077</v>
      </c>
      <c r="F5586">
        <v>41</v>
      </c>
      <c r="G5586">
        <v>1928362</v>
      </c>
      <c r="H5586" t="s">
        <v>29078</v>
      </c>
      <c r="J5586" s="54" t="s">
        <v>6052</v>
      </c>
      <c r="K5586" s="54">
        <v>0</v>
      </c>
      <c r="L5586" s="22" t="s">
        <v>104</v>
      </c>
      <c r="M5586" s="22" t="s">
        <v>37287</v>
      </c>
    </row>
    <row r="5587" spans="1:13" x14ac:dyDescent="0.75">
      <c r="A5587" t="s">
        <v>8413</v>
      </c>
      <c r="B5587" t="s">
        <v>8414</v>
      </c>
      <c r="C5587" t="s">
        <v>8415</v>
      </c>
      <c r="D5587" t="s">
        <v>7626</v>
      </c>
      <c r="E5587" t="s">
        <v>8416</v>
      </c>
      <c r="F5587">
        <v>16</v>
      </c>
      <c r="G5587">
        <v>2313632</v>
      </c>
      <c r="H5587" t="s">
        <v>8417</v>
      </c>
      <c r="J5587" s="54" t="s">
        <v>6052</v>
      </c>
      <c r="K5587" s="54">
        <v>0</v>
      </c>
      <c r="L5587" s="22" t="s">
        <v>104</v>
      </c>
      <c r="M5587" s="22" t="s">
        <v>37304</v>
      </c>
    </row>
    <row r="5588" spans="1:13" x14ac:dyDescent="0.75">
      <c r="A5588" t="s">
        <v>29873</v>
      </c>
      <c r="B5588" t="s">
        <v>8414</v>
      </c>
      <c r="C5588" t="s">
        <v>8415</v>
      </c>
      <c r="D5588" t="s">
        <v>7626</v>
      </c>
      <c r="E5588" t="s">
        <v>29874</v>
      </c>
      <c r="F5588">
        <v>72</v>
      </c>
      <c r="G5588">
        <v>2312090</v>
      </c>
      <c r="H5588" t="s">
        <v>29875</v>
      </c>
      <c r="J5588" s="54" t="s">
        <v>6052</v>
      </c>
      <c r="K5588" s="54">
        <v>0</v>
      </c>
      <c r="L5588" s="22" t="s">
        <v>104</v>
      </c>
      <c r="M5588" s="22" t="s">
        <v>37304</v>
      </c>
    </row>
    <row r="5589" spans="1:13" x14ac:dyDescent="0.75">
      <c r="A5589" t="s">
        <v>6878</v>
      </c>
      <c r="B5589" t="s">
        <v>6879</v>
      </c>
      <c r="C5589" t="s">
        <v>6880</v>
      </c>
      <c r="D5589" t="s">
        <v>6881</v>
      </c>
      <c r="E5589" t="s">
        <v>6882</v>
      </c>
      <c r="F5589">
        <v>10</v>
      </c>
      <c r="G5589">
        <v>2169477</v>
      </c>
      <c r="H5589" t="s">
        <v>6883</v>
      </c>
      <c r="J5589" s="54" t="s">
        <v>6052</v>
      </c>
      <c r="K5589" s="54">
        <v>0</v>
      </c>
      <c r="L5589" s="22" t="s">
        <v>1563</v>
      </c>
      <c r="M5589" s="22" t="s">
        <v>37282</v>
      </c>
    </row>
    <row r="5590" spans="1:13" x14ac:dyDescent="0.75">
      <c r="A5590" t="s">
        <v>29954</v>
      </c>
      <c r="B5590" t="s">
        <v>6879</v>
      </c>
      <c r="C5590" t="s">
        <v>6880</v>
      </c>
      <c r="D5590" t="s">
        <v>6881</v>
      </c>
      <c r="E5590" t="s">
        <v>29955</v>
      </c>
      <c r="F5590">
        <v>116</v>
      </c>
      <c r="G5590">
        <v>2261468</v>
      </c>
      <c r="H5590" t="s">
        <v>29956</v>
      </c>
      <c r="J5590" s="54" t="s">
        <v>6052</v>
      </c>
      <c r="K5590" s="54">
        <v>0</v>
      </c>
      <c r="L5590" s="22" t="s">
        <v>1563</v>
      </c>
      <c r="M5590" s="22" t="s">
        <v>37282</v>
      </c>
    </row>
    <row r="5591" spans="1:13" x14ac:dyDescent="0.75">
      <c r="A5591" t="s">
        <v>10182</v>
      </c>
      <c r="B5591" t="s">
        <v>6879</v>
      </c>
      <c r="C5591" t="s">
        <v>6880</v>
      </c>
      <c r="D5591" t="s">
        <v>6881</v>
      </c>
      <c r="E5591" t="s">
        <v>10183</v>
      </c>
      <c r="F5591">
        <v>38</v>
      </c>
      <c r="G5591">
        <v>2102620</v>
      </c>
      <c r="H5591" t="s">
        <v>10184</v>
      </c>
      <c r="J5591" s="54" t="s">
        <v>6052</v>
      </c>
      <c r="K5591" s="54">
        <v>0</v>
      </c>
      <c r="L5591" s="22" t="s">
        <v>1563</v>
      </c>
      <c r="M5591" s="22" t="s">
        <v>37282</v>
      </c>
    </row>
    <row r="5592" spans="1:13" x14ac:dyDescent="0.75">
      <c r="A5592" t="s">
        <v>28525</v>
      </c>
      <c r="B5592" t="s">
        <v>8414</v>
      </c>
      <c r="C5592" t="s">
        <v>8415</v>
      </c>
      <c r="D5592" t="s">
        <v>7626</v>
      </c>
      <c r="E5592" t="s">
        <v>28526</v>
      </c>
      <c r="F5592">
        <v>24</v>
      </c>
      <c r="G5592">
        <v>1905072</v>
      </c>
      <c r="H5592" t="s">
        <v>28527</v>
      </c>
      <c r="J5592" s="54" t="s">
        <v>6052</v>
      </c>
      <c r="K5592" s="54">
        <v>0</v>
      </c>
      <c r="L5592" s="22" t="s">
        <v>104</v>
      </c>
      <c r="M5592" s="22" t="s">
        <v>37304</v>
      </c>
    </row>
    <row r="5593" spans="1:13" x14ac:dyDescent="0.75">
      <c r="A5593" t="s">
        <v>29381</v>
      </c>
      <c r="B5593" t="s">
        <v>8414</v>
      </c>
      <c r="C5593" t="s">
        <v>8415</v>
      </c>
      <c r="D5593" t="s">
        <v>7626</v>
      </c>
      <c r="E5593" t="s">
        <v>29382</v>
      </c>
      <c r="F5593">
        <v>234</v>
      </c>
      <c r="G5593">
        <v>1704558</v>
      </c>
      <c r="H5593" t="s">
        <v>29383</v>
      </c>
      <c r="J5593" s="54" t="s">
        <v>6052</v>
      </c>
      <c r="K5593" s="54">
        <v>0</v>
      </c>
      <c r="L5593" s="22" t="s">
        <v>104</v>
      </c>
      <c r="M5593" s="22" t="s">
        <v>37304</v>
      </c>
    </row>
    <row r="5594" spans="1:13" x14ac:dyDescent="0.75">
      <c r="A5594" t="s">
        <v>28983</v>
      </c>
      <c r="B5594" t="s">
        <v>8414</v>
      </c>
      <c r="C5594" t="s">
        <v>8415</v>
      </c>
      <c r="D5594" t="s">
        <v>7626</v>
      </c>
      <c r="E5594" t="s">
        <v>28984</v>
      </c>
      <c r="F5594">
        <v>149</v>
      </c>
      <c r="G5594">
        <v>2028958</v>
      </c>
      <c r="H5594" t="s">
        <v>28985</v>
      </c>
      <c r="J5594" s="54" t="s">
        <v>6052</v>
      </c>
      <c r="K5594" s="54">
        <v>0</v>
      </c>
      <c r="L5594" s="22" t="s">
        <v>104</v>
      </c>
      <c r="M5594" s="22" t="s">
        <v>37304</v>
      </c>
    </row>
    <row r="5595" spans="1:13" x14ac:dyDescent="0.75">
      <c r="A5595" t="s">
        <v>14751</v>
      </c>
      <c r="B5595" t="s">
        <v>7448</v>
      </c>
      <c r="C5595" t="s">
        <v>6093</v>
      </c>
      <c r="D5595" t="s">
        <v>7449</v>
      </c>
      <c r="E5595">
        <v>11</v>
      </c>
      <c r="F5595">
        <v>25</v>
      </c>
      <c r="G5595">
        <v>1850270</v>
      </c>
      <c r="H5595" t="s">
        <v>14752</v>
      </c>
      <c r="J5595" s="54" t="s">
        <v>6052</v>
      </c>
      <c r="K5595" s="54">
        <v>0</v>
      </c>
      <c r="L5595" s="22" t="s">
        <v>104</v>
      </c>
      <c r="M5595" s="22" t="s">
        <v>37305</v>
      </c>
    </row>
    <row r="5596" spans="1:13" x14ac:dyDescent="0.75">
      <c r="A5596" t="s">
        <v>24494</v>
      </c>
      <c r="B5596" t="s">
        <v>7448</v>
      </c>
      <c r="C5596" t="s">
        <v>6093</v>
      </c>
      <c r="D5596" t="s">
        <v>7449</v>
      </c>
      <c r="E5596">
        <v>100993296213</v>
      </c>
      <c r="F5596">
        <v>27</v>
      </c>
      <c r="G5596">
        <v>1797386</v>
      </c>
      <c r="H5596" t="s">
        <v>24495</v>
      </c>
      <c r="J5596" s="54" t="s">
        <v>6052</v>
      </c>
      <c r="K5596" s="54">
        <v>0</v>
      </c>
      <c r="L5596" s="22" t="s">
        <v>104</v>
      </c>
      <c r="M5596" s="22" t="s">
        <v>37305</v>
      </c>
    </row>
    <row r="5597" spans="1:13" x14ac:dyDescent="0.75">
      <c r="A5597" t="s">
        <v>7447</v>
      </c>
      <c r="B5597" t="s">
        <v>7448</v>
      </c>
      <c r="C5597" t="s">
        <v>6093</v>
      </c>
      <c r="D5597" t="s">
        <v>7449</v>
      </c>
      <c r="E5597" t="s">
        <v>7450</v>
      </c>
      <c r="F5597">
        <v>18</v>
      </c>
      <c r="G5597">
        <v>1821055</v>
      </c>
      <c r="H5597" t="s">
        <v>7451</v>
      </c>
      <c r="J5597" s="54" t="s">
        <v>6052</v>
      </c>
      <c r="K5597" s="54">
        <v>0</v>
      </c>
      <c r="L5597" s="22" t="s">
        <v>104</v>
      </c>
      <c r="M5597" s="22" t="s">
        <v>37305</v>
      </c>
    </row>
    <row r="5598" spans="1:13" x14ac:dyDescent="0.75">
      <c r="A5598" t="s">
        <v>11321</v>
      </c>
      <c r="B5598" t="s">
        <v>7448</v>
      </c>
      <c r="C5598" t="s">
        <v>6093</v>
      </c>
      <c r="D5598" t="s">
        <v>7449</v>
      </c>
      <c r="E5598" t="s">
        <v>11322</v>
      </c>
      <c r="F5598">
        <v>50</v>
      </c>
      <c r="G5598">
        <v>1839495</v>
      </c>
      <c r="H5598" t="s">
        <v>11323</v>
      </c>
      <c r="J5598" s="54" t="s">
        <v>6052</v>
      </c>
      <c r="K5598" s="54">
        <v>0</v>
      </c>
      <c r="L5598" s="22" t="s">
        <v>104</v>
      </c>
      <c r="M5598" s="22" t="s">
        <v>37305</v>
      </c>
    </row>
    <row r="5599" spans="1:13" x14ac:dyDescent="0.75">
      <c r="A5599" t="s">
        <v>24689</v>
      </c>
      <c r="B5599" t="s">
        <v>7448</v>
      </c>
      <c r="C5599" t="s">
        <v>6093</v>
      </c>
      <c r="D5599" t="s">
        <v>7449</v>
      </c>
      <c r="E5599" t="s">
        <v>24690</v>
      </c>
      <c r="F5599">
        <v>57</v>
      </c>
      <c r="G5599">
        <v>1817571</v>
      </c>
      <c r="H5599" t="s">
        <v>24691</v>
      </c>
      <c r="J5599" s="54" t="s">
        <v>6052</v>
      </c>
      <c r="K5599" s="54">
        <v>0</v>
      </c>
      <c r="L5599" s="22" t="s">
        <v>104</v>
      </c>
      <c r="M5599" s="22" t="s">
        <v>37305</v>
      </c>
    </row>
    <row r="5600" spans="1:13" x14ac:dyDescent="0.75">
      <c r="A5600" t="s">
        <v>24677</v>
      </c>
      <c r="B5600" t="s">
        <v>7448</v>
      </c>
      <c r="C5600" t="s">
        <v>6093</v>
      </c>
      <c r="D5600" t="s">
        <v>7449</v>
      </c>
      <c r="E5600" t="s">
        <v>24678</v>
      </c>
      <c r="F5600">
        <v>18</v>
      </c>
      <c r="G5600">
        <v>1901005</v>
      </c>
      <c r="H5600" t="s">
        <v>24679</v>
      </c>
      <c r="J5600" s="54" t="s">
        <v>6052</v>
      </c>
      <c r="K5600" s="54">
        <v>0</v>
      </c>
      <c r="L5600" s="22" t="s">
        <v>104</v>
      </c>
      <c r="M5600" s="22" t="s">
        <v>37305</v>
      </c>
    </row>
    <row r="5601" spans="1:13" x14ac:dyDescent="0.75">
      <c r="A5601" t="s">
        <v>24589</v>
      </c>
      <c r="B5601" t="s">
        <v>7448</v>
      </c>
      <c r="C5601" t="s">
        <v>6093</v>
      </c>
      <c r="D5601" t="s">
        <v>7449</v>
      </c>
      <c r="E5601" t="s">
        <v>24590</v>
      </c>
      <c r="F5601">
        <v>32</v>
      </c>
      <c r="G5601">
        <v>1865134</v>
      </c>
      <c r="H5601" t="s">
        <v>24591</v>
      </c>
      <c r="J5601" s="54" t="s">
        <v>6052</v>
      </c>
      <c r="K5601" s="54">
        <v>0</v>
      </c>
      <c r="L5601" s="22" t="s">
        <v>104</v>
      </c>
      <c r="M5601" s="22" t="s">
        <v>37305</v>
      </c>
    </row>
    <row r="5602" spans="1:13" x14ac:dyDescent="0.75">
      <c r="A5602" t="s">
        <v>24583</v>
      </c>
      <c r="B5602" t="s">
        <v>7448</v>
      </c>
      <c r="C5602" t="s">
        <v>6093</v>
      </c>
      <c r="D5602" t="s">
        <v>7449</v>
      </c>
      <c r="E5602" t="s">
        <v>24584</v>
      </c>
      <c r="F5602">
        <v>32</v>
      </c>
      <c r="G5602">
        <v>1838285</v>
      </c>
      <c r="H5602" t="s">
        <v>24585</v>
      </c>
      <c r="J5602" s="54" t="s">
        <v>6052</v>
      </c>
      <c r="K5602" s="54">
        <v>0</v>
      </c>
      <c r="L5602" s="22" t="s">
        <v>104</v>
      </c>
      <c r="M5602" s="22" t="s">
        <v>37305</v>
      </c>
    </row>
    <row r="5603" spans="1:13" x14ac:dyDescent="0.75">
      <c r="A5603" t="s">
        <v>24737</v>
      </c>
      <c r="B5603" t="s">
        <v>7448</v>
      </c>
      <c r="C5603" t="s">
        <v>6093</v>
      </c>
      <c r="D5603" t="s">
        <v>7449</v>
      </c>
      <c r="E5603" t="s">
        <v>24738</v>
      </c>
      <c r="F5603">
        <v>39</v>
      </c>
      <c r="G5603">
        <v>1822684</v>
      </c>
      <c r="H5603" t="s">
        <v>24739</v>
      </c>
      <c r="J5603" s="54" t="s">
        <v>6052</v>
      </c>
      <c r="K5603" s="54">
        <v>0</v>
      </c>
      <c r="L5603" s="22" t="s">
        <v>104</v>
      </c>
      <c r="M5603" s="22" t="s">
        <v>37305</v>
      </c>
    </row>
    <row r="5604" spans="1:13" x14ac:dyDescent="0.75">
      <c r="A5604" t="s">
        <v>26154</v>
      </c>
      <c r="B5604" t="s">
        <v>11806</v>
      </c>
      <c r="C5604" t="s">
        <v>10853</v>
      </c>
      <c r="D5604" t="s">
        <v>11807</v>
      </c>
      <c r="E5604" t="s">
        <v>26155</v>
      </c>
      <c r="F5604">
        <v>53</v>
      </c>
      <c r="G5604">
        <v>1334124</v>
      </c>
      <c r="H5604" t="s">
        <v>26156</v>
      </c>
      <c r="J5604" s="54" t="s">
        <v>6052</v>
      </c>
      <c r="K5604" s="54">
        <v>0</v>
      </c>
      <c r="L5604" s="22" t="s">
        <v>1308</v>
      </c>
      <c r="M5604" s="22" t="s">
        <v>37285</v>
      </c>
    </row>
    <row r="5605" spans="1:13" x14ac:dyDescent="0.75">
      <c r="A5605" t="s">
        <v>26157</v>
      </c>
      <c r="B5605" t="s">
        <v>10852</v>
      </c>
      <c r="C5605" t="s">
        <v>10853</v>
      </c>
      <c r="D5605" t="s">
        <v>6831</v>
      </c>
      <c r="E5605" t="s">
        <v>26158</v>
      </c>
      <c r="F5605">
        <v>104</v>
      </c>
      <c r="G5605">
        <v>1311068</v>
      </c>
      <c r="H5605" t="s">
        <v>26159</v>
      </c>
      <c r="J5605" s="54" t="s">
        <v>6052</v>
      </c>
      <c r="K5605" s="54">
        <v>0</v>
      </c>
      <c r="L5605" s="22" t="s">
        <v>1308</v>
      </c>
      <c r="M5605" s="22" t="s">
        <v>37286</v>
      </c>
    </row>
    <row r="5606" spans="1:13" x14ac:dyDescent="0.75">
      <c r="A5606" t="s">
        <v>11805</v>
      </c>
      <c r="B5606" t="s">
        <v>11806</v>
      </c>
      <c r="C5606" t="s">
        <v>10853</v>
      </c>
      <c r="D5606" t="s">
        <v>11807</v>
      </c>
      <c r="E5606" t="s">
        <v>11808</v>
      </c>
      <c r="F5606">
        <v>32</v>
      </c>
      <c r="G5606">
        <v>1291023</v>
      </c>
      <c r="H5606" t="s">
        <v>11809</v>
      </c>
      <c r="J5606" s="54" t="s">
        <v>6052</v>
      </c>
      <c r="K5606" s="54">
        <v>0</v>
      </c>
      <c r="L5606" s="22" t="s">
        <v>1308</v>
      </c>
      <c r="M5606" s="22" t="s">
        <v>37285</v>
      </c>
    </row>
    <row r="5607" spans="1:13" x14ac:dyDescent="0.75">
      <c r="A5607" t="s">
        <v>30287</v>
      </c>
      <c r="B5607" t="s">
        <v>11806</v>
      </c>
      <c r="C5607" t="s">
        <v>10853</v>
      </c>
      <c r="D5607" t="s">
        <v>11807</v>
      </c>
      <c r="E5607" t="s">
        <v>30288</v>
      </c>
      <c r="F5607">
        <v>39</v>
      </c>
      <c r="G5607">
        <v>1318665</v>
      </c>
      <c r="H5607" t="s">
        <v>30289</v>
      </c>
      <c r="J5607" s="54" t="s">
        <v>6052</v>
      </c>
      <c r="K5607" s="54">
        <v>0</v>
      </c>
      <c r="L5607" s="22" t="s">
        <v>1308</v>
      </c>
      <c r="M5607" s="22" t="s">
        <v>37285</v>
      </c>
    </row>
    <row r="5608" spans="1:13" x14ac:dyDescent="0.75">
      <c r="A5608" t="s">
        <v>30296</v>
      </c>
      <c r="B5608" t="s">
        <v>10852</v>
      </c>
      <c r="C5608" t="s">
        <v>10853</v>
      </c>
      <c r="D5608" t="s">
        <v>6831</v>
      </c>
      <c r="E5608" t="s">
        <v>30297</v>
      </c>
      <c r="F5608">
        <v>21</v>
      </c>
      <c r="G5608">
        <v>1266899</v>
      </c>
      <c r="H5608" t="s">
        <v>30298</v>
      </c>
      <c r="J5608" s="54" t="s">
        <v>6052</v>
      </c>
      <c r="K5608" s="54">
        <v>0</v>
      </c>
      <c r="L5608" s="22" t="s">
        <v>1308</v>
      </c>
      <c r="M5608" s="22" t="s">
        <v>37286</v>
      </c>
    </row>
    <row r="5609" spans="1:13" x14ac:dyDescent="0.75">
      <c r="A5609" t="s">
        <v>30202</v>
      </c>
      <c r="B5609" t="s">
        <v>10852</v>
      </c>
      <c r="C5609" t="s">
        <v>10853</v>
      </c>
      <c r="D5609" t="s">
        <v>6831</v>
      </c>
      <c r="E5609" t="s">
        <v>30203</v>
      </c>
      <c r="F5609">
        <v>68</v>
      </c>
      <c r="G5609">
        <v>1334841</v>
      </c>
      <c r="H5609" t="s">
        <v>30204</v>
      </c>
      <c r="J5609" s="54" t="s">
        <v>6052</v>
      </c>
      <c r="K5609" s="54">
        <v>0</v>
      </c>
      <c r="L5609" s="22" t="s">
        <v>1308</v>
      </c>
      <c r="M5609" s="22" t="s">
        <v>37286</v>
      </c>
    </row>
    <row r="5610" spans="1:13" x14ac:dyDescent="0.75">
      <c r="A5610" t="s">
        <v>28569</v>
      </c>
      <c r="B5610" t="s">
        <v>11806</v>
      </c>
      <c r="C5610" t="s">
        <v>10853</v>
      </c>
      <c r="D5610" t="s">
        <v>11807</v>
      </c>
      <c r="E5610" t="s">
        <v>28570</v>
      </c>
      <c r="F5610">
        <v>19</v>
      </c>
      <c r="G5610">
        <v>1245505</v>
      </c>
      <c r="H5610" t="s">
        <v>28571</v>
      </c>
      <c r="J5610" s="54" t="s">
        <v>6052</v>
      </c>
      <c r="K5610" s="54">
        <v>0</v>
      </c>
      <c r="L5610" s="22" t="s">
        <v>1308</v>
      </c>
      <c r="M5610" s="22" t="s">
        <v>37285</v>
      </c>
    </row>
    <row r="5611" spans="1:13" x14ac:dyDescent="0.75">
      <c r="A5611" t="s">
        <v>28626</v>
      </c>
      <c r="B5611" t="s">
        <v>10852</v>
      </c>
      <c r="C5611" t="s">
        <v>10853</v>
      </c>
      <c r="D5611" t="s">
        <v>6831</v>
      </c>
      <c r="E5611" t="s">
        <v>28627</v>
      </c>
      <c r="F5611">
        <v>40</v>
      </c>
      <c r="G5611">
        <v>1228854</v>
      </c>
      <c r="H5611" t="s">
        <v>28628</v>
      </c>
      <c r="J5611" s="54" t="s">
        <v>6052</v>
      </c>
      <c r="K5611" s="54">
        <v>0</v>
      </c>
      <c r="L5611" s="22" t="s">
        <v>1308</v>
      </c>
      <c r="M5611" s="22" t="s">
        <v>37286</v>
      </c>
    </row>
    <row r="5612" spans="1:13" x14ac:dyDescent="0.75">
      <c r="A5612" t="s">
        <v>10851</v>
      </c>
      <c r="B5612" t="s">
        <v>10852</v>
      </c>
      <c r="C5612" t="s">
        <v>10853</v>
      </c>
      <c r="D5612" t="s">
        <v>6831</v>
      </c>
      <c r="E5612" t="s">
        <v>10854</v>
      </c>
      <c r="F5612">
        <v>1</v>
      </c>
      <c r="G5612">
        <v>1330224</v>
      </c>
      <c r="H5612" t="s">
        <v>10855</v>
      </c>
      <c r="J5612" s="54" t="s">
        <v>6052</v>
      </c>
      <c r="K5612" s="54">
        <v>0</v>
      </c>
      <c r="L5612" s="22" t="s">
        <v>1308</v>
      </c>
      <c r="M5612" s="22" t="s">
        <v>37286</v>
      </c>
    </row>
    <row r="5613" spans="1:13" x14ac:dyDescent="0.75">
      <c r="A5613" t="s">
        <v>30214</v>
      </c>
      <c r="B5613" t="s">
        <v>11806</v>
      </c>
      <c r="C5613" t="s">
        <v>10853</v>
      </c>
      <c r="D5613" t="s">
        <v>11807</v>
      </c>
      <c r="E5613" t="s">
        <v>30215</v>
      </c>
      <c r="F5613">
        <v>65</v>
      </c>
      <c r="G5613">
        <v>1287573</v>
      </c>
      <c r="H5613" t="s">
        <v>30216</v>
      </c>
      <c r="J5613" s="54" t="s">
        <v>6052</v>
      </c>
      <c r="K5613" s="54">
        <v>0</v>
      </c>
      <c r="L5613" s="22" t="s">
        <v>1308</v>
      </c>
      <c r="M5613" s="22" t="s">
        <v>37285</v>
      </c>
    </row>
    <row r="5614" spans="1:13" x14ac:dyDescent="0.75">
      <c r="A5614" t="s">
        <v>30226</v>
      </c>
      <c r="B5614" t="s">
        <v>10852</v>
      </c>
      <c r="C5614" t="s">
        <v>10853</v>
      </c>
      <c r="D5614" t="s">
        <v>6831</v>
      </c>
      <c r="E5614" t="s">
        <v>30227</v>
      </c>
      <c r="F5614">
        <v>18</v>
      </c>
      <c r="G5614">
        <v>1273293</v>
      </c>
      <c r="H5614" t="s">
        <v>30228</v>
      </c>
      <c r="J5614" s="54" t="s">
        <v>6052</v>
      </c>
      <c r="K5614" s="54">
        <v>0</v>
      </c>
      <c r="L5614" s="22" t="s">
        <v>1308</v>
      </c>
      <c r="M5614" s="22" t="s">
        <v>37286</v>
      </c>
    </row>
    <row r="5615" spans="1:13" x14ac:dyDescent="0.75">
      <c r="A5615" t="s">
        <v>30261</v>
      </c>
      <c r="B5615" t="s">
        <v>10852</v>
      </c>
      <c r="C5615" t="s">
        <v>10853</v>
      </c>
      <c r="D5615" t="s">
        <v>6831</v>
      </c>
      <c r="E5615" t="s">
        <v>30262</v>
      </c>
      <c r="F5615">
        <v>16</v>
      </c>
      <c r="G5615">
        <v>1258649</v>
      </c>
      <c r="H5615" t="s">
        <v>30263</v>
      </c>
      <c r="J5615" s="54" t="s">
        <v>6052</v>
      </c>
      <c r="K5615" s="54">
        <v>0</v>
      </c>
      <c r="L5615" s="22" t="s">
        <v>1308</v>
      </c>
      <c r="M5615" s="22" t="s">
        <v>37286</v>
      </c>
    </row>
    <row r="5616" spans="1:13" x14ac:dyDescent="0.75">
      <c r="A5616" t="s">
        <v>30241</v>
      </c>
      <c r="B5616" t="s">
        <v>11806</v>
      </c>
      <c r="C5616" t="s">
        <v>10853</v>
      </c>
      <c r="D5616" t="s">
        <v>11807</v>
      </c>
      <c r="E5616" t="s">
        <v>30242</v>
      </c>
      <c r="F5616">
        <v>27</v>
      </c>
      <c r="G5616">
        <v>1279521</v>
      </c>
      <c r="H5616" t="s">
        <v>30243</v>
      </c>
      <c r="J5616" s="54" t="s">
        <v>6052</v>
      </c>
      <c r="K5616" s="54">
        <v>0</v>
      </c>
      <c r="L5616" s="22" t="s">
        <v>1308</v>
      </c>
      <c r="M5616" s="22" t="s">
        <v>37285</v>
      </c>
    </row>
    <row r="5617" spans="1:13" x14ac:dyDescent="0.75">
      <c r="A5617" t="s">
        <v>30398</v>
      </c>
      <c r="B5617" t="s">
        <v>10852</v>
      </c>
      <c r="C5617" t="s">
        <v>10853</v>
      </c>
      <c r="D5617" t="s">
        <v>6831</v>
      </c>
      <c r="E5617" t="s">
        <v>30399</v>
      </c>
      <c r="F5617">
        <v>22</v>
      </c>
      <c r="G5617">
        <v>1416541</v>
      </c>
      <c r="H5617" t="s">
        <v>30400</v>
      </c>
      <c r="J5617" s="54" t="s">
        <v>6052</v>
      </c>
      <c r="K5617" s="54">
        <v>0</v>
      </c>
      <c r="L5617" s="22" t="s">
        <v>1308</v>
      </c>
      <c r="M5617" s="22" t="s">
        <v>37286</v>
      </c>
    </row>
    <row r="5618" spans="1:13" x14ac:dyDescent="0.75">
      <c r="A5618" t="s">
        <v>30433</v>
      </c>
      <c r="B5618" t="s">
        <v>11806</v>
      </c>
      <c r="C5618" t="s">
        <v>10853</v>
      </c>
      <c r="D5618" t="s">
        <v>11807</v>
      </c>
      <c r="E5618" t="s">
        <v>30434</v>
      </c>
      <c r="F5618">
        <v>29</v>
      </c>
      <c r="G5618">
        <v>1218127</v>
      </c>
      <c r="H5618" t="s">
        <v>30435</v>
      </c>
      <c r="J5618" s="54" t="s">
        <v>6052</v>
      </c>
      <c r="K5618" s="54">
        <v>0</v>
      </c>
      <c r="L5618" s="22" t="s">
        <v>1308</v>
      </c>
      <c r="M5618" s="22" t="s">
        <v>37285</v>
      </c>
    </row>
    <row r="5619" spans="1:13" x14ac:dyDescent="0.75">
      <c r="A5619" t="s">
        <v>30451</v>
      </c>
      <c r="B5619" t="s">
        <v>11806</v>
      </c>
      <c r="C5619" t="s">
        <v>10853</v>
      </c>
      <c r="D5619" t="s">
        <v>11807</v>
      </c>
      <c r="E5619" t="s">
        <v>30452</v>
      </c>
      <c r="F5619">
        <v>24</v>
      </c>
      <c r="G5619">
        <v>1259487</v>
      </c>
      <c r="H5619" t="s">
        <v>30453</v>
      </c>
      <c r="J5619" s="54" t="s">
        <v>6052</v>
      </c>
      <c r="K5619" s="54">
        <v>0</v>
      </c>
      <c r="L5619" s="22" t="s">
        <v>1308</v>
      </c>
      <c r="M5619" s="22" t="s">
        <v>37285</v>
      </c>
    </row>
    <row r="5620" spans="1:13" x14ac:dyDescent="0.75">
      <c r="A5620" t="s">
        <v>30410</v>
      </c>
      <c r="B5620" t="s">
        <v>10852</v>
      </c>
      <c r="C5620" t="s">
        <v>10853</v>
      </c>
      <c r="D5620" t="s">
        <v>6831</v>
      </c>
      <c r="E5620" t="s">
        <v>30411</v>
      </c>
      <c r="F5620">
        <v>65</v>
      </c>
      <c r="G5620">
        <v>1328015</v>
      </c>
      <c r="H5620" t="s">
        <v>30412</v>
      </c>
      <c r="J5620" s="54" t="s">
        <v>6052</v>
      </c>
      <c r="K5620" s="54">
        <v>0</v>
      </c>
      <c r="L5620" s="22" t="s">
        <v>1308</v>
      </c>
      <c r="M5620" s="22" t="s">
        <v>37286</v>
      </c>
    </row>
    <row r="5621" spans="1:13" x14ac:dyDescent="0.75">
      <c r="A5621" t="s">
        <v>19059</v>
      </c>
      <c r="B5621" t="s">
        <v>10852</v>
      </c>
      <c r="C5621" t="s">
        <v>10853</v>
      </c>
      <c r="D5621" t="s">
        <v>6831</v>
      </c>
      <c r="E5621" t="s">
        <v>19060</v>
      </c>
      <c r="F5621">
        <v>66</v>
      </c>
      <c r="G5621">
        <v>1275728</v>
      </c>
      <c r="H5621" t="s">
        <v>19061</v>
      </c>
      <c r="J5621" s="54" t="s">
        <v>6052</v>
      </c>
      <c r="K5621" s="54">
        <v>0</v>
      </c>
      <c r="L5621" s="22" t="s">
        <v>1308</v>
      </c>
      <c r="M5621" s="22" t="s">
        <v>37286</v>
      </c>
    </row>
    <row r="5622" spans="1:13" x14ac:dyDescent="0.75">
      <c r="A5622" t="s">
        <v>27854</v>
      </c>
      <c r="B5622" t="s">
        <v>11806</v>
      </c>
      <c r="C5622" t="s">
        <v>10853</v>
      </c>
      <c r="D5622" t="s">
        <v>11807</v>
      </c>
      <c r="E5622" t="s">
        <v>27855</v>
      </c>
      <c r="F5622">
        <v>80</v>
      </c>
      <c r="G5622">
        <v>1366678</v>
      </c>
      <c r="H5622" t="s">
        <v>27856</v>
      </c>
      <c r="J5622" s="54" t="s">
        <v>6052</v>
      </c>
      <c r="K5622" s="54">
        <v>0</v>
      </c>
      <c r="L5622" s="22" t="s">
        <v>1308</v>
      </c>
      <c r="M5622" s="22" t="s">
        <v>37285</v>
      </c>
    </row>
    <row r="5623" spans="1:13" x14ac:dyDescent="0.75">
      <c r="A5623" t="s">
        <v>24740</v>
      </c>
      <c r="B5623" t="s">
        <v>7448</v>
      </c>
      <c r="C5623" t="s">
        <v>6093</v>
      </c>
      <c r="D5623" t="s">
        <v>7449</v>
      </c>
      <c r="E5623" t="s">
        <v>24741</v>
      </c>
      <c r="F5623">
        <v>34</v>
      </c>
      <c r="G5623">
        <v>1823752</v>
      </c>
      <c r="H5623" t="s">
        <v>24742</v>
      </c>
      <c r="J5623" s="54" t="s">
        <v>6052</v>
      </c>
      <c r="K5623" s="54">
        <v>0</v>
      </c>
      <c r="L5623" s="22" t="s">
        <v>104</v>
      </c>
      <c r="M5623" s="22" t="s">
        <v>37305</v>
      </c>
    </row>
    <row r="5624" spans="1:13" x14ac:dyDescent="0.75">
      <c r="A5624" t="s">
        <v>24646</v>
      </c>
      <c r="B5624" t="s">
        <v>7448</v>
      </c>
      <c r="C5624" t="s">
        <v>6093</v>
      </c>
      <c r="D5624" t="s">
        <v>7449</v>
      </c>
      <c r="E5624" t="s">
        <v>24647</v>
      </c>
      <c r="F5624">
        <v>47</v>
      </c>
      <c r="G5624">
        <v>1933320</v>
      </c>
      <c r="H5624" t="s">
        <v>24648</v>
      </c>
      <c r="J5624" s="54" t="s">
        <v>6052</v>
      </c>
      <c r="K5624" s="54">
        <v>0</v>
      </c>
      <c r="L5624" s="22" t="s">
        <v>104</v>
      </c>
      <c r="M5624" s="22" t="s">
        <v>37305</v>
      </c>
    </row>
    <row r="5625" spans="1:13" x14ac:dyDescent="0.75">
      <c r="A5625" t="s">
        <v>24643</v>
      </c>
      <c r="B5625" t="s">
        <v>7448</v>
      </c>
      <c r="C5625" t="s">
        <v>6093</v>
      </c>
      <c r="D5625" t="s">
        <v>7449</v>
      </c>
      <c r="E5625" t="s">
        <v>24644</v>
      </c>
      <c r="F5625">
        <v>29</v>
      </c>
      <c r="G5625">
        <v>1837705</v>
      </c>
      <c r="H5625" t="s">
        <v>24645</v>
      </c>
      <c r="J5625" s="54" t="s">
        <v>6052</v>
      </c>
      <c r="K5625" s="54">
        <v>0</v>
      </c>
      <c r="L5625" s="22" t="s">
        <v>104</v>
      </c>
      <c r="M5625" s="22" t="s">
        <v>37305</v>
      </c>
    </row>
    <row r="5626" spans="1:13" x14ac:dyDescent="0.75">
      <c r="A5626" t="s">
        <v>24640</v>
      </c>
      <c r="B5626" t="s">
        <v>7448</v>
      </c>
      <c r="C5626" t="s">
        <v>6093</v>
      </c>
      <c r="D5626" t="s">
        <v>7449</v>
      </c>
      <c r="E5626" t="s">
        <v>24641</v>
      </c>
      <c r="F5626">
        <v>41</v>
      </c>
      <c r="G5626">
        <v>1938107</v>
      </c>
      <c r="H5626" t="s">
        <v>24642</v>
      </c>
      <c r="J5626" s="54" t="s">
        <v>6052</v>
      </c>
      <c r="K5626" s="54">
        <v>0</v>
      </c>
      <c r="L5626" s="22" t="s">
        <v>104</v>
      </c>
      <c r="M5626" s="22" t="s">
        <v>37305</v>
      </c>
    </row>
    <row r="5627" spans="1:13" x14ac:dyDescent="0.75">
      <c r="A5627" t="s">
        <v>24637</v>
      </c>
      <c r="B5627" t="s">
        <v>7448</v>
      </c>
      <c r="C5627" t="s">
        <v>6093</v>
      </c>
      <c r="D5627" t="s">
        <v>7449</v>
      </c>
      <c r="E5627" t="s">
        <v>24638</v>
      </c>
      <c r="F5627">
        <v>22</v>
      </c>
      <c r="G5627">
        <v>1837737</v>
      </c>
      <c r="H5627" t="s">
        <v>24639</v>
      </c>
      <c r="J5627" s="54" t="s">
        <v>6052</v>
      </c>
      <c r="K5627" s="54">
        <v>0</v>
      </c>
      <c r="L5627" s="22" t="s">
        <v>104</v>
      </c>
      <c r="M5627" s="22" t="s">
        <v>37305</v>
      </c>
    </row>
    <row r="5628" spans="1:13" x14ac:dyDescent="0.75">
      <c r="A5628" t="s">
        <v>24734</v>
      </c>
      <c r="B5628" t="s">
        <v>7448</v>
      </c>
      <c r="C5628" t="s">
        <v>6093</v>
      </c>
      <c r="D5628" t="s">
        <v>7449</v>
      </c>
      <c r="E5628" t="s">
        <v>24735</v>
      </c>
      <c r="F5628">
        <v>38</v>
      </c>
      <c r="G5628">
        <v>1890459</v>
      </c>
      <c r="H5628" t="s">
        <v>24736</v>
      </c>
      <c r="J5628" s="54" t="s">
        <v>6052</v>
      </c>
      <c r="K5628" s="54">
        <v>0</v>
      </c>
      <c r="L5628" s="22" t="s">
        <v>104</v>
      </c>
      <c r="M5628" s="22" t="s">
        <v>37305</v>
      </c>
    </row>
    <row r="5629" spans="1:13" x14ac:dyDescent="0.75">
      <c r="A5629" t="s">
        <v>13470</v>
      </c>
      <c r="B5629" t="s">
        <v>7448</v>
      </c>
      <c r="C5629" t="s">
        <v>6093</v>
      </c>
      <c r="D5629" t="s">
        <v>7449</v>
      </c>
      <c r="E5629" t="s">
        <v>13471</v>
      </c>
      <c r="F5629">
        <v>9</v>
      </c>
      <c r="G5629">
        <v>1904351</v>
      </c>
      <c r="H5629" t="s">
        <v>13472</v>
      </c>
      <c r="J5629" s="54" t="s">
        <v>6052</v>
      </c>
      <c r="K5629" s="54">
        <v>0</v>
      </c>
      <c r="L5629" s="22" t="s">
        <v>104</v>
      </c>
      <c r="M5629" s="22" t="s">
        <v>37305</v>
      </c>
    </row>
    <row r="5630" spans="1:13" x14ac:dyDescent="0.75">
      <c r="A5630" t="s">
        <v>19737</v>
      </c>
      <c r="B5630" t="s">
        <v>7448</v>
      </c>
      <c r="C5630" t="s">
        <v>6093</v>
      </c>
      <c r="D5630" t="s">
        <v>7449</v>
      </c>
      <c r="E5630" t="s">
        <v>19738</v>
      </c>
      <c r="F5630">
        <v>59</v>
      </c>
      <c r="G5630">
        <v>2216880</v>
      </c>
      <c r="H5630" t="s">
        <v>19739</v>
      </c>
      <c r="J5630" s="54" t="s">
        <v>6052</v>
      </c>
      <c r="K5630" s="54">
        <v>0</v>
      </c>
      <c r="L5630" s="22" t="s">
        <v>104</v>
      </c>
      <c r="M5630" s="22" t="s">
        <v>37305</v>
      </c>
    </row>
    <row r="5631" spans="1:13" x14ac:dyDescent="0.75">
      <c r="A5631" t="s">
        <v>2271</v>
      </c>
      <c r="B5631" t="s">
        <v>2272</v>
      </c>
      <c r="C5631" t="s">
        <v>16619</v>
      </c>
      <c r="D5631" t="s">
        <v>16620</v>
      </c>
      <c r="E5631" t="s">
        <v>16621</v>
      </c>
      <c r="F5631">
        <v>4</v>
      </c>
      <c r="G5631">
        <v>4382271</v>
      </c>
      <c r="H5631" t="s">
        <v>16622</v>
      </c>
      <c r="J5631" s="54" t="s">
        <v>6052</v>
      </c>
      <c r="K5631" s="54">
        <v>0</v>
      </c>
      <c r="L5631" s="22" t="s">
        <v>1563</v>
      </c>
      <c r="M5631" s="22" t="s">
        <v>2273</v>
      </c>
    </row>
    <row r="5632" spans="1:13" x14ac:dyDescent="0.75">
      <c r="A5632" t="s">
        <v>2892</v>
      </c>
      <c r="B5632" t="s">
        <v>2272</v>
      </c>
      <c r="C5632" t="s">
        <v>16619</v>
      </c>
      <c r="D5632" t="s">
        <v>16620</v>
      </c>
      <c r="E5632" t="s">
        <v>19017</v>
      </c>
      <c r="F5632">
        <v>64</v>
      </c>
      <c r="G5632">
        <v>4470563</v>
      </c>
      <c r="H5632" t="s">
        <v>19018</v>
      </c>
      <c r="J5632" s="54" t="s">
        <v>6052</v>
      </c>
      <c r="K5632" s="54">
        <v>0</v>
      </c>
      <c r="L5632" s="22" t="s">
        <v>1563</v>
      </c>
      <c r="M5632" s="22" t="s">
        <v>2273</v>
      </c>
    </row>
    <row r="5633" spans="1:13" x14ac:dyDescent="0.75">
      <c r="A5633" t="s">
        <v>2342</v>
      </c>
      <c r="B5633" t="s">
        <v>2272</v>
      </c>
      <c r="C5633" t="s">
        <v>16619</v>
      </c>
      <c r="D5633" t="s">
        <v>16620</v>
      </c>
      <c r="E5633" t="s">
        <v>16975</v>
      </c>
      <c r="F5633">
        <v>24</v>
      </c>
      <c r="G5633">
        <v>5126166</v>
      </c>
      <c r="H5633" t="s">
        <v>16976</v>
      </c>
      <c r="J5633" s="54" t="s">
        <v>6052</v>
      </c>
      <c r="K5633" s="54">
        <v>0</v>
      </c>
      <c r="L5633" s="22" t="s">
        <v>1563</v>
      </c>
      <c r="M5633" s="22" t="s">
        <v>2273</v>
      </c>
    </row>
    <row r="5634" spans="1:13" x14ac:dyDescent="0.75">
      <c r="A5634" t="s">
        <v>23812</v>
      </c>
      <c r="B5634" t="s">
        <v>6195</v>
      </c>
      <c r="C5634" t="s">
        <v>6124</v>
      </c>
      <c r="D5634" t="s">
        <v>6196</v>
      </c>
      <c r="E5634">
        <v>4</v>
      </c>
      <c r="F5634">
        <v>1</v>
      </c>
      <c r="G5634">
        <v>2575474</v>
      </c>
      <c r="H5634" t="s">
        <v>23813</v>
      </c>
      <c r="J5634" s="54" t="s">
        <v>6052</v>
      </c>
      <c r="K5634" s="54">
        <v>0</v>
      </c>
      <c r="L5634" s="22" t="s">
        <v>36807</v>
      </c>
      <c r="M5634" s="22" t="s">
        <v>37288</v>
      </c>
    </row>
    <row r="5635" spans="1:13" x14ac:dyDescent="0.75">
      <c r="A5635" t="s">
        <v>23816</v>
      </c>
      <c r="B5635" t="s">
        <v>6195</v>
      </c>
      <c r="C5635" t="s">
        <v>6124</v>
      </c>
      <c r="D5635" t="s">
        <v>6196</v>
      </c>
      <c r="E5635">
        <v>5</v>
      </c>
      <c r="F5635">
        <v>2</v>
      </c>
      <c r="G5635">
        <v>2663947</v>
      </c>
      <c r="H5635" t="s">
        <v>23817</v>
      </c>
      <c r="J5635" s="54" t="s">
        <v>6052</v>
      </c>
      <c r="K5635" s="54">
        <v>0</v>
      </c>
      <c r="L5635" s="22" t="s">
        <v>36807</v>
      </c>
      <c r="M5635" s="22" t="s">
        <v>37288</v>
      </c>
    </row>
    <row r="5636" spans="1:13" x14ac:dyDescent="0.75">
      <c r="A5636" t="s">
        <v>23814</v>
      </c>
      <c r="B5636" t="s">
        <v>6195</v>
      </c>
      <c r="C5636" t="s">
        <v>6124</v>
      </c>
      <c r="D5636" t="s">
        <v>6196</v>
      </c>
      <c r="E5636">
        <v>6</v>
      </c>
      <c r="F5636">
        <v>2</v>
      </c>
      <c r="G5636">
        <v>2582674</v>
      </c>
      <c r="H5636" t="s">
        <v>23815</v>
      </c>
      <c r="J5636" s="54" t="s">
        <v>6052</v>
      </c>
      <c r="K5636" s="54">
        <v>0</v>
      </c>
      <c r="L5636" s="22" t="s">
        <v>36807</v>
      </c>
      <c r="M5636" s="22" t="s">
        <v>37288</v>
      </c>
    </row>
    <row r="5637" spans="1:13" x14ac:dyDescent="0.75">
      <c r="A5637" t="s">
        <v>23810</v>
      </c>
      <c r="B5637" t="s">
        <v>9016</v>
      </c>
      <c r="C5637" t="s">
        <v>6124</v>
      </c>
      <c r="D5637" t="s">
        <v>9017</v>
      </c>
      <c r="E5637">
        <v>11</v>
      </c>
      <c r="F5637">
        <v>2</v>
      </c>
      <c r="G5637">
        <v>2494910</v>
      </c>
      <c r="H5637" t="s">
        <v>23811</v>
      </c>
      <c r="J5637" s="54" t="s">
        <v>6052</v>
      </c>
      <c r="K5637" s="54">
        <v>0</v>
      </c>
      <c r="L5637" s="22" t="s">
        <v>36806</v>
      </c>
      <c r="M5637" s="22" t="s">
        <v>37289</v>
      </c>
    </row>
    <row r="5638" spans="1:13" x14ac:dyDescent="0.75">
      <c r="A5638" t="s">
        <v>15823</v>
      </c>
      <c r="B5638" t="s">
        <v>9016</v>
      </c>
      <c r="C5638" t="s">
        <v>6124</v>
      </c>
      <c r="D5638" t="s">
        <v>9017</v>
      </c>
      <c r="E5638">
        <v>22.1</v>
      </c>
      <c r="F5638">
        <v>2</v>
      </c>
      <c r="G5638">
        <v>2541629</v>
      </c>
      <c r="H5638" t="s">
        <v>15824</v>
      </c>
      <c r="J5638" s="54" t="s">
        <v>6052</v>
      </c>
      <c r="K5638" s="54">
        <v>0</v>
      </c>
      <c r="L5638" s="22" t="s">
        <v>36806</v>
      </c>
      <c r="M5638" s="22" t="s">
        <v>37289</v>
      </c>
    </row>
    <row r="5639" spans="1:13" x14ac:dyDescent="0.75">
      <c r="A5639" t="s">
        <v>22216</v>
      </c>
      <c r="B5639" t="s">
        <v>6123</v>
      </c>
      <c r="C5639" t="s">
        <v>6124</v>
      </c>
      <c r="D5639" t="s">
        <v>6125</v>
      </c>
      <c r="E5639">
        <v>44</v>
      </c>
      <c r="F5639">
        <v>3</v>
      </c>
      <c r="G5639">
        <v>2401799</v>
      </c>
      <c r="H5639" t="s">
        <v>22217</v>
      </c>
      <c r="J5639" s="54" t="s">
        <v>6052</v>
      </c>
      <c r="K5639" s="54">
        <v>0</v>
      </c>
      <c r="L5639" s="22" t="s">
        <v>36806</v>
      </c>
      <c r="M5639" s="22" t="s">
        <v>37290</v>
      </c>
    </row>
    <row r="5640" spans="1:13" x14ac:dyDescent="0.75">
      <c r="A5640" t="s">
        <v>22851</v>
      </c>
      <c r="B5640" t="s">
        <v>6195</v>
      </c>
      <c r="C5640" t="s">
        <v>6124</v>
      </c>
      <c r="D5640" t="s">
        <v>6196</v>
      </c>
      <c r="E5640">
        <v>48</v>
      </c>
      <c r="F5640">
        <v>5</v>
      </c>
      <c r="G5640">
        <v>2611179</v>
      </c>
      <c r="H5640" t="s">
        <v>22852</v>
      </c>
      <c r="J5640" s="54" t="s">
        <v>6052</v>
      </c>
      <c r="K5640" s="54">
        <v>0</v>
      </c>
      <c r="L5640" s="22" t="s">
        <v>36807</v>
      </c>
      <c r="M5640" s="22" t="s">
        <v>37288</v>
      </c>
    </row>
    <row r="5641" spans="1:13" x14ac:dyDescent="0.75">
      <c r="A5641" t="s">
        <v>15339</v>
      </c>
      <c r="B5641" t="s">
        <v>6167</v>
      </c>
      <c r="C5641" t="s">
        <v>6124</v>
      </c>
      <c r="D5641" t="s">
        <v>6168</v>
      </c>
      <c r="E5641">
        <v>165</v>
      </c>
      <c r="F5641">
        <v>1</v>
      </c>
      <c r="G5641">
        <v>2892907</v>
      </c>
      <c r="H5641" t="s">
        <v>15340</v>
      </c>
      <c r="J5641" s="54" t="s">
        <v>6052</v>
      </c>
      <c r="K5641" s="54">
        <v>0</v>
      </c>
      <c r="L5641" s="22" t="s">
        <v>36807</v>
      </c>
      <c r="M5641" s="22" t="s">
        <v>37291</v>
      </c>
    </row>
    <row r="5642" spans="1:13" x14ac:dyDescent="0.75">
      <c r="A5642" t="s">
        <v>22595</v>
      </c>
      <c r="B5642" t="s">
        <v>6167</v>
      </c>
      <c r="C5642" t="s">
        <v>6124</v>
      </c>
      <c r="D5642" t="s">
        <v>6168</v>
      </c>
      <c r="E5642">
        <v>199</v>
      </c>
      <c r="F5642">
        <v>1</v>
      </c>
      <c r="G5642">
        <v>2844011</v>
      </c>
      <c r="H5642" t="s">
        <v>22596</v>
      </c>
      <c r="J5642" s="54" t="s">
        <v>6052</v>
      </c>
      <c r="K5642" s="54">
        <v>0</v>
      </c>
      <c r="L5642" s="22" t="s">
        <v>36807</v>
      </c>
      <c r="M5642" s="22" t="s">
        <v>37291</v>
      </c>
    </row>
    <row r="5643" spans="1:13" x14ac:dyDescent="0.75">
      <c r="A5643" t="s">
        <v>21753</v>
      </c>
      <c r="B5643" t="s">
        <v>6167</v>
      </c>
      <c r="C5643" t="s">
        <v>6124</v>
      </c>
      <c r="D5643" t="s">
        <v>6168</v>
      </c>
      <c r="E5643">
        <v>282</v>
      </c>
      <c r="F5643">
        <v>1</v>
      </c>
      <c r="G5643">
        <v>2732780</v>
      </c>
      <c r="H5643" t="s">
        <v>21754</v>
      </c>
      <c r="J5643" s="54" t="s">
        <v>6052</v>
      </c>
      <c r="K5643" s="54">
        <v>0</v>
      </c>
      <c r="L5643" s="22" t="s">
        <v>36807</v>
      </c>
      <c r="M5643" s="22" t="s">
        <v>37291</v>
      </c>
    </row>
    <row r="5644" spans="1:13" x14ac:dyDescent="0.75">
      <c r="A5644" t="s">
        <v>21751</v>
      </c>
      <c r="B5644" t="s">
        <v>6167</v>
      </c>
      <c r="C5644" t="s">
        <v>6124</v>
      </c>
      <c r="D5644" t="s">
        <v>6168</v>
      </c>
      <c r="E5644">
        <v>327</v>
      </c>
      <c r="F5644">
        <v>1</v>
      </c>
      <c r="G5644">
        <v>2764236</v>
      </c>
      <c r="H5644" t="s">
        <v>21752</v>
      </c>
      <c r="J5644" s="54" t="s">
        <v>6052</v>
      </c>
      <c r="K5644" s="54">
        <v>0</v>
      </c>
      <c r="L5644" s="22" t="s">
        <v>36807</v>
      </c>
      <c r="M5644" s="22" t="s">
        <v>37291</v>
      </c>
    </row>
    <row r="5645" spans="1:13" x14ac:dyDescent="0.75">
      <c r="A5645" t="s">
        <v>22853</v>
      </c>
      <c r="B5645" t="s">
        <v>10958</v>
      </c>
      <c r="C5645" t="s">
        <v>6124</v>
      </c>
      <c r="D5645" t="s">
        <v>6928</v>
      </c>
      <c r="E5645">
        <v>371</v>
      </c>
      <c r="F5645">
        <v>4</v>
      </c>
      <c r="G5645">
        <v>2295464</v>
      </c>
      <c r="H5645" t="s">
        <v>22854</v>
      </c>
      <c r="J5645" s="54" t="s">
        <v>6052</v>
      </c>
      <c r="K5645" s="54">
        <v>0</v>
      </c>
      <c r="L5645" s="22" t="s">
        <v>36806</v>
      </c>
      <c r="M5645" s="22" t="s">
        <v>37292</v>
      </c>
    </row>
    <row r="5646" spans="1:13" x14ac:dyDescent="0.75">
      <c r="A5646" t="s">
        <v>22847</v>
      </c>
      <c r="B5646" t="s">
        <v>10958</v>
      </c>
      <c r="C5646" t="s">
        <v>6124</v>
      </c>
      <c r="D5646" t="s">
        <v>6928</v>
      </c>
      <c r="E5646">
        <v>384</v>
      </c>
      <c r="F5646">
        <v>5</v>
      </c>
      <c r="G5646">
        <v>2315909</v>
      </c>
      <c r="H5646" t="s">
        <v>22848</v>
      </c>
      <c r="J5646" s="54" t="s">
        <v>6052</v>
      </c>
      <c r="K5646" s="54">
        <v>0</v>
      </c>
      <c r="L5646" s="22" t="s">
        <v>36806</v>
      </c>
      <c r="M5646" s="22" t="s">
        <v>37292</v>
      </c>
    </row>
    <row r="5647" spans="1:13" x14ac:dyDescent="0.75">
      <c r="A5647" t="s">
        <v>22849</v>
      </c>
      <c r="B5647" t="s">
        <v>6195</v>
      </c>
      <c r="C5647" t="s">
        <v>6124</v>
      </c>
      <c r="D5647" t="s">
        <v>6196</v>
      </c>
      <c r="E5647">
        <v>1864</v>
      </c>
      <c r="F5647">
        <v>8</v>
      </c>
      <c r="G5647">
        <v>2591539</v>
      </c>
      <c r="H5647" t="s">
        <v>22850</v>
      </c>
      <c r="J5647" s="54" t="s">
        <v>6052</v>
      </c>
      <c r="K5647" s="54">
        <v>0</v>
      </c>
      <c r="L5647" s="22" t="s">
        <v>36807</v>
      </c>
      <c r="M5647" s="22" t="s">
        <v>37288</v>
      </c>
    </row>
    <row r="5648" spans="1:13" x14ac:dyDescent="0.75">
      <c r="A5648" t="s">
        <v>9662</v>
      </c>
      <c r="B5648" t="s">
        <v>6167</v>
      </c>
      <c r="C5648" t="s">
        <v>6124</v>
      </c>
      <c r="D5648" t="s">
        <v>6168</v>
      </c>
      <c r="E5648">
        <v>6850</v>
      </c>
      <c r="F5648">
        <v>1</v>
      </c>
      <c r="G5648">
        <v>2736560</v>
      </c>
      <c r="H5648" t="s">
        <v>9663</v>
      </c>
      <c r="J5648" s="54" t="s">
        <v>6052</v>
      </c>
      <c r="K5648" s="54">
        <v>0</v>
      </c>
      <c r="L5648" s="22" t="s">
        <v>36807</v>
      </c>
      <c r="M5648" s="22" t="s">
        <v>37291</v>
      </c>
    </row>
    <row r="5649" spans="1:13" x14ac:dyDescent="0.75">
      <c r="A5649" t="s">
        <v>25311</v>
      </c>
      <c r="B5649" t="s">
        <v>6123</v>
      </c>
      <c r="C5649" t="s">
        <v>6124</v>
      </c>
      <c r="D5649" t="s">
        <v>6125</v>
      </c>
      <c r="E5649">
        <v>7049</v>
      </c>
      <c r="F5649">
        <v>6</v>
      </c>
      <c r="G5649">
        <v>2640687</v>
      </c>
      <c r="H5649" t="s">
        <v>25312</v>
      </c>
      <c r="J5649" s="54" t="s">
        <v>6052</v>
      </c>
      <c r="K5649" s="54">
        <v>0</v>
      </c>
      <c r="L5649" s="22" t="s">
        <v>36806</v>
      </c>
      <c r="M5649" s="22" t="s">
        <v>37290</v>
      </c>
    </row>
    <row r="5650" spans="1:13" x14ac:dyDescent="0.75">
      <c r="A5650" t="s">
        <v>25319</v>
      </c>
      <c r="B5650" t="s">
        <v>6123</v>
      </c>
      <c r="C5650" t="s">
        <v>6124</v>
      </c>
      <c r="D5650" t="s">
        <v>6125</v>
      </c>
      <c r="E5650">
        <v>7052</v>
      </c>
      <c r="F5650">
        <v>1</v>
      </c>
      <c r="G5650">
        <v>2526290</v>
      </c>
      <c r="H5650" t="s">
        <v>25320</v>
      </c>
      <c r="J5650" s="54" t="s">
        <v>6052</v>
      </c>
      <c r="K5650" s="54">
        <v>0</v>
      </c>
      <c r="L5650" s="22" t="s">
        <v>36806</v>
      </c>
      <c r="M5650" s="22" t="s">
        <v>37290</v>
      </c>
    </row>
    <row r="5651" spans="1:13" x14ac:dyDescent="0.75">
      <c r="A5651" t="s">
        <v>25317</v>
      </c>
      <c r="B5651" t="s">
        <v>6123</v>
      </c>
      <c r="C5651" t="s">
        <v>6124</v>
      </c>
      <c r="D5651" t="s">
        <v>6125</v>
      </c>
      <c r="E5651">
        <v>7055</v>
      </c>
      <c r="F5651">
        <v>1</v>
      </c>
      <c r="G5651">
        <v>2526192</v>
      </c>
      <c r="H5651" t="s">
        <v>25318</v>
      </c>
      <c r="J5651" s="54" t="s">
        <v>6052</v>
      </c>
      <c r="K5651" s="54">
        <v>0</v>
      </c>
      <c r="L5651" s="22" t="s">
        <v>36806</v>
      </c>
      <c r="M5651" s="22" t="s">
        <v>37290</v>
      </c>
    </row>
    <row r="5652" spans="1:13" x14ac:dyDescent="0.75">
      <c r="A5652" t="s">
        <v>25315</v>
      </c>
      <c r="B5652" t="s">
        <v>10958</v>
      </c>
      <c r="C5652" t="s">
        <v>6124</v>
      </c>
      <c r="D5652" t="s">
        <v>6928</v>
      </c>
      <c r="E5652">
        <v>7056</v>
      </c>
      <c r="F5652">
        <v>4</v>
      </c>
      <c r="G5652">
        <v>2251807</v>
      </c>
      <c r="H5652" t="s">
        <v>25316</v>
      </c>
      <c r="J5652" s="54" t="s">
        <v>6052</v>
      </c>
      <c r="K5652" s="54">
        <v>0</v>
      </c>
      <c r="L5652" s="22" t="s">
        <v>36806</v>
      </c>
      <c r="M5652" s="22" t="s">
        <v>37292</v>
      </c>
    </row>
    <row r="5653" spans="1:13" x14ac:dyDescent="0.75">
      <c r="A5653" t="s">
        <v>25313</v>
      </c>
      <c r="B5653" t="s">
        <v>6123</v>
      </c>
      <c r="C5653" t="s">
        <v>6124</v>
      </c>
      <c r="D5653" t="s">
        <v>6125</v>
      </c>
      <c r="E5653">
        <v>7073</v>
      </c>
      <c r="F5653">
        <v>1</v>
      </c>
      <c r="G5653">
        <v>2526144</v>
      </c>
      <c r="H5653" t="s">
        <v>25314</v>
      </c>
      <c r="J5653" s="54" t="s">
        <v>6052</v>
      </c>
      <c r="K5653" s="54">
        <v>0</v>
      </c>
      <c r="L5653" s="22" t="s">
        <v>36806</v>
      </c>
      <c r="M5653" s="22" t="s">
        <v>37290</v>
      </c>
    </row>
    <row r="5654" spans="1:13" x14ac:dyDescent="0.75">
      <c r="A5654" t="s">
        <v>10767</v>
      </c>
      <c r="B5654" t="s">
        <v>6894</v>
      </c>
      <c r="C5654" t="s">
        <v>6124</v>
      </c>
      <c r="D5654" t="s">
        <v>6895</v>
      </c>
      <c r="E5654">
        <v>9557</v>
      </c>
      <c r="F5654">
        <v>85</v>
      </c>
      <c r="G5654">
        <v>2747651</v>
      </c>
      <c r="H5654" t="s">
        <v>10768</v>
      </c>
      <c r="J5654" s="54" t="s">
        <v>6052</v>
      </c>
      <c r="K5654" s="54">
        <v>0</v>
      </c>
      <c r="L5654" s="22" t="s">
        <v>1563</v>
      </c>
      <c r="M5654" s="22" t="s">
        <v>37293</v>
      </c>
    </row>
    <row r="5655" spans="1:13" x14ac:dyDescent="0.75">
      <c r="A5655" t="s">
        <v>22656</v>
      </c>
      <c r="B5655" t="s">
        <v>6475</v>
      </c>
      <c r="C5655" t="s">
        <v>6124</v>
      </c>
      <c r="D5655" t="s">
        <v>6476</v>
      </c>
      <c r="E5655" s="5">
        <v>46359</v>
      </c>
      <c r="F5655">
        <v>17</v>
      </c>
      <c r="G5655">
        <v>2634709</v>
      </c>
      <c r="H5655" t="s">
        <v>22657</v>
      </c>
      <c r="J5655" s="54" t="s">
        <v>6052</v>
      </c>
      <c r="K5655" s="54">
        <v>0</v>
      </c>
      <c r="L5655" s="22" t="s">
        <v>1563</v>
      </c>
      <c r="M5655" s="22" t="s">
        <v>37294</v>
      </c>
    </row>
    <row r="5656" spans="1:13" x14ac:dyDescent="0.75">
      <c r="A5656" t="s">
        <v>8568</v>
      </c>
      <c r="B5656" t="s">
        <v>6167</v>
      </c>
      <c r="C5656" t="s">
        <v>6124</v>
      </c>
      <c r="D5656" t="s">
        <v>6168</v>
      </c>
      <c r="E5656">
        <v>71193</v>
      </c>
      <c r="F5656">
        <v>3</v>
      </c>
      <c r="G5656">
        <v>2715000</v>
      </c>
      <c r="H5656" t="s">
        <v>8569</v>
      </c>
      <c r="J5656" s="54" t="s">
        <v>6052</v>
      </c>
      <c r="K5656" s="54">
        <v>0</v>
      </c>
      <c r="L5656" s="22" t="s">
        <v>36807</v>
      </c>
      <c r="M5656" s="22" t="s">
        <v>37291</v>
      </c>
    </row>
    <row r="5657" spans="1:13" x14ac:dyDescent="0.75">
      <c r="A5657" t="s">
        <v>11425</v>
      </c>
      <c r="B5657" t="s">
        <v>6195</v>
      </c>
      <c r="C5657" t="s">
        <v>6124</v>
      </c>
      <c r="D5657" t="s">
        <v>6196</v>
      </c>
      <c r="E5657">
        <v>134634</v>
      </c>
      <c r="F5657">
        <v>46</v>
      </c>
      <c r="G5657">
        <v>2393643</v>
      </c>
      <c r="H5657" t="s">
        <v>11426</v>
      </c>
      <c r="J5657" s="54" t="s">
        <v>6052</v>
      </c>
      <c r="K5657" s="54">
        <v>0</v>
      </c>
      <c r="L5657" s="22" t="s">
        <v>36807</v>
      </c>
      <c r="M5657" s="22" t="s">
        <v>37288</v>
      </c>
    </row>
    <row r="5658" spans="1:13" x14ac:dyDescent="0.75">
      <c r="A5658" t="s">
        <v>11414</v>
      </c>
      <c r="B5658" t="s">
        <v>6195</v>
      </c>
      <c r="C5658" t="s">
        <v>6124</v>
      </c>
      <c r="D5658" t="s">
        <v>6196</v>
      </c>
      <c r="E5658">
        <v>140376</v>
      </c>
      <c r="F5658">
        <v>51</v>
      </c>
      <c r="G5658">
        <v>2372839</v>
      </c>
      <c r="H5658" t="s">
        <v>11415</v>
      </c>
      <c r="J5658" s="54" t="s">
        <v>6052</v>
      </c>
      <c r="K5658" s="54">
        <v>0</v>
      </c>
      <c r="L5658" s="22" t="s">
        <v>36807</v>
      </c>
      <c r="M5658" s="22" t="s">
        <v>37288</v>
      </c>
    </row>
    <row r="5659" spans="1:13" x14ac:dyDescent="0.75">
      <c r="A5659" t="s">
        <v>22589</v>
      </c>
      <c r="B5659" t="s">
        <v>6195</v>
      </c>
      <c r="C5659" t="s">
        <v>6124</v>
      </c>
      <c r="D5659" t="s">
        <v>6196</v>
      </c>
      <c r="E5659" t="s">
        <v>22590</v>
      </c>
      <c r="F5659">
        <v>46</v>
      </c>
      <c r="G5659">
        <v>2378928</v>
      </c>
      <c r="H5659" t="s">
        <v>22591</v>
      </c>
      <c r="J5659" s="54" t="s">
        <v>6052</v>
      </c>
      <c r="K5659" s="54">
        <v>0</v>
      </c>
      <c r="L5659" s="22" t="s">
        <v>36807</v>
      </c>
      <c r="M5659" s="22" t="s">
        <v>37288</v>
      </c>
    </row>
    <row r="5660" spans="1:13" x14ac:dyDescent="0.75">
      <c r="A5660" t="s">
        <v>22592</v>
      </c>
      <c r="B5660" t="s">
        <v>6195</v>
      </c>
      <c r="C5660" t="s">
        <v>6124</v>
      </c>
      <c r="D5660" t="s">
        <v>6196</v>
      </c>
      <c r="E5660" t="s">
        <v>22593</v>
      </c>
      <c r="F5660">
        <v>17</v>
      </c>
      <c r="G5660">
        <v>2456999</v>
      </c>
      <c r="H5660" t="s">
        <v>22594</v>
      </c>
      <c r="J5660" s="54" t="s">
        <v>6052</v>
      </c>
      <c r="K5660" s="54">
        <v>0</v>
      </c>
      <c r="L5660" s="22" t="s">
        <v>36807</v>
      </c>
      <c r="M5660" s="22" t="s">
        <v>37288</v>
      </c>
    </row>
    <row r="5661" spans="1:13" x14ac:dyDescent="0.75">
      <c r="A5661" t="s">
        <v>22586</v>
      </c>
      <c r="B5661" t="s">
        <v>6195</v>
      </c>
      <c r="C5661" t="s">
        <v>6124</v>
      </c>
      <c r="D5661" t="s">
        <v>6196</v>
      </c>
      <c r="E5661" t="s">
        <v>22587</v>
      </c>
      <c r="F5661">
        <v>36</v>
      </c>
      <c r="G5661">
        <v>2445437</v>
      </c>
      <c r="H5661" t="s">
        <v>22588</v>
      </c>
      <c r="J5661" s="54" t="s">
        <v>6052</v>
      </c>
      <c r="K5661" s="54">
        <v>0</v>
      </c>
      <c r="L5661" s="22" t="s">
        <v>36807</v>
      </c>
      <c r="M5661" s="22" t="s">
        <v>37288</v>
      </c>
    </row>
    <row r="5662" spans="1:13" x14ac:dyDescent="0.75">
      <c r="A5662" t="s">
        <v>6479</v>
      </c>
      <c r="B5662" t="s">
        <v>6167</v>
      </c>
      <c r="C5662" t="s">
        <v>6124</v>
      </c>
      <c r="D5662" t="s">
        <v>6168</v>
      </c>
      <c r="E5662" t="s">
        <v>6480</v>
      </c>
      <c r="F5662">
        <v>1</v>
      </c>
      <c r="G5662">
        <v>2821452</v>
      </c>
      <c r="H5662" t="s">
        <v>6481</v>
      </c>
      <c r="J5662" s="54" t="s">
        <v>6052</v>
      </c>
      <c r="K5662" s="54">
        <v>0</v>
      </c>
      <c r="L5662" s="22" t="s">
        <v>36807</v>
      </c>
      <c r="M5662" s="22" t="s">
        <v>37291</v>
      </c>
    </row>
    <row r="5663" spans="1:13" x14ac:dyDescent="0.75">
      <c r="A5663" t="s">
        <v>22553</v>
      </c>
      <c r="B5663" t="s">
        <v>6195</v>
      </c>
      <c r="C5663" t="s">
        <v>6124</v>
      </c>
      <c r="D5663" t="s">
        <v>6196</v>
      </c>
      <c r="E5663" t="s">
        <v>22554</v>
      </c>
      <c r="F5663">
        <v>36</v>
      </c>
      <c r="G5663">
        <v>2409183</v>
      </c>
      <c r="H5663" t="s">
        <v>22555</v>
      </c>
      <c r="J5663" s="54" t="s">
        <v>6052</v>
      </c>
      <c r="K5663" s="54">
        <v>0</v>
      </c>
      <c r="L5663" s="22" t="s">
        <v>36807</v>
      </c>
      <c r="M5663" s="22" t="s">
        <v>37288</v>
      </c>
    </row>
    <row r="5664" spans="1:13" x14ac:dyDescent="0.75">
      <c r="A5664" t="s">
        <v>22568</v>
      </c>
      <c r="B5664" t="s">
        <v>6195</v>
      </c>
      <c r="C5664" t="s">
        <v>6124</v>
      </c>
      <c r="D5664" t="s">
        <v>6196</v>
      </c>
      <c r="E5664" t="s">
        <v>22569</v>
      </c>
      <c r="F5664">
        <v>44</v>
      </c>
      <c r="G5664">
        <v>2477201</v>
      </c>
      <c r="H5664" t="s">
        <v>22570</v>
      </c>
      <c r="J5664" s="54" t="s">
        <v>6052</v>
      </c>
      <c r="K5664" s="54">
        <v>0</v>
      </c>
      <c r="L5664" s="22" t="s">
        <v>36807</v>
      </c>
      <c r="M5664" s="22" t="s">
        <v>37288</v>
      </c>
    </row>
    <row r="5665" spans="1:13" x14ac:dyDescent="0.75">
      <c r="A5665" t="s">
        <v>22562</v>
      </c>
      <c r="B5665" t="s">
        <v>6195</v>
      </c>
      <c r="C5665" t="s">
        <v>6124</v>
      </c>
      <c r="D5665" t="s">
        <v>6196</v>
      </c>
      <c r="E5665" t="s">
        <v>22563</v>
      </c>
      <c r="F5665">
        <v>50</v>
      </c>
      <c r="G5665">
        <v>2276175</v>
      </c>
      <c r="H5665" t="s">
        <v>22564</v>
      </c>
      <c r="J5665" s="54" t="s">
        <v>6052</v>
      </c>
      <c r="K5665" s="54">
        <v>0</v>
      </c>
      <c r="L5665" s="22" t="s">
        <v>36807</v>
      </c>
      <c r="M5665" s="22" t="s">
        <v>37288</v>
      </c>
    </row>
    <row r="5666" spans="1:13" x14ac:dyDescent="0.75">
      <c r="A5666" t="s">
        <v>16587</v>
      </c>
      <c r="B5666" t="s">
        <v>16379</v>
      </c>
      <c r="C5666" t="s">
        <v>6124</v>
      </c>
      <c r="D5666" t="s">
        <v>9445</v>
      </c>
      <c r="E5666" t="s">
        <v>16588</v>
      </c>
      <c r="F5666">
        <v>10</v>
      </c>
      <c r="G5666">
        <v>2349349</v>
      </c>
      <c r="H5666" t="s">
        <v>16589</v>
      </c>
      <c r="J5666" s="54" t="s">
        <v>6052</v>
      </c>
      <c r="K5666" s="54">
        <v>0</v>
      </c>
      <c r="L5666" s="22" t="s">
        <v>36806</v>
      </c>
      <c r="M5666" s="22" t="s">
        <v>37295</v>
      </c>
    </row>
    <row r="5667" spans="1:13" x14ac:dyDescent="0.75">
      <c r="A5667" t="s">
        <v>21816</v>
      </c>
      <c r="B5667" t="s">
        <v>6167</v>
      </c>
      <c r="C5667" t="s">
        <v>6124</v>
      </c>
      <c r="D5667" t="s">
        <v>6168</v>
      </c>
      <c r="E5667" t="s">
        <v>21817</v>
      </c>
      <c r="F5667">
        <v>3</v>
      </c>
      <c r="G5667">
        <v>2842451</v>
      </c>
      <c r="H5667" t="s">
        <v>21818</v>
      </c>
      <c r="J5667" s="54" t="s">
        <v>6052</v>
      </c>
      <c r="K5667" s="54">
        <v>0</v>
      </c>
      <c r="L5667" s="22" t="s">
        <v>36807</v>
      </c>
      <c r="M5667" s="22" t="s">
        <v>37291</v>
      </c>
    </row>
    <row r="5668" spans="1:13" x14ac:dyDescent="0.75">
      <c r="A5668" t="s">
        <v>8859</v>
      </c>
      <c r="B5668" t="s">
        <v>6167</v>
      </c>
      <c r="C5668" t="s">
        <v>6124</v>
      </c>
      <c r="D5668" t="s">
        <v>6168</v>
      </c>
      <c r="E5668" t="s">
        <v>8860</v>
      </c>
      <c r="F5668">
        <v>1</v>
      </c>
      <c r="G5668">
        <v>2782313</v>
      </c>
      <c r="H5668" t="s">
        <v>8861</v>
      </c>
      <c r="J5668" s="54" t="s">
        <v>6052</v>
      </c>
      <c r="K5668" s="54">
        <v>0</v>
      </c>
      <c r="L5668" s="22" t="s">
        <v>36807</v>
      </c>
      <c r="M5668" s="22" t="s">
        <v>37291</v>
      </c>
    </row>
    <row r="5669" spans="1:13" x14ac:dyDescent="0.75">
      <c r="A5669" t="s">
        <v>22580</v>
      </c>
      <c r="B5669" t="s">
        <v>6195</v>
      </c>
      <c r="C5669" t="s">
        <v>6124</v>
      </c>
      <c r="D5669" t="s">
        <v>6196</v>
      </c>
      <c r="E5669" t="s">
        <v>22581</v>
      </c>
      <c r="F5669">
        <v>23</v>
      </c>
      <c r="G5669">
        <v>2559563</v>
      </c>
      <c r="H5669" t="s">
        <v>22582</v>
      </c>
      <c r="J5669" s="54" t="s">
        <v>6052</v>
      </c>
      <c r="K5669" s="54">
        <v>0</v>
      </c>
      <c r="L5669" s="22" t="s">
        <v>36807</v>
      </c>
      <c r="M5669" s="22" t="s">
        <v>37288</v>
      </c>
    </row>
    <row r="5670" spans="1:13" x14ac:dyDescent="0.75">
      <c r="A5670" t="s">
        <v>22550</v>
      </c>
      <c r="B5670" t="s">
        <v>6195</v>
      </c>
      <c r="C5670" t="s">
        <v>6124</v>
      </c>
      <c r="D5670" t="s">
        <v>6196</v>
      </c>
      <c r="E5670" t="s">
        <v>22551</v>
      </c>
      <c r="F5670">
        <v>39</v>
      </c>
      <c r="G5670">
        <v>2387113</v>
      </c>
      <c r="H5670" t="s">
        <v>22552</v>
      </c>
      <c r="J5670" s="54" t="s">
        <v>6052</v>
      </c>
      <c r="K5670" s="54">
        <v>0</v>
      </c>
      <c r="L5670" s="22" t="s">
        <v>36807</v>
      </c>
      <c r="M5670" s="22" t="s">
        <v>37288</v>
      </c>
    </row>
    <row r="5671" spans="1:13" x14ac:dyDescent="0.75">
      <c r="A5671" t="s">
        <v>8371</v>
      </c>
      <c r="B5671" t="s">
        <v>6167</v>
      </c>
      <c r="C5671" t="s">
        <v>6124</v>
      </c>
      <c r="D5671" t="s">
        <v>6168</v>
      </c>
      <c r="E5671" t="s">
        <v>8372</v>
      </c>
      <c r="F5671">
        <v>2</v>
      </c>
      <c r="G5671">
        <v>2868863</v>
      </c>
      <c r="H5671" t="s">
        <v>8373</v>
      </c>
      <c r="J5671" s="54" t="s">
        <v>6052</v>
      </c>
      <c r="K5671" s="54">
        <v>0</v>
      </c>
      <c r="L5671" s="22" t="s">
        <v>36807</v>
      </c>
      <c r="M5671" s="22" t="s">
        <v>37291</v>
      </c>
    </row>
    <row r="5672" spans="1:13" x14ac:dyDescent="0.75">
      <c r="A5672" t="s">
        <v>27348</v>
      </c>
      <c r="B5672" t="s">
        <v>6167</v>
      </c>
      <c r="C5672" t="s">
        <v>6124</v>
      </c>
      <c r="D5672" t="s">
        <v>6168</v>
      </c>
      <c r="E5672" t="s">
        <v>27349</v>
      </c>
      <c r="F5672">
        <v>1</v>
      </c>
      <c r="G5672">
        <v>2910878</v>
      </c>
      <c r="H5672" t="s">
        <v>27350</v>
      </c>
      <c r="J5672" s="54" t="s">
        <v>6052</v>
      </c>
      <c r="K5672" s="54">
        <v>0</v>
      </c>
      <c r="L5672" s="22" t="s">
        <v>36807</v>
      </c>
      <c r="M5672" s="22" t="s">
        <v>37291</v>
      </c>
    </row>
    <row r="5673" spans="1:13" x14ac:dyDescent="0.75">
      <c r="A5673" t="s">
        <v>20490</v>
      </c>
      <c r="B5673" t="s">
        <v>6195</v>
      </c>
      <c r="C5673" t="s">
        <v>6124</v>
      </c>
      <c r="D5673" t="s">
        <v>6196</v>
      </c>
      <c r="E5673" t="s">
        <v>20491</v>
      </c>
      <c r="F5673">
        <v>3</v>
      </c>
      <c r="G5673">
        <v>2382565</v>
      </c>
      <c r="H5673" t="s">
        <v>20492</v>
      </c>
      <c r="J5673" s="54" t="s">
        <v>6052</v>
      </c>
      <c r="K5673" s="54">
        <v>0</v>
      </c>
      <c r="L5673" s="22" t="s">
        <v>36807</v>
      </c>
      <c r="M5673" s="22" t="s">
        <v>37288</v>
      </c>
    </row>
    <row r="5674" spans="1:13" x14ac:dyDescent="0.75">
      <c r="A5674" t="s">
        <v>16593</v>
      </c>
      <c r="B5674" t="s">
        <v>16379</v>
      </c>
      <c r="C5674" t="s">
        <v>6124</v>
      </c>
      <c r="D5674" t="s">
        <v>9445</v>
      </c>
      <c r="E5674" t="s">
        <v>16594</v>
      </c>
      <c r="F5674">
        <v>11</v>
      </c>
      <c r="G5674">
        <v>2349395</v>
      </c>
      <c r="H5674" t="s">
        <v>16595</v>
      </c>
      <c r="J5674" s="54" t="s">
        <v>6052</v>
      </c>
      <c r="K5674" s="54">
        <v>0</v>
      </c>
      <c r="L5674" s="22" t="s">
        <v>36806</v>
      </c>
      <c r="M5674" s="22" t="s">
        <v>37295</v>
      </c>
    </row>
    <row r="5675" spans="1:13" x14ac:dyDescent="0.75">
      <c r="A5675" t="s">
        <v>16584</v>
      </c>
      <c r="B5675" t="s">
        <v>16379</v>
      </c>
      <c r="C5675" t="s">
        <v>6124</v>
      </c>
      <c r="D5675" t="s">
        <v>9445</v>
      </c>
      <c r="E5675" t="s">
        <v>16585</v>
      </c>
      <c r="F5675">
        <v>2</v>
      </c>
      <c r="G5675">
        <v>2352566</v>
      </c>
      <c r="H5675" t="s">
        <v>16586</v>
      </c>
      <c r="J5675" s="54" t="s">
        <v>6052</v>
      </c>
      <c r="K5675" s="54">
        <v>0</v>
      </c>
      <c r="L5675" s="22" t="s">
        <v>36806</v>
      </c>
      <c r="M5675" s="22" t="s">
        <v>37295</v>
      </c>
    </row>
    <row r="5676" spans="1:13" x14ac:dyDescent="0.75">
      <c r="A5676" t="s">
        <v>20267</v>
      </c>
      <c r="B5676" t="s">
        <v>16379</v>
      </c>
      <c r="C5676" t="s">
        <v>6124</v>
      </c>
      <c r="D5676" t="s">
        <v>9445</v>
      </c>
      <c r="E5676" t="s">
        <v>20268</v>
      </c>
      <c r="F5676">
        <v>10</v>
      </c>
      <c r="G5676">
        <v>2321374</v>
      </c>
      <c r="H5676" t="s">
        <v>20269</v>
      </c>
      <c r="J5676" s="54" t="s">
        <v>6052</v>
      </c>
      <c r="K5676" s="54">
        <v>0</v>
      </c>
      <c r="L5676" s="22" t="s">
        <v>36806</v>
      </c>
      <c r="M5676" s="22" t="s">
        <v>37295</v>
      </c>
    </row>
    <row r="5677" spans="1:13" x14ac:dyDescent="0.75">
      <c r="A5677" t="s">
        <v>13300</v>
      </c>
      <c r="B5677" t="s">
        <v>6123</v>
      </c>
      <c r="C5677" t="s">
        <v>6124</v>
      </c>
      <c r="D5677" t="s">
        <v>6125</v>
      </c>
      <c r="E5677" t="s">
        <v>13301</v>
      </c>
      <c r="F5677">
        <v>3</v>
      </c>
      <c r="G5677">
        <v>2606667</v>
      </c>
      <c r="H5677" t="s">
        <v>13302</v>
      </c>
      <c r="J5677" s="54" t="s">
        <v>6052</v>
      </c>
      <c r="K5677" s="54">
        <v>0</v>
      </c>
      <c r="L5677" s="22" t="s">
        <v>36806</v>
      </c>
      <c r="M5677" s="22" t="s">
        <v>37290</v>
      </c>
    </row>
    <row r="5678" spans="1:13" x14ac:dyDescent="0.75">
      <c r="A5678" t="s">
        <v>22653</v>
      </c>
      <c r="B5678" t="s">
        <v>6475</v>
      </c>
      <c r="C5678" t="s">
        <v>6124</v>
      </c>
      <c r="D5678" t="s">
        <v>6476</v>
      </c>
      <c r="E5678" t="s">
        <v>22654</v>
      </c>
      <c r="F5678">
        <v>31</v>
      </c>
      <c r="G5678">
        <v>2495017</v>
      </c>
      <c r="H5678" t="s">
        <v>22655</v>
      </c>
      <c r="J5678" s="54" t="s">
        <v>6052</v>
      </c>
      <c r="K5678" s="54">
        <v>0</v>
      </c>
      <c r="L5678" s="22" t="s">
        <v>1563</v>
      </c>
      <c r="M5678" s="22" t="s">
        <v>37294</v>
      </c>
    </row>
    <row r="5679" spans="1:13" x14ac:dyDescent="0.75">
      <c r="A5679" t="s">
        <v>18356</v>
      </c>
      <c r="B5679" t="s">
        <v>7155</v>
      </c>
      <c r="C5679" t="s">
        <v>6124</v>
      </c>
      <c r="D5679" t="s">
        <v>7156</v>
      </c>
      <c r="E5679" t="s">
        <v>18357</v>
      </c>
      <c r="F5679">
        <v>40</v>
      </c>
      <c r="G5679">
        <v>2602192</v>
      </c>
      <c r="H5679" t="s">
        <v>18358</v>
      </c>
      <c r="J5679" s="54" t="s">
        <v>6052</v>
      </c>
      <c r="K5679" s="54">
        <v>0</v>
      </c>
      <c r="L5679" s="22" t="s">
        <v>36806</v>
      </c>
      <c r="M5679" s="22" t="s">
        <v>37296</v>
      </c>
    </row>
    <row r="5680" spans="1:13" x14ac:dyDescent="0.75">
      <c r="A5680" t="s">
        <v>17128</v>
      </c>
      <c r="B5680" t="s">
        <v>9016</v>
      </c>
      <c r="C5680" t="s">
        <v>6124</v>
      </c>
      <c r="D5680" t="s">
        <v>9017</v>
      </c>
      <c r="E5680" t="s">
        <v>17129</v>
      </c>
      <c r="F5680">
        <v>4</v>
      </c>
      <c r="G5680">
        <v>2770002</v>
      </c>
      <c r="H5680" t="s">
        <v>17130</v>
      </c>
      <c r="J5680" s="54" t="s">
        <v>6052</v>
      </c>
      <c r="K5680" s="54">
        <v>0</v>
      </c>
      <c r="L5680" s="22" t="s">
        <v>36806</v>
      </c>
      <c r="M5680" s="22" t="s">
        <v>37289</v>
      </c>
    </row>
    <row r="5681" spans="1:13" x14ac:dyDescent="0.75">
      <c r="A5681" t="s">
        <v>18353</v>
      </c>
      <c r="B5681" t="s">
        <v>7155</v>
      </c>
      <c r="C5681" t="s">
        <v>6124</v>
      </c>
      <c r="D5681" t="s">
        <v>7156</v>
      </c>
      <c r="E5681" t="s">
        <v>18354</v>
      </c>
      <c r="F5681">
        <v>42</v>
      </c>
      <c r="G5681">
        <v>2648964</v>
      </c>
      <c r="H5681" t="s">
        <v>18355</v>
      </c>
      <c r="J5681" s="54" t="s">
        <v>6052</v>
      </c>
      <c r="K5681" s="54">
        <v>0</v>
      </c>
      <c r="L5681" s="22" t="s">
        <v>36806</v>
      </c>
      <c r="M5681" s="22" t="s">
        <v>37296</v>
      </c>
    </row>
    <row r="5682" spans="1:13" x14ac:dyDescent="0.75">
      <c r="A5682" t="s">
        <v>17134</v>
      </c>
      <c r="B5682" t="s">
        <v>10958</v>
      </c>
      <c r="C5682" t="s">
        <v>6124</v>
      </c>
      <c r="D5682" t="s">
        <v>6928</v>
      </c>
      <c r="E5682" t="s">
        <v>17135</v>
      </c>
      <c r="F5682">
        <v>3</v>
      </c>
      <c r="G5682">
        <v>2281220</v>
      </c>
      <c r="H5682" t="s">
        <v>17136</v>
      </c>
      <c r="J5682" s="54" t="s">
        <v>6052</v>
      </c>
      <c r="K5682" s="54">
        <v>0</v>
      </c>
      <c r="L5682" s="22" t="s">
        <v>36806</v>
      </c>
      <c r="M5682" s="22" t="s">
        <v>37292</v>
      </c>
    </row>
    <row r="5683" spans="1:13" x14ac:dyDescent="0.75">
      <c r="A5683" t="s">
        <v>20487</v>
      </c>
      <c r="B5683" t="s">
        <v>6195</v>
      </c>
      <c r="C5683" t="s">
        <v>6124</v>
      </c>
      <c r="D5683" t="s">
        <v>6196</v>
      </c>
      <c r="E5683" t="s">
        <v>20488</v>
      </c>
      <c r="F5683">
        <v>4</v>
      </c>
      <c r="G5683">
        <v>2390652</v>
      </c>
      <c r="H5683" t="s">
        <v>20489</v>
      </c>
      <c r="J5683" s="54" t="s">
        <v>6052</v>
      </c>
      <c r="K5683" s="54">
        <v>0</v>
      </c>
      <c r="L5683" s="22" t="s">
        <v>36807</v>
      </c>
      <c r="M5683" s="22" t="s">
        <v>37288</v>
      </c>
    </row>
    <row r="5684" spans="1:13" x14ac:dyDescent="0.75">
      <c r="A5684" t="s">
        <v>25088</v>
      </c>
      <c r="B5684" t="s">
        <v>6123</v>
      </c>
      <c r="C5684" t="s">
        <v>6124</v>
      </c>
      <c r="D5684" t="s">
        <v>6125</v>
      </c>
      <c r="E5684" t="s">
        <v>25089</v>
      </c>
      <c r="F5684">
        <v>2</v>
      </c>
      <c r="G5684">
        <v>2494103</v>
      </c>
      <c r="H5684" t="s">
        <v>25090</v>
      </c>
      <c r="J5684" s="54" t="s">
        <v>6052</v>
      </c>
      <c r="K5684" s="54">
        <v>0</v>
      </c>
      <c r="L5684" s="22" t="s">
        <v>36806</v>
      </c>
      <c r="M5684" s="22" t="s">
        <v>37290</v>
      </c>
    </row>
    <row r="5685" spans="1:13" x14ac:dyDescent="0.75">
      <c r="A5685" t="s">
        <v>25091</v>
      </c>
      <c r="B5685" t="s">
        <v>6123</v>
      </c>
      <c r="C5685" t="s">
        <v>6124</v>
      </c>
      <c r="D5685" t="s">
        <v>6125</v>
      </c>
      <c r="E5685" t="s">
        <v>25092</v>
      </c>
      <c r="F5685">
        <v>2</v>
      </c>
      <c r="G5685">
        <v>2525918</v>
      </c>
      <c r="H5685" t="s">
        <v>25093</v>
      </c>
      <c r="J5685" s="54" t="s">
        <v>6052</v>
      </c>
      <c r="K5685" s="54">
        <v>0</v>
      </c>
      <c r="L5685" s="22" t="s">
        <v>36806</v>
      </c>
      <c r="M5685" s="22" t="s">
        <v>37290</v>
      </c>
    </row>
    <row r="5686" spans="1:13" x14ac:dyDescent="0.75">
      <c r="A5686" t="s">
        <v>25076</v>
      </c>
      <c r="B5686" t="s">
        <v>6123</v>
      </c>
      <c r="C5686" t="s">
        <v>6124</v>
      </c>
      <c r="D5686" t="s">
        <v>6125</v>
      </c>
      <c r="E5686" t="s">
        <v>25077</v>
      </c>
      <c r="F5686">
        <v>2</v>
      </c>
      <c r="G5686">
        <v>2481384</v>
      </c>
      <c r="H5686" t="s">
        <v>25078</v>
      </c>
      <c r="J5686" s="54" t="s">
        <v>6052</v>
      </c>
      <c r="K5686" s="54">
        <v>0</v>
      </c>
      <c r="L5686" s="22" t="s">
        <v>36806</v>
      </c>
      <c r="M5686" s="22" t="s">
        <v>37290</v>
      </c>
    </row>
    <row r="5687" spans="1:13" x14ac:dyDescent="0.75">
      <c r="A5687" t="s">
        <v>21023</v>
      </c>
      <c r="B5687" t="s">
        <v>11784</v>
      </c>
      <c r="C5687" t="s">
        <v>6124</v>
      </c>
      <c r="D5687" t="s">
        <v>11785</v>
      </c>
      <c r="E5687" t="s">
        <v>21024</v>
      </c>
      <c r="F5687">
        <v>53</v>
      </c>
      <c r="G5687">
        <v>2251511</v>
      </c>
      <c r="H5687" t="s">
        <v>21025</v>
      </c>
      <c r="J5687" s="54" t="s">
        <v>6052</v>
      </c>
      <c r="K5687" s="54">
        <v>0</v>
      </c>
      <c r="L5687" s="22" t="s">
        <v>36805</v>
      </c>
      <c r="M5687" s="22" t="s">
        <v>37297</v>
      </c>
    </row>
    <row r="5688" spans="1:13" x14ac:dyDescent="0.75">
      <c r="A5688" t="s">
        <v>21020</v>
      </c>
      <c r="B5688" t="s">
        <v>6894</v>
      </c>
      <c r="C5688" t="s">
        <v>6124</v>
      </c>
      <c r="D5688" t="s">
        <v>6895</v>
      </c>
      <c r="E5688" t="s">
        <v>21021</v>
      </c>
      <c r="F5688">
        <v>20</v>
      </c>
      <c r="G5688">
        <v>2672556</v>
      </c>
      <c r="H5688" t="s">
        <v>21022</v>
      </c>
      <c r="J5688" s="54" t="s">
        <v>6052</v>
      </c>
      <c r="K5688" s="54">
        <v>0</v>
      </c>
      <c r="L5688" s="22" t="s">
        <v>1563</v>
      </c>
      <c r="M5688" s="22" t="s">
        <v>37293</v>
      </c>
    </row>
    <row r="5689" spans="1:13" x14ac:dyDescent="0.75">
      <c r="A5689" t="s">
        <v>21017</v>
      </c>
      <c r="B5689" t="s">
        <v>7155</v>
      </c>
      <c r="C5689" t="s">
        <v>6124</v>
      </c>
      <c r="D5689" t="s">
        <v>7156</v>
      </c>
      <c r="E5689" t="s">
        <v>21018</v>
      </c>
      <c r="F5689">
        <v>18</v>
      </c>
      <c r="G5689">
        <v>2403389</v>
      </c>
      <c r="H5689" t="s">
        <v>21019</v>
      </c>
      <c r="J5689" s="54" t="s">
        <v>6052</v>
      </c>
      <c r="K5689" s="54">
        <v>0</v>
      </c>
      <c r="L5689" s="22" t="s">
        <v>36806</v>
      </c>
      <c r="M5689" s="22" t="s">
        <v>37296</v>
      </c>
    </row>
    <row r="5690" spans="1:13" x14ac:dyDescent="0.75">
      <c r="A5690" t="s">
        <v>21014</v>
      </c>
      <c r="B5690" t="s">
        <v>7155</v>
      </c>
      <c r="C5690" t="s">
        <v>6124</v>
      </c>
      <c r="D5690" t="s">
        <v>7156</v>
      </c>
      <c r="E5690" t="s">
        <v>21015</v>
      </c>
      <c r="F5690">
        <v>34</v>
      </c>
      <c r="G5690">
        <v>2547948</v>
      </c>
      <c r="H5690" t="s">
        <v>21016</v>
      </c>
      <c r="J5690" s="54" t="s">
        <v>6052</v>
      </c>
      <c r="K5690" s="54">
        <v>0</v>
      </c>
      <c r="L5690" s="22" t="s">
        <v>36806</v>
      </c>
      <c r="M5690" s="22" t="s">
        <v>37296</v>
      </c>
    </row>
    <row r="5691" spans="1:13" x14ac:dyDescent="0.75">
      <c r="A5691" t="s">
        <v>21011</v>
      </c>
      <c r="B5691" t="s">
        <v>7155</v>
      </c>
      <c r="C5691" t="s">
        <v>6124</v>
      </c>
      <c r="D5691" t="s">
        <v>7156</v>
      </c>
      <c r="E5691" t="s">
        <v>21012</v>
      </c>
      <c r="F5691">
        <v>35</v>
      </c>
      <c r="G5691">
        <v>2456583</v>
      </c>
      <c r="H5691" t="s">
        <v>21013</v>
      </c>
      <c r="J5691" s="54" t="s">
        <v>6052</v>
      </c>
      <c r="K5691" s="54">
        <v>0</v>
      </c>
      <c r="L5691" s="22" t="s">
        <v>36806</v>
      </c>
      <c r="M5691" s="22" t="s">
        <v>37296</v>
      </c>
    </row>
    <row r="5692" spans="1:13" x14ac:dyDescent="0.75">
      <c r="A5692" t="s">
        <v>25085</v>
      </c>
      <c r="B5692" t="s">
        <v>6123</v>
      </c>
      <c r="C5692" t="s">
        <v>6124</v>
      </c>
      <c r="D5692" t="s">
        <v>6125</v>
      </c>
      <c r="E5692" t="s">
        <v>25086</v>
      </c>
      <c r="F5692">
        <v>5</v>
      </c>
      <c r="G5692">
        <v>2607338</v>
      </c>
      <c r="H5692" t="s">
        <v>25087</v>
      </c>
      <c r="J5692" s="54" t="s">
        <v>6052</v>
      </c>
      <c r="K5692" s="54">
        <v>0</v>
      </c>
      <c r="L5692" s="22" t="s">
        <v>36806</v>
      </c>
      <c r="M5692" s="22" t="s">
        <v>37290</v>
      </c>
    </row>
    <row r="5693" spans="1:13" x14ac:dyDescent="0.75">
      <c r="A5693" t="s">
        <v>11427</v>
      </c>
      <c r="B5693" t="s">
        <v>6195</v>
      </c>
      <c r="C5693" t="s">
        <v>6124</v>
      </c>
      <c r="D5693" t="s">
        <v>6196</v>
      </c>
      <c r="E5693" t="s">
        <v>11428</v>
      </c>
      <c r="F5693">
        <v>19</v>
      </c>
      <c r="G5693">
        <v>2458332</v>
      </c>
      <c r="H5693" t="s">
        <v>11429</v>
      </c>
      <c r="J5693" s="54" t="s">
        <v>6052</v>
      </c>
      <c r="K5693" s="54">
        <v>0</v>
      </c>
      <c r="L5693" s="22" t="s">
        <v>36807</v>
      </c>
      <c r="M5693" s="22" t="s">
        <v>37288</v>
      </c>
    </row>
    <row r="5694" spans="1:13" x14ac:dyDescent="0.75">
      <c r="A5694" t="s">
        <v>25082</v>
      </c>
      <c r="B5694" t="s">
        <v>6123</v>
      </c>
      <c r="C5694" t="s">
        <v>6124</v>
      </c>
      <c r="D5694" t="s">
        <v>6125</v>
      </c>
      <c r="E5694" t="s">
        <v>25083</v>
      </c>
      <c r="F5694">
        <v>5</v>
      </c>
      <c r="G5694">
        <v>2540654</v>
      </c>
      <c r="H5694" t="s">
        <v>25084</v>
      </c>
      <c r="J5694" s="54" t="s">
        <v>6052</v>
      </c>
      <c r="K5694" s="54">
        <v>0</v>
      </c>
      <c r="L5694" s="22" t="s">
        <v>36806</v>
      </c>
      <c r="M5694" s="22" t="s">
        <v>37290</v>
      </c>
    </row>
    <row r="5695" spans="1:13" x14ac:dyDescent="0.75">
      <c r="A5695" t="s">
        <v>25079</v>
      </c>
      <c r="B5695" t="s">
        <v>6123</v>
      </c>
      <c r="C5695" t="s">
        <v>6124</v>
      </c>
      <c r="D5695" t="s">
        <v>6125</v>
      </c>
      <c r="E5695" t="s">
        <v>25080</v>
      </c>
      <c r="F5695">
        <v>6</v>
      </c>
      <c r="G5695">
        <v>2542396</v>
      </c>
      <c r="H5695" t="s">
        <v>25081</v>
      </c>
      <c r="J5695" s="54" t="s">
        <v>6052</v>
      </c>
      <c r="K5695" s="54">
        <v>0</v>
      </c>
      <c r="L5695" s="22" t="s">
        <v>36806</v>
      </c>
      <c r="M5695" s="22" t="s">
        <v>37290</v>
      </c>
    </row>
    <row r="5696" spans="1:13" x14ac:dyDescent="0.75">
      <c r="A5696" t="s">
        <v>11258</v>
      </c>
      <c r="B5696" t="s">
        <v>6894</v>
      </c>
      <c r="C5696" t="s">
        <v>6124</v>
      </c>
      <c r="D5696" t="s">
        <v>6895</v>
      </c>
      <c r="E5696" t="s">
        <v>11259</v>
      </c>
      <c r="F5696">
        <v>122</v>
      </c>
      <c r="G5696">
        <v>2593581</v>
      </c>
      <c r="H5696" t="s">
        <v>11260</v>
      </c>
      <c r="J5696" s="54" t="s">
        <v>6052</v>
      </c>
      <c r="K5696" s="54">
        <v>0</v>
      </c>
      <c r="L5696" s="22" t="s">
        <v>1563</v>
      </c>
      <c r="M5696" s="22" t="s">
        <v>37293</v>
      </c>
    </row>
    <row r="5697" spans="1:13" x14ac:dyDescent="0.75">
      <c r="A5697" t="s">
        <v>17131</v>
      </c>
      <c r="B5697" t="s">
        <v>6894</v>
      </c>
      <c r="C5697" t="s">
        <v>6124</v>
      </c>
      <c r="D5697" t="s">
        <v>6895</v>
      </c>
      <c r="E5697" t="s">
        <v>17132</v>
      </c>
      <c r="F5697">
        <v>2</v>
      </c>
      <c r="G5697">
        <v>2691499</v>
      </c>
      <c r="H5697" t="s">
        <v>17133</v>
      </c>
      <c r="J5697" s="54" t="s">
        <v>6052</v>
      </c>
      <c r="K5697" s="54">
        <v>0</v>
      </c>
      <c r="L5697" s="22" t="s">
        <v>1563</v>
      </c>
      <c r="M5697" s="22" t="s">
        <v>37293</v>
      </c>
    </row>
    <row r="5698" spans="1:13" x14ac:dyDescent="0.75">
      <c r="A5698" t="s">
        <v>11411</v>
      </c>
      <c r="B5698" t="s">
        <v>6195</v>
      </c>
      <c r="C5698" t="s">
        <v>6124</v>
      </c>
      <c r="D5698" t="s">
        <v>6196</v>
      </c>
      <c r="E5698" t="s">
        <v>11412</v>
      </c>
      <c r="F5698">
        <v>25</v>
      </c>
      <c r="G5698">
        <v>2488619</v>
      </c>
      <c r="H5698" t="s">
        <v>11413</v>
      </c>
      <c r="J5698" s="54" t="s">
        <v>6052</v>
      </c>
      <c r="K5698" s="54">
        <v>0</v>
      </c>
      <c r="L5698" s="22" t="s">
        <v>36807</v>
      </c>
      <c r="M5698" s="22" t="s">
        <v>37288</v>
      </c>
    </row>
    <row r="5699" spans="1:13" x14ac:dyDescent="0.75">
      <c r="A5699" t="s">
        <v>21400</v>
      </c>
      <c r="B5699" t="s">
        <v>6894</v>
      </c>
      <c r="C5699" t="s">
        <v>6124</v>
      </c>
      <c r="D5699" t="s">
        <v>6895</v>
      </c>
      <c r="E5699" t="s">
        <v>21401</v>
      </c>
      <c r="F5699">
        <v>145</v>
      </c>
      <c r="G5699">
        <v>2476032</v>
      </c>
      <c r="H5699" t="s">
        <v>21402</v>
      </c>
      <c r="J5699" s="54" t="s">
        <v>6052</v>
      </c>
      <c r="K5699" s="54">
        <v>0</v>
      </c>
      <c r="L5699" s="22" t="s">
        <v>1563</v>
      </c>
      <c r="M5699" s="22" t="s">
        <v>37293</v>
      </c>
    </row>
    <row r="5700" spans="1:13" x14ac:dyDescent="0.75">
      <c r="A5700" t="s">
        <v>27100</v>
      </c>
      <c r="B5700" t="s">
        <v>10958</v>
      </c>
      <c r="C5700" t="s">
        <v>6124</v>
      </c>
      <c r="D5700" t="s">
        <v>6928</v>
      </c>
      <c r="E5700" t="s">
        <v>27101</v>
      </c>
      <c r="F5700">
        <v>21</v>
      </c>
      <c r="G5700">
        <v>2207040</v>
      </c>
      <c r="H5700" t="s">
        <v>27102</v>
      </c>
      <c r="J5700" s="54" t="s">
        <v>6052</v>
      </c>
      <c r="K5700" s="54">
        <v>0</v>
      </c>
      <c r="L5700" s="22" t="s">
        <v>36806</v>
      </c>
      <c r="M5700" s="22" t="s">
        <v>37292</v>
      </c>
    </row>
    <row r="5701" spans="1:13" x14ac:dyDescent="0.75">
      <c r="A5701" t="s">
        <v>27345</v>
      </c>
      <c r="B5701" t="s">
        <v>6167</v>
      </c>
      <c r="C5701" t="s">
        <v>6124</v>
      </c>
      <c r="D5701" t="s">
        <v>6168</v>
      </c>
      <c r="E5701" t="s">
        <v>27346</v>
      </c>
      <c r="F5701">
        <v>1</v>
      </c>
      <c r="G5701">
        <v>2891669</v>
      </c>
      <c r="H5701" t="s">
        <v>27347</v>
      </c>
      <c r="J5701" s="54" t="s">
        <v>6052</v>
      </c>
      <c r="K5701" s="54">
        <v>0</v>
      </c>
      <c r="L5701" s="22" t="s">
        <v>36807</v>
      </c>
      <c r="M5701" s="22" t="s">
        <v>37291</v>
      </c>
    </row>
    <row r="5702" spans="1:13" x14ac:dyDescent="0.75">
      <c r="A5702" t="s">
        <v>25064</v>
      </c>
      <c r="B5702" t="s">
        <v>6123</v>
      </c>
      <c r="C5702" t="s">
        <v>6124</v>
      </c>
      <c r="D5702" t="s">
        <v>6125</v>
      </c>
      <c r="E5702" t="s">
        <v>25065</v>
      </c>
      <c r="F5702">
        <v>3</v>
      </c>
      <c r="G5702">
        <v>2484214</v>
      </c>
      <c r="H5702" t="s">
        <v>25066</v>
      </c>
      <c r="J5702" s="54" t="s">
        <v>6052</v>
      </c>
      <c r="K5702" s="54">
        <v>0</v>
      </c>
      <c r="L5702" s="22" t="s">
        <v>36806</v>
      </c>
      <c r="M5702" s="22" t="s">
        <v>37290</v>
      </c>
    </row>
    <row r="5703" spans="1:13" x14ac:dyDescent="0.75">
      <c r="A5703" t="s">
        <v>25049</v>
      </c>
      <c r="B5703" t="s">
        <v>6123</v>
      </c>
      <c r="C5703" t="s">
        <v>6124</v>
      </c>
      <c r="D5703" t="s">
        <v>6125</v>
      </c>
      <c r="E5703" t="s">
        <v>25050</v>
      </c>
      <c r="F5703">
        <v>1</v>
      </c>
      <c r="G5703">
        <v>2501976</v>
      </c>
      <c r="H5703" t="s">
        <v>25051</v>
      </c>
      <c r="J5703" s="54" t="s">
        <v>6052</v>
      </c>
      <c r="K5703" s="54">
        <v>0</v>
      </c>
      <c r="L5703" s="22" t="s">
        <v>36806</v>
      </c>
      <c r="M5703" s="22" t="s">
        <v>37290</v>
      </c>
    </row>
    <row r="5704" spans="1:13" x14ac:dyDescent="0.75">
      <c r="A5704" t="s">
        <v>25070</v>
      </c>
      <c r="B5704" t="s">
        <v>6123</v>
      </c>
      <c r="C5704" t="s">
        <v>6124</v>
      </c>
      <c r="D5704" t="s">
        <v>6125</v>
      </c>
      <c r="E5704" t="s">
        <v>25071</v>
      </c>
      <c r="F5704">
        <v>3</v>
      </c>
      <c r="G5704">
        <v>2563036</v>
      </c>
      <c r="H5704" t="s">
        <v>25072</v>
      </c>
      <c r="J5704" s="54" t="s">
        <v>6052</v>
      </c>
      <c r="K5704" s="54">
        <v>0</v>
      </c>
      <c r="L5704" s="22" t="s">
        <v>36806</v>
      </c>
      <c r="M5704" s="22" t="s">
        <v>37290</v>
      </c>
    </row>
    <row r="5705" spans="1:13" x14ac:dyDescent="0.75">
      <c r="A5705" t="s">
        <v>22583</v>
      </c>
      <c r="B5705" t="s">
        <v>6195</v>
      </c>
      <c r="C5705" t="s">
        <v>6124</v>
      </c>
      <c r="D5705" t="s">
        <v>6196</v>
      </c>
      <c r="E5705" t="s">
        <v>22584</v>
      </c>
      <c r="F5705">
        <v>40</v>
      </c>
      <c r="G5705">
        <v>2524658</v>
      </c>
      <c r="H5705" t="s">
        <v>22585</v>
      </c>
      <c r="J5705" s="54" t="s">
        <v>6052</v>
      </c>
      <c r="K5705" s="54">
        <v>0</v>
      </c>
      <c r="L5705" s="22" t="s">
        <v>36807</v>
      </c>
      <c r="M5705" s="22" t="s">
        <v>37288</v>
      </c>
    </row>
    <row r="5706" spans="1:13" x14ac:dyDescent="0.75">
      <c r="A5706" t="s">
        <v>17137</v>
      </c>
      <c r="B5706" t="s">
        <v>13969</v>
      </c>
      <c r="C5706" t="s">
        <v>6124</v>
      </c>
      <c r="D5706" t="s">
        <v>13970</v>
      </c>
      <c r="E5706" t="s">
        <v>17138</v>
      </c>
      <c r="F5706">
        <v>2</v>
      </c>
      <c r="G5706">
        <v>2566689</v>
      </c>
      <c r="H5706" t="s">
        <v>17139</v>
      </c>
      <c r="J5706" s="54" t="s">
        <v>6052</v>
      </c>
      <c r="K5706" s="54">
        <v>0</v>
      </c>
      <c r="L5706" s="22" t="s">
        <v>1563</v>
      </c>
      <c r="M5706" s="22" t="s">
        <v>37298</v>
      </c>
    </row>
    <row r="5707" spans="1:13" x14ac:dyDescent="0.75">
      <c r="A5707" t="s">
        <v>30468</v>
      </c>
      <c r="B5707" t="s">
        <v>10958</v>
      </c>
      <c r="C5707" t="s">
        <v>6124</v>
      </c>
      <c r="D5707" t="s">
        <v>6928</v>
      </c>
      <c r="E5707" t="s">
        <v>30469</v>
      </c>
      <c r="F5707">
        <v>29</v>
      </c>
      <c r="G5707">
        <v>2198056</v>
      </c>
      <c r="H5707" t="s">
        <v>30470</v>
      </c>
      <c r="J5707" s="54" t="s">
        <v>6052</v>
      </c>
      <c r="K5707" s="54">
        <v>0</v>
      </c>
      <c r="L5707" s="22" t="s">
        <v>36806</v>
      </c>
      <c r="M5707" s="22" t="s">
        <v>37292</v>
      </c>
    </row>
    <row r="5708" spans="1:13" x14ac:dyDescent="0.75">
      <c r="A5708" t="s">
        <v>25067</v>
      </c>
      <c r="B5708" t="s">
        <v>6123</v>
      </c>
      <c r="C5708" t="s">
        <v>6124</v>
      </c>
      <c r="D5708" t="s">
        <v>6125</v>
      </c>
      <c r="E5708" t="s">
        <v>25068</v>
      </c>
      <c r="F5708">
        <v>3</v>
      </c>
      <c r="G5708">
        <v>2528901</v>
      </c>
      <c r="H5708" t="s">
        <v>25069</v>
      </c>
      <c r="J5708" s="54" t="s">
        <v>6052</v>
      </c>
      <c r="K5708" s="54">
        <v>0</v>
      </c>
      <c r="L5708" s="22" t="s">
        <v>36806</v>
      </c>
      <c r="M5708" s="22" t="s">
        <v>37290</v>
      </c>
    </row>
    <row r="5709" spans="1:13" x14ac:dyDescent="0.75">
      <c r="A5709" t="s">
        <v>22218</v>
      </c>
      <c r="B5709" t="s">
        <v>6123</v>
      </c>
      <c r="C5709" t="s">
        <v>6124</v>
      </c>
      <c r="D5709" t="s">
        <v>6125</v>
      </c>
      <c r="E5709" t="s">
        <v>22219</v>
      </c>
      <c r="F5709">
        <v>2</v>
      </c>
      <c r="G5709">
        <v>2447700</v>
      </c>
      <c r="H5709" t="s">
        <v>22220</v>
      </c>
      <c r="J5709" s="54" t="s">
        <v>6052</v>
      </c>
      <c r="K5709" s="54">
        <v>0</v>
      </c>
      <c r="L5709" s="22" t="s">
        <v>36806</v>
      </c>
      <c r="M5709" s="22" t="s">
        <v>37290</v>
      </c>
    </row>
    <row r="5710" spans="1:13" x14ac:dyDescent="0.75">
      <c r="A5710" t="s">
        <v>25073</v>
      </c>
      <c r="B5710" t="s">
        <v>6123</v>
      </c>
      <c r="C5710" t="s">
        <v>6124</v>
      </c>
      <c r="D5710" t="s">
        <v>6125</v>
      </c>
      <c r="E5710" t="s">
        <v>25074</v>
      </c>
      <c r="F5710">
        <v>3</v>
      </c>
      <c r="G5710">
        <v>2527411</v>
      </c>
      <c r="H5710" t="s">
        <v>25075</v>
      </c>
      <c r="J5710" s="54" t="s">
        <v>6052</v>
      </c>
      <c r="K5710" s="54">
        <v>0</v>
      </c>
      <c r="L5710" s="22" t="s">
        <v>36806</v>
      </c>
      <c r="M5710" s="22" t="s">
        <v>37290</v>
      </c>
    </row>
    <row r="5711" spans="1:13" x14ac:dyDescent="0.75">
      <c r="A5711" t="s">
        <v>23801</v>
      </c>
      <c r="B5711" t="s">
        <v>9016</v>
      </c>
      <c r="C5711" t="s">
        <v>6124</v>
      </c>
      <c r="D5711" t="s">
        <v>9017</v>
      </c>
      <c r="E5711" t="s">
        <v>23802</v>
      </c>
      <c r="F5711">
        <v>40</v>
      </c>
      <c r="G5711">
        <v>2479650</v>
      </c>
      <c r="H5711" t="s">
        <v>23803</v>
      </c>
      <c r="J5711" s="54" t="s">
        <v>6052</v>
      </c>
      <c r="K5711" s="54">
        <v>0</v>
      </c>
      <c r="L5711" s="22" t="s">
        <v>36806</v>
      </c>
      <c r="M5711" s="22" t="s">
        <v>37289</v>
      </c>
    </row>
    <row r="5712" spans="1:13" x14ac:dyDescent="0.75">
      <c r="A5712" t="s">
        <v>23848</v>
      </c>
      <c r="B5712" t="s">
        <v>6195</v>
      </c>
      <c r="C5712" t="s">
        <v>6124</v>
      </c>
      <c r="D5712" t="s">
        <v>6196</v>
      </c>
      <c r="E5712" t="s">
        <v>23849</v>
      </c>
      <c r="F5712">
        <v>4</v>
      </c>
      <c r="G5712">
        <v>2608257</v>
      </c>
      <c r="H5712" t="s">
        <v>23850</v>
      </c>
      <c r="J5712" s="54" t="s">
        <v>6052</v>
      </c>
      <c r="K5712" s="54">
        <v>0</v>
      </c>
      <c r="L5712" s="22" t="s">
        <v>36807</v>
      </c>
      <c r="M5712" s="22" t="s">
        <v>37288</v>
      </c>
    </row>
    <row r="5713" spans="1:13" x14ac:dyDescent="0.75">
      <c r="A5713" t="s">
        <v>22251</v>
      </c>
      <c r="B5713" t="s">
        <v>6123</v>
      </c>
      <c r="C5713" t="s">
        <v>6124</v>
      </c>
      <c r="D5713" t="s">
        <v>6125</v>
      </c>
      <c r="E5713" t="s">
        <v>22252</v>
      </c>
      <c r="F5713">
        <v>4</v>
      </c>
      <c r="G5713">
        <v>2494613</v>
      </c>
      <c r="H5713" t="s">
        <v>22253</v>
      </c>
      <c r="J5713" s="54" t="s">
        <v>6052</v>
      </c>
      <c r="K5713" s="54">
        <v>0</v>
      </c>
      <c r="L5713" s="22" t="s">
        <v>36806</v>
      </c>
      <c r="M5713" s="22" t="s">
        <v>37290</v>
      </c>
    </row>
    <row r="5714" spans="1:13" x14ac:dyDescent="0.75">
      <c r="A5714" t="s">
        <v>11416</v>
      </c>
      <c r="B5714" t="s">
        <v>6195</v>
      </c>
      <c r="C5714" t="s">
        <v>6124</v>
      </c>
      <c r="D5714" t="s">
        <v>6196</v>
      </c>
      <c r="E5714" t="s">
        <v>11417</v>
      </c>
      <c r="F5714">
        <v>35</v>
      </c>
      <c r="G5714">
        <v>2332821</v>
      </c>
      <c r="H5714" t="s">
        <v>11418</v>
      </c>
      <c r="J5714" s="54" t="s">
        <v>6052</v>
      </c>
      <c r="K5714" s="54">
        <v>0</v>
      </c>
      <c r="L5714" s="22" t="s">
        <v>36807</v>
      </c>
      <c r="M5714" s="22" t="s">
        <v>37288</v>
      </c>
    </row>
    <row r="5715" spans="1:13" x14ac:dyDescent="0.75">
      <c r="A5715" t="s">
        <v>22544</v>
      </c>
      <c r="B5715" t="s">
        <v>6195</v>
      </c>
      <c r="C5715" t="s">
        <v>6124</v>
      </c>
      <c r="D5715" t="s">
        <v>6196</v>
      </c>
      <c r="E5715" t="s">
        <v>22545</v>
      </c>
      <c r="F5715">
        <v>24</v>
      </c>
      <c r="G5715">
        <v>2341885</v>
      </c>
      <c r="H5715" t="s">
        <v>22546</v>
      </c>
      <c r="J5715" s="54" t="s">
        <v>6052</v>
      </c>
      <c r="K5715" s="54">
        <v>0</v>
      </c>
      <c r="L5715" s="22" t="s">
        <v>36807</v>
      </c>
      <c r="M5715" s="22" t="s">
        <v>37288</v>
      </c>
    </row>
    <row r="5716" spans="1:13" x14ac:dyDescent="0.75">
      <c r="A5716" t="s">
        <v>22248</v>
      </c>
      <c r="B5716" t="s">
        <v>6123</v>
      </c>
      <c r="C5716" t="s">
        <v>6124</v>
      </c>
      <c r="D5716" t="s">
        <v>6125</v>
      </c>
      <c r="E5716" t="s">
        <v>22249</v>
      </c>
      <c r="F5716">
        <v>4</v>
      </c>
      <c r="G5716">
        <v>2532862</v>
      </c>
      <c r="H5716" t="s">
        <v>22250</v>
      </c>
      <c r="J5716" s="54" t="s">
        <v>6052</v>
      </c>
      <c r="K5716" s="54">
        <v>0</v>
      </c>
      <c r="L5716" s="22" t="s">
        <v>36806</v>
      </c>
      <c r="M5716" s="22" t="s">
        <v>37290</v>
      </c>
    </row>
    <row r="5717" spans="1:13" x14ac:dyDescent="0.75">
      <c r="A5717" t="s">
        <v>6898</v>
      </c>
      <c r="B5717" t="s">
        <v>6167</v>
      </c>
      <c r="C5717" t="s">
        <v>6124</v>
      </c>
      <c r="D5717" t="s">
        <v>6168</v>
      </c>
      <c r="E5717" t="s">
        <v>6899</v>
      </c>
      <c r="F5717">
        <v>2</v>
      </c>
      <c r="G5717">
        <v>2777368</v>
      </c>
      <c r="H5717" t="s">
        <v>6900</v>
      </c>
      <c r="J5717" s="54" t="s">
        <v>6052</v>
      </c>
      <c r="K5717" s="54">
        <v>0</v>
      </c>
      <c r="L5717" s="22" t="s">
        <v>36807</v>
      </c>
      <c r="M5717" s="22" t="s">
        <v>37291</v>
      </c>
    </row>
    <row r="5718" spans="1:13" x14ac:dyDescent="0.75">
      <c r="A5718" t="s">
        <v>11125</v>
      </c>
      <c r="B5718" t="s">
        <v>7155</v>
      </c>
      <c r="C5718" t="s">
        <v>6124</v>
      </c>
      <c r="D5718" t="s">
        <v>7156</v>
      </c>
      <c r="E5718" t="s">
        <v>11126</v>
      </c>
      <c r="F5718">
        <v>40</v>
      </c>
      <c r="G5718">
        <v>2584863</v>
      </c>
      <c r="H5718" t="s">
        <v>11127</v>
      </c>
      <c r="J5718" s="54" t="s">
        <v>6052</v>
      </c>
      <c r="K5718" s="54">
        <v>0</v>
      </c>
      <c r="L5718" s="22" t="s">
        <v>36806</v>
      </c>
      <c r="M5718" s="22" t="s">
        <v>37296</v>
      </c>
    </row>
    <row r="5719" spans="1:13" x14ac:dyDescent="0.75">
      <c r="A5719" t="s">
        <v>11291</v>
      </c>
      <c r="B5719" t="s">
        <v>7155</v>
      </c>
      <c r="C5719" t="s">
        <v>6124</v>
      </c>
      <c r="D5719" t="s">
        <v>7156</v>
      </c>
      <c r="E5719" t="s">
        <v>11292</v>
      </c>
      <c r="F5719">
        <v>43</v>
      </c>
      <c r="G5719">
        <v>2509044</v>
      </c>
      <c r="H5719" t="s">
        <v>11293</v>
      </c>
      <c r="J5719" s="54" t="s">
        <v>6052</v>
      </c>
      <c r="K5719" s="54">
        <v>0</v>
      </c>
      <c r="L5719" s="22" t="s">
        <v>36806</v>
      </c>
      <c r="M5719" s="22" t="s">
        <v>37296</v>
      </c>
    </row>
    <row r="5720" spans="1:13" x14ac:dyDescent="0.75">
      <c r="A5720" t="s">
        <v>11303</v>
      </c>
      <c r="B5720" t="s">
        <v>7155</v>
      </c>
      <c r="C5720" t="s">
        <v>6124</v>
      </c>
      <c r="D5720" t="s">
        <v>7156</v>
      </c>
      <c r="E5720" t="s">
        <v>11304</v>
      </c>
      <c r="F5720">
        <v>42</v>
      </c>
      <c r="G5720">
        <v>2554649</v>
      </c>
      <c r="H5720" t="s">
        <v>11305</v>
      </c>
      <c r="J5720" s="54" t="s">
        <v>6052</v>
      </c>
      <c r="K5720" s="54">
        <v>0</v>
      </c>
      <c r="L5720" s="22" t="s">
        <v>36806</v>
      </c>
      <c r="M5720" s="22" t="s">
        <v>37296</v>
      </c>
    </row>
    <row r="5721" spans="1:13" x14ac:dyDescent="0.75">
      <c r="A5721" t="s">
        <v>11181</v>
      </c>
      <c r="B5721" t="s">
        <v>7155</v>
      </c>
      <c r="C5721" t="s">
        <v>6124</v>
      </c>
      <c r="D5721" t="s">
        <v>7156</v>
      </c>
      <c r="E5721" t="s">
        <v>11182</v>
      </c>
      <c r="F5721">
        <v>43</v>
      </c>
      <c r="G5721">
        <v>2561043</v>
      </c>
      <c r="H5721" t="s">
        <v>11183</v>
      </c>
      <c r="J5721" s="54" t="s">
        <v>6052</v>
      </c>
      <c r="K5721" s="54">
        <v>0</v>
      </c>
      <c r="L5721" s="22" t="s">
        <v>36806</v>
      </c>
      <c r="M5721" s="22" t="s">
        <v>37296</v>
      </c>
    </row>
    <row r="5722" spans="1:13" x14ac:dyDescent="0.75">
      <c r="A5722" t="s">
        <v>23787</v>
      </c>
      <c r="B5722" t="s">
        <v>10958</v>
      </c>
      <c r="C5722" t="s">
        <v>6124</v>
      </c>
      <c r="D5722" t="s">
        <v>6928</v>
      </c>
      <c r="E5722" t="s">
        <v>23788</v>
      </c>
      <c r="F5722">
        <v>7</v>
      </c>
      <c r="G5722">
        <v>2494841</v>
      </c>
      <c r="H5722" t="s">
        <v>23789</v>
      </c>
      <c r="J5722" s="54" t="s">
        <v>6052</v>
      </c>
      <c r="K5722" s="54">
        <v>0</v>
      </c>
      <c r="L5722" s="22" t="s">
        <v>36806</v>
      </c>
      <c r="M5722" s="22" t="s">
        <v>37292</v>
      </c>
    </row>
    <row r="5723" spans="1:13" x14ac:dyDescent="0.75">
      <c r="A5723" t="s">
        <v>21403</v>
      </c>
      <c r="B5723" t="s">
        <v>6894</v>
      </c>
      <c r="C5723" t="s">
        <v>6124</v>
      </c>
      <c r="D5723" t="s">
        <v>6895</v>
      </c>
      <c r="E5723" t="s">
        <v>21404</v>
      </c>
      <c r="F5723">
        <v>49</v>
      </c>
      <c r="G5723">
        <v>2589900</v>
      </c>
      <c r="H5723" t="s">
        <v>21405</v>
      </c>
      <c r="J5723" s="54" t="s">
        <v>6052</v>
      </c>
      <c r="K5723" s="54">
        <v>0</v>
      </c>
      <c r="L5723" s="22" t="s">
        <v>1563</v>
      </c>
      <c r="M5723" s="22" t="s">
        <v>37293</v>
      </c>
    </row>
    <row r="5724" spans="1:13" x14ac:dyDescent="0.75">
      <c r="A5724" t="s">
        <v>21397</v>
      </c>
      <c r="B5724" t="s">
        <v>6894</v>
      </c>
      <c r="C5724" t="s">
        <v>6124</v>
      </c>
      <c r="D5724" t="s">
        <v>6895</v>
      </c>
      <c r="E5724" t="s">
        <v>21398</v>
      </c>
      <c r="F5724">
        <v>30</v>
      </c>
      <c r="G5724">
        <v>2610590</v>
      </c>
      <c r="H5724" t="s">
        <v>21399</v>
      </c>
      <c r="J5724" s="54" t="s">
        <v>6052</v>
      </c>
      <c r="K5724" s="54">
        <v>0</v>
      </c>
      <c r="L5724" s="22" t="s">
        <v>1563</v>
      </c>
      <c r="M5724" s="22" t="s">
        <v>37293</v>
      </c>
    </row>
    <row r="5725" spans="1:13" x14ac:dyDescent="0.75">
      <c r="A5725" t="s">
        <v>20484</v>
      </c>
      <c r="B5725" t="s">
        <v>6195</v>
      </c>
      <c r="C5725" t="s">
        <v>6124</v>
      </c>
      <c r="D5725" t="s">
        <v>6196</v>
      </c>
      <c r="E5725" t="s">
        <v>20485</v>
      </c>
      <c r="F5725">
        <v>4</v>
      </c>
      <c r="G5725">
        <v>2398463</v>
      </c>
      <c r="H5725" t="s">
        <v>20486</v>
      </c>
      <c r="J5725" s="54" t="s">
        <v>6052</v>
      </c>
      <c r="K5725" s="54">
        <v>0</v>
      </c>
      <c r="L5725" s="22" t="s">
        <v>36807</v>
      </c>
      <c r="M5725" s="22" t="s">
        <v>37288</v>
      </c>
    </row>
    <row r="5726" spans="1:13" x14ac:dyDescent="0.75">
      <c r="A5726" t="s">
        <v>14480</v>
      </c>
      <c r="B5726" t="s">
        <v>6195</v>
      </c>
      <c r="C5726" t="s">
        <v>6124</v>
      </c>
      <c r="D5726" t="s">
        <v>6196</v>
      </c>
      <c r="E5726" t="s">
        <v>14481</v>
      </c>
      <c r="F5726">
        <v>2</v>
      </c>
      <c r="G5726">
        <v>2610865</v>
      </c>
      <c r="H5726" t="s">
        <v>14482</v>
      </c>
      <c r="J5726" s="54" t="s">
        <v>6052</v>
      </c>
      <c r="K5726" s="54">
        <v>0</v>
      </c>
      <c r="L5726" s="22" t="s">
        <v>36807</v>
      </c>
      <c r="M5726" s="22" t="s">
        <v>37288</v>
      </c>
    </row>
    <row r="5727" spans="1:13" x14ac:dyDescent="0.75">
      <c r="A5727" t="s">
        <v>14483</v>
      </c>
      <c r="B5727" t="s">
        <v>6195</v>
      </c>
      <c r="C5727" t="s">
        <v>6124</v>
      </c>
      <c r="D5727" t="s">
        <v>6196</v>
      </c>
      <c r="E5727" t="s">
        <v>14484</v>
      </c>
      <c r="F5727">
        <v>3</v>
      </c>
      <c r="G5727">
        <v>2612666</v>
      </c>
      <c r="H5727" t="s">
        <v>14485</v>
      </c>
      <c r="J5727" s="54" t="s">
        <v>6052</v>
      </c>
      <c r="K5727" s="54">
        <v>0</v>
      </c>
      <c r="L5727" s="22" t="s">
        <v>36807</v>
      </c>
      <c r="M5727" s="22" t="s">
        <v>37288</v>
      </c>
    </row>
    <row r="5728" spans="1:13" x14ac:dyDescent="0.75">
      <c r="A5728" t="s">
        <v>22559</v>
      </c>
      <c r="B5728" t="s">
        <v>6195</v>
      </c>
      <c r="C5728" t="s">
        <v>6124</v>
      </c>
      <c r="D5728" t="s">
        <v>6196</v>
      </c>
      <c r="E5728" t="s">
        <v>22560</v>
      </c>
      <c r="F5728">
        <v>41</v>
      </c>
      <c r="G5728">
        <v>2340269</v>
      </c>
      <c r="H5728" t="s">
        <v>22561</v>
      </c>
      <c r="J5728" s="54" t="s">
        <v>6052</v>
      </c>
      <c r="K5728" s="54">
        <v>0</v>
      </c>
      <c r="L5728" s="22" t="s">
        <v>36807</v>
      </c>
      <c r="M5728" s="22" t="s">
        <v>37288</v>
      </c>
    </row>
    <row r="5729" spans="1:13" x14ac:dyDescent="0.75">
      <c r="A5729" t="s">
        <v>22274</v>
      </c>
      <c r="B5729" t="s">
        <v>9016</v>
      </c>
      <c r="C5729" t="s">
        <v>6124</v>
      </c>
      <c r="D5729" t="s">
        <v>9017</v>
      </c>
      <c r="E5729" t="s">
        <v>22275</v>
      </c>
      <c r="F5729">
        <v>27</v>
      </c>
      <c r="G5729">
        <v>2556753</v>
      </c>
      <c r="H5729" t="s">
        <v>22276</v>
      </c>
      <c r="J5729" s="54" t="s">
        <v>6052</v>
      </c>
      <c r="K5729" s="54">
        <v>0</v>
      </c>
      <c r="L5729" s="22" t="s">
        <v>36806</v>
      </c>
      <c r="M5729" s="22" t="s">
        <v>37289</v>
      </c>
    </row>
    <row r="5730" spans="1:13" x14ac:dyDescent="0.75">
      <c r="A5730" t="s">
        <v>21336</v>
      </c>
      <c r="B5730" t="s">
        <v>6195</v>
      </c>
      <c r="C5730" t="s">
        <v>6124</v>
      </c>
      <c r="D5730" t="s">
        <v>6196</v>
      </c>
      <c r="E5730" t="s">
        <v>21337</v>
      </c>
      <c r="F5730">
        <v>42</v>
      </c>
      <c r="G5730">
        <v>2572961</v>
      </c>
      <c r="H5730" t="s">
        <v>21338</v>
      </c>
      <c r="J5730" s="54" t="s">
        <v>6052</v>
      </c>
      <c r="K5730" s="54">
        <v>0</v>
      </c>
      <c r="L5730" s="22" t="s">
        <v>36807</v>
      </c>
      <c r="M5730" s="22" t="s">
        <v>37288</v>
      </c>
    </row>
    <row r="5731" spans="1:13" x14ac:dyDescent="0.75">
      <c r="A5731" t="s">
        <v>21097</v>
      </c>
      <c r="B5731" t="s">
        <v>6195</v>
      </c>
      <c r="C5731" t="s">
        <v>6124</v>
      </c>
      <c r="D5731" t="s">
        <v>6196</v>
      </c>
      <c r="E5731" t="s">
        <v>16219</v>
      </c>
      <c r="F5731">
        <v>24</v>
      </c>
      <c r="G5731">
        <v>2485414</v>
      </c>
      <c r="H5731" t="s">
        <v>21098</v>
      </c>
      <c r="J5731" s="54" t="s">
        <v>6052</v>
      </c>
      <c r="K5731" s="54">
        <v>0</v>
      </c>
      <c r="L5731" s="22" t="s">
        <v>36807</v>
      </c>
      <c r="M5731" s="22" t="s">
        <v>37288</v>
      </c>
    </row>
    <row r="5732" spans="1:13" x14ac:dyDescent="0.75">
      <c r="A5732" t="s">
        <v>21101</v>
      </c>
      <c r="B5732" t="s">
        <v>6195</v>
      </c>
      <c r="C5732" t="s">
        <v>6124</v>
      </c>
      <c r="D5732" t="s">
        <v>6196</v>
      </c>
      <c r="E5732" t="s">
        <v>21102</v>
      </c>
      <c r="F5732">
        <v>24</v>
      </c>
      <c r="G5732">
        <v>2497919</v>
      </c>
      <c r="H5732" t="s">
        <v>21103</v>
      </c>
      <c r="J5732" s="54" t="s">
        <v>6052</v>
      </c>
      <c r="K5732" s="54">
        <v>0</v>
      </c>
      <c r="L5732" s="22" t="s">
        <v>36807</v>
      </c>
      <c r="M5732" s="22" t="s">
        <v>37288</v>
      </c>
    </row>
    <row r="5733" spans="1:13" x14ac:dyDescent="0.75">
      <c r="A5733" t="s">
        <v>29137</v>
      </c>
      <c r="B5733" t="s">
        <v>9016</v>
      </c>
      <c r="C5733" t="s">
        <v>6124</v>
      </c>
      <c r="D5733" t="s">
        <v>9017</v>
      </c>
      <c r="E5733" t="s">
        <v>29138</v>
      </c>
      <c r="F5733">
        <v>24</v>
      </c>
      <c r="G5733">
        <v>2502595</v>
      </c>
      <c r="H5733" t="s">
        <v>29139</v>
      </c>
      <c r="J5733" s="54" t="s">
        <v>6052</v>
      </c>
      <c r="K5733" s="54">
        <v>0</v>
      </c>
      <c r="L5733" s="22" t="s">
        <v>36806</v>
      </c>
      <c r="M5733" s="22" t="s">
        <v>37289</v>
      </c>
    </row>
    <row r="5734" spans="1:13" x14ac:dyDescent="0.75">
      <c r="A5734" t="s">
        <v>21921</v>
      </c>
      <c r="B5734" t="s">
        <v>7155</v>
      </c>
      <c r="C5734" t="s">
        <v>6124</v>
      </c>
      <c r="D5734" t="s">
        <v>7156</v>
      </c>
      <c r="E5734" t="s">
        <v>21922</v>
      </c>
      <c r="F5734">
        <v>16</v>
      </c>
      <c r="G5734">
        <v>2487323</v>
      </c>
      <c r="H5734" t="s">
        <v>21923</v>
      </c>
      <c r="J5734" s="54" t="s">
        <v>6052</v>
      </c>
      <c r="K5734" s="54">
        <v>0</v>
      </c>
      <c r="L5734" s="22" t="s">
        <v>36806</v>
      </c>
      <c r="M5734" s="22" t="s">
        <v>37296</v>
      </c>
    </row>
    <row r="5735" spans="1:13" x14ac:dyDescent="0.75">
      <c r="A5735" t="s">
        <v>21886</v>
      </c>
      <c r="B5735" t="s">
        <v>7155</v>
      </c>
      <c r="C5735" t="s">
        <v>6124</v>
      </c>
      <c r="D5735" t="s">
        <v>7156</v>
      </c>
      <c r="E5735" t="s">
        <v>21887</v>
      </c>
      <c r="F5735">
        <v>18</v>
      </c>
      <c r="G5735">
        <v>2485315</v>
      </c>
      <c r="H5735" t="s">
        <v>21888</v>
      </c>
      <c r="J5735" s="54" t="s">
        <v>6052</v>
      </c>
      <c r="K5735" s="54">
        <v>0</v>
      </c>
      <c r="L5735" s="22" t="s">
        <v>36806</v>
      </c>
      <c r="M5735" s="22" t="s">
        <v>37296</v>
      </c>
    </row>
    <row r="5736" spans="1:13" x14ac:dyDescent="0.75">
      <c r="A5736" t="s">
        <v>21901</v>
      </c>
      <c r="B5736" t="s">
        <v>7155</v>
      </c>
      <c r="C5736" t="s">
        <v>6124</v>
      </c>
      <c r="D5736" t="s">
        <v>7156</v>
      </c>
      <c r="E5736" t="s">
        <v>21902</v>
      </c>
      <c r="F5736">
        <v>10</v>
      </c>
      <c r="G5736">
        <v>2440222</v>
      </c>
      <c r="H5736" t="s">
        <v>21903</v>
      </c>
      <c r="J5736" s="54" t="s">
        <v>6052</v>
      </c>
      <c r="K5736" s="54">
        <v>0</v>
      </c>
      <c r="L5736" s="22" t="s">
        <v>36806</v>
      </c>
      <c r="M5736" s="22" t="s">
        <v>37296</v>
      </c>
    </row>
    <row r="5737" spans="1:13" x14ac:dyDescent="0.75">
      <c r="A5737" t="s">
        <v>21895</v>
      </c>
      <c r="B5737" t="s">
        <v>7155</v>
      </c>
      <c r="C5737" t="s">
        <v>6124</v>
      </c>
      <c r="D5737" t="s">
        <v>7156</v>
      </c>
      <c r="E5737" t="s">
        <v>21896</v>
      </c>
      <c r="F5737">
        <v>22</v>
      </c>
      <c r="G5737">
        <v>2514309</v>
      </c>
      <c r="H5737" t="s">
        <v>21897</v>
      </c>
      <c r="J5737" s="54" t="s">
        <v>6052</v>
      </c>
      <c r="K5737" s="54">
        <v>0</v>
      </c>
      <c r="L5737" s="22" t="s">
        <v>36806</v>
      </c>
      <c r="M5737" s="22" t="s">
        <v>37296</v>
      </c>
    </row>
    <row r="5738" spans="1:13" x14ac:dyDescent="0.75">
      <c r="A5738" t="s">
        <v>21898</v>
      </c>
      <c r="B5738" t="s">
        <v>10958</v>
      </c>
      <c r="C5738" t="s">
        <v>6124</v>
      </c>
      <c r="D5738" t="s">
        <v>6928</v>
      </c>
      <c r="E5738" t="s">
        <v>21899</v>
      </c>
      <c r="F5738">
        <v>29</v>
      </c>
      <c r="G5738">
        <v>2277881</v>
      </c>
      <c r="H5738" t="s">
        <v>21900</v>
      </c>
      <c r="J5738" s="54" t="s">
        <v>6052</v>
      </c>
      <c r="K5738" s="54">
        <v>0</v>
      </c>
      <c r="L5738" s="22" t="s">
        <v>36806</v>
      </c>
      <c r="M5738" s="22" t="s">
        <v>37292</v>
      </c>
    </row>
    <row r="5739" spans="1:13" x14ac:dyDescent="0.75">
      <c r="A5739" t="s">
        <v>21892</v>
      </c>
      <c r="B5739" t="s">
        <v>7155</v>
      </c>
      <c r="C5739" t="s">
        <v>6124</v>
      </c>
      <c r="D5739" t="s">
        <v>7156</v>
      </c>
      <c r="E5739" t="s">
        <v>21893</v>
      </c>
      <c r="F5739">
        <v>16</v>
      </c>
      <c r="G5739">
        <v>2431250</v>
      </c>
      <c r="H5739" t="s">
        <v>21894</v>
      </c>
      <c r="J5739" s="54" t="s">
        <v>6052</v>
      </c>
      <c r="K5739" s="54">
        <v>0</v>
      </c>
      <c r="L5739" s="22" t="s">
        <v>36806</v>
      </c>
      <c r="M5739" s="22" t="s">
        <v>37296</v>
      </c>
    </row>
    <row r="5740" spans="1:13" x14ac:dyDescent="0.75">
      <c r="A5740" t="s">
        <v>21889</v>
      </c>
      <c r="B5740" t="s">
        <v>10958</v>
      </c>
      <c r="C5740" t="s">
        <v>6124</v>
      </c>
      <c r="D5740" t="s">
        <v>6928</v>
      </c>
      <c r="E5740" t="s">
        <v>21890</v>
      </c>
      <c r="F5740">
        <v>22</v>
      </c>
      <c r="G5740">
        <v>2277719</v>
      </c>
      <c r="H5740" t="s">
        <v>21891</v>
      </c>
      <c r="J5740" s="54" t="s">
        <v>6052</v>
      </c>
      <c r="K5740" s="54">
        <v>0</v>
      </c>
      <c r="L5740" s="22" t="s">
        <v>36806</v>
      </c>
      <c r="M5740" s="22" t="s">
        <v>37292</v>
      </c>
    </row>
    <row r="5741" spans="1:13" x14ac:dyDescent="0.75">
      <c r="A5741" t="s">
        <v>22796</v>
      </c>
      <c r="B5741" t="s">
        <v>10958</v>
      </c>
      <c r="C5741" t="s">
        <v>6124</v>
      </c>
      <c r="D5741" t="s">
        <v>6928</v>
      </c>
      <c r="E5741" t="s">
        <v>22797</v>
      </c>
      <c r="F5741">
        <v>24</v>
      </c>
      <c r="G5741">
        <v>2193257</v>
      </c>
      <c r="H5741" t="s">
        <v>22798</v>
      </c>
      <c r="J5741" s="54" t="s">
        <v>6052</v>
      </c>
      <c r="K5741" s="54">
        <v>0</v>
      </c>
      <c r="L5741" s="22" t="s">
        <v>36806</v>
      </c>
      <c r="M5741" s="22" t="s">
        <v>37292</v>
      </c>
    </row>
    <row r="5742" spans="1:13" x14ac:dyDescent="0.75">
      <c r="A5742" t="s">
        <v>22793</v>
      </c>
      <c r="B5742" t="s">
        <v>10958</v>
      </c>
      <c r="C5742" t="s">
        <v>6124</v>
      </c>
      <c r="D5742" t="s">
        <v>6928</v>
      </c>
      <c r="E5742" t="s">
        <v>22794</v>
      </c>
      <c r="F5742">
        <v>23</v>
      </c>
      <c r="G5742">
        <v>2213328</v>
      </c>
      <c r="H5742" t="s">
        <v>22795</v>
      </c>
      <c r="J5742" s="54" t="s">
        <v>6052</v>
      </c>
      <c r="K5742" s="54">
        <v>0</v>
      </c>
      <c r="L5742" s="22" t="s">
        <v>36806</v>
      </c>
      <c r="M5742" s="22" t="s">
        <v>37292</v>
      </c>
    </row>
    <row r="5743" spans="1:13" x14ac:dyDescent="0.75">
      <c r="A5743" t="s">
        <v>22781</v>
      </c>
      <c r="B5743" t="s">
        <v>10958</v>
      </c>
      <c r="C5743" t="s">
        <v>6124</v>
      </c>
      <c r="D5743" t="s">
        <v>6928</v>
      </c>
      <c r="E5743" t="s">
        <v>22782</v>
      </c>
      <c r="F5743">
        <v>23</v>
      </c>
      <c r="G5743">
        <v>2268944</v>
      </c>
      <c r="H5743" t="s">
        <v>22783</v>
      </c>
      <c r="J5743" s="54" t="s">
        <v>6052</v>
      </c>
      <c r="K5743" s="54">
        <v>0</v>
      </c>
      <c r="L5743" s="22" t="s">
        <v>36806</v>
      </c>
      <c r="M5743" s="22" t="s">
        <v>37292</v>
      </c>
    </row>
    <row r="5744" spans="1:13" x14ac:dyDescent="0.75">
      <c r="A5744" t="s">
        <v>22778</v>
      </c>
      <c r="B5744" t="s">
        <v>10958</v>
      </c>
      <c r="C5744" t="s">
        <v>6124</v>
      </c>
      <c r="D5744" t="s">
        <v>6928</v>
      </c>
      <c r="E5744" t="s">
        <v>22779</v>
      </c>
      <c r="F5744">
        <v>34</v>
      </c>
      <c r="G5744">
        <v>2276076</v>
      </c>
      <c r="H5744" t="s">
        <v>22780</v>
      </c>
      <c r="J5744" s="54" t="s">
        <v>6052</v>
      </c>
      <c r="K5744" s="54">
        <v>0</v>
      </c>
      <c r="L5744" s="22" t="s">
        <v>36806</v>
      </c>
      <c r="M5744" s="22" t="s">
        <v>37292</v>
      </c>
    </row>
    <row r="5745" spans="1:13" x14ac:dyDescent="0.75">
      <c r="A5745" t="s">
        <v>22769</v>
      </c>
      <c r="B5745" t="s">
        <v>10958</v>
      </c>
      <c r="C5745" t="s">
        <v>6124</v>
      </c>
      <c r="D5745" t="s">
        <v>6928</v>
      </c>
      <c r="E5745" t="s">
        <v>22770</v>
      </c>
      <c r="F5745">
        <v>26</v>
      </c>
      <c r="G5745">
        <v>2284405</v>
      </c>
      <c r="H5745" t="s">
        <v>22771</v>
      </c>
      <c r="J5745" s="54" t="s">
        <v>6052</v>
      </c>
      <c r="K5745" s="54">
        <v>0</v>
      </c>
      <c r="L5745" s="22" t="s">
        <v>36806</v>
      </c>
      <c r="M5745" s="22" t="s">
        <v>37292</v>
      </c>
    </row>
    <row r="5746" spans="1:13" x14ac:dyDescent="0.75">
      <c r="A5746" t="s">
        <v>22760</v>
      </c>
      <c r="B5746" t="s">
        <v>10958</v>
      </c>
      <c r="C5746" t="s">
        <v>6124</v>
      </c>
      <c r="D5746" t="s">
        <v>6928</v>
      </c>
      <c r="E5746" t="s">
        <v>22761</v>
      </c>
      <c r="F5746">
        <v>34</v>
      </c>
      <c r="G5746">
        <v>2277235</v>
      </c>
      <c r="H5746" t="s">
        <v>22762</v>
      </c>
      <c r="J5746" s="54" t="s">
        <v>6052</v>
      </c>
      <c r="K5746" s="54">
        <v>0</v>
      </c>
      <c r="L5746" s="22" t="s">
        <v>36806</v>
      </c>
      <c r="M5746" s="22" t="s">
        <v>37292</v>
      </c>
    </row>
    <row r="5747" spans="1:13" x14ac:dyDescent="0.75">
      <c r="A5747" t="s">
        <v>22802</v>
      </c>
      <c r="B5747" t="s">
        <v>10958</v>
      </c>
      <c r="C5747" t="s">
        <v>6124</v>
      </c>
      <c r="D5747" t="s">
        <v>6928</v>
      </c>
      <c r="E5747" t="s">
        <v>22803</v>
      </c>
      <c r="F5747">
        <v>27</v>
      </c>
      <c r="G5747">
        <v>2216034</v>
      </c>
      <c r="H5747" t="s">
        <v>22804</v>
      </c>
      <c r="J5747" s="54" t="s">
        <v>6052</v>
      </c>
      <c r="K5747" s="54">
        <v>0</v>
      </c>
      <c r="L5747" s="22" t="s">
        <v>36806</v>
      </c>
      <c r="M5747" s="22" t="s">
        <v>37292</v>
      </c>
    </row>
    <row r="5748" spans="1:13" x14ac:dyDescent="0.75">
      <c r="A5748" t="s">
        <v>22799</v>
      </c>
      <c r="B5748" t="s">
        <v>10958</v>
      </c>
      <c r="C5748" t="s">
        <v>6124</v>
      </c>
      <c r="D5748" t="s">
        <v>6928</v>
      </c>
      <c r="E5748" t="s">
        <v>22800</v>
      </c>
      <c r="F5748">
        <v>23</v>
      </c>
      <c r="G5748">
        <v>2245889</v>
      </c>
      <c r="H5748" t="s">
        <v>22801</v>
      </c>
      <c r="J5748" s="54" t="s">
        <v>6052</v>
      </c>
      <c r="K5748" s="54">
        <v>0</v>
      </c>
      <c r="L5748" s="22" t="s">
        <v>36806</v>
      </c>
      <c r="M5748" s="22" t="s">
        <v>37292</v>
      </c>
    </row>
    <row r="5749" spans="1:13" x14ac:dyDescent="0.75">
      <c r="A5749" t="s">
        <v>22787</v>
      </c>
      <c r="B5749" t="s">
        <v>10958</v>
      </c>
      <c r="C5749" t="s">
        <v>6124</v>
      </c>
      <c r="D5749" t="s">
        <v>6928</v>
      </c>
      <c r="E5749" t="s">
        <v>22788</v>
      </c>
      <c r="F5749">
        <v>28</v>
      </c>
      <c r="G5749">
        <v>2267685</v>
      </c>
      <c r="H5749" t="s">
        <v>22789</v>
      </c>
      <c r="J5749" s="54" t="s">
        <v>6052</v>
      </c>
      <c r="K5749" s="54">
        <v>0</v>
      </c>
      <c r="L5749" s="22" t="s">
        <v>36806</v>
      </c>
      <c r="M5749" s="22" t="s">
        <v>37292</v>
      </c>
    </row>
    <row r="5750" spans="1:13" x14ac:dyDescent="0.75">
      <c r="A5750" t="s">
        <v>22784</v>
      </c>
      <c r="B5750" t="s">
        <v>10958</v>
      </c>
      <c r="C5750" t="s">
        <v>6124</v>
      </c>
      <c r="D5750" t="s">
        <v>6928</v>
      </c>
      <c r="E5750" t="s">
        <v>22785</v>
      </c>
      <c r="F5750">
        <v>32</v>
      </c>
      <c r="G5750">
        <v>2266768</v>
      </c>
      <c r="H5750" t="s">
        <v>22786</v>
      </c>
      <c r="J5750" s="54" t="s">
        <v>6052</v>
      </c>
      <c r="K5750" s="54">
        <v>0</v>
      </c>
      <c r="L5750" s="22" t="s">
        <v>36806</v>
      </c>
      <c r="M5750" s="22" t="s">
        <v>37292</v>
      </c>
    </row>
    <row r="5751" spans="1:13" x14ac:dyDescent="0.75">
      <c r="A5751" t="s">
        <v>22775</v>
      </c>
      <c r="B5751" t="s">
        <v>10958</v>
      </c>
      <c r="C5751" t="s">
        <v>6124</v>
      </c>
      <c r="D5751" t="s">
        <v>6928</v>
      </c>
      <c r="E5751" t="s">
        <v>22776</v>
      </c>
      <c r="F5751">
        <v>33</v>
      </c>
      <c r="G5751">
        <v>2309757</v>
      </c>
      <c r="H5751" t="s">
        <v>22777</v>
      </c>
      <c r="J5751" s="54" t="s">
        <v>6052</v>
      </c>
      <c r="K5751" s="54">
        <v>0</v>
      </c>
      <c r="L5751" s="22" t="s">
        <v>36806</v>
      </c>
      <c r="M5751" s="22" t="s">
        <v>37292</v>
      </c>
    </row>
    <row r="5752" spans="1:13" x14ac:dyDescent="0.75">
      <c r="A5752" t="s">
        <v>22766</v>
      </c>
      <c r="B5752" t="s">
        <v>10958</v>
      </c>
      <c r="C5752" t="s">
        <v>6124</v>
      </c>
      <c r="D5752" t="s">
        <v>6928</v>
      </c>
      <c r="E5752" t="s">
        <v>22767</v>
      </c>
      <c r="F5752">
        <v>31</v>
      </c>
      <c r="G5752">
        <v>2258694</v>
      </c>
      <c r="H5752" t="s">
        <v>22768</v>
      </c>
      <c r="J5752" s="54" t="s">
        <v>6052</v>
      </c>
      <c r="K5752" s="54">
        <v>0</v>
      </c>
      <c r="L5752" s="22" t="s">
        <v>36806</v>
      </c>
      <c r="M5752" s="22" t="s">
        <v>37292</v>
      </c>
    </row>
    <row r="5753" spans="1:13" x14ac:dyDescent="0.75">
      <c r="A5753" t="s">
        <v>22763</v>
      </c>
      <c r="B5753" t="s">
        <v>10958</v>
      </c>
      <c r="C5753" t="s">
        <v>6124</v>
      </c>
      <c r="D5753" t="s">
        <v>6928</v>
      </c>
      <c r="E5753" t="s">
        <v>22764</v>
      </c>
      <c r="F5753">
        <v>28</v>
      </c>
      <c r="G5753">
        <v>2260117</v>
      </c>
      <c r="H5753" t="s">
        <v>22765</v>
      </c>
      <c r="J5753" s="54" t="s">
        <v>6052</v>
      </c>
      <c r="K5753" s="54">
        <v>0</v>
      </c>
      <c r="L5753" s="22" t="s">
        <v>36806</v>
      </c>
      <c r="M5753" s="22" t="s">
        <v>37292</v>
      </c>
    </row>
    <row r="5754" spans="1:13" x14ac:dyDescent="0.75">
      <c r="A5754" t="s">
        <v>22754</v>
      </c>
      <c r="B5754" t="s">
        <v>10958</v>
      </c>
      <c r="C5754" t="s">
        <v>6124</v>
      </c>
      <c r="D5754" t="s">
        <v>6928</v>
      </c>
      <c r="E5754" t="s">
        <v>22755</v>
      </c>
      <c r="F5754">
        <v>31</v>
      </c>
      <c r="G5754">
        <v>2259789</v>
      </c>
      <c r="H5754" t="s">
        <v>22756</v>
      </c>
      <c r="J5754" s="54" t="s">
        <v>6052</v>
      </c>
      <c r="K5754" s="54">
        <v>0</v>
      </c>
      <c r="L5754" s="22" t="s">
        <v>36806</v>
      </c>
      <c r="M5754" s="22" t="s">
        <v>37292</v>
      </c>
    </row>
    <row r="5755" spans="1:13" x14ac:dyDescent="0.75">
      <c r="A5755" t="s">
        <v>22790</v>
      </c>
      <c r="B5755" t="s">
        <v>10958</v>
      </c>
      <c r="C5755" t="s">
        <v>6124</v>
      </c>
      <c r="D5755" t="s">
        <v>6928</v>
      </c>
      <c r="E5755" t="s">
        <v>22791</v>
      </c>
      <c r="F5755">
        <v>24</v>
      </c>
      <c r="G5755">
        <v>2194294</v>
      </c>
      <c r="H5755" t="s">
        <v>22792</v>
      </c>
      <c r="J5755" s="54" t="s">
        <v>6052</v>
      </c>
      <c r="K5755" s="54">
        <v>0</v>
      </c>
      <c r="L5755" s="22" t="s">
        <v>36806</v>
      </c>
      <c r="M5755" s="22" t="s">
        <v>37292</v>
      </c>
    </row>
    <row r="5756" spans="1:13" x14ac:dyDescent="0.75">
      <c r="A5756" t="s">
        <v>22772</v>
      </c>
      <c r="B5756" t="s">
        <v>10958</v>
      </c>
      <c r="C5756" t="s">
        <v>6124</v>
      </c>
      <c r="D5756" t="s">
        <v>6928</v>
      </c>
      <c r="E5756" t="s">
        <v>22773</v>
      </c>
      <c r="F5756">
        <v>31</v>
      </c>
      <c r="G5756">
        <v>2217530</v>
      </c>
      <c r="H5756" t="s">
        <v>22774</v>
      </c>
      <c r="J5756" s="54" t="s">
        <v>6052</v>
      </c>
      <c r="K5756" s="54">
        <v>0</v>
      </c>
      <c r="L5756" s="22" t="s">
        <v>36806</v>
      </c>
      <c r="M5756" s="22" t="s">
        <v>37292</v>
      </c>
    </row>
    <row r="5757" spans="1:13" x14ac:dyDescent="0.75">
      <c r="A5757" t="s">
        <v>22820</v>
      </c>
      <c r="B5757" t="s">
        <v>10958</v>
      </c>
      <c r="C5757" t="s">
        <v>6124</v>
      </c>
      <c r="D5757" t="s">
        <v>6928</v>
      </c>
      <c r="E5757" t="s">
        <v>22821</v>
      </c>
      <c r="F5757">
        <v>32</v>
      </c>
      <c r="G5757">
        <v>2343435</v>
      </c>
      <c r="H5757" t="s">
        <v>22822</v>
      </c>
      <c r="J5757" s="54" t="s">
        <v>6052</v>
      </c>
      <c r="K5757" s="54">
        <v>0</v>
      </c>
      <c r="L5757" s="22" t="s">
        <v>36806</v>
      </c>
      <c r="M5757" s="22" t="s">
        <v>37292</v>
      </c>
    </row>
    <row r="5758" spans="1:13" x14ac:dyDescent="0.75">
      <c r="A5758" t="s">
        <v>22805</v>
      </c>
      <c r="B5758" t="s">
        <v>10958</v>
      </c>
      <c r="C5758" t="s">
        <v>6124</v>
      </c>
      <c r="D5758" t="s">
        <v>6928</v>
      </c>
      <c r="E5758" t="s">
        <v>22806</v>
      </c>
      <c r="F5758">
        <v>22</v>
      </c>
      <c r="G5758">
        <v>2189068</v>
      </c>
      <c r="H5758" t="s">
        <v>22807</v>
      </c>
      <c r="J5758" s="54" t="s">
        <v>6052</v>
      </c>
      <c r="K5758" s="54">
        <v>0</v>
      </c>
      <c r="L5758" s="22" t="s">
        <v>36806</v>
      </c>
      <c r="M5758" s="22" t="s">
        <v>37292</v>
      </c>
    </row>
    <row r="5759" spans="1:13" x14ac:dyDescent="0.75">
      <c r="A5759" t="s">
        <v>22808</v>
      </c>
      <c r="B5759" t="s">
        <v>10958</v>
      </c>
      <c r="C5759" t="s">
        <v>6124</v>
      </c>
      <c r="D5759" t="s">
        <v>6928</v>
      </c>
      <c r="E5759" t="s">
        <v>22809</v>
      </c>
      <c r="F5759">
        <v>27</v>
      </c>
      <c r="G5759">
        <v>2211478</v>
      </c>
      <c r="H5759" t="s">
        <v>22810</v>
      </c>
      <c r="J5759" s="54" t="s">
        <v>6052</v>
      </c>
      <c r="K5759" s="54">
        <v>0</v>
      </c>
      <c r="L5759" s="22" t="s">
        <v>36806</v>
      </c>
      <c r="M5759" s="22" t="s">
        <v>37292</v>
      </c>
    </row>
    <row r="5760" spans="1:13" x14ac:dyDescent="0.75">
      <c r="A5760" t="s">
        <v>22817</v>
      </c>
      <c r="B5760" t="s">
        <v>10958</v>
      </c>
      <c r="C5760" t="s">
        <v>6124</v>
      </c>
      <c r="D5760" t="s">
        <v>6928</v>
      </c>
      <c r="E5760" t="s">
        <v>22818</v>
      </c>
      <c r="F5760">
        <v>26</v>
      </c>
      <c r="G5760">
        <v>2286950</v>
      </c>
      <c r="H5760" t="s">
        <v>22819</v>
      </c>
      <c r="J5760" s="54" t="s">
        <v>6052</v>
      </c>
      <c r="K5760" s="54">
        <v>0</v>
      </c>
      <c r="L5760" s="22" t="s">
        <v>36806</v>
      </c>
      <c r="M5760" s="22" t="s">
        <v>37292</v>
      </c>
    </row>
    <row r="5761" spans="1:13" x14ac:dyDescent="0.75">
      <c r="A5761" t="s">
        <v>22811</v>
      </c>
      <c r="B5761" t="s">
        <v>10958</v>
      </c>
      <c r="C5761" t="s">
        <v>6124</v>
      </c>
      <c r="D5761" t="s">
        <v>6928</v>
      </c>
      <c r="E5761" t="s">
        <v>22812</v>
      </c>
      <c r="F5761">
        <v>27</v>
      </c>
      <c r="G5761">
        <v>2268824</v>
      </c>
      <c r="H5761" t="s">
        <v>22813</v>
      </c>
      <c r="J5761" s="54" t="s">
        <v>6052</v>
      </c>
      <c r="K5761" s="54">
        <v>0</v>
      </c>
      <c r="L5761" s="22" t="s">
        <v>36806</v>
      </c>
      <c r="M5761" s="22" t="s">
        <v>37292</v>
      </c>
    </row>
    <row r="5762" spans="1:13" x14ac:dyDescent="0.75">
      <c r="A5762" t="s">
        <v>22670</v>
      </c>
      <c r="B5762" t="s">
        <v>9016</v>
      </c>
      <c r="C5762" t="s">
        <v>6124</v>
      </c>
      <c r="D5762" t="s">
        <v>9017</v>
      </c>
      <c r="E5762" t="s">
        <v>22671</v>
      </c>
      <c r="F5762">
        <v>27</v>
      </c>
      <c r="G5762">
        <v>2523508</v>
      </c>
      <c r="H5762" t="s">
        <v>22672</v>
      </c>
      <c r="J5762" s="54" t="s">
        <v>6052</v>
      </c>
      <c r="K5762" s="54">
        <v>0</v>
      </c>
      <c r="L5762" s="22" t="s">
        <v>36806</v>
      </c>
      <c r="M5762" s="22" t="s">
        <v>37289</v>
      </c>
    </row>
    <row r="5763" spans="1:13" x14ac:dyDescent="0.75">
      <c r="A5763" t="s">
        <v>22751</v>
      </c>
      <c r="B5763" t="s">
        <v>6475</v>
      </c>
      <c r="C5763" t="s">
        <v>6124</v>
      </c>
      <c r="D5763" t="s">
        <v>6476</v>
      </c>
      <c r="E5763" t="s">
        <v>22752</v>
      </c>
      <c r="F5763">
        <v>36</v>
      </c>
      <c r="G5763">
        <v>2575402</v>
      </c>
      <c r="H5763" t="s">
        <v>22753</v>
      </c>
      <c r="J5763" s="54" t="s">
        <v>6052</v>
      </c>
      <c r="K5763" s="54">
        <v>0</v>
      </c>
      <c r="L5763" s="22" t="s">
        <v>1563</v>
      </c>
      <c r="M5763" s="22" t="s">
        <v>37294</v>
      </c>
    </row>
    <row r="5764" spans="1:13" x14ac:dyDescent="0.75">
      <c r="A5764" t="s">
        <v>22742</v>
      </c>
      <c r="B5764" t="s">
        <v>6475</v>
      </c>
      <c r="C5764" t="s">
        <v>6124</v>
      </c>
      <c r="D5764" t="s">
        <v>6476</v>
      </c>
      <c r="E5764" t="s">
        <v>22743</v>
      </c>
      <c r="F5764">
        <v>54</v>
      </c>
      <c r="G5764">
        <v>2525960</v>
      </c>
      <c r="H5764" t="s">
        <v>22744</v>
      </c>
      <c r="J5764" s="54" t="s">
        <v>6052</v>
      </c>
      <c r="K5764" s="54">
        <v>0</v>
      </c>
      <c r="L5764" s="22" t="s">
        <v>1563</v>
      </c>
      <c r="M5764" s="22" t="s">
        <v>37294</v>
      </c>
    </row>
    <row r="5765" spans="1:13" x14ac:dyDescent="0.75">
      <c r="A5765" t="s">
        <v>22748</v>
      </c>
      <c r="B5765" t="s">
        <v>6475</v>
      </c>
      <c r="C5765" t="s">
        <v>6124</v>
      </c>
      <c r="D5765" t="s">
        <v>6476</v>
      </c>
      <c r="E5765" t="s">
        <v>22749</v>
      </c>
      <c r="F5765">
        <v>58</v>
      </c>
      <c r="G5765">
        <v>2527888</v>
      </c>
      <c r="H5765" t="s">
        <v>22750</v>
      </c>
      <c r="J5765" s="54" t="s">
        <v>6052</v>
      </c>
      <c r="K5765" s="54">
        <v>0</v>
      </c>
      <c r="L5765" s="22" t="s">
        <v>1563</v>
      </c>
      <c r="M5765" s="22" t="s">
        <v>37294</v>
      </c>
    </row>
    <row r="5766" spans="1:13" x14ac:dyDescent="0.75">
      <c r="A5766" t="s">
        <v>22745</v>
      </c>
      <c r="B5766" t="s">
        <v>6475</v>
      </c>
      <c r="C5766" t="s">
        <v>6124</v>
      </c>
      <c r="D5766" t="s">
        <v>6476</v>
      </c>
      <c r="E5766" t="s">
        <v>22746</v>
      </c>
      <c r="F5766">
        <v>49</v>
      </c>
      <c r="G5766">
        <v>2535567</v>
      </c>
      <c r="H5766" t="s">
        <v>22747</v>
      </c>
      <c r="J5766" s="54" t="s">
        <v>6052</v>
      </c>
      <c r="K5766" s="54">
        <v>0</v>
      </c>
      <c r="L5766" s="22" t="s">
        <v>1563</v>
      </c>
      <c r="M5766" s="22" t="s">
        <v>37294</v>
      </c>
    </row>
    <row r="5767" spans="1:13" x14ac:dyDescent="0.75">
      <c r="A5767" t="s">
        <v>22757</v>
      </c>
      <c r="B5767" t="s">
        <v>6475</v>
      </c>
      <c r="C5767" t="s">
        <v>6124</v>
      </c>
      <c r="D5767" t="s">
        <v>6476</v>
      </c>
      <c r="E5767" t="s">
        <v>22758</v>
      </c>
      <c r="F5767">
        <v>43</v>
      </c>
      <c r="G5767">
        <v>2521784</v>
      </c>
      <c r="H5767" t="s">
        <v>22759</v>
      </c>
      <c r="J5767" s="54" t="s">
        <v>6052</v>
      </c>
      <c r="K5767" s="54">
        <v>0</v>
      </c>
      <c r="L5767" s="22" t="s">
        <v>1563</v>
      </c>
      <c r="M5767" s="22" t="s">
        <v>37294</v>
      </c>
    </row>
    <row r="5768" spans="1:13" x14ac:dyDescent="0.75">
      <c r="A5768" t="s">
        <v>22739</v>
      </c>
      <c r="B5768" t="s">
        <v>6475</v>
      </c>
      <c r="C5768" t="s">
        <v>6124</v>
      </c>
      <c r="D5768" t="s">
        <v>6476</v>
      </c>
      <c r="E5768" t="s">
        <v>22740</v>
      </c>
      <c r="F5768">
        <v>36</v>
      </c>
      <c r="G5768">
        <v>2545328</v>
      </c>
      <c r="H5768" t="s">
        <v>22741</v>
      </c>
      <c r="J5768" s="54" t="s">
        <v>6052</v>
      </c>
      <c r="K5768" s="54">
        <v>0</v>
      </c>
      <c r="L5768" s="22" t="s">
        <v>1563</v>
      </c>
      <c r="M5768" s="22" t="s">
        <v>37294</v>
      </c>
    </row>
    <row r="5769" spans="1:13" x14ac:dyDescent="0.75">
      <c r="A5769" t="s">
        <v>22733</v>
      </c>
      <c r="B5769" t="s">
        <v>6475</v>
      </c>
      <c r="C5769" t="s">
        <v>6124</v>
      </c>
      <c r="D5769" t="s">
        <v>6476</v>
      </c>
      <c r="E5769" t="s">
        <v>22734</v>
      </c>
      <c r="F5769">
        <v>38</v>
      </c>
      <c r="G5769">
        <v>2545213</v>
      </c>
      <c r="H5769" t="s">
        <v>22735</v>
      </c>
      <c r="J5769" s="54" t="s">
        <v>6052</v>
      </c>
      <c r="K5769" s="54">
        <v>0</v>
      </c>
      <c r="L5769" s="22" t="s">
        <v>1563</v>
      </c>
      <c r="M5769" s="22" t="s">
        <v>37294</v>
      </c>
    </row>
    <row r="5770" spans="1:13" x14ac:dyDescent="0.75">
      <c r="A5770" t="s">
        <v>22730</v>
      </c>
      <c r="B5770" t="s">
        <v>6475</v>
      </c>
      <c r="C5770" t="s">
        <v>6124</v>
      </c>
      <c r="D5770" t="s">
        <v>6476</v>
      </c>
      <c r="E5770" t="s">
        <v>22731</v>
      </c>
      <c r="F5770">
        <v>38</v>
      </c>
      <c r="G5770">
        <v>2545528</v>
      </c>
      <c r="H5770" t="s">
        <v>22732</v>
      </c>
      <c r="J5770" s="54" t="s">
        <v>6052</v>
      </c>
      <c r="K5770" s="54">
        <v>0</v>
      </c>
      <c r="L5770" s="22" t="s">
        <v>1563</v>
      </c>
      <c r="M5770" s="22" t="s">
        <v>37294</v>
      </c>
    </row>
    <row r="5771" spans="1:13" x14ac:dyDescent="0.75">
      <c r="A5771" t="s">
        <v>22712</v>
      </c>
      <c r="B5771" t="s">
        <v>6475</v>
      </c>
      <c r="C5771" t="s">
        <v>6124</v>
      </c>
      <c r="D5771" t="s">
        <v>6476</v>
      </c>
      <c r="E5771" t="s">
        <v>22713</v>
      </c>
      <c r="F5771">
        <v>32</v>
      </c>
      <c r="G5771">
        <v>2544697</v>
      </c>
      <c r="H5771" t="s">
        <v>22714</v>
      </c>
      <c r="J5771" s="54" t="s">
        <v>6052</v>
      </c>
      <c r="K5771" s="54">
        <v>0</v>
      </c>
      <c r="L5771" s="22" t="s">
        <v>1563</v>
      </c>
      <c r="M5771" s="22" t="s">
        <v>37294</v>
      </c>
    </row>
    <row r="5772" spans="1:13" x14ac:dyDescent="0.75">
      <c r="A5772" t="s">
        <v>22718</v>
      </c>
      <c r="B5772" t="s">
        <v>6475</v>
      </c>
      <c r="C5772" t="s">
        <v>6124</v>
      </c>
      <c r="D5772" t="s">
        <v>6476</v>
      </c>
      <c r="E5772" t="s">
        <v>22719</v>
      </c>
      <c r="F5772">
        <v>23</v>
      </c>
      <c r="G5772">
        <v>2621768</v>
      </c>
      <c r="H5772" t="s">
        <v>22720</v>
      </c>
      <c r="J5772" s="54" t="s">
        <v>6052</v>
      </c>
      <c r="K5772" s="54">
        <v>0</v>
      </c>
      <c r="L5772" s="22" t="s">
        <v>1563</v>
      </c>
      <c r="M5772" s="22" t="s">
        <v>37294</v>
      </c>
    </row>
    <row r="5773" spans="1:13" x14ac:dyDescent="0.75">
      <c r="A5773" t="s">
        <v>22706</v>
      </c>
      <c r="B5773" t="s">
        <v>6475</v>
      </c>
      <c r="C5773" t="s">
        <v>6124</v>
      </c>
      <c r="D5773" t="s">
        <v>6476</v>
      </c>
      <c r="E5773" t="s">
        <v>22707</v>
      </c>
      <c r="F5773">
        <v>24</v>
      </c>
      <c r="G5773">
        <v>2620375</v>
      </c>
      <c r="H5773" t="s">
        <v>22708</v>
      </c>
      <c r="J5773" s="54" t="s">
        <v>6052</v>
      </c>
      <c r="K5773" s="54">
        <v>0</v>
      </c>
      <c r="L5773" s="22" t="s">
        <v>1563</v>
      </c>
      <c r="M5773" s="22" t="s">
        <v>37294</v>
      </c>
    </row>
    <row r="5774" spans="1:13" x14ac:dyDescent="0.75">
      <c r="A5774" t="s">
        <v>22694</v>
      </c>
      <c r="B5774" t="s">
        <v>6475</v>
      </c>
      <c r="C5774" t="s">
        <v>6124</v>
      </c>
      <c r="D5774" t="s">
        <v>6476</v>
      </c>
      <c r="E5774" t="s">
        <v>22695</v>
      </c>
      <c r="F5774">
        <v>34</v>
      </c>
      <c r="G5774">
        <v>2545411</v>
      </c>
      <c r="H5774" t="s">
        <v>22696</v>
      </c>
      <c r="J5774" s="54" t="s">
        <v>6052</v>
      </c>
      <c r="K5774" s="54">
        <v>0</v>
      </c>
      <c r="L5774" s="22" t="s">
        <v>1563</v>
      </c>
      <c r="M5774" s="22" t="s">
        <v>37294</v>
      </c>
    </row>
    <row r="5775" spans="1:13" x14ac:dyDescent="0.75">
      <c r="A5775" t="s">
        <v>22688</v>
      </c>
      <c r="B5775" t="s">
        <v>6475</v>
      </c>
      <c r="C5775" t="s">
        <v>6124</v>
      </c>
      <c r="D5775" t="s">
        <v>6476</v>
      </c>
      <c r="E5775" t="s">
        <v>22689</v>
      </c>
      <c r="F5775">
        <v>38</v>
      </c>
      <c r="G5775">
        <v>2544169</v>
      </c>
      <c r="H5775" t="s">
        <v>22690</v>
      </c>
      <c r="J5775" s="54" t="s">
        <v>6052</v>
      </c>
      <c r="K5775" s="54">
        <v>0</v>
      </c>
      <c r="L5775" s="22" t="s">
        <v>1563</v>
      </c>
      <c r="M5775" s="22" t="s">
        <v>37294</v>
      </c>
    </row>
    <row r="5776" spans="1:13" x14ac:dyDescent="0.75">
      <c r="A5776" t="s">
        <v>22814</v>
      </c>
      <c r="B5776" t="s">
        <v>10958</v>
      </c>
      <c r="C5776" t="s">
        <v>6124</v>
      </c>
      <c r="D5776" t="s">
        <v>6928</v>
      </c>
      <c r="E5776" t="s">
        <v>22815</v>
      </c>
      <c r="F5776">
        <v>30</v>
      </c>
      <c r="G5776">
        <v>2229319</v>
      </c>
      <c r="H5776" t="s">
        <v>22816</v>
      </c>
      <c r="J5776" s="54" t="s">
        <v>6052</v>
      </c>
      <c r="K5776" s="54">
        <v>0</v>
      </c>
      <c r="L5776" s="22" t="s">
        <v>36806</v>
      </c>
      <c r="M5776" s="22" t="s">
        <v>37292</v>
      </c>
    </row>
    <row r="5777" spans="1:13" x14ac:dyDescent="0.75">
      <c r="A5777" t="s">
        <v>22715</v>
      </c>
      <c r="B5777" t="s">
        <v>6475</v>
      </c>
      <c r="C5777" t="s">
        <v>6124</v>
      </c>
      <c r="D5777" t="s">
        <v>6476</v>
      </c>
      <c r="E5777" t="s">
        <v>22716</v>
      </c>
      <c r="F5777">
        <v>32</v>
      </c>
      <c r="G5777">
        <v>2577616</v>
      </c>
      <c r="H5777" t="s">
        <v>22717</v>
      </c>
      <c r="J5777" s="54" t="s">
        <v>6052</v>
      </c>
      <c r="K5777" s="54">
        <v>0</v>
      </c>
      <c r="L5777" s="22" t="s">
        <v>1563</v>
      </c>
      <c r="M5777" s="22" t="s">
        <v>37294</v>
      </c>
    </row>
    <row r="5778" spans="1:13" x14ac:dyDescent="0.75">
      <c r="A5778" t="s">
        <v>22691</v>
      </c>
      <c r="B5778" t="s">
        <v>6475</v>
      </c>
      <c r="C5778" t="s">
        <v>6124</v>
      </c>
      <c r="D5778" t="s">
        <v>6476</v>
      </c>
      <c r="E5778" t="s">
        <v>22692</v>
      </c>
      <c r="F5778">
        <v>28</v>
      </c>
      <c r="G5778">
        <v>2575389</v>
      </c>
      <c r="H5778" t="s">
        <v>22693</v>
      </c>
      <c r="J5778" s="54" t="s">
        <v>6052</v>
      </c>
      <c r="K5778" s="54">
        <v>0</v>
      </c>
      <c r="L5778" s="22" t="s">
        <v>1563</v>
      </c>
      <c r="M5778" s="22" t="s">
        <v>37294</v>
      </c>
    </row>
    <row r="5779" spans="1:13" x14ac:dyDescent="0.75">
      <c r="A5779" t="s">
        <v>22724</v>
      </c>
      <c r="B5779" t="s">
        <v>6475</v>
      </c>
      <c r="C5779" t="s">
        <v>6124</v>
      </c>
      <c r="D5779" t="s">
        <v>6476</v>
      </c>
      <c r="E5779" t="s">
        <v>22725</v>
      </c>
      <c r="F5779">
        <v>29</v>
      </c>
      <c r="G5779">
        <v>2640633</v>
      </c>
      <c r="H5779" t="s">
        <v>22726</v>
      </c>
      <c r="J5779" s="54" t="s">
        <v>6052</v>
      </c>
      <c r="K5779" s="54">
        <v>0</v>
      </c>
      <c r="L5779" s="22" t="s">
        <v>1563</v>
      </c>
      <c r="M5779" s="22" t="s">
        <v>37294</v>
      </c>
    </row>
    <row r="5780" spans="1:13" x14ac:dyDescent="0.75">
      <c r="A5780" t="s">
        <v>22727</v>
      </c>
      <c r="B5780" t="s">
        <v>6475</v>
      </c>
      <c r="C5780" t="s">
        <v>6124</v>
      </c>
      <c r="D5780" t="s">
        <v>6476</v>
      </c>
      <c r="E5780" t="s">
        <v>22728</v>
      </c>
      <c r="F5780">
        <v>55</v>
      </c>
      <c r="G5780">
        <v>2639987</v>
      </c>
      <c r="H5780" t="s">
        <v>22729</v>
      </c>
      <c r="J5780" s="54" t="s">
        <v>6052</v>
      </c>
      <c r="K5780" s="54">
        <v>0</v>
      </c>
      <c r="L5780" s="22" t="s">
        <v>1563</v>
      </c>
      <c r="M5780" s="22" t="s">
        <v>37294</v>
      </c>
    </row>
    <row r="5781" spans="1:13" x14ac:dyDescent="0.75">
      <c r="A5781" t="s">
        <v>22709</v>
      </c>
      <c r="B5781" t="s">
        <v>6475</v>
      </c>
      <c r="C5781" t="s">
        <v>6124</v>
      </c>
      <c r="D5781" t="s">
        <v>6476</v>
      </c>
      <c r="E5781" t="s">
        <v>22710</v>
      </c>
      <c r="F5781">
        <v>60</v>
      </c>
      <c r="G5781">
        <v>2635867</v>
      </c>
      <c r="H5781" t="s">
        <v>22711</v>
      </c>
      <c r="J5781" s="54" t="s">
        <v>6052</v>
      </c>
      <c r="K5781" s="54">
        <v>0</v>
      </c>
      <c r="L5781" s="22" t="s">
        <v>1563</v>
      </c>
      <c r="M5781" s="22" t="s">
        <v>37294</v>
      </c>
    </row>
    <row r="5782" spans="1:13" x14ac:dyDescent="0.75">
      <c r="A5782" t="s">
        <v>22703</v>
      </c>
      <c r="B5782" t="s">
        <v>6475</v>
      </c>
      <c r="C5782" t="s">
        <v>6124</v>
      </c>
      <c r="D5782" t="s">
        <v>6476</v>
      </c>
      <c r="E5782" t="s">
        <v>22704</v>
      </c>
      <c r="F5782">
        <v>43</v>
      </c>
      <c r="G5782">
        <v>2571640</v>
      </c>
      <c r="H5782" t="s">
        <v>22705</v>
      </c>
      <c r="J5782" s="54" t="s">
        <v>6052</v>
      </c>
      <c r="K5782" s="54">
        <v>0</v>
      </c>
      <c r="L5782" s="22" t="s">
        <v>1563</v>
      </c>
      <c r="M5782" s="22" t="s">
        <v>37294</v>
      </c>
    </row>
    <row r="5783" spans="1:13" x14ac:dyDescent="0.75">
      <c r="A5783" t="s">
        <v>22700</v>
      </c>
      <c r="B5783" t="s">
        <v>6475</v>
      </c>
      <c r="C5783" t="s">
        <v>6124</v>
      </c>
      <c r="D5783" t="s">
        <v>6476</v>
      </c>
      <c r="E5783" t="s">
        <v>22701</v>
      </c>
      <c r="F5783">
        <v>31</v>
      </c>
      <c r="G5783">
        <v>2577496</v>
      </c>
      <c r="H5783" t="s">
        <v>22702</v>
      </c>
      <c r="J5783" s="54" t="s">
        <v>6052</v>
      </c>
      <c r="K5783" s="54">
        <v>0</v>
      </c>
      <c r="L5783" s="22" t="s">
        <v>1563</v>
      </c>
      <c r="M5783" s="22" t="s">
        <v>37294</v>
      </c>
    </row>
    <row r="5784" spans="1:13" x14ac:dyDescent="0.75">
      <c r="A5784" t="s">
        <v>22721</v>
      </c>
      <c r="B5784" t="s">
        <v>6475</v>
      </c>
      <c r="C5784" t="s">
        <v>6124</v>
      </c>
      <c r="D5784" t="s">
        <v>6476</v>
      </c>
      <c r="E5784" t="s">
        <v>22722</v>
      </c>
      <c r="F5784">
        <v>21</v>
      </c>
      <c r="G5784">
        <v>2577291</v>
      </c>
      <c r="H5784" t="s">
        <v>22723</v>
      </c>
      <c r="J5784" s="54" t="s">
        <v>6052</v>
      </c>
      <c r="K5784" s="54">
        <v>0</v>
      </c>
      <c r="L5784" s="22" t="s">
        <v>1563</v>
      </c>
      <c r="M5784" s="22" t="s">
        <v>37294</v>
      </c>
    </row>
    <row r="5785" spans="1:13" x14ac:dyDescent="0.75">
      <c r="A5785" t="s">
        <v>22697</v>
      </c>
      <c r="B5785" t="s">
        <v>6475</v>
      </c>
      <c r="C5785" t="s">
        <v>6124</v>
      </c>
      <c r="D5785" t="s">
        <v>6476</v>
      </c>
      <c r="E5785" t="s">
        <v>22698</v>
      </c>
      <c r="F5785">
        <v>21</v>
      </c>
      <c r="G5785">
        <v>2580366</v>
      </c>
      <c r="H5785" t="s">
        <v>22699</v>
      </c>
      <c r="J5785" s="54" t="s">
        <v>6052</v>
      </c>
      <c r="K5785" s="54">
        <v>0</v>
      </c>
      <c r="L5785" s="22" t="s">
        <v>1563</v>
      </c>
      <c r="M5785" s="22" t="s">
        <v>37294</v>
      </c>
    </row>
    <row r="5786" spans="1:13" x14ac:dyDescent="0.75">
      <c r="A5786" t="s">
        <v>22736</v>
      </c>
      <c r="B5786" t="s">
        <v>6475</v>
      </c>
      <c r="C5786" t="s">
        <v>6124</v>
      </c>
      <c r="D5786" t="s">
        <v>6476</v>
      </c>
      <c r="E5786" t="s">
        <v>22737</v>
      </c>
      <c r="F5786">
        <v>34</v>
      </c>
      <c r="G5786">
        <v>2542918</v>
      </c>
      <c r="H5786" t="s">
        <v>22738</v>
      </c>
      <c r="J5786" s="54" t="s">
        <v>6052</v>
      </c>
      <c r="K5786" s="54">
        <v>0</v>
      </c>
      <c r="L5786" s="22" t="s">
        <v>1563</v>
      </c>
      <c r="M5786" s="22" t="s">
        <v>37294</v>
      </c>
    </row>
    <row r="5787" spans="1:13" x14ac:dyDescent="0.75">
      <c r="A5787" t="s">
        <v>22832</v>
      </c>
      <c r="B5787" t="s">
        <v>6195</v>
      </c>
      <c r="C5787" t="s">
        <v>6124</v>
      </c>
      <c r="D5787" t="s">
        <v>6196</v>
      </c>
      <c r="E5787" t="s">
        <v>22833</v>
      </c>
      <c r="F5787">
        <v>49</v>
      </c>
      <c r="G5787">
        <v>2355844</v>
      </c>
      <c r="H5787" t="s">
        <v>22834</v>
      </c>
      <c r="J5787" s="54" t="s">
        <v>6052</v>
      </c>
      <c r="K5787" s="54">
        <v>0</v>
      </c>
      <c r="L5787" s="22" t="s">
        <v>36807</v>
      </c>
      <c r="M5787" s="22" t="s">
        <v>37288</v>
      </c>
    </row>
    <row r="5788" spans="1:13" x14ac:dyDescent="0.75">
      <c r="A5788" t="s">
        <v>22826</v>
      </c>
      <c r="B5788" t="s">
        <v>6195</v>
      </c>
      <c r="C5788" t="s">
        <v>6124</v>
      </c>
      <c r="D5788" t="s">
        <v>6196</v>
      </c>
      <c r="E5788" t="s">
        <v>22827</v>
      </c>
      <c r="F5788">
        <v>48</v>
      </c>
      <c r="G5788">
        <v>2337166</v>
      </c>
      <c r="H5788" t="s">
        <v>22828</v>
      </c>
      <c r="J5788" s="54" t="s">
        <v>6052</v>
      </c>
      <c r="K5788" s="54">
        <v>0</v>
      </c>
      <c r="L5788" s="22" t="s">
        <v>36807</v>
      </c>
      <c r="M5788" s="22" t="s">
        <v>37288</v>
      </c>
    </row>
    <row r="5789" spans="1:13" x14ac:dyDescent="0.75">
      <c r="A5789" t="s">
        <v>22829</v>
      </c>
      <c r="B5789" t="s">
        <v>6195</v>
      </c>
      <c r="C5789" t="s">
        <v>6124</v>
      </c>
      <c r="D5789" t="s">
        <v>6196</v>
      </c>
      <c r="E5789" t="s">
        <v>22830</v>
      </c>
      <c r="F5789">
        <v>42</v>
      </c>
      <c r="G5789">
        <v>2368537</v>
      </c>
      <c r="H5789" t="s">
        <v>22831</v>
      </c>
      <c r="J5789" s="54" t="s">
        <v>6052</v>
      </c>
      <c r="K5789" s="54">
        <v>0</v>
      </c>
      <c r="L5789" s="22" t="s">
        <v>36807</v>
      </c>
      <c r="M5789" s="22" t="s">
        <v>37288</v>
      </c>
    </row>
    <row r="5790" spans="1:13" x14ac:dyDescent="0.75">
      <c r="A5790" t="s">
        <v>22835</v>
      </c>
      <c r="B5790" t="s">
        <v>6894</v>
      </c>
      <c r="C5790" t="s">
        <v>6124</v>
      </c>
      <c r="D5790" t="s">
        <v>6895</v>
      </c>
      <c r="E5790" t="s">
        <v>22836</v>
      </c>
      <c r="F5790">
        <v>44</v>
      </c>
      <c r="G5790">
        <v>2629195</v>
      </c>
      <c r="H5790" t="s">
        <v>22837</v>
      </c>
      <c r="J5790" s="54" t="s">
        <v>6052</v>
      </c>
      <c r="K5790" s="54">
        <v>0</v>
      </c>
      <c r="L5790" s="22" t="s">
        <v>1563</v>
      </c>
      <c r="M5790" s="22" t="s">
        <v>37293</v>
      </c>
    </row>
    <row r="5791" spans="1:13" x14ac:dyDescent="0.75">
      <c r="A5791" t="s">
        <v>22823</v>
      </c>
      <c r="B5791" t="s">
        <v>6195</v>
      </c>
      <c r="C5791" t="s">
        <v>6124</v>
      </c>
      <c r="D5791" t="s">
        <v>6196</v>
      </c>
      <c r="E5791" t="s">
        <v>22824</v>
      </c>
      <c r="F5791">
        <v>45</v>
      </c>
      <c r="G5791">
        <v>2407753</v>
      </c>
      <c r="H5791" t="s">
        <v>22825</v>
      </c>
      <c r="J5791" s="54" t="s">
        <v>6052</v>
      </c>
      <c r="K5791" s="54">
        <v>0</v>
      </c>
      <c r="L5791" s="22" t="s">
        <v>36807</v>
      </c>
      <c r="M5791" s="22" t="s">
        <v>37288</v>
      </c>
    </row>
    <row r="5792" spans="1:13" x14ac:dyDescent="0.75">
      <c r="A5792" t="s">
        <v>22676</v>
      </c>
      <c r="B5792" t="s">
        <v>9016</v>
      </c>
      <c r="C5792" t="s">
        <v>6124</v>
      </c>
      <c r="D5792" t="s">
        <v>9017</v>
      </c>
      <c r="E5792" t="s">
        <v>22677</v>
      </c>
      <c r="F5792">
        <v>28</v>
      </c>
      <c r="G5792">
        <v>2470727</v>
      </c>
      <c r="H5792" t="s">
        <v>22678</v>
      </c>
      <c r="J5792" s="54" t="s">
        <v>6052</v>
      </c>
      <c r="K5792" s="54">
        <v>0</v>
      </c>
      <c r="L5792" s="22" t="s">
        <v>36806</v>
      </c>
      <c r="M5792" s="22" t="s">
        <v>37289</v>
      </c>
    </row>
    <row r="5793" spans="1:13" x14ac:dyDescent="0.75">
      <c r="A5793" t="s">
        <v>22679</v>
      </c>
      <c r="B5793" t="s">
        <v>9016</v>
      </c>
      <c r="C5793" t="s">
        <v>6124</v>
      </c>
      <c r="D5793" t="s">
        <v>9017</v>
      </c>
      <c r="E5793" t="s">
        <v>22680</v>
      </c>
      <c r="F5793">
        <v>33</v>
      </c>
      <c r="G5793">
        <v>2632495</v>
      </c>
      <c r="H5793" t="s">
        <v>22681</v>
      </c>
      <c r="J5793" s="54" t="s">
        <v>6052</v>
      </c>
      <c r="K5793" s="54">
        <v>0</v>
      </c>
      <c r="L5793" s="22" t="s">
        <v>36806</v>
      </c>
      <c r="M5793" s="22" t="s">
        <v>37289</v>
      </c>
    </row>
    <row r="5794" spans="1:13" x14ac:dyDescent="0.75">
      <c r="A5794" t="s">
        <v>22685</v>
      </c>
      <c r="B5794" t="s">
        <v>9016</v>
      </c>
      <c r="C5794" t="s">
        <v>6124</v>
      </c>
      <c r="D5794" t="s">
        <v>9017</v>
      </c>
      <c r="E5794" t="s">
        <v>22686</v>
      </c>
      <c r="F5794">
        <v>27</v>
      </c>
      <c r="G5794">
        <v>2468930</v>
      </c>
      <c r="H5794" t="s">
        <v>22687</v>
      </c>
      <c r="J5794" s="54" t="s">
        <v>6052</v>
      </c>
      <c r="K5794" s="54">
        <v>0</v>
      </c>
      <c r="L5794" s="22" t="s">
        <v>36806</v>
      </c>
      <c r="M5794" s="22" t="s">
        <v>37289</v>
      </c>
    </row>
    <row r="5795" spans="1:13" x14ac:dyDescent="0.75">
      <c r="A5795" t="s">
        <v>22682</v>
      </c>
      <c r="B5795" t="s">
        <v>9016</v>
      </c>
      <c r="C5795" t="s">
        <v>6124</v>
      </c>
      <c r="D5795" t="s">
        <v>9017</v>
      </c>
      <c r="E5795" t="s">
        <v>22683</v>
      </c>
      <c r="F5795">
        <v>33</v>
      </c>
      <c r="G5795">
        <v>2584632</v>
      </c>
      <c r="H5795" t="s">
        <v>22684</v>
      </c>
      <c r="J5795" s="54" t="s">
        <v>6052</v>
      </c>
      <c r="K5795" s="54">
        <v>0</v>
      </c>
      <c r="L5795" s="22" t="s">
        <v>36806</v>
      </c>
      <c r="M5795" s="22" t="s">
        <v>37289</v>
      </c>
    </row>
    <row r="5796" spans="1:13" x14ac:dyDescent="0.75">
      <c r="A5796" t="s">
        <v>22673</v>
      </c>
      <c r="B5796" t="s">
        <v>9016</v>
      </c>
      <c r="C5796" t="s">
        <v>6124</v>
      </c>
      <c r="D5796" t="s">
        <v>9017</v>
      </c>
      <c r="E5796" t="s">
        <v>22674</v>
      </c>
      <c r="F5796">
        <v>34</v>
      </c>
      <c r="G5796">
        <v>2601616</v>
      </c>
      <c r="H5796" t="s">
        <v>22675</v>
      </c>
      <c r="J5796" s="54" t="s">
        <v>6052</v>
      </c>
      <c r="K5796" s="54">
        <v>0</v>
      </c>
      <c r="L5796" s="22" t="s">
        <v>36806</v>
      </c>
      <c r="M5796" s="22" t="s">
        <v>37289</v>
      </c>
    </row>
    <row r="5797" spans="1:13" x14ac:dyDescent="0.75">
      <c r="A5797" t="s">
        <v>22478</v>
      </c>
      <c r="B5797" t="s">
        <v>11784</v>
      </c>
      <c r="C5797" t="s">
        <v>6124</v>
      </c>
      <c r="D5797" t="s">
        <v>11785</v>
      </c>
      <c r="E5797" t="s">
        <v>22479</v>
      </c>
      <c r="F5797">
        <v>40</v>
      </c>
      <c r="G5797">
        <v>2274060</v>
      </c>
      <c r="H5797" t="s">
        <v>22480</v>
      </c>
      <c r="J5797" s="54" t="s">
        <v>6052</v>
      </c>
      <c r="K5797" s="54">
        <v>0</v>
      </c>
      <c r="L5797" s="22" t="s">
        <v>36805</v>
      </c>
      <c r="M5797" s="22" t="s">
        <v>37297</v>
      </c>
    </row>
    <row r="5798" spans="1:13" x14ac:dyDescent="0.75">
      <c r="A5798" t="s">
        <v>22472</v>
      </c>
      <c r="B5798" t="s">
        <v>9016</v>
      </c>
      <c r="C5798" t="s">
        <v>6124</v>
      </c>
      <c r="D5798" t="s">
        <v>9017</v>
      </c>
      <c r="E5798" t="s">
        <v>22473</v>
      </c>
      <c r="F5798">
        <v>28</v>
      </c>
      <c r="G5798">
        <v>2490980</v>
      </c>
      <c r="H5798" t="s">
        <v>22474</v>
      </c>
      <c r="J5798" s="54" t="s">
        <v>6052</v>
      </c>
      <c r="K5798" s="54">
        <v>0</v>
      </c>
      <c r="L5798" s="22" t="s">
        <v>36806</v>
      </c>
      <c r="M5798" s="22" t="s">
        <v>37289</v>
      </c>
    </row>
    <row r="5799" spans="1:13" x14ac:dyDescent="0.75">
      <c r="A5799" t="s">
        <v>8951</v>
      </c>
      <c r="B5799" t="s">
        <v>6475</v>
      </c>
      <c r="C5799" t="s">
        <v>6124</v>
      </c>
      <c r="D5799" t="s">
        <v>6476</v>
      </c>
      <c r="E5799" t="s">
        <v>8952</v>
      </c>
      <c r="F5799">
        <v>17</v>
      </c>
      <c r="G5799">
        <v>2611013</v>
      </c>
      <c r="H5799" t="s">
        <v>8953</v>
      </c>
      <c r="J5799" s="54" t="s">
        <v>6052</v>
      </c>
      <c r="K5799" s="54">
        <v>0</v>
      </c>
      <c r="L5799" s="22" t="s">
        <v>1563</v>
      </c>
      <c r="M5799" s="22" t="s">
        <v>37294</v>
      </c>
    </row>
    <row r="5800" spans="1:13" x14ac:dyDescent="0.75">
      <c r="A5800" t="s">
        <v>25278</v>
      </c>
      <c r="B5800" t="s">
        <v>7155</v>
      </c>
      <c r="C5800" t="s">
        <v>6124</v>
      </c>
      <c r="D5800" t="s">
        <v>7156</v>
      </c>
      <c r="E5800" t="s">
        <v>25279</v>
      </c>
      <c r="F5800">
        <v>14</v>
      </c>
      <c r="G5800">
        <v>2478062</v>
      </c>
      <c r="H5800" t="s">
        <v>25280</v>
      </c>
      <c r="J5800" s="54" t="s">
        <v>6052</v>
      </c>
      <c r="K5800" s="54">
        <v>0</v>
      </c>
      <c r="L5800" s="22" t="s">
        <v>36806</v>
      </c>
      <c r="M5800" s="22" t="s">
        <v>37296</v>
      </c>
    </row>
    <row r="5801" spans="1:13" x14ac:dyDescent="0.75">
      <c r="A5801" t="s">
        <v>25260</v>
      </c>
      <c r="B5801" t="s">
        <v>7155</v>
      </c>
      <c r="C5801" t="s">
        <v>6124</v>
      </c>
      <c r="D5801" t="s">
        <v>7156</v>
      </c>
      <c r="E5801" t="s">
        <v>25261</v>
      </c>
      <c r="F5801">
        <v>17</v>
      </c>
      <c r="G5801">
        <v>2479516</v>
      </c>
      <c r="H5801" t="s">
        <v>25262</v>
      </c>
      <c r="J5801" s="54" t="s">
        <v>6052</v>
      </c>
      <c r="K5801" s="54">
        <v>0</v>
      </c>
      <c r="L5801" s="22" t="s">
        <v>36806</v>
      </c>
      <c r="M5801" s="22" t="s">
        <v>37296</v>
      </c>
    </row>
    <row r="5802" spans="1:13" x14ac:dyDescent="0.75">
      <c r="A5802" t="s">
        <v>25263</v>
      </c>
      <c r="B5802" t="s">
        <v>7155</v>
      </c>
      <c r="C5802" t="s">
        <v>6124</v>
      </c>
      <c r="D5802" t="s">
        <v>7156</v>
      </c>
      <c r="E5802" t="s">
        <v>25264</v>
      </c>
      <c r="F5802">
        <v>16</v>
      </c>
      <c r="G5802">
        <v>2478771</v>
      </c>
      <c r="H5802" t="s">
        <v>25265</v>
      </c>
      <c r="J5802" s="54" t="s">
        <v>6052</v>
      </c>
      <c r="K5802" s="54">
        <v>0</v>
      </c>
      <c r="L5802" s="22" t="s">
        <v>36806</v>
      </c>
      <c r="M5802" s="22" t="s">
        <v>37296</v>
      </c>
    </row>
    <row r="5803" spans="1:13" x14ac:dyDescent="0.75">
      <c r="A5803" t="s">
        <v>25257</v>
      </c>
      <c r="B5803" t="s">
        <v>7155</v>
      </c>
      <c r="C5803" t="s">
        <v>6124</v>
      </c>
      <c r="D5803" t="s">
        <v>7156</v>
      </c>
      <c r="E5803" t="s">
        <v>25258</v>
      </c>
      <c r="F5803">
        <v>14</v>
      </c>
      <c r="G5803">
        <v>2478672</v>
      </c>
      <c r="H5803" t="s">
        <v>25259</v>
      </c>
      <c r="J5803" s="54" t="s">
        <v>6052</v>
      </c>
      <c r="K5803" s="54">
        <v>0</v>
      </c>
      <c r="L5803" s="22" t="s">
        <v>36806</v>
      </c>
      <c r="M5803" s="22" t="s">
        <v>37296</v>
      </c>
    </row>
    <row r="5804" spans="1:13" x14ac:dyDescent="0.75">
      <c r="A5804" t="s">
        <v>25275</v>
      </c>
      <c r="B5804" t="s">
        <v>7155</v>
      </c>
      <c r="C5804" t="s">
        <v>6124</v>
      </c>
      <c r="D5804" t="s">
        <v>7156</v>
      </c>
      <c r="E5804" t="s">
        <v>25276</v>
      </c>
      <c r="F5804">
        <v>25</v>
      </c>
      <c r="G5804">
        <v>2431282</v>
      </c>
      <c r="H5804" t="s">
        <v>25277</v>
      </c>
      <c r="J5804" s="54" t="s">
        <v>6052</v>
      </c>
      <c r="K5804" s="54">
        <v>0</v>
      </c>
      <c r="L5804" s="22" t="s">
        <v>36806</v>
      </c>
      <c r="M5804" s="22" t="s">
        <v>37296</v>
      </c>
    </row>
    <row r="5805" spans="1:13" x14ac:dyDescent="0.75">
      <c r="A5805" t="s">
        <v>25272</v>
      </c>
      <c r="B5805" t="s">
        <v>7155</v>
      </c>
      <c r="C5805" t="s">
        <v>6124</v>
      </c>
      <c r="D5805" t="s">
        <v>7156</v>
      </c>
      <c r="E5805" t="s">
        <v>25273</v>
      </c>
      <c r="F5805">
        <v>23</v>
      </c>
      <c r="G5805">
        <v>2432285</v>
      </c>
      <c r="H5805" t="s">
        <v>25274</v>
      </c>
      <c r="J5805" s="54" t="s">
        <v>6052</v>
      </c>
      <c r="K5805" s="54">
        <v>0</v>
      </c>
      <c r="L5805" s="22" t="s">
        <v>36806</v>
      </c>
      <c r="M5805" s="22" t="s">
        <v>37296</v>
      </c>
    </row>
    <row r="5806" spans="1:13" x14ac:dyDescent="0.75">
      <c r="A5806" t="s">
        <v>25254</v>
      </c>
      <c r="B5806" t="s">
        <v>7155</v>
      </c>
      <c r="C5806" t="s">
        <v>6124</v>
      </c>
      <c r="D5806" t="s">
        <v>7156</v>
      </c>
      <c r="E5806" t="s">
        <v>25255</v>
      </c>
      <c r="F5806">
        <v>22</v>
      </c>
      <c r="G5806">
        <v>2431228</v>
      </c>
      <c r="H5806" t="s">
        <v>25256</v>
      </c>
      <c r="J5806" s="54" t="s">
        <v>6052</v>
      </c>
      <c r="K5806" s="54">
        <v>0</v>
      </c>
      <c r="L5806" s="22" t="s">
        <v>36806</v>
      </c>
      <c r="M5806" s="22" t="s">
        <v>37296</v>
      </c>
    </row>
    <row r="5807" spans="1:13" x14ac:dyDescent="0.75">
      <c r="A5807" t="s">
        <v>25284</v>
      </c>
      <c r="B5807" t="s">
        <v>9016</v>
      </c>
      <c r="C5807" t="s">
        <v>6124</v>
      </c>
      <c r="D5807" t="s">
        <v>9017</v>
      </c>
      <c r="E5807" t="s">
        <v>25285</v>
      </c>
      <c r="F5807">
        <v>16</v>
      </c>
      <c r="G5807">
        <v>2511729</v>
      </c>
      <c r="H5807" t="s">
        <v>25286</v>
      </c>
      <c r="J5807" s="54" t="s">
        <v>6052</v>
      </c>
      <c r="K5807" s="54">
        <v>0</v>
      </c>
      <c r="L5807" s="22" t="s">
        <v>36806</v>
      </c>
      <c r="M5807" s="22" t="s">
        <v>37289</v>
      </c>
    </row>
    <row r="5808" spans="1:13" x14ac:dyDescent="0.75">
      <c r="A5808" t="s">
        <v>25251</v>
      </c>
      <c r="B5808" t="s">
        <v>10958</v>
      </c>
      <c r="C5808" t="s">
        <v>6124</v>
      </c>
      <c r="D5808" t="s">
        <v>6928</v>
      </c>
      <c r="E5808" t="s">
        <v>25252</v>
      </c>
      <c r="F5808">
        <v>27</v>
      </c>
      <c r="G5808">
        <v>2233274</v>
      </c>
      <c r="H5808" t="s">
        <v>25253</v>
      </c>
      <c r="J5808" s="54" t="s">
        <v>6052</v>
      </c>
      <c r="K5808" s="54">
        <v>0</v>
      </c>
      <c r="L5808" s="22" t="s">
        <v>36806</v>
      </c>
      <c r="M5808" s="22" t="s">
        <v>37292</v>
      </c>
    </row>
    <row r="5809" spans="1:13" x14ac:dyDescent="0.75">
      <c r="A5809" t="s">
        <v>25248</v>
      </c>
      <c r="B5809" t="s">
        <v>10958</v>
      </c>
      <c r="C5809" t="s">
        <v>6124</v>
      </c>
      <c r="D5809" t="s">
        <v>6928</v>
      </c>
      <c r="E5809" t="s">
        <v>25249</v>
      </c>
      <c r="F5809">
        <v>29</v>
      </c>
      <c r="G5809">
        <v>2293973</v>
      </c>
      <c r="H5809" t="s">
        <v>25250</v>
      </c>
      <c r="J5809" s="54" t="s">
        <v>6052</v>
      </c>
      <c r="K5809" s="54">
        <v>0</v>
      </c>
      <c r="L5809" s="22" t="s">
        <v>36806</v>
      </c>
      <c r="M5809" s="22" t="s">
        <v>37292</v>
      </c>
    </row>
    <row r="5810" spans="1:13" x14ac:dyDescent="0.75">
      <c r="A5810" t="s">
        <v>25245</v>
      </c>
      <c r="B5810" t="s">
        <v>10958</v>
      </c>
      <c r="C5810" t="s">
        <v>6124</v>
      </c>
      <c r="D5810" t="s">
        <v>6928</v>
      </c>
      <c r="E5810" t="s">
        <v>25246</v>
      </c>
      <c r="F5810">
        <v>28</v>
      </c>
      <c r="G5810">
        <v>2293612</v>
      </c>
      <c r="H5810" t="s">
        <v>25247</v>
      </c>
      <c r="J5810" s="54" t="s">
        <v>6052</v>
      </c>
      <c r="K5810" s="54">
        <v>0</v>
      </c>
      <c r="L5810" s="22" t="s">
        <v>36806</v>
      </c>
      <c r="M5810" s="22" t="s">
        <v>37292</v>
      </c>
    </row>
    <row r="5811" spans="1:13" x14ac:dyDescent="0.75">
      <c r="A5811" t="s">
        <v>25269</v>
      </c>
      <c r="B5811" t="s">
        <v>7155</v>
      </c>
      <c r="C5811" t="s">
        <v>6124</v>
      </c>
      <c r="D5811" t="s">
        <v>7156</v>
      </c>
      <c r="E5811" t="s">
        <v>25270</v>
      </c>
      <c r="F5811">
        <v>19</v>
      </c>
      <c r="G5811">
        <v>2431738</v>
      </c>
      <c r="H5811" t="s">
        <v>25271</v>
      </c>
      <c r="J5811" s="54" t="s">
        <v>6052</v>
      </c>
      <c r="K5811" s="54">
        <v>0</v>
      </c>
      <c r="L5811" s="22" t="s">
        <v>36806</v>
      </c>
      <c r="M5811" s="22" t="s">
        <v>37296</v>
      </c>
    </row>
    <row r="5812" spans="1:13" x14ac:dyDescent="0.75">
      <c r="A5812" t="s">
        <v>25266</v>
      </c>
      <c r="B5812" t="s">
        <v>6894</v>
      </c>
      <c r="C5812" t="s">
        <v>6124</v>
      </c>
      <c r="D5812" t="s">
        <v>6895</v>
      </c>
      <c r="E5812" t="s">
        <v>25267</v>
      </c>
      <c r="F5812">
        <v>22</v>
      </c>
      <c r="G5812">
        <v>2603025</v>
      </c>
      <c r="H5812" t="s">
        <v>25268</v>
      </c>
      <c r="J5812" s="54" t="s">
        <v>6052</v>
      </c>
      <c r="K5812" s="54">
        <v>0</v>
      </c>
      <c r="L5812" s="22" t="s">
        <v>1563</v>
      </c>
      <c r="M5812" s="22" t="s">
        <v>37293</v>
      </c>
    </row>
    <row r="5813" spans="1:13" x14ac:dyDescent="0.75">
      <c r="A5813" t="s">
        <v>25242</v>
      </c>
      <c r="B5813" t="s">
        <v>7155</v>
      </c>
      <c r="C5813" t="s">
        <v>6124</v>
      </c>
      <c r="D5813" t="s">
        <v>7156</v>
      </c>
      <c r="E5813" t="s">
        <v>25243</v>
      </c>
      <c r="F5813">
        <v>37</v>
      </c>
      <c r="G5813">
        <v>2547235</v>
      </c>
      <c r="H5813" t="s">
        <v>25244</v>
      </c>
      <c r="J5813" s="54" t="s">
        <v>6052</v>
      </c>
      <c r="K5813" s="54">
        <v>0</v>
      </c>
      <c r="L5813" s="22" t="s">
        <v>36806</v>
      </c>
      <c r="M5813" s="22" t="s">
        <v>37296</v>
      </c>
    </row>
    <row r="5814" spans="1:13" x14ac:dyDescent="0.75">
      <c r="A5814" t="s">
        <v>25221</v>
      </c>
      <c r="B5814" t="s">
        <v>7155</v>
      </c>
      <c r="C5814" t="s">
        <v>6124</v>
      </c>
      <c r="D5814" t="s">
        <v>7156</v>
      </c>
      <c r="E5814" t="s">
        <v>25222</v>
      </c>
      <c r="F5814">
        <v>17</v>
      </c>
      <c r="G5814">
        <v>2479086</v>
      </c>
      <c r="H5814" t="s">
        <v>25223</v>
      </c>
      <c r="J5814" s="54" t="s">
        <v>6052</v>
      </c>
      <c r="K5814" s="54">
        <v>0</v>
      </c>
      <c r="L5814" s="22" t="s">
        <v>36806</v>
      </c>
      <c r="M5814" s="22" t="s">
        <v>37296</v>
      </c>
    </row>
    <row r="5815" spans="1:13" x14ac:dyDescent="0.75">
      <c r="A5815" t="s">
        <v>25239</v>
      </c>
      <c r="B5815" t="s">
        <v>9016</v>
      </c>
      <c r="C5815" t="s">
        <v>6124</v>
      </c>
      <c r="D5815" t="s">
        <v>9017</v>
      </c>
      <c r="E5815" t="s">
        <v>25240</v>
      </c>
      <c r="F5815">
        <v>22</v>
      </c>
      <c r="G5815">
        <v>2512009</v>
      </c>
      <c r="H5815" t="s">
        <v>25241</v>
      </c>
      <c r="J5815" s="54" t="s">
        <v>6052</v>
      </c>
      <c r="K5815" s="54">
        <v>0</v>
      </c>
      <c r="L5815" s="22" t="s">
        <v>36806</v>
      </c>
      <c r="M5815" s="22" t="s">
        <v>37289</v>
      </c>
    </row>
    <row r="5816" spans="1:13" x14ac:dyDescent="0.75">
      <c r="A5816" t="s">
        <v>25233</v>
      </c>
      <c r="B5816" t="s">
        <v>9016</v>
      </c>
      <c r="C5816" t="s">
        <v>6124</v>
      </c>
      <c r="D5816" t="s">
        <v>9017</v>
      </c>
      <c r="E5816" t="s">
        <v>25234</v>
      </c>
      <c r="F5816">
        <v>17</v>
      </c>
      <c r="G5816">
        <v>2512570</v>
      </c>
      <c r="H5816" t="s">
        <v>25235</v>
      </c>
      <c r="J5816" s="54" t="s">
        <v>6052</v>
      </c>
      <c r="K5816" s="54">
        <v>0</v>
      </c>
      <c r="L5816" s="22" t="s">
        <v>36806</v>
      </c>
      <c r="M5816" s="22" t="s">
        <v>37289</v>
      </c>
    </row>
    <row r="5817" spans="1:13" x14ac:dyDescent="0.75">
      <c r="A5817" t="s">
        <v>25236</v>
      </c>
      <c r="B5817" t="s">
        <v>9016</v>
      </c>
      <c r="C5817" t="s">
        <v>6124</v>
      </c>
      <c r="D5817" t="s">
        <v>9017</v>
      </c>
      <c r="E5817" t="s">
        <v>25237</v>
      </c>
      <c r="F5817">
        <v>19</v>
      </c>
      <c r="G5817">
        <v>2511885</v>
      </c>
      <c r="H5817" t="s">
        <v>25238</v>
      </c>
      <c r="J5817" s="54" t="s">
        <v>6052</v>
      </c>
      <c r="K5817" s="54">
        <v>0</v>
      </c>
      <c r="L5817" s="22" t="s">
        <v>36806</v>
      </c>
      <c r="M5817" s="22" t="s">
        <v>37289</v>
      </c>
    </row>
    <row r="5818" spans="1:13" x14ac:dyDescent="0.75">
      <c r="A5818" t="s">
        <v>25230</v>
      </c>
      <c r="B5818" t="s">
        <v>7155</v>
      </c>
      <c r="C5818" t="s">
        <v>6124</v>
      </c>
      <c r="D5818" t="s">
        <v>7156</v>
      </c>
      <c r="E5818" t="s">
        <v>25231</v>
      </c>
      <c r="F5818">
        <v>16</v>
      </c>
      <c r="G5818">
        <v>2445446</v>
      </c>
      <c r="H5818" t="s">
        <v>25232</v>
      </c>
      <c r="J5818" s="54" t="s">
        <v>6052</v>
      </c>
      <c r="K5818" s="54">
        <v>0</v>
      </c>
      <c r="L5818" s="22" t="s">
        <v>36806</v>
      </c>
      <c r="M5818" s="22" t="s">
        <v>37296</v>
      </c>
    </row>
    <row r="5819" spans="1:13" x14ac:dyDescent="0.75">
      <c r="A5819" t="s">
        <v>25227</v>
      </c>
      <c r="B5819" t="s">
        <v>7155</v>
      </c>
      <c r="C5819" t="s">
        <v>6124</v>
      </c>
      <c r="D5819" t="s">
        <v>7156</v>
      </c>
      <c r="E5819" t="s">
        <v>25228</v>
      </c>
      <c r="F5819">
        <v>18</v>
      </c>
      <c r="G5819">
        <v>2444570</v>
      </c>
      <c r="H5819" t="s">
        <v>25229</v>
      </c>
      <c r="J5819" s="54" t="s">
        <v>6052</v>
      </c>
      <c r="K5819" s="54">
        <v>0</v>
      </c>
      <c r="L5819" s="22" t="s">
        <v>36806</v>
      </c>
      <c r="M5819" s="22" t="s">
        <v>37296</v>
      </c>
    </row>
    <row r="5820" spans="1:13" x14ac:dyDescent="0.75">
      <c r="A5820" t="s">
        <v>25218</v>
      </c>
      <c r="B5820" t="s">
        <v>9016</v>
      </c>
      <c r="C5820" t="s">
        <v>6124</v>
      </c>
      <c r="D5820" t="s">
        <v>9017</v>
      </c>
      <c r="E5820" t="s">
        <v>25219</v>
      </c>
      <c r="F5820">
        <v>24</v>
      </c>
      <c r="G5820">
        <v>2512058</v>
      </c>
      <c r="H5820" t="s">
        <v>25220</v>
      </c>
      <c r="J5820" s="54" t="s">
        <v>6052</v>
      </c>
      <c r="K5820" s="54">
        <v>0</v>
      </c>
      <c r="L5820" s="22" t="s">
        <v>36806</v>
      </c>
      <c r="M5820" s="22" t="s">
        <v>37289</v>
      </c>
    </row>
    <row r="5821" spans="1:13" x14ac:dyDescent="0.75">
      <c r="A5821" t="s">
        <v>25224</v>
      </c>
      <c r="B5821" t="s">
        <v>7155</v>
      </c>
      <c r="C5821" t="s">
        <v>6124</v>
      </c>
      <c r="D5821" t="s">
        <v>7156</v>
      </c>
      <c r="E5821" t="s">
        <v>25225</v>
      </c>
      <c r="F5821">
        <v>15</v>
      </c>
      <c r="G5821">
        <v>2445644</v>
      </c>
      <c r="H5821" t="s">
        <v>25226</v>
      </c>
      <c r="J5821" s="54" t="s">
        <v>6052</v>
      </c>
      <c r="K5821" s="54">
        <v>0</v>
      </c>
      <c r="L5821" s="22" t="s">
        <v>36806</v>
      </c>
      <c r="M5821" s="22" t="s">
        <v>37296</v>
      </c>
    </row>
    <row r="5822" spans="1:13" x14ac:dyDescent="0.75">
      <c r="A5822" t="s">
        <v>25281</v>
      </c>
      <c r="B5822" t="s">
        <v>9016</v>
      </c>
      <c r="C5822" t="s">
        <v>6124</v>
      </c>
      <c r="D5822" t="s">
        <v>9017</v>
      </c>
      <c r="E5822" t="s">
        <v>25282</v>
      </c>
      <c r="F5822">
        <v>31</v>
      </c>
      <c r="G5822">
        <v>2508211</v>
      </c>
      <c r="H5822" t="s">
        <v>25283</v>
      </c>
      <c r="J5822" s="54" t="s">
        <v>6052</v>
      </c>
      <c r="K5822" s="54">
        <v>0</v>
      </c>
      <c r="L5822" s="22" t="s">
        <v>36806</v>
      </c>
      <c r="M5822" s="22" t="s">
        <v>37289</v>
      </c>
    </row>
    <row r="5823" spans="1:13" x14ac:dyDescent="0.75">
      <c r="A5823" t="s">
        <v>25215</v>
      </c>
      <c r="B5823" t="s">
        <v>9016</v>
      </c>
      <c r="C5823" t="s">
        <v>6124</v>
      </c>
      <c r="D5823" t="s">
        <v>9017</v>
      </c>
      <c r="E5823" t="s">
        <v>25216</v>
      </c>
      <c r="F5823">
        <v>21</v>
      </c>
      <c r="G5823">
        <v>2512920</v>
      </c>
      <c r="H5823" t="s">
        <v>25217</v>
      </c>
      <c r="J5823" s="54" t="s">
        <v>6052</v>
      </c>
      <c r="K5823" s="54">
        <v>0</v>
      </c>
      <c r="L5823" s="22" t="s">
        <v>36806</v>
      </c>
      <c r="M5823" s="22" t="s">
        <v>37289</v>
      </c>
    </row>
    <row r="5824" spans="1:13" x14ac:dyDescent="0.75">
      <c r="A5824" t="s">
        <v>25212</v>
      </c>
      <c r="B5824" t="s">
        <v>7155</v>
      </c>
      <c r="C5824" t="s">
        <v>6124</v>
      </c>
      <c r="D5824" t="s">
        <v>7156</v>
      </c>
      <c r="E5824" t="s">
        <v>25213</v>
      </c>
      <c r="F5824">
        <v>29</v>
      </c>
      <c r="G5824">
        <v>2441468</v>
      </c>
      <c r="H5824" t="s">
        <v>25214</v>
      </c>
      <c r="J5824" s="54" t="s">
        <v>6052</v>
      </c>
      <c r="K5824" s="54">
        <v>0</v>
      </c>
      <c r="L5824" s="22" t="s">
        <v>36806</v>
      </c>
      <c r="M5824" s="22" t="s">
        <v>37296</v>
      </c>
    </row>
    <row r="5825" spans="1:13" x14ac:dyDescent="0.75">
      <c r="A5825" t="s">
        <v>25209</v>
      </c>
      <c r="B5825" t="s">
        <v>7155</v>
      </c>
      <c r="C5825" t="s">
        <v>6124</v>
      </c>
      <c r="D5825" t="s">
        <v>7156</v>
      </c>
      <c r="E5825" t="s">
        <v>25210</v>
      </c>
      <c r="F5825">
        <v>26</v>
      </c>
      <c r="G5825">
        <v>2615174</v>
      </c>
      <c r="H5825" t="s">
        <v>25211</v>
      </c>
      <c r="J5825" s="54" t="s">
        <v>6052</v>
      </c>
      <c r="K5825" s="54">
        <v>0</v>
      </c>
      <c r="L5825" s="22" t="s">
        <v>36806</v>
      </c>
      <c r="M5825" s="22" t="s">
        <v>37296</v>
      </c>
    </row>
    <row r="5826" spans="1:13" x14ac:dyDescent="0.75">
      <c r="A5826" t="s">
        <v>25206</v>
      </c>
      <c r="B5826" t="s">
        <v>7155</v>
      </c>
      <c r="C5826" t="s">
        <v>6124</v>
      </c>
      <c r="D5826" t="s">
        <v>7156</v>
      </c>
      <c r="E5826" t="s">
        <v>25207</v>
      </c>
      <c r="F5826">
        <v>20</v>
      </c>
      <c r="G5826">
        <v>2613967</v>
      </c>
      <c r="H5826" t="s">
        <v>25208</v>
      </c>
      <c r="J5826" s="54" t="s">
        <v>6052</v>
      </c>
      <c r="K5826" s="54">
        <v>0</v>
      </c>
      <c r="L5826" s="22" t="s">
        <v>36806</v>
      </c>
      <c r="M5826" s="22" t="s">
        <v>37296</v>
      </c>
    </row>
    <row r="5827" spans="1:13" x14ac:dyDescent="0.75">
      <c r="A5827" t="s">
        <v>25203</v>
      </c>
      <c r="B5827" t="s">
        <v>9016</v>
      </c>
      <c r="C5827" t="s">
        <v>6124</v>
      </c>
      <c r="D5827" t="s">
        <v>9017</v>
      </c>
      <c r="E5827" t="s">
        <v>25204</v>
      </c>
      <c r="F5827">
        <v>41</v>
      </c>
      <c r="G5827">
        <v>2434872</v>
      </c>
      <c r="H5827" t="s">
        <v>25205</v>
      </c>
      <c r="J5827" s="54" t="s">
        <v>6052</v>
      </c>
      <c r="K5827" s="54">
        <v>0</v>
      </c>
      <c r="L5827" s="22" t="s">
        <v>36806</v>
      </c>
      <c r="M5827" s="22" t="s">
        <v>37289</v>
      </c>
    </row>
    <row r="5828" spans="1:13" x14ac:dyDescent="0.75">
      <c r="A5828" t="s">
        <v>25200</v>
      </c>
      <c r="B5828" t="s">
        <v>9016</v>
      </c>
      <c r="C5828" t="s">
        <v>6124</v>
      </c>
      <c r="D5828" t="s">
        <v>9017</v>
      </c>
      <c r="E5828" t="s">
        <v>25201</v>
      </c>
      <c r="F5828">
        <v>39</v>
      </c>
      <c r="G5828">
        <v>2531323</v>
      </c>
      <c r="H5828" t="s">
        <v>25202</v>
      </c>
      <c r="J5828" s="54" t="s">
        <v>6052</v>
      </c>
      <c r="K5828" s="54">
        <v>0</v>
      </c>
      <c r="L5828" s="22" t="s">
        <v>36806</v>
      </c>
      <c r="M5828" s="22" t="s">
        <v>37289</v>
      </c>
    </row>
    <row r="5829" spans="1:13" x14ac:dyDescent="0.75">
      <c r="A5829" t="s">
        <v>25197</v>
      </c>
      <c r="B5829" t="s">
        <v>9016</v>
      </c>
      <c r="C5829" t="s">
        <v>6124</v>
      </c>
      <c r="D5829" t="s">
        <v>9017</v>
      </c>
      <c r="E5829" t="s">
        <v>25198</v>
      </c>
      <c r="F5829">
        <v>46</v>
      </c>
      <c r="G5829">
        <v>2434493</v>
      </c>
      <c r="H5829" t="s">
        <v>25199</v>
      </c>
      <c r="J5829" s="54" t="s">
        <v>6052</v>
      </c>
      <c r="K5829" s="54">
        <v>0</v>
      </c>
      <c r="L5829" s="22" t="s">
        <v>36806</v>
      </c>
      <c r="M5829" s="22" t="s">
        <v>37289</v>
      </c>
    </row>
    <row r="5830" spans="1:13" x14ac:dyDescent="0.75">
      <c r="A5830" t="s">
        <v>25194</v>
      </c>
      <c r="B5830" t="s">
        <v>7155</v>
      </c>
      <c r="C5830" t="s">
        <v>6124</v>
      </c>
      <c r="D5830" t="s">
        <v>7156</v>
      </c>
      <c r="E5830" t="s">
        <v>25195</v>
      </c>
      <c r="F5830">
        <v>35</v>
      </c>
      <c r="G5830">
        <v>2493082</v>
      </c>
      <c r="H5830" t="s">
        <v>25196</v>
      </c>
      <c r="J5830" s="54" t="s">
        <v>6052</v>
      </c>
      <c r="K5830" s="54">
        <v>0</v>
      </c>
      <c r="L5830" s="22" t="s">
        <v>36806</v>
      </c>
      <c r="M5830" s="22" t="s">
        <v>37296</v>
      </c>
    </row>
    <row r="5831" spans="1:13" x14ac:dyDescent="0.75">
      <c r="A5831" t="s">
        <v>25191</v>
      </c>
      <c r="B5831" t="s">
        <v>7155</v>
      </c>
      <c r="C5831" t="s">
        <v>6124</v>
      </c>
      <c r="D5831" t="s">
        <v>7156</v>
      </c>
      <c r="E5831" t="s">
        <v>25192</v>
      </c>
      <c r="F5831">
        <v>38</v>
      </c>
      <c r="G5831">
        <v>2450491</v>
      </c>
      <c r="H5831" t="s">
        <v>25193</v>
      </c>
      <c r="J5831" s="54" t="s">
        <v>6052</v>
      </c>
      <c r="K5831" s="54">
        <v>0</v>
      </c>
      <c r="L5831" s="22" t="s">
        <v>36806</v>
      </c>
      <c r="M5831" s="22" t="s">
        <v>37296</v>
      </c>
    </row>
    <row r="5832" spans="1:13" x14ac:dyDescent="0.75">
      <c r="A5832" t="s">
        <v>21475</v>
      </c>
      <c r="B5832" t="s">
        <v>9016</v>
      </c>
      <c r="C5832" t="s">
        <v>6124</v>
      </c>
      <c r="D5832" t="s">
        <v>9017</v>
      </c>
      <c r="E5832" t="s">
        <v>21476</v>
      </c>
      <c r="F5832">
        <v>23</v>
      </c>
      <c r="G5832">
        <v>2551375</v>
      </c>
      <c r="H5832" t="s">
        <v>21477</v>
      </c>
      <c r="J5832" s="54" t="s">
        <v>6052</v>
      </c>
      <c r="K5832" s="54">
        <v>0</v>
      </c>
      <c r="L5832" s="22" t="s">
        <v>36806</v>
      </c>
      <c r="M5832" s="22" t="s">
        <v>37289</v>
      </c>
    </row>
    <row r="5833" spans="1:13" x14ac:dyDescent="0.75">
      <c r="A5833" t="s">
        <v>24611</v>
      </c>
      <c r="B5833" t="s">
        <v>7155</v>
      </c>
      <c r="C5833" t="s">
        <v>6124</v>
      </c>
      <c r="D5833" t="s">
        <v>7156</v>
      </c>
      <c r="E5833" t="s">
        <v>24612</v>
      </c>
      <c r="F5833">
        <v>36</v>
      </c>
      <c r="G5833">
        <v>2403042</v>
      </c>
      <c r="H5833" t="s">
        <v>24613</v>
      </c>
      <c r="J5833" s="54" t="s">
        <v>6052</v>
      </c>
      <c r="K5833" s="54">
        <v>0</v>
      </c>
      <c r="L5833" s="22" t="s">
        <v>36806</v>
      </c>
      <c r="M5833" s="22" t="s">
        <v>37296</v>
      </c>
    </row>
    <row r="5834" spans="1:13" x14ac:dyDescent="0.75">
      <c r="A5834" t="s">
        <v>24215</v>
      </c>
      <c r="B5834" t="s">
        <v>6123</v>
      </c>
      <c r="C5834" t="s">
        <v>6124</v>
      </c>
      <c r="D5834" t="s">
        <v>6125</v>
      </c>
      <c r="E5834" t="s">
        <v>24216</v>
      </c>
      <c r="F5834">
        <v>4</v>
      </c>
      <c r="G5834">
        <v>2507467</v>
      </c>
      <c r="H5834" t="s">
        <v>24217</v>
      </c>
      <c r="J5834" s="54" t="s">
        <v>6052</v>
      </c>
      <c r="K5834" s="54">
        <v>0</v>
      </c>
      <c r="L5834" s="22" t="s">
        <v>36806</v>
      </c>
      <c r="M5834" s="22" t="s">
        <v>37290</v>
      </c>
    </row>
    <row r="5835" spans="1:13" x14ac:dyDescent="0.75">
      <c r="A5835" t="s">
        <v>25514</v>
      </c>
      <c r="B5835" t="s">
        <v>9016</v>
      </c>
      <c r="C5835" t="s">
        <v>6124</v>
      </c>
      <c r="D5835" t="s">
        <v>9017</v>
      </c>
      <c r="E5835" t="s">
        <v>25515</v>
      </c>
      <c r="F5835">
        <v>28</v>
      </c>
      <c r="G5835">
        <v>2522491</v>
      </c>
      <c r="H5835" t="s">
        <v>25516</v>
      </c>
      <c r="J5835" s="54" t="s">
        <v>6052</v>
      </c>
      <c r="K5835" s="54">
        <v>0</v>
      </c>
      <c r="L5835" s="22" t="s">
        <v>36806</v>
      </c>
      <c r="M5835" s="22" t="s">
        <v>37289</v>
      </c>
    </row>
    <row r="5836" spans="1:13" x14ac:dyDescent="0.75">
      <c r="A5836" t="s">
        <v>25511</v>
      </c>
      <c r="B5836" t="s">
        <v>9016</v>
      </c>
      <c r="C5836" t="s">
        <v>6124</v>
      </c>
      <c r="D5836" t="s">
        <v>9017</v>
      </c>
      <c r="E5836" t="s">
        <v>25512</v>
      </c>
      <c r="F5836">
        <v>44</v>
      </c>
      <c r="G5836">
        <v>2433960</v>
      </c>
      <c r="H5836" t="s">
        <v>25513</v>
      </c>
      <c r="J5836" s="54" t="s">
        <v>6052</v>
      </c>
      <c r="K5836" s="54">
        <v>0</v>
      </c>
      <c r="L5836" s="22" t="s">
        <v>36806</v>
      </c>
      <c r="M5836" s="22" t="s">
        <v>37289</v>
      </c>
    </row>
    <row r="5837" spans="1:13" x14ac:dyDescent="0.75">
      <c r="A5837" t="s">
        <v>13798</v>
      </c>
      <c r="B5837" t="s">
        <v>6123</v>
      </c>
      <c r="C5837" t="s">
        <v>6124</v>
      </c>
      <c r="D5837" t="s">
        <v>6125</v>
      </c>
      <c r="E5837" t="s">
        <v>13799</v>
      </c>
      <c r="F5837">
        <v>6</v>
      </c>
      <c r="G5837">
        <v>2570371</v>
      </c>
      <c r="H5837" t="s">
        <v>13800</v>
      </c>
      <c r="J5837" s="54" t="s">
        <v>6052</v>
      </c>
      <c r="K5837" s="54">
        <v>0</v>
      </c>
      <c r="L5837" s="22" t="s">
        <v>36806</v>
      </c>
      <c r="M5837" s="22" t="s">
        <v>37290</v>
      </c>
    </row>
    <row r="5838" spans="1:13" x14ac:dyDescent="0.75">
      <c r="A5838" t="s">
        <v>21961</v>
      </c>
      <c r="B5838" t="s">
        <v>6195</v>
      </c>
      <c r="C5838" t="s">
        <v>6124</v>
      </c>
      <c r="D5838" t="s">
        <v>6196</v>
      </c>
      <c r="E5838" t="s">
        <v>21962</v>
      </c>
      <c r="F5838">
        <v>5</v>
      </c>
      <c r="G5838">
        <v>2649024</v>
      </c>
      <c r="H5838" t="s">
        <v>21963</v>
      </c>
      <c r="J5838" s="54" t="s">
        <v>6052</v>
      </c>
      <c r="K5838" s="54">
        <v>0</v>
      </c>
      <c r="L5838" s="22" t="s">
        <v>36807</v>
      </c>
      <c r="M5838" s="22" t="s">
        <v>37288</v>
      </c>
    </row>
    <row r="5839" spans="1:13" x14ac:dyDescent="0.75">
      <c r="A5839" t="s">
        <v>22129</v>
      </c>
      <c r="B5839" t="s">
        <v>6195</v>
      </c>
      <c r="C5839" t="s">
        <v>6124</v>
      </c>
      <c r="D5839" t="s">
        <v>6196</v>
      </c>
      <c r="E5839" t="s">
        <v>22130</v>
      </c>
      <c r="F5839">
        <v>40</v>
      </c>
      <c r="G5839">
        <v>2449567</v>
      </c>
      <c r="H5839" t="s">
        <v>22131</v>
      </c>
      <c r="J5839" s="54" t="s">
        <v>6052</v>
      </c>
      <c r="K5839" s="54">
        <v>0</v>
      </c>
      <c r="L5839" s="22" t="s">
        <v>36807</v>
      </c>
      <c r="M5839" s="22" t="s">
        <v>37288</v>
      </c>
    </row>
    <row r="5840" spans="1:13" x14ac:dyDescent="0.75">
      <c r="A5840" t="s">
        <v>22126</v>
      </c>
      <c r="B5840" t="s">
        <v>11784</v>
      </c>
      <c r="C5840" t="s">
        <v>6124</v>
      </c>
      <c r="D5840" t="s">
        <v>11785</v>
      </c>
      <c r="E5840" t="s">
        <v>22127</v>
      </c>
      <c r="F5840">
        <v>29</v>
      </c>
      <c r="G5840">
        <v>2195146</v>
      </c>
      <c r="H5840" t="s">
        <v>22128</v>
      </c>
      <c r="J5840" s="54" t="s">
        <v>6052</v>
      </c>
      <c r="K5840" s="54">
        <v>0</v>
      </c>
      <c r="L5840" s="22" t="s">
        <v>36805</v>
      </c>
      <c r="M5840" s="22" t="s">
        <v>37297</v>
      </c>
    </row>
    <row r="5841" spans="1:13" x14ac:dyDescent="0.75">
      <c r="A5841" t="s">
        <v>22120</v>
      </c>
      <c r="B5841" t="s">
        <v>6195</v>
      </c>
      <c r="C5841" t="s">
        <v>6124</v>
      </c>
      <c r="D5841" t="s">
        <v>6196</v>
      </c>
      <c r="E5841" t="s">
        <v>22121</v>
      </c>
      <c r="F5841">
        <v>51</v>
      </c>
      <c r="G5841">
        <v>2495433</v>
      </c>
      <c r="H5841" t="s">
        <v>22122</v>
      </c>
      <c r="J5841" s="54" t="s">
        <v>6052</v>
      </c>
      <c r="K5841" s="54">
        <v>0</v>
      </c>
      <c r="L5841" s="22" t="s">
        <v>36807</v>
      </c>
      <c r="M5841" s="22" t="s">
        <v>37288</v>
      </c>
    </row>
    <row r="5842" spans="1:13" x14ac:dyDescent="0.75">
      <c r="A5842" t="s">
        <v>22123</v>
      </c>
      <c r="B5842" t="s">
        <v>6195</v>
      </c>
      <c r="C5842" t="s">
        <v>6124</v>
      </c>
      <c r="D5842" t="s">
        <v>6196</v>
      </c>
      <c r="E5842" t="s">
        <v>22124</v>
      </c>
      <c r="F5842">
        <v>45</v>
      </c>
      <c r="G5842">
        <v>2456533</v>
      </c>
      <c r="H5842" t="s">
        <v>22125</v>
      </c>
      <c r="J5842" s="54" t="s">
        <v>6052</v>
      </c>
      <c r="K5842" s="54">
        <v>0</v>
      </c>
      <c r="L5842" s="22" t="s">
        <v>36807</v>
      </c>
      <c r="M5842" s="22" t="s">
        <v>37288</v>
      </c>
    </row>
    <row r="5843" spans="1:13" x14ac:dyDescent="0.75">
      <c r="A5843" t="s">
        <v>22117</v>
      </c>
      <c r="B5843" t="s">
        <v>6195</v>
      </c>
      <c r="C5843" t="s">
        <v>6124</v>
      </c>
      <c r="D5843" t="s">
        <v>6196</v>
      </c>
      <c r="E5843" t="s">
        <v>22118</v>
      </c>
      <c r="F5843">
        <v>43</v>
      </c>
      <c r="G5843">
        <v>2495438</v>
      </c>
      <c r="H5843" t="s">
        <v>22119</v>
      </c>
      <c r="J5843" s="54" t="s">
        <v>6052</v>
      </c>
      <c r="K5843" s="54">
        <v>0</v>
      </c>
      <c r="L5843" s="22" t="s">
        <v>36807</v>
      </c>
      <c r="M5843" s="22" t="s">
        <v>37288</v>
      </c>
    </row>
    <row r="5844" spans="1:13" x14ac:dyDescent="0.75">
      <c r="A5844" t="s">
        <v>22114</v>
      </c>
      <c r="B5844" t="s">
        <v>6195</v>
      </c>
      <c r="C5844" t="s">
        <v>6124</v>
      </c>
      <c r="D5844" t="s">
        <v>6196</v>
      </c>
      <c r="E5844" t="s">
        <v>22115</v>
      </c>
      <c r="F5844">
        <v>40</v>
      </c>
      <c r="G5844">
        <v>2526847</v>
      </c>
      <c r="H5844" t="s">
        <v>22116</v>
      </c>
      <c r="J5844" s="54" t="s">
        <v>6052</v>
      </c>
      <c r="K5844" s="54">
        <v>0</v>
      </c>
      <c r="L5844" s="22" t="s">
        <v>36807</v>
      </c>
      <c r="M5844" s="22" t="s">
        <v>37288</v>
      </c>
    </row>
    <row r="5845" spans="1:13" x14ac:dyDescent="0.75">
      <c r="A5845" t="s">
        <v>22111</v>
      </c>
      <c r="B5845" t="s">
        <v>6195</v>
      </c>
      <c r="C5845" t="s">
        <v>6124</v>
      </c>
      <c r="D5845" t="s">
        <v>6196</v>
      </c>
      <c r="E5845" t="s">
        <v>22112</v>
      </c>
      <c r="F5845">
        <v>39</v>
      </c>
      <c r="G5845">
        <v>2428110</v>
      </c>
      <c r="H5845" t="s">
        <v>22113</v>
      </c>
      <c r="J5845" s="54" t="s">
        <v>6052</v>
      </c>
      <c r="K5845" s="54">
        <v>0</v>
      </c>
      <c r="L5845" s="22" t="s">
        <v>36807</v>
      </c>
      <c r="M5845" s="22" t="s">
        <v>37288</v>
      </c>
    </row>
    <row r="5846" spans="1:13" x14ac:dyDescent="0.75">
      <c r="A5846" t="s">
        <v>22108</v>
      </c>
      <c r="B5846" t="s">
        <v>10958</v>
      </c>
      <c r="C5846" t="s">
        <v>6124</v>
      </c>
      <c r="D5846" t="s">
        <v>6928</v>
      </c>
      <c r="E5846" t="s">
        <v>22109</v>
      </c>
      <c r="F5846">
        <v>30</v>
      </c>
      <c r="G5846">
        <v>2191896</v>
      </c>
      <c r="H5846" t="s">
        <v>22110</v>
      </c>
      <c r="J5846" s="54" t="s">
        <v>6052</v>
      </c>
      <c r="K5846" s="54">
        <v>0</v>
      </c>
      <c r="L5846" s="22" t="s">
        <v>36806</v>
      </c>
      <c r="M5846" s="22" t="s">
        <v>37292</v>
      </c>
    </row>
    <row r="5847" spans="1:13" x14ac:dyDescent="0.75">
      <c r="A5847" t="s">
        <v>22105</v>
      </c>
      <c r="B5847" t="s">
        <v>9016</v>
      </c>
      <c r="C5847" t="s">
        <v>6124</v>
      </c>
      <c r="D5847" t="s">
        <v>9017</v>
      </c>
      <c r="E5847" t="s">
        <v>22106</v>
      </c>
      <c r="F5847">
        <v>36</v>
      </c>
      <c r="G5847">
        <v>2556958</v>
      </c>
      <c r="H5847" t="s">
        <v>22107</v>
      </c>
      <c r="J5847" s="54" t="s">
        <v>6052</v>
      </c>
      <c r="K5847" s="54">
        <v>0</v>
      </c>
      <c r="L5847" s="22" t="s">
        <v>36806</v>
      </c>
      <c r="M5847" s="22" t="s">
        <v>37289</v>
      </c>
    </row>
    <row r="5848" spans="1:13" x14ac:dyDescent="0.75">
      <c r="A5848" t="s">
        <v>22102</v>
      </c>
      <c r="B5848" t="s">
        <v>10958</v>
      </c>
      <c r="C5848" t="s">
        <v>6124</v>
      </c>
      <c r="D5848" t="s">
        <v>6928</v>
      </c>
      <c r="E5848" t="s">
        <v>22103</v>
      </c>
      <c r="F5848">
        <v>28</v>
      </c>
      <c r="G5848">
        <v>2244302</v>
      </c>
      <c r="H5848" t="s">
        <v>22104</v>
      </c>
      <c r="J5848" s="54" t="s">
        <v>6052</v>
      </c>
      <c r="K5848" s="54">
        <v>0</v>
      </c>
      <c r="L5848" s="22" t="s">
        <v>36806</v>
      </c>
      <c r="M5848" s="22" t="s">
        <v>37292</v>
      </c>
    </row>
    <row r="5849" spans="1:13" x14ac:dyDescent="0.75">
      <c r="A5849" t="s">
        <v>22099</v>
      </c>
      <c r="B5849" t="s">
        <v>10958</v>
      </c>
      <c r="C5849" t="s">
        <v>6124</v>
      </c>
      <c r="D5849" t="s">
        <v>6928</v>
      </c>
      <c r="E5849" t="s">
        <v>22100</v>
      </c>
      <c r="F5849">
        <v>27</v>
      </c>
      <c r="G5849">
        <v>2226036</v>
      </c>
      <c r="H5849" t="s">
        <v>22101</v>
      </c>
      <c r="J5849" s="54" t="s">
        <v>6052</v>
      </c>
      <c r="K5849" s="54">
        <v>0</v>
      </c>
      <c r="L5849" s="22" t="s">
        <v>36806</v>
      </c>
      <c r="M5849" s="22" t="s">
        <v>37292</v>
      </c>
    </row>
    <row r="5850" spans="1:13" x14ac:dyDescent="0.75">
      <c r="A5850" t="s">
        <v>17998</v>
      </c>
      <c r="B5850" t="s">
        <v>6475</v>
      </c>
      <c r="C5850" t="s">
        <v>6124</v>
      </c>
      <c r="D5850" t="s">
        <v>6476</v>
      </c>
      <c r="E5850" t="s">
        <v>17999</v>
      </c>
      <c r="F5850">
        <v>1</v>
      </c>
      <c r="G5850">
        <v>2570129</v>
      </c>
      <c r="H5850" t="s">
        <v>18000</v>
      </c>
      <c r="J5850" s="54" t="s">
        <v>6052</v>
      </c>
      <c r="K5850" s="54">
        <v>0</v>
      </c>
      <c r="L5850" s="22" t="s">
        <v>1563</v>
      </c>
      <c r="M5850" s="22" t="s">
        <v>37294</v>
      </c>
    </row>
    <row r="5851" spans="1:13" x14ac:dyDescent="0.75">
      <c r="A5851" t="s">
        <v>17974</v>
      </c>
      <c r="B5851" t="s">
        <v>10958</v>
      </c>
      <c r="C5851" t="s">
        <v>6124</v>
      </c>
      <c r="D5851" t="s">
        <v>6928</v>
      </c>
      <c r="E5851" t="s">
        <v>17975</v>
      </c>
      <c r="F5851">
        <v>33</v>
      </c>
      <c r="G5851">
        <v>2292997</v>
      </c>
      <c r="H5851" t="s">
        <v>17976</v>
      </c>
      <c r="J5851" s="54" t="s">
        <v>6052</v>
      </c>
      <c r="K5851" s="54">
        <v>0</v>
      </c>
      <c r="L5851" s="22" t="s">
        <v>36806</v>
      </c>
      <c r="M5851" s="22" t="s">
        <v>37292</v>
      </c>
    </row>
    <row r="5852" spans="1:13" x14ac:dyDescent="0.75">
      <c r="A5852" t="s">
        <v>17751</v>
      </c>
      <c r="B5852" t="s">
        <v>7155</v>
      </c>
      <c r="C5852" t="s">
        <v>6124</v>
      </c>
      <c r="D5852" t="s">
        <v>7156</v>
      </c>
      <c r="E5852" t="s">
        <v>17752</v>
      </c>
      <c r="F5852">
        <v>16</v>
      </c>
      <c r="G5852">
        <v>2552268</v>
      </c>
      <c r="H5852" t="s">
        <v>17753</v>
      </c>
      <c r="J5852" s="54" t="s">
        <v>6052</v>
      </c>
      <c r="K5852" s="54">
        <v>0</v>
      </c>
      <c r="L5852" s="22" t="s">
        <v>36806</v>
      </c>
      <c r="M5852" s="22" t="s">
        <v>37296</v>
      </c>
    </row>
    <row r="5853" spans="1:13" x14ac:dyDescent="0.75">
      <c r="A5853" t="s">
        <v>15081</v>
      </c>
      <c r="B5853" t="s">
        <v>6167</v>
      </c>
      <c r="C5853" t="s">
        <v>6124</v>
      </c>
      <c r="D5853" t="s">
        <v>6168</v>
      </c>
      <c r="E5853" t="s">
        <v>15082</v>
      </c>
      <c r="F5853">
        <v>1</v>
      </c>
      <c r="G5853">
        <v>2963657</v>
      </c>
      <c r="H5853" t="s">
        <v>15083</v>
      </c>
      <c r="J5853" s="54" t="s">
        <v>6052</v>
      </c>
      <c r="K5853" s="54">
        <v>0</v>
      </c>
      <c r="L5853" s="22" t="s">
        <v>36807</v>
      </c>
      <c r="M5853" s="22" t="s">
        <v>37291</v>
      </c>
    </row>
    <row r="5854" spans="1:13" x14ac:dyDescent="0.75">
      <c r="A5854" t="s">
        <v>10961</v>
      </c>
      <c r="B5854" t="s">
        <v>10958</v>
      </c>
      <c r="C5854" t="s">
        <v>6124</v>
      </c>
      <c r="D5854" t="s">
        <v>6928</v>
      </c>
      <c r="E5854" t="s">
        <v>10962</v>
      </c>
      <c r="F5854">
        <v>17</v>
      </c>
      <c r="G5854">
        <v>2113143</v>
      </c>
      <c r="H5854" t="s">
        <v>10963</v>
      </c>
      <c r="J5854" s="54" t="s">
        <v>6052</v>
      </c>
      <c r="K5854" s="54">
        <v>0</v>
      </c>
      <c r="L5854" s="22" t="s">
        <v>36806</v>
      </c>
      <c r="M5854" s="22" t="s">
        <v>37292</v>
      </c>
    </row>
    <row r="5855" spans="1:13" x14ac:dyDescent="0.75">
      <c r="A5855" t="s">
        <v>10964</v>
      </c>
      <c r="B5855" t="s">
        <v>10958</v>
      </c>
      <c r="C5855" t="s">
        <v>6124</v>
      </c>
      <c r="D5855" t="s">
        <v>6928</v>
      </c>
      <c r="E5855" t="s">
        <v>10965</v>
      </c>
      <c r="F5855">
        <v>16</v>
      </c>
      <c r="G5855">
        <v>2124015</v>
      </c>
      <c r="H5855" t="s">
        <v>10966</v>
      </c>
      <c r="J5855" s="54" t="s">
        <v>6052</v>
      </c>
      <c r="K5855" s="54">
        <v>0</v>
      </c>
      <c r="L5855" s="22" t="s">
        <v>36806</v>
      </c>
      <c r="M5855" s="22" t="s">
        <v>37292</v>
      </c>
    </row>
    <row r="5856" spans="1:13" x14ac:dyDescent="0.75">
      <c r="A5856" t="s">
        <v>10957</v>
      </c>
      <c r="B5856" t="s">
        <v>10958</v>
      </c>
      <c r="C5856" t="s">
        <v>6124</v>
      </c>
      <c r="D5856" t="s">
        <v>6928</v>
      </c>
      <c r="E5856" t="s">
        <v>10959</v>
      </c>
      <c r="F5856">
        <v>15</v>
      </c>
      <c r="G5856">
        <v>1983631</v>
      </c>
      <c r="H5856" t="s">
        <v>10960</v>
      </c>
      <c r="J5856" s="54" t="s">
        <v>6052</v>
      </c>
      <c r="K5856" s="54">
        <v>0</v>
      </c>
      <c r="L5856" s="22" t="s">
        <v>36806</v>
      </c>
      <c r="M5856" s="22" t="s">
        <v>37292</v>
      </c>
    </row>
    <row r="5857" spans="1:13" x14ac:dyDescent="0.75">
      <c r="A5857" t="s">
        <v>6122</v>
      </c>
      <c r="B5857" t="s">
        <v>6123</v>
      </c>
      <c r="C5857" t="s">
        <v>6124</v>
      </c>
      <c r="D5857" t="s">
        <v>6125</v>
      </c>
      <c r="E5857" t="s">
        <v>6126</v>
      </c>
      <c r="F5857">
        <v>7</v>
      </c>
      <c r="G5857">
        <v>2564615</v>
      </c>
      <c r="H5857" t="s">
        <v>6127</v>
      </c>
      <c r="J5857" s="54" t="s">
        <v>6052</v>
      </c>
      <c r="K5857" s="54">
        <v>0</v>
      </c>
      <c r="L5857" s="22" t="s">
        <v>36806</v>
      </c>
      <c r="M5857" s="22" t="s">
        <v>37290</v>
      </c>
    </row>
    <row r="5858" spans="1:13" x14ac:dyDescent="0.75">
      <c r="A5858" t="s">
        <v>16929</v>
      </c>
      <c r="B5858" t="s">
        <v>6167</v>
      </c>
      <c r="C5858" t="s">
        <v>6124</v>
      </c>
      <c r="D5858" t="s">
        <v>6168</v>
      </c>
      <c r="E5858" t="s">
        <v>16930</v>
      </c>
      <c r="F5858">
        <v>2</v>
      </c>
      <c r="G5858">
        <v>2782561</v>
      </c>
      <c r="H5858" t="s">
        <v>16931</v>
      </c>
      <c r="J5858" s="54" t="s">
        <v>6052</v>
      </c>
      <c r="K5858" s="54">
        <v>0</v>
      </c>
      <c r="L5858" s="22" t="s">
        <v>36807</v>
      </c>
      <c r="M5858" s="22" t="s">
        <v>37291</v>
      </c>
    </row>
    <row r="5859" spans="1:13" x14ac:dyDescent="0.75">
      <c r="A5859" t="s">
        <v>13464</v>
      </c>
      <c r="B5859" t="s">
        <v>6123</v>
      </c>
      <c r="C5859" t="s">
        <v>6124</v>
      </c>
      <c r="D5859" t="s">
        <v>6125</v>
      </c>
      <c r="E5859" t="s">
        <v>13465</v>
      </c>
      <c r="F5859">
        <v>42</v>
      </c>
      <c r="G5859">
        <v>2457519</v>
      </c>
      <c r="H5859" t="s">
        <v>13466</v>
      </c>
      <c r="J5859" s="54" t="s">
        <v>6052</v>
      </c>
      <c r="K5859" s="54">
        <v>0</v>
      </c>
      <c r="L5859" s="22" t="s">
        <v>36806</v>
      </c>
      <c r="M5859" s="22" t="s">
        <v>37290</v>
      </c>
    </row>
    <row r="5860" spans="1:13" x14ac:dyDescent="0.75">
      <c r="A5860" t="s">
        <v>16921</v>
      </c>
      <c r="B5860" t="s">
        <v>6123</v>
      </c>
      <c r="C5860" t="s">
        <v>6124</v>
      </c>
      <c r="D5860" t="s">
        <v>6125</v>
      </c>
      <c r="E5860" t="s">
        <v>13465</v>
      </c>
      <c r="F5860">
        <v>3</v>
      </c>
      <c r="G5860">
        <v>2491058</v>
      </c>
      <c r="H5860" t="s">
        <v>16922</v>
      </c>
      <c r="J5860" s="54" t="s">
        <v>6052</v>
      </c>
      <c r="K5860" s="54">
        <v>0</v>
      </c>
      <c r="L5860" s="22" t="s">
        <v>36806</v>
      </c>
      <c r="M5860" s="22" t="s">
        <v>37290</v>
      </c>
    </row>
    <row r="5861" spans="1:13" x14ac:dyDescent="0.75">
      <c r="A5861" t="s">
        <v>16923</v>
      </c>
      <c r="B5861" t="s">
        <v>6195</v>
      </c>
      <c r="C5861" t="s">
        <v>6124</v>
      </c>
      <c r="D5861" t="s">
        <v>6196</v>
      </c>
      <c r="E5861" t="s">
        <v>16924</v>
      </c>
      <c r="F5861">
        <v>3</v>
      </c>
      <c r="G5861">
        <v>2572027</v>
      </c>
      <c r="H5861" t="s">
        <v>16925</v>
      </c>
      <c r="J5861" s="54" t="s">
        <v>6052</v>
      </c>
      <c r="K5861" s="54">
        <v>0</v>
      </c>
      <c r="L5861" s="22" t="s">
        <v>36807</v>
      </c>
      <c r="M5861" s="22" t="s">
        <v>37288</v>
      </c>
    </row>
    <row r="5862" spans="1:13" x14ac:dyDescent="0.75">
      <c r="A5862" t="s">
        <v>18090</v>
      </c>
      <c r="B5862" t="s">
        <v>16374</v>
      </c>
      <c r="C5862" t="s">
        <v>6124</v>
      </c>
      <c r="D5862" t="s">
        <v>16375</v>
      </c>
      <c r="E5862" t="s">
        <v>18091</v>
      </c>
      <c r="F5862">
        <v>88</v>
      </c>
      <c r="G5862">
        <v>2469638</v>
      </c>
      <c r="H5862" t="s">
        <v>18092</v>
      </c>
      <c r="J5862" s="54" t="s">
        <v>6052</v>
      </c>
      <c r="K5862" s="54">
        <v>0</v>
      </c>
      <c r="L5862" s="22" t="s">
        <v>144</v>
      </c>
      <c r="M5862" s="22" t="s">
        <v>37299</v>
      </c>
    </row>
    <row r="5863" spans="1:13" x14ac:dyDescent="0.75">
      <c r="A5863" t="s">
        <v>16639</v>
      </c>
      <c r="B5863" t="s">
        <v>10958</v>
      </c>
      <c r="C5863" t="s">
        <v>6124</v>
      </c>
      <c r="D5863" t="s">
        <v>6928</v>
      </c>
      <c r="E5863" t="s">
        <v>16640</v>
      </c>
      <c r="F5863">
        <v>19</v>
      </c>
      <c r="G5863">
        <v>2179656</v>
      </c>
      <c r="H5863" t="s">
        <v>16641</v>
      </c>
      <c r="J5863" s="54" t="s">
        <v>6052</v>
      </c>
      <c r="K5863" s="54">
        <v>0</v>
      </c>
      <c r="L5863" s="22" t="s">
        <v>36806</v>
      </c>
      <c r="M5863" s="22" t="s">
        <v>37292</v>
      </c>
    </row>
    <row r="5864" spans="1:13" x14ac:dyDescent="0.75">
      <c r="A5864" t="s">
        <v>15099</v>
      </c>
      <c r="B5864" t="s">
        <v>6195</v>
      </c>
      <c r="C5864" t="s">
        <v>6124</v>
      </c>
      <c r="D5864" t="s">
        <v>6196</v>
      </c>
      <c r="E5864" t="s">
        <v>15100</v>
      </c>
      <c r="F5864">
        <v>46</v>
      </c>
      <c r="G5864">
        <v>2437823</v>
      </c>
      <c r="H5864" t="s">
        <v>15101</v>
      </c>
      <c r="J5864" s="54" t="s">
        <v>6052</v>
      </c>
      <c r="K5864" s="54">
        <v>0</v>
      </c>
      <c r="L5864" s="22" t="s">
        <v>36807</v>
      </c>
      <c r="M5864" s="22" t="s">
        <v>37288</v>
      </c>
    </row>
    <row r="5865" spans="1:13" x14ac:dyDescent="0.75">
      <c r="A5865" t="s">
        <v>10920</v>
      </c>
      <c r="B5865" t="s">
        <v>7155</v>
      </c>
      <c r="C5865" t="s">
        <v>6124</v>
      </c>
      <c r="D5865" t="s">
        <v>7156</v>
      </c>
      <c r="E5865" t="s">
        <v>10921</v>
      </c>
      <c r="F5865">
        <v>2</v>
      </c>
      <c r="G5865">
        <v>2503265</v>
      </c>
      <c r="H5865" t="s">
        <v>10922</v>
      </c>
      <c r="J5865" s="54" t="s">
        <v>6052</v>
      </c>
      <c r="K5865" s="54">
        <v>0</v>
      </c>
      <c r="L5865" s="22" t="s">
        <v>36806</v>
      </c>
      <c r="M5865" s="22" t="s">
        <v>37296</v>
      </c>
    </row>
    <row r="5866" spans="1:13" x14ac:dyDescent="0.75">
      <c r="A5866" t="s">
        <v>22162</v>
      </c>
      <c r="B5866" t="s">
        <v>6123</v>
      </c>
      <c r="C5866" t="s">
        <v>6124</v>
      </c>
      <c r="D5866" t="s">
        <v>6125</v>
      </c>
      <c r="E5866" t="s">
        <v>22163</v>
      </c>
      <c r="F5866">
        <v>2</v>
      </c>
      <c r="G5866">
        <v>2475286</v>
      </c>
      <c r="H5866" t="s">
        <v>22164</v>
      </c>
      <c r="J5866" s="54" t="s">
        <v>6052</v>
      </c>
      <c r="K5866" s="54">
        <v>0</v>
      </c>
      <c r="L5866" s="22" t="s">
        <v>36806</v>
      </c>
      <c r="M5866" s="22" t="s">
        <v>37290</v>
      </c>
    </row>
    <row r="5867" spans="1:13" x14ac:dyDescent="0.75">
      <c r="A5867" t="s">
        <v>21334</v>
      </c>
      <c r="B5867" t="s">
        <v>6195</v>
      </c>
      <c r="C5867" t="s">
        <v>6124</v>
      </c>
      <c r="D5867" t="s">
        <v>6196</v>
      </c>
      <c r="E5867" t="s">
        <v>9125</v>
      </c>
      <c r="F5867">
        <v>48</v>
      </c>
      <c r="G5867">
        <v>2668788</v>
      </c>
      <c r="H5867" t="s">
        <v>21335</v>
      </c>
      <c r="J5867" s="54" t="s">
        <v>6052</v>
      </c>
      <c r="K5867" s="54">
        <v>0</v>
      </c>
      <c r="L5867" s="22" t="s">
        <v>36807</v>
      </c>
      <c r="M5867" s="22" t="s">
        <v>37288</v>
      </c>
    </row>
    <row r="5868" spans="1:13" x14ac:dyDescent="0.75">
      <c r="A5868" t="s">
        <v>21152</v>
      </c>
      <c r="B5868" t="s">
        <v>6123</v>
      </c>
      <c r="C5868" t="s">
        <v>6124</v>
      </c>
      <c r="D5868" t="s">
        <v>6125</v>
      </c>
      <c r="E5868" t="s">
        <v>21153</v>
      </c>
      <c r="F5868">
        <v>3</v>
      </c>
      <c r="G5868">
        <v>2732693</v>
      </c>
      <c r="H5868" t="s">
        <v>21154</v>
      </c>
      <c r="J5868" s="54" t="s">
        <v>6052</v>
      </c>
      <c r="K5868" s="54">
        <v>0</v>
      </c>
      <c r="L5868" s="22" t="s">
        <v>36806</v>
      </c>
      <c r="M5868" s="22" t="s">
        <v>37290</v>
      </c>
    </row>
    <row r="5869" spans="1:13" x14ac:dyDescent="0.75">
      <c r="A5869" t="s">
        <v>21155</v>
      </c>
      <c r="B5869" t="s">
        <v>6123</v>
      </c>
      <c r="C5869" t="s">
        <v>6124</v>
      </c>
      <c r="D5869" t="s">
        <v>6125</v>
      </c>
      <c r="E5869" t="s">
        <v>21156</v>
      </c>
      <c r="F5869">
        <v>3</v>
      </c>
      <c r="G5869">
        <v>2733536</v>
      </c>
      <c r="H5869" t="s">
        <v>21157</v>
      </c>
      <c r="J5869" s="54" t="s">
        <v>6052</v>
      </c>
      <c r="K5869" s="54">
        <v>0</v>
      </c>
      <c r="L5869" s="22" t="s">
        <v>36806</v>
      </c>
      <c r="M5869" s="22" t="s">
        <v>37290</v>
      </c>
    </row>
    <row r="5870" spans="1:13" x14ac:dyDescent="0.75">
      <c r="A5870" t="s">
        <v>21158</v>
      </c>
      <c r="B5870" t="s">
        <v>6123</v>
      </c>
      <c r="C5870" t="s">
        <v>6124</v>
      </c>
      <c r="D5870" t="s">
        <v>6125</v>
      </c>
      <c r="E5870" t="s">
        <v>21159</v>
      </c>
      <c r="F5870">
        <v>3</v>
      </c>
      <c r="G5870">
        <v>2733982</v>
      </c>
      <c r="H5870" t="s">
        <v>21160</v>
      </c>
      <c r="J5870" s="54" t="s">
        <v>6052</v>
      </c>
      <c r="K5870" s="54">
        <v>0</v>
      </c>
      <c r="L5870" s="22" t="s">
        <v>36806</v>
      </c>
      <c r="M5870" s="22" t="s">
        <v>37290</v>
      </c>
    </row>
    <row r="5871" spans="1:13" x14ac:dyDescent="0.75">
      <c r="A5871" t="s">
        <v>21161</v>
      </c>
      <c r="B5871" t="s">
        <v>6123</v>
      </c>
      <c r="C5871" t="s">
        <v>6124</v>
      </c>
      <c r="D5871" t="s">
        <v>6125</v>
      </c>
      <c r="E5871" t="s">
        <v>21162</v>
      </c>
      <c r="F5871">
        <v>3</v>
      </c>
      <c r="G5871">
        <v>2781629</v>
      </c>
      <c r="H5871" t="s">
        <v>21163</v>
      </c>
      <c r="J5871" s="54" t="s">
        <v>6052</v>
      </c>
      <c r="K5871" s="54">
        <v>0</v>
      </c>
      <c r="L5871" s="22" t="s">
        <v>36806</v>
      </c>
      <c r="M5871" s="22" t="s">
        <v>37290</v>
      </c>
    </row>
    <row r="5872" spans="1:13" x14ac:dyDescent="0.75">
      <c r="A5872" t="s">
        <v>21164</v>
      </c>
      <c r="B5872" t="s">
        <v>6123</v>
      </c>
      <c r="C5872" t="s">
        <v>6124</v>
      </c>
      <c r="D5872" t="s">
        <v>6125</v>
      </c>
      <c r="E5872" t="s">
        <v>21165</v>
      </c>
      <c r="F5872">
        <v>3</v>
      </c>
      <c r="G5872">
        <v>2735368</v>
      </c>
      <c r="H5872" t="s">
        <v>21166</v>
      </c>
      <c r="J5872" s="54" t="s">
        <v>6052</v>
      </c>
      <c r="K5872" s="54">
        <v>0</v>
      </c>
      <c r="L5872" s="22" t="s">
        <v>36806</v>
      </c>
      <c r="M5872" s="22" t="s">
        <v>37290</v>
      </c>
    </row>
    <row r="5873" spans="1:13" x14ac:dyDescent="0.75">
      <c r="A5873" t="s">
        <v>21167</v>
      </c>
      <c r="B5873" t="s">
        <v>6123</v>
      </c>
      <c r="C5873" t="s">
        <v>6124</v>
      </c>
      <c r="D5873" t="s">
        <v>6125</v>
      </c>
      <c r="E5873" t="s">
        <v>21168</v>
      </c>
      <c r="F5873">
        <v>2</v>
      </c>
      <c r="G5873">
        <v>2726253</v>
      </c>
      <c r="H5873" t="s">
        <v>21169</v>
      </c>
      <c r="J5873" s="54" t="s">
        <v>6052</v>
      </c>
      <c r="K5873" s="54">
        <v>0</v>
      </c>
      <c r="L5873" s="22" t="s">
        <v>36806</v>
      </c>
      <c r="M5873" s="22" t="s">
        <v>37290</v>
      </c>
    </row>
    <row r="5874" spans="1:13" x14ac:dyDescent="0.75">
      <c r="A5874" t="s">
        <v>21170</v>
      </c>
      <c r="B5874" t="s">
        <v>6123</v>
      </c>
      <c r="C5874" t="s">
        <v>6124</v>
      </c>
      <c r="D5874" t="s">
        <v>6125</v>
      </c>
      <c r="E5874" t="s">
        <v>21171</v>
      </c>
      <c r="F5874">
        <v>3</v>
      </c>
      <c r="G5874">
        <v>2732707</v>
      </c>
      <c r="H5874" t="s">
        <v>21172</v>
      </c>
      <c r="J5874" s="54" t="s">
        <v>6052</v>
      </c>
      <c r="K5874" s="54">
        <v>0</v>
      </c>
      <c r="L5874" s="22" t="s">
        <v>36806</v>
      </c>
      <c r="M5874" s="22" t="s">
        <v>37290</v>
      </c>
    </row>
    <row r="5875" spans="1:13" x14ac:dyDescent="0.75">
      <c r="A5875" t="s">
        <v>21173</v>
      </c>
      <c r="B5875" t="s">
        <v>6123</v>
      </c>
      <c r="C5875" t="s">
        <v>6124</v>
      </c>
      <c r="D5875" t="s">
        <v>6125</v>
      </c>
      <c r="E5875" t="s">
        <v>21174</v>
      </c>
      <c r="F5875">
        <v>2</v>
      </c>
      <c r="G5875">
        <v>2648277</v>
      </c>
      <c r="H5875" t="s">
        <v>21175</v>
      </c>
      <c r="J5875" s="54" t="s">
        <v>6052</v>
      </c>
      <c r="K5875" s="54">
        <v>0</v>
      </c>
      <c r="L5875" s="22" t="s">
        <v>36806</v>
      </c>
      <c r="M5875" s="22" t="s">
        <v>37290</v>
      </c>
    </row>
    <row r="5876" spans="1:13" x14ac:dyDescent="0.75">
      <c r="A5876" t="s">
        <v>21176</v>
      </c>
      <c r="B5876" t="s">
        <v>6123</v>
      </c>
      <c r="C5876" t="s">
        <v>6124</v>
      </c>
      <c r="D5876" t="s">
        <v>6125</v>
      </c>
      <c r="E5876" t="s">
        <v>21177</v>
      </c>
      <c r="F5876">
        <v>2</v>
      </c>
      <c r="G5876">
        <v>2815778</v>
      </c>
      <c r="H5876" t="s">
        <v>21178</v>
      </c>
      <c r="J5876" s="54" t="s">
        <v>6052</v>
      </c>
      <c r="K5876" s="54">
        <v>0</v>
      </c>
      <c r="L5876" s="22" t="s">
        <v>36806</v>
      </c>
      <c r="M5876" s="22" t="s">
        <v>37290</v>
      </c>
    </row>
    <row r="5877" spans="1:13" x14ac:dyDescent="0.75">
      <c r="A5877" t="s">
        <v>21179</v>
      </c>
      <c r="B5877" t="s">
        <v>6123</v>
      </c>
      <c r="C5877" t="s">
        <v>6124</v>
      </c>
      <c r="D5877" t="s">
        <v>6125</v>
      </c>
      <c r="E5877" t="s">
        <v>21180</v>
      </c>
      <c r="F5877">
        <v>2</v>
      </c>
      <c r="G5877">
        <v>2726248</v>
      </c>
      <c r="H5877" t="s">
        <v>21181</v>
      </c>
      <c r="J5877" s="54" t="s">
        <v>6052</v>
      </c>
      <c r="K5877" s="54">
        <v>0</v>
      </c>
      <c r="L5877" s="22" t="s">
        <v>36806</v>
      </c>
      <c r="M5877" s="22" t="s">
        <v>37290</v>
      </c>
    </row>
    <row r="5878" spans="1:13" x14ac:dyDescent="0.75">
      <c r="A5878" t="s">
        <v>21182</v>
      </c>
      <c r="B5878" t="s">
        <v>6123</v>
      </c>
      <c r="C5878" t="s">
        <v>6124</v>
      </c>
      <c r="D5878" t="s">
        <v>6125</v>
      </c>
      <c r="E5878" t="s">
        <v>21183</v>
      </c>
      <c r="F5878">
        <v>2</v>
      </c>
      <c r="G5878">
        <v>2726233</v>
      </c>
      <c r="H5878" t="s">
        <v>21184</v>
      </c>
      <c r="J5878" s="54" t="s">
        <v>6052</v>
      </c>
      <c r="K5878" s="54">
        <v>0</v>
      </c>
      <c r="L5878" s="22" t="s">
        <v>36806</v>
      </c>
      <c r="M5878" s="22" t="s">
        <v>37290</v>
      </c>
    </row>
    <row r="5879" spans="1:13" x14ac:dyDescent="0.75">
      <c r="A5879" t="s">
        <v>21185</v>
      </c>
      <c r="B5879" t="s">
        <v>6123</v>
      </c>
      <c r="C5879" t="s">
        <v>6124</v>
      </c>
      <c r="D5879" t="s">
        <v>6125</v>
      </c>
      <c r="E5879" t="s">
        <v>21186</v>
      </c>
      <c r="F5879">
        <v>3</v>
      </c>
      <c r="G5879">
        <v>2832623</v>
      </c>
      <c r="H5879" t="s">
        <v>21187</v>
      </c>
      <c r="J5879" s="54" t="s">
        <v>6052</v>
      </c>
      <c r="K5879" s="54">
        <v>0</v>
      </c>
      <c r="L5879" s="22" t="s">
        <v>36806</v>
      </c>
      <c r="M5879" s="22" t="s">
        <v>37290</v>
      </c>
    </row>
    <row r="5880" spans="1:13" x14ac:dyDescent="0.75">
      <c r="A5880" t="s">
        <v>21188</v>
      </c>
      <c r="B5880" t="s">
        <v>6123</v>
      </c>
      <c r="C5880" t="s">
        <v>6124</v>
      </c>
      <c r="D5880" t="s">
        <v>6125</v>
      </c>
      <c r="E5880" t="s">
        <v>21189</v>
      </c>
      <c r="F5880">
        <v>2</v>
      </c>
      <c r="G5880">
        <v>2726087</v>
      </c>
      <c r="H5880" t="s">
        <v>21190</v>
      </c>
      <c r="J5880" s="54" t="s">
        <v>6052</v>
      </c>
      <c r="K5880" s="54">
        <v>0</v>
      </c>
      <c r="L5880" s="22" t="s">
        <v>36806</v>
      </c>
      <c r="M5880" s="22" t="s">
        <v>37290</v>
      </c>
    </row>
    <row r="5881" spans="1:13" x14ac:dyDescent="0.75">
      <c r="A5881" t="s">
        <v>17506</v>
      </c>
      <c r="B5881" t="s">
        <v>9016</v>
      </c>
      <c r="C5881" t="s">
        <v>6124</v>
      </c>
      <c r="D5881" t="s">
        <v>9017</v>
      </c>
      <c r="E5881" t="s">
        <v>17507</v>
      </c>
      <c r="F5881">
        <v>18</v>
      </c>
      <c r="G5881">
        <v>2569126</v>
      </c>
      <c r="H5881" t="s">
        <v>17508</v>
      </c>
      <c r="J5881" s="54" t="s">
        <v>6052</v>
      </c>
      <c r="K5881" s="54">
        <v>0</v>
      </c>
      <c r="L5881" s="22" t="s">
        <v>36806</v>
      </c>
      <c r="M5881" s="22" t="s">
        <v>37289</v>
      </c>
    </row>
    <row r="5882" spans="1:13" x14ac:dyDescent="0.75">
      <c r="A5882" t="s">
        <v>22624</v>
      </c>
      <c r="B5882" t="s">
        <v>6475</v>
      </c>
      <c r="C5882" t="s">
        <v>6124</v>
      </c>
      <c r="D5882" t="s">
        <v>6476</v>
      </c>
      <c r="E5882" t="s">
        <v>22625</v>
      </c>
      <c r="F5882">
        <v>19</v>
      </c>
      <c r="G5882">
        <v>2560903</v>
      </c>
      <c r="H5882" t="s">
        <v>22626</v>
      </c>
      <c r="J5882" s="54" t="s">
        <v>6052</v>
      </c>
      <c r="K5882" s="54">
        <v>0</v>
      </c>
      <c r="L5882" s="22" t="s">
        <v>1563</v>
      </c>
      <c r="M5882" s="22" t="s">
        <v>37294</v>
      </c>
    </row>
    <row r="5883" spans="1:13" x14ac:dyDescent="0.75">
      <c r="A5883" t="s">
        <v>22621</v>
      </c>
      <c r="B5883" t="s">
        <v>6475</v>
      </c>
      <c r="C5883" t="s">
        <v>6124</v>
      </c>
      <c r="D5883" t="s">
        <v>6476</v>
      </c>
      <c r="E5883" t="s">
        <v>22622</v>
      </c>
      <c r="F5883">
        <v>23</v>
      </c>
      <c r="G5883">
        <v>2575268</v>
      </c>
      <c r="H5883" t="s">
        <v>22623</v>
      </c>
      <c r="J5883" s="54" t="s">
        <v>6052</v>
      </c>
      <c r="K5883" s="54">
        <v>0</v>
      </c>
      <c r="L5883" s="22" t="s">
        <v>1563</v>
      </c>
      <c r="M5883" s="22" t="s">
        <v>37294</v>
      </c>
    </row>
    <row r="5884" spans="1:13" x14ac:dyDescent="0.75">
      <c r="A5884" t="s">
        <v>22618</v>
      </c>
      <c r="B5884" t="s">
        <v>6475</v>
      </c>
      <c r="C5884" t="s">
        <v>6124</v>
      </c>
      <c r="D5884" t="s">
        <v>6476</v>
      </c>
      <c r="E5884" t="s">
        <v>22619</v>
      </c>
      <c r="F5884">
        <v>20</v>
      </c>
      <c r="G5884">
        <v>2547873</v>
      </c>
      <c r="H5884" t="s">
        <v>22620</v>
      </c>
      <c r="J5884" s="54" t="s">
        <v>6052</v>
      </c>
      <c r="K5884" s="54">
        <v>0</v>
      </c>
      <c r="L5884" s="22" t="s">
        <v>1563</v>
      </c>
      <c r="M5884" s="22" t="s">
        <v>37294</v>
      </c>
    </row>
    <row r="5885" spans="1:13" x14ac:dyDescent="0.75">
      <c r="A5885" t="s">
        <v>11534</v>
      </c>
      <c r="B5885" t="s">
        <v>6167</v>
      </c>
      <c r="C5885" t="s">
        <v>6124</v>
      </c>
      <c r="D5885" t="s">
        <v>6168</v>
      </c>
      <c r="E5885" t="s">
        <v>11535</v>
      </c>
      <c r="F5885">
        <v>1</v>
      </c>
      <c r="G5885">
        <v>2885865</v>
      </c>
      <c r="H5885" t="s">
        <v>11536</v>
      </c>
      <c r="J5885" s="54" t="s">
        <v>6052</v>
      </c>
      <c r="K5885" s="54">
        <v>0</v>
      </c>
      <c r="L5885" s="22" t="s">
        <v>36807</v>
      </c>
      <c r="M5885" s="22" t="s">
        <v>37291</v>
      </c>
    </row>
    <row r="5886" spans="1:13" x14ac:dyDescent="0.75">
      <c r="A5886" t="s">
        <v>22254</v>
      </c>
      <c r="B5886" t="s">
        <v>6123</v>
      </c>
      <c r="C5886" t="s">
        <v>6124</v>
      </c>
      <c r="D5886" t="s">
        <v>6125</v>
      </c>
      <c r="E5886" t="s">
        <v>22255</v>
      </c>
      <c r="F5886">
        <v>5</v>
      </c>
      <c r="G5886">
        <v>2521740</v>
      </c>
      <c r="H5886" t="s">
        <v>22256</v>
      </c>
      <c r="J5886" s="54" t="s">
        <v>6052</v>
      </c>
      <c r="K5886" s="54">
        <v>0</v>
      </c>
      <c r="L5886" s="22" t="s">
        <v>36806</v>
      </c>
      <c r="M5886" s="22" t="s">
        <v>37290</v>
      </c>
    </row>
    <row r="5887" spans="1:13" x14ac:dyDescent="0.75">
      <c r="A5887" t="s">
        <v>22198</v>
      </c>
      <c r="B5887" t="s">
        <v>6195</v>
      </c>
      <c r="C5887" t="s">
        <v>6124</v>
      </c>
      <c r="D5887" t="s">
        <v>6196</v>
      </c>
      <c r="E5887" t="s">
        <v>22199</v>
      </c>
      <c r="F5887">
        <v>1</v>
      </c>
      <c r="G5887">
        <v>2580024</v>
      </c>
      <c r="H5887" t="s">
        <v>22200</v>
      </c>
      <c r="J5887" s="54" t="s">
        <v>6052</v>
      </c>
      <c r="K5887" s="54">
        <v>0</v>
      </c>
      <c r="L5887" s="22" t="s">
        <v>36807</v>
      </c>
      <c r="M5887" s="22" t="s">
        <v>37288</v>
      </c>
    </row>
    <row r="5888" spans="1:13" x14ac:dyDescent="0.75">
      <c r="A5888" t="s">
        <v>9524</v>
      </c>
      <c r="B5888" t="s">
        <v>6167</v>
      </c>
      <c r="C5888" t="s">
        <v>6124</v>
      </c>
      <c r="D5888" t="s">
        <v>6168</v>
      </c>
      <c r="E5888" t="s">
        <v>9525</v>
      </c>
      <c r="F5888">
        <v>2</v>
      </c>
      <c r="G5888">
        <v>2983456</v>
      </c>
      <c r="H5888" t="s">
        <v>9526</v>
      </c>
      <c r="J5888" s="54" t="s">
        <v>6052</v>
      </c>
      <c r="K5888" s="54">
        <v>0</v>
      </c>
      <c r="L5888" s="22" t="s">
        <v>36807</v>
      </c>
      <c r="M5888" s="22" t="s">
        <v>37291</v>
      </c>
    </row>
    <row r="5889" spans="1:13" x14ac:dyDescent="0.75">
      <c r="A5889" t="s">
        <v>19167</v>
      </c>
      <c r="B5889" t="s">
        <v>7155</v>
      </c>
      <c r="C5889" t="s">
        <v>6124</v>
      </c>
      <c r="D5889" t="s">
        <v>7156</v>
      </c>
      <c r="E5889" t="s">
        <v>19168</v>
      </c>
      <c r="F5889">
        <v>3</v>
      </c>
      <c r="G5889">
        <v>2528549</v>
      </c>
      <c r="H5889" t="s">
        <v>19169</v>
      </c>
      <c r="J5889" s="54" t="s">
        <v>6052</v>
      </c>
      <c r="K5889" s="54">
        <v>0</v>
      </c>
      <c r="L5889" s="22" t="s">
        <v>36806</v>
      </c>
      <c r="M5889" s="22" t="s">
        <v>37296</v>
      </c>
    </row>
    <row r="5890" spans="1:13" x14ac:dyDescent="0.75">
      <c r="A5890" t="s">
        <v>27114</v>
      </c>
      <c r="B5890" t="s">
        <v>6123</v>
      </c>
      <c r="C5890" t="s">
        <v>6124</v>
      </c>
      <c r="D5890" t="s">
        <v>6125</v>
      </c>
      <c r="E5890" t="s">
        <v>27115</v>
      </c>
      <c r="F5890">
        <v>4</v>
      </c>
      <c r="G5890">
        <v>2854742</v>
      </c>
      <c r="H5890" t="s">
        <v>27116</v>
      </c>
      <c r="J5890" s="54" t="s">
        <v>6052</v>
      </c>
      <c r="K5890" s="54">
        <v>0</v>
      </c>
      <c r="L5890" s="22" t="s">
        <v>36806</v>
      </c>
      <c r="M5890" s="22" t="s">
        <v>37290</v>
      </c>
    </row>
    <row r="5891" spans="1:13" x14ac:dyDescent="0.75">
      <c r="A5891" t="s">
        <v>13588</v>
      </c>
      <c r="B5891" t="s">
        <v>6475</v>
      </c>
      <c r="C5891" t="s">
        <v>6124</v>
      </c>
      <c r="D5891" t="s">
        <v>6476</v>
      </c>
      <c r="E5891" t="s">
        <v>13589</v>
      </c>
      <c r="F5891">
        <v>18</v>
      </c>
      <c r="G5891">
        <v>2500687</v>
      </c>
      <c r="H5891" t="s">
        <v>13590</v>
      </c>
      <c r="J5891" s="54" t="s">
        <v>6052</v>
      </c>
      <c r="K5891" s="54">
        <v>0</v>
      </c>
      <c r="L5891" s="22" t="s">
        <v>1563</v>
      </c>
      <c r="M5891" s="22" t="s">
        <v>37294</v>
      </c>
    </row>
    <row r="5892" spans="1:13" x14ac:dyDescent="0.75">
      <c r="A5892" t="s">
        <v>23345</v>
      </c>
      <c r="B5892" t="s">
        <v>6123</v>
      </c>
      <c r="C5892" t="s">
        <v>6124</v>
      </c>
      <c r="D5892" t="s">
        <v>6125</v>
      </c>
      <c r="E5892" t="s">
        <v>23346</v>
      </c>
      <c r="F5892">
        <v>2</v>
      </c>
      <c r="G5892">
        <v>2634259</v>
      </c>
      <c r="H5892" t="s">
        <v>23347</v>
      </c>
      <c r="J5892" s="54" t="s">
        <v>6052</v>
      </c>
      <c r="K5892" s="54">
        <v>0</v>
      </c>
      <c r="L5892" s="22" t="s">
        <v>36806</v>
      </c>
      <c r="M5892" s="22" t="s">
        <v>37290</v>
      </c>
    </row>
    <row r="5893" spans="1:13" x14ac:dyDescent="0.75">
      <c r="A5893" t="s">
        <v>19850</v>
      </c>
      <c r="B5893" t="s">
        <v>7155</v>
      </c>
      <c r="C5893" t="s">
        <v>6124</v>
      </c>
      <c r="D5893" t="s">
        <v>7156</v>
      </c>
      <c r="E5893" t="s">
        <v>19851</v>
      </c>
      <c r="F5893">
        <v>28</v>
      </c>
      <c r="G5893">
        <v>2518283</v>
      </c>
      <c r="H5893" t="s">
        <v>19852</v>
      </c>
      <c r="J5893" s="54" t="s">
        <v>6052</v>
      </c>
      <c r="K5893" s="54">
        <v>0</v>
      </c>
      <c r="L5893" s="22" t="s">
        <v>36806</v>
      </c>
      <c r="M5893" s="22" t="s">
        <v>37296</v>
      </c>
    </row>
    <row r="5894" spans="1:13" x14ac:dyDescent="0.75">
      <c r="A5894" t="s">
        <v>16068</v>
      </c>
      <c r="B5894" t="s">
        <v>7155</v>
      </c>
      <c r="C5894" t="s">
        <v>6124</v>
      </c>
      <c r="D5894" t="s">
        <v>7156</v>
      </c>
      <c r="E5894" t="s">
        <v>16069</v>
      </c>
      <c r="F5894">
        <v>29</v>
      </c>
      <c r="G5894">
        <v>2502825</v>
      </c>
      <c r="H5894" t="s">
        <v>16070</v>
      </c>
      <c r="J5894" s="54" t="s">
        <v>6052</v>
      </c>
      <c r="K5894" s="54">
        <v>0</v>
      </c>
      <c r="L5894" s="22" t="s">
        <v>36806</v>
      </c>
      <c r="M5894" s="22" t="s">
        <v>37296</v>
      </c>
    </row>
    <row r="5895" spans="1:13" x14ac:dyDescent="0.75">
      <c r="A5895" t="s">
        <v>22938</v>
      </c>
      <c r="B5895" t="s">
        <v>6123</v>
      </c>
      <c r="C5895" t="s">
        <v>6124</v>
      </c>
      <c r="D5895" t="s">
        <v>6125</v>
      </c>
      <c r="E5895" t="s">
        <v>22939</v>
      </c>
      <c r="F5895">
        <v>7</v>
      </c>
      <c r="G5895">
        <v>2541647</v>
      </c>
      <c r="H5895" t="s">
        <v>22940</v>
      </c>
      <c r="J5895" s="54" t="s">
        <v>6052</v>
      </c>
      <c r="K5895" s="54">
        <v>0</v>
      </c>
      <c r="L5895" s="22" t="s">
        <v>36806</v>
      </c>
      <c r="M5895" s="22" t="s">
        <v>37290</v>
      </c>
    </row>
    <row r="5896" spans="1:13" x14ac:dyDescent="0.75">
      <c r="A5896" t="s">
        <v>10633</v>
      </c>
      <c r="B5896" t="s">
        <v>6195</v>
      </c>
      <c r="C5896" t="s">
        <v>6124</v>
      </c>
      <c r="D5896" t="s">
        <v>6196</v>
      </c>
      <c r="E5896" t="s">
        <v>10634</v>
      </c>
      <c r="F5896">
        <v>42</v>
      </c>
      <c r="G5896">
        <v>2440251</v>
      </c>
      <c r="H5896" t="s">
        <v>10635</v>
      </c>
      <c r="J5896" s="54" t="s">
        <v>6052</v>
      </c>
      <c r="K5896" s="54">
        <v>0</v>
      </c>
      <c r="L5896" s="22" t="s">
        <v>36807</v>
      </c>
      <c r="M5896" s="22" t="s">
        <v>37288</v>
      </c>
    </row>
    <row r="5897" spans="1:13" x14ac:dyDescent="0.75">
      <c r="A5897" t="s">
        <v>10636</v>
      </c>
      <c r="B5897" t="s">
        <v>6195</v>
      </c>
      <c r="C5897" t="s">
        <v>6124</v>
      </c>
      <c r="D5897" t="s">
        <v>6196</v>
      </c>
      <c r="E5897" t="s">
        <v>10637</v>
      </c>
      <c r="F5897">
        <v>40</v>
      </c>
      <c r="G5897">
        <v>2458301</v>
      </c>
      <c r="H5897" t="s">
        <v>10638</v>
      </c>
      <c r="J5897" s="54" t="s">
        <v>6052</v>
      </c>
      <c r="K5897" s="54">
        <v>0</v>
      </c>
      <c r="L5897" s="22" t="s">
        <v>36807</v>
      </c>
      <c r="M5897" s="22" t="s">
        <v>37288</v>
      </c>
    </row>
    <row r="5898" spans="1:13" x14ac:dyDescent="0.75">
      <c r="A5898" t="s">
        <v>21233</v>
      </c>
      <c r="B5898" t="s">
        <v>6195</v>
      </c>
      <c r="C5898" t="s">
        <v>6124</v>
      </c>
      <c r="D5898" t="s">
        <v>6196</v>
      </c>
      <c r="E5898" t="s">
        <v>21234</v>
      </c>
      <c r="F5898">
        <v>5</v>
      </c>
      <c r="G5898">
        <v>2842834</v>
      </c>
      <c r="H5898" t="s">
        <v>21235</v>
      </c>
      <c r="J5898" s="54" t="s">
        <v>6052</v>
      </c>
      <c r="K5898" s="54">
        <v>0</v>
      </c>
      <c r="L5898" s="22" t="s">
        <v>36807</v>
      </c>
      <c r="M5898" s="22" t="s">
        <v>37288</v>
      </c>
    </row>
    <row r="5899" spans="1:13" x14ac:dyDescent="0.75">
      <c r="A5899" t="s">
        <v>16071</v>
      </c>
      <c r="B5899" t="s">
        <v>7155</v>
      </c>
      <c r="C5899" t="s">
        <v>6124</v>
      </c>
      <c r="D5899" t="s">
        <v>7156</v>
      </c>
      <c r="E5899" t="s">
        <v>16072</v>
      </c>
      <c r="F5899">
        <v>38</v>
      </c>
      <c r="G5899">
        <v>2502435</v>
      </c>
      <c r="H5899" t="s">
        <v>16073</v>
      </c>
      <c r="J5899" s="54" t="s">
        <v>6052</v>
      </c>
      <c r="K5899" s="54">
        <v>0</v>
      </c>
      <c r="L5899" s="22" t="s">
        <v>36806</v>
      </c>
      <c r="M5899" s="22" t="s">
        <v>37296</v>
      </c>
    </row>
    <row r="5900" spans="1:13" x14ac:dyDescent="0.75">
      <c r="A5900" t="s">
        <v>16074</v>
      </c>
      <c r="B5900" t="s">
        <v>9016</v>
      </c>
      <c r="C5900" t="s">
        <v>6124</v>
      </c>
      <c r="D5900" t="s">
        <v>9017</v>
      </c>
      <c r="E5900" t="s">
        <v>16075</v>
      </c>
      <c r="F5900">
        <v>36</v>
      </c>
      <c r="G5900">
        <v>2538946</v>
      </c>
      <c r="H5900" t="s">
        <v>16076</v>
      </c>
      <c r="J5900" s="54" t="s">
        <v>6052</v>
      </c>
      <c r="K5900" s="54">
        <v>0</v>
      </c>
      <c r="L5900" s="22" t="s">
        <v>36806</v>
      </c>
      <c r="M5900" s="22" t="s">
        <v>37289</v>
      </c>
    </row>
    <row r="5901" spans="1:13" x14ac:dyDescent="0.75">
      <c r="A5901" t="s">
        <v>19847</v>
      </c>
      <c r="B5901" t="s">
        <v>7155</v>
      </c>
      <c r="C5901" t="s">
        <v>6124</v>
      </c>
      <c r="D5901" t="s">
        <v>7156</v>
      </c>
      <c r="E5901" t="s">
        <v>19848</v>
      </c>
      <c r="F5901">
        <v>33</v>
      </c>
      <c r="G5901">
        <v>2558708</v>
      </c>
      <c r="H5901" t="s">
        <v>19849</v>
      </c>
      <c r="J5901" s="54" t="s">
        <v>6052</v>
      </c>
      <c r="K5901" s="54">
        <v>0</v>
      </c>
      <c r="L5901" s="22" t="s">
        <v>36806</v>
      </c>
      <c r="M5901" s="22" t="s">
        <v>37296</v>
      </c>
    </row>
    <row r="5902" spans="1:13" x14ac:dyDescent="0.75">
      <c r="A5902" t="s">
        <v>14621</v>
      </c>
      <c r="B5902" t="s">
        <v>10958</v>
      </c>
      <c r="C5902" t="s">
        <v>6124</v>
      </c>
      <c r="D5902" t="s">
        <v>6928</v>
      </c>
      <c r="E5902" t="s">
        <v>14622</v>
      </c>
      <c r="F5902">
        <v>1</v>
      </c>
      <c r="G5902">
        <v>2273112</v>
      </c>
      <c r="H5902" t="s">
        <v>14623</v>
      </c>
      <c r="J5902" s="54" t="s">
        <v>6052</v>
      </c>
      <c r="K5902" s="54">
        <v>0</v>
      </c>
      <c r="L5902" s="22" t="s">
        <v>36806</v>
      </c>
      <c r="M5902" s="22" t="s">
        <v>37292</v>
      </c>
    </row>
    <row r="5903" spans="1:13" x14ac:dyDescent="0.75">
      <c r="A5903" t="s">
        <v>22577</v>
      </c>
      <c r="B5903" t="s">
        <v>6195</v>
      </c>
      <c r="C5903" t="s">
        <v>6124</v>
      </c>
      <c r="D5903" t="s">
        <v>6196</v>
      </c>
      <c r="E5903" t="s">
        <v>22578</v>
      </c>
      <c r="F5903">
        <v>36</v>
      </c>
      <c r="G5903">
        <v>2506624</v>
      </c>
      <c r="H5903" t="s">
        <v>22579</v>
      </c>
      <c r="J5903" s="54" t="s">
        <v>6052</v>
      </c>
      <c r="K5903" s="54">
        <v>0</v>
      </c>
      <c r="L5903" s="22" t="s">
        <v>36807</v>
      </c>
      <c r="M5903" s="22" t="s">
        <v>37288</v>
      </c>
    </row>
    <row r="5904" spans="1:13" x14ac:dyDescent="0.75">
      <c r="A5904" t="s">
        <v>22844</v>
      </c>
      <c r="B5904" t="s">
        <v>10958</v>
      </c>
      <c r="C5904" t="s">
        <v>6124</v>
      </c>
      <c r="D5904" t="s">
        <v>6928</v>
      </c>
      <c r="E5904" t="s">
        <v>22845</v>
      </c>
      <c r="F5904">
        <v>7</v>
      </c>
      <c r="G5904">
        <v>2447570</v>
      </c>
      <c r="H5904" t="s">
        <v>22846</v>
      </c>
      <c r="J5904" s="54" t="s">
        <v>6052</v>
      </c>
      <c r="K5904" s="54">
        <v>0</v>
      </c>
      <c r="L5904" s="22" t="s">
        <v>36806</v>
      </c>
      <c r="M5904" s="22" t="s">
        <v>37292</v>
      </c>
    </row>
    <row r="5905" spans="1:13" x14ac:dyDescent="0.75">
      <c r="A5905" t="s">
        <v>22571</v>
      </c>
      <c r="B5905" t="s">
        <v>6195</v>
      </c>
      <c r="C5905" t="s">
        <v>6124</v>
      </c>
      <c r="D5905" t="s">
        <v>6196</v>
      </c>
      <c r="E5905" t="s">
        <v>22572</v>
      </c>
      <c r="F5905">
        <v>36</v>
      </c>
      <c r="G5905">
        <v>2419336</v>
      </c>
      <c r="H5905" t="s">
        <v>22573</v>
      </c>
      <c r="J5905" s="54" t="s">
        <v>6052</v>
      </c>
      <c r="K5905" s="54">
        <v>0</v>
      </c>
      <c r="L5905" s="22" t="s">
        <v>36807</v>
      </c>
      <c r="M5905" s="22" t="s">
        <v>37288</v>
      </c>
    </row>
    <row r="5906" spans="1:13" x14ac:dyDescent="0.75">
      <c r="A5906" t="s">
        <v>22565</v>
      </c>
      <c r="B5906" t="s">
        <v>6195</v>
      </c>
      <c r="C5906" t="s">
        <v>6124</v>
      </c>
      <c r="D5906" t="s">
        <v>6196</v>
      </c>
      <c r="E5906" t="s">
        <v>22566</v>
      </c>
      <c r="F5906">
        <v>48</v>
      </c>
      <c r="G5906">
        <v>2421236</v>
      </c>
      <c r="H5906" t="s">
        <v>22567</v>
      </c>
      <c r="J5906" s="54" t="s">
        <v>6052</v>
      </c>
      <c r="K5906" s="54">
        <v>0</v>
      </c>
      <c r="L5906" s="22" t="s">
        <v>36807</v>
      </c>
      <c r="M5906" s="22" t="s">
        <v>37288</v>
      </c>
    </row>
    <row r="5907" spans="1:13" x14ac:dyDescent="0.75">
      <c r="A5907" t="s">
        <v>22574</v>
      </c>
      <c r="B5907" t="s">
        <v>6195</v>
      </c>
      <c r="C5907" t="s">
        <v>6124</v>
      </c>
      <c r="D5907" t="s">
        <v>6196</v>
      </c>
      <c r="E5907" t="s">
        <v>22575</v>
      </c>
      <c r="F5907">
        <v>51</v>
      </c>
      <c r="G5907">
        <v>2461968</v>
      </c>
      <c r="H5907" t="s">
        <v>22576</v>
      </c>
      <c r="J5907" s="54" t="s">
        <v>6052</v>
      </c>
      <c r="K5907" s="54">
        <v>0</v>
      </c>
      <c r="L5907" s="22" t="s">
        <v>36807</v>
      </c>
      <c r="M5907" s="22" t="s">
        <v>37288</v>
      </c>
    </row>
    <row r="5908" spans="1:13" x14ac:dyDescent="0.75">
      <c r="A5908" t="s">
        <v>22556</v>
      </c>
      <c r="B5908" t="s">
        <v>6195</v>
      </c>
      <c r="C5908" t="s">
        <v>6124</v>
      </c>
      <c r="D5908" t="s">
        <v>6196</v>
      </c>
      <c r="E5908" t="s">
        <v>22557</v>
      </c>
      <c r="F5908">
        <v>45</v>
      </c>
      <c r="G5908">
        <v>2495391</v>
      </c>
      <c r="H5908" t="s">
        <v>22558</v>
      </c>
      <c r="J5908" s="54" t="s">
        <v>6052</v>
      </c>
      <c r="K5908" s="54">
        <v>0</v>
      </c>
      <c r="L5908" s="22" t="s">
        <v>36807</v>
      </c>
      <c r="M5908" s="22" t="s">
        <v>37288</v>
      </c>
    </row>
    <row r="5909" spans="1:13" x14ac:dyDescent="0.75">
      <c r="A5909" t="s">
        <v>10904</v>
      </c>
      <c r="B5909" t="s">
        <v>6167</v>
      </c>
      <c r="C5909" t="s">
        <v>6124</v>
      </c>
      <c r="D5909" t="s">
        <v>6168</v>
      </c>
      <c r="E5909" t="s">
        <v>10905</v>
      </c>
      <c r="F5909">
        <v>2</v>
      </c>
      <c r="G5909">
        <v>2864278</v>
      </c>
      <c r="H5909" t="s">
        <v>10906</v>
      </c>
      <c r="J5909" s="54" t="s">
        <v>6052</v>
      </c>
      <c r="K5909" s="54">
        <v>0</v>
      </c>
      <c r="L5909" s="22" t="s">
        <v>36807</v>
      </c>
      <c r="M5909" s="22" t="s">
        <v>37291</v>
      </c>
    </row>
    <row r="5910" spans="1:13" x14ac:dyDescent="0.75">
      <c r="A5910" t="s">
        <v>9472</v>
      </c>
      <c r="B5910" t="s">
        <v>6167</v>
      </c>
      <c r="C5910" t="s">
        <v>6124</v>
      </c>
      <c r="D5910" t="s">
        <v>6168</v>
      </c>
      <c r="E5910" t="s">
        <v>9473</v>
      </c>
      <c r="F5910">
        <v>2</v>
      </c>
      <c r="G5910">
        <v>2875156</v>
      </c>
      <c r="H5910" t="s">
        <v>9474</v>
      </c>
      <c r="J5910" s="54" t="s">
        <v>6052</v>
      </c>
      <c r="K5910" s="54">
        <v>0</v>
      </c>
      <c r="L5910" s="22" t="s">
        <v>36807</v>
      </c>
      <c r="M5910" s="22" t="s">
        <v>37291</v>
      </c>
    </row>
    <row r="5911" spans="1:13" x14ac:dyDescent="0.75">
      <c r="A5911" t="s">
        <v>22365</v>
      </c>
      <c r="B5911" t="s">
        <v>9016</v>
      </c>
      <c r="C5911" t="s">
        <v>6124</v>
      </c>
      <c r="D5911" t="s">
        <v>9017</v>
      </c>
      <c r="E5911" t="s">
        <v>22366</v>
      </c>
      <c r="F5911">
        <v>25</v>
      </c>
      <c r="G5911">
        <v>2495971</v>
      </c>
      <c r="H5911" t="s">
        <v>22367</v>
      </c>
      <c r="J5911" s="54" t="s">
        <v>6052</v>
      </c>
      <c r="K5911" s="54">
        <v>0</v>
      </c>
      <c r="L5911" s="22" t="s">
        <v>36806</v>
      </c>
      <c r="M5911" s="22" t="s">
        <v>37289</v>
      </c>
    </row>
    <row r="5912" spans="1:13" x14ac:dyDescent="0.75">
      <c r="A5912" t="s">
        <v>22374</v>
      </c>
      <c r="B5912" t="s">
        <v>9016</v>
      </c>
      <c r="C5912" t="s">
        <v>6124</v>
      </c>
      <c r="D5912" t="s">
        <v>9017</v>
      </c>
      <c r="E5912" t="s">
        <v>22375</v>
      </c>
      <c r="F5912">
        <v>24</v>
      </c>
      <c r="G5912">
        <v>2496149</v>
      </c>
      <c r="H5912" t="s">
        <v>22376</v>
      </c>
      <c r="J5912" s="54" t="s">
        <v>6052</v>
      </c>
      <c r="K5912" s="54">
        <v>0</v>
      </c>
      <c r="L5912" s="22" t="s">
        <v>36806</v>
      </c>
      <c r="M5912" s="22" t="s">
        <v>37289</v>
      </c>
    </row>
    <row r="5913" spans="1:13" x14ac:dyDescent="0.75">
      <c r="A5913" t="s">
        <v>22245</v>
      </c>
      <c r="B5913" t="s">
        <v>9016</v>
      </c>
      <c r="C5913" t="s">
        <v>6124</v>
      </c>
      <c r="D5913" t="s">
        <v>9017</v>
      </c>
      <c r="E5913" t="s">
        <v>22246</v>
      </c>
      <c r="F5913">
        <v>4</v>
      </c>
      <c r="G5913">
        <v>2474749</v>
      </c>
      <c r="H5913" t="s">
        <v>22247</v>
      </c>
      <c r="J5913" s="54" t="s">
        <v>6052</v>
      </c>
      <c r="K5913" s="54">
        <v>0</v>
      </c>
      <c r="L5913" s="22" t="s">
        <v>36806</v>
      </c>
      <c r="M5913" s="22" t="s">
        <v>37289</v>
      </c>
    </row>
    <row r="5914" spans="1:13" x14ac:dyDescent="0.75">
      <c r="A5914" t="s">
        <v>22377</v>
      </c>
      <c r="B5914" t="s">
        <v>9016</v>
      </c>
      <c r="C5914" t="s">
        <v>6124</v>
      </c>
      <c r="D5914" t="s">
        <v>9017</v>
      </c>
      <c r="E5914" t="s">
        <v>22378</v>
      </c>
      <c r="F5914">
        <v>25</v>
      </c>
      <c r="G5914">
        <v>2496383</v>
      </c>
      <c r="H5914" t="s">
        <v>22379</v>
      </c>
      <c r="J5914" s="54" t="s">
        <v>6052</v>
      </c>
      <c r="K5914" s="54">
        <v>0</v>
      </c>
      <c r="L5914" s="22" t="s">
        <v>36806</v>
      </c>
      <c r="M5914" s="22" t="s">
        <v>37289</v>
      </c>
    </row>
    <row r="5915" spans="1:13" x14ac:dyDescent="0.75">
      <c r="A5915" t="s">
        <v>22383</v>
      </c>
      <c r="B5915" t="s">
        <v>9016</v>
      </c>
      <c r="C5915" t="s">
        <v>6124</v>
      </c>
      <c r="D5915" t="s">
        <v>9017</v>
      </c>
      <c r="E5915" t="s">
        <v>22384</v>
      </c>
      <c r="F5915">
        <v>22</v>
      </c>
      <c r="G5915">
        <v>2496160</v>
      </c>
      <c r="H5915" t="s">
        <v>22385</v>
      </c>
      <c r="J5915" s="54" t="s">
        <v>6052</v>
      </c>
      <c r="K5915" s="54">
        <v>0</v>
      </c>
      <c r="L5915" s="22" t="s">
        <v>36806</v>
      </c>
      <c r="M5915" s="22" t="s">
        <v>37289</v>
      </c>
    </row>
    <row r="5916" spans="1:13" x14ac:dyDescent="0.75">
      <c r="A5916" t="s">
        <v>22380</v>
      </c>
      <c r="B5916" t="s">
        <v>9016</v>
      </c>
      <c r="C5916" t="s">
        <v>6124</v>
      </c>
      <c r="D5916" t="s">
        <v>9017</v>
      </c>
      <c r="E5916" t="s">
        <v>22381</v>
      </c>
      <c r="F5916">
        <v>26</v>
      </c>
      <c r="G5916">
        <v>2499240</v>
      </c>
      <c r="H5916" t="s">
        <v>22382</v>
      </c>
      <c r="J5916" s="54" t="s">
        <v>6052</v>
      </c>
      <c r="K5916" s="54">
        <v>0</v>
      </c>
      <c r="L5916" s="22" t="s">
        <v>36806</v>
      </c>
      <c r="M5916" s="22" t="s">
        <v>37289</v>
      </c>
    </row>
    <row r="5917" spans="1:13" x14ac:dyDescent="0.75">
      <c r="A5917" t="s">
        <v>22368</v>
      </c>
      <c r="B5917" t="s">
        <v>9016</v>
      </c>
      <c r="C5917" t="s">
        <v>6124</v>
      </c>
      <c r="D5917" t="s">
        <v>9017</v>
      </c>
      <c r="E5917" t="s">
        <v>22369</v>
      </c>
      <c r="F5917">
        <v>23</v>
      </c>
      <c r="G5917">
        <v>2484974</v>
      </c>
      <c r="H5917" t="s">
        <v>22370</v>
      </c>
      <c r="J5917" s="54" t="s">
        <v>6052</v>
      </c>
      <c r="K5917" s="54">
        <v>0</v>
      </c>
      <c r="L5917" s="22" t="s">
        <v>36806</v>
      </c>
      <c r="M5917" s="22" t="s">
        <v>37289</v>
      </c>
    </row>
    <row r="5918" spans="1:13" x14ac:dyDescent="0.75">
      <c r="A5918" t="s">
        <v>22371</v>
      </c>
      <c r="B5918" t="s">
        <v>9016</v>
      </c>
      <c r="C5918" t="s">
        <v>6124</v>
      </c>
      <c r="D5918" t="s">
        <v>9017</v>
      </c>
      <c r="E5918" t="s">
        <v>22372</v>
      </c>
      <c r="F5918">
        <v>35</v>
      </c>
      <c r="G5918">
        <v>2578828</v>
      </c>
      <c r="H5918" t="s">
        <v>22373</v>
      </c>
      <c r="J5918" s="54" t="s">
        <v>6052</v>
      </c>
      <c r="K5918" s="54">
        <v>0</v>
      </c>
      <c r="L5918" s="22" t="s">
        <v>36806</v>
      </c>
      <c r="M5918" s="22" t="s">
        <v>37289</v>
      </c>
    </row>
    <row r="5919" spans="1:13" x14ac:dyDescent="0.75">
      <c r="A5919" t="s">
        <v>22156</v>
      </c>
      <c r="B5919" t="s">
        <v>6123</v>
      </c>
      <c r="C5919" t="s">
        <v>6124</v>
      </c>
      <c r="D5919" t="s">
        <v>6125</v>
      </c>
      <c r="E5919" t="s">
        <v>22157</v>
      </c>
      <c r="F5919">
        <v>4</v>
      </c>
      <c r="G5919">
        <v>2473252</v>
      </c>
      <c r="H5919" t="s">
        <v>22158</v>
      </c>
      <c r="J5919" s="54" t="s">
        <v>6052</v>
      </c>
      <c r="K5919" s="54">
        <v>0</v>
      </c>
      <c r="L5919" s="22" t="s">
        <v>36806</v>
      </c>
      <c r="M5919" s="22" t="s">
        <v>37290</v>
      </c>
    </row>
    <row r="5920" spans="1:13" x14ac:dyDescent="0.75">
      <c r="A5920" t="s">
        <v>22159</v>
      </c>
      <c r="B5920" t="s">
        <v>6123</v>
      </c>
      <c r="C5920" t="s">
        <v>6124</v>
      </c>
      <c r="D5920" t="s">
        <v>6125</v>
      </c>
      <c r="E5920" t="s">
        <v>22160</v>
      </c>
      <c r="F5920">
        <v>2</v>
      </c>
      <c r="G5920">
        <v>2591267</v>
      </c>
      <c r="H5920" t="s">
        <v>22161</v>
      </c>
      <c r="J5920" s="54" t="s">
        <v>6052</v>
      </c>
      <c r="K5920" s="54">
        <v>0</v>
      </c>
      <c r="L5920" s="22" t="s">
        <v>36806</v>
      </c>
      <c r="M5920" s="22" t="s">
        <v>37290</v>
      </c>
    </row>
    <row r="5921" spans="1:13" x14ac:dyDescent="0.75">
      <c r="A5921" t="s">
        <v>19008</v>
      </c>
      <c r="B5921" t="s">
        <v>7155</v>
      </c>
      <c r="C5921" t="s">
        <v>6124</v>
      </c>
      <c r="D5921" t="s">
        <v>7156</v>
      </c>
      <c r="E5921" t="s">
        <v>19009</v>
      </c>
      <c r="F5921">
        <v>26</v>
      </c>
      <c r="G5921">
        <v>2428814</v>
      </c>
      <c r="H5921" t="s">
        <v>19010</v>
      </c>
      <c r="J5921" s="54" t="s">
        <v>6052</v>
      </c>
      <c r="K5921" s="54">
        <v>0</v>
      </c>
      <c r="L5921" s="22" t="s">
        <v>36806</v>
      </c>
      <c r="M5921" s="22" t="s">
        <v>37296</v>
      </c>
    </row>
    <row r="5922" spans="1:13" x14ac:dyDescent="0.75">
      <c r="A5922" t="s">
        <v>26247</v>
      </c>
      <c r="B5922" t="s">
        <v>6195</v>
      </c>
      <c r="C5922" t="s">
        <v>6124</v>
      </c>
      <c r="D5922" t="s">
        <v>6196</v>
      </c>
      <c r="E5922" t="s">
        <v>26248</v>
      </c>
      <c r="F5922">
        <v>3</v>
      </c>
      <c r="G5922">
        <v>2490837</v>
      </c>
      <c r="H5922" t="s">
        <v>26249</v>
      </c>
      <c r="J5922" s="54" t="s">
        <v>6052</v>
      </c>
      <c r="K5922" s="54">
        <v>0</v>
      </c>
      <c r="L5922" s="22" t="s">
        <v>36807</v>
      </c>
      <c r="M5922" s="22" t="s">
        <v>37288</v>
      </c>
    </row>
    <row r="5923" spans="1:13" x14ac:dyDescent="0.75">
      <c r="A5923" t="s">
        <v>26256</v>
      </c>
      <c r="B5923" t="s">
        <v>6123</v>
      </c>
      <c r="C5923" t="s">
        <v>6124</v>
      </c>
      <c r="D5923" t="s">
        <v>6125</v>
      </c>
      <c r="E5923" t="s">
        <v>26257</v>
      </c>
      <c r="F5923">
        <v>2</v>
      </c>
      <c r="G5923">
        <v>2537768</v>
      </c>
      <c r="H5923" t="s">
        <v>26258</v>
      </c>
      <c r="J5923" s="54" t="s">
        <v>6052</v>
      </c>
      <c r="K5923" s="54">
        <v>0</v>
      </c>
      <c r="L5923" s="22" t="s">
        <v>36806</v>
      </c>
      <c r="M5923" s="22" t="s">
        <v>37290</v>
      </c>
    </row>
    <row r="5924" spans="1:13" x14ac:dyDescent="0.75">
      <c r="A5924" t="s">
        <v>24306</v>
      </c>
      <c r="B5924" t="s">
        <v>7155</v>
      </c>
      <c r="C5924" t="s">
        <v>6124</v>
      </c>
      <c r="D5924" t="s">
        <v>7156</v>
      </c>
      <c r="E5924" t="s">
        <v>24307</v>
      </c>
      <c r="F5924">
        <v>5</v>
      </c>
      <c r="G5924">
        <v>2549044</v>
      </c>
      <c r="H5924" t="s">
        <v>24308</v>
      </c>
      <c r="J5924" s="54" t="s">
        <v>6052</v>
      </c>
      <c r="K5924" s="54">
        <v>0</v>
      </c>
      <c r="L5924" s="22" t="s">
        <v>36806</v>
      </c>
      <c r="M5924" s="22" t="s">
        <v>37296</v>
      </c>
    </row>
    <row r="5925" spans="1:13" x14ac:dyDescent="0.75">
      <c r="A5925" t="s">
        <v>24273</v>
      </c>
      <c r="B5925" t="s">
        <v>6123</v>
      </c>
      <c r="C5925" t="s">
        <v>6124</v>
      </c>
      <c r="D5925" t="s">
        <v>6125</v>
      </c>
      <c r="E5925" t="s">
        <v>24274</v>
      </c>
      <c r="F5925">
        <v>4</v>
      </c>
      <c r="G5925">
        <v>2531086</v>
      </c>
      <c r="H5925" t="s">
        <v>24275</v>
      </c>
      <c r="J5925" s="54" t="s">
        <v>6052</v>
      </c>
      <c r="K5925" s="54">
        <v>0</v>
      </c>
      <c r="L5925" s="22" t="s">
        <v>36806</v>
      </c>
      <c r="M5925" s="22" t="s">
        <v>37290</v>
      </c>
    </row>
    <row r="5926" spans="1:13" x14ac:dyDescent="0.75">
      <c r="A5926" t="s">
        <v>14474</v>
      </c>
      <c r="B5926" t="s">
        <v>13747</v>
      </c>
      <c r="C5926" t="s">
        <v>6124</v>
      </c>
      <c r="D5926" t="s">
        <v>13748</v>
      </c>
      <c r="E5926" t="s">
        <v>14475</v>
      </c>
      <c r="F5926">
        <v>123</v>
      </c>
      <c r="G5926">
        <v>2455272</v>
      </c>
      <c r="H5926" t="s">
        <v>14476</v>
      </c>
      <c r="J5926" s="54" t="s">
        <v>6052</v>
      </c>
      <c r="K5926" s="54">
        <v>0</v>
      </c>
      <c r="L5926" s="22" t="s">
        <v>1563</v>
      </c>
      <c r="M5926" s="22" t="s">
        <v>37300</v>
      </c>
    </row>
    <row r="5927" spans="1:13" x14ac:dyDescent="0.75">
      <c r="A5927" t="s">
        <v>16062</v>
      </c>
      <c r="B5927" t="s">
        <v>6123</v>
      </c>
      <c r="C5927" t="s">
        <v>6124</v>
      </c>
      <c r="D5927" t="s">
        <v>6125</v>
      </c>
      <c r="E5927" t="s">
        <v>16063</v>
      </c>
      <c r="F5927">
        <v>4</v>
      </c>
      <c r="G5927">
        <v>2571738</v>
      </c>
      <c r="H5927" t="s">
        <v>16064</v>
      </c>
      <c r="J5927" s="54" t="s">
        <v>6052</v>
      </c>
      <c r="K5927" s="54">
        <v>0</v>
      </c>
      <c r="L5927" s="22" t="s">
        <v>36806</v>
      </c>
      <c r="M5927" s="22" t="s">
        <v>37290</v>
      </c>
    </row>
    <row r="5928" spans="1:13" x14ac:dyDescent="0.75">
      <c r="A5928" t="s">
        <v>16065</v>
      </c>
      <c r="B5928" t="s">
        <v>6123</v>
      </c>
      <c r="C5928" t="s">
        <v>6124</v>
      </c>
      <c r="D5928" t="s">
        <v>6125</v>
      </c>
      <c r="E5928" t="s">
        <v>16066</v>
      </c>
      <c r="F5928">
        <v>3</v>
      </c>
      <c r="G5928">
        <v>2571939</v>
      </c>
      <c r="H5928" t="s">
        <v>16067</v>
      </c>
      <c r="J5928" s="54" t="s">
        <v>6052</v>
      </c>
      <c r="K5928" s="54">
        <v>0</v>
      </c>
      <c r="L5928" s="22" t="s">
        <v>36806</v>
      </c>
      <c r="M5928" s="22" t="s">
        <v>37290</v>
      </c>
    </row>
    <row r="5929" spans="1:13" x14ac:dyDescent="0.75">
      <c r="A5929" t="s">
        <v>14081</v>
      </c>
      <c r="B5929" t="s">
        <v>6167</v>
      </c>
      <c r="C5929" t="s">
        <v>6124</v>
      </c>
      <c r="D5929" t="s">
        <v>6168</v>
      </c>
      <c r="E5929" t="s">
        <v>14082</v>
      </c>
      <c r="F5929">
        <v>2</v>
      </c>
      <c r="G5929">
        <v>2757659</v>
      </c>
      <c r="H5929" t="s">
        <v>14083</v>
      </c>
      <c r="J5929" s="54" t="s">
        <v>6052</v>
      </c>
      <c r="K5929" s="54">
        <v>0</v>
      </c>
      <c r="L5929" s="22" t="s">
        <v>36807</v>
      </c>
      <c r="M5929" s="22" t="s">
        <v>37291</v>
      </c>
    </row>
    <row r="5930" spans="1:13" x14ac:dyDescent="0.75">
      <c r="A5930" t="s">
        <v>17725</v>
      </c>
      <c r="B5930" t="s">
        <v>6167</v>
      </c>
      <c r="C5930" t="s">
        <v>6124</v>
      </c>
      <c r="D5930" t="s">
        <v>6168</v>
      </c>
      <c r="E5930" t="s">
        <v>14082</v>
      </c>
      <c r="F5930">
        <v>2</v>
      </c>
      <c r="G5930">
        <v>2754985</v>
      </c>
      <c r="H5930" t="s">
        <v>17726</v>
      </c>
      <c r="J5930" s="54" t="s">
        <v>6052</v>
      </c>
      <c r="K5930" s="54">
        <v>0</v>
      </c>
      <c r="L5930" s="22" t="s">
        <v>36807</v>
      </c>
      <c r="M5930" s="22" t="s">
        <v>37291</v>
      </c>
    </row>
    <row r="5931" spans="1:13" x14ac:dyDescent="0.75">
      <c r="A5931" t="s">
        <v>19011</v>
      </c>
      <c r="B5931" t="s">
        <v>10958</v>
      </c>
      <c r="C5931" t="s">
        <v>6124</v>
      </c>
      <c r="D5931" t="s">
        <v>6928</v>
      </c>
      <c r="E5931" t="s">
        <v>19012</v>
      </c>
      <c r="F5931">
        <v>39</v>
      </c>
      <c r="G5931">
        <v>2184290</v>
      </c>
      <c r="H5931" t="s">
        <v>19013</v>
      </c>
      <c r="J5931" s="54" t="s">
        <v>6052</v>
      </c>
      <c r="K5931" s="54">
        <v>0</v>
      </c>
      <c r="L5931" s="22" t="s">
        <v>36806</v>
      </c>
      <c r="M5931" s="22" t="s">
        <v>37292</v>
      </c>
    </row>
    <row r="5932" spans="1:13" x14ac:dyDescent="0.75">
      <c r="A5932" t="s">
        <v>24572</v>
      </c>
      <c r="B5932" t="s">
        <v>6195</v>
      </c>
      <c r="C5932" t="s">
        <v>6124</v>
      </c>
      <c r="D5932" t="s">
        <v>6196</v>
      </c>
      <c r="E5932" t="s">
        <v>24573</v>
      </c>
      <c r="F5932">
        <v>2</v>
      </c>
      <c r="G5932">
        <v>2596982</v>
      </c>
      <c r="H5932" t="s">
        <v>24574</v>
      </c>
      <c r="J5932" s="54" t="s">
        <v>6052</v>
      </c>
      <c r="K5932" s="54">
        <v>0</v>
      </c>
      <c r="L5932" s="22" t="s">
        <v>36807</v>
      </c>
      <c r="M5932" s="22" t="s">
        <v>37288</v>
      </c>
    </row>
    <row r="5933" spans="1:13" x14ac:dyDescent="0.75">
      <c r="A5933" t="s">
        <v>24569</v>
      </c>
      <c r="B5933" t="s">
        <v>6195</v>
      </c>
      <c r="C5933" t="s">
        <v>6124</v>
      </c>
      <c r="D5933" t="s">
        <v>6196</v>
      </c>
      <c r="E5933" t="s">
        <v>24570</v>
      </c>
      <c r="F5933">
        <v>3</v>
      </c>
      <c r="G5933">
        <v>2586626</v>
      </c>
      <c r="H5933" t="s">
        <v>24571</v>
      </c>
      <c r="J5933" s="54" t="s">
        <v>6052</v>
      </c>
      <c r="K5933" s="54">
        <v>0</v>
      </c>
      <c r="L5933" s="22" t="s">
        <v>36807</v>
      </c>
      <c r="M5933" s="22" t="s">
        <v>37288</v>
      </c>
    </row>
    <row r="5934" spans="1:13" x14ac:dyDescent="0.75">
      <c r="A5934" t="s">
        <v>21915</v>
      </c>
      <c r="B5934" t="s">
        <v>6475</v>
      </c>
      <c r="C5934" t="s">
        <v>6124</v>
      </c>
      <c r="D5934" t="s">
        <v>6476</v>
      </c>
      <c r="E5934" t="s">
        <v>21916</v>
      </c>
      <c r="F5934">
        <v>1</v>
      </c>
      <c r="G5934">
        <v>2813336</v>
      </c>
      <c r="H5934" t="s">
        <v>21917</v>
      </c>
      <c r="J5934" s="54" t="s">
        <v>6052</v>
      </c>
      <c r="K5934" s="54">
        <v>0</v>
      </c>
      <c r="L5934" s="22" t="s">
        <v>1563</v>
      </c>
      <c r="M5934" s="22" t="s">
        <v>37294</v>
      </c>
    </row>
    <row r="5935" spans="1:13" x14ac:dyDescent="0.75">
      <c r="A5935" t="s">
        <v>23292</v>
      </c>
      <c r="B5935" t="s">
        <v>6475</v>
      </c>
      <c r="C5935" t="s">
        <v>6124</v>
      </c>
      <c r="D5935" t="s">
        <v>6476</v>
      </c>
      <c r="E5935" t="s">
        <v>23293</v>
      </c>
      <c r="F5935">
        <v>1</v>
      </c>
      <c r="G5935">
        <v>2646605</v>
      </c>
      <c r="H5935" t="s">
        <v>23294</v>
      </c>
      <c r="J5935" s="54" t="s">
        <v>6052</v>
      </c>
      <c r="K5935" s="54">
        <v>0</v>
      </c>
      <c r="L5935" s="22" t="s">
        <v>1563</v>
      </c>
      <c r="M5935" s="22" t="s">
        <v>37294</v>
      </c>
    </row>
    <row r="5936" spans="1:13" x14ac:dyDescent="0.75">
      <c r="A5936" t="s">
        <v>23295</v>
      </c>
      <c r="B5936" t="s">
        <v>6475</v>
      </c>
      <c r="C5936" t="s">
        <v>6124</v>
      </c>
      <c r="D5936" t="s">
        <v>6476</v>
      </c>
      <c r="E5936" t="s">
        <v>23296</v>
      </c>
      <c r="F5936">
        <v>1</v>
      </c>
      <c r="G5936">
        <v>2625330</v>
      </c>
      <c r="H5936" t="s">
        <v>23297</v>
      </c>
      <c r="J5936" s="54" t="s">
        <v>6052</v>
      </c>
      <c r="K5936" s="54">
        <v>0</v>
      </c>
      <c r="L5936" s="22" t="s">
        <v>1563</v>
      </c>
      <c r="M5936" s="22" t="s">
        <v>37294</v>
      </c>
    </row>
    <row r="5937" spans="1:13" x14ac:dyDescent="0.75">
      <c r="A5937" t="s">
        <v>26253</v>
      </c>
      <c r="B5937" t="s">
        <v>6195</v>
      </c>
      <c r="C5937" t="s">
        <v>6124</v>
      </c>
      <c r="D5937" t="s">
        <v>6196</v>
      </c>
      <c r="E5937" t="s">
        <v>26254</v>
      </c>
      <c r="F5937">
        <v>3</v>
      </c>
      <c r="G5937">
        <v>2610080</v>
      </c>
      <c r="H5937" t="s">
        <v>26255</v>
      </c>
      <c r="J5937" s="54" t="s">
        <v>6052</v>
      </c>
      <c r="K5937" s="54">
        <v>0</v>
      </c>
      <c r="L5937" s="22" t="s">
        <v>36807</v>
      </c>
      <c r="M5937" s="22" t="s">
        <v>37288</v>
      </c>
    </row>
    <row r="5938" spans="1:13" x14ac:dyDescent="0.75">
      <c r="A5938" t="s">
        <v>26250</v>
      </c>
      <c r="B5938" t="s">
        <v>6123</v>
      </c>
      <c r="C5938" t="s">
        <v>6124</v>
      </c>
      <c r="D5938" t="s">
        <v>6125</v>
      </c>
      <c r="E5938" t="s">
        <v>26251</v>
      </c>
      <c r="F5938">
        <v>4</v>
      </c>
      <c r="G5938">
        <v>2453845</v>
      </c>
      <c r="H5938" t="s">
        <v>26252</v>
      </c>
      <c r="J5938" s="54" t="s">
        <v>6052</v>
      </c>
      <c r="K5938" s="54">
        <v>0</v>
      </c>
      <c r="L5938" s="22" t="s">
        <v>36806</v>
      </c>
      <c r="M5938" s="22" t="s">
        <v>37290</v>
      </c>
    </row>
    <row r="5939" spans="1:13" x14ac:dyDescent="0.75">
      <c r="A5939" t="s">
        <v>9667</v>
      </c>
      <c r="B5939" t="s">
        <v>6167</v>
      </c>
      <c r="C5939" t="s">
        <v>6124</v>
      </c>
      <c r="D5939" t="s">
        <v>6168</v>
      </c>
      <c r="E5939" t="s">
        <v>9668</v>
      </c>
      <c r="F5939">
        <v>3</v>
      </c>
      <c r="G5939">
        <v>2757070</v>
      </c>
      <c r="H5939" t="s">
        <v>9669</v>
      </c>
      <c r="J5939" s="54" t="s">
        <v>6052</v>
      </c>
      <c r="K5939" s="54">
        <v>0</v>
      </c>
      <c r="L5939" s="22" t="s">
        <v>36807</v>
      </c>
      <c r="M5939" s="22" t="s">
        <v>37291</v>
      </c>
    </row>
    <row r="5940" spans="1:13" x14ac:dyDescent="0.75">
      <c r="A5940" t="s">
        <v>11422</v>
      </c>
      <c r="B5940" t="s">
        <v>6195</v>
      </c>
      <c r="C5940" t="s">
        <v>6124</v>
      </c>
      <c r="D5940" t="s">
        <v>6196</v>
      </c>
      <c r="E5940" t="s">
        <v>11423</v>
      </c>
      <c r="F5940">
        <v>42</v>
      </c>
      <c r="G5940">
        <v>2331387</v>
      </c>
      <c r="H5940" t="s">
        <v>11424</v>
      </c>
      <c r="J5940" s="54" t="s">
        <v>6052</v>
      </c>
      <c r="K5940" s="54">
        <v>0</v>
      </c>
      <c r="L5940" s="22" t="s">
        <v>36807</v>
      </c>
      <c r="M5940" s="22" t="s">
        <v>37288</v>
      </c>
    </row>
    <row r="5941" spans="1:13" x14ac:dyDescent="0.75">
      <c r="A5941" t="s">
        <v>6246</v>
      </c>
      <c r="B5941" t="s">
        <v>6167</v>
      </c>
      <c r="C5941" t="s">
        <v>6124</v>
      </c>
      <c r="D5941" t="s">
        <v>6168</v>
      </c>
      <c r="E5941" t="s">
        <v>6247</v>
      </c>
      <c r="F5941">
        <v>2</v>
      </c>
      <c r="G5941">
        <v>2813862</v>
      </c>
      <c r="H5941" t="s">
        <v>6248</v>
      </c>
      <c r="J5941" s="54" t="s">
        <v>6052</v>
      </c>
      <c r="K5941" s="54">
        <v>0</v>
      </c>
      <c r="L5941" s="22" t="s">
        <v>36807</v>
      </c>
      <c r="M5941" s="22" t="s">
        <v>37291</v>
      </c>
    </row>
    <row r="5942" spans="1:13" x14ac:dyDescent="0.75">
      <c r="A5942" t="s">
        <v>26327</v>
      </c>
      <c r="B5942" t="s">
        <v>10958</v>
      </c>
      <c r="C5942" t="s">
        <v>6124</v>
      </c>
      <c r="D5942" t="s">
        <v>6928</v>
      </c>
      <c r="E5942" t="s">
        <v>26328</v>
      </c>
      <c r="F5942">
        <v>25</v>
      </c>
      <c r="G5942">
        <v>2160289</v>
      </c>
      <c r="H5942" t="s">
        <v>26329</v>
      </c>
      <c r="J5942" s="54" t="s">
        <v>6052</v>
      </c>
      <c r="K5942" s="54">
        <v>0</v>
      </c>
      <c r="L5942" s="22" t="s">
        <v>36806</v>
      </c>
      <c r="M5942" s="22" t="s">
        <v>37292</v>
      </c>
    </row>
    <row r="5943" spans="1:13" x14ac:dyDescent="0.75">
      <c r="A5943" t="s">
        <v>26330</v>
      </c>
      <c r="B5943" t="s">
        <v>10958</v>
      </c>
      <c r="C5943" t="s">
        <v>6124</v>
      </c>
      <c r="D5943" t="s">
        <v>6928</v>
      </c>
      <c r="E5943" t="s">
        <v>26331</v>
      </c>
      <c r="F5943">
        <v>21</v>
      </c>
      <c r="G5943">
        <v>2161998</v>
      </c>
      <c r="H5943" t="s">
        <v>26332</v>
      </c>
      <c r="J5943" s="54" t="s">
        <v>6052</v>
      </c>
      <c r="K5943" s="54">
        <v>0</v>
      </c>
      <c r="L5943" s="22" t="s">
        <v>36806</v>
      </c>
      <c r="M5943" s="22" t="s">
        <v>37292</v>
      </c>
    </row>
    <row r="5944" spans="1:13" x14ac:dyDescent="0.75">
      <c r="A5944" t="s">
        <v>26324</v>
      </c>
      <c r="B5944" t="s">
        <v>10958</v>
      </c>
      <c r="C5944" t="s">
        <v>6124</v>
      </c>
      <c r="D5944" t="s">
        <v>6928</v>
      </c>
      <c r="E5944" t="s">
        <v>26325</v>
      </c>
      <c r="F5944">
        <v>34</v>
      </c>
      <c r="G5944">
        <v>2174186</v>
      </c>
      <c r="H5944" t="s">
        <v>26326</v>
      </c>
      <c r="J5944" s="54" t="s">
        <v>6052</v>
      </c>
      <c r="K5944" s="54">
        <v>0</v>
      </c>
      <c r="L5944" s="22" t="s">
        <v>36806</v>
      </c>
      <c r="M5944" s="22" t="s">
        <v>37292</v>
      </c>
    </row>
    <row r="5945" spans="1:13" x14ac:dyDescent="0.75">
      <c r="A5945" t="s">
        <v>10055</v>
      </c>
      <c r="B5945" t="s">
        <v>7155</v>
      </c>
      <c r="C5945" t="s">
        <v>6124</v>
      </c>
      <c r="D5945" t="s">
        <v>7156</v>
      </c>
      <c r="E5945" t="s">
        <v>10056</v>
      </c>
      <c r="F5945">
        <v>26</v>
      </c>
      <c r="G5945">
        <v>2503772</v>
      </c>
      <c r="H5945" t="s">
        <v>10057</v>
      </c>
      <c r="J5945" s="54" t="s">
        <v>6052</v>
      </c>
      <c r="K5945" s="54">
        <v>0</v>
      </c>
      <c r="L5945" s="22" t="s">
        <v>36806</v>
      </c>
      <c r="M5945" s="22" t="s">
        <v>37296</v>
      </c>
    </row>
    <row r="5946" spans="1:13" x14ac:dyDescent="0.75">
      <c r="A5946" t="s">
        <v>11361</v>
      </c>
      <c r="B5946" t="s">
        <v>7155</v>
      </c>
      <c r="C5946" t="s">
        <v>6124</v>
      </c>
      <c r="D5946" t="s">
        <v>7156</v>
      </c>
      <c r="E5946" t="s">
        <v>11362</v>
      </c>
      <c r="F5946">
        <v>31</v>
      </c>
      <c r="G5946">
        <v>2505352</v>
      </c>
      <c r="H5946" t="s">
        <v>11363</v>
      </c>
      <c r="J5946" s="54" t="s">
        <v>6052</v>
      </c>
      <c r="K5946" s="54">
        <v>0</v>
      </c>
      <c r="L5946" s="22" t="s">
        <v>36806</v>
      </c>
      <c r="M5946" s="22" t="s">
        <v>37296</v>
      </c>
    </row>
    <row r="5947" spans="1:13" x14ac:dyDescent="0.75">
      <c r="A5947" t="s">
        <v>11403</v>
      </c>
      <c r="B5947" t="s">
        <v>7155</v>
      </c>
      <c r="C5947" t="s">
        <v>6124</v>
      </c>
      <c r="D5947" t="s">
        <v>7156</v>
      </c>
      <c r="E5947" t="s">
        <v>11362</v>
      </c>
      <c r="F5947">
        <v>31</v>
      </c>
      <c r="G5947">
        <v>2508352</v>
      </c>
      <c r="H5947" t="s">
        <v>11404</v>
      </c>
      <c r="J5947" s="54" t="s">
        <v>6052</v>
      </c>
      <c r="K5947" s="54">
        <v>0</v>
      </c>
      <c r="L5947" s="22" t="s">
        <v>36806</v>
      </c>
      <c r="M5947" s="22" t="s">
        <v>37296</v>
      </c>
    </row>
    <row r="5948" spans="1:13" x14ac:dyDescent="0.75">
      <c r="A5948" t="s">
        <v>11397</v>
      </c>
      <c r="B5948" t="s">
        <v>7155</v>
      </c>
      <c r="C5948" t="s">
        <v>6124</v>
      </c>
      <c r="D5948" t="s">
        <v>7156</v>
      </c>
      <c r="E5948" t="s">
        <v>11398</v>
      </c>
      <c r="F5948">
        <v>38</v>
      </c>
      <c r="G5948">
        <v>2508589</v>
      </c>
      <c r="H5948" t="s">
        <v>11399</v>
      </c>
      <c r="J5948" s="54" t="s">
        <v>6052</v>
      </c>
      <c r="K5948" s="54">
        <v>0</v>
      </c>
      <c r="L5948" s="22" t="s">
        <v>36806</v>
      </c>
      <c r="M5948" s="22" t="s">
        <v>37296</v>
      </c>
    </row>
    <row r="5949" spans="1:13" x14ac:dyDescent="0.75">
      <c r="A5949" t="s">
        <v>11405</v>
      </c>
      <c r="B5949" t="s">
        <v>7155</v>
      </c>
      <c r="C5949" t="s">
        <v>6124</v>
      </c>
      <c r="D5949" t="s">
        <v>7156</v>
      </c>
      <c r="E5949" t="s">
        <v>11406</v>
      </c>
      <c r="F5949">
        <v>39</v>
      </c>
      <c r="G5949">
        <v>2540117</v>
      </c>
      <c r="H5949" t="s">
        <v>11407</v>
      </c>
      <c r="J5949" s="54" t="s">
        <v>6052</v>
      </c>
      <c r="K5949" s="54">
        <v>0</v>
      </c>
      <c r="L5949" s="22" t="s">
        <v>36806</v>
      </c>
      <c r="M5949" s="22" t="s">
        <v>37296</v>
      </c>
    </row>
    <row r="5950" spans="1:13" x14ac:dyDescent="0.75">
      <c r="A5950" t="s">
        <v>27106</v>
      </c>
      <c r="B5950" t="s">
        <v>7155</v>
      </c>
      <c r="C5950" t="s">
        <v>6124</v>
      </c>
      <c r="D5950" t="s">
        <v>7156</v>
      </c>
      <c r="E5950" t="s">
        <v>27107</v>
      </c>
      <c r="F5950">
        <v>26</v>
      </c>
      <c r="G5950">
        <v>2474601</v>
      </c>
      <c r="H5950" t="s">
        <v>27108</v>
      </c>
      <c r="J5950" s="54" t="s">
        <v>6052</v>
      </c>
      <c r="K5950" s="54">
        <v>0</v>
      </c>
      <c r="L5950" s="22" t="s">
        <v>36806</v>
      </c>
      <c r="M5950" s="22" t="s">
        <v>37296</v>
      </c>
    </row>
    <row r="5951" spans="1:13" x14ac:dyDescent="0.75">
      <c r="A5951" t="s">
        <v>11408</v>
      </c>
      <c r="B5951" t="s">
        <v>7155</v>
      </c>
      <c r="C5951" t="s">
        <v>6124</v>
      </c>
      <c r="D5951" t="s">
        <v>7156</v>
      </c>
      <c r="E5951" t="s">
        <v>11409</v>
      </c>
      <c r="F5951">
        <v>34</v>
      </c>
      <c r="G5951">
        <v>2487158</v>
      </c>
      <c r="H5951" t="s">
        <v>11410</v>
      </c>
      <c r="J5951" s="54" t="s">
        <v>6052</v>
      </c>
      <c r="K5951" s="54">
        <v>0</v>
      </c>
      <c r="L5951" s="22" t="s">
        <v>36806</v>
      </c>
      <c r="M5951" s="22" t="s">
        <v>37296</v>
      </c>
    </row>
    <row r="5952" spans="1:13" x14ac:dyDescent="0.75">
      <c r="A5952" t="s">
        <v>21339</v>
      </c>
      <c r="B5952" t="s">
        <v>6195</v>
      </c>
      <c r="C5952" t="s">
        <v>6124</v>
      </c>
      <c r="D5952" t="s">
        <v>6196</v>
      </c>
      <c r="E5952" t="s">
        <v>21340</v>
      </c>
      <c r="F5952">
        <v>51</v>
      </c>
      <c r="G5952">
        <v>2591907</v>
      </c>
      <c r="H5952" t="s">
        <v>21341</v>
      </c>
      <c r="J5952" s="54" t="s">
        <v>6052</v>
      </c>
      <c r="K5952" s="54">
        <v>0</v>
      </c>
      <c r="L5952" s="22" t="s">
        <v>36807</v>
      </c>
      <c r="M5952" s="22" t="s">
        <v>37288</v>
      </c>
    </row>
    <row r="5953" spans="1:13" x14ac:dyDescent="0.75">
      <c r="A5953" t="s">
        <v>22606</v>
      </c>
      <c r="B5953" t="s">
        <v>6475</v>
      </c>
      <c r="C5953" t="s">
        <v>6124</v>
      </c>
      <c r="D5953" t="s">
        <v>6476</v>
      </c>
      <c r="E5953" t="s">
        <v>22607</v>
      </c>
      <c r="F5953">
        <v>25</v>
      </c>
      <c r="G5953">
        <v>2532348</v>
      </c>
      <c r="H5953" t="s">
        <v>22608</v>
      </c>
      <c r="J5953" s="54" t="s">
        <v>6052</v>
      </c>
      <c r="K5953" s="54">
        <v>0</v>
      </c>
      <c r="L5953" s="22" t="s">
        <v>1563</v>
      </c>
      <c r="M5953" s="22" t="s">
        <v>37294</v>
      </c>
    </row>
    <row r="5954" spans="1:13" x14ac:dyDescent="0.75">
      <c r="A5954" t="s">
        <v>22648</v>
      </c>
      <c r="B5954" t="s">
        <v>6475</v>
      </c>
      <c r="C5954" t="s">
        <v>6124</v>
      </c>
      <c r="D5954" t="s">
        <v>6476</v>
      </c>
      <c r="E5954" t="s">
        <v>22649</v>
      </c>
      <c r="F5954">
        <v>18</v>
      </c>
      <c r="G5954">
        <v>2535332</v>
      </c>
      <c r="H5954" t="s">
        <v>22650</v>
      </c>
      <c r="J5954" s="54" t="s">
        <v>6052</v>
      </c>
      <c r="K5954" s="54">
        <v>0</v>
      </c>
      <c r="L5954" s="22" t="s">
        <v>1563</v>
      </c>
      <c r="M5954" s="22" t="s">
        <v>37294</v>
      </c>
    </row>
    <row r="5955" spans="1:13" x14ac:dyDescent="0.75">
      <c r="A5955" t="s">
        <v>22627</v>
      </c>
      <c r="B5955" t="s">
        <v>6475</v>
      </c>
      <c r="C5955" t="s">
        <v>6124</v>
      </c>
      <c r="D5955" t="s">
        <v>6476</v>
      </c>
      <c r="E5955" t="s">
        <v>22628</v>
      </c>
      <c r="F5955">
        <v>12</v>
      </c>
      <c r="G5955">
        <v>2585050</v>
      </c>
      <c r="H5955" t="s">
        <v>22629</v>
      </c>
      <c r="J5955" s="54" t="s">
        <v>6052</v>
      </c>
      <c r="K5955" s="54">
        <v>0</v>
      </c>
      <c r="L5955" s="22" t="s">
        <v>1563</v>
      </c>
      <c r="M5955" s="22" t="s">
        <v>37294</v>
      </c>
    </row>
    <row r="5956" spans="1:13" x14ac:dyDescent="0.75">
      <c r="A5956" t="s">
        <v>22630</v>
      </c>
      <c r="B5956" t="s">
        <v>6475</v>
      </c>
      <c r="C5956" t="s">
        <v>6124</v>
      </c>
      <c r="D5956" t="s">
        <v>6476</v>
      </c>
      <c r="E5956" t="s">
        <v>22631</v>
      </c>
      <c r="F5956">
        <v>32</v>
      </c>
      <c r="G5956">
        <v>2649731</v>
      </c>
      <c r="H5956" t="s">
        <v>22632</v>
      </c>
      <c r="J5956" s="54" t="s">
        <v>6052</v>
      </c>
      <c r="K5956" s="54">
        <v>0</v>
      </c>
      <c r="L5956" s="22" t="s">
        <v>1563</v>
      </c>
      <c r="M5956" s="22" t="s">
        <v>37294</v>
      </c>
    </row>
    <row r="5957" spans="1:13" x14ac:dyDescent="0.75">
      <c r="A5957" t="s">
        <v>22633</v>
      </c>
      <c r="B5957" t="s">
        <v>6475</v>
      </c>
      <c r="C5957" t="s">
        <v>6124</v>
      </c>
      <c r="D5957" t="s">
        <v>6476</v>
      </c>
      <c r="E5957" t="s">
        <v>22634</v>
      </c>
      <c r="F5957">
        <v>15</v>
      </c>
      <c r="G5957">
        <v>2517845</v>
      </c>
      <c r="H5957" t="s">
        <v>22635</v>
      </c>
      <c r="J5957" s="54" t="s">
        <v>6052</v>
      </c>
      <c r="K5957" s="54">
        <v>0</v>
      </c>
      <c r="L5957" s="22" t="s">
        <v>1563</v>
      </c>
      <c r="M5957" s="22" t="s">
        <v>37294</v>
      </c>
    </row>
    <row r="5958" spans="1:13" x14ac:dyDescent="0.75">
      <c r="A5958" t="s">
        <v>14306</v>
      </c>
      <c r="B5958" t="s">
        <v>6123</v>
      </c>
      <c r="C5958" t="s">
        <v>6124</v>
      </c>
      <c r="D5958" t="s">
        <v>6125</v>
      </c>
      <c r="E5958" t="s">
        <v>14307</v>
      </c>
      <c r="F5958">
        <v>1</v>
      </c>
      <c r="G5958">
        <v>2727549</v>
      </c>
      <c r="H5958" t="s">
        <v>14308</v>
      </c>
      <c r="J5958" s="54" t="s">
        <v>6052</v>
      </c>
      <c r="K5958" s="54">
        <v>0</v>
      </c>
      <c r="L5958" s="22" t="s">
        <v>36806</v>
      </c>
      <c r="M5958" s="22" t="s">
        <v>37290</v>
      </c>
    </row>
    <row r="5959" spans="1:13" x14ac:dyDescent="0.75">
      <c r="A5959" t="s">
        <v>10601</v>
      </c>
      <c r="B5959" t="s">
        <v>6195</v>
      </c>
      <c r="C5959" t="s">
        <v>6124</v>
      </c>
      <c r="D5959" t="s">
        <v>6196</v>
      </c>
      <c r="E5959" t="s">
        <v>10602</v>
      </c>
      <c r="F5959">
        <v>49</v>
      </c>
      <c r="G5959">
        <v>2357406</v>
      </c>
      <c r="H5959" t="s">
        <v>10603</v>
      </c>
      <c r="J5959" s="54" t="s">
        <v>6052</v>
      </c>
      <c r="K5959" s="54">
        <v>0</v>
      </c>
      <c r="L5959" s="22" t="s">
        <v>36807</v>
      </c>
      <c r="M5959" s="22" t="s">
        <v>37288</v>
      </c>
    </row>
    <row r="5960" spans="1:13" x14ac:dyDescent="0.75">
      <c r="A5960" t="s">
        <v>16382</v>
      </c>
      <c r="B5960" t="s">
        <v>13969</v>
      </c>
      <c r="C5960" t="s">
        <v>6124</v>
      </c>
      <c r="D5960" t="s">
        <v>13970</v>
      </c>
      <c r="E5960" t="s">
        <v>16383</v>
      </c>
      <c r="F5960">
        <v>109</v>
      </c>
      <c r="G5960">
        <v>2462952</v>
      </c>
      <c r="H5960" t="s">
        <v>16384</v>
      </c>
      <c r="J5960" s="54" t="s">
        <v>6052</v>
      </c>
      <c r="K5960" s="54">
        <v>0</v>
      </c>
      <c r="L5960" s="22" t="s">
        <v>1563</v>
      </c>
      <c r="M5960" s="22" t="s">
        <v>37298</v>
      </c>
    </row>
    <row r="5961" spans="1:13" x14ac:dyDescent="0.75">
      <c r="A5961" t="s">
        <v>9012</v>
      </c>
      <c r="B5961" t="s">
        <v>6167</v>
      </c>
      <c r="C5961" t="s">
        <v>6124</v>
      </c>
      <c r="D5961" t="s">
        <v>6168</v>
      </c>
      <c r="E5961" t="s">
        <v>9013</v>
      </c>
      <c r="F5961">
        <v>16</v>
      </c>
      <c r="G5961">
        <v>2756322</v>
      </c>
      <c r="H5961" t="s">
        <v>9014</v>
      </c>
      <c r="J5961" s="54" t="s">
        <v>6052</v>
      </c>
      <c r="K5961" s="54">
        <v>0</v>
      </c>
      <c r="L5961" s="22" t="s">
        <v>36807</v>
      </c>
      <c r="M5961" s="22" t="s">
        <v>37291</v>
      </c>
    </row>
    <row r="5962" spans="1:13" x14ac:dyDescent="0.75">
      <c r="A5962" t="s">
        <v>10913</v>
      </c>
      <c r="B5962" t="s">
        <v>6167</v>
      </c>
      <c r="C5962" t="s">
        <v>6124</v>
      </c>
      <c r="D5962" t="s">
        <v>6168</v>
      </c>
      <c r="E5962" t="s">
        <v>9013</v>
      </c>
      <c r="F5962">
        <v>2</v>
      </c>
      <c r="G5962">
        <v>2782562</v>
      </c>
      <c r="H5962" t="s">
        <v>10914</v>
      </c>
      <c r="J5962" s="54" t="s">
        <v>6052</v>
      </c>
      <c r="K5962" s="54">
        <v>0</v>
      </c>
      <c r="L5962" s="22" t="s">
        <v>36807</v>
      </c>
      <c r="M5962" s="22" t="s">
        <v>37291</v>
      </c>
    </row>
    <row r="5963" spans="1:13" x14ac:dyDescent="0.75">
      <c r="A5963" t="s">
        <v>25015</v>
      </c>
      <c r="B5963" t="s">
        <v>6195</v>
      </c>
      <c r="C5963" t="s">
        <v>6124</v>
      </c>
      <c r="D5963" t="s">
        <v>6196</v>
      </c>
      <c r="E5963" t="s">
        <v>25016</v>
      </c>
      <c r="F5963">
        <v>3</v>
      </c>
      <c r="G5963">
        <v>2571027</v>
      </c>
      <c r="H5963" t="s">
        <v>25017</v>
      </c>
      <c r="J5963" s="54" t="s">
        <v>6052</v>
      </c>
      <c r="K5963" s="54">
        <v>0</v>
      </c>
      <c r="L5963" s="22" t="s">
        <v>36807</v>
      </c>
      <c r="M5963" s="22" t="s">
        <v>37288</v>
      </c>
    </row>
    <row r="5964" spans="1:13" x14ac:dyDescent="0.75">
      <c r="A5964" t="s">
        <v>25009</v>
      </c>
      <c r="B5964" t="s">
        <v>9016</v>
      </c>
      <c r="C5964" t="s">
        <v>6124</v>
      </c>
      <c r="D5964" t="s">
        <v>9017</v>
      </c>
      <c r="E5964" t="s">
        <v>25010</v>
      </c>
      <c r="F5964">
        <v>1</v>
      </c>
      <c r="G5964">
        <v>2428398</v>
      </c>
      <c r="H5964" t="s">
        <v>25011</v>
      </c>
      <c r="J5964" s="54" t="s">
        <v>6052</v>
      </c>
      <c r="K5964" s="54">
        <v>0</v>
      </c>
      <c r="L5964" s="22" t="s">
        <v>36806</v>
      </c>
      <c r="M5964" s="22" t="s">
        <v>37289</v>
      </c>
    </row>
    <row r="5965" spans="1:13" x14ac:dyDescent="0.75">
      <c r="A5965" t="s">
        <v>20472</v>
      </c>
      <c r="B5965" t="s">
        <v>7155</v>
      </c>
      <c r="C5965" t="s">
        <v>6124</v>
      </c>
      <c r="D5965" t="s">
        <v>7156</v>
      </c>
      <c r="E5965" t="s">
        <v>20473</v>
      </c>
      <c r="F5965">
        <v>37</v>
      </c>
      <c r="G5965">
        <v>2417641</v>
      </c>
      <c r="H5965" t="s">
        <v>20474</v>
      </c>
      <c r="J5965" s="54" t="s">
        <v>6052</v>
      </c>
      <c r="K5965" s="54">
        <v>0</v>
      </c>
      <c r="L5965" s="22" t="s">
        <v>36806</v>
      </c>
      <c r="M5965" s="22" t="s">
        <v>37296</v>
      </c>
    </row>
    <row r="5966" spans="1:13" x14ac:dyDescent="0.75">
      <c r="A5966" t="s">
        <v>24134</v>
      </c>
      <c r="B5966" t="s">
        <v>7155</v>
      </c>
      <c r="C5966" t="s">
        <v>6124</v>
      </c>
      <c r="D5966" t="s">
        <v>7156</v>
      </c>
      <c r="E5966" t="s">
        <v>24135</v>
      </c>
      <c r="F5966">
        <v>5</v>
      </c>
      <c r="G5966">
        <v>2486324</v>
      </c>
      <c r="H5966" t="s">
        <v>24136</v>
      </c>
      <c r="J5966" s="54" t="s">
        <v>6052</v>
      </c>
      <c r="K5966" s="54">
        <v>0</v>
      </c>
      <c r="L5966" s="22" t="s">
        <v>36806</v>
      </c>
      <c r="M5966" s="22" t="s">
        <v>37296</v>
      </c>
    </row>
    <row r="5967" spans="1:13" x14ac:dyDescent="0.75">
      <c r="A5967" t="s">
        <v>11783</v>
      </c>
      <c r="B5967" t="s">
        <v>11784</v>
      </c>
      <c r="C5967" t="s">
        <v>6124</v>
      </c>
      <c r="D5967" t="s">
        <v>11785</v>
      </c>
      <c r="E5967" t="s">
        <v>11786</v>
      </c>
      <c r="F5967">
        <v>54</v>
      </c>
      <c r="G5967">
        <v>2201708</v>
      </c>
      <c r="H5967" t="s">
        <v>11787</v>
      </c>
      <c r="J5967" s="54" t="s">
        <v>6052</v>
      </c>
      <c r="K5967" s="54">
        <v>0</v>
      </c>
      <c r="L5967" s="22" t="s">
        <v>36805</v>
      </c>
      <c r="M5967" s="22" t="s">
        <v>37297</v>
      </c>
    </row>
    <row r="5968" spans="1:13" x14ac:dyDescent="0.75">
      <c r="A5968" t="s">
        <v>24146</v>
      </c>
      <c r="B5968" t="s">
        <v>7155</v>
      </c>
      <c r="C5968" t="s">
        <v>6124</v>
      </c>
      <c r="D5968" t="s">
        <v>7156</v>
      </c>
      <c r="E5968" t="s">
        <v>24147</v>
      </c>
      <c r="F5968">
        <v>10</v>
      </c>
      <c r="G5968">
        <v>2469425</v>
      </c>
      <c r="H5968" t="s">
        <v>24148</v>
      </c>
      <c r="J5968" s="54" t="s">
        <v>6052</v>
      </c>
      <c r="K5968" s="54">
        <v>0</v>
      </c>
      <c r="L5968" s="22" t="s">
        <v>36806</v>
      </c>
      <c r="M5968" s="22" t="s">
        <v>37296</v>
      </c>
    </row>
    <row r="5969" spans="1:13" x14ac:dyDescent="0.75">
      <c r="A5969" t="s">
        <v>20270</v>
      </c>
      <c r="B5969" t="s">
        <v>16379</v>
      </c>
      <c r="C5969" t="s">
        <v>6124</v>
      </c>
      <c r="D5969" t="s">
        <v>9445</v>
      </c>
      <c r="E5969" t="s">
        <v>20271</v>
      </c>
      <c r="F5969">
        <v>10</v>
      </c>
      <c r="G5969">
        <v>2348904</v>
      </c>
      <c r="H5969" t="s">
        <v>20272</v>
      </c>
      <c r="J5969" s="54" t="s">
        <v>6052</v>
      </c>
      <c r="K5969" s="54">
        <v>0</v>
      </c>
      <c r="L5969" s="22" t="s">
        <v>36806</v>
      </c>
      <c r="M5969" s="22" t="s">
        <v>37295</v>
      </c>
    </row>
    <row r="5970" spans="1:13" x14ac:dyDescent="0.75">
      <c r="A5970" t="s">
        <v>20273</v>
      </c>
      <c r="B5970" t="s">
        <v>16379</v>
      </c>
      <c r="C5970" t="s">
        <v>6124</v>
      </c>
      <c r="D5970" t="s">
        <v>9445</v>
      </c>
      <c r="E5970" t="s">
        <v>20274</v>
      </c>
      <c r="F5970">
        <v>10</v>
      </c>
      <c r="G5970">
        <v>2321278</v>
      </c>
      <c r="H5970" t="s">
        <v>20275</v>
      </c>
      <c r="J5970" s="54" t="s">
        <v>6052</v>
      </c>
      <c r="K5970" s="54">
        <v>0</v>
      </c>
      <c r="L5970" s="22" t="s">
        <v>36806</v>
      </c>
      <c r="M5970" s="22" t="s">
        <v>37295</v>
      </c>
    </row>
    <row r="5971" spans="1:13" x14ac:dyDescent="0.75">
      <c r="A5971" t="s">
        <v>16590</v>
      </c>
      <c r="B5971" t="s">
        <v>16379</v>
      </c>
      <c r="C5971" t="s">
        <v>6124</v>
      </c>
      <c r="D5971" t="s">
        <v>9445</v>
      </c>
      <c r="E5971" t="s">
        <v>16591</v>
      </c>
      <c r="F5971">
        <v>2</v>
      </c>
      <c r="G5971">
        <v>2396786</v>
      </c>
      <c r="H5971" t="s">
        <v>16592</v>
      </c>
      <c r="J5971" s="54" t="s">
        <v>6052</v>
      </c>
      <c r="K5971" s="54">
        <v>0</v>
      </c>
      <c r="L5971" s="22" t="s">
        <v>36806</v>
      </c>
      <c r="M5971" s="22" t="s">
        <v>37295</v>
      </c>
    </row>
    <row r="5972" spans="1:13" x14ac:dyDescent="0.75">
      <c r="A5972" t="s">
        <v>22664</v>
      </c>
      <c r="B5972" t="s">
        <v>6475</v>
      </c>
      <c r="C5972" t="s">
        <v>6124</v>
      </c>
      <c r="D5972" t="s">
        <v>6476</v>
      </c>
      <c r="E5972" t="s">
        <v>22665</v>
      </c>
      <c r="F5972">
        <v>20</v>
      </c>
      <c r="G5972">
        <v>2516899</v>
      </c>
      <c r="H5972" t="s">
        <v>22666</v>
      </c>
      <c r="J5972" s="54" t="s">
        <v>6052</v>
      </c>
      <c r="K5972" s="54">
        <v>0</v>
      </c>
      <c r="L5972" s="22" t="s">
        <v>1563</v>
      </c>
      <c r="M5972" s="22" t="s">
        <v>37294</v>
      </c>
    </row>
    <row r="5973" spans="1:13" x14ac:dyDescent="0.75">
      <c r="A5973" t="s">
        <v>22636</v>
      </c>
      <c r="B5973" t="s">
        <v>6475</v>
      </c>
      <c r="C5973" t="s">
        <v>6124</v>
      </c>
      <c r="D5973" t="s">
        <v>6476</v>
      </c>
      <c r="E5973" t="s">
        <v>22637</v>
      </c>
      <c r="F5973">
        <v>37</v>
      </c>
      <c r="G5973">
        <v>2576831</v>
      </c>
      <c r="H5973" t="s">
        <v>22638</v>
      </c>
      <c r="J5973" s="54" t="s">
        <v>6052</v>
      </c>
      <c r="K5973" s="54">
        <v>0</v>
      </c>
      <c r="L5973" s="22" t="s">
        <v>1563</v>
      </c>
      <c r="M5973" s="22" t="s">
        <v>37294</v>
      </c>
    </row>
    <row r="5974" spans="1:13" x14ac:dyDescent="0.75">
      <c r="A5974" t="s">
        <v>22612</v>
      </c>
      <c r="B5974" t="s">
        <v>6475</v>
      </c>
      <c r="C5974" t="s">
        <v>6124</v>
      </c>
      <c r="D5974" t="s">
        <v>6476</v>
      </c>
      <c r="E5974" t="s">
        <v>22613</v>
      </c>
      <c r="F5974">
        <v>25</v>
      </c>
      <c r="G5974">
        <v>2586588</v>
      </c>
      <c r="H5974" t="s">
        <v>22614</v>
      </c>
      <c r="J5974" s="54" t="s">
        <v>6052</v>
      </c>
      <c r="K5974" s="54">
        <v>0</v>
      </c>
      <c r="L5974" s="22" t="s">
        <v>1563</v>
      </c>
      <c r="M5974" s="22" t="s">
        <v>37294</v>
      </c>
    </row>
    <row r="5975" spans="1:13" x14ac:dyDescent="0.75">
      <c r="A5975" t="s">
        <v>15275</v>
      </c>
      <c r="B5975" t="s">
        <v>6167</v>
      </c>
      <c r="C5975" t="s">
        <v>6124</v>
      </c>
      <c r="D5975" t="s">
        <v>6168</v>
      </c>
      <c r="E5975" t="s">
        <v>15276</v>
      </c>
      <c r="F5975">
        <v>1</v>
      </c>
      <c r="G5975">
        <v>2785564</v>
      </c>
      <c r="H5975" t="s">
        <v>15277</v>
      </c>
      <c r="J5975" s="54" t="s">
        <v>6052</v>
      </c>
      <c r="K5975" s="54">
        <v>0</v>
      </c>
      <c r="L5975" s="22" t="s">
        <v>36807</v>
      </c>
      <c r="M5975" s="22" t="s">
        <v>37291</v>
      </c>
    </row>
    <row r="5976" spans="1:13" x14ac:dyDescent="0.75">
      <c r="A5976" t="s">
        <v>18060</v>
      </c>
      <c r="B5976" t="s">
        <v>6123</v>
      </c>
      <c r="C5976" t="s">
        <v>6124</v>
      </c>
      <c r="D5976" t="s">
        <v>6125</v>
      </c>
      <c r="E5976" t="s">
        <v>18061</v>
      </c>
      <c r="F5976">
        <v>1</v>
      </c>
      <c r="G5976">
        <v>2449132</v>
      </c>
      <c r="H5976" t="s">
        <v>18062</v>
      </c>
      <c r="J5976" s="54" t="s">
        <v>6052</v>
      </c>
      <c r="K5976" s="54">
        <v>0</v>
      </c>
      <c r="L5976" s="22" t="s">
        <v>36806</v>
      </c>
      <c r="M5976" s="22" t="s">
        <v>37290</v>
      </c>
    </row>
    <row r="5977" spans="1:13" x14ac:dyDescent="0.75">
      <c r="A5977" t="s">
        <v>8507</v>
      </c>
      <c r="B5977" t="s">
        <v>6167</v>
      </c>
      <c r="C5977" t="s">
        <v>6124</v>
      </c>
      <c r="D5977" t="s">
        <v>6168</v>
      </c>
      <c r="E5977" t="s">
        <v>8508</v>
      </c>
      <c r="F5977">
        <v>3</v>
      </c>
      <c r="G5977">
        <v>2759052</v>
      </c>
      <c r="H5977" t="s">
        <v>8509</v>
      </c>
      <c r="J5977" s="54" t="s">
        <v>6052</v>
      </c>
      <c r="K5977" s="54">
        <v>0</v>
      </c>
      <c r="L5977" s="22" t="s">
        <v>36807</v>
      </c>
      <c r="M5977" s="22" t="s">
        <v>37291</v>
      </c>
    </row>
    <row r="5978" spans="1:13" x14ac:dyDescent="0.75">
      <c r="A5978" t="s">
        <v>7675</v>
      </c>
      <c r="B5978" t="s">
        <v>6167</v>
      </c>
      <c r="C5978" t="s">
        <v>6124</v>
      </c>
      <c r="D5978" t="s">
        <v>6168</v>
      </c>
      <c r="E5978" t="s">
        <v>7676</v>
      </c>
      <c r="F5978">
        <v>1</v>
      </c>
      <c r="G5978">
        <v>2832478</v>
      </c>
      <c r="H5978" t="s">
        <v>7677</v>
      </c>
      <c r="J5978" s="54" t="s">
        <v>6052</v>
      </c>
      <c r="K5978" s="54">
        <v>0</v>
      </c>
      <c r="L5978" s="22" t="s">
        <v>36807</v>
      </c>
      <c r="M5978" s="22" t="s">
        <v>37291</v>
      </c>
    </row>
    <row r="5979" spans="1:13" x14ac:dyDescent="0.75">
      <c r="A5979" t="s">
        <v>6460</v>
      </c>
      <c r="B5979" t="s">
        <v>6167</v>
      </c>
      <c r="C5979" t="s">
        <v>6124</v>
      </c>
      <c r="D5979" t="s">
        <v>6168</v>
      </c>
      <c r="E5979" t="s">
        <v>6461</v>
      </c>
      <c r="F5979">
        <v>4</v>
      </c>
      <c r="G5979">
        <v>2847542</v>
      </c>
      <c r="H5979" t="s">
        <v>6462</v>
      </c>
      <c r="J5979" s="54" t="s">
        <v>6052</v>
      </c>
      <c r="K5979" s="54">
        <v>0</v>
      </c>
      <c r="L5979" s="22" t="s">
        <v>36807</v>
      </c>
      <c r="M5979" s="22" t="s">
        <v>37291</v>
      </c>
    </row>
    <row r="5980" spans="1:13" x14ac:dyDescent="0.75">
      <c r="A5980" t="s">
        <v>23180</v>
      </c>
      <c r="B5980" t="s">
        <v>9016</v>
      </c>
      <c r="C5980" t="s">
        <v>6124</v>
      </c>
      <c r="D5980" t="s">
        <v>9017</v>
      </c>
      <c r="E5980" t="s">
        <v>23181</v>
      </c>
      <c r="F5980">
        <v>23</v>
      </c>
      <c r="G5980">
        <v>2552276</v>
      </c>
      <c r="H5980" t="s">
        <v>23182</v>
      </c>
      <c r="J5980" s="54" t="s">
        <v>6052</v>
      </c>
      <c r="K5980" s="54">
        <v>0</v>
      </c>
      <c r="L5980" s="22" t="s">
        <v>36806</v>
      </c>
      <c r="M5980" s="22" t="s">
        <v>37289</v>
      </c>
    </row>
    <row r="5981" spans="1:13" x14ac:dyDescent="0.75">
      <c r="A5981" t="s">
        <v>23183</v>
      </c>
      <c r="B5981" t="s">
        <v>9016</v>
      </c>
      <c r="C5981" t="s">
        <v>6124</v>
      </c>
      <c r="D5981" t="s">
        <v>9017</v>
      </c>
      <c r="E5981" t="s">
        <v>23184</v>
      </c>
      <c r="F5981">
        <v>22</v>
      </c>
      <c r="G5981">
        <v>2552706</v>
      </c>
      <c r="H5981" t="s">
        <v>23185</v>
      </c>
      <c r="J5981" s="54" t="s">
        <v>6052</v>
      </c>
      <c r="K5981" s="54">
        <v>0</v>
      </c>
      <c r="L5981" s="22" t="s">
        <v>36806</v>
      </c>
      <c r="M5981" s="22" t="s">
        <v>37289</v>
      </c>
    </row>
    <row r="5982" spans="1:13" x14ac:dyDescent="0.75">
      <c r="A5982" t="s">
        <v>23189</v>
      </c>
      <c r="B5982" t="s">
        <v>9016</v>
      </c>
      <c r="C5982" t="s">
        <v>6124</v>
      </c>
      <c r="D5982" t="s">
        <v>9017</v>
      </c>
      <c r="E5982" t="s">
        <v>23190</v>
      </c>
      <c r="F5982">
        <v>24</v>
      </c>
      <c r="G5982">
        <v>2609711</v>
      </c>
      <c r="H5982" t="s">
        <v>23191</v>
      </c>
      <c r="J5982" s="54" t="s">
        <v>6052</v>
      </c>
      <c r="K5982" s="54">
        <v>0</v>
      </c>
      <c r="L5982" s="22" t="s">
        <v>36806</v>
      </c>
      <c r="M5982" s="22" t="s">
        <v>37289</v>
      </c>
    </row>
    <row r="5983" spans="1:13" x14ac:dyDescent="0.75">
      <c r="A5983" t="s">
        <v>23153</v>
      </c>
      <c r="B5983" t="s">
        <v>9016</v>
      </c>
      <c r="C5983" t="s">
        <v>6124</v>
      </c>
      <c r="D5983" t="s">
        <v>9017</v>
      </c>
      <c r="E5983" t="s">
        <v>23154</v>
      </c>
      <c r="F5983">
        <v>41</v>
      </c>
      <c r="G5983">
        <v>2637367</v>
      </c>
      <c r="H5983" t="s">
        <v>23155</v>
      </c>
      <c r="J5983" s="54" t="s">
        <v>6052</v>
      </c>
      <c r="K5983" s="54">
        <v>0</v>
      </c>
      <c r="L5983" s="22" t="s">
        <v>36806</v>
      </c>
      <c r="M5983" s="22" t="s">
        <v>37289</v>
      </c>
    </row>
    <row r="5984" spans="1:13" x14ac:dyDescent="0.75">
      <c r="A5984" t="s">
        <v>23186</v>
      </c>
      <c r="B5984" t="s">
        <v>7155</v>
      </c>
      <c r="C5984" t="s">
        <v>6124</v>
      </c>
      <c r="D5984" t="s">
        <v>7156</v>
      </c>
      <c r="E5984" t="s">
        <v>23187</v>
      </c>
      <c r="F5984">
        <v>27</v>
      </c>
      <c r="G5984">
        <v>2406708</v>
      </c>
      <c r="H5984" t="s">
        <v>23188</v>
      </c>
      <c r="J5984" s="54" t="s">
        <v>6052</v>
      </c>
      <c r="K5984" s="54">
        <v>0</v>
      </c>
      <c r="L5984" s="22" t="s">
        <v>36806</v>
      </c>
      <c r="M5984" s="22" t="s">
        <v>37296</v>
      </c>
    </row>
    <row r="5985" spans="1:13" x14ac:dyDescent="0.75">
      <c r="A5985" t="s">
        <v>26479</v>
      </c>
      <c r="B5985" t="s">
        <v>6195</v>
      </c>
      <c r="C5985" t="s">
        <v>6124</v>
      </c>
      <c r="D5985" t="s">
        <v>6196</v>
      </c>
      <c r="E5985" t="s">
        <v>26480</v>
      </c>
      <c r="F5985">
        <v>1</v>
      </c>
      <c r="G5985">
        <v>2497780</v>
      </c>
      <c r="H5985" t="s">
        <v>26481</v>
      </c>
      <c r="J5985" s="54" t="s">
        <v>6052</v>
      </c>
      <c r="K5985" s="54">
        <v>0</v>
      </c>
      <c r="L5985" s="22" t="s">
        <v>36807</v>
      </c>
      <c r="M5985" s="22" t="s">
        <v>37288</v>
      </c>
    </row>
    <row r="5986" spans="1:13" x14ac:dyDescent="0.75">
      <c r="A5986" t="s">
        <v>20420</v>
      </c>
      <c r="B5986" t="s">
        <v>6894</v>
      </c>
      <c r="C5986" t="s">
        <v>6124</v>
      </c>
      <c r="D5986" t="s">
        <v>6895</v>
      </c>
      <c r="E5986" t="s">
        <v>20421</v>
      </c>
      <c r="F5986">
        <v>12</v>
      </c>
      <c r="G5986">
        <v>2636914</v>
      </c>
      <c r="H5986" t="s">
        <v>20422</v>
      </c>
      <c r="J5986" s="54" t="s">
        <v>6052</v>
      </c>
      <c r="K5986" s="54">
        <v>0</v>
      </c>
      <c r="L5986" s="22" t="s">
        <v>1563</v>
      </c>
      <c r="M5986" s="22" t="s">
        <v>37293</v>
      </c>
    </row>
    <row r="5987" spans="1:13" x14ac:dyDescent="0.75">
      <c r="A5987" t="s">
        <v>20411</v>
      </c>
      <c r="B5987" t="s">
        <v>9016</v>
      </c>
      <c r="C5987" t="s">
        <v>6124</v>
      </c>
      <c r="D5987" t="s">
        <v>9017</v>
      </c>
      <c r="E5987" t="s">
        <v>20412</v>
      </c>
      <c r="F5987">
        <v>26</v>
      </c>
      <c r="G5987">
        <v>2558875</v>
      </c>
      <c r="H5987" t="s">
        <v>20413</v>
      </c>
      <c r="J5987" s="54" t="s">
        <v>6052</v>
      </c>
      <c r="K5987" s="54">
        <v>0</v>
      </c>
      <c r="L5987" s="22" t="s">
        <v>36806</v>
      </c>
      <c r="M5987" s="22" t="s">
        <v>37289</v>
      </c>
    </row>
    <row r="5988" spans="1:13" x14ac:dyDescent="0.75">
      <c r="A5988" t="s">
        <v>20402</v>
      </c>
      <c r="B5988" t="s">
        <v>7155</v>
      </c>
      <c r="C5988" t="s">
        <v>6124</v>
      </c>
      <c r="D5988" t="s">
        <v>7156</v>
      </c>
      <c r="E5988" t="s">
        <v>20403</v>
      </c>
      <c r="F5988">
        <v>23</v>
      </c>
      <c r="G5988">
        <v>2502093</v>
      </c>
      <c r="H5988" t="s">
        <v>20404</v>
      </c>
      <c r="J5988" s="54" t="s">
        <v>6052</v>
      </c>
      <c r="K5988" s="54">
        <v>0</v>
      </c>
      <c r="L5988" s="22" t="s">
        <v>36806</v>
      </c>
      <c r="M5988" s="22" t="s">
        <v>37296</v>
      </c>
    </row>
    <row r="5989" spans="1:13" x14ac:dyDescent="0.75">
      <c r="A5989" t="s">
        <v>20396</v>
      </c>
      <c r="B5989" t="s">
        <v>7155</v>
      </c>
      <c r="C5989" t="s">
        <v>6124</v>
      </c>
      <c r="D5989" t="s">
        <v>7156</v>
      </c>
      <c r="E5989" t="s">
        <v>20397</v>
      </c>
      <c r="F5989">
        <v>17</v>
      </c>
      <c r="G5989">
        <v>2451586</v>
      </c>
      <c r="H5989" t="s">
        <v>20398</v>
      </c>
      <c r="J5989" s="54" t="s">
        <v>6052</v>
      </c>
      <c r="K5989" s="54">
        <v>0</v>
      </c>
      <c r="L5989" s="22" t="s">
        <v>36806</v>
      </c>
      <c r="M5989" s="22" t="s">
        <v>37296</v>
      </c>
    </row>
    <row r="5990" spans="1:13" x14ac:dyDescent="0.75">
      <c r="A5990" t="s">
        <v>21119</v>
      </c>
      <c r="B5990" t="s">
        <v>6195</v>
      </c>
      <c r="C5990" t="s">
        <v>6124</v>
      </c>
      <c r="D5990" t="s">
        <v>6196</v>
      </c>
      <c r="E5990" t="s">
        <v>21120</v>
      </c>
      <c r="F5990">
        <v>3</v>
      </c>
      <c r="G5990">
        <v>2568751</v>
      </c>
      <c r="H5990" t="s">
        <v>21121</v>
      </c>
      <c r="J5990" s="54" t="s">
        <v>6052</v>
      </c>
      <c r="K5990" s="54">
        <v>0</v>
      </c>
      <c r="L5990" s="22" t="s">
        <v>36807</v>
      </c>
      <c r="M5990" s="22" t="s">
        <v>37288</v>
      </c>
    </row>
    <row r="5991" spans="1:13" x14ac:dyDescent="0.75">
      <c r="A5991" t="s">
        <v>20127</v>
      </c>
      <c r="B5991" t="s">
        <v>10958</v>
      </c>
      <c r="C5991" t="s">
        <v>6124</v>
      </c>
      <c r="D5991" t="s">
        <v>6928</v>
      </c>
      <c r="E5991" t="s">
        <v>20128</v>
      </c>
      <c r="F5991">
        <v>18</v>
      </c>
      <c r="G5991">
        <v>2678023</v>
      </c>
      <c r="H5991" t="s">
        <v>20129</v>
      </c>
      <c r="J5991" s="54" t="s">
        <v>6052</v>
      </c>
      <c r="K5991" s="54">
        <v>0</v>
      </c>
      <c r="L5991" s="22" t="s">
        <v>36806</v>
      </c>
      <c r="M5991" s="22" t="s">
        <v>37292</v>
      </c>
    </row>
    <row r="5992" spans="1:13" x14ac:dyDescent="0.75">
      <c r="A5992" t="s">
        <v>20115</v>
      </c>
      <c r="B5992" t="s">
        <v>13969</v>
      </c>
      <c r="C5992" t="s">
        <v>6124</v>
      </c>
      <c r="D5992" t="s">
        <v>13970</v>
      </c>
      <c r="E5992" t="s">
        <v>20116</v>
      </c>
      <c r="F5992">
        <v>2</v>
      </c>
      <c r="G5992">
        <v>2484808</v>
      </c>
      <c r="H5992" t="s">
        <v>20117</v>
      </c>
      <c r="J5992" s="54" t="s">
        <v>6052</v>
      </c>
      <c r="K5992" s="54">
        <v>0</v>
      </c>
      <c r="L5992" s="22" t="s">
        <v>1563</v>
      </c>
      <c r="M5992" s="22" t="s">
        <v>37298</v>
      </c>
    </row>
    <row r="5993" spans="1:13" x14ac:dyDescent="0.75">
      <c r="A5993" t="s">
        <v>20242</v>
      </c>
      <c r="B5993" t="s">
        <v>13969</v>
      </c>
      <c r="C5993" t="s">
        <v>6124</v>
      </c>
      <c r="D5993" t="s">
        <v>13970</v>
      </c>
      <c r="E5993" t="s">
        <v>20243</v>
      </c>
      <c r="F5993">
        <v>5</v>
      </c>
      <c r="G5993">
        <v>2226788</v>
      </c>
      <c r="H5993" t="s">
        <v>20244</v>
      </c>
      <c r="J5993" s="54" t="s">
        <v>6052</v>
      </c>
      <c r="K5993" s="54">
        <v>0</v>
      </c>
      <c r="L5993" s="22" t="s">
        <v>1563</v>
      </c>
      <c r="M5993" s="22" t="s">
        <v>37298</v>
      </c>
    </row>
    <row r="5994" spans="1:13" x14ac:dyDescent="0.75">
      <c r="A5994" t="s">
        <v>20062</v>
      </c>
      <c r="B5994" t="s">
        <v>13747</v>
      </c>
      <c r="C5994" t="s">
        <v>6124</v>
      </c>
      <c r="D5994" t="s">
        <v>13748</v>
      </c>
      <c r="E5994" t="s">
        <v>20063</v>
      </c>
      <c r="F5994">
        <v>2</v>
      </c>
      <c r="G5994">
        <v>2493628</v>
      </c>
      <c r="H5994" t="s">
        <v>20064</v>
      </c>
      <c r="J5994" s="54" t="s">
        <v>6052</v>
      </c>
      <c r="K5994" s="54">
        <v>0</v>
      </c>
      <c r="L5994" s="22" t="s">
        <v>1563</v>
      </c>
      <c r="M5994" s="22" t="s">
        <v>37300</v>
      </c>
    </row>
    <row r="5995" spans="1:13" x14ac:dyDescent="0.75">
      <c r="A5995" t="s">
        <v>20044</v>
      </c>
      <c r="B5995" t="s">
        <v>16379</v>
      </c>
      <c r="C5995" t="s">
        <v>6124</v>
      </c>
      <c r="D5995" t="s">
        <v>9445</v>
      </c>
      <c r="E5995" t="s">
        <v>20045</v>
      </c>
      <c r="F5995">
        <v>1</v>
      </c>
      <c r="G5995">
        <v>2346516</v>
      </c>
      <c r="H5995" t="s">
        <v>20046</v>
      </c>
      <c r="J5995" s="54" t="s">
        <v>6052</v>
      </c>
      <c r="K5995" s="54">
        <v>0</v>
      </c>
      <c r="L5995" s="22" t="s">
        <v>36806</v>
      </c>
      <c r="M5995" s="22" t="s">
        <v>37295</v>
      </c>
    </row>
    <row r="5996" spans="1:13" x14ac:dyDescent="0.75">
      <c r="A5996" t="s">
        <v>20206</v>
      </c>
      <c r="B5996" t="s">
        <v>6167</v>
      </c>
      <c r="C5996" t="s">
        <v>6124</v>
      </c>
      <c r="D5996" t="s">
        <v>6168</v>
      </c>
      <c r="E5996" t="s">
        <v>20207</v>
      </c>
      <c r="F5996">
        <v>2</v>
      </c>
      <c r="G5996">
        <v>2776467</v>
      </c>
      <c r="H5996" t="s">
        <v>20208</v>
      </c>
      <c r="J5996" s="54" t="s">
        <v>6052</v>
      </c>
      <c r="K5996" s="54">
        <v>0</v>
      </c>
      <c r="L5996" s="22" t="s">
        <v>36807</v>
      </c>
      <c r="M5996" s="22" t="s">
        <v>37291</v>
      </c>
    </row>
    <row r="5997" spans="1:13" x14ac:dyDescent="0.75">
      <c r="A5997" t="s">
        <v>20192</v>
      </c>
      <c r="B5997" t="s">
        <v>13969</v>
      </c>
      <c r="C5997" t="s">
        <v>6124</v>
      </c>
      <c r="D5997" t="s">
        <v>13970</v>
      </c>
      <c r="E5997" t="s">
        <v>20193</v>
      </c>
      <c r="F5997">
        <v>4</v>
      </c>
      <c r="G5997">
        <v>2634722</v>
      </c>
      <c r="H5997" t="s">
        <v>20194</v>
      </c>
      <c r="J5997" s="54" t="s">
        <v>6052</v>
      </c>
      <c r="K5997" s="54">
        <v>0</v>
      </c>
      <c r="L5997" s="22" t="s">
        <v>1563</v>
      </c>
      <c r="M5997" s="22" t="s">
        <v>37298</v>
      </c>
    </row>
    <row r="5998" spans="1:13" x14ac:dyDescent="0.75">
      <c r="A5998" t="s">
        <v>20189</v>
      </c>
      <c r="B5998" t="s">
        <v>13969</v>
      </c>
      <c r="C5998" t="s">
        <v>6124</v>
      </c>
      <c r="D5998" t="s">
        <v>13970</v>
      </c>
      <c r="E5998" t="s">
        <v>20190</v>
      </c>
      <c r="F5998">
        <v>3</v>
      </c>
      <c r="G5998">
        <v>2556308</v>
      </c>
      <c r="H5998" t="s">
        <v>20191</v>
      </c>
      <c r="J5998" s="54" t="s">
        <v>6052</v>
      </c>
      <c r="K5998" s="54">
        <v>0</v>
      </c>
      <c r="L5998" s="22" t="s">
        <v>1563</v>
      </c>
      <c r="M5998" s="22" t="s">
        <v>37298</v>
      </c>
    </row>
    <row r="5999" spans="1:13" x14ac:dyDescent="0.75">
      <c r="A5999" t="s">
        <v>20312</v>
      </c>
      <c r="B5999" t="s">
        <v>13969</v>
      </c>
      <c r="C5999" t="s">
        <v>6124</v>
      </c>
      <c r="D5999" t="s">
        <v>13970</v>
      </c>
      <c r="E5999" t="s">
        <v>20313</v>
      </c>
      <c r="F5999">
        <v>5</v>
      </c>
      <c r="G5999">
        <v>2687438</v>
      </c>
      <c r="H5999" t="s">
        <v>20314</v>
      </c>
      <c r="J5999" s="54" t="s">
        <v>6052</v>
      </c>
      <c r="K5999" s="54">
        <v>0</v>
      </c>
      <c r="L5999" s="22" t="s">
        <v>1563</v>
      </c>
      <c r="M5999" s="22" t="s">
        <v>37298</v>
      </c>
    </row>
    <row r="6000" spans="1:13" x14ac:dyDescent="0.75">
      <c r="A6000" t="s">
        <v>20319</v>
      </c>
      <c r="B6000" t="s">
        <v>6123</v>
      </c>
      <c r="C6000" t="s">
        <v>6124</v>
      </c>
      <c r="D6000" t="s">
        <v>6125</v>
      </c>
      <c r="E6000" t="s">
        <v>20320</v>
      </c>
      <c r="F6000">
        <v>7</v>
      </c>
      <c r="G6000">
        <v>2534934</v>
      </c>
      <c r="H6000" t="s">
        <v>20321</v>
      </c>
      <c r="J6000" s="54" t="s">
        <v>6052</v>
      </c>
      <c r="K6000" s="54">
        <v>0</v>
      </c>
      <c r="L6000" s="22" t="s">
        <v>36806</v>
      </c>
      <c r="M6000" s="22" t="s">
        <v>37290</v>
      </c>
    </row>
    <row r="6001" spans="1:13" x14ac:dyDescent="0.75">
      <c r="A6001" t="s">
        <v>11765</v>
      </c>
      <c r="B6001" t="s">
        <v>6195</v>
      </c>
      <c r="C6001" t="s">
        <v>6124</v>
      </c>
      <c r="D6001" t="s">
        <v>6196</v>
      </c>
      <c r="E6001" t="s">
        <v>11766</v>
      </c>
      <c r="F6001">
        <v>2</v>
      </c>
      <c r="G6001">
        <v>2695523</v>
      </c>
      <c r="H6001" t="s">
        <v>11767</v>
      </c>
      <c r="J6001" s="54" t="s">
        <v>6052</v>
      </c>
      <c r="K6001" s="54">
        <v>0</v>
      </c>
      <c r="L6001" s="22" t="s">
        <v>36807</v>
      </c>
      <c r="M6001" s="22" t="s">
        <v>37288</v>
      </c>
    </row>
    <row r="6002" spans="1:13" x14ac:dyDescent="0.75">
      <c r="A6002" t="s">
        <v>14640</v>
      </c>
      <c r="B6002" t="s">
        <v>10958</v>
      </c>
      <c r="C6002" t="s">
        <v>6124</v>
      </c>
      <c r="D6002" t="s">
        <v>6928</v>
      </c>
      <c r="E6002" t="s">
        <v>14641</v>
      </c>
      <c r="F6002">
        <v>7</v>
      </c>
      <c r="G6002">
        <v>2268051</v>
      </c>
      <c r="H6002" t="s">
        <v>14642</v>
      </c>
      <c r="J6002" s="54" t="s">
        <v>6052</v>
      </c>
      <c r="K6002" s="54">
        <v>0</v>
      </c>
      <c r="L6002" s="22" t="s">
        <v>36806</v>
      </c>
      <c r="M6002" s="22" t="s">
        <v>37292</v>
      </c>
    </row>
    <row r="6003" spans="1:13" x14ac:dyDescent="0.75">
      <c r="A6003" t="s">
        <v>20364</v>
      </c>
      <c r="B6003" t="s">
        <v>6123</v>
      </c>
      <c r="C6003" t="s">
        <v>6124</v>
      </c>
      <c r="D6003" t="s">
        <v>6125</v>
      </c>
      <c r="E6003" t="s">
        <v>20365</v>
      </c>
      <c r="F6003">
        <v>4</v>
      </c>
      <c r="G6003">
        <v>2509593</v>
      </c>
      <c r="H6003" t="s">
        <v>20366</v>
      </c>
      <c r="J6003" s="54" t="s">
        <v>6052</v>
      </c>
      <c r="K6003" s="54">
        <v>0</v>
      </c>
      <c r="L6003" s="22" t="s">
        <v>36806</v>
      </c>
      <c r="M6003" s="22" t="s">
        <v>37290</v>
      </c>
    </row>
    <row r="6004" spans="1:13" x14ac:dyDescent="0.75">
      <c r="A6004" t="s">
        <v>20367</v>
      </c>
      <c r="B6004" t="s">
        <v>6123</v>
      </c>
      <c r="C6004" t="s">
        <v>6124</v>
      </c>
      <c r="D6004" t="s">
        <v>6125</v>
      </c>
      <c r="E6004" t="s">
        <v>20368</v>
      </c>
      <c r="F6004">
        <v>3</v>
      </c>
      <c r="G6004">
        <v>2448657</v>
      </c>
      <c r="H6004" t="s">
        <v>20369</v>
      </c>
      <c r="J6004" s="54" t="s">
        <v>6052</v>
      </c>
      <c r="K6004" s="54">
        <v>0</v>
      </c>
      <c r="L6004" s="22" t="s">
        <v>36806</v>
      </c>
      <c r="M6004" s="22" t="s">
        <v>37290</v>
      </c>
    </row>
    <row r="6005" spans="1:13" x14ac:dyDescent="0.75">
      <c r="A6005" t="s">
        <v>11956</v>
      </c>
      <c r="B6005" t="s">
        <v>6475</v>
      </c>
      <c r="C6005" t="s">
        <v>6124</v>
      </c>
      <c r="D6005" t="s">
        <v>6476</v>
      </c>
      <c r="E6005" t="s">
        <v>11957</v>
      </c>
      <c r="F6005">
        <v>1</v>
      </c>
      <c r="G6005">
        <v>2571829</v>
      </c>
      <c r="H6005" t="s">
        <v>11958</v>
      </c>
      <c r="J6005" s="54" t="s">
        <v>6052</v>
      </c>
      <c r="K6005" s="54">
        <v>0</v>
      </c>
      <c r="L6005" s="22" t="s">
        <v>1563</v>
      </c>
      <c r="M6005" s="22" t="s">
        <v>37294</v>
      </c>
    </row>
    <row r="6006" spans="1:13" x14ac:dyDescent="0.75">
      <c r="A6006" t="s">
        <v>11959</v>
      </c>
      <c r="B6006" t="s">
        <v>6475</v>
      </c>
      <c r="C6006" t="s">
        <v>6124</v>
      </c>
      <c r="D6006" t="s">
        <v>6476</v>
      </c>
      <c r="E6006" t="s">
        <v>11960</v>
      </c>
      <c r="F6006">
        <v>1</v>
      </c>
      <c r="G6006">
        <v>2613879</v>
      </c>
      <c r="H6006" t="s">
        <v>11961</v>
      </c>
      <c r="J6006" s="54" t="s">
        <v>6052</v>
      </c>
      <c r="K6006" s="54">
        <v>0</v>
      </c>
      <c r="L6006" s="22" t="s">
        <v>1563</v>
      </c>
      <c r="M6006" s="22" t="s">
        <v>37294</v>
      </c>
    </row>
    <row r="6007" spans="1:13" x14ac:dyDescent="0.75">
      <c r="A6007" t="s">
        <v>11774</v>
      </c>
      <c r="B6007" t="s">
        <v>9016</v>
      </c>
      <c r="C6007" t="s">
        <v>6124</v>
      </c>
      <c r="D6007" t="s">
        <v>9017</v>
      </c>
      <c r="E6007" t="s">
        <v>11775</v>
      </c>
      <c r="F6007">
        <v>3</v>
      </c>
      <c r="G6007">
        <v>2589814</v>
      </c>
      <c r="H6007" t="s">
        <v>11776</v>
      </c>
      <c r="J6007" s="54" t="s">
        <v>6052</v>
      </c>
      <c r="K6007" s="54">
        <v>0</v>
      </c>
      <c r="L6007" s="22" t="s">
        <v>36806</v>
      </c>
      <c r="M6007" s="22" t="s">
        <v>37289</v>
      </c>
    </row>
    <row r="6008" spans="1:13" x14ac:dyDescent="0.75">
      <c r="A6008" t="s">
        <v>14618</v>
      </c>
      <c r="B6008" t="s">
        <v>6123</v>
      </c>
      <c r="C6008" t="s">
        <v>6124</v>
      </c>
      <c r="D6008" t="s">
        <v>6125</v>
      </c>
      <c r="E6008" t="s">
        <v>14619</v>
      </c>
      <c r="F6008">
        <v>5</v>
      </c>
      <c r="G6008">
        <v>2551965</v>
      </c>
      <c r="H6008" t="s">
        <v>14620</v>
      </c>
      <c r="J6008" s="54" t="s">
        <v>6052</v>
      </c>
      <c r="K6008" s="54">
        <v>0</v>
      </c>
      <c r="L6008" s="22" t="s">
        <v>36806</v>
      </c>
      <c r="M6008" s="22" t="s">
        <v>37290</v>
      </c>
    </row>
    <row r="6009" spans="1:13" x14ac:dyDescent="0.75">
      <c r="A6009" t="s">
        <v>14637</v>
      </c>
      <c r="B6009" t="s">
        <v>6123</v>
      </c>
      <c r="C6009" t="s">
        <v>6124</v>
      </c>
      <c r="D6009" t="s">
        <v>6125</v>
      </c>
      <c r="E6009" t="s">
        <v>14638</v>
      </c>
      <c r="F6009">
        <v>3</v>
      </c>
      <c r="G6009">
        <v>2515734</v>
      </c>
      <c r="H6009" t="s">
        <v>14639</v>
      </c>
      <c r="J6009" s="54" t="s">
        <v>6052</v>
      </c>
      <c r="K6009" s="54">
        <v>0</v>
      </c>
      <c r="L6009" s="22" t="s">
        <v>36806</v>
      </c>
      <c r="M6009" s="22" t="s">
        <v>37290</v>
      </c>
    </row>
    <row r="6010" spans="1:13" x14ac:dyDescent="0.75">
      <c r="A6010" t="s">
        <v>11768</v>
      </c>
      <c r="B6010" t="s">
        <v>7155</v>
      </c>
      <c r="C6010" t="s">
        <v>6124</v>
      </c>
      <c r="D6010" t="s">
        <v>7156</v>
      </c>
      <c r="E6010" t="s">
        <v>11769</v>
      </c>
      <c r="F6010">
        <v>4</v>
      </c>
      <c r="G6010">
        <v>2602552</v>
      </c>
      <c r="H6010" t="s">
        <v>11770</v>
      </c>
      <c r="J6010" s="54" t="s">
        <v>6052</v>
      </c>
      <c r="K6010" s="54">
        <v>0</v>
      </c>
      <c r="L6010" s="22" t="s">
        <v>36806</v>
      </c>
      <c r="M6010" s="22" t="s">
        <v>37296</v>
      </c>
    </row>
    <row r="6011" spans="1:13" x14ac:dyDescent="0.75">
      <c r="A6011" t="s">
        <v>13404</v>
      </c>
      <c r="B6011" t="s">
        <v>6475</v>
      </c>
      <c r="C6011" t="s">
        <v>6124</v>
      </c>
      <c r="D6011" t="s">
        <v>6476</v>
      </c>
      <c r="E6011" t="s">
        <v>13405</v>
      </c>
      <c r="F6011">
        <v>1</v>
      </c>
      <c r="G6011">
        <v>2540323</v>
      </c>
      <c r="H6011" t="s">
        <v>13406</v>
      </c>
      <c r="J6011" s="54" t="s">
        <v>6052</v>
      </c>
      <c r="K6011" s="54">
        <v>0</v>
      </c>
      <c r="L6011" s="22" t="s">
        <v>1563</v>
      </c>
      <c r="M6011" s="22" t="s">
        <v>37294</v>
      </c>
    </row>
    <row r="6012" spans="1:13" x14ac:dyDescent="0.75">
      <c r="A6012" t="s">
        <v>13746</v>
      </c>
      <c r="B6012" t="s">
        <v>13747</v>
      </c>
      <c r="C6012" t="s">
        <v>6124</v>
      </c>
      <c r="D6012" t="s">
        <v>13748</v>
      </c>
      <c r="E6012" t="s">
        <v>13749</v>
      </c>
      <c r="F6012">
        <v>1</v>
      </c>
      <c r="G6012">
        <v>2502360</v>
      </c>
      <c r="H6012" t="s">
        <v>13750</v>
      </c>
      <c r="J6012" s="54" t="s">
        <v>6052</v>
      </c>
      <c r="K6012" s="54">
        <v>0</v>
      </c>
      <c r="L6012" s="22" t="s">
        <v>1563</v>
      </c>
      <c r="M6012" s="22" t="s">
        <v>37300</v>
      </c>
    </row>
    <row r="6013" spans="1:13" x14ac:dyDescent="0.75">
      <c r="A6013" t="s">
        <v>13954</v>
      </c>
      <c r="B6013" t="s">
        <v>6475</v>
      </c>
      <c r="C6013" t="s">
        <v>6124</v>
      </c>
      <c r="D6013" t="s">
        <v>6476</v>
      </c>
      <c r="E6013" t="s">
        <v>13955</v>
      </c>
      <c r="F6013">
        <v>1</v>
      </c>
      <c r="G6013">
        <v>2571633</v>
      </c>
      <c r="H6013" t="s">
        <v>13956</v>
      </c>
      <c r="J6013" s="54" t="s">
        <v>6052</v>
      </c>
      <c r="K6013" s="54">
        <v>0</v>
      </c>
      <c r="L6013" s="22" t="s">
        <v>1563</v>
      </c>
      <c r="M6013" s="22" t="s">
        <v>37294</v>
      </c>
    </row>
    <row r="6014" spans="1:13" x14ac:dyDescent="0.75">
      <c r="A6014" t="s">
        <v>14051</v>
      </c>
      <c r="B6014" t="s">
        <v>7155</v>
      </c>
      <c r="C6014" t="s">
        <v>6124</v>
      </c>
      <c r="D6014" t="s">
        <v>7156</v>
      </c>
      <c r="E6014" t="s">
        <v>14052</v>
      </c>
      <c r="F6014">
        <v>2</v>
      </c>
      <c r="G6014">
        <v>2485152</v>
      </c>
      <c r="H6014" t="s">
        <v>14053</v>
      </c>
      <c r="J6014" s="54" t="s">
        <v>6052</v>
      </c>
      <c r="K6014" s="54">
        <v>0</v>
      </c>
      <c r="L6014" s="22" t="s">
        <v>36806</v>
      </c>
      <c r="M6014" s="22" t="s">
        <v>37296</v>
      </c>
    </row>
    <row r="6015" spans="1:13" x14ac:dyDescent="0.75">
      <c r="A6015" t="s">
        <v>14054</v>
      </c>
      <c r="B6015" t="s">
        <v>6475</v>
      </c>
      <c r="C6015" t="s">
        <v>6124</v>
      </c>
      <c r="D6015" t="s">
        <v>6476</v>
      </c>
      <c r="E6015" t="s">
        <v>14055</v>
      </c>
      <c r="F6015">
        <v>2</v>
      </c>
      <c r="G6015">
        <v>2570702</v>
      </c>
      <c r="H6015" t="s">
        <v>14056</v>
      </c>
      <c r="J6015" s="54" t="s">
        <v>6052</v>
      </c>
      <c r="K6015" s="54">
        <v>0</v>
      </c>
      <c r="L6015" s="22" t="s">
        <v>1563</v>
      </c>
      <c r="M6015" s="22" t="s">
        <v>37294</v>
      </c>
    </row>
    <row r="6016" spans="1:13" x14ac:dyDescent="0.75">
      <c r="A6016" t="s">
        <v>10901</v>
      </c>
      <c r="B6016" t="s">
        <v>9016</v>
      </c>
      <c r="C6016" t="s">
        <v>6124</v>
      </c>
      <c r="D6016" t="s">
        <v>9017</v>
      </c>
      <c r="E6016" t="s">
        <v>10902</v>
      </c>
      <c r="F6016">
        <v>6</v>
      </c>
      <c r="G6016">
        <v>2598175</v>
      </c>
      <c r="H6016" t="s">
        <v>10903</v>
      </c>
      <c r="J6016" s="54" t="s">
        <v>6052</v>
      </c>
      <c r="K6016" s="54">
        <v>0</v>
      </c>
      <c r="L6016" s="22" t="s">
        <v>36806</v>
      </c>
      <c r="M6016" s="22" t="s">
        <v>37289</v>
      </c>
    </row>
    <row r="6017" spans="1:13" x14ac:dyDescent="0.75">
      <c r="A6017" t="s">
        <v>16349</v>
      </c>
      <c r="B6017" t="s">
        <v>6195</v>
      </c>
      <c r="C6017" t="s">
        <v>6124</v>
      </c>
      <c r="D6017" t="s">
        <v>6196</v>
      </c>
      <c r="E6017" t="s">
        <v>16350</v>
      </c>
      <c r="F6017">
        <v>3</v>
      </c>
      <c r="G6017">
        <v>2669504</v>
      </c>
      <c r="H6017" t="s">
        <v>16351</v>
      </c>
      <c r="J6017" s="54" t="s">
        <v>6052</v>
      </c>
      <c r="K6017" s="54">
        <v>0</v>
      </c>
      <c r="L6017" s="22" t="s">
        <v>36807</v>
      </c>
      <c r="M6017" s="22" t="s">
        <v>37288</v>
      </c>
    </row>
    <row r="6018" spans="1:13" x14ac:dyDescent="0.75">
      <c r="A6018" t="s">
        <v>16038</v>
      </c>
      <c r="B6018" t="s">
        <v>6123</v>
      </c>
      <c r="C6018" t="s">
        <v>6124</v>
      </c>
      <c r="D6018" t="s">
        <v>6125</v>
      </c>
      <c r="E6018" t="s">
        <v>16039</v>
      </c>
      <c r="F6018">
        <v>3</v>
      </c>
      <c r="G6018">
        <v>2577406</v>
      </c>
      <c r="H6018" t="s">
        <v>16040</v>
      </c>
      <c r="J6018" s="54" t="s">
        <v>6052</v>
      </c>
      <c r="K6018" s="54">
        <v>0</v>
      </c>
      <c r="L6018" s="22" t="s">
        <v>36806</v>
      </c>
      <c r="M6018" s="22" t="s">
        <v>37290</v>
      </c>
    </row>
    <row r="6019" spans="1:13" x14ac:dyDescent="0.75">
      <c r="A6019" t="s">
        <v>16352</v>
      </c>
      <c r="B6019" t="s">
        <v>14467</v>
      </c>
      <c r="C6019" t="s">
        <v>6124</v>
      </c>
      <c r="D6019" t="s">
        <v>14468</v>
      </c>
      <c r="E6019" t="s">
        <v>16353</v>
      </c>
      <c r="F6019">
        <v>2</v>
      </c>
      <c r="G6019">
        <v>2700845</v>
      </c>
      <c r="H6019" t="s">
        <v>16354</v>
      </c>
      <c r="J6019" s="54" t="s">
        <v>6052</v>
      </c>
      <c r="K6019" s="54">
        <v>0</v>
      </c>
      <c r="L6019" s="22" t="s">
        <v>1563</v>
      </c>
      <c r="M6019" s="22" t="s">
        <v>37301</v>
      </c>
    </row>
    <row r="6020" spans="1:13" x14ac:dyDescent="0.75">
      <c r="A6020" t="s">
        <v>16041</v>
      </c>
      <c r="B6020" t="s">
        <v>10958</v>
      </c>
      <c r="C6020" t="s">
        <v>6124</v>
      </c>
      <c r="D6020" t="s">
        <v>6928</v>
      </c>
      <c r="E6020" t="s">
        <v>16042</v>
      </c>
      <c r="F6020">
        <v>3</v>
      </c>
      <c r="G6020">
        <v>2257431</v>
      </c>
      <c r="H6020" t="s">
        <v>16043</v>
      </c>
      <c r="J6020" s="54" t="s">
        <v>6052</v>
      </c>
      <c r="K6020" s="54">
        <v>0</v>
      </c>
      <c r="L6020" s="22" t="s">
        <v>36806</v>
      </c>
      <c r="M6020" s="22" t="s">
        <v>37292</v>
      </c>
    </row>
    <row r="6021" spans="1:13" x14ac:dyDescent="0.75">
      <c r="A6021" t="s">
        <v>18201</v>
      </c>
      <c r="B6021" t="s">
        <v>10958</v>
      </c>
      <c r="C6021" t="s">
        <v>6124</v>
      </c>
      <c r="D6021" t="s">
        <v>6928</v>
      </c>
      <c r="E6021" t="s">
        <v>18202</v>
      </c>
      <c r="F6021">
        <v>3</v>
      </c>
      <c r="G6021">
        <v>2359666</v>
      </c>
      <c r="H6021" t="s">
        <v>18203</v>
      </c>
      <c r="J6021" s="54" t="s">
        <v>6052</v>
      </c>
      <c r="K6021" s="54">
        <v>0</v>
      </c>
      <c r="L6021" s="22" t="s">
        <v>36806</v>
      </c>
      <c r="M6021" s="22" t="s">
        <v>37292</v>
      </c>
    </row>
    <row r="6022" spans="1:13" x14ac:dyDescent="0.75">
      <c r="A6022" t="s">
        <v>17893</v>
      </c>
      <c r="B6022" t="s">
        <v>10958</v>
      </c>
      <c r="C6022" t="s">
        <v>6124</v>
      </c>
      <c r="D6022" t="s">
        <v>6928</v>
      </c>
      <c r="E6022" t="s">
        <v>17894</v>
      </c>
      <c r="F6022">
        <v>3</v>
      </c>
      <c r="G6022">
        <v>2372192</v>
      </c>
      <c r="H6022" t="s">
        <v>17895</v>
      </c>
      <c r="J6022" s="54" t="s">
        <v>6052</v>
      </c>
      <c r="K6022" s="54">
        <v>0</v>
      </c>
      <c r="L6022" s="22" t="s">
        <v>36806</v>
      </c>
      <c r="M6022" s="22" t="s">
        <v>37292</v>
      </c>
    </row>
    <row r="6023" spans="1:13" x14ac:dyDescent="0.75">
      <c r="A6023" t="s">
        <v>17890</v>
      </c>
      <c r="B6023" t="s">
        <v>10958</v>
      </c>
      <c r="C6023" t="s">
        <v>6124</v>
      </c>
      <c r="D6023" t="s">
        <v>6928</v>
      </c>
      <c r="E6023" t="s">
        <v>17891</v>
      </c>
      <c r="F6023">
        <v>4</v>
      </c>
      <c r="G6023">
        <v>2242116</v>
      </c>
      <c r="H6023" t="s">
        <v>17892</v>
      </c>
      <c r="J6023" s="54" t="s">
        <v>6052</v>
      </c>
      <c r="K6023" s="54">
        <v>0</v>
      </c>
      <c r="L6023" s="22" t="s">
        <v>36806</v>
      </c>
      <c r="M6023" s="22" t="s">
        <v>37292</v>
      </c>
    </row>
    <row r="6024" spans="1:13" x14ac:dyDescent="0.75">
      <c r="A6024" t="s">
        <v>18695</v>
      </c>
      <c r="B6024" t="s">
        <v>10958</v>
      </c>
      <c r="C6024" t="s">
        <v>6124</v>
      </c>
      <c r="D6024" t="s">
        <v>6928</v>
      </c>
      <c r="E6024" t="s">
        <v>18696</v>
      </c>
      <c r="F6024">
        <v>5</v>
      </c>
      <c r="G6024">
        <v>2338044</v>
      </c>
      <c r="H6024" t="s">
        <v>18697</v>
      </c>
      <c r="J6024" s="54" t="s">
        <v>6052</v>
      </c>
      <c r="K6024" s="54">
        <v>0</v>
      </c>
      <c r="L6024" s="22" t="s">
        <v>36806</v>
      </c>
      <c r="M6024" s="22" t="s">
        <v>37292</v>
      </c>
    </row>
    <row r="6025" spans="1:13" x14ac:dyDescent="0.75">
      <c r="A6025" t="s">
        <v>18474</v>
      </c>
      <c r="B6025" t="s">
        <v>7155</v>
      </c>
      <c r="C6025" t="s">
        <v>6124</v>
      </c>
      <c r="D6025" t="s">
        <v>7156</v>
      </c>
      <c r="E6025" t="s">
        <v>18475</v>
      </c>
      <c r="F6025">
        <v>4</v>
      </c>
      <c r="G6025">
        <v>2490953</v>
      </c>
      <c r="H6025" t="s">
        <v>18476</v>
      </c>
      <c r="J6025" s="54" t="s">
        <v>6052</v>
      </c>
      <c r="K6025" s="54">
        <v>0</v>
      </c>
      <c r="L6025" s="22" t="s">
        <v>36806</v>
      </c>
      <c r="M6025" s="22" t="s">
        <v>37296</v>
      </c>
    </row>
    <row r="6026" spans="1:13" x14ac:dyDescent="0.75">
      <c r="A6026" t="s">
        <v>18477</v>
      </c>
      <c r="B6026" t="s">
        <v>9016</v>
      </c>
      <c r="C6026" t="s">
        <v>6124</v>
      </c>
      <c r="D6026" t="s">
        <v>9017</v>
      </c>
      <c r="E6026" t="s">
        <v>18478</v>
      </c>
      <c r="F6026">
        <v>2</v>
      </c>
      <c r="G6026">
        <v>2460001</v>
      </c>
      <c r="H6026" t="s">
        <v>18479</v>
      </c>
      <c r="J6026" s="54" t="s">
        <v>6052</v>
      </c>
      <c r="K6026" s="54">
        <v>0</v>
      </c>
      <c r="L6026" s="22" t="s">
        <v>36806</v>
      </c>
      <c r="M6026" s="22" t="s">
        <v>37289</v>
      </c>
    </row>
    <row r="6027" spans="1:13" x14ac:dyDescent="0.75">
      <c r="A6027" t="s">
        <v>18467</v>
      </c>
      <c r="B6027" t="s">
        <v>10958</v>
      </c>
      <c r="C6027" t="s">
        <v>6124</v>
      </c>
      <c r="D6027" t="s">
        <v>6928</v>
      </c>
      <c r="E6027" t="s">
        <v>18468</v>
      </c>
      <c r="F6027">
        <v>5</v>
      </c>
      <c r="G6027">
        <v>2255507</v>
      </c>
      <c r="H6027" t="s">
        <v>18469</v>
      </c>
      <c r="J6027" s="54" t="s">
        <v>6052</v>
      </c>
      <c r="K6027" s="54">
        <v>0</v>
      </c>
      <c r="L6027" s="22" t="s">
        <v>36806</v>
      </c>
      <c r="M6027" s="22" t="s">
        <v>37292</v>
      </c>
    </row>
    <row r="6028" spans="1:13" x14ac:dyDescent="0.75">
      <c r="A6028" t="s">
        <v>16966</v>
      </c>
      <c r="B6028" t="s">
        <v>6167</v>
      </c>
      <c r="C6028" t="s">
        <v>6124</v>
      </c>
      <c r="D6028" t="s">
        <v>6168</v>
      </c>
      <c r="E6028" t="s">
        <v>16967</v>
      </c>
      <c r="F6028">
        <v>3</v>
      </c>
      <c r="G6028">
        <v>2787057</v>
      </c>
      <c r="H6028" t="s">
        <v>16968</v>
      </c>
      <c r="J6028" s="54" t="s">
        <v>6052</v>
      </c>
      <c r="K6028" s="54">
        <v>0</v>
      </c>
      <c r="L6028" s="22" t="s">
        <v>36807</v>
      </c>
      <c r="M6028" s="22" t="s">
        <v>37291</v>
      </c>
    </row>
    <row r="6029" spans="1:13" x14ac:dyDescent="0.75">
      <c r="A6029" t="s">
        <v>19992</v>
      </c>
      <c r="B6029" t="s">
        <v>11784</v>
      </c>
      <c r="C6029" t="s">
        <v>6124</v>
      </c>
      <c r="D6029" t="s">
        <v>11785</v>
      </c>
      <c r="E6029" t="s">
        <v>19993</v>
      </c>
      <c r="F6029">
        <v>1</v>
      </c>
      <c r="G6029">
        <v>2216575</v>
      </c>
      <c r="H6029" t="s">
        <v>19994</v>
      </c>
      <c r="J6029" s="54" t="s">
        <v>6052</v>
      </c>
      <c r="K6029" s="54">
        <v>0</v>
      </c>
      <c r="L6029" s="22" t="s">
        <v>36805</v>
      </c>
      <c r="M6029" s="22" t="s">
        <v>37297</v>
      </c>
    </row>
    <row r="6030" spans="1:13" x14ac:dyDescent="0.75">
      <c r="A6030" t="s">
        <v>19971</v>
      </c>
      <c r="B6030" t="s">
        <v>6123</v>
      </c>
      <c r="C6030" t="s">
        <v>6124</v>
      </c>
      <c r="D6030" t="s">
        <v>6125</v>
      </c>
      <c r="E6030" t="s">
        <v>19972</v>
      </c>
      <c r="F6030">
        <v>8</v>
      </c>
      <c r="G6030">
        <v>2626794</v>
      </c>
      <c r="H6030" t="s">
        <v>19973</v>
      </c>
      <c r="J6030" s="54" t="s">
        <v>6052</v>
      </c>
      <c r="K6030" s="54">
        <v>0</v>
      </c>
      <c r="L6030" s="22" t="s">
        <v>36806</v>
      </c>
      <c r="M6030" s="22" t="s">
        <v>37290</v>
      </c>
    </row>
    <row r="6031" spans="1:13" x14ac:dyDescent="0.75">
      <c r="A6031" t="s">
        <v>26422</v>
      </c>
      <c r="B6031" t="s">
        <v>10958</v>
      </c>
      <c r="C6031" t="s">
        <v>6124</v>
      </c>
      <c r="D6031" t="s">
        <v>6928</v>
      </c>
      <c r="E6031" t="s">
        <v>26423</v>
      </c>
      <c r="F6031">
        <v>13</v>
      </c>
      <c r="G6031">
        <v>2216911</v>
      </c>
      <c r="H6031" t="s">
        <v>26424</v>
      </c>
      <c r="J6031" s="54" t="s">
        <v>6052</v>
      </c>
      <c r="K6031" s="54">
        <v>0</v>
      </c>
      <c r="L6031" s="22" t="s">
        <v>36806</v>
      </c>
      <c r="M6031" s="22" t="s">
        <v>37292</v>
      </c>
    </row>
    <row r="6032" spans="1:13" x14ac:dyDescent="0.75">
      <c r="A6032" t="s">
        <v>24910</v>
      </c>
      <c r="B6032" t="s">
        <v>9016</v>
      </c>
      <c r="C6032" t="s">
        <v>6124</v>
      </c>
      <c r="D6032" t="s">
        <v>9017</v>
      </c>
      <c r="E6032" t="s">
        <v>24911</v>
      </c>
      <c r="F6032">
        <v>32</v>
      </c>
      <c r="G6032">
        <v>2541809</v>
      </c>
      <c r="H6032" t="s">
        <v>24912</v>
      </c>
      <c r="J6032" s="54" t="s">
        <v>6052</v>
      </c>
      <c r="K6032" s="54">
        <v>0</v>
      </c>
      <c r="L6032" s="22" t="s">
        <v>36806</v>
      </c>
      <c r="M6032" s="22" t="s">
        <v>37289</v>
      </c>
    </row>
    <row r="6033" spans="1:13" x14ac:dyDescent="0.75">
      <c r="A6033" t="s">
        <v>25330</v>
      </c>
      <c r="B6033" t="s">
        <v>6894</v>
      </c>
      <c r="C6033" t="s">
        <v>6124</v>
      </c>
      <c r="D6033" t="s">
        <v>6895</v>
      </c>
      <c r="E6033" t="s">
        <v>25331</v>
      </c>
      <c r="F6033">
        <v>51</v>
      </c>
      <c r="G6033">
        <v>2544326</v>
      </c>
      <c r="H6033" t="s">
        <v>25332</v>
      </c>
      <c r="J6033" s="54" t="s">
        <v>6052</v>
      </c>
      <c r="K6033" s="54">
        <v>0</v>
      </c>
      <c r="L6033" s="22" t="s">
        <v>1563</v>
      </c>
      <c r="M6033" s="22" t="s">
        <v>37293</v>
      </c>
    </row>
    <row r="6034" spans="1:13" x14ac:dyDescent="0.75">
      <c r="A6034" t="s">
        <v>17144</v>
      </c>
      <c r="B6034" t="s">
        <v>9016</v>
      </c>
      <c r="C6034" t="s">
        <v>6124</v>
      </c>
      <c r="D6034" t="s">
        <v>9017</v>
      </c>
      <c r="E6034" t="s">
        <v>17145</v>
      </c>
      <c r="F6034">
        <v>9</v>
      </c>
      <c r="G6034">
        <v>2544623</v>
      </c>
      <c r="H6034" t="s">
        <v>17146</v>
      </c>
      <c r="J6034" s="54" t="s">
        <v>6052</v>
      </c>
      <c r="K6034" s="54">
        <v>0</v>
      </c>
      <c r="L6034" s="22" t="s">
        <v>36806</v>
      </c>
      <c r="M6034" s="22" t="s">
        <v>37289</v>
      </c>
    </row>
    <row r="6035" spans="1:13" x14ac:dyDescent="0.75">
      <c r="A6035" t="s">
        <v>18773</v>
      </c>
      <c r="B6035" t="s">
        <v>7155</v>
      </c>
      <c r="C6035" t="s">
        <v>6124</v>
      </c>
      <c r="D6035" t="s">
        <v>7156</v>
      </c>
      <c r="E6035" t="s">
        <v>18774</v>
      </c>
      <c r="F6035">
        <v>35</v>
      </c>
      <c r="G6035">
        <v>2450181</v>
      </c>
      <c r="H6035" t="s">
        <v>18775</v>
      </c>
      <c r="J6035" s="54" t="s">
        <v>6052</v>
      </c>
      <c r="K6035" s="54">
        <v>0</v>
      </c>
      <c r="L6035" s="22" t="s">
        <v>36806</v>
      </c>
      <c r="M6035" s="22" t="s">
        <v>37296</v>
      </c>
    </row>
    <row r="6036" spans="1:13" x14ac:dyDescent="0.75">
      <c r="A6036" t="s">
        <v>19161</v>
      </c>
      <c r="B6036" t="s">
        <v>7155</v>
      </c>
      <c r="C6036" t="s">
        <v>6124</v>
      </c>
      <c r="D6036" t="s">
        <v>7156</v>
      </c>
      <c r="E6036" t="s">
        <v>19162</v>
      </c>
      <c r="F6036">
        <v>35</v>
      </c>
      <c r="G6036">
        <v>2450181</v>
      </c>
      <c r="H6036" t="s">
        <v>19163</v>
      </c>
      <c r="J6036" s="54" t="s">
        <v>6052</v>
      </c>
      <c r="K6036" s="54">
        <v>0</v>
      </c>
      <c r="L6036" s="22" t="s">
        <v>36806</v>
      </c>
      <c r="M6036" s="22" t="s">
        <v>37296</v>
      </c>
    </row>
    <row r="6037" spans="1:13" x14ac:dyDescent="0.75">
      <c r="A6037" t="s">
        <v>22547</v>
      </c>
      <c r="B6037" t="s">
        <v>6195</v>
      </c>
      <c r="C6037" t="s">
        <v>6124</v>
      </c>
      <c r="D6037" t="s">
        <v>6196</v>
      </c>
      <c r="E6037" t="s">
        <v>22548</v>
      </c>
      <c r="F6037">
        <v>25</v>
      </c>
      <c r="G6037">
        <v>2355821</v>
      </c>
      <c r="H6037" t="s">
        <v>22549</v>
      </c>
      <c r="J6037" s="54" t="s">
        <v>6052</v>
      </c>
      <c r="K6037" s="54">
        <v>0</v>
      </c>
      <c r="L6037" s="22" t="s">
        <v>36807</v>
      </c>
      <c r="M6037" s="22" t="s">
        <v>37288</v>
      </c>
    </row>
    <row r="6038" spans="1:13" x14ac:dyDescent="0.75">
      <c r="A6038" t="s">
        <v>24131</v>
      </c>
      <c r="B6038" t="s">
        <v>7155</v>
      </c>
      <c r="C6038" t="s">
        <v>6124</v>
      </c>
      <c r="D6038" t="s">
        <v>7156</v>
      </c>
      <c r="E6038" t="s">
        <v>24132</v>
      </c>
      <c r="F6038">
        <v>2</v>
      </c>
      <c r="G6038">
        <v>2491837</v>
      </c>
      <c r="H6038" t="s">
        <v>24133</v>
      </c>
      <c r="J6038" s="54" t="s">
        <v>6052</v>
      </c>
      <c r="K6038" s="54">
        <v>0</v>
      </c>
      <c r="L6038" s="22" t="s">
        <v>36806</v>
      </c>
      <c r="M6038" s="22" t="s">
        <v>37296</v>
      </c>
    </row>
    <row r="6039" spans="1:13" x14ac:dyDescent="0.75">
      <c r="A6039" t="s">
        <v>10234</v>
      </c>
      <c r="B6039" t="s">
        <v>6167</v>
      </c>
      <c r="C6039" t="s">
        <v>6124</v>
      </c>
      <c r="D6039" t="s">
        <v>6168</v>
      </c>
      <c r="E6039" t="s">
        <v>10235</v>
      </c>
      <c r="F6039">
        <v>4</v>
      </c>
      <c r="G6039">
        <v>2872947</v>
      </c>
      <c r="H6039" t="s">
        <v>10236</v>
      </c>
      <c r="J6039" s="54" t="s">
        <v>6052</v>
      </c>
      <c r="K6039" s="54">
        <v>0</v>
      </c>
      <c r="L6039" s="22" t="s">
        <v>36807</v>
      </c>
      <c r="M6039" s="22" t="s">
        <v>37291</v>
      </c>
    </row>
    <row r="6040" spans="1:13" x14ac:dyDescent="0.75">
      <c r="A6040" t="s">
        <v>12264</v>
      </c>
      <c r="B6040" t="s">
        <v>7155</v>
      </c>
      <c r="C6040" t="s">
        <v>6124</v>
      </c>
      <c r="D6040" t="s">
        <v>7156</v>
      </c>
      <c r="E6040" t="s">
        <v>12265</v>
      </c>
      <c r="F6040">
        <v>31</v>
      </c>
      <c r="G6040">
        <v>2418436</v>
      </c>
      <c r="H6040" t="s">
        <v>12266</v>
      </c>
      <c r="J6040" s="54" t="s">
        <v>6052</v>
      </c>
      <c r="K6040" s="54">
        <v>0</v>
      </c>
      <c r="L6040" s="22" t="s">
        <v>36806</v>
      </c>
      <c r="M6040" s="22" t="s">
        <v>37296</v>
      </c>
    </row>
    <row r="6041" spans="1:13" x14ac:dyDescent="0.75">
      <c r="A6041" t="s">
        <v>10231</v>
      </c>
      <c r="B6041" t="s">
        <v>6167</v>
      </c>
      <c r="C6041" t="s">
        <v>6124</v>
      </c>
      <c r="D6041" t="s">
        <v>6168</v>
      </c>
      <c r="E6041" t="s">
        <v>10232</v>
      </c>
      <c r="F6041">
        <v>4</v>
      </c>
      <c r="G6041">
        <v>2872973</v>
      </c>
      <c r="H6041" t="s">
        <v>10233</v>
      </c>
      <c r="J6041" s="54" t="s">
        <v>6052</v>
      </c>
      <c r="K6041" s="54">
        <v>0</v>
      </c>
      <c r="L6041" s="22" t="s">
        <v>36807</v>
      </c>
      <c r="M6041" s="22" t="s">
        <v>37291</v>
      </c>
    </row>
    <row r="6042" spans="1:13" x14ac:dyDescent="0.75">
      <c r="A6042" t="s">
        <v>20475</v>
      </c>
      <c r="B6042" t="s">
        <v>10958</v>
      </c>
      <c r="C6042" t="s">
        <v>6124</v>
      </c>
      <c r="D6042" t="s">
        <v>6928</v>
      </c>
      <c r="E6042" t="s">
        <v>20476</v>
      </c>
      <c r="F6042">
        <v>30</v>
      </c>
      <c r="G6042">
        <v>2172017</v>
      </c>
      <c r="H6042" t="s">
        <v>20477</v>
      </c>
      <c r="J6042" s="54" t="s">
        <v>6052</v>
      </c>
      <c r="K6042" s="54">
        <v>0</v>
      </c>
      <c r="L6042" s="22" t="s">
        <v>36806</v>
      </c>
      <c r="M6042" s="22" t="s">
        <v>37292</v>
      </c>
    </row>
    <row r="6043" spans="1:13" x14ac:dyDescent="0.75">
      <c r="A6043" t="s">
        <v>20478</v>
      </c>
      <c r="B6043" t="s">
        <v>7155</v>
      </c>
      <c r="C6043" t="s">
        <v>6124</v>
      </c>
      <c r="D6043" t="s">
        <v>7156</v>
      </c>
      <c r="E6043" t="s">
        <v>20479</v>
      </c>
      <c r="F6043">
        <v>29</v>
      </c>
      <c r="G6043">
        <v>2380266</v>
      </c>
      <c r="H6043" t="s">
        <v>20480</v>
      </c>
      <c r="J6043" s="54" t="s">
        <v>6052</v>
      </c>
      <c r="K6043" s="54">
        <v>0</v>
      </c>
      <c r="L6043" s="22" t="s">
        <v>36806</v>
      </c>
      <c r="M6043" s="22" t="s">
        <v>37296</v>
      </c>
    </row>
    <row r="6044" spans="1:13" x14ac:dyDescent="0.75">
      <c r="A6044" t="s">
        <v>19128</v>
      </c>
      <c r="B6044" t="s">
        <v>6195</v>
      </c>
      <c r="C6044" t="s">
        <v>6124</v>
      </c>
      <c r="D6044" t="s">
        <v>6196</v>
      </c>
      <c r="E6044" t="s">
        <v>19129</v>
      </c>
      <c r="F6044">
        <v>20</v>
      </c>
      <c r="G6044">
        <v>2462495</v>
      </c>
      <c r="H6044" t="s">
        <v>19130</v>
      </c>
      <c r="J6044" s="54" t="s">
        <v>6052</v>
      </c>
      <c r="K6044" s="54">
        <v>0</v>
      </c>
      <c r="L6044" s="22" t="s">
        <v>36807</v>
      </c>
      <c r="M6044" s="22" t="s">
        <v>37288</v>
      </c>
    </row>
    <row r="6045" spans="1:13" x14ac:dyDescent="0.75">
      <c r="A6045" t="s">
        <v>19122</v>
      </c>
      <c r="B6045" t="s">
        <v>7155</v>
      </c>
      <c r="C6045" t="s">
        <v>6124</v>
      </c>
      <c r="D6045" t="s">
        <v>7156</v>
      </c>
      <c r="E6045" t="s">
        <v>19123</v>
      </c>
      <c r="F6045">
        <v>42</v>
      </c>
      <c r="G6045">
        <v>2495216</v>
      </c>
      <c r="H6045" t="s">
        <v>19124</v>
      </c>
      <c r="J6045" s="54" t="s">
        <v>6052</v>
      </c>
      <c r="K6045" s="54">
        <v>0</v>
      </c>
      <c r="L6045" s="22" t="s">
        <v>36806</v>
      </c>
      <c r="M6045" s="22" t="s">
        <v>37296</v>
      </c>
    </row>
    <row r="6046" spans="1:13" x14ac:dyDescent="0.75">
      <c r="A6046" t="s">
        <v>6474</v>
      </c>
      <c r="B6046" t="s">
        <v>6475</v>
      </c>
      <c r="C6046" t="s">
        <v>6124</v>
      </c>
      <c r="D6046" t="s">
        <v>6476</v>
      </c>
      <c r="E6046" t="s">
        <v>6477</v>
      </c>
      <c r="F6046">
        <v>1</v>
      </c>
      <c r="G6046">
        <v>2658366</v>
      </c>
      <c r="H6046" t="s">
        <v>6478</v>
      </c>
      <c r="J6046" s="54" t="s">
        <v>6052</v>
      </c>
      <c r="K6046" s="54">
        <v>0</v>
      </c>
      <c r="L6046" s="22" t="s">
        <v>1563</v>
      </c>
      <c r="M6046" s="22" t="s">
        <v>37294</v>
      </c>
    </row>
    <row r="6047" spans="1:13" x14ac:dyDescent="0.75">
      <c r="A6047" t="s">
        <v>21940</v>
      </c>
      <c r="B6047" t="s">
        <v>9016</v>
      </c>
      <c r="C6047" t="s">
        <v>6124</v>
      </c>
      <c r="D6047" t="s">
        <v>9017</v>
      </c>
      <c r="E6047" t="s">
        <v>21941</v>
      </c>
      <c r="F6047">
        <v>3</v>
      </c>
      <c r="G6047">
        <v>2562829</v>
      </c>
      <c r="H6047" t="s">
        <v>21942</v>
      </c>
      <c r="J6047" s="54" t="s">
        <v>6052</v>
      </c>
      <c r="K6047" s="54">
        <v>0</v>
      </c>
      <c r="L6047" s="22" t="s">
        <v>36806</v>
      </c>
      <c r="M6047" s="22" t="s">
        <v>37289</v>
      </c>
    </row>
    <row r="6048" spans="1:13" x14ac:dyDescent="0.75">
      <c r="A6048" t="s">
        <v>13019</v>
      </c>
      <c r="B6048" t="s">
        <v>6894</v>
      </c>
      <c r="C6048" t="s">
        <v>6124</v>
      </c>
      <c r="D6048" t="s">
        <v>6895</v>
      </c>
      <c r="E6048" t="s">
        <v>13020</v>
      </c>
      <c r="F6048">
        <v>75</v>
      </c>
      <c r="G6048">
        <v>2536023</v>
      </c>
      <c r="H6048" t="s">
        <v>13021</v>
      </c>
      <c r="J6048" s="54" t="s">
        <v>6052</v>
      </c>
      <c r="K6048" s="54">
        <v>0</v>
      </c>
      <c r="L6048" s="22" t="s">
        <v>1563</v>
      </c>
      <c r="M6048" s="22" t="s">
        <v>37293</v>
      </c>
    </row>
    <row r="6049" spans="1:13" x14ac:dyDescent="0.75">
      <c r="A6049" t="s">
        <v>12637</v>
      </c>
      <c r="B6049" t="s">
        <v>7155</v>
      </c>
      <c r="C6049" t="s">
        <v>6124</v>
      </c>
      <c r="D6049" t="s">
        <v>7156</v>
      </c>
      <c r="E6049" t="s">
        <v>12638</v>
      </c>
      <c r="F6049">
        <v>28</v>
      </c>
      <c r="G6049">
        <v>2373930</v>
      </c>
      <c r="H6049" t="s">
        <v>12639</v>
      </c>
      <c r="J6049" s="54" t="s">
        <v>6052</v>
      </c>
      <c r="K6049" s="54">
        <v>0</v>
      </c>
      <c r="L6049" s="22" t="s">
        <v>36806</v>
      </c>
      <c r="M6049" s="22" t="s">
        <v>37296</v>
      </c>
    </row>
    <row r="6050" spans="1:13" x14ac:dyDescent="0.75">
      <c r="A6050" t="s">
        <v>13106</v>
      </c>
      <c r="B6050" t="s">
        <v>6894</v>
      </c>
      <c r="C6050" t="s">
        <v>6124</v>
      </c>
      <c r="D6050" t="s">
        <v>6895</v>
      </c>
      <c r="E6050" t="s">
        <v>13107</v>
      </c>
      <c r="F6050">
        <v>150</v>
      </c>
      <c r="G6050">
        <v>2587345</v>
      </c>
      <c r="H6050" t="s">
        <v>13108</v>
      </c>
      <c r="J6050" s="54" t="s">
        <v>6052</v>
      </c>
      <c r="K6050" s="54">
        <v>0</v>
      </c>
      <c r="L6050" s="22" t="s">
        <v>1563</v>
      </c>
      <c r="M6050" s="22" t="s">
        <v>37293</v>
      </c>
    </row>
    <row r="6051" spans="1:13" x14ac:dyDescent="0.75">
      <c r="A6051" t="s">
        <v>8737</v>
      </c>
      <c r="B6051" t="s">
        <v>6167</v>
      </c>
      <c r="C6051" t="s">
        <v>6124</v>
      </c>
      <c r="D6051" t="s">
        <v>6168</v>
      </c>
      <c r="E6051" t="s">
        <v>8738</v>
      </c>
      <c r="F6051">
        <v>1</v>
      </c>
      <c r="G6051">
        <v>2832299</v>
      </c>
      <c r="H6051" t="s">
        <v>8739</v>
      </c>
      <c r="J6051" s="54" t="s">
        <v>6052</v>
      </c>
      <c r="K6051" s="54">
        <v>0</v>
      </c>
      <c r="L6051" s="22" t="s">
        <v>36807</v>
      </c>
      <c r="M6051" s="22" t="s">
        <v>37291</v>
      </c>
    </row>
    <row r="6052" spans="1:13" x14ac:dyDescent="0.75">
      <c r="A6052" t="s">
        <v>18931</v>
      </c>
      <c r="B6052" t="s">
        <v>10958</v>
      </c>
      <c r="C6052" t="s">
        <v>6124</v>
      </c>
      <c r="D6052" t="s">
        <v>6928</v>
      </c>
      <c r="E6052" t="s">
        <v>18932</v>
      </c>
      <c r="F6052">
        <v>31</v>
      </c>
      <c r="G6052">
        <v>2245911</v>
      </c>
      <c r="H6052" t="s">
        <v>18933</v>
      </c>
      <c r="J6052" s="54" t="s">
        <v>6052</v>
      </c>
      <c r="K6052" s="54">
        <v>0</v>
      </c>
      <c r="L6052" s="22" t="s">
        <v>36806</v>
      </c>
      <c r="M6052" s="22" t="s">
        <v>37292</v>
      </c>
    </row>
    <row r="6053" spans="1:13" x14ac:dyDescent="0.75">
      <c r="A6053" t="s">
        <v>18886</v>
      </c>
      <c r="B6053" t="s">
        <v>10958</v>
      </c>
      <c r="C6053" t="s">
        <v>6124</v>
      </c>
      <c r="D6053" t="s">
        <v>6928</v>
      </c>
      <c r="E6053" t="s">
        <v>18887</v>
      </c>
      <c r="F6053">
        <v>27</v>
      </c>
      <c r="G6053">
        <v>2243268</v>
      </c>
      <c r="H6053" t="s">
        <v>18888</v>
      </c>
      <c r="J6053" s="54" t="s">
        <v>6052</v>
      </c>
      <c r="K6053" s="54">
        <v>0</v>
      </c>
      <c r="L6053" s="22" t="s">
        <v>36806</v>
      </c>
      <c r="M6053" s="22" t="s">
        <v>37292</v>
      </c>
    </row>
    <row r="6054" spans="1:13" x14ac:dyDescent="0.75">
      <c r="A6054" t="s">
        <v>18895</v>
      </c>
      <c r="B6054" t="s">
        <v>10958</v>
      </c>
      <c r="C6054" t="s">
        <v>6124</v>
      </c>
      <c r="D6054" t="s">
        <v>6928</v>
      </c>
      <c r="E6054" t="s">
        <v>18896</v>
      </c>
      <c r="F6054">
        <v>30</v>
      </c>
      <c r="G6054">
        <v>2243827</v>
      </c>
      <c r="H6054" t="s">
        <v>18897</v>
      </c>
      <c r="J6054" s="54" t="s">
        <v>6052</v>
      </c>
      <c r="K6054" s="54">
        <v>0</v>
      </c>
      <c r="L6054" s="22" t="s">
        <v>36806</v>
      </c>
      <c r="M6054" s="22" t="s">
        <v>37292</v>
      </c>
    </row>
    <row r="6055" spans="1:13" x14ac:dyDescent="0.75">
      <c r="A6055" t="s">
        <v>18889</v>
      </c>
      <c r="B6055" t="s">
        <v>10958</v>
      </c>
      <c r="C6055" t="s">
        <v>6124</v>
      </c>
      <c r="D6055" t="s">
        <v>6928</v>
      </c>
      <c r="E6055" t="s">
        <v>18890</v>
      </c>
      <c r="F6055">
        <v>26</v>
      </c>
      <c r="G6055">
        <v>2243589</v>
      </c>
      <c r="H6055" t="s">
        <v>18891</v>
      </c>
      <c r="J6055" s="54" t="s">
        <v>6052</v>
      </c>
      <c r="K6055" s="54">
        <v>0</v>
      </c>
      <c r="L6055" s="22" t="s">
        <v>36806</v>
      </c>
      <c r="M6055" s="22" t="s">
        <v>37292</v>
      </c>
    </row>
    <row r="6056" spans="1:13" x14ac:dyDescent="0.75">
      <c r="A6056" t="s">
        <v>18913</v>
      </c>
      <c r="B6056" t="s">
        <v>7155</v>
      </c>
      <c r="C6056" t="s">
        <v>6124</v>
      </c>
      <c r="D6056" t="s">
        <v>7156</v>
      </c>
      <c r="E6056" t="s">
        <v>18914</v>
      </c>
      <c r="F6056">
        <v>26</v>
      </c>
      <c r="G6056">
        <v>2409841</v>
      </c>
      <c r="H6056" t="s">
        <v>18915</v>
      </c>
      <c r="J6056" s="54" t="s">
        <v>6052</v>
      </c>
      <c r="K6056" s="54">
        <v>0</v>
      </c>
      <c r="L6056" s="22" t="s">
        <v>36806</v>
      </c>
      <c r="M6056" s="22" t="s">
        <v>37296</v>
      </c>
    </row>
    <row r="6057" spans="1:13" x14ac:dyDescent="0.75">
      <c r="A6057" t="s">
        <v>18916</v>
      </c>
      <c r="B6057" t="s">
        <v>7155</v>
      </c>
      <c r="C6057" t="s">
        <v>6124</v>
      </c>
      <c r="D6057" t="s">
        <v>7156</v>
      </c>
      <c r="E6057" t="s">
        <v>18917</v>
      </c>
      <c r="F6057">
        <v>36</v>
      </c>
      <c r="G6057">
        <v>2379966</v>
      </c>
      <c r="H6057" t="s">
        <v>18918</v>
      </c>
      <c r="J6057" s="54" t="s">
        <v>6052</v>
      </c>
      <c r="K6057" s="54">
        <v>0</v>
      </c>
      <c r="L6057" s="22" t="s">
        <v>36806</v>
      </c>
      <c r="M6057" s="22" t="s">
        <v>37296</v>
      </c>
    </row>
    <row r="6058" spans="1:13" x14ac:dyDescent="0.75">
      <c r="A6058" t="s">
        <v>18943</v>
      </c>
      <c r="B6058" t="s">
        <v>10958</v>
      </c>
      <c r="C6058" t="s">
        <v>6124</v>
      </c>
      <c r="D6058" t="s">
        <v>6928</v>
      </c>
      <c r="E6058" t="s">
        <v>18944</v>
      </c>
      <c r="F6058">
        <v>30</v>
      </c>
      <c r="G6058">
        <v>2245823</v>
      </c>
      <c r="H6058" t="s">
        <v>18945</v>
      </c>
      <c r="J6058" s="54" t="s">
        <v>6052</v>
      </c>
      <c r="K6058" s="54">
        <v>0</v>
      </c>
      <c r="L6058" s="22" t="s">
        <v>36806</v>
      </c>
      <c r="M6058" s="22" t="s">
        <v>37292</v>
      </c>
    </row>
    <row r="6059" spans="1:13" x14ac:dyDescent="0.75">
      <c r="A6059" t="s">
        <v>18910</v>
      </c>
      <c r="B6059" t="s">
        <v>10958</v>
      </c>
      <c r="C6059" t="s">
        <v>6124</v>
      </c>
      <c r="D6059" t="s">
        <v>6928</v>
      </c>
      <c r="E6059" t="s">
        <v>18911</v>
      </c>
      <c r="F6059">
        <v>30</v>
      </c>
      <c r="G6059">
        <v>2244373</v>
      </c>
      <c r="H6059" t="s">
        <v>18912</v>
      </c>
      <c r="J6059" s="54" t="s">
        <v>6052</v>
      </c>
      <c r="K6059" s="54">
        <v>0</v>
      </c>
      <c r="L6059" s="22" t="s">
        <v>36806</v>
      </c>
      <c r="M6059" s="22" t="s">
        <v>37292</v>
      </c>
    </row>
    <row r="6060" spans="1:13" x14ac:dyDescent="0.75">
      <c r="A6060" t="s">
        <v>18901</v>
      </c>
      <c r="B6060" t="s">
        <v>10958</v>
      </c>
      <c r="C6060" t="s">
        <v>6124</v>
      </c>
      <c r="D6060" t="s">
        <v>6928</v>
      </c>
      <c r="E6060" t="s">
        <v>18902</v>
      </c>
      <c r="F6060">
        <v>27</v>
      </c>
      <c r="G6060">
        <v>2244342</v>
      </c>
      <c r="H6060" t="s">
        <v>18903</v>
      </c>
      <c r="J6060" s="54" t="s">
        <v>6052</v>
      </c>
      <c r="K6060" s="54">
        <v>0</v>
      </c>
      <c r="L6060" s="22" t="s">
        <v>36806</v>
      </c>
      <c r="M6060" s="22" t="s">
        <v>37292</v>
      </c>
    </row>
    <row r="6061" spans="1:13" x14ac:dyDescent="0.75">
      <c r="A6061" t="s">
        <v>18907</v>
      </c>
      <c r="B6061" t="s">
        <v>10958</v>
      </c>
      <c r="C6061" t="s">
        <v>6124</v>
      </c>
      <c r="D6061" t="s">
        <v>6928</v>
      </c>
      <c r="E6061" t="s">
        <v>18908</v>
      </c>
      <c r="F6061">
        <v>29</v>
      </c>
      <c r="G6061">
        <v>2243671</v>
      </c>
      <c r="H6061" t="s">
        <v>18909</v>
      </c>
      <c r="J6061" s="54" t="s">
        <v>6052</v>
      </c>
      <c r="K6061" s="54">
        <v>0</v>
      </c>
      <c r="L6061" s="22" t="s">
        <v>36806</v>
      </c>
      <c r="M6061" s="22" t="s">
        <v>37292</v>
      </c>
    </row>
    <row r="6062" spans="1:13" x14ac:dyDescent="0.75">
      <c r="A6062" t="s">
        <v>18940</v>
      </c>
      <c r="B6062" t="s">
        <v>10958</v>
      </c>
      <c r="C6062" t="s">
        <v>6124</v>
      </c>
      <c r="D6062" t="s">
        <v>6928</v>
      </c>
      <c r="E6062" t="s">
        <v>18941</v>
      </c>
      <c r="F6062">
        <v>25</v>
      </c>
      <c r="G6062">
        <v>2245723</v>
      </c>
      <c r="H6062" t="s">
        <v>18942</v>
      </c>
      <c r="J6062" s="54" t="s">
        <v>6052</v>
      </c>
      <c r="K6062" s="54">
        <v>0</v>
      </c>
      <c r="L6062" s="22" t="s">
        <v>36806</v>
      </c>
      <c r="M6062" s="22" t="s">
        <v>37292</v>
      </c>
    </row>
    <row r="6063" spans="1:13" x14ac:dyDescent="0.75">
      <c r="A6063" t="s">
        <v>18904</v>
      </c>
      <c r="B6063" t="s">
        <v>10958</v>
      </c>
      <c r="C6063" t="s">
        <v>6124</v>
      </c>
      <c r="D6063" t="s">
        <v>6928</v>
      </c>
      <c r="E6063" t="s">
        <v>18905</v>
      </c>
      <c r="F6063">
        <v>28</v>
      </c>
      <c r="G6063">
        <v>2244014</v>
      </c>
      <c r="H6063" t="s">
        <v>18906</v>
      </c>
      <c r="J6063" s="54" t="s">
        <v>6052</v>
      </c>
      <c r="K6063" s="54">
        <v>0</v>
      </c>
      <c r="L6063" s="22" t="s">
        <v>36806</v>
      </c>
      <c r="M6063" s="22" t="s">
        <v>37292</v>
      </c>
    </row>
    <row r="6064" spans="1:13" x14ac:dyDescent="0.75">
      <c r="A6064" t="s">
        <v>18892</v>
      </c>
      <c r="B6064" t="s">
        <v>10958</v>
      </c>
      <c r="C6064" t="s">
        <v>6124</v>
      </c>
      <c r="D6064" t="s">
        <v>6928</v>
      </c>
      <c r="E6064" t="s">
        <v>18893</v>
      </c>
      <c r="F6064">
        <v>29</v>
      </c>
      <c r="G6064">
        <v>2245297</v>
      </c>
      <c r="H6064" t="s">
        <v>18894</v>
      </c>
      <c r="J6064" s="54" t="s">
        <v>6052</v>
      </c>
      <c r="K6064" s="54">
        <v>0</v>
      </c>
      <c r="L6064" s="22" t="s">
        <v>36806</v>
      </c>
      <c r="M6064" s="22" t="s">
        <v>37292</v>
      </c>
    </row>
    <row r="6065" spans="1:13" x14ac:dyDescent="0.75">
      <c r="A6065" t="s">
        <v>18898</v>
      </c>
      <c r="B6065" t="s">
        <v>10958</v>
      </c>
      <c r="C6065" t="s">
        <v>6124</v>
      </c>
      <c r="D6065" t="s">
        <v>6928</v>
      </c>
      <c r="E6065" t="s">
        <v>18899</v>
      </c>
      <c r="F6065">
        <v>31</v>
      </c>
      <c r="G6065">
        <v>2244759</v>
      </c>
      <c r="H6065" t="s">
        <v>18900</v>
      </c>
      <c r="J6065" s="54" t="s">
        <v>6052</v>
      </c>
      <c r="K6065" s="54">
        <v>0</v>
      </c>
      <c r="L6065" s="22" t="s">
        <v>36806</v>
      </c>
      <c r="M6065" s="22" t="s">
        <v>37292</v>
      </c>
    </row>
    <row r="6066" spans="1:13" x14ac:dyDescent="0.75">
      <c r="A6066" t="s">
        <v>18922</v>
      </c>
      <c r="B6066" t="s">
        <v>7155</v>
      </c>
      <c r="C6066" t="s">
        <v>6124</v>
      </c>
      <c r="D6066" t="s">
        <v>7156</v>
      </c>
      <c r="E6066" t="s">
        <v>18923</v>
      </c>
      <c r="F6066">
        <v>21</v>
      </c>
      <c r="G6066">
        <v>2407537</v>
      </c>
      <c r="H6066" t="s">
        <v>18924</v>
      </c>
      <c r="J6066" s="54" t="s">
        <v>6052</v>
      </c>
      <c r="K6066" s="54">
        <v>0</v>
      </c>
      <c r="L6066" s="22" t="s">
        <v>36806</v>
      </c>
      <c r="M6066" s="22" t="s">
        <v>37296</v>
      </c>
    </row>
    <row r="6067" spans="1:13" x14ac:dyDescent="0.75">
      <c r="A6067" t="s">
        <v>18949</v>
      </c>
      <c r="B6067" t="s">
        <v>7155</v>
      </c>
      <c r="C6067" t="s">
        <v>6124</v>
      </c>
      <c r="D6067" t="s">
        <v>7156</v>
      </c>
      <c r="E6067" t="s">
        <v>18950</v>
      </c>
      <c r="F6067">
        <v>21</v>
      </c>
      <c r="G6067">
        <v>2424546</v>
      </c>
      <c r="H6067" t="s">
        <v>18951</v>
      </c>
      <c r="J6067" s="54" t="s">
        <v>6052</v>
      </c>
      <c r="K6067" s="54">
        <v>0</v>
      </c>
      <c r="L6067" s="22" t="s">
        <v>36806</v>
      </c>
      <c r="M6067" s="22" t="s">
        <v>37296</v>
      </c>
    </row>
    <row r="6068" spans="1:13" x14ac:dyDescent="0.75">
      <c r="A6068" t="s">
        <v>18952</v>
      </c>
      <c r="B6068" t="s">
        <v>10958</v>
      </c>
      <c r="C6068" t="s">
        <v>6124</v>
      </c>
      <c r="D6068" t="s">
        <v>6928</v>
      </c>
      <c r="E6068" t="s">
        <v>18953</v>
      </c>
      <c r="F6068">
        <v>30</v>
      </c>
      <c r="G6068">
        <v>2198199</v>
      </c>
      <c r="H6068" t="s">
        <v>18954</v>
      </c>
      <c r="J6068" s="54" t="s">
        <v>6052</v>
      </c>
      <c r="K6068" s="54">
        <v>0</v>
      </c>
      <c r="L6068" s="22" t="s">
        <v>36806</v>
      </c>
      <c r="M6068" s="22" t="s">
        <v>37292</v>
      </c>
    </row>
    <row r="6069" spans="1:13" x14ac:dyDescent="0.75">
      <c r="A6069" t="s">
        <v>18928</v>
      </c>
      <c r="B6069" t="s">
        <v>10958</v>
      </c>
      <c r="C6069" t="s">
        <v>6124</v>
      </c>
      <c r="D6069" t="s">
        <v>6928</v>
      </c>
      <c r="E6069" t="s">
        <v>18929</v>
      </c>
      <c r="F6069">
        <v>27</v>
      </c>
      <c r="G6069">
        <v>2203387</v>
      </c>
      <c r="H6069" t="s">
        <v>18930</v>
      </c>
      <c r="J6069" s="54" t="s">
        <v>6052</v>
      </c>
      <c r="K6069" s="54">
        <v>0</v>
      </c>
      <c r="L6069" s="22" t="s">
        <v>36806</v>
      </c>
      <c r="M6069" s="22" t="s">
        <v>37292</v>
      </c>
    </row>
    <row r="6070" spans="1:13" x14ac:dyDescent="0.75">
      <c r="A6070" t="s">
        <v>18934</v>
      </c>
      <c r="B6070" t="s">
        <v>10958</v>
      </c>
      <c r="C6070" t="s">
        <v>6124</v>
      </c>
      <c r="D6070" t="s">
        <v>6928</v>
      </c>
      <c r="E6070" t="s">
        <v>18935</v>
      </c>
      <c r="F6070">
        <v>29</v>
      </c>
      <c r="G6070">
        <v>2207922</v>
      </c>
      <c r="H6070" t="s">
        <v>18936</v>
      </c>
      <c r="J6070" s="54" t="s">
        <v>6052</v>
      </c>
      <c r="K6070" s="54">
        <v>0</v>
      </c>
      <c r="L6070" s="22" t="s">
        <v>36806</v>
      </c>
      <c r="M6070" s="22" t="s">
        <v>37292</v>
      </c>
    </row>
    <row r="6071" spans="1:13" x14ac:dyDescent="0.75">
      <c r="A6071" t="s">
        <v>18946</v>
      </c>
      <c r="B6071" t="s">
        <v>9016</v>
      </c>
      <c r="C6071" t="s">
        <v>6124</v>
      </c>
      <c r="D6071" t="s">
        <v>9017</v>
      </c>
      <c r="E6071" t="s">
        <v>18947</v>
      </c>
      <c r="F6071">
        <v>25</v>
      </c>
      <c r="G6071">
        <v>2566482</v>
      </c>
      <c r="H6071" t="s">
        <v>18948</v>
      </c>
      <c r="J6071" s="54" t="s">
        <v>6052</v>
      </c>
      <c r="K6071" s="54">
        <v>0</v>
      </c>
      <c r="L6071" s="22" t="s">
        <v>36806</v>
      </c>
      <c r="M6071" s="22" t="s">
        <v>37289</v>
      </c>
    </row>
    <row r="6072" spans="1:13" x14ac:dyDescent="0.75">
      <c r="A6072" t="s">
        <v>18937</v>
      </c>
      <c r="B6072" t="s">
        <v>7155</v>
      </c>
      <c r="C6072" t="s">
        <v>6124</v>
      </c>
      <c r="D6072" t="s">
        <v>7156</v>
      </c>
      <c r="E6072" t="s">
        <v>18938</v>
      </c>
      <c r="F6072">
        <v>27</v>
      </c>
      <c r="G6072">
        <v>2400623</v>
      </c>
      <c r="H6072" t="s">
        <v>18939</v>
      </c>
      <c r="J6072" s="54" t="s">
        <v>6052</v>
      </c>
      <c r="K6072" s="54">
        <v>0</v>
      </c>
      <c r="L6072" s="22" t="s">
        <v>36806</v>
      </c>
      <c r="M6072" s="22" t="s">
        <v>37296</v>
      </c>
    </row>
    <row r="6073" spans="1:13" x14ac:dyDescent="0.75">
      <c r="A6073" t="s">
        <v>18925</v>
      </c>
      <c r="B6073" t="s">
        <v>7155</v>
      </c>
      <c r="C6073" t="s">
        <v>6124</v>
      </c>
      <c r="D6073" t="s">
        <v>7156</v>
      </c>
      <c r="E6073" t="s">
        <v>18926</v>
      </c>
      <c r="F6073">
        <v>25</v>
      </c>
      <c r="G6073">
        <v>2402589</v>
      </c>
      <c r="H6073" t="s">
        <v>18927</v>
      </c>
      <c r="J6073" s="54" t="s">
        <v>6052</v>
      </c>
      <c r="K6073" s="54">
        <v>0</v>
      </c>
      <c r="L6073" s="22" t="s">
        <v>36806</v>
      </c>
      <c r="M6073" s="22" t="s">
        <v>37296</v>
      </c>
    </row>
    <row r="6074" spans="1:13" x14ac:dyDescent="0.75">
      <c r="A6074" t="s">
        <v>18919</v>
      </c>
      <c r="B6074" t="s">
        <v>10958</v>
      </c>
      <c r="C6074" t="s">
        <v>6124</v>
      </c>
      <c r="D6074" t="s">
        <v>6928</v>
      </c>
      <c r="E6074" t="s">
        <v>18920</v>
      </c>
      <c r="F6074">
        <v>29</v>
      </c>
      <c r="G6074">
        <v>2113506</v>
      </c>
      <c r="H6074" t="s">
        <v>18921</v>
      </c>
      <c r="J6074" s="54" t="s">
        <v>6052</v>
      </c>
      <c r="K6074" s="54">
        <v>0</v>
      </c>
      <c r="L6074" s="22" t="s">
        <v>36806</v>
      </c>
      <c r="M6074" s="22" t="s">
        <v>37292</v>
      </c>
    </row>
    <row r="6075" spans="1:13" x14ac:dyDescent="0.75">
      <c r="A6075" t="s">
        <v>13600</v>
      </c>
      <c r="B6075" t="s">
        <v>6195</v>
      </c>
      <c r="C6075" t="s">
        <v>6124</v>
      </c>
      <c r="D6075" t="s">
        <v>6196</v>
      </c>
      <c r="E6075" t="s">
        <v>13601</v>
      </c>
      <c r="F6075">
        <v>4</v>
      </c>
      <c r="G6075">
        <v>2517398</v>
      </c>
      <c r="H6075" t="s">
        <v>13602</v>
      </c>
      <c r="J6075" s="54" t="s">
        <v>6052</v>
      </c>
      <c r="K6075" s="54">
        <v>0</v>
      </c>
      <c r="L6075" s="22" t="s">
        <v>36807</v>
      </c>
      <c r="M6075" s="22" t="s">
        <v>37288</v>
      </c>
    </row>
    <row r="6076" spans="1:13" x14ac:dyDescent="0.75">
      <c r="A6076" t="s">
        <v>24173</v>
      </c>
      <c r="B6076" t="s">
        <v>16374</v>
      </c>
      <c r="C6076" t="s">
        <v>6124</v>
      </c>
      <c r="D6076" t="s">
        <v>16375</v>
      </c>
      <c r="E6076" t="s">
        <v>24174</v>
      </c>
      <c r="F6076">
        <v>1</v>
      </c>
      <c r="G6076">
        <v>2560239</v>
      </c>
      <c r="H6076" t="s">
        <v>24175</v>
      </c>
      <c r="J6076" s="54" t="s">
        <v>6052</v>
      </c>
      <c r="K6076" s="54">
        <v>0</v>
      </c>
      <c r="L6076" s="22" t="s">
        <v>144</v>
      </c>
      <c r="M6076" s="22" t="s">
        <v>37299</v>
      </c>
    </row>
    <row r="6077" spans="1:13" x14ac:dyDescent="0.75">
      <c r="A6077" t="s">
        <v>24170</v>
      </c>
      <c r="B6077" t="s">
        <v>16374</v>
      </c>
      <c r="C6077" t="s">
        <v>6124</v>
      </c>
      <c r="D6077" t="s">
        <v>16375</v>
      </c>
      <c r="E6077" t="s">
        <v>24171</v>
      </c>
      <c r="F6077">
        <v>1</v>
      </c>
      <c r="G6077">
        <v>2520333</v>
      </c>
      <c r="H6077" t="s">
        <v>24172</v>
      </c>
      <c r="J6077" s="54" t="s">
        <v>6052</v>
      </c>
      <c r="K6077" s="54">
        <v>0</v>
      </c>
      <c r="L6077" s="22" t="s">
        <v>144</v>
      </c>
      <c r="M6077" s="22" t="s">
        <v>37299</v>
      </c>
    </row>
    <row r="6078" spans="1:13" x14ac:dyDescent="0.75">
      <c r="A6078" t="s">
        <v>24194</v>
      </c>
      <c r="B6078" t="s">
        <v>6123</v>
      </c>
      <c r="C6078" t="s">
        <v>6124</v>
      </c>
      <c r="D6078" t="s">
        <v>6125</v>
      </c>
      <c r="E6078" t="s">
        <v>24195</v>
      </c>
      <c r="F6078">
        <v>1</v>
      </c>
      <c r="G6078">
        <v>2552216</v>
      </c>
      <c r="H6078" t="s">
        <v>24196</v>
      </c>
      <c r="J6078" s="54" t="s">
        <v>6052</v>
      </c>
      <c r="K6078" s="54">
        <v>0</v>
      </c>
      <c r="L6078" s="22" t="s">
        <v>36806</v>
      </c>
      <c r="M6078" s="22" t="s">
        <v>37290</v>
      </c>
    </row>
    <row r="6079" spans="1:13" x14ac:dyDescent="0.75">
      <c r="A6079" t="s">
        <v>24176</v>
      </c>
      <c r="B6079" t="s">
        <v>13969</v>
      </c>
      <c r="C6079" t="s">
        <v>6124</v>
      </c>
      <c r="D6079" t="s">
        <v>13970</v>
      </c>
      <c r="E6079" t="s">
        <v>24177</v>
      </c>
      <c r="F6079">
        <v>2</v>
      </c>
      <c r="G6079">
        <v>2475360</v>
      </c>
      <c r="H6079" t="s">
        <v>24178</v>
      </c>
      <c r="J6079" s="54" t="s">
        <v>6052</v>
      </c>
      <c r="K6079" s="54">
        <v>0</v>
      </c>
      <c r="L6079" s="22" t="s">
        <v>1563</v>
      </c>
      <c r="M6079" s="22" t="s">
        <v>37298</v>
      </c>
    </row>
    <row r="6080" spans="1:13" x14ac:dyDescent="0.75">
      <c r="A6080" t="s">
        <v>24191</v>
      </c>
      <c r="B6080" t="s">
        <v>6123</v>
      </c>
      <c r="C6080" t="s">
        <v>6124</v>
      </c>
      <c r="D6080" t="s">
        <v>6125</v>
      </c>
      <c r="E6080" t="s">
        <v>24192</v>
      </c>
      <c r="F6080">
        <v>2</v>
      </c>
      <c r="G6080">
        <v>2544812</v>
      </c>
      <c r="H6080" t="s">
        <v>24193</v>
      </c>
      <c r="J6080" s="54" t="s">
        <v>6052</v>
      </c>
      <c r="K6080" s="54">
        <v>0</v>
      </c>
      <c r="L6080" s="22" t="s">
        <v>36806</v>
      </c>
      <c r="M6080" s="22" t="s">
        <v>37290</v>
      </c>
    </row>
    <row r="6081" spans="1:13" x14ac:dyDescent="0.75">
      <c r="A6081" t="s">
        <v>24188</v>
      </c>
      <c r="B6081" t="s">
        <v>6123</v>
      </c>
      <c r="C6081" t="s">
        <v>6124</v>
      </c>
      <c r="D6081" t="s">
        <v>6125</v>
      </c>
      <c r="E6081" t="s">
        <v>24189</v>
      </c>
      <c r="F6081">
        <v>2</v>
      </c>
      <c r="G6081">
        <v>2504304</v>
      </c>
      <c r="H6081" t="s">
        <v>24190</v>
      </c>
      <c r="J6081" s="54" t="s">
        <v>6052</v>
      </c>
      <c r="K6081" s="54">
        <v>0</v>
      </c>
      <c r="L6081" s="22" t="s">
        <v>36806</v>
      </c>
      <c r="M6081" s="22" t="s">
        <v>37290</v>
      </c>
    </row>
    <row r="6082" spans="1:13" x14ac:dyDescent="0.75">
      <c r="A6082" t="s">
        <v>24185</v>
      </c>
      <c r="B6082" t="s">
        <v>6123</v>
      </c>
      <c r="C6082" t="s">
        <v>6124</v>
      </c>
      <c r="D6082" t="s">
        <v>6125</v>
      </c>
      <c r="E6082" t="s">
        <v>24186</v>
      </c>
      <c r="F6082">
        <v>1</v>
      </c>
      <c r="G6082">
        <v>2484775</v>
      </c>
      <c r="H6082" t="s">
        <v>24187</v>
      </c>
      <c r="J6082" s="54" t="s">
        <v>6052</v>
      </c>
      <c r="K6082" s="54">
        <v>0</v>
      </c>
      <c r="L6082" s="22" t="s">
        <v>36806</v>
      </c>
      <c r="M6082" s="22" t="s">
        <v>37290</v>
      </c>
    </row>
    <row r="6083" spans="1:13" x14ac:dyDescent="0.75">
      <c r="A6083" t="s">
        <v>24179</v>
      </c>
      <c r="B6083" t="s">
        <v>10958</v>
      </c>
      <c r="C6083" t="s">
        <v>6124</v>
      </c>
      <c r="D6083" t="s">
        <v>6928</v>
      </c>
      <c r="E6083" t="s">
        <v>24180</v>
      </c>
      <c r="F6083">
        <v>1</v>
      </c>
      <c r="G6083">
        <v>2225204</v>
      </c>
      <c r="H6083" t="s">
        <v>24181</v>
      </c>
      <c r="J6083" s="54" t="s">
        <v>6052</v>
      </c>
      <c r="K6083" s="54">
        <v>0</v>
      </c>
      <c r="L6083" s="22" t="s">
        <v>36806</v>
      </c>
      <c r="M6083" s="22" t="s">
        <v>37292</v>
      </c>
    </row>
    <row r="6084" spans="1:13" x14ac:dyDescent="0.75">
      <c r="A6084" t="s">
        <v>24182</v>
      </c>
      <c r="B6084" t="s">
        <v>6123</v>
      </c>
      <c r="C6084" t="s">
        <v>6124</v>
      </c>
      <c r="D6084" t="s">
        <v>6125</v>
      </c>
      <c r="E6084" t="s">
        <v>24183</v>
      </c>
      <c r="F6084">
        <v>2</v>
      </c>
      <c r="G6084">
        <v>2469183</v>
      </c>
      <c r="H6084" t="s">
        <v>24184</v>
      </c>
      <c r="J6084" s="54" t="s">
        <v>6052</v>
      </c>
      <c r="K6084" s="54">
        <v>0</v>
      </c>
      <c r="L6084" s="22" t="s">
        <v>36806</v>
      </c>
      <c r="M6084" s="22" t="s">
        <v>37290</v>
      </c>
    </row>
    <row r="6085" spans="1:13" x14ac:dyDescent="0.75">
      <c r="A6085" t="s">
        <v>19113</v>
      </c>
      <c r="B6085" t="s">
        <v>6475</v>
      </c>
      <c r="C6085" t="s">
        <v>6124</v>
      </c>
      <c r="D6085" t="s">
        <v>6476</v>
      </c>
      <c r="E6085" t="s">
        <v>19114</v>
      </c>
      <c r="F6085">
        <v>1</v>
      </c>
      <c r="G6085">
        <v>2567907</v>
      </c>
      <c r="H6085" t="s">
        <v>19115</v>
      </c>
      <c r="J6085" s="54" t="s">
        <v>6052</v>
      </c>
      <c r="K6085" s="54">
        <v>0</v>
      </c>
      <c r="L6085" s="22" t="s">
        <v>1563</v>
      </c>
      <c r="M6085" s="22" t="s">
        <v>37294</v>
      </c>
    </row>
    <row r="6086" spans="1:13" x14ac:dyDescent="0.75">
      <c r="A6086" t="s">
        <v>22651</v>
      </c>
      <c r="B6086" t="s">
        <v>6475</v>
      </c>
      <c r="C6086" t="s">
        <v>6124</v>
      </c>
      <c r="D6086" t="s">
        <v>6476</v>
      </c>
      <c r="E6086" t="s">
        <v>19114</v>
      </c>
      <c r="F6086">
        <v>24</v>
      </c>
      <c r="G6086">
        <v>2521981</v>
      </c>
      <c r="H6086" t="s">
        <v>22652</v>
      </c>
      <c r="J6086" s="54" t="s">
        <v>6052</v>
      </c>
      <c r="K6086" s="54">
        <v>0</v>
      </c>
      <c r="L6086" s="22" t="s">
        <v>1563</v>
      </c>
      <c r="M6086" s="22" t="s">
        <v>37294</v>
      </c>
    </row>
    <row r="6087" spans="1:13" x14ac:dyDescent="0.75">
      <c r="A6087" t="s">
        <v>22645</v>
      </c>
      <c r="B6087" t="s">
        <v>6475</v>
      </c>
      <c r="C6087" t="s">
        <v>6124</v>
      </c>
      <c r="D6087" t="s">
        <v>6476</v>
      </c>
      <c r="E6087" t="s">
        <v>22646</v>
      </c>
      <c r="F6087">
        <v>18</v>
      </c>
      <c r="G6087">
        <v>2635037</v>
      </c>
      <c r="H6087" t="s">
        <v>22647</v>
      </c>
      <c r="J6087" s="54" t="s">
        <v>6052</v>
      </c>
      <c r="K6087" s="54">
        <v>0</v>
      </c>
      <c r="L6087" s="22" t="s">
        <v>1563</v>
      </c>
      <c r="M6087" s="22" t="s">
        <v>37294</v>
      </c>
    </row>
    <row r="6088" spans="1:13" x14ac:dyDescent="0.75">
      <c r="A6088" t="s">
        <v>22642</v>
      </c>
      <c r="B6088" t="s">
        <v>6475</v>
      </c>
      <c r="C6088" t="s">
        <v>6124</v>
      </c>
      <c r="D6088" t="s">
        <v>6476</v>
      </c>
      <c r="E6088" t="s">
        <v>22643</v>
      </c>
      <c r="F6088">
        <v>22</v>
      </c>
      <c r="G6088">
        <v>2586047</v>
      </c>
      <c r="H6088" t="s">
        <v>22644</v>
      </c>
      <c r="J6088" s="54" t="s">
        <v>6052</v>
      </c>
      <c r="K6088" s="54">
        <v>0</v>
      </c>
      <c r="L6088" s="22" t="s">
        <v>1563</v>
      </c>
      <c r="M6088" s="22" t="s">
        <v>37294</v>
      </c>
    </row>
    <row r="6089" spans="1:13" x14ac:dyDescent="0.75">
      <c r="A6089" t="s">
        <v>19743</v>
      </c>
      <c r="B6089" t="s">
        <v>9016</v>
      </c>
      <c r="C6089" t="s">
        <v>6124</v>
      </c>
      <c r="D6089" t="s">
        <v>9017</v>
      </c>
      <c r="E6089" t="s">
        <v>19744</v>
      </c>
      <c r="F6089">
        <v>32</v>
      </c>
      <c r="G6089">
        <v>2569939</v>
      </c>
      <c r="H6089" t="s">
        <v>19745</v>
      </c>
      <c r="J6089" s="54" t="s">
        <v>6052</v>
      </c>
      <c r="K6089" s="54">
        <v>0</v>
      </c>
      <c r="L6089" s="22" t="s">
        <v>36806</v>
      </c>
      <c r="M6089" s="22" t="s">
        <v>37289</v>
      </c>
    </row>
    <row r="6090" spans="1:13" x14ac:dyDescent="0.75">
      <c r="A6090" t="s">
        <v>27094</v>
      </c>
      <c r="B6090" t="s">
        <v>10958</v>
      </c>
      <c r="C6090" t="s">
        <v>6124</v>
      </c>
      <c r="D6090" t="s">
        <v>6928</v>
      </c>
      <c r="E6090" t="s">
        <v>27095</v>
      </c>
      <c r="F6090">
        <v>5</v>
      </c>
      <c r="G6090">
        <v>2324167</v>
      </c>
      <c r="H6090" t="s">
        <v>27096</v>
      </c>
      <c r="J6090" s="54" t="s">
        <v>6052</v>
      </c>
      <c r="K6090" s="54">
        <v>0</v>
      </c>
      <c r="L6090" s="22" t="s">
        <v>36806</v>
      </c>
      <c r="M6090" s="22" t="s">
        <v>37292</v>
      </c>
    </row>
    <row r="6091" spans="1:13" x14ac:dyDescent="0.75">
      <c r="A6091" t="s">
        <v>11552</v>
      </c>
      <c r="B6091" t="s">
        <v>6123</v>
      </c>
      <c r="C6091" t="s">
        <v>6124</v>
      </c>
      <c r="D6091" t="s">
        <v>6125</v>
      </c>
      <c r="E6091" t="s">
        <v>11553</v>
      </c>
      <c r="F6091">
        <v>44</v>
      </c>
      <c r="G6091">
        <v>2302683</v>
      </c>
      <c r="H6091" t="s">
        <v>11554</v>
      </c>
      <c r="J6091" s="54" t="s">
        <v>6052</v>
      </c>
      <c r="K6091" s="54">
        <v>0</v>
      </c>
      <c r="L6091" s="22" t="s">
        <v>36806</v>
      </c>
      <c r="M6091" s="22" t="s">
        <v>37290</v>
      </c>
    </row>
    <row r="6092" spans="1:13" x14ac:dyDescent="0.75">
      <c r="A6092" t="s">
        <v>20749</v>
      </c>
      <c r="B6092" t="s">
        <v>11784</v>
      </c>
      <c r="C6092" t="s">
        <v>6124</v>
      </c>
      <c r="D6092" t="s">
        <v>11785</v>
      </c>
      <c r="E6092" t="s">
        <v>20750</v>
      </c>
      <c r="F6092">
        <v>1</v>
      </c>
      <c r="G6092">
        <v>2263046</v>
      </c>
      <c r="H6092" t="s">
        <v>20751</v>
      </c>
      <c r="J6092" s="54" t="s">
        <v>6052</v>
      </c>
      <c r="K6092" s="54">
        <v>0</v>
      </c>
      <c r="L6092" s="22" t="s">
        <v>36805</v>
      </c>
      <c r="M6092" s="22" t="s">
        <v>37297</v>
      </c>
    </row>
    <row r="6093" spans="1:13" x14ac:dyDescent="0.75">
      <c r="A6093" t="s">
        <v>6194</v>
      </c>
      <c r="B6093" t="s">
        <v>6195</v>
      </c>
      <c r="C6093" t="s">
        <v>6124</v>
      </c>
      <c r="D6093" t="s">
        <v>6196</v>
      </c>
      <c r="E6093" t="s">
        <v>6197</v>
      </c>
      <c r="F6093">
        <v>4</v>
      </c>
      <c r="G6093">
        <v>2697861</v>
      </c>
      <c r="H6093" t="s">
        <v>6198</v>
      </c>
      <c r="J6093" s="54" t="s">
        <v>6052</v>
      </c>
      <c r="K6093" s="54">
        <v>0</v>
      </c>
      <c r="L6093" s="22" t="s">
        <v>36807</v>
      </c>
      <c r="M6093" s="22" t="s">
        <v>37288</v>
      </c>
    </row>
    <row r="6094" spans="1:13" x14ac:dyDescent="0.75">
      <c r="A6094" t="s">
        <v>6296</v>
      </c>
      <c r="B6094" t="s">
        <v>6167</v>
      </c>
      <c r="C6094" t="s">
        <v>6124</v>
      </c>
      <c r="D6094" t="s">
        <v>6168</v>
      </c>
      <c r="E6094" t="s">
        <v>6297</v>
      </c>
      <c r="F6094">
        <v>2</v>
      </c>
      <c r="G6094">
        <v>2937129</v>
      </c>
      <c r="H6094" t="s">
        <v>6298</v>
      </c>
      <c r="J6094" s="54" t="s">
        <v>6052</v>
      </c>
      <c r="K6094" s="54">
        <v>0</v>
      </c>
      <c r="L6094" s="22" t="s">
        <v>36807</v>
      </c>
      <c r="M6094" s="22" t="s">
        <v>37291</v>
      </c>
    </row>
    <row r="6095" spans="1:13" x14ac:dyDescent="0.75">
      <c r="A6095" t="s">
        <v>18102</v>
      </c>
      <c r="B6095" t="s">
        <v>6475</v>
      </c>
      <c r="C6095" t="s">
        <v>6124</v>
      </c>
      <c r="D6095" t="s">
        <v>6476</v>
      </c>
      <c r="E6095" t="s">
        <v>18103</v>
      </c>
      <c r="F6095">
        <v>1</v>
      </c>
      <c r="G6095">
        <v>2687768</v>
      </c>
      <c r="H6095" t="s">
        <v>18104</v>
      </c>
      <c r="J6095" s="54" t="s">
        <v>6052</v>
      </c>
      <c r="K6095" s="54">
        <v>0</v>
      </c>
      <c r="L6095" s="22" t="s">
        <v>1563</v>
      </c>
      <c r="M6095" s="22" t="s">
        <v>37294</v>
      </c>
    </row>
    <row r="6096" spans="1:13" x14ac:dyDescent="0.75">
      <c r="A6096" t="s">
        <v>16661</v>
      </c>
      <c r="B6096" t="s">
        <v>6167</v>
      </c>
      <c r="C6096" t="s">
        <v>6124</v>
      </c>
      <c r="D6096" t="s">
        <v>6168</v>
      </c>
      <c r="E6096" t="s">
        <v>16662</v>
      </c>
      <c r="F6096">
        <v>1</v>
      </c>
      <c r="G6096">
        <v>2955000</v>
      </c>
      <c r="H6096" t="s">
        <v>16663</v>
      </c>
      <c r="J6096" s="54" t="s">
        <v>6052</v>
      </c>
      <c r="K6096" s="54">
        <v>0</v>
      </c>
      <c r="L6096" s="22" t="s">
        <v>36807</v>
      </c>
      <c r="M6096" s="22" t="s">
        <v>37291</v>
      </c>
    </row>
    <row r="6097" spans="1:13" x14ac:dyDescent="0.75">
      <c r="A6097" t="s">
        <v>6613</v>
      </c>
      <c r="B6097" t="s">
        <v>6167</v>
      </c>
      <c r="C6097" t="s">
        <v>6124</v>
      </c>
      <c r="D6097" t="s">
        <v>6168</v>
      </c>
      <c r="E6097" t="s">
        <v>6614</v>
      </c>
      <c r="F6097">
        <v>1</v>
      </c>
      <c r="G6097">
        <v>2924344</v>
      </c>
      <c r="H6097" t="s">
        <v>6615</v>
      </c>
      <c r="J6097" s="54" t="s">
        <v>6052</v>
      </c>
      <c r="K6097" s="54">
        <v>0</v>
      </c>
      <c r="L6097" s="22" t="s">
        <v>36807</v>
      </c>
      <c r="M6097" s="22" t="s">
        <v>37291</v>
      </c>
    </row>
    <row r="6098" spans="1:13" x14ac:dyDescent="0.75">
      <c r="A6098" t="s">
        <v>6598</v>
      </c>
      <c r="B6098" t="s">
        <v>6167</v>
      </c>
      <c r="C6098" t="s">
        <v>6124</v>
      </c>
      <c r="D6098" t="s">
        <v>6168</v>
      </c>
      <c r="E6098" t="s">
        <v>6599</v>
      </c>
      <c r="F6098">
        <v>2</v>
      </c>
      <c r="G6098">
        <v>2839400</v>
      </c>
      <c r="H6098" t="s">
        <v>6600</v>
      </c>
      <c r="J6098" s="54" t="s">
        <v>6052</v>
      </c>
      <c r="K6098" s="54">
        <v>0</v>
      </c>
      <c r="L6098" s="22" t="s">
        <v>36807</v>
      </c>
      <c r="M6098" s="22" t="s">
        <v>37291</v>
      </c>
    </row>
    <row r="6099" spans="1:13" x14ac:dyDescent="0.75">
      <c r="A6099" t="s">
        <v>21819</v>
      </c>
      <c r="B6099" t="s">
        <v>6167</v>
      </c>
      <c r="C6099" t="s">
        <v>6124</v>
      </c>
      <c r="D6099" t="s">
        <v>6168</v>
      </c>
      <c r="E6099" t="s">
        <v>21820</v>
      </c>
      <c r="F6099">
        <v>2</v>
      </c>
      <c r="G6099">
        <v>2740664</v>
      </c>
      <c r="H6099" t="s">
        <v>21821</v>
      </c>
      <c r="J6099" s="54" t="s">
        <v>6052</v>
      </c>
      <c r="K6099" s="54">
        <v>0</v>
      </c>
      <c r="L6099" s="22" t="s">
        <v>36807</v>
      </c>
      <c r="M6099" s="22" t="s">
        <v>37291</v>
      </c>
    </row>
    <row r="6100" spans="1:13" x14ac:dyDescent="0.75">
      <c r="A6100" t="s">
        <v>16364</v>
      </c>
      <c r="B6100" t="s">
        <v>6894</v>
      </c>
      <c r="C6100" t="s">
        <v>6124</v>
      </c>
      <c r="D6100" t="s">
        <v>6895</v>
      </c>
      <c r="E6100" t="s">
        <v>16365</v>
      </c>
      <c r="F6100">
        <v>1</v>
      </c>
      <c r="G6100">
        <v>2618380</v>
      </c>
      <c r="H6100" t="s">
        <v>16366</v>
      </c>
      <c r="J6100" s="54" t="s">
        <v>6052</v>
      </c>
      <c r="K6100" s="54">
        <v>0</v>
      </c>
      <c r="L6100" s="22" t="s">
        <v>1563</v>
      </c>
      <c r="M6100" s="22" t="s">
        <v>37293</v>
      </c>
    </row>
    <row r="6101" spans="1:13" x14ac:dyDescent="0.75">
      <c r="A6101" t="s">
        <v>16367</v>
      </c>
      <c r="B6101" t="s">
        <v>6894</v>
      </c>
      <c r="C6101" t="s">
        <v>6124</v>
      </c>
      <c r="D6101" t="s">
        <v>6895</v>
      </c>
      <c r="E6101" t="s">
        <v>16368</v>
      </c>
      <c r="F6101">
        <v>1</v>
      </c>
      <c r="G6101">
        <v>2629173</v>
      </c>
      <c r="H6101" t="s">
        <v>16369</v>
      </c>
      <c r="J6101" s="54" t="s">
        <v>6052</v>
      </c>
      <c r="K6101" s="54">
        <v>0</v>
      </c>
      <c r="L6101" s="22" t="s">
        <v>1563</v>
      </c>
      <c r="M6101" s="22" t="s">
        <v>37293</v>
      </c>
    </row>
    <row r="6102" spans="1:13" x14ac:dyDescent="0.75">
      <c r="A6102" t="s">
        <v>16370</v>
      </c>
      <c r="B6102" t="s">
        <v>6894</v>
      </c>
      <c r="C6102" t="s">
        <v>6124</v>
      </c>
      <c r="D6102" t="s">
        <v>6895</v>
      </c>
      <c r="E6102" t="s">
        <v>16371</v>
      </c>
      <c r="F6102">
        <v>1</v>
      </c>
      <c r="G6102">
        <v>2598513</v>
      </c>
      <c r="H6102" t="s">
        <v>16372</v>
      </c>
      <c r="J6102" s="54" t="s">
        <v>6052</v>
      </c>
      <c r="K6102" s="54">
        <v>0</v>
      </c>
      <c r="L6102" s="22" t="s">
        <v>1563</v>
      </c>
      <c r="M6102" s="22" t="s">
        <v>37293</v>
      </c>
    </row>
    <row r="6103" spans="1:13" x14ac:dyDescent="0.75">
      <c r="A6103" t="s">
        <v>13968</v>
      </c>
      <c r="B6103" t="s">
        <v>13969</v>
      </c>
      <c r="C6103" t="s">
        <v>6124</v>
      </c>
      <c r="D6103" t="s">
        <v>13970</v>
      </c>
      <c r="E6103" t="s">
        <v>13971</v>
      </c>
      <c r="F6103">
        <v>3</v>
      </c>
      <c r="G6103">
        <v>2622223</v>
      </c>
      <c r="H6103" t="s">
        <v>13972</v>
      </c>
      <c r="J6103" s="54" t="s">
        <v>6052</v>
      </c>
      <c r="K6103" s="54">
        <v>0</v>
      </c>
      <c r="L6103" s="22" t="s">
        <v>1563</v>
      </c>
      <c r="M6103" s="22" t="s">
        <v>37298</v>
      </c>
    </row>
    <row r="6104" spans="1:13" x14ac:dyDescent="0.75">
      <c r="A6104" t="s">
        <v>23440</v>
      </c>
      <c r="B6104" t="s">
        <v>6475</v>
      </c>
      <c r="C6104" t="s">
        <v>6124</v>
      </c>
      <c r="D6104" t="s">
        <v>6476</v>
      </c>
      <c r="E6104" t="s">
        <v>23441</v>
      </c>
      <c r="F6104">
        <v>34</v>
      </c>
      <c r="G6104">
        <v>2545458</v>
      </c>
      <c r="H6104" t="s">
        <v>23442</v>
      </c>
      <c r="J6104" s="54" t="s">
        <v>6052</v>
      </c>
      <c r="K6104" s="54">
        <v>0</v>
      </c>
      <c r="L6104" s="22" t="s">
        <v>1563</v>
      </c>
      <c r="M6104" s="22" t="s">
        <v>37294</v>
      </c>
    </row>
    <row r="6105" spans="1:13" x14ac:dyDescent="0.75">
      <c r="A6105" t="s">
        <v>23446</v>
      </c>
      <c r="B6105" t="s">
        <v>6475</v>
      </c>
      <c r="C6105" t="s">
        <v>6124</v>
      </c>
      <c r="D6105" t="s">
        <v>6476</v>
      </c>
      <c r="E6105" t="s">
        <v>23447</v>
      </c>
      <c r="F6105">
        <v>38</v>
      </c>
      <c r="G6105">
        <v>2624890</v>
      </c>
      <c r="H6105" t="s">
        <v>23448</v>
      </c>
      <c r="J6105" s="54" t="s">
        <v>6052</v>
      </c>
      <c r="K6105" s="54">
        <v>0</v>
      </c>
      <c r="L6105" s="22" t="s">
        <v>1563</v>
      </c>
      <c r="M6105" s="22" t="s">
        <v>37294</v>
      </c>
    </row>
    <row r="6106" spans="1:13" x14ac:dyDescent="0.75">
      <c r="A6106" t="s">
        <v>23443</v>
      </c>
      <c r="B6106" t="s">
        <v>6475</v>
      </c>
      <c r="C6106" t="s">
        <v>6124</v>
      </c>
      <c r="D6106" t="s">
        <v>6476</v>
      </c>
      <c r="E6106" t="s">
        <v>23444</v>
      </c>
      <c r="F6106">
        <v>45</v>
      </c>
      <c r="G6106">
        <v>2626997</v>
      </c>
      <c r="H6106" t="s">
        <v>23445</v>
      </c>
      <c r="J6106" s="54" t="s">
        <v>6052</v>
      </c>
      <c r="K6106" s="54">
        <v>0</v>
      </c>
      <c r="L6106" s="22" t="s">
        <v>1563</v>
      </c>
      <c r="M6106" s="22" t="s">
        <v>37294</v>
      </c>
    </row>
    <row r="6107" spans="1:13" x14ac:dyDescent="0.75">
      <c r="A6107" t="s">
        <v>14309</v>
      </c>
      <c r="B6107" t="s">
        <v>10958</v>
      </c>
      <c r="C6107" t="s">
        <v>6124</v>
      </c>
      <c r="D6107" t="s">
        <v>6928</v>
      </c>
      <c r="E6107" t="s">
        <v>14310</v>
      </c>
      <c r="F6107">
        <v>1</v>
      </c>
      <c r="G6107">
        <v>2253412</v>
      </c>
      <c r="H6107" t="s">
        <v>14311</v>
      </c>
      <c r="J6107" s="54" t="s">
        <v>6052</v>
      </c>
      <c r="K6107" s="54">
        <v>0</v>
      </c>
      <c r="L6107" s="22" t="s">
        <v>36806</v>
      </c>
      <c r="M6107" s="22" t="s">
        <v>37292</v>
      </c>
    </row>
    <row r="6108" spans="1:13" x14ac:dyDescent="0.75">
      <c r="A6108" t="s">
        <v>24128</v>
      </c>
      <c r="B6108" t="s">
        <v>7155</v>
      </c>
      <c r="C6108" t="s">
        <v>6124</v>
      </c>
      <c r="D6108" t="s">
        <v>7156</v>
      </c>
      <c r="E6108" t="s">
        <v>24129</v>
      </c>
      <c r="F6108">
        <v>2</v>
      </c>
      <c r="G6108">
        <v>2546812</v>
      </c>
      <c r="H6108" t="s">
        <v>24130</v>
      </c>
      <c r="J6108" s="54" t="s">
        <v>6052</v>
      </c>
      <c r="K6108" s="54">
        <v>0</v>
      </c>
      <c r="L6108" s="22" t="s">
        <v>36806</v>
      </c>
      <c r="M6108" s="22" t="s">
        <v>37296</v>
      </c>
    </row>
    <row r="6109" spans="1:13" x14ac:dyDescent="0.75">
      <c r="A6109" t="s">
        <v>21143</v>
      </c>
      <c r="B6109" t="s">
        <v>10958</v>
      </c>
      <c r="C6109" t="s">
        <v>6124</v>
      </c>
      <c r="D6109" t="s">
        <v>6928</v>
      </c>
      <c r="E6109" t="s">
        <v>21144</v>
      </c>
      <c r="F6109">
        <v>27</v>
      </c>
      <c r="G6109">
        <v>2162928</v>
      </c>
      <c r="H6109" t="s">
        <v>21145</v>
      </c>
      <c r="J6109" s="54" t="s">
        <v>6052</v>
      </c>
      <c r="K6109" s="54">
        <v>0</v>
      </c>
      <c r="L6109" s="22" t="s">
        <v>36806</v>
      </c>
      <c r="M6109" s="22" t="s">
        <v>37292</v>
      </c>
    </row>
    <row r="6110" spans="1:13" x14ac:dyDescent="0.75">
      <c r="A6110" t="s">
        <v>21481</v>
      </c>
      <c r="B6110" t="s">
        <v>13747</v>
      </c>
      <c r="C6110" t="s">
        <v>6124</v>
      </c>
      <c r="D6110" t="s">
        <v>13748</v>
      </c>
      <c r="E6110" t="s">
        <v>21482</v>
      </c>
      <c r="F6110">
        <v>26</v>
      </c>
      <c r="G6110">
        <v>2466980</v>
      </c>
      <c r="H6110" t="s">
        <v>21483</v>
      </c>
      <c r="J6110" s="54" t="s">
        <v>6052</v>
      </c>
      <c r="K6110" s="54">
        <v>0</v>
      </c>
      <c r="L6110" s="22" t="s">
        <v>1563</v>
      </c>
      <c r="M6110" s="22" t="s">
        <v>37300</v>
      </c>
    </row>
    <row r="6111" spans="1:13" x14ac:dyDescent="0.75">
      <c r="A6111" t="s">
        <v>13844</v>
      </c>
      <c r="B6111" t="s">
        <v>6475</v>
      </c>
      <c r="C6111" t="s">
        <v>6124</v>
      </c>
      <c r="D6111" t="s">
        <v>6476</v>
      </c>
      <c r="E6111" t="s">
        <v>13845</v>
      </c>
      <c r="F6111">
        <v>1</v>
      </c>
      <c r="G6111">
        <v>2584152</v>
      </c>
      <c r="H6111" t="s">
        <v>13846</v>
      </c>
      <c r="J6111" s="54" t="s">
        <v>6052</v>
      </c>
      <c r="K6111" s="54">
        <v>0</v>
      </c>
      <c r="L6111" s="22" t="s">
        <v>1563</v>
      </c>
      <c r="M6111" s="22" t="s">
        <v>37294</v>
      </c>
    </row>
    <row r="6112" spans="1:13" x14ac:dyDescent="0.75">
      <c r="A6112" t="s">
        <v>17369</v>
      </c>
      <c r="B6112" t="s">
        <v>6167</v>
      </c>
      <c r="C6112" t="s">
        <v>6124</v>
      </c>
      <c r="D6112" t="s">
        <v>6168</v>
      </c>
      <c r="E6112" t="s">
        <v>17370</v>
      </c>
      <c r="F6112">
        <v>2</v>
      </c>
      <c r="G6112">
        <v>2754388</v>
      </c>
      <c r="H6112" t="s">
        <v>17371</v>
      </c>
      <c r="J6112" s="54" t="s">
        <v>6052</v>
      </c>
      <c r="K6112" s="54">
        <v>0</v>
      </c>
      <c r="L6112" s="22" t="s">
        <v>36807</v>
      </c>
      <c r="M6112" s="22" t="s">
        <v>37291</v>
      </c>
    </row>
    <row r="6113" spans="1:13" x14ac:dyDescent="0.75">
      <c r="A6113" t="s">
        <v>17372</v>
      </c>
      <c r="B6113" t="s">
        <v>6167</v>
      </c>
      <c r="C6113" t="s">
        <v>6124</v>
      </c>
      <c r="D6113" t="s">
        <v>6168</v>
      </c>
      <c r="E6113" t="s">
        <v>17373</v>
      </c>
      <c r="F6113">
        <v>2</v>
      </c>
      <c r="G6113">
        <v>2969682</v>
      </c>
      <c r="H6113" t="s">
        <v>17374</v>
      </c>
      <c r="J6113" s="54" t="s">
        <v>6052</v>
      </c>
      <c r="K6113" s="54">
        <v>0</v>
      </c>
      <c r="L6113" s="22" t="s">
        <v>36807</v>
      </c>
      <c r="M6113" s="22" t="s">
        <v>37291</v>
      </c>
    </row>
    <row r="6114" spans="1:13" x14ac:dyDescent="0.75">
      <c r="A6114" t="s">
        <v>16720</v>
      </c>
      <c r="B6114" t="s">
        <v>10958</v>
      </c>
      <c r="C6114" t="s">
        <v>6124</v>
      </c>
      <c r="D6114" t="s">
        <v>6928</v>
      </c>
      <c r="E6114" t="s">
        <v>16721</v>
      </c>
      <c r="F6114">
        <v>28</v>
      </c>
      <c r="G6114">
        <v>2174619</v>
      </c>
      <c r="H6114" t="s">
        <v>16722</v>
      </c>
      <c r="J6114" s="54" t="s">
        <v>6052</v>
      </c>
      <c r="K6114" s="54">
        <v>0</v>
      </c>
      <c r="L6114" s="22" t="s">
        <v>36806</v>
      </c>
      <c r="M6114" s="22" t="s">
        <v>37292</v>
      </c>
    </row>
    <row r="6115" spans="1:13" x14ac:dyDescent="0.75">
      <c r="A6115" t="s">
        <v>21748</v>
      </c>
      <c r="B6115" t="s">
        <v>6167</v>
      </c>
      <c r="C6115" t="s">
        <v>6124</v>
      </c>
      <c r="D6115" t="s">
        <v>6168</v>
      </c>
      <c r="E6115" t="s">
        <v>21749</v>
      </c>
      <c r="F6115">
        <v>1</v>
      </c>
      <c r="G6115">
        <v>2766975</v>
      </c>
      <c r="H6115" t="s">
        <v>21750</v>
      </c>
      <c r="J6115" s="54" t="s">
        <v>6052</v>
      </c>
      <c r="K6115" s="54">
        <v>0</v>
      </c>
      <c r="L6115" s="22" t="s">
        <v>36807</v>
      </c>
      <c r="M6115" s="22" t="s">
        <v>37291</v>
      </c>
    </row>
    <row r="6116" spans="1:13" x14ac:dyDescent="0.75">
      <c r="A6116" t="s">
        <v>8331</v>
      </c>
      <c r="B6116" t="s">
        <v>6167</v>
      </c>
      <c r="C6116" t="s">
        <v>6124</v>
      </c>
      <c r="D6116" t="s">
        <v>6168</v>
      </c>
      <c r="E6116" t="s">
        <v>8332</v>
      </c>
      <c r="F6116">
        <v>2</v>
      </c>
      <c r="G6116">
        <v>2753827</v>
      </c>
      <c r="H6116" t="s">
        <v>8333</v>
      </c>
      <c r="J6116" s="54" t="s">
        <v>6052</v>
      </c>
      <c r="K6116" s="54">
        <v>0</v>
      </c>
      <c r="L6116" s="22" t="s">
        <v>36807</v>
      </c>
      <c r="M6116" s="22" t="s">
        <v>37291</v>
      </c>
    </row>
    <row r="6117" spans="1:13" x14ac:dyDescent="0.75">
      <c r="A6117" t="s">
        <v>24121</v>
      </c>
      <c r="B6117" t="s">
        <v>9016</v>
      </c>
      <c r="C6117" t="s">
        <v>6124</v>
      </c>
      <c r="D6117" t="s">
        <v>9017</v>
      </c>
      <c r="E6117" t="s">
        <v>24122</v>
      </c>
      <c r="F6117">
        <v>36</v>
      </c>
      <c r="G6117">
        <v>2441264</v>
      </c>
      <c r="H6117" t="s">
        <v>24123</v>
      </c>
      <c r="J6117" s="54" t="s">
        <v>6052</v>
      </c>
      <c r="K6117" s="54">
        <v>0</v>
      </c>
      <c r="L6117" s="22" t="s">
        <v>36806</v>
      </c>
      <c r="M6117" s="22" t="s">
        <v>37289</v>
      </c>
    </row>
    <row r="6118" spans="1:13" x14ac:dyDescent="0.75">
      <c r="A6118" t="s">
        <v>18960</v>
      </c>
      <c r="B6118" t="s">
        <v>6123</v>
      </c>
      <c r="C6118" t="s">
        <v>6124</v>
      </c>
      <c r="D6118" t="s">
        <v>6125</v>
      </c>
      <c r="E6118" t="s">
        <v>18961</v>
      </c>
      <c r="F6118">
        <v>1</v>
      </c>
      <c r="G6118">
        <v>2494355</v>
      </c>
      <c r="H6118" t="s">
        <v>18962</v>
      </c>
      <c r="J6118" s="54" t="s">
        <v>6052</v>
      </c>
      <c r="K6118" s="54">
        <v>0</v>
      </c>
      <c r="L6118" s="22" t="s">
        <v>36806</v>
      </c>
      <c r="M6118" s="22" t="s">
        <v>37290</v>
      </c>
    </row>
    <row r="6119" spans="1:13" x14ac:dyDescent="0.75">
      <c r="A6119" t="s">
        <v>22597</v>
      </c>
      <c r="B6119" t="s">
        <v>7155</v>
      </c>
      <c r="C6119" t="s">
        <v>6124</v>
      </c>
      <c r="D6119" t="s">
        <v>7156</v>
      </c>
      <c r="E6119" t="s">
        <v>22598</v>
      </c>
      <c r="F6119">
        <v>3</v>
      </c>
      <c r="G6119">
        <v>2632988</v>
      </c>
      <c r="H6119" t="s">
        <v>22599</v>
      </c>
      <c r="J6119" s="54" t="s">
        <v>6052</v>
      </c>
      <c r="K6119" s="54">
        <v>0</v>
      </c>
      <c r="L6119" s="22" t="s">
        <v>36806</v>
      </c>
      <c r="M6119" s="22" t="s">
        <v>37296</v>
      </c>
    </row>
    <row r="6120" spans="1:13" x14ac:dyDescent="0.75">
      <c r="A6120" t="s">
        <v>22877</v>
      </c>
      <c r="B6120" t="s">
        <v>7155</v>
      </c>
      <c r="C6120" t="s">
        <v>6124</v>
      </c>
      <c r="D6120" t="s">
        <v>7156</v>
      </c>
      <c r="E6120" t="s">
        <v>22878</v>
      </c>
      <c r="F6120">
        <v>43</v>
      </c>
      <c r="G6120">
        <v>2596660</v>
      </c>
      <c r="H6120" t="s">
        <v>22879</v>
      </c>
      <c r="J6120" s="54" t="s">
        <v>6052</v>
      </c>
      <c r="K6120" s="54">
        <v>0</v>
      </c>
      <c r="L6120" s="22" t="s">
        <v>36806</v>
      </c>
      <c r="M6120" s="22" t="s">
        <v>37296</v>
      </c>
    </row>
    <row r="6121" spans="1:13" x14ac:dyDescent="0.75">
      <c r="A6121" t="s">
        <v>22874</v>
      </c>
      <c r="B6121" t="s">
        <v>7155</v>
      </c>
      <c r="C6121" t="s">
        <v>6124</v>
      </c>
      <c r="D6121" t="s">
        <v>7156</v>
      </c>
      <c r="E6121" t="s">
        <v>22875</v>
      </c>
      <c r="F6121">
        <v>38</v>
      </c>
      <c r="G6121">
        <v>2606208</v>
      </c>
      <c r="H6121" t="s">
        <v>22876</v>
      </c>
      <c r="J6121" s="54" t="s">
        <v>6052</v>
      </c>
      <c r="K6121" s="54">
        <v>0</v>
      </c>
      <c r="L6121" s="22" t="s">
        <v>36806</v>
      </c>
      <c r="M6121" s="22" t="s">
        <v>37296</v>
      </c>
    </row>
    <row r="6122" spans="1:13" x14ac:dyDescent="0.75">
      <c r="A6122" t="s">
        <v>8328</v>
      </c>
      <c r="B6122" t="s">
        <v>6167</v>
      </c>
      <c r="C6122" t="s">
        <v>6124</v>
      </c>
      <c r="D6122" t="s">
        <v>6168</v>
      </c>
      <c r="E6122" t="s">
        <v>8329</v>
      </c>
      <c r="F6122">
        <v>2</v>
      </c>
      <c r="G6122">
        <v>2816697</v>
      </c>
      <c r="H6122" t="s">
        <v>8330</v>
      </c>
      <c r="J6122" s="54" t="s">
        <v>6052</v>
      </c>
      <c r="K6122" s="54">
        <v>0</v>
      </c>
      <c r="L6122" s="22" t="s">
        <v>36807</v>
      </c>
      <c r="M6122" s="22" t="s">
        <v>37291</v>
      </c>
    </row>
    <row r="6123" spans="1:13" x14ac:dyDescent="0.75">
      <c r="A6123" t="s">
        <v>9278</v>
      </c>
      <c r="B6123" t="s">
        <v>6167</v>
      </c>
      <c r="C6123" t="s">
        <v>6124</v>
      </c>
      <c r="D6123" t="s">
        <v>6168</v>
      </c>
      <c r="E6123" t="s">
        <v>9279</v>
      </c>
      <c r="F6123">
        <v>3</v>
      </c>
      <c r="G6123">
        <v>2895690</v>
      </c>
      <c r="H6123" t="s">
        <v>9280</v>
      </c>
      <c r="J6123" s="54" t="s">
        <v>6052</v>
      </c>
      <c r="K6123" s="54">
        <v>0</v>
      </c>
      <c r="L6123" s="22" t="s">
        <v>36807</v>
      </c>
      <c r="M6123" s="22" t="s">
        <v>37291</v>
      </c>
    </row>
    <row r="6124" spans="1:13" x14ac:dyDescent="0.75">
      <c r="A6124" t="s">
        <v>9281</v>
      </c>
      <c r="B6124" t="s">
        <v>6167</v>
      </c>
      <c r="C6124" t="s">
        <v>6124</v>
      </c>
      <c r="D6124" t="s">
        <v>6168</v>
      </c>
      <c r="E6124" t="s">
        <v>9282</v>
      </c>
      <c r="F6124">
        <v>5</v>
      </c>
      <c r="G6124">
        <v>2838730</v>
      </c>
      <c r="H6124" t="s">
        <v>9283</v>
      </c>
      <c r="J6124" s="54" t="s">
        <v>6052</v>
      </c>
      <c r="K6124" s="54">
        <v>0</v>
      </c>
      <c r="L6124" s="22" t="s">
        <v>36807</v>
      </c>
      <c r="M6124" s="22" t="s">
        <v>37291</v>
      </c>
    </row>
    <row r="6125" spans="1:13" x14ac:dyDescent="0.75">
      <c r="A6125" t="s">
        <v>15648</v>
      </c>
      <c r="B6125" t="s">
        <v>9016</v>
      </c>
      <c r="C6125" t="s">
        <v>6124</v>
      </c>
      <c r="D6125" t="s">
        <v>9017</v>
      </c>
      <c r="E6125" t="s">
        <v>15649</v>
      </c>
      <c r="F6125">
        <v>1</v>
      </c>
      <c r="G6125">
        <v>2438350</v>
      </c>
      <c r="H6125" t="s">
        <v>15650</v>
      </c>
      <c r="J6125" s="54" t="s">
        <v>6052</v>
      </c>
      <c r="K6125" s="54">
        <v>0</v>
      </c>
      <c r="L6125" s="22" t="s">
        <v>36806</v>
      </c>
      <c r="M6125" s="22" t="s">
        <v>37289</v>
      </c>
    </row>
    <row r="6126" spans="1:13" x14ac:dyDescent="0.75">
      <c r="A6126" t="s">
        <v>26177</v>
      </c>
      <c r="B6126" t="s">
        <v>6195</v>
      </c>
      <c r="C6126" t="s">
        <v>6124</v>
      </c>
      <c r="D6126" t="s">
        <v>6196</v>
      </c>
      <c r="E6126" t="s">
        <v>26178</v>
      </c>
      <c r="F6126">
        <v>3</v>
      </c>
      <c r="G6126">
        <v>2471657</v>
      </c>
      <c r="H6126" t="s">
        <v>26179</v>
      </c>
      <c r="J6126" s="54" t="s">
        <v>6052</v>
      </c>
      <c r="K6126" s="54">
        <v>0</v>
      </c>
      <c r="L6126" s="22" t="s">
        <v>36807</v>
      </c>
      <c r="M6126" s="22" t="s">
        <v>37288</v>
      </c>
    </row>
    <row r="6127" spans="1:13" x14ac:dyDescent="0.75">
      <c r="A6127" t="s">
        <v>7407</v>
      </c>
      <c r="B6127" t="s">
        <v>6475</v>
      </c>
      <c r="C6127" t="s">
        <v>6124</v>
      </c>
      <c r="D6127" t="s">
        <v>6476</v>
      </c>
      <c r="E6127" t="s">
        <v>7408</v>
      </c>
      <c r="F6127">
        <v>23</v>
      </c>
      <c r="G6127">
        <v>2523668</v>
      </c>
      <c r="H6127" t="s">
        <v>7409</v>
      </c>
      <c r="J6127" s="54" t="s">
        <v>6052</v>
      </c>
      <c r="K6127" s="54">
        <v>0</v>
      </c>
      <c r="L6127" s="22" t="s">
        <v>1563</v>
      </c>
      <c r="M6127" s="22" t="s">
        <v>37294</v>
      </c>
    </row>
    <row r="6128" spans="1:13" x14ac:dyDescent="0.75">
      <c r="A6128" t="s">
        <v>6893</v>
      </c>
      <c r="B6128" t="s">
        <v>6894</v>
      </c>
      <c r="C6128" t="s">
        <v>6124</v>
      </c>
      <c r="D6128" t="s">
        <v>6895</v>
      </c>
      <c r="E6128" t="s">
        <v>6896</v>
      </c>
      <c r="F6128">
        <v>76</v>
      </c>
      <c r="G6128">
        <v>2629570</v>
      </c>
      <c r="H6128" t="s">
        <v>6897</v>
      </c>
      <c r="J6128" s="54" t="s">
        <v>6052</v>
      </c>
      <c r="K6128" s="54">
        <v>0</v>
      </c>
      <c r="L6128" s="22" t="s">
        <v>1563</v>
      </c>
      <c r="M6128" s="22" t="s">
        <v>37293</v>
      </c>
    </row>
    <row r="6129" spans="1:13" x14ac:dyDescent="0.75">
      <c r="A6129" t="s">
        <v>10222</v>
      </c>
      <c r="B6129" t="s">
        <v>6167</v>
      </c>
      <c r="C6129" t="s">
        <v>6124</v>
      </c>
      <c r="D6129" t="s">
        <v>6168</v>
      </c>
      <c r="E6129" t="s">
        <v>10223</v>
      </c>
      <c r="F6129">
        <v>5</v>
      </c>
      <c r="G6129">
        <v>2876258</v>
      </c>
      <c r="H6129" t="s">
        <v>10224</v>
      </c>
      <c r="J6129" s="54" t="s">
        <v>6052</v>
      </c>
      <c r="K6129" s="54">
        <v>0</v>
      </c>
      <c r="L6129" s="22" t="s">
        <v>36807</v>
      </c>
      <c r="M6129" s="22" t="s">
        <v>37291</v>
      </c>
    </row>
    <row r="6130" spans="1:13" x14ac:dyDescent="0.75">
      <c r="A6130" t="s">
        <v>10228</v>
      </c>
      <c r="B6130" t="s">
        <v>6167</v>
      </c>
      <c r="C6130" t="s">
        <v>6124</v>
      </c>
      <c r="D6130" t="s">
        <v>6168</v>
      </c>
      <c r="E6130" t="s">
        <v>10229</v>
      </c>
      <c r="F6130">
        <v>4</v>
      </c>
      <c r="G6130">
        <v>2876914</v>
      </c>
      <c r="H6130" t="s">
        <v>10230</v>
      </c>
      <c r="J6130" s="54" t="s">
        <v>6052</v>
      </c>
      <c r="K6130" s="54">
        <v>0</v>
      </c>
      <c r="L6130" s="22" t="s">
        <v>36807</v>
      </c>
      <c r="M6130" s="22" t="s">
        <v>37291</v>
      </c>
    </row>
    <row r="6131" spans="1:13" x14ac:dyDescent="0.75">
      <c r="A6131" t="s">
        <v>13594</v>
      </c>
      <c r="B6131" t="s">
        <v>6167</v>
      </c>
      <c r="C6131" t="s">
        <v>6124</v>
      </c>
      <c r="D6131" t="s">
        <v>6168</v>
      </c>
      <c r="E6131" t="s">
        <v>13595</v>
      </c>
      <c r="F6131">
        <v>1</v>
      </c>
      <c r="G6131">
        <v>3038845</v>
      </c>
      <c r="H6131" t="s">
        <v>13596</v>
      </c>
      <c r="J6131" s="54" t="s">
        <v>6052</v>
      </c>
      <c r="K6131" s="54">
        <v>0</v>
      </c>
      <c r="L6131" s="22" t="s">
        <v>36807</v>
      </c>
      <c r="M6131" s="22" t="s">
        <v>37291</v>
      </c>
    </row>
    <row r="6132" spans="1:13" x14ac:dyDescent="0.75">
      <c r="A6132" t="s">
        <v>20284</v>
      </c>
      <c r="B6132" t="s">
        <v>6475</v>
      </c>
      <c r="C6132" t="s">
        <v>6124</v>
      </c>
      <c r="D6132" t="s">
        <v>6476</v>
      </c>
      <c r="E6132" t="s">
        <v>20285</v>
      </c>
      <c r="F6132">
        <v>1</v>
      </c>
      <c r="G6132">
        <v>2606118</v>
      </c>
      <c r="H6132" t="s">
        <v>20286</v>
      </c>
      <c r="J6132" s="54" t="s">
        <v>6052</v>
      </c>
      <c r="K6132" s="54">
        <v>0</v>
      </c>
      <c r="L6132" s="22" t="s">
        <v>1563</v>
      </c>
      <c r="M6132" s="22" t="s">
        <v>37294</v>
      </c>
    </row>
    <row r="6133" spans="1:13" x14ac:dyDescent="0.75">
      <c r="A6133" t="s">
        <v>20606</v>
      </c>
      <c r="B6133" t="s">
        <v>9016</v>
      </c>
      <c r="C6133" t="s">
        <v>6124</v>
      </c>
      <c r="D6133" t="s">
        <v>9017</v>
      </c>
      <c r="E6133" t="s">
        <v>20607</v>
      </c>
      <c r="F6133">
        <v>12</v>
      </c>
      <c r="G6133">
        <v>2521958</v>
      </c>
      <c r="H6133" t="s">
        <v>20608</v>
      </c>
      <c r="J6133" s="54" t="s">
        <v>6052</v>
      </c>
      <c r="K6133" s="54">
        <v>0</v>
      </c>
      <c r="L6133" s="22" t="s">
        <v>36806</v>
      </c>
      <c r="M6133" s="22" t="s">
        <v>37289</v>
      </c>
    </row>
    <row r="6134" spans="1:13" x14ac:dyDescent="0.75">
      <c r="A6134" t="s">
        <v>21026</v>
      </c>
      <c r="B6134" t="s">
        <v>10958</v>
      </c>
      <c r="C6134" t="s">
        <v>6124</v>
      </c>
      <c r="D6134" t="s">
        <v>6928</v>
      </c>
      <c r="E6134" t="s">
        <v>21027</v>
      </c>
      <c r="F6134">
        <v>2</v>
      </c>
      <c r="G6134">
        <v>2295496</v>
      </c>
      <c r="H6134" t="s">
        <v>21028</v>
      </c>
      <c r="J6134" s="54" t="s">
        <v>6052</v>
      </c>
      <c r="K6134" s="54">
        <v>0</v>
      </c>
      <c r="L6134" s="22" t="s">
        <v>36806</v>
      </c>
      <c r="M6134" s="22" t="s">
        <v>37292</v>
      </c>
    </row>
    <row r="6135" spans="1:13" x14ac:dyDescent="0.75">
      <c r="A6135" t="s">
        <v>23388</v>
      </c>
      <c r="B6135" t="s">
        <v>9016</v>
      </c>
      <c r="C6135" t="s">
        <v>6124</v>
      </c>
      <c r="D6135" t="s">
        <v>9017</v>
      </c>
      <c r="E6135" t="s">
        <v>23389</v>
      </c>
      <c r="F6135">
        <v>27</v>
      </c>
      <c r="G6135">
        <v>2424208</v>
      </c>
      <c r="H6135" t="s">
        <v>23390</v>
      </c>
      <c r="J6135" s="54" t="s">
        <v>6052</v>
      </c>
      <c r="K6135" s="54">
        <v>0</v>
      </c>
      <c r="L6135" s="22" t="s">
        <v>36806</v>
      </c>
      <c r="M6135" s="22" t="s">
        <v>37289</v>
      </c>
    </row>
    <row r="6136" spans="1:13" x14ac:dyDescent="0.75">
      <c r="A6136" t="s">
        <v>28331</v>
      </c>
      <c r="B6136" t="s">
        <v>9016</v>
      </c>
      <c r="C6136" t="s">
        <v>6124</v>
      </c>
      <c r="D6136" t="s">
        <v>9017</v>
      </c>
      <c r="E6136" t="s">
        <v>28332</v>
      </c>
      <c r="F6136">
        <v>36</v>
      </c>
      <c r="G6136">
        <v>2673248</v>
      </c>
      <c r="H6136" t="s">
        <v>28333</v>
      </c>
      <c r="J6136" s="54" t="s">
        <v>6052</v>
      </c>
      <c r="K6136" s="54">
        <v>0</v>
      </c>
      <c r="L6136" s="22" t="s">
        <v>36806</v>
      </c>
      <c r="M6136" s="22" t="s">
        <v>37289</v>
      </c>
    </row>
    <row r="6137" spans="1:13" x14ac:dyDescent="0.75">
      <c r="A6137" t="s">
        <v>13380</v>
      </c>
      <c r="B6137" t="s">
        <v>9016</v>
      </c>
      <c r="C6137" t="s">
        <v>6124</v>
      </c>
      <c r="D6137" t="s">
        <v>9017</v>
      </c>
      <c r="E6137" t="s">
        <v>13381</v>
      </c>
      <c r="F6137">
        <v>44</v>
      </c>
      <c r="G6137">
        <v>2441279</v>
      </c>
      <c r="H6137" t="s">
        <v>13382</v>
      </c>
      <c r="J6137" s="54" t="s">
        <v>6052</v>
      </c>
      <c r="K6137" s="54">
        <v>0</v>
      </c>
      <c r="L6137" s="22" t="s">
        <v>36806</v>
      </c>
      <c r="M6137" s="22" t="s">
        <v>37289</v>
      </c>
    </row>
    <row r="6138" spans="1:13" x14ac:dyDescent="0.75">
      <c r="A6138" t="s">
        <v>6890</v>
      </c>
      <c r="B6138" t="s">
        <v>6167</v>
      </c>
      <c r="C6138" t="s">
        <v>6124</v>
      </c>
      <c r="D6138" t="s">
        <v>6168</v>
      </c>
      <c r="E6138" t="s">
        <v>6891</v>
      </c>
      <c r="F6138">
        <v>5</v>
      </c>
      <c r="G6138">
        <v>2899588</v>
      </c>
      <c r="H6138" t="s">
        <v>6892</v>
      </c>
      <c r="J6138" s="54" t="s">
        <v>6052</v>
      </c>
      <c r="K6138" s="54">
        <v>0</v>
      </c>
      <c r="L6138" s="22" t="s">
        <v>36807</v>
      </c>
      <c r="M6138" s="22" t="s">
        <v>37291</v>
      </c>
    </row>
    <row r="6139" spans="1:13" x14ac:dyDescent="0.75">
      <c r="A6139" t="s">
        <v>6237</v>
      </c>
      <c r="B6139" t="s">
        <v>6167</v>
      </c>
      <c r="C6139" t="s">
        <v>6124</v>
      </c>
      <c r="D6139" t="s">
        <v>6168</v>
      </c>
      <c r="E6139" t="s">
        <v>6238</v>
      </c>
      <c r="F6139">
        <v>1</v>
      </c>
      <c r="G6139">
        <v>2902619</v>
      </c>
      <c r="H6139" t="s">
        <v>6239</v>
      </c>
      <c r="J6139" s="54" t="s">
        <v>6052</v>
      </c>
      <c r="K6139" s="54">
        <v>0</v>
      </c>
      <c r="L6139" s="22" t="s">
        <v>36807</v>
      </c>
      <c r="M6139" s="22" t="s">
        <v>37291</v>
      </c>
    </row>
    <row r="6140" spans="1:13" x14ac:dyDescent="0.75">
      <c r="A6140" t="s">
        <v>22838</v>
      </c>
      <c r="B6140" t="s">
        <v>6167</v>
      </c>
      <c r="C6140" t="s">
        <v>6124</v>
      </c>
      <c r="D6140" t="s">
        <v>6168</v>
      </c>
      <c r="E6140" t="s">
        <v>22839</v>
      </c>
      <c r="F6140">
        <v>2</v>
      </c>
      <c r="G6140">
        <v>2844400</v>
      </c>
      <c r="H6140" t="s">
        <v>22840</v>
      </c>
      <c r="J6140" s="54" t="s">
        <v>6052</v>
      </c>
      <c r="K6140" s="54">
        <v>0</v>
      </c>
      <c r="L6140" s="22" t="s">
        <v>36807</v>
      </c>
      <c r="M6140" s="22" t="s">
        <v>37291</v>
      </c>
    </row>
    <row r="6141" spans="1:13" x14ac:dyDescent="0.75">
      <c r="A6141" t="s">
        <v>20177</v>
      </c>
      <c r="B6141" t="s">
        <v>6195</v>
      </c>
      <c r="C6141" t="s">
        <v>6124</v>
      </c>
      <c r="D6141" t="s">
        <v>6196</v>
      </c>
      <c r="E6141" t="s">
        <v>20178</v>
      </c>
      <c r="F6141">
        <v>14</v>
      </c>
      <c r="G6141">
        <v>2502707</v>
      </c>
      <c r="H6141" t="s">
        <v>20179</v>
      </c>
      <c r="J6141" s="54" t="s">
        <v>6052</v>
      </c>
      <c r="K6141" s="54">
        <v>0</v>
      </c>
      <c r="L6141" s="22" t="s">
        <v>36807</v>
      </c>
      <c r="M6141" s="22" t="s">
        <v>37288</v>
      </c>
    </row>
    <row r="6142" spans="1:13" x14ac:dyDescent="0.75">
      <c r="A6142" t="s">
        <v>22894</v>
      </c>
      <c r="B6142" t="s">
        <v>6195</v>
      </c>
      <c r="C6142" t="s">
        <v>6124</v>
      </c>
      <c r="D6142" t="s">
        <v>6196</v>
      </c>
      <c r="E6142" t="s">
        <v>22895</v>
      </c>
      <c r="F6142">
        <v>10</v>
      </c>
      <c r="G6142">
        <v>2555440</v>
      </c>
      <c r="H6142" t="s">
        <v>22896</v>
      </c>
      <c r="J6142" s="54" t="s">
        <v>6052</v>
      </c>
      <c r="K6142" s="54">
        <v>0</v>
      </c>
      <c r="L6142" s="22" t="s">
        <v>36807</v>
      </c>
      <c r="M6142" s="22" t="s">
        <v>37288</v>
      </c>
    </row>
    <row r="6143" spans="1:13" x14ac:dyDescent="0.75">
      <c r="A6143" t="s">
        <v>20180</v>
      </c>
      <c r="B6143" t="s">
        <v>6195</v>
      </c>
      <c r="C6143" t="s">
        <v>6124</v>
      </c>
      <c r="D6143" t="s">
        <v>6196</v>
      </c>
      <c r="E6143" t="s">
        <v>20181</v>
      </c>
      <c r="F6143">
        <v>2</v>
      </c>
      <c r="G6143">
        <v>2511057</v>
      </c>
      <c r="H6143" t="s">
        <v>20182</v>
      </c>
      <c r="J6143" s="54" t="s">
        <v>6052</v>
      </c>
      <c r="K6143" s="54">
        <v>0</v>
      </c>
      <c r="L6143" s="22" t="s">
        <v>36807</v>
      </c>
      <c r="M6143" s="22" t="s">
        <v>37288</v>
      </c>
    </row>
    <row r="6144" spans="1:13" x14ac:dyDescent="0.75">
      <c r="A6144" t="s">
        <v>23382</v>
      </c>
      <c r="B6144" t="s">
        <v>9016</v>
      </c>
      <c r="C6144" t="s">
        <v>6124</v>
      </c>
      <c r="D6144" t="s">
        <v>9017</v>
      </c>
      <c r="E6144" t="s">
        <v>23383</v>
      </c>
      <c r="F6144">
        <v>37</v>
      </c>
      <c r="G6144">
        <v>2550295</v>
      </c>
      <c r="H6144" t="s">
        <v>23384</v>
      </c>
      <c r="J6144" s="54" t="s">
        <v>6052</v>
      </c>
      <c r="K6144" s="54">
        <v>0</v>
      </c>
      <c r="L6144" s="22" t="s">
        <v>36806</v>
      </c>
      <c r="M6144" s="22" t="s">
        <v>37289</v>
      </c>
    </row>
    <row r="6145" spans="1:13" x14ac:dyDescent="0.75">
      <c r="A6145" t="s">
        <v>6240</v>
      </c>
      <c r="B6145" t="s">
        <v>6167</v>
      </c>
      <c r="C6145" t="s">
        <v>6124</v>
      </c>
      <c r="D6145" t="s">
        <v>6168</v>
      </c>
      <c r="E6145" t="s">
        <v>6241</v>
      </c>
      <c r="F6145">
        <v>2</v>
      </c>
      <c r="G6145">
        <v>2820454</v>
      </c>
      <c r="H6145" t="s">
        <v>6242</v>
      </c>
      <c r="J6145" s="54" t="s">
        <v>6052</v>
      </c>
      <c r="K6145" s="54">
        <v>0</v>
      </c>
      <c r="L6145" s="22" t="s">
        <v>36807</v>
      </c>
      <c r="M6145" s="22" t="s">
        <v>37291</v>
      </c>
    </row>
    <row r="6146" spans="1:13" x14ac:dyDescent="0.75">
      <c r="A6146" t="s">
        <v>6211</v>
      </c>
      <c r="B6146" t="s">
        <v>6167</v>
      </c>
      <c r="C6146" t="s">
        <v>6124</v>
      </c>
      <c r="D6146" t="s">
        <v>6168</v>
      </c>
      <c r="E6146" t="s">
        <v>6212</v>
      </c>
      <c r="F6146">
        <v>1</v>
      </c>
      <c r="G6146">
        <v>2880168</v>
      </c>
      <c r="H6146" t="s">
        <v>6213</v>
      </c>
      <c r="J6146" s="54" t="s">
        <v>6052</v>
      </c>
      <c r="K6146" s="54">
        <v>0</v>
      </c>
      <c r="L6146" s="22" t="s">
        <v>36807</v>
      </c>
      <c r="M6146" s="22" t="s">
        <v>37291</v>
      </c>
    </row>
    <row r="6147" spans="1:13" x14ac:dyDescent="0.75">
      <c r="A6147" t="s">
        <v>6191</v>
      </c>
      <c r="B6147" t="s">
        <v>6167</v>
      </c>
      <c r="C6147" t="s">
        <v>6124</v>
      </c>
      <c r="D6147" t="s">
        <v>6168</v>
      </c>
      <c r="E6147" t="s">
        <v>6192</v>
      </c>
      <c r="F6147">
        <v>2</v>
      </c>
      <c r="G6147">
        <v>2903636</v>
      </c>
      <c r="H6147" t="s">
        <v>6193</v>
      </c>
      <c r="J6147" s="54" t="s">
        <v>6052</v>
      </c>
      <c r="K6147" s="54">
        <v>0</v>
      </c>
      <c r="L6147" s="22" t="s">
        <v>36807</v>
      </c>
      <c r="M6147" s="22" t="s">
        <v>37291</v>
      </c>
    </row>
    <row r="6148" spans="1:13" x14ac:dyDescent="0.75">
      <c r="A6148" t="s">
        <v>7328</v>
      </c>
      <c r="B6148" t="s">
        <v>6167</v>
      </c>
      <c r="C6148" t="s">
        <v>6124</v>
      </c>
      <c r="D6148" t="s">
        <v>6168</v>
      </c>
      <c r="E6148" t="s">
        <v>7329</v>
      </c>
      <c r="F6148">
        <v>1</v>
      </c>
      <c r="G6148">
        <v>2878428</v>
      </c>
      <c r="H6148" t="s">
        <v>7330</v>
      </c>
      <c r="J6148" s="54" t="s">
        <v>6052</v>
      </c>
      <c r="K6148" s="54">
        <v>0</v>
      </c>
      <c r="L6148" s="22" t="s">
        <v>36807</v>
      </c>
      <c r="M6148" s="22" t="s">
        <v>37291</v>
      </c>
    </row>
    <row r="6149" spans="1:13" x14ac:dyDescent="0.75">
      <c r="A6149" t="s">
        <v>6234</v>
      </c>
      <c r="B6149" t="s">
        <v>6167</v>
      </c>
      <c r="C6149" t="s">
        <v>6124</v>
      </c>
      <c r="D6149" t="s">
        <v>6168</v>
      </c>
      <c r="E6149" t="s">
        <v>6235</v>
      </c>
      <c r="F6149">
        <v>1</v>
      </c>
      <c r="G6149">
        <v>2820462</v>
      </c>
      <c r="H6149" t="s">
        <v>6236</v>
      </c>
      <c r="J6149" s="54" t="s">
        <v>6052</v>
      </c>
      <c r="K6149" s="54">
        <v>0</v>
      </c>
      <c r="L6149" s="22" t="s">
        <v>36807</v>
      </c>
      <c r="M6149" s="22" t="s">
        <v>37291</v>
      </c>
    </row>
    <row r="6150" spans="1:13" x14ac:dyDescent="0.75">
      <c r="A6150" t="s">
        <v>6188</v>
      </c>
      <c r="B6150" t="s">
        <v>6167</v>
      </c>
      <c r="C6150" t="s">
        <v>6124</v>
      </c>
      <c r="D6150" t="s">
        <v>6168</v>
      </c>
      <c r="E6150" t="s">
        <v>6189</v>
      </c>
      <c r="F6150">
        <v>2</v>
      </c>
      <c r="G6150">
        <v>2839469</v>
      </c>
      <c r="H6150" t="s">
        <v>6190</v>
      </c>
      <c r="J6150" s="54" t="s">
        <v>6052</v>
      </c>
      <c r="K6150" s="54">
        <v>0</v>
      </c>
      <c r="L6150" s="22" t="s">
        <v>36807</v>
      </c>
      <c r="M6150" s="22" t="s">
        <v>37291</v>
      </c>
    </row>
    <row r="6151" spans="1:13" x14ac:dyDescent="0.75">
      <c r="A6151" t="s">
        <v>21088</v>
      </c>
      <c r="B6151" t="s">
        <v>7155</v>
      </c>
      <c r="C6151" t="s">
        <v>6124</v>
      </c>
      <c r="D6151" t="s">
        <v>7156</v>
      </c>
      <c r="E6151" t="s">
        <v>21089</v>
      </c>
      <c r="F6151">
        <v>23</v>
      </c>
      <c r="G6151">
        <v>2484181</v>
      </c>
      <c r="H6151" t="s">
        <v>21090</v>
      </c>
      <c r="J6151" s="54" t="s">
        <v>6052</v>
      </c>
      <c r="K6151" s="54">
        <v>0</v>
      </c>
      <c r="L6151" s="22" t="s">
        <v>36806</v>
      </c>
      <c r="M6151" s="22" t="s">
        <v>37296</v>
      </c>
    </row>
    <row r="6152" spans="1:13" x14ac:dyDescent="0.75">
      <c r="A6152" t="s">
        <v>21745</v>
      </c>
      <c r="B6152" t="s">
        <v>6167</v>
      </c>
      <c r="C6152" t="s">
        <v>6124</v>
      </c>
      <c r="D6152" t="s">
        <v>6168</v>
      </c>
      <c r="E6152" t="s">
        <v>21746</v>
      </c>
      <c r="F6152">
        <v>1</v>
      </c>
      <c r="G6152">
        <v>2766978</v>
      </c>
      <c r="H6152" t="s">
        <v>21747</v>
      </c>
      <c r="J6152" s="54" t="s">
        <v>6052</v>
      </c>
      <c r="K6152" s="54">
        <v>0</v>
      </c>
      <c r="L6152" s="22" t="s">
        <v>36807</v>
      </c>
      <c r="M6152" s="22" t="s">
        <v>37291</v>
      </c>
    </row>
    <row r="6153" spans="1:13" x14ac:dyDescent="0.75">
      <c r="A6153" t="s">
        <v>21948</v>
      </c>
      <c r="B6153" t="s">
        <v>9016</v>
      </c>
      <c r="C6153" t="s">
        <v>6124</v>
      </c>
      <c r="D6153" t="s">
        <v>9017</v>
      </c>
      <c r="E6153" t="s">
        <v>21949</v>
      </c>
      <c r="F6153">
        <v>28</v>
      </c>
      <c r="G6153">
        <v>2446223</v>
      </c>
      <c r="H6153" t="s">
        <v>21950</v>
      </c>
      <c r="J6153" s="54" t="s">
        <v>6052</v>
      </c>
      <c r="K6153" s="54">
        <v>0</v>
      </c>
      <c r="L6153" s="22" t="s">
        <v>36806</v>
      </c>
      <c r="M6153" s="22" t="s">
        <v>37289</v>
      </c>
    </row>
    <row r="6154" spans="1:13" x14ac:dyDescent="0.75">
      <c r="A6154" t="s">
        <v>8652</v>
      </c>
      <c r="B6154" t="s">
        <v>6475</v>
      </c>
      <c r="C6154" t="s">
        <v>6124</v>
      </c>
      <c r="D6154" t="s">
        <v>6476</v>
      </c>
      <c r="E6154" t="s">
        <v>8653</v>
      </c>
      <c r="F6154">
        <v>1</v>
      </c>
      <c r="G6154">
        <v>2595888</v>
      </c>
      <c r="H6154" t="s">
        <v>8654</v>
      </c>
      <c r="J6154" s="54" t="s">
        <v>6052</v>
      </c>
      <c r="K6154" s="54">
        <v>0</v>
      </c>
      <c r="L6154" s="22" t="s">
        <v>1563</v>
      </c>
      <c r="M6154" s="22" t="s">
        <v>37294</v>
      </c>
    </row>
    <row r="6155" spans="1:13" x14ac:dyDescent="0.75">
      <c r="A6155" t="s">
        <v>21946</v>
      </c>
      <c r="B6155" t="s">
        <v>9016</v>
      </c>
      <c r="C6155" t="s">
        <v>6124</v>
      </c>
      <c r="D6155" t="s">
        <v>9017</v>
      </c>
      <c r="E6155" t="s">
        <v>15383</v>
      </c>
      <c r="F6155">
        <v>33</v>
      </c>
      <c r="G6155">
        <v>2446622</v>
      </c>
      <c r="H6155" t="s">
        <v>21947</v>
      </c>
      <c r="J6155" s="54" t="s">
        <v>6052</v>
      </c>
      <c r="K6155" s="54">
        <v>0</v>
      </c>
      <c r="L6155" s="22" t="s">
        <v>36806</v>
      </c>
      <c r="M6155" s="22" t="s">
        <v>37289</v>
      </c>
    </row>
    <row r="6156" spans="1:13" x14ac:dyDescent="0.75">
      <c r="A6156" t="s">
        <v>21085</v>
      </c>
      <c r="B6156" t="s">
        <v>6894</v>
      </c>
      <c r="C6156" t="s">
        <v>6124</v>
      </c>
      <c r="D6156" t="s">
        <v>6895</v>
      </c>
      <c r="E6156" t="s">
        <v>21086</v>
      </c>
      <c r="F6156">
        <v>13</v>
      </c>
      <c r="G6156">
        <v>2645395</v>
      </c>
      <c r="H6156" t="s">
        <v>21087</v>
      </c>
      <c r="J6156" s="54" t="s">
        <v>6052</v>
      </c>
      <c r="K6156" s="54">
        <v>0</v>
      </c>
      <c r="L6156" s="22" t="s">
        <v>1563</v>
      </c>
      <c r="M6156" s="22" t="s">
        <v>37293</v>
      </c>
    </row>
    <row r="6157" spans="1:13" x14ac:dyDescent="0.75">
      <c r="A6157" t="s">
        <v>22532</v>
      </c>
      <c r="B6157" t="s">
        <v>6167</v>
      </c>
      <c r="C6157" t="s">
        <v>6124</v>
      </c>
      <c r="D6157" t="s">
        <v>6168</v>
      </c>
      <c r="E6157" t="s">
        <v>22533</v>
      </c>
      <c r="F6157">
        <v>2</v>
      </c>
      <c r="G6157">
        <v>2821889</v>
      </c>
      <c r="H6157" t="s">
        <v>22534</v>
      </c>
      <c r="J6157" s="54" t="s">
        <v>6052</v>
      </c>
      <c r="K6157" s="54">
        <v>0</v>
      </c>
      <c r="L6157" s="22" t="s">
        <v>36807</v>
      </c>
      <c r="M6157" s="22" t="s">
        <v>37291</v>
      </c>
    </row>
    <row r="6158" spans="1:13" x14ac:dyDescent="0.75">
      <c r="A6158" t="s">
        <v>22529</v>
      </c>
      <c r="B6158" t="s">
        <v>6167</v>
      </c>
      <c r="C6158" t="s">
        <v>6124</v>
      </c>
      <c r="D6158" t="s">
        <v>6168</v>
      </c>
      <c r="E6158" t="s">
        <v>22530</v>
      </c>
      <c r="F6158">
        <v>2</v>
      </c>
      <c r="G6158">
        <v>2755455</v>
      </c>
      <c r="H6158" t="s">
        <v>22531</v>
      </c>
      <c r="J6158" s="54" t="s">
        <v>6052</v>
      </c>
      <c r="K6158" s="54">
        <v>0</v>
      </c>
      <c r="L6158" s="22" t="s">
        <v>36807</v>
      </c>
      <c r="M6158" s="22" t="s">
        <v>37291</v>
      </c>
    </row>
    <row r="6159" spans="1:13" x14ac:dyDescent="0.75">
      <c r="A6159" t="s">
        <v>22526</v>
      </c>
      <c r="B6159" t="s">
        <v>6167</v>
      </c>
      <c r="C6159" t="s">
        <v>6124</v>
      </c>
      <c r="D6159" t="s">
        <v>6168</v>
      </c>
      <c r="E6159" t="s">
        <v>22527</v>
      </c>
      <c r="F6159">
        <v>2</v>
      </c>
      <c r="G6159">
        <v>2801757</v>
      </c>
      <c r="H6159" t="s">
        <v>22528</v>
      </c>
      <c r="J6159" s="54" t="s">
        <v>6052</v>
      </c>
      <c r="K6159" s="54">
        <v>0</v>
      </c>
      <c r="L6159" s="22" t="s">
        <v>36807</v>
      </c>
      <c r="M6159" s="22" t="s">
        <v>37291</v>
      </c>
    </row>
    <row r="6160" spans="1:13" x14ac:dyDescent="0.75">
      <c r="A6160" t="s">
        <v>17041</v>
      </c>
      <c r="B6160" t="s">
        <v>6123</v>
      </c>
      <c r="C6160" t="s">
        <v>6124</v>
      </c>
      <c r="D6160" t="s">
        <v>6125</v>
      </c>
      <c r="E6160" t="s">
        <v>17042</v>
      </c>
      <c r="F6160">
        <v>2</v>
      </c>
      <c r="G6160">
        <v>2427041</v>
      </c>
      <c r="H6160" t="s">
        <v>17043</v>
      </c>
      <c r="J6160" s="54" t="s">
        <v>6052</v>
      </c>
      <c r="K6160" s="54">
        <v>0</v>
      </c>
      <c r="L6160" s="22" t="s">
        <v>36806</v>
      </c>
      <c r="M6160" s="22" t="s">
        <v>37290</v>
      </c>
    </row>
    <row r="6161" spans="1:13" x14ac:dyDescent="0.75">
      <c r="A6161" t="s">
        <v>17221</v>
      </c>
      <c r="B6161" t="s">
        <v>14467</v>
      </c>
      <c r="C6161" t="s">
        <v>6124</v>
      </c>
      <c r="D6161" t="s">
        <v>14468</v>
      </c>
      <c r="E6161" t="s">
        <v>17222</v>
      </c>
      <c r="F6161">
        <v>67</v>
      </c>
      <c r="G6161">
        <v>2563846</v>
      </c>
      <c r="H6161" t="s">
        <v>17223</v>
      </c>
      <c r="J6161" s="54" t="s">
        <v>6052</v>
      </c>
      <c r="K6161" s="54">
        <v>0</v>
      </c>
      <c r="L6161" s="22" t="s">
        <v>1563</v>
      </c>
      <c r="M6161" s="22" t="s">
        <v>37301</v>
      </c>
    </row>
    <row r="6162" spans="1:13" x14ac:dyDescent="0.75">
      <c r="A6162" t="s">
        <v>17224</v>
      </c>
      <c r="B6162" t="s">
        <v>6195</v>
      </c>
      <c r="C6162" t="s">
        <v>6124</v>
      </c>
      <c r="D6162" t="s">
        <v>6196</v>
      </c>
      <c r="E6162" t="s">
        <v>17225</v>
      </c>
      <c r="F6162">
        <v>60</v>
      </c>
      <c r="G6162">
        <v>2399880</v>
      </c>
      <c r="H6162" t="s">
        <v>17226</v>
      </c>
      <c r="J6162" s="54" t="s">
        <v>6052</v>
      </c>
      <c r="K6162" s="54">
        <v>0</v>
      </c>
      <c r="L6162" s="22" t="s">
        <v>36807</v>
      </c>
      <c r="M6162" s="22" t="s">
        <v>37288</v>
      </c>
    </row>
    <row r="6163" spans="1:13" x14ac:dyDescent="0.75">
      <c r="A6163" t="s">
        <v>14466</v>
      </c>
      <c r="B6163" t="s">
        <v>14467</v>
      </c>
      <c r="C6163" t="s">
        <v>6124</v>
      </c>
      <c r="D6163" t="s">
        <v>14468</v>
      </c>
      <c r="E6163" t="s">
        <v>14469</v>
      </c>
      <c r="F6163">
        <v>121</v>
      </c>
      <c r="G6163">
        <v>2637875</v>
      </c>
      <c r="H6163" t="s">
        <v>14470</v>
      </c>
      <c r="J6163" s="54" t="s">
        <v>6052</v>
      </c>
      <c r="K6163" s="54">
        <v>0</v>
      </c>
      <c r="L6163" s="22" t="s">
        <v>1563</v>
      </c>
      <c r="M6163" s="22" t="s">
        <v>37301</v>
      </c>
    </row>
    <row r="6164" spans="1:13" x14ac:dyDescent="0.75">
      <c r="A6164" t="s">
        <v>14454</v>
      </c>
      <c r="B6164" t="s">
        <v>6195</v>
      </c>
      <c r="C6164" t="s">
        <v>6124</v>
      </c>
      <c r="D6164" t="s">
        <v>6196</v>
      </c>
      <c r="E6164" t="s">
        <v>14455</v>
      </c>
      <c r="F6164">
        <v>136</v>
      </c>
      <c r="G6164">
        <v>2472399</v>
      </c>
      <c r="H6164" t="s">
        <v>14456</v>
      </c>
      <c r="J6164" s="54" t="s">
        <v>6052</v>
      </c>
      <c r="K6164" s="54">
        <v>0</v>
      </c>
      <c r="L6164" s="22" t="s">
        <v>36807</v>
      </c>
      <c r="M6164" s="22" t="s">
        <v>37288</v>
      </c>
    </row>
    <row r="6165" spans="1:13" x14ac:dyDescent="0.75">
      <c r="A6165" t="s">
        <v>14451</v>
      </c>
      <c r="B6165" t="s">
        <v>9016</v>
      </c>
      <c r="C6165" t="s">
        <v>6124</v>
      </c>
      <c r="D6165" t="s">
        <v>9017</v>
      </c>
      <c r="E6165" t="s">
        <v>14452</v>
      </c>
      <c r="F6165">
        <v>51</v>
      </c>
      <c r="G6165">
        <v>2401190</v>
      </c>
      <c r="H6165" t="s">
        <v>14453</v>
      </c>
      <c r="J6165" s="54" t="s">
        <v>6052</v>
      </c>
      <c r="K6165" s="54">
        <v>0</v>
      </c>
      <c r="L6165" s="22" t="s">
        <v>36806</v>
      </c>
      <c r="M6165" s="22" t="s">
        <v>37289</v>
      </c>
    </row>
    <row r="6166" spans="1:13" x14ac:dyDescent="0.75">
      <c r="A6166" t="s">
        <v>14463</v>
      </c>
      <c r="B6166" t="s">
        <v>7155</v>
      </c>
      <c r="C6166" t="s">
        <v>6124</v>
      </c>
      <c r="D6166" t="s">
        <v>7156</v>
      </c>
      <c r="E6166" t="s">
        <v>14464</v>
      </c>
      <c r="F6166">
        <v>87</v>
      </c>
      <c r="G6166">
        <v>2434909</v>
      </c>
      <c r="H6166" t="s">
        <v>14465</v>
      </c>
      <c r="J6166" s="54" t="s">
        <v>6052</v>
      </c>
      <c r="K6166" s="54">
        <v>0</v>
      </c>
      <c r="L6166" s="22" t="s">
        <v>36806</v>
      </c>
      <c r="M6166" s="22" t="s">
        <v>37296</v>
      </c>
    </row>
    <row r="6167" spans="1:13" x14ac:dyDescent="0.75">
      <c r="A6167" t="s">
        <v>14460</v>
      </c>
      <c r="B6167" t="s">
        <v>6123</v>
      </c>
      <c r="C6167" t="s">
        <v>6124</v>
      </c>
      <c r="D6167" t="s">
        <v>6125</v>
      </c>
      <c r="E6167" t="s">
        <v>14461</v>
      </c>
      <c r="F6167">
        <v>128</v>
      </c>
      <c r="G6167">
        <v>2442385</v>
      </c>
      <c r="H6167" t="s">
        <v>14462</v>
      </c>
      <c r="J6167" s="54" t="s">
        <v>6052</v>
      </c>
      <c r="K6167" s="54">
        <v>0</v>
      </c>
      <c r="L6167" s="22" t="s">
        <v>36806</v>
      </c>
      <c r="M6167" s="22" t="s">
        <v>37290</v>
      </c>
    </row>
    <row r="6168" spans="1:13" x14ac:dyDescent="0.75">
      <c r="A6168" t="s">
        <v>14457</v>
      </c>
      <c r="B6168" t="s">
        <v>10958</v>
      </c>
      <c r="C6168" t="s">
        <v>6124</v>
      </c>
      <c r="D6168" t="s">
        <v>6928</v>
      </c>
      <c r="E6168" t="s">
        <v>14458</v>
      </c>
      <c r="F6168">
        <v>64</v>
      </c>
      <c r="G6168">
        <v>2204528</v>
      </c>
      <c r="H6168" t="s">
        <v>14459</v>
      </c>
      <c r="J6168" s="54" t="s">
        <v>6052</v>
      </c>
      <c r="K6168" s="54">
        <v>0</v>
      </c>
      <c r="L6168" s="22" t="s">
        <v>36806</v>
      </c>
      <c r="M6168" s="22" t="s">
        <v>37292</v>
      </c>
    </row>
    <row r="6169" spans="1:13" x14ac:dyDescent="0.75">
      <c r="A6169" t="s">
        <v>27597</v>
      </c>
      <c r="B6169" t="s">
        <v>10958</v>
      </c>
      <c r="C6169" t="s">
        <v>6124</v>
      </c>
      <c r="D6169" t="s">
        <v>6928</v>
      </c>
      <c r="E6169" t="s">
        <v>14458</v>
      </c>
      <c r="F6169">
        <v>2</v>
      </c>
      <c r="G6169">
        <v>2257110</v>
      </c>
      <c r="H6169" t="s">
        <v>27598</v>
      </c>
      <c r="J6169" s="54" t="s">
        <v>6052</v>
      </c>
      <c r="K6169" s="54">
        <v>0</v>
      </c>
      <c r="L6169" s="22" t="s">
        <v>36806</v>
      </c>
      <c r="M6169" s="22" t="s">
        <v>37292</v>
      </c>
    </row>
    <row r="6170" spans="1:13" x14ac:dyDescent="0.75">
      <c r="A6170" t="s">
        <v>16378</v>
      </c>
      <c r="B6170" t="s">
        <v>16379</v>
      </c>
      <c r="C6170" t="s">
        <v>6124</v>
      </c>
      <c r="D6170" t="s">
        <v>9445</v>
      </c>
      <c r="E6170" t="s">
        <v>16380</v>
      </c>
      <c r="F6170">
        <v>118</v>
      </c>
      <c r="G6170">
        <v>2350071</v>
      </c>
      <c r="H6170" t="s">
        <v>16381</v>
      </c>
      <c r="J6170" s="54" t="s">
        <v>6052</v>
      </c>
      <c r="K6170" s="54">
        <v>0</v>
      </c>
      <c r="L6170" s="22" t="s">
        <v>36806</v>
      </c>
      <c r="M6170" s="22" t="s">
        <v>37295</v>
      </c>
    </row>
    <row r="6171" spans="1:13" x14ac:dyDescent="0.75">
      <c r="A6171" t="s">
        <v>14471</v>
      </c>
      <c r="B6171" t="s">
        <v>11784</v>
      </c>
      <c r="C6171" t="s">
        <v>6124</v>
      </c>
      <c r="D6171" t="s">
        <v>11785</v>
      </c>
      <c r="E6171" t="s">
        <v>14472</v>
      </c>
      <c r="F6171">
        <v>111</v>
      </c>
      <c r="G6171">
        <v>2201622</v>
      </c>
      <c r="H6171" t="s">
        <v>14473</v>
      </c>
      <c r="J6171" s="54" t="s">
        <v>6052</v>
      </c>
      <c r="K6171" s="54">
        <v>0</v>
      </c>
      <c r="L6171" s="22" t="s">
        <v>36805</v>
      </c>
      <c r="M6171" s="22" t="s">
        <v>37297</v>
      </c>
    </row>
    <row r="6172" spans="1:13" x14ac:dyDescent="0.75">
      <c r="A6172" t="s">
        <v>14477</v>
      </c>
      <c r="B6172" t="s">
        <v>6894</v>
      </c>
      <c r="C6172" t="s">
        <v>6124</v>
      </c>
      <c r="D6172" t="s">
        <v>6895</v>
      </c>
      <c r="E6172" t="s">
        <v>14478</v>
      </c>
      <c r="F6172">
        <v>106</v>
      </c>
      <c r="G6172">
        <v>2606761</v>
      </c>
      <c r="H6172" t="s">
        <v>14479</v>
      </c>
      <c r="J6172" s="54" t="s">
        <v>6052</v>
      </c>
      <c r="K6172" s="54">
        <v>0</v>
      </c>
      <c r="L6172" s="22" t="s">
        <v>1563</v>
      </c>
      <c r="M6172" s="22" t="s">
        <v>37293</v>
      </c>
    </row>
    <row r="6173" spans="1:13" x14ac:dyDescent="0.75">
      <c r="A6173" t="s">
        <v>14448</v>
      </c>
      <c r="B6173" t="s">
        <v>6475</v>
      </c>
      <c r="C6173" t="s">
        <v>6124</v>
      </c>
      <c r="D6173" t="s">
        <v>6476</v>
      </c>
      <c r="E6173" t="s">
        <v>14449</v>
      </c>
      <c r="F6173">
        <v>66</v>
      </c>
      <c r="G6173">
        <v>2519514</v>
      </c>
      <c r="H6173" t="s">
        <v>14450</v>
      </c>
      <c r="J6173" s="54" t="s">
        <v>6052</v>
      </c>
      <c r="K6173" s="54">
        <v>0</v>
      </c>
      <c r="L6173" s="22" t="s">
        <v>1563</v>
      </c>
      <c r="M6173" s="22" t="s">
        <v>37294</v>
      </c>
    </row>
    <row r="6174" spans="1:13" x14ac:dyDescent="0.75">
      <c r="A6174" t="s">
        <v>16373</v>
      </c>
      <c r="B6174" t="s">
        <v>16374</v>
      </c>
      <c r="C6174" t="s">
        <v>6124</v>
      </c>
      <c r="D6174" t="s">
        <v>16375</v>
      </c>
      <c r="E6174" t="s">
        <v>16376</v>
      </c>
      <c r="F6174">
        <v>172</v>
      </c>
      <c r="G6174">
        <v>2473007</v>
      </c>
      <c r="H6174" t="s">
        <v>16377</v>
      </c>
      <c r="J6174" s="54" t="s">
        <v>6052</v>
      </c>
      <c r="K6174" s="54">
        <v>0</v>
      </c>
      <c r="L6174" s="22" t="s">
        <v>144</v>
      </c>
      <c r="M6174" s="22" t="s">
        <v>37299</v>
      </c>
    </row>
    <row r="6175" spans="1:13" x14ac:dyDescent="0.75">
      <c r="A6175" t="s">
        <v>27602</v>
      </c>
      <c r="B6175" t="s">
        <v>10958</v>
      </c>
      <c r="C6175" t="s">
        <v>6124</v>
      </c>
      <c r="D6175" t="s">
        <v>6928</v>
      </c>
      <c r="E6175" t="s">
        <v>27603</v>
      </c>
      <c r="F6175">
        <v>2</v>
      </c>
      <c r="G6175">
        <v>2251523</v>
      </c>
      <c r="H6175" t="s">
        <v>27604</v>
      </c>
      <c r="J6175" s="54" t="s">
        <v>6052</v>
      </c>
      <c r="K6175" s="54">
        <v>0</v>
      </c>
      <c r="L6175" s="22" t="s">
        <v>36806</v>
      </c>
      <c r="M6175" s="22" t="s">
        <v>37292</v>
      </c>
    </row>
    <row r="6176" spans="1:13" x14ac:dyDescent="0.75">
      <c r="A6176" t="s">
        <v>6263</v>
      </c>
      <c r="B6176" t="s">
        <v>6167</v>
      </c>
      <c r="C6176" t="s">
        <v>6124</v>
      </c>
      <c r="D6176" t="s">
        <v>6168</v>
      </c>
      <c r="E6176" t="s">
        <v>6264</v>
      </c>
      <c r="F6176">
        <v>1</v>
      </c>
      <c r="G6176">
        <v>2821361</v>
      </c>
      <c r="H6176" t="s">
        <v>6265</v>
      </c>
      <c r="J6176" s="54" t="s">
        <v>6052</v>
      </c>
      <c r="K6176" s="54">
        <v>0</v>
      </c>
      <c r="L6176" s="22" t="s">
        <v>36807</v>
      </c>
      <c r="M6176" s="22" t="s">
        <v>37291</v>
      </c>
    </row>
    <row r="6177" spans="1:13" x14ac:dyDescent="0.75">
      <c r="A6177" t="s">
        <v>27599</v>
      </c>
      <c r="B6177" t="s">
        <v>9016</v>
      </c>
      <c r="C6177" t="s">
        <v>6124</v>
      </c>
      <c r="D6177" t="s">
        <v>9017</v>
      </c>
      <c r="E6177" t="s">
        <v>27600</v>
      </c>
      <c r="F6177">
        <v>2</v>
      </c>
      <c r="G6177">
        <v>2498415</v>
      </c>
      <c r="H6177" t="s">
        <v>27601</v>
      </c>
      <c r="J6177" s="54" t="s">
        <v>6052</v>
      </c>
      <c r="K6177" s="54">
        <v>0</v>
      </c>
      <c r="L6177" s="22" t="s">
        <v>36806</v>
      </c>
      <c r="M6177" s="22" t="s">
        <v>37289</v>
      </c>
    </row>
    <row r="6178" spans="1:13" x14ac:dyDescent="0.75">
      <c r="A6178" t="s">
        <v>27585</v>
      </c>
      <c r="B6178" t="s">
        <v>14467</v>
      </c>
      <c r="C6178" t="s">
        <v>6124</v>
      </c>
      <c r="D6178" t="s">
        <v>14468</v>
      </c>
      <c r="E6178" t="s">
        <v>27586</v>
      </c>
      <c r="F6178">
        <v>2</v>
      </c>
      <c r="G6178">
        <v>2694244</v>
      </c>
      <c r="H6178" t="s">
        <v>27587</v>
      </c>
      <c r="J6178" s="54" t="s">
        <v>6052</v>
      </c>
      <c r="K6178" s="54">
        <v>0</v>
      </c>
      <c r="L6178" s="22" t="s">
        <v>1563</v>
      </c>
      <c r="M6178" s="22" t="s">
        <v>37301</v>
      </c>
    </row>
    <row r="6179" spans="1:13" x14ac:dyDescent="0.75">
      <c r="A6179" t="s">
        <v>27591</v>
      </c>
      <c r="B6179" t="s">
        <v>6195</v>
      </c>
      <c r="C6179" t="s">
        <v>6124</v>
      </c>
      <c r="D6179" t="s">
        <v>6196</v>
      </c>
      <c r="E6179" t="s">
        <v>27592</v>
      </c>
      <c r="F6179">
        <v>4</v>
      </c>
      <c r="G6179">
        <v>2569468</v>
      </c>
      <c r="H6179" t="s">
        <v>27593</v>
      </c>
      <c r="J6179" s="54" t="s">
        <v>6052</v>
      </c>
      <c r="K6179" s="54">
        <v>0</v>
      </c>
      <c r="L6179" s="22" t="s">
        <v>36807</v>
      </c>
      <c r="M6179" s="22" t="s">
        <v>37288</v>
      </c>
    </row>
    <row r="6180" spans="1:13" x14ac:dyDescent="0.75">
      <c r="A6180" t="s">
        <v>27927</v>
      </c>
      <c r="B6180" t="s">
        <v>9016</v>
      </c>
      <c r="C6180" t="s">
        <v>6124</v>
      </c>
      <c r="D6180" t="s">
        <v>9017</v>
      </c>
      <c r="E6180" t="s">
        <v>27928</v>
      </c>
      <c r="F6180">
        <v>1</v>
      </c>
      <c r="G6180">
        <v>2427576</v>
      </c>
      <c r="H6180" t="s">
        <v>27929</v>
      </c>
      <c r="J6180" s="54" t="s">
        <v>6052</v>
      </c>
      <c r="K6180" s="54">
        <v>0</v>
      </c>
      <c r="L6180" s="22" t="s">
        <v>36806</v>
      </c>
      <c r="M6180" s="22" t="s">
        <v>37289</v>
      </c>
    </row>
    <row r="6181" spans="1:13" x14ac:dyDescent="0.75">
      <c r="A6181" t="s">
        <v>28097</v>
      </c>
      <c r="B6181" t="s">
        <v>7155</v>
      </c>
      <c r="C6181" t="s">
        <v>6124</v>
      </c>
      <c r="D6181" t="s">
        <v>7156</v>
      </c>
      <c r="E6181" t="s">
        <v>28098</v>
      </c>
      <c r="F6181">
        <v>3</v>
      </c>
      <c r="G6181">
        <v>2485020</v>
      </c>
      <c r="H6181" t="s">
        <v>28099</v>
      </c>
      <c r="J6181" s="54" t="s">
        <v>6052</v>
      </c>
      <c r="K6181" s="54">
        <v>0</v>
      </c>
      <c r="L6181" s="22" t="s">
        <v>36806</v>
      </c>
      <c r="M6181" s="22" t="s">
        <v>37296</v>
      </c>
    </row>
    <row r="6182" spans="1:13" x14ac:dyDescent="0.75">
      <c r="A6182" t="s">
        <v>27594</v>
      </c>
      <c r="B6182" t="s">
        <v>6123</v>
      </c>
      <c r="C6182" t="s">
        <v>6124</v>
      </c>
      <c r="D6182" t="s">
        <v>6125</v>
      </c>
      <c r="E6182" t="s">
        <v>27595</v>
      </c>
      <c r="F6182">
        <v>5</v>
      </c>
      <c r="G6182">
        <v>2538008</v>
      </c>
      <c r="H6182" t="s">
        <v>27596</v>
      </c>
      <c r="J6182" s="54" t="s">
        <v>6052</v>
      </c>
      <c r="K6182" s="54">
        <v>0</v>
      </c>
      <c r="L6182" s="22" t="s">
        <v>36806</v>
      </c>
      <c r="M6182" s="22" t="s">
        <v>37290</v>
      </c>
    </row>
    <row r="6183" spans="1:13" x14ac:dyDescent="0.75">
      <c r="A6183" t="s">
        <v>27605</v>
      </c>
      <c r="B6183" t="s">
        <v>16379</v>
      </c>
      <c r="C6183" t="s">
        <v>6124</v>
      </c>
      <c r="D6183" t="s">
        <v>9445</v>
      </c>
      <c r="E6183" t="s">
        <v>27606</v>
      </c>
      <c r="F6183">
        <v>2</v>
      </c>
      <c r="G6183">
        <v>2366437</v>
      </c>
      <c r="H6183" t="s">
        <v>27607</v>
      </c>
      <c r="J6183" s="54" t="s">
        <v>6052</v>
      </c>
      <c r="K6183" s="54">
        <v>0</v>
      </c>
      <c r="L6183" s="22" t="s">
        <v>36806</v>
      </c>
      <c r="M6183" s="22" t="s">
        <v>37295</v>
      </c>
    </row>
    <row r="6184" spans="1:13" x14ac:dyDescent="0.75">
      <c r="A6184" t="s">
        <v>27786</v>
      </c>
      <c r="B6184" t="s">
        <v>11784</v>
      </c>
      <c r="C6184" t="s">
        <v>6124</v>
      </c>
      <c r="D6184" t="s">
        <v>11785</v>
      </c>
      <c r="E6184" t="s">
        <v>27787</v>
      </c>
      <c r="F6184">
        <v>1</v>
      </c>
      <c r="G6184">
        <v>2216666</v>
      </c>
      <c r="H6184" t="s">
        <v>27788</v>
      </c>
      <c r="J6184" s="54" t="s">
        <v>6052</v>
      </c>
      <c r="K6184" s="54">
        <v>0</v>
      </c>
      <c r="L6184" s="22" t="s">
        <v>36805</v>
      </c>
      <c r="M6184" s="22" t="s">
        <v>37297</v>
      </c>
    </row>
    <row r="6185" spans="1:13" x14ac:dyDescent="0.75">
      <c r="A6185" t="s">
        <v>27588</v>
      </c>
      <c r="B6185" t="s">
        <v>6894</v>
      </c>
      <c r="C6185" t="s">
        <v>6124</v>
      </c>
      <c r="D6185" t="s">
        <v>6895</v>
      </c>
      <c r="E6185" t="s">
        <v>27589</v>
      </c>
      <c r="F6185">
        <v>6</v>
      </c>
      <c r="G6185">
        <v>2652349</v>
      </c>
      <c r="H6185" t="s">
        <v>27590</v>
      </c>
      <c r="J6185" s="54" t="s">
        <v>6052</v>
      </c>
      <c r="K6185" s="54">
        <v>0</v>
      </c>
      <c r="L6185" s="22" t="s">
        <v>1563</v>
      </c>
      <c r="M6185" s="22" t="s">
        <v>37293</v>
      </c>
    </row>
    <row r="6186" spans="1:13" x14ac:dyDescent="0.75">
      <c r="A6186" t="s">
        <v>27771</v>
      </c>
      <c r="B6186" t="s">
        <v>6475</v>
      </c>
      <c r="C6186" t="s">
        <v>6124</v>
      </c>
      <c r="D6186" t="s">
        <v>6476</v>
      </c>
      <c r="E6186" t="s">
        <v>27772</v>
      </c>
      <c r="F6186">
        <v>1</v>
      </c>
      <c r="G6186">
        <v>2540333</v>
      </c>
      <c r="H6186" t="s">
        <v>27773</v>
      </c>
      <c r="J6186" s="54" t="s">
        <v>6052</v>
      </c>
      <c r="K6186" s="54">
        <v>0</v>
      </c>
      <c r="L6186" s="22" t="s">
        <v>1563</v>
      </c>
      <c r="M6186" s="22" t="s">
        <v>37294</v>
      </c>
    </row>
    <row r="6187" spans="1:13" x14ac:dyDescent="0.75">
      <c r="A6187" t="s">
        <v>27611</v>
      </c>
      <c r="B6187" t="s">
        <v>16374</v>
      </c>
      <c r="C6187" t="s">
        <v>6124</v>
      </c>
      <c r="D6187" t="s">
        <v>16375</v>
      </c>
      <c r="E6187" t="s">
        <v>27612</v>
      </c>
      <c r="F6187">
        <v>1</v>
      </c>
      <c r="G6187">
        <v>2522243</v>
      </c>
      <c r="H6187" t="s">
        <v>27613</v>
      </c>
      <c r="J6187" s="54" t="s">
        <v>6052</v>
      </c>
      <c r="K6187" s="54">
        <v>0</v>
      </c>
      <c r="L6187" s="22" t="s">
        <v>144</v>
      </c>
      <c r="M6187" s="22" t="s">
        <v>37299</v>
      </c>
    </row>
    <row r="6188" spans="1:13" x14ac:dyDescent="0.75">
      <c r="A6188" t="s">
        <v>28042</v>
      </c>
      <c r="B6188" t="s">
        <v>6123</v>
      </c>
      <c r="C6188" t="s">
        <v>6124</v>
      </c>
      <c r="D6188" t="s">
        <v>6125</v>
      </c>
      <c r="E6188" t="s">
        <v>28043</v>
      </c>
      <c r="F6188">
        <v>1</v>
      </c>
      <c r="G6188">
        <v>2750807</v>
      </c>
      <c r="H6188" t="s">
        <v>28044</v>
      </c>
      <c r="J6188" s="54" t="s">
        <v>6052</v>
      </c>
      <c r="K6188" s="54">
        <v>0</v>
      </c>
      <c r="L6188" s="22" t="s">
        <v>36806</v>
      </c>
      <c r="M6188" s="22" t="s">
        <v>37290</v>
      </c>
    </row>
    <row r="6189" spans="1:13" x14ac:dyDescent="0.75">
      <c r="A6189" t="s">
        <v>27921</v>
      </c>
      <c r="B6189" t="s">
        <v>9016</v>
      </c>
      <c r="C6189" t="s">
        <v>6124</v>
      </c>
      <c r="D6189" t="s">
        <v>9017</v>
      </c>
      <c r="E6189" t="s">
        <v>27922</v>
      </c>
      <c r="F6189">
        <v>1</v>
      </c>
      <c r="G6189">
        <v>2430678</v>
      </c>
      <c r="H6189" t="s">
        <v>27923</v>
      </c>
      <c r="J6189" s="54" t="s">
        <v>6052</v>
      </c>
      <c r="K6189" s="54">
        <v>0</v>
      </c>
      <c r="L6189" s="22" t="s">
        <v>36806</v>
      </c>
      <c r="M6189" s="22" t="s">
        <v>37289</v>
      </c>
    </row>
    <row r="6190" spans="1:13" x14ac:dyDescent="0.75">
      <c r="A6190" t="s">
        <v>27924</v>
      </c>
      <c r="B6190" t="s">
        <v>9016</v>
      </c>
      <c r="C6190" t="s">
        <v>6124</v>
      </c>
      <c r="D6190" t="s">
        <v>9017</v>
      </c>
      <c r="E6190" t="s">
        <v>27925</v>
      </c>
      <c r="F6190">
        <v>1</v>
      </c>
      <c r="G6190">
        <v>2451975</v>
      </c>
      <c r="H6190" t="s">
        <v>27926</v>
      </c>
      <c r="J6190" s="54" t="s">
        <v>6052</v>
      </c>
      <c r="K6190" s="54">
        <v>0</v>
      </c>
      <c r="L6190" s="22" t="s">
        <v>36806</v>
      </c>
      <c r="M6190" s="22" t="s">
        <v>37289</v>
      </c>
    </row>
    <row r="6191" spans="1:13" x14ac:dyDescent="0.75">
      <c r="A6191" t="s">
        <v>27608</v>
      </c>
      <c r="B6191" t="s">
        <v>14467</v>
      </c>
      <c r="C6191" t="s">
        <v>6124</v>
      </c>
      <c r="D6191" t="s">
        <v>14468</v>
      </c>
      <c r="E6191" t="s">
        <v>27609</v>
      </c>
      <c r="F6191">
        <v>2</v>
      </c>
      <c r="G6191">
        <v>2672175</v>
      </c>
      <c r="H6191" t="s">
        <v>27610</v>
      </c>
      <c r="J6191" s="54" t="s">
        <v>6052</v>
      </c>
      <c r="K6191" s="54">
        <v>0</v>
      </c>
      <c r="L6191" s="22" t="s">
        <v>1563</v>
      </c>
      <c r="M6191" s="22" t="s">
        <v>37301</v>
      </c>
    </row>
    <row r="6192" spans="1:13" x14ac:dyDescent="0.75">
      <c r="A6192" t="s">
        <v>27663</v>
      </c>
      <c r="B6192" t="s">
        <v>6475</v>
      </c>
      <c r="C6192" t="s">
        <v>6124</v>
      </c>
      <c r="D6192" t="s">
        <v>6476</v>
      </c>
      <c r="E6192" t="s">
        <v>27664</v>
      </c>
      <c r="F6192">
        <v>1</v>
      </c>
      <c r="G6192">
        <v>2547699</v>
      </c>
      <c r="H6192" t="s">
        <v>27665</v>
      </c>
      <c r="J6192" s="54" t="s">
        <v>6052</v>
      </c>
      <c r="K6192" s="54">
        <v>0</v>
      </c>
      <c r="L6192" s="22" t="s">
        <v>1563</v>
      </c>
      <c r="M6192" s="22" t="s">
        <v>37294</v>
      </c>
    </row>
    <row r="6193" spans="1:13" x14ac:dyDescent="0.75">
      <c r="A6193" t="s">
        <v>6214</v>
      </c>
      <c r="B6193" t="s">
        <v>6167</v>
      </c>
      <c r="C6193" t="s">
        <v>6124</v>
      </c>
      <c r="D6193" t="s">
        <v>6168</v>
      </c>
      <c r="E6193" t="s">
        <v>6215</v>
      </c>
      <c r="F6193">
        <v>1</v>
      </c>
      <c r="G6193">
        <v>2878897</v>
      </c>
      <c r="H6193" t="s">
        <v>6216</v>
      </c>
      <c r="J6193" s="54" t="s">
        <v>6052</v>
      </c>
      <c r="K6193" s="54">
        <v>0</v>
      </c>
      <c r="L6193" s="22" t="s">
        <v>36807</v>
      </c>
      <c r="M6193" s="22" t="s">
        <v>37291</v>
      </c>
    </row>
    <row r="6194" spans="1:13" x14ac:dyDescent="0.75">
      <c r="A6194" t="s">
        <v>27180</v>
      </c>
      <c r="B6194" t="s">
        <v>10958</v>
      </c>
      <c r="C6194" t="s">
        <v>6124</v>
      </c>
      <c r="D6194" t="s">
        <v>6928</v>
      </c>
      <c r="E6194" t="s">
        <v>27181</v>
      </c>
      <c r="F6194">
        <v>34</v>
      </c>
      <c r="G6194">
        <v>2219443</v>
      </c>
      <c r="H6194" t="s">
        <v>27182</v>
      </c>
      <c r="J6194" s="54" t="s">
        <v>6052</v>
      </c>
      <c r="K6194" s="54">
        <v>0</v>
      </c>
      <c r="L6194" s="22" t="s">
        <v>36806</v>
      </c>
      <c r="M6194" s="22" t="s">
        <v>37292</v>
      </c>
    </row>
    <row r="6195" spans="1:13" x14ac:dyDescent="0.75">
      <c r="A6195" t="s">
        <v>10477</v>
      </c>
      <c r="B6195" t="s">
        <v>9016</v>
      </c>
      <c r="C6195" t="s">
        <v>6124</v>
      </c>
      <c r="D6195" t="s">
        <v>9017</v>
      </c>
      <c r="E6195" t="s">
        <v>10478</v>
      </c>
      <c r="F6195">
        <v>12</v>
      </c>
      <c r="G6195">
        <v>2510278</v>
      </c>
      <c r="H6195" t="s">
        <v>10479</v>
      </c>
      <c r="J6195" s="54" t="s">
        <v>6052</v>
      </c>
      <c r="K6195" s="54">
        <v>0</v>
      </c>
      <c r="L6195" s="22" t="s">
        <v>36806</v>
      </c>
      <c r="M6195" s="22" t="s">
        <v>37289</v>
      </c>
    </row>
    <row r="6196" spans="1:13" x14ac:dyDescent="0.75">
      <c r="A6196" t="s">
        <v>22900</v>
      </c>
      <c r="B6196" t="s">
        <v>9016</v>
      </c>
      <c r="C6196" t="s">
        <v>6124</v>
      </c>
      <c r="D6196" t="s">
        <v>9017</v>
      </c>
      <c r="E6196" t="s">
        <v>22901</v>
      </c>
      <c r="F6196">
        <v>35</v>
      </c>
      <c r="G6196">
        <v>2466249</v>
      </c>
      <c r="H6196" t="s">
        <v>22902</v>
      </c>
      <c r="J6196" s="54" t="s">
        <v>6052</v>
      </c>
      <c r="K6196" s="54">
        <v>0</v>
      </c>
      <c r="L6196" s="22" t="s">
        <v>36806</v>
      </c>
      <c r="M6196" s="22" t="s">
        <v>37289</v>
      </c>
    </row>
    <row r="6197" spans="1:13" x14ac:dyDescent="0.75">
      <c r="A6197" t="s">
        <v>22897</v>
      </c>
      <c r="B6197" t="s">
        <v>9016</v>
      </c>
      <c r="C6197" t="s">
        <v>6124</v>
      </c>
      <c r="D6197" t="s">
        <v>9017</v>
      </c>
      <c r="E6197" t="s">
        <v>22898</v>
      </c>
      <c r="F6197">
        <v>44</v>
      </c>
      <c r="G6197">
        <v>2619647</v>
      </c>
      <c r="H6197" t="s">
        <v>22899</v>
      </c>
      <c r="J6197" s="54" t="s">
        <v>6052</v>
      </c>
      <c r="K6197" s="54">
        <v>0</v>
      </c>
      <c r="L6197" s="22" t="s">
        <v>36806</v>
      </c>
      <c r="M6197" s="22" t="s">
        <v>37289</v>
      </c>
    </row>
    <row r="6198" spans="1:13" x14ac:dyDescent="0.75">
      <c r="A6198" t="s">
        <v>22909</v>
      </c>
      <c r="B6198" t="s">
        <v>9016</v>
      </c>
      <c r="C6198" t="s">
        <v>6124</v>
      </c>
      <c r="D6198" t="s">
        <v>9017</v>
      </c>
      <c r="E6198" t="s">
        <v>22910</v>
      </c>
      <c r="F6198">
        <v>40</v>
      </c>
      <c r="G6198">
        <v>2571928</v>
      </c>
      <c r="H6198" t="s">
        <v>22911</v>
      </c>
      <c r="J6198" s="54" t="s">
        <v>6052</v>
      </c>
      <c r="K6198" s="54">
        <v>0</v>
      </c>
      <c r="L6198" s="22" t="s">
        <v>36806</v>
      </c>
      <c r="M6198" s="22" t="s">
        <v>37289</v>
      </c>
    </row>
    <row r="6199" spans="1:13" x14ac:dyDescent="0.75">
      <c r="A6199" t="s">
        <v>22912</v>
      </c>
      <c r="B6199" t="s">
        <v>9016</v>
      </c>
      <c r="C6199" t="s">
        <v>6124</v>
      </c>
      <c r="D6199" t="s">
        <v>9017</v>
      </c>
      <c r="E6199" t="s">
        <v>22913</v>
      </c>
      <c r="F6199">
        <v>43</v>
      </c>
      <c r="G6199">
        <v>2573752</v>
      </c>
      <c r="H6199" t="s">
        <v>22914</v>
      </c>
      <c r="J6199" s="54" t="s">
        <v>6052</v>
      </c>
      <c r="K6199" s="54">
        <v>0</v>
      </c>
      <c r="L6199" s="22" t="s">
        <v>36806</v>
      </c>
      <c r="M6199" s="22" t="s">
        <v>37289</v>
      </c>
    </row>
    <row r="6200" spans="1:13" x14ac:dyDescent="0.75">
      <c r="A6200" t="s">
        <v>22906</v>
      </c>
      <c r="B6200" t="s">
        <v>9016</v>
      </c>
      <c r="C6200" t="s">
        <v>6124</v>
      </c>
      <c r="D6200" t="s">
        <v>9017</v>
      </c>
      <c r="E6200" t="s">
        <v>22907</v>
      </c>
      <c r="F6200">
        <v>42</v>
      </c>
      <c r="G6200">
        <v>2552797</v>
      </c>
      <c r="H6200" t="s">
        <v>22908</v>
      </c>
      <c r="J6200" s="54" t="s">
        <v>6052</v>
      </c>
      <c r="K6200" s="54">
        <v>0</v>
      </c>
      <c r="L6200" s="22" t="s">
        <v>36806</v>
      </c>
      <c r="M6200" s="22" t="s">
        <v>37289</v>
      </c>
    </row>
    <row r="6201" spans="1:13" x14ac:dyDescent="0.75">
      <c r="A6201" t="s">
        <v>22903</v>
      </c>
      <c r="B6201" t="s">
        <v>9016</v>
      </c>
      <c r="C6201" t="s">
        <v>6124</v>
      </c>
      <c r="D6201" t="s">
        <v>9017</v>
      </c>
      <c r="E6201" t="s">
        <v>22904</v>
      </c>
      <c r="F6201">
        <v>42</v>
      </c>
      <c r="G6201">
        <v>2579267</v>
      </c>
      <c r="H6201" t="s">
        <v>22905</v>
      </c>
      <c r="J6201" s="54" t="s">
        <v>6052</v>
      </c>
      <c r="K6201" s="54">
        <v>0</v>
      </c>
      <c r="L6201" s="22" t="s">
        <v>36806</v>
      </c>
      <c r="M6201" s="22" t="s">
        <v>37289</v>
      </c>
    </row>
    <row r="6202" spans="1:13" x14ac:dyDescent="0.75">
      <c r="A6202" t="s">
        <v>28643</v>
      </c>
      <c r="B6202" t="s">
        <v>6123</v>
      </c>
      <c r="C6202" t="s">
        <v>6124</v>
      </c>
      <c r="D6202" t="s">
        <v>6125</v>
      </c>
      <c r="E6202" t="s">
        <v>28644</v>
      </c>
      <c r="F6202">
        <v>3</v>
      </c>
      <c r="G6202">
        <v>2547194</v>
      </c>
      <c r="H6202" t="s">
        <v>28645</v>
      </c>
      <c r="J6202" s="54" t="s">
        <v>6052</v>
      </c>
      <c r="K6202" s="54">
        <v>0</v>
      </c>
      <c r="L6202" s="22" t="s">
        <v>36806</v>
      </c>
      <c r="M6202" s="22" t="s">
        <v>37290</v>
      </c>
    </row>
    <row r="6203" spans="1:13" x14ac:dyDescent="0.75">
      <c r="A6203" t="s">
        <v>28646</v>
      </c>
      <c r="B6203" t="s">
        <v>6123</v>
      </c>
      <c r="C6203" t="s">
        <v>6124</v>
      </c>
      <c r="D6203" t="s">
        <v>6125</v>
      </c>
      <c r="E6203" t="s">
        <v>28644</v>
      </c>
      <c r="F6203">
        <v>2</v>
      </c>
      <c r="G6203">
        <v>2541041</v>
      </c>
      <c r="H6203" t="s">
        <v>28647</v>
      </c>
      <c r="J6203" s="54" t="s">
        <v>6052</v>
      </c>
      <c r="K6203" s="54">
        <v>0</v>
      </c>
      <c r="L6203" s="22" t="s">
        <v>36806</v>
      </c>
      <c r="M6203" s="22" t="s">
        <v>37290</v>
      </c>
    </row>
    <row r="6204" spans="1:13" x14ac:dyDescent="0.75">
      <c r="A6204" t="s">
        <v>28648</v>
      </c>
      <c r="B6204" t="s">
        <v>6123</v>
      </c>
      <c r="C6204" t="s">
        <v>6124</v>
      </c>
      <c r="D6204" t="s">
        <v>6125</v>
      </c>
      <c r="E6204" t="s">
        <v>28644</v>
      </c>
      <c r="F6204">
        <v>3</v>
      </c>
      <c r="G6204">
        <v>2581001</v>
      </c>
      <c r="H6204" t="s">
        <v>28649</v>
      </c>
      <c r="J6204" s="54" t="s">
        <v>6052</v>
      </c>
      <c r="K6204" s="54">
        <v>0</v>
      </c>
      <c r="L6204" s="22" t="s">
        <v>36806</v>
      </c>
      <c r="M6204" s="22" t="s">
        <v>37290</v>
      </c>
    </row>
    <row r="6205" spans="1:13" x14ac:dyDescent="0.75">
      <c r="A6205" t="s">
        <v>28650</v>
      </c>
      <c r="B6205" t="s">
        <v>6123</v>
      </c>
      <c r="C6205" t="s">
        <v>6124</v>
      </c>
      <c r="D6205" t="s">
        <v>6125</v>
      </c>
      <c r="E6205" t="s">
        <v>28644</v>
      </c>
      <c r="F6205">
        <v>3</v>
      </c>
      <c r="G6205">
        <v>2598654</v>
      </c>
      <c r="H6205" t="s">
        <v>28651</v>
      </c>
      <c r="J6205" s="54" t="s">
        <v>6052</v>
      </c>
      <c r="K6205" s="54">
        <v>0</v>
      </c>
      <c r="L6205" s="22" t="s">
        <v>36806</v>
      </c>
      <c r="M6205" s="22" t="s">
        <v>37290</v>
      </c>
    </row>
    <row r="6206" spans="1:13" x14ac:dyDescent="0.75">
      <c r="A6206" t="s">
        <v>28652</v>
      </c>
      <c r="B6206" t="s">
        <v>6123</v>
      </c>
      <c r="C6206" t="s">
        <v>6124</v>
      </c>
      <c r="D6206" t="s">
        <v>6125</v>
      </c>
      <c r="E6206" t="s">
        <v>28644</v>
      </c>
      <c r="F6206">
        <v>2</v>
      </c>
      <c r="G6206">
        <v>2646468</v>
      </c>
      <c r="H6206" t="s">
        <v>28653</v>
      </c>
      <c r="J6206" s="54" t="s">
        <v>6052</v>
      </c>
      <c r="K6206" s="54">
        <v>0</v>
      </c>
      <c r="L6206" s="22" t="s">
        <v>36806</v>
      </c>
      <c r="M6206" s="22" t="s">
        <v>37290</v>
      </c>
    </row>
    <row r="6207" spans="1:13" x14ac:dyDescent="0.75">
      <c r="A6207" t="s">
        <v>28654</v>
      </c>
      <c r="B6207" t="s">
        <v>6123</v>
      </c>
      <c r="C6207" t="s">
        <v>6124</v>
      </c>
      <c r="D6207" t="s">
        <v>6125</v>
      </c>
      <c r="E6207" t="s">
        <v>28644</v>
      </c>
      <c r="F6207">
        <v>3</v>
      </c>
      <c r="G6207">
        <v>2561733</v>
      </c>
      <c r="H6207" t="s">
        <v>28655</v>
      </c>
      <c r="J6207" s="54" t="s">
        <v>6052</v>
      </c>
      <c r="K6207" s="54">
        <v>0</v>
      </c>
      <c r="L6207" s="22" t="s">
        <v>36806</v>
      </c>
      <c r="M6207" s="22" t="s">
        <v>37290</v>
      </c>
    </row>
    <row r="6208" spans="1:13" x14ac:dyDescent="0.75">
      <c r="A6208" t="s">
        <v>10898</v>
      </c>
      <c r="B6208" t="s">
        <v>6167</v>
      </c>
      <c r="C6208" t="s">
        <v>6124</v>
      </c>
      <c r="D6208" t="s">
        <v>6168</v>
      </c>
      <c r="E6208" t="s">
        <v>10899</v>
      </c>
      <c r="F6208">
        <v>1</v>
      </c>
      <c r="G6208">
        <v>2764708</v>
      </c>
      <c r="H6208" t="s">
        <v>10900</v>
      </c>
      <c r="J6208" s="54" t="s">
        <v>6052</v>
      </c>
      <c r="K6208" s="54">
        <v>0</v>
      </c>
      <c r="L6208" s="22" t="s">
        <v>36807</v>
      </c>
      <c r="M6208" s="22" t="s">
        <v>37291</v>
      </c>
    </row>
    <row r="6209" spans="1:13" x14ac:dyDescent="0.75">
      <c r="A6209" t="s">
        <v>24321</v>
      </c>
      <c r="B6209" t="s">
        <v>13747</v>
      </c>
      <c r="C6209" t="s">
        <v>6124</v>
      </c>
      <c r="D6209" t="s">
        <v>13748</v>
      </c>
      <c r="E6209" t="s">
        <v>24322</v>
      </c>
      <c r="F6209">
        <v>25</v>
      </c>
      <c r="G6209">
        <v>2515007</v>
      </c>
      <c r="H6209" t="s">
        <v>24323</v>
      </c>
      <c r="J6209" s="54" t="s">
        <v>6052</v>
      </c>
      <c r="K6209" s="54">
        <v>0</v>
      </c>
      <c r="L6209" s="22" t="s">
        <v>1563</v>
      </c>
      <c r="M6209" s="22" t="s">
        <v>37300</v>
      </c>
    </row>
    <row r="6210" spans="1:13" x14ac:dyDescent="0.75">
      <c r="A6210" t="s">
        <v>24324</v>
      </c>
      <c r="B6210" t="s">
        <v>13747</v>
      </c>
      <c r="C6210" t="s">
        <v>6124</v>
      </c>
      <c r="D6210" t="s">
        <v>13748</v>
      </c>
      <c r="E6210" t="s">
        <v>24325</v>
      </c>
      <c r="F6210">
        <v>21</v>
      </c>
      <c r="G6210">
        <v>2418100</v>
      </c>
      <c r="H6210" t="s">
        <v>24326</v>
      </c>
      <c r="J6210" s="54" t="s">
        <v>6052</v>
      </c>
      <c r="K6210" s="54">
        <v>0</v>
      </c>
      <c r="L6210" s="22" t="s">
        <v>1563</v>
      </c>
      <c r="M6210" s="22" t="s">
        <v>37300</v>
      </c>
    </row>
    <row r="6211" spans="1:13" x14ac:dyDescent="0.75">
      <c r="A6211" t="s">
        <v>24330</v>
      </c>
      <c r="B6211" t="s">
        <v>13747</v>
      </c>
      <c r="C6211" t="s">
        <v>6124</v>
      </c>
      <c r="D6211" t="s">
        <v>13748</v>
      </c>
      <c r="E6211" t="s">
        <v>24331</v>
      </c>
      <c r="F6211">
        <v>26</v>
      </c>
      <c r="G6211">
        <v>2457863</v>
      </c>
      <c r="H6211" t="s">
        <v>24332</v>
      </c>
      <c r="J6211" s="54" t="s">
        <v>6052</v>
      </c>
      <c r="K6211" s="54">
        <v>0</v>
      </c>
      <c r="L6211" s="22" t="s">
        <v>1563</v>
      </c>
      <c r="M6211" s="22" t="s">
        <v>37300</v>
      </c>
    </row>
    <row r="6212" spans="1:13" x14ac:dyDescent="0.75">
      <c r="A6212" t="s">
        <v>24327</v>
      </c>
      <c r="B6212" t="s">
        <v>13747</v>
      </c>
      <c r="C6212" t="s">
        <v>6124</v>
      </c>
      <c r="D6212" t="s">
        <v>13748</v>
      </c>
      <c r="E6212" t="s">
        <v>24328</v>
      </c>
      <c r="F6212">
        <v>24</v>
      </c>
      <c r="G6212">
        <v>2476101</v>
      </c>
      <c r="H6212" t="s">
        <v>24329</v>
      </c>
      <c r="J6212" s="54" t="s">
        <v>6052</v>
      </c>
      <c r="K6212" s="54">
        <v>0</v>
      </c>
      <c r="L6212" s="22" t="s">
        <v>1563</v>
      </c>
      <c r="M6212" s="22" t="s">
        <v>37300</v>
      </c>
    </row>
    <row r="6213" spans="1:13" x14ac:dyDescent="0.75">
      <c r="A6213" t="s">
        <v>22935</v>
      </c>
      <c r="B6213" t="s">
        <v>6167</v>
      </c>
      <c r="C6213" t="s">
        <v>6124</v>
      </c>
      <c r="D6213" t="s">
        <v>6168</v>
      </c>
      <c r="E6213" t="s">
        <v>22936</v>
      </c>
      <c r="F6213">
        <v>2</v>
      </c>
      <c r="G6213">
        <v>2965586</v>
      </c>
      <c r="H6213" t="s">
        <v>22937</v>
      </c>
      <c r="J6213" s="54" t="s">
        <v>6052</v>
      </c>
      <c r="K6213" s="54">
        <v>0</v>
      </c>
      <c r="L6213" s="22" t="s">
        <v>36807</v>
      </c>
      <c r="M6213" s="22" t="s">
        <v>37291</v>
      </c>
    </row>
    <row r="6214" spans="1:13" x14ac:dyDescent="0.75">
      <c r="A6214" t="s">
        <v>21146</v>
      </c>
      <c r="B6214" t="s">
        <v>6195</v>
      </c>
      <c r="C6214" t="s">
        <v>6124</v>
      </c>
      <c r="D6214" t="s">
        <v>6196</v>
      </c>
      <c r="E6214" t="s">
        <v>21147</v>
      </c>
      <c r="F6214">
        <v>3</v>
      </c>
      <c r="G6214">
        <v>2539247</v>
      </c>
      <c r="H6214" t="s">
        <v>21148</v>
      </c>
      <c r="J6214" s="54" t="s">
        <v>6052</v>
      </c>
      <c r="K6214" s="54">
        <v>0</v>
      </c>
      <c r="L6214" s="22" t="s">
        <v>36807</v>
      </c>
      <c r="M6214" s="22" t="s">
        <v>37288</v>
      </c>
    </row>
    <row r="6215" spans="1:13" x14ac:dyDescent="0.75">
      <c r="A6215" t="s">
        <v>7487</v>
      </c>
      <c r="B6215" t="s">
        <v>6167</v>
      </c>
      <c r="C6215" t="s">
        <v>6124</v>
      </c>
      <c r="D6215" t="s">
        <v>6168</v>
      </c>
      <c r="E6215" t="s">
        <v>7488</v>
      </c>
      <c r="F6215">
        <v>1</v>
      </c>
      <c r="G6215">
        <v>2766441</v>
      </c>
      <c r="H6215" t="s">
        <v>7489</v>
      </c>
      <c r="J6215" s="54" t="s">
        <v>6052</v>
      </c>
      <c r="K6215" s="54">
        <v>0</v>
      </c>
      <c r="L6215" s="22" t="s">
        <v>36807</v>
      </c>
      <c r="M6215" s="22" t="s">
        <v>37291</v>
      </c>
    </row>
    <row r="6216" spans="1:13" x14ac:dyDescent="0.75">
      <c r="A6216" t="s">
        <v>16670</v>
      </c>
      <c r="B6216" t="s">
        <v>6167</v>
      </c>
      <c r="C6216" t="s">
        <v>6124</v>
      </c>
      <c r="D6216" t="s">
        <v>6168</v>
      </c>
      <c r="E6216" t="s">
        <v>16671</v>
      </c>
      <c r="F6216">
        <v>1</v>
      </c>
      <c r="G6216">
        <v>2841948</v>
      </c>
      <c r="H6216" t="s">
        <v>16672</v>
      </c>
      <c r="J6216" s="54" t="s">
        <v>6052</v>
      </c>
      <c r="K6216" s="54">
        <v>0</v>
      </c>
      <c r="L6216" s="22" t="s">
        <v>36807</v>
      </c>
      <c r="M6216" s="22" t="s">
        <v>37291</v>
      </c>
    </row>
    <row r="6217" spans="1:13" x14ac:dyDescent="0.75">
      <c r="A6217" t="s">
        <v>7490</v>
      </c>
      <c r="B6217" t="s">
        <v>6167</v>
      </c>
      <c r="C6217" t="s">
        <v>6124</v>
      </c>
      <c r="D6217" t="s">
        <v>6168</v>
      </c>
      <c r="E6217" t="s">
        <v>7491</v>
      </c>
      <c r="F6217">
        <v>1</v>
      </c>
      <c r="G6217">
        <v>2791410</v>
      </c>
      <c r="H6217" t="s">
        <v>7492</v>
      </c>
      <c r="J6217" s="54" t="s">
        <v>6052</v>
      </c>
      <c r="K6217" s="54">
        <v>0</v>
      </c>
      <c r="L6217" s="22" t="s">
        <v>36807</v>
      </c>
      <c r="M6217" s="22" t="s">
        <v>37291</v>
      </c>
    </row>
    <row r="6218" spans="1:13" x14ac:dyDescent="0.75">
      <c r="A6218" t="s">
        <v>13865</v>
      </c>
      <c r="B6218" t="s">
        <v>6894</v>
      </c>
      <c r="C6218" t="s">
        <v>6124</v>
      </c>
      <c r="D6218" t="s">
        <v>6895</v>
      </c>
      <c r="E6218" t="s">
        <v>13866</v>
      </c>
      <c r="F6218">
        <v>193</v>
      </c>
      <c r="G6218">
        <v>2659121</v>
      </c>
      <c r="H6218" t="s">
        <v>13867</v>
      </c>
      <c r="J6218" s="54" t="s">
        <v>6052</v>
      </c>
      <c r="K6218" s="54">
        <v>0</v>
      </c>
      <c r="L6218" s="22" t="s">
        <v>1563</v>
      </c>
      <c r="M6218" s="22" t="s">
        <v>37293</v>
      </c>
    </row>
    <row r="6219" spans="1:13" x14ac:dyDescent="0.75">
      <c r="A6219" t="s">
        <v>15540</v>
      </c>
      <c r="B6219" t="s">
        <v>9016</v>
      </c>
      <c r="C6219" t="s">
        <v>6124</v>
      </c>
      <c r="D6219" t="s">
        <v>9017</v>
      </c>
      <c r="E6219" t="s">
        <v>15541</v>
      </c>
      <c r="F6219">
        <v>36</v>
      </c>
      <c r="G6219">
        <v>2673248</v>
      </c>
      <c r="H6219" t="s">
        <v>15542</v>
      </c>
      <c r="J6219" s="54" t="s">
        <v>6052</v>
      </c>
      <c r="K6219" s="54">
        <v>0</v>
      </c>
      <c r="L6219" s="22" t="s">
        <v>36806</v>
      </c>
      <c r="M6219" s="22" t="s">
        <v>37289</v>
      </c>
    </row>
    <row r="6220" spans="1:13" x14ac:dyDescent="0.75">
      <c r="A6220" t="s">
        <v>22639</v>
      </c>
      <c r="B6220" t="s">
        <v>6475</v>
      </c>
      <c r="C6220" t="s">
        <v>6124</v>
      </c>
      <c r="D6220" t="s">
        <v>6476</v>
      </c>
      <c r="E6220" t="s">
        <v>22640</v>
      </c>
      <c r="F6220">
        <v>33</v>
      </c>
      <c r="G6220">
        <v>2598745</v>
      </c>
      <c r="H6220" t="s">
        <v>22641</v>
      </c>
      <c r="J6220" s="54" t="s">
        <v>6052</v>
      </c>
      <c r="K6220" s="54">
        <v>0</v>
      </c>
      <c r="L6220" s="22" t="s">
        <v>1563</v>
      </c>
      <c r="M6220" s="22" t="s">
        <v>37294</v>
      </c>
    </row>
    <row r="6221" spans="1:13" x14ac:dyDescent="0.75">
      <c r="A6221" t="s">
        <v>24118</v>
      </c>
      <c r="B6221" t="s">
        <v>6475</v>
      </c>
      <c r="C6221" t="s">
        <v>6124</v>
      </c>
      <c r="D6221" t="s">
        <v>6476</v>
      </c>
      <c r="E6221" t="s">
        <v>24119</v>
      </c>
      <c r="F6221">
        <v>26</v>
      </c>
      <c r="G6221">
        <v>2526590</v>
      </c>
      <c r="H6221" t="s">
        <v>24120</v>
      </c>
      <c r="J6221" s="54" t="s">
        <v>6052</v>
      </c>
      <c r="K6221" s="54">
        <v>0</v>
      </c>
      <c r="L6221" s="22" t="s">
        <v>1563</v>
      </c>
      <c r="M6221" s="22" t="s">
        <v>37294</v>
      </c>
    </row>
    <row r="6222" spans="1:13" x14ac:dyDescent="0.75">
      <c r="A6222" t="s">
        <v>24036</v>
      </c>
      <c r="B6222" t="s">
        <v>7155</v>
      </c>
      <c r="C6222" t="s">
        <v>6124</v>
      </c>
      <c r="D6222" t="s">
        <v>7156</v>
      </c>
      <c r="E6222" t="s">
        <v>24037</v>
      </c>
      <c r="F6222">
        <v>12</v>
      </c>
      <c r="G6222">
        <v>2477307</v>
      </c>
      <c r="H6222" t="s">
        <v>24038</v>
      </c>
      <c r="J6222" s="54" t="s">
        <v>6052</v>
      </c>
      <c r="K6222" s="54">
        <v>0</v>
      </c>
      <c r="L6222" s="22" t="s">
        <v>36806</v>
      </c>
      <c r="M6222" s="22" t="s">
        <v>37296</v>
      </c>
    </row>
    <row r="6223" spans="1:13" x14ac:dyDescent="0.75">
      <c r="A6223" t="s">
        <v>23947</v>
      </c>
      <c r="B6223" t="s">
        <v>10958</v>
      </c>
      <c r="C6223" t="s">
        <v>6124</v>
      </c>
      <c r="D6223" t="s">
        <v>6928</v>
      </c>
      <c r="E6223" t="s">
        <v>23948</v>
      </c>
      <c r="F6223">
        <v>24</v>
      </c>
      <c r="G6223">
        <v>2252934</v>
      </c>
      <c r="H6223" t="s">
        <v>23949</v>
      </c>
      <c r="J6223" s="54" t="s">
        <v>6052</v>
      </c>
      <c r="K6223" s="54">
        <v>0</v>
      </c>
      <c r="L6223" s="22" t="s">
        <v>36806</v>
      </c>
      <c r="M6223" s="22" t="s">
        <v>37292</v>
      </c>
    </row>
    <row r="6224" spans="1:13" x14ac:dyDescent="0.75">
      <c r="A6224" t="s">
        <v>23979</v>
      </c>
      <c r="B6224" t="s">
        <v>9016</v>
      </c>
      <c r="C6224" t="s">
        <v>6124</v>
      </c>
      <c r="D6224" t="s">
        <v>9017</v>
      </c>
      <c r="E6224" t="s">
        <v>23980</v>
      </c>
      <c r="F6224">
        <v>4</v>
      </c>
      <c r="G6224">
        <v>2555736</v>
      </c>
      <c r="H6224" t="s">
        <v>23981</v>
      </c>
      <c r="J6224" s="54" t="s">
        <v>6052</v>
      </c>
      <c r="K6224" s="54">
        <v>0</v>
      </c>
      <c r="L6224" s="22" t="s">
        <v>36806</v>
      </c>
      <c r="M6224" s="22" t="s">
        <v>37289</v>
      </c>
    </row>
    <row r="6225" spans="1:13" x14ac:dyDescent="0.75">
      <c r="A6225" t="s">
        <v>23982</v>
      </c>
      <c r="B6225" t="s">
        <v>9016</v>
      </c>
      <c r="C6225" t="s">
        <v>6124</v>
      </c>
      <c r="D6225" t="s">
        <v>9017</v>
      </c>
      <c r="E6225" t="s">
        <v>23983</v>
      </c>
      <c r="F6225">
        <v>45</v>
      </c>
      <c r="G6225">
        <v>2555542</v>
      </c>
      <c r="H6225" t="s">
        <v>23984</v>
      </c>
      <c r="J6225" s="54" t="s">
        <v>6052</v>
      </c>
      <c r="K6225" s="54">
        <v>0</v>
      </c>
      <c r="L6225" s="22" t="s">
        <v>36806</v>
      </c>
      <c r="M6225" s="22" t="s">
        <v>37289</v>
      </c>
    </row>
    <row r="6226" spans="1:13" x14ac:dyDescent="0.75">
      <c r="A6226" t="s">
        <v>24045</v>
      </c>
      <c r="B6226" t="s">
        <v>9016</v>
      </c>
      <c r="C6226" t="s">
        <v>6124</v>
      </c>
      <c r="D6226" t="s">
        <v>9017</v>
      </c>
      <c r="E6226" t="s">
        <v>24046</v>
      </c>
      <c r="F6226">
        <v>41</v>
      </c>
      <c r="G6226">
        <v>2555453</v>
      </c>
      <c r="H6226" t="s">
        <v>24047</v>
      </c>
      <c r="J6226" s="54" t="s">
        <v>6052</v>
      </c>
      <c r="K6226" s="54">
        <v>0</v>
      </c>
      <c r="L6226" s="22" t="s">
        <v>36806</v>
      </c>
      <c r="M6226" s="22" t="s">
        <v>37289</v>
      </c>
    </row>
    <row r="6227" spans="1:13" x14ac:dyDescent="0.75">
      <c r="A6227" t="s">
        <v>22603</v>
      </c>
      <c r="B6227" t="s">
        <v>6475</v>
      </c>
      <c r="C6227" t="s">
        <v>6124</v>
      </c>
      <c r="D6227" t="s">
        <v>6476</v>
      </c>
      <c r="E6227" t="s">
        <v>22604</v>
      </c>
      <c r="F6227">
        <v>32</v>
      </c>
      <c r="G6227">
        <v>2549897</v>
      </c>
      <c r="H6227" t="s">
        <v>22605</v>
      </c>
      <c r="J6227" s="54" t="s">
        <v>6052</v>
      </c>
      <c r="K6227" s="54">
        <v>0</v>
      </c>
      <c r="L6227" s="22" t="s">
        <v>1563</v>
      </c>
      <c r="M6227" s="22" t="s">
        <v>37294</v>
      </c>
    </row>
    <row r="6228" spans="1:13" x14ac:dyDescent="0.75">
      <c r="A6228" t="s">
        <v>22615</v>
      </c>
      <c r="B6228" t="s">
        <v>6475</v>
      </c>
      <c r="C6228" t="s">
        <v>6124</v>
      </c>
      <c r="D6228" t="s">
        <v>6476</v>
      </c>
      <c r="E6228" t="s">
        <v>22616</v>
      </c>
      <c r="F6228">
        <v>34</v>
      </c>
      <c r="G6228">
        <v>2536521</v>
      </c>
      <c r="H6228" t="s">
        <v>22617</v>
      </c>
      <c r="J6228" s="54" t="s">
        <v>6052</v>
      </c>
      <c r="K6228" s="54">
        <v>0</v>
      </c>
      <c r="L6228" s="22" t="s">
        <v>1563</v>
      </c>
      <c r="M6228" s="22" t="s">
        <v>37294</v>
      </c>
    </row>
    <row r="6229" spans="1:13" x14ac:dyDescent="0.75">
      <c r="A6229" t="s">
        <v>22609</v>
      </c>
      <c r="B6229" t="s">
        <v>6475</v>
      </c>
      <c r="C6229" t="s">
        <v>6124</v>
      </c>
      <c r="D6229" t="s">
        <v>6476</v>
      </c>
      <c r="E6229" t="s">
        <v>22610</v>
      </c>
      <c r="F6229">
        <v>42</v>
      </c>
      <c r="G6229">
        <v>2522674</v>
      </c>
      <c r="H6229" t="s">
        <v>22611</v>
      </c>
      <c r="J6229" s="54" t="s">
        <v>6052</v>
      </c>
      <c r="K6229" s="54">
        <v>0</v>
      </c>
      <c r="L6229" s="22" t="s">
        <v>1563</v>
      </c>
      <c r="M6229" s="22" t="s">
        <v>37294</v>
      </c>
    </row>
    <row r="6230" spans="1:13" x14ac:dyDescent="0.75">
      <c r="A6230" t="s">
        <v>22972</v>
      </c>
      <c r="B6230" t="s">
        <v>6167</v>
      </c>
      <c r="C6230" t="s">
        <v>6124</v>
      </c>
      <c r="D6230" t="s">
        <v>6168</v>
      </c>
      <c r="E6230" t="s">
        <v>22973</v>
      </c>
      <c r="F6230">
        <v>2</v>
      </c>
      <c r="G6230">
        <v>2782561</v>
      </c>
      <c r="H6230" t="s">
        <v>22974</v>
      </c>
      <c r="J6230" s="54" t="s">
        <v>6052</v>
      </c>
      <c r="K6230" s="54">
        <v>0</v>
      </c>
      <c r="L6230" s="22" t="s">
        <v>36807</v>
      </c>
      <c r="M6230" s="22" t="s">
        <v>37291</v>
      </c>
    </row>
    <row r="6231" spans="1:13" x14ac:dyDescent="0.75">
      <c r="A6231" t="s">
        <v>22969</v>
      </c>
      <c r="B6231" t="s">
        <v>6123</v>
      </c>
      <c r="C6231" t="s">
        <v>6124</v>
      </c>
      <c r="D6231" t="s">
        <v>6125</v>
      </c>
      <c r="E6231" t="s">
        <v>22970</v>
      </c>
      <c r="F6231">
        <v>4</v>
      </c>
      <c r="G6231">
        <v>2594997</v>
      </c>
      <c r="H6231" t="s">
        <v>22971</v>
      </c>
      <c r="J6231" s="54" t="s">
        <v>6052</v>
      </c>
      <c r="K6231" s="54">
        <v>0</v>
      </c>
      <c r="L6231" s="22" t="s">
        <v>36806</v>
      </c>
      <c r="M6231" s="22" t="s">
        <v>37290</v>
      </c>
    </row>
    <row r="6232" spans="1:13" x14ac:dyDescent="0.75">
      <c r="A6232" t="s">
        <v>20100</v>
      </c>
      <c r="B6232" t="s">
        <v>6123</v>
      </c>
      <c r="C6232" t="s">
        <v>6124</v>
      </c>
      <c r="D6232" t="s">
        <v>6125</v>
      </c>
      <c r="E6232" t="s">
        <v>20101</v>
      </c>
      <c r="F6232">
        <v>6</v>
      </c>
      <c r="G6232">
        <v>2598183</v>
      </c>
      <c r="H6232" t="s">
        <v>20102</v>
      </c>
      <c r="J6232" s="54" t="s">
        <v>6052</v>
      </c>
      <c r="K6232" s="54">
        <v>0</v>
      </c>
      <c r="L6232" s="22" t="s">
        <v>36806</v>
      </c>
      <c r="M6232" s="22" t="s">
        <v>37290</v>
      </c>
    </row>
    <row r="6233" spans="1:13" x14ac:dyDescent="0.75">
      <c r="A6233" t="s">
        <v>16757</v>
      </c>
      <c r="B6233" t="s">
        <v>6195</v>
      </c>
      <c r="C6233" t="s">
        <v>6124</v>
      </c>
      <c r="D6233" t="s">
        <v>6196</v>
      </c>
      <c r="E6233" t="s">
        <v>16758</v>
      </c>
      <c r="F6233">
        <v>1</v>
      </c>
      <c r="G6233">
        <v>2615683</v>
      </c>
      <c r="H6233" t="s">
        <v>16759</v>
      </c>
      <c r="J6233" s="54" t="s">
        <v>6052</v>
      </c>
      <c r="K6233" s="54">
        <v>0</v>
      </c>
      <c r="L6233" s="22" t="s">
        <v>36807</v>
      </c>
      <c r="M6233" s="22" t="s">
        <v>37288</v>
      </c>
    </row>
    <row r="6234" spans="1:13" x14ac:dyDescent="0.75">
      <c r="A6234" t="s">
        <v>24315</v>
      </c>
      <c r="B6234" t="s">
        <v>13969</v>
      </c>
      <c r="C6234" t="s">
        <v>6124</v>
      </c>
      <c r="D6234" t="s">
        <v>13970</v>
      </c>
      <c r="E6234" t="s">
        <v>24316</v>
      </c>
      <c r="F6234">
        <v>4</v>
      </c>
      <c r="G6234">
        <v>2617971</v>
      </c>
      <c r="H6234" t="s">
        <v>24317</v>
      </c>
      <c r="J6234" s="54" t="s">
        <v>6052</v>
      </c>
      <c r="K6234" s="54">
        <v>0</v>
      </c>
      <c r="L6234" s="22" t="s">
        <v>1563</v>
      </c>
      <c r="M6234" s="22" t="s">
        <v>37298</v>
      </c>
    </row>
    <row r="6235" spans="1:13" x14ac:dyDescent="0.75">
      <c r="A6235" t="s">
        <v>23437</v>
      </c>
      <c r="B6235" t="s">
        <v>6475</v>
      </c>
      <c r="C6235" t="s">
        <v>6124</v>
      </c>
      <c r="D6235" t="s">
        <v>6476</v>
      </c>
      <c r="E6235" t="s">
        <v>23438</v>
      </c>
      <c r="F6235">
        <v>40</v>
      </c>
      <c r="G6235">
        <v>2626353</v>
      </c>
      <c r="H6235" t="s">
        <v>23439</v>
      </c>
      <c r="J6235" s="54" t="s">
        <v>6052</v>
      </c>
      <c r="K6235" s="54">
        <v>0</v>
      </c>
      <c r="L6235" s="22" t="s">
        <v>1563</v>
      </c>
      <c r="M6235" s="22" t="s">
        <v>37294</v>
      </c>
    </row>
    <row r="6236" spans="1:13" x14ac:dyDescent="0.75">
      <c r="A6236" t="s">
        <v>23431</v>
      </c>
      <c r="B6236" t="s">
        <v>6475</v>
      </c>
      <c r="C6236" t="s">
        <v>6124</v>
      </c>
      <c r="D6236" t="s">
        <v>6476</v>
      </c>
      <c r="E6236" t="s">
        <v>23432</v>
      </c>
      <c r="F6236">
        <v>38</v>
      </c>
      <c r="G6236">
        <v>2566020</v>
      </c>
      <c r="H6236" t="s">
        <v>23433</v>
      </c>
      <c r="J6236" s="54" t="s">
        <v>6052</v>
      </c>
      <c r="K6236" s="54">
        <v>0</v>
      </c>
      <c r="L6236" s="22" t="s">
        <v>1563</v>
      </c>
      <c r="M6236" s="22" t="s">
        <v>37294</v>
      </c>
    </row>
    <row r="6237" spans="1:13" x14ac:dyDescent="0.75">
      <c r="A6237" t="s">
        <v>23434</v>
      </c>
      <c r="B6237" t="s">
        <v>6475</v>
      </c>
      <c r="C6237" t="s">
        <v>6124</v>
      </c>
      <c r="D6237" t="s">
        <v>6476</v>
      </c>
      <c r="E6237" t="s">
        <v>23435</v>
      </c>
      <c r="F6237">
        <v>40</v>
      </c>
      <c r="G6237">
        <v>2605218</v>
      </c>
      <c r="H6237" t="s">
        <v>23436</v>
      </c>
      <c r="J6237" s="54" t="s">
        <v>6052</v>
      </c>
      <c r="K6237" s="54">
        <v>0</v>
      </c>
      <c r="L6237" s="22" t="s">
        <v>1563</v>
      </c>
      <c r="M6237" s="22" t="s">
        <v>37294</v>
      </c>
    </row>
    <row r="6238" spans="1:13" x14ac:dyDescent="0.75">
      <c r="A6238" t="s">
        <v>23428</v>
      </c>
      <c r="B6238" t="s">
        <v>6475</v>
      </c>
      <c r="C6238" t="s">
        <v>6124</v>
      </c>
      <c r="D6238" t="s">
        <v>6476</v>
      </c>
      <c r="E6238" t="s">
        <v>23429</v>
      </c>
      <c r="F6238">
        <v>40</v>
      </c>
      <c r="G6238">
        <v>2623763</v>
      </c>
      <c r="H6238" t="s">
        <v>23430</v>
      </c>
      <c r="J6238" s="54" t="s">
        <v>6052</v>
      </c>
      <c r="K6238" s="54">
        <v>0</v>
      </c>
      <c r="L6238" s="22" t="s">
        <v>1563</v>
      </c>
      <c r="M6238" s="22" t="s">
        <v>37294</v>
      </c>
    </row>
    <row r="6239" spans="1:13" x14ac:dyDescent="0.75">
      <c r="A6239" t="s">
        <v>23425</v>
      </c>
      <c r="B6239" t="s">
        <v>6475</v>
      </c>
      <c r="C6239" t="s">
        <v>6124</v>
      </c>
      <c r="D6239" t="s">
        <v>6476</v>
      </c>
      <c r="E6239" t="s">
        <v>23426</v>
      </c>
      <c r="F6239">
        <v>33</v>
      </c>
      <c r="G6239">
        <v>2534192</v>
      </c>
      <c r="H6239" t="s">
        <v>23427</v>
      </c>
      <c r="J6239" s="54" t="s">
        <v>6052</v>
      </c>
      <c r="K6239" s="54">
        <v>0</v>
      </c>
      <c r="L6239" s="22" t="s">
        <v>1563</v>
      </c>
      <c r="M6239" s="22" t="s">
        <v>37294</v>
      </c>
    </row>
    <row r="6240" spans="1:13" x14ac:dyDescent="0.75">
      <c r="A6240" t="s">
        <v>8631</v>
      </c>
      <c r="B6240" t="s">
        <v>7155</v>
      </c>
      <c r="C6240" t="s">
        <v>6124</v>
      </c>
      <c r="D6240" t="s">
        <v>7156</v>
      </c>
      <c r="E6240" t="s">
        <v>8632</v>
      </c>
      <c r="F6240">
        <v>30</v>
      </c>
      <c r="G6240">
        <v>2430101</v>
      </c>
      <c r="H6240" t="s">
        <v>8633</v>
      </c>
      <c r="J6240" s="54" t="s">
        <v>6052</v>
      </c>
      <c r="K6240" s="54">
        <v>0</v>
      </c>
      <c r="L6240" s="22" t="s">
        <v>36806</v>
      </c>
      <c r="M6240" s="22" t="s">
        <v>37296</v>
      </c>
    </row>
    <row r="6241" spans="1:13" x14ac:dyDescent="0.75">
      <c r="A6241" t="s">
        <v>19679</v>
      </c>
      <c r="B6241" t="s">
        <v>7155</v>
      </c>
      <c r="C6241" t="s">
        <v>6124</v>
      </c>
      <c r="D6241" t="s">
        <v>7156</v>
      </c>
      <c r="E6241" t="s">
        <v>19680</v>
      </c>
      <c r="F6241">
        <v>31</v>
      </c>
      <c r="G6241">
        <v>2624874</v>
      </c>
      <c r="H6241" t="s">
        <v>19681</v>
      </c>
      <c r="J6241" s="54" t="s">
        <v>6052</v>
      </c>
      <c r="K6241" s="54">
        <v>0</v>
      </c>
      <c r="L6241" s="22" t="s">
        <v>36806</v>
      </c>
      <c r="M6241" s="22" t="s">
        <v>37296</v>
      </c>
    </row>
    <row r="6242" spans="1:13" x14ac:dyDescent="0.75">
      <c r="A6242" t="s">
        <v>19673</v>
      </c>
      <c r="B6242" t="s">
        <v>7155</v>
      </c>
      <c r="C6242" t="s">
        <v>6124</v>
      </c>
      <c r="D6242" t="s">
        <v>7156</v>
      </c>
      <c r="E6242" t="s">
        <v>19674</v>
      </c>
      <c r="F6242">
        <v>36</v>
      </c>
      <c r="G6242">
        <v>2618481</v>
      </c>
      <c r="H6242" t="s">
        <v>19675</v>
      </c>
      <c r="J6242" s="54" t="s">
        <v>6052</v>
      </c>
      <c r="K6242" s="54">
        <v>0</v>
      </c>
      <c r="L6242" s="22" t="s">
        <v>36806</v>
      </c>
      <c r="M6242" s="22" t="s">
        <v>37296</v>
      </c>
    </row>
    <row r="6243" spans="1:13" x14ac:dyDescent="0.75">
      <c r="A6243" t="s">
        <v>19670</v>
      </c>
      <c r="B6243" t="s">
        <v>7155</v>
      </c>
      <c r="C6243" t="s">
        <v>6124</v>
      </c>
      <c r="D6243" t="s">
        <v>7156</v>
      </c>
      <c r="E6243" t="s">
        <v>19671</v>
      </c>
      <c r="F6243">
        <v>32</v>
      </c>
      <c r="G6243">
        <v>2620474</v>
      </c>
      <c r="H6243" t="s">
        <v>19672</v>
      </c>
      <c r="J6243" s="54" t="s">
        <v>6052</v>
      </c>
      <c r="K6243" s="54">
        <v>0</v>
      </c>
      <c r="L6243" s="22" t="s">
        <v>36806</v>
      </c>
      <c r="M6243" s="22" t="s">
        <v>37296</v>
      </c>
    </row>
    <row r="6244" spans="1:13" x14ac:dyDescent="0.75">
      <c r="A6244" t="s">
        <v>19664</v>
      </c>
      <c r="B6244" t="s">
        <v>7155</v>
      </c>
      <c r="C6244" t="s">
        <v>6124</v>
      </c>
      <c r="D6244" t="s">
        <v>7156</v>
      </c>
      <c r="E6244" t="s">
        <v>19665</v>
      </c>
      <c r="F6244">
        <v>33</v>
      </c>
      <c r="G6244">
        <v>2626696</v>
      </c>
      <c r="H6244" t="s">
        <v>19666</v>
      </c>
      <c r="J6244" s="54" t="s">
        <v>6052</v>
      </c>
      <c r="K6244" s="54">
        <v>0</v>
      </c>
      <c r="L6244" s="22" t="s">
        <v>36806</v>
      </c>
      <c r="M6244" s="22" t="s">
        <v>37296</v>
      </c>
    </row>
    <row r="6245" spans="1:13" x14ac:dyDescent="0.75">
      <c r="A6245" t="s">
        <v>19667</v>
      </c>
      <c r="B6245" t="s">
        <v>7155</v>
      </c>
      <c r="C6245" t="s">
        <v>6124</v>
      </c>
      <c r="D6245" t="s">
        <v>7156</v>
      </c>
      <c r="E6245" t="s">
        <v>19668</v>
      </c>
      <c r="F6245">
        <v>31</v>
      </c>
      <c r="G6245">
        <v>2620428</v>
      </c>
      <c r="H6245" t="s">
        <v>19669</v>
      </c>
      <c r="J6245" s="54" t="s">
        <v>6052</v>
      </c>
      <c r="K6245" s="54">
        <v>0</v>
      </c>
      <c r="L6245" s="22" t="s">
        <v>36806</v>
      </c>
      <c r="M6245" s="22" t="s">
        <v>37296</v>
      </c>
    </row>
    <row r="6246" spans="1:13" x14ac:dyDescent="0.75">
      <c r="A6246" t="s">
        <v>19655</v>
      </c>
      <c r="B6246" t="s">
        <v>9016</v>
      </c>
      <c r="C6246" t="s">
        <v>6124</v>
      </c>
      <c r="D6246" t="s">
        <v>9017</v>
      </c>
      <c r="E6246" t="s">
        <v>19656</v>
      </c>
      <c r="F6246">
        <v>19</v>
      </c>
      <c r="G6246">
        <v>2500591</v>
      </c>
      <c r="H6246" t="s">
        <v>19657</v>
      </c>
      <c r="J6246" s="54" t="s">
        <v>6052</v>
      </c>
      <c r="K6246" s="54">
        <v>0</v>
      </c>
      <c r="L6246" s="22" t="s">
        <v>36806</v>
      </c>
      <c r="M6246" s="22" t="s">
        <v>37289</v>
      </c>
    </row>
    <row r="6247" spans="1:13" x14ac:dyDescent="0.75">
      <c r="A6247" t="s">
        <v>19649</v>
      </c>
      <c r="B6247" t="s">
        <v>9016</v>
      </c>
      <c r="C6247" t="s">
        <v>6124</v>
      </c>
      <c r="D6247" t="s">
        <v>9017</v>
      </c>
      <c r="E6247" t="s">
        <v>19650</v>
      </c>
      <c r="F6247">
        <v>15</v>
      </c>
      <c r="G6247">
        <v>2490175</v>
      </c>
      <c r="H6247" t="s">
        <v>19651</v>
      </c>
      <c r="J6247" s="54" t="s">
        <v>6052</v>
      </c>
      <c r="K6247" s="54">
        <v>0</v>
      </c>
      <c r="L6247" s="22" t="s">
        <v>36806</v>
      </c>
      <c r="M6247" s="22" t="s">
        <v>37289</v>
      </c>
    </row>
    <row r="6248" spans="1:13" x14ac:dyDescent="0.75">
      <c r="A6248" t="s">
        <v>19652</v>
      </c>
      <c r="B6248" t="s">
        <v>9016</v>
      </c>
      <c r="C6248" t="s">
        <v>6124</v>
      </c>
      <c r="D6248" t="s">
        <v>9017</v>
      </c>
      <c r="E6248" t="s">
        <v>19653</v>
      </c>
      <c r="F6248">
        <v>24</v>
      </c>
      <c r="G6248">
        <v>2529376</v>
      </c>
      <c r="H6248" t="s">
        <v>19654</v>
      </c>
      <c r="J6248" s="54" t="s">
        <v>6052</v>
      </c>
      <c r="K6248" s="54">
        <v>0</v>
      </c>
      <c r="L6248" s="22" t="s">
        <v>36806</v>
      </c>
      <c r="M6248" s="22" t="s">
        <v>37289</v>
      </c>
    </row>
    <row r="6249" spans="1:13" x14ac:dyDescent="0.75">
      <c r="A6249" t="s">
        <v>19661</v>
      </c>
      <c r="B6249" t="s">
        <v>7155</v>
      </c>
      <c r="C6249" t="s">
        <v>6124</v>
      </c>
      <c r="D6249" t="s">
        <v>7156</v>
      </c>
      <c r="E6249" t="s">
        <v>19662</v>
      </c>
      <c r="F6249">
        <v>23</v>
      </c>
      <c r="G6249">
        <v>2559829</v>
      </c>
      <c r="H6249" t="s">
        <v>19663</v>
      </c>
      <c r="J6249" s="54" t="s">
        <v>6052</v>
      </c>
      <c r="K6249" s="54">
        <v>0</v>
      </c>
      <c r="L6249" s="22" t="s">
        <v>36806</v>
      </c>
      <c r="M6249" s="22" t="s">
        <v>37296</v>
      </c>
    </row>
    <row r="6250" spans="1:13" x14ac:dyDescent="0.75">
      <c r="A6250" t="s">
        <v>19658</v>
      </c>
      <c r="B6250" t="s">
        <v>7155</v>
      </c>
      <c r="C6250" t="s">
        <v>6124</v>
      </c>
      <c r="D6250" t="s">
        <v>7156</v>
      </c>
      <c r="E6250" t="s">
        <v>19659</v>
      </c>
      <c r="F6250">
        <v>24</v>
      </c>
      <c r="G6250">
        <v>2550134</v>
      </c>
      <c r="H6250" t="s">
        <v>19660</v>
      </c>
      <c r="J6250" s="54" t="s">
        <v>6052</v>
      </c>
      <c r="K6250" s="54">
        <v>0</v>
      </c>
      <c r="L6250" s="22" t="s">
        <v>36806</v>
      </c>
      <c r="M6250" s="22" t="s">
        <v>37296</v>
      </c>
    </row>
    <row r="6251" spans="1:13" x14ac:dyDescent="0.75">
      <c r="A6251" t="s">
        <v>19694</v>
      </c>
      <c r="B6251" t="s">
        <v>10958</v>
      </c>
      <c r="C6251" t="s">
        <v>6124</v>
      </c>
      <c r="D6251" t="s">
        <v>6928</v>
      </c>
      <c r="E6251" t="s">
        <v>19695</v>
      </c>
      <c r="F6251">
        <v>34</v>
      </c>
      <c r="G6251">
        <v>2244822</v>
      </c>
      <c r="H6251" t="s">
        <v>19696</v>
      </c>
      <c r="J6251" s="54" t="s">
        <v>6052</v>
      </c>
      <c r="K6251" s="54">
        <v>0</v>
      </c>
      <c r="L6251" s="22" t="s">
        <v>36806</v>
      </c>
      <c r="M6251" s="22" t="s">
        <v>37292</v>
      </c>
    </row>
    <row r="6252" spans="1:13" x14ac:dyDescent="0.75">
      <c r="A6252" t="s">
        <v>19691</v>
      </c>
      <c r="B6252" t="s">
        <v>7155</v>
      </c>
      <c r="C6252" t="s">
        <v>6124</v>
      </c>
      <c r="D6252" t="s">
        <v>7156</v>
      </c>
      <c r="E6252" t="s">
        <v>19692</v>
      </c>
      <c r="F6252">
        <v>22</v>
      </c>
      <c r="G6252">
        <v>2515849</v>
      </c>
      <c r="H6252" t="s">
        <v>19693</v>
      </c>
      <c r="J6252" s="54" t="s">
        <v>6052</v>
      </c>
      <c r="K6252" s="54">
        <v>0</v>
      </c>
      <c r="L6252" s="22" t="s">
        <v>36806</v>
      </c>
      <c r="M6252" s="22" t="s">
        <v>37296</v>
      </c>
    </row>
    <row r="6253" spans="1:13" x14ac:dyDescent="0.75">
      <c r="A6253" t="s">
        <v>19688</v>
      </c>
      <c r="B6253" t="s">
        <v>9016</v>
      </c>
      <c r="C6253" t="s">
        <v>6124</v>
      </c>
      <c r="D6253" t="s">
        <v>9017</v>
      </c>
      <c r="E6253" t="s">
        <v>19689</v>
      </c>
      <c r="F6253">
        <v>24</v>
      </c>
      <c r="G6253">
        <v>2569567</v>
      </c>
      <c r="H6253" t="s">
        <v>19690</v>
      </c>
      <c r="J6253" s="54" t="s">
        <v>6052</v>
      </c>
      <c r="K6253" s="54">
        <v>0</v>
      </c>
      <c r="L6253" s="22" t="s">
        <v>36806</v>
      </c>
      <c r="M6253" s="22" t="s">
        <v>37289</v>
      </c>
    </row>
    <row r="6254" spans="1:13" x14ac:dyDescent="0.75">
      <c r="A6254" t="s">
        <v>19685</v>
      </c>
      <c r="B6254" t="s">
        <v>7155</v>
      </c>
      <c r="C6254" t="s">
        <v>6124</v>
      </c>
      <c r="D6254" t="s">
        <v>7156</v>
      </c>
      <c r="E6254" t="s">
        <v>19686</v>
      </c>
      <c r="F6254">
        <v>21</v>
      </c>
      <c r="G6254">
        <v>2515456</v>
      </c>
      <c r="H6254" t="s">
        <v>19687</v>
      </c>
      <c r="J6254" s="54" t="s">
        <v>6052</v>
      </c>
      <c r="K6254" s="54">
        <v>0</v>
      </c>
      <c r="L6254" s="22" t="s">
        <v>36806</v>
      </c>
      <c r="M6254" s="22" t="s">
        <v>37296</v>
      </c>
    </row>
    <row r="6255" spans="1:13" x14ac:dyDescent="0.75">
      <c r="A6255" t="s">
        <v>19682</v>
      </c>
      <c r="B6255" t="s">
        <v>9016</v>
      </c>
      <c r="C6255" t="s">
        <v>6124</v>
      </c>
      <c r="D6255" t="s">
        <v>9017</v>
      </c>
      <c r="E6255" t="s">
        <v>19683</v>
      </c>
      <c r="F6255">
        <v>25</v>
      </c>
      <c r="G6255">
        <v>2576096</v>
      </c>
      <c r="H6255" t="s">
        <v>19684</v>
      </c>
      <c r="J6255" s="54" t="s">
        <v>6052</v>
      </c>
      <c r="K6255" s="54">
        <v>0</v>
      </c>
      <c r="L6255" s="22" t="s">
        <v>36806</v>
      </c>
      <c r="M6255" s="22" t="s">
        <v>37289</v>
      </c>
    </row>
    <row r="6256" spans="1:13" x14ac:dyDescent="0.75">
      <c r="A6256" t="s">
        <v>19676</v>
      </c>
      <c r="B6256" t="s">
        <v>9016</v>
      </c>
      <c r="C6256" t="s">
        <v>6124</v>
      </c>
      <c r="D6256" t="s">
        <v>9017</v>
      </c>
      <c r="E6256" t="s">
        <v>19677</v>
      </c>
      <c r="F6256">
        <v>24</v>
      </c>
      <c r="G6256">
        <v>2556053</v>
      </c>
      <c r="H6256" t="s">
        <v>19678</v>
      </c>
      <c r="J6256" s="54" t="s">
        <v>6052</v>
      </c>
      <c r="K6256" s="54">
        <v>0</v>
      </c>
      <c r="L6256" s="22" t="s">
        <v>36806</v>
      </c>
      <c r="M6256" s="22" t="s">
        <v>37289</v>
      </c>
    </row>
    <row r="6257" spans="1:13" x14ac:dyDescent="0.75">
      <c r="A6257" t="s">
        <v>6166</v>
      </c>
      <c r="B6257" t="s">
        <v>6167</v>
      </c>
      <c r="C6257" t="s">
        <v>6124</v>
      </c>
      <c r="D6257" t="s">
        <v>6168</v>
      </c>
      <c r="E6257" t="s">
        <v>6169</v>
      </c>
      <c r="F6257">
        <v>1</v>
      </c>
      <c r="G6257">
        <v>2742531</v>
      </c>
      <c r="H6257" t="s">
        <v>6170</v>
      </c>
      <c r="J6257" s="54" t="s">
        <v>6052</v>
      </c>
      <c r="K6257" s="54">
        <v>0</v>
      </c>
      <c r="L6257" s="22" t="s">
        <v>36807</v>
      </c>
      <c r="M6257" s="22" t="s">
        <v>37291</v>
      </c>
    </row>
    <row r="6258" spans="1:13" x14ac:dyDescent="0.75">
      <c r="A6258" t="s">
        <v>21391</v>
      </c>
      <c r="B6258" t="s">
        <v>6167</v>
      </c>
      <c r="C6258" t="s">
        <v>6124</v>
      </c>
      <c r="D6258" t="s">
        <v>6168</v>
      </c>
      <c r="E6258" t="s">
        <v>21392</v>
      </c>
      <c r="F6258">
        <v>1</v>
      </c>
      <c r="G6258">
        <v>2904556</v>
      </c>
      <c r="H6258" t="s">
        <v>21393</v>
      </c>
      <c r="J6258" s="54" t="s">
        <v>6052</v>
      </c>
      <c r="K6258" s="54">
        <v>0</v>
      </c>
      <c r="L6258" s="22" t="s">
        <v>36807</v>
      </c>
      <c r="M6258" s="22" t="s">
        <v>37291</v>
      </c>
    </row>
    <row r="6259" spans="1:13" x14ac:dyDescent="0.75">
      <c r="A6259" t="s">
        <v>11738</v>
      </c>
      <c r="B6259" t="s">
        <v>6167</v>
      </c>
      <c r="C6259" t="s">
        <v>6124</v>
      </c>
      <c r="D6259" t="s">
        <v>6168</v>
      </c>
      <c r="E6259" t="s">
        <v>11739</v>
      </c>
      <c r="F6259">
        <v>2</v>
      </c>
      <c r="G6259">
        <v>2771015</v>
      </c>
      <c r="H6259" t="s">
        <v>11740</v>
      </c>
      <c r="J6259" s="54" t="s">
        <v>6052</v>
      </c>
      <c r="K6259" s="54">
        <v>0</v>
      </c>
      <c r="L6259" s="22" t="s">
        <v>36807</v>
      </c>
      <c r="M6259" s="22" t="s">
        <v>37291</v>
      </c>
    </row>
    <row r="6260" spans="1:13" x14ac:dyDescent="0.75">
      <c r="A6260" t="s">
        <v>24288</v>
      </c>
      <c r="B6260" t="s">
        <v>6475</v>
      </c>
      <c r="C6260" t="s">
        <v>6124</v>
      </c>
      <c r="D6260" t="s">
        <v>6476</v>
      </c>
      <c r="E6260" t="s">
        <v>24289</v>
      </c>
      <c r="F6260">
        <v>4</v>
      </c>
      <c r="G6260">
        <v>2650399</v>
      </c>
      <c r="H6260" t="s">
        <v>24290</v>
      </c>
      <c r="J6260" s="54" t="s">
        <v>6052</v>
      </c>
      <c r="K6260" s="54">
        <v>0</v>
      </c>
      <c r="L6260" s="22" t="s">
        <v>1563</v>
      </c>
      <c r="M6260" s="22" t="s">
        <v>37294</v>
      </c>
    </row>
    <row r="6261" spans="1:13" x14ac:dyDescent="0.75">
      <c r="A6261" t="s">
        <v>24291</v>
      </c>
      <c r="B6261" t="s">
        <v>6475</v>
      </c>
      <c r="C6261" t="s">
        <v>6124</v>
      </c>
      <c r="D6261" t="s">
        <v>6476</v>
      </c>
      <c r="E6261" t="s">
        <v>24292</v>
      </c>
      <c r="F6261">
        <v>3</v>
      </c>
      <c r="G6261">
        <v>2676510</v>
      </c>
      <c r="H6261" t="s">
        <v>24293</v>
      </c>
      <c r="J6261" s="54" t="s">
        <v>6052</v>
      </c>
      <c r="K6261" s="54">
        <v>0</v>
      </c>
      <c r="L6261" s="22" t="s">
        <v>1563</v>
      </c>
      <c r="M6261" s="22" t="s">
        <v>37294</v>
      </c>
    </row>
    <row r="6262" spans="1:13" x14ac:dyDescent="0.75">
      <c r="A6262" t="s">
        <v>24294</v>
      </c>
      <c r="B6262" t="s">
        <v>6475</v>
      </c>
      <c r="C6262" t="s">
        <v>6124</v>
      </c>
      <c r="D6262" t="s">
        <v>6476</v>
      </c>
      <c r="E6262" t="s">
        <v>24295</v>
      </c>
      <c r="F6262">
        <v>3</v>
      </c>
      <c r="G6262">
        <v>2593363</v>
      </c>
      <c r="H6262" t="s">
        <v>24296</v>
      </c>
      <c r="J6262" s="54" t="s">
        <v>6052</v>
      </c>
      <c r="K6262" s="54">
        <v>0</v>
      </c>
      <c r="L6262" s="22" t="s">
        <v>1563</v>
      </c>
      <c r="M6262" s="22" t="s">
        <v>37294</v>
      </c>
    </row>
    <row r="6263" spans="1:13" x14ac:dyDescent="0.75">
      <c r="A6263" t="s">
        <v>24297</v>
      </c>
      <c r="B6263" t="s">
        <v>6475</v>
      </c>
      <c r="C6263" t="s">
        <v>6124</v>
      </c>
      <c r="D6263" t="s">
        <v>6476</v>
      </c>
      <c r="E6263" t="s">
        <v>24298</v>
      </c>
      <c r="F6263">
        <v>3</v>
      </c>
      <c r="G6263">
        <v>2710045</v>
      </c>
      <c r="H6263" t="s">
        <v>24299</v>
      </c>
      <c r="J6263" s="54" t="s">
        <v>6052</v>
      </c>
      <c r="K6263" s="54">
        <v>0</v>
      </c>
      <c r="L6263" s="22" t="s">
        <v>1563</v>
      </c>
      <c r="M6263" s="22" t="s">
        <v>37294</v>
      </c>
    </row>
    <row r="6264" spans="1:13" x14ac:dyDescent="0.75">
      <c r="A6264" t="s">
        <v>24300</v>
      </c>
      <c r="B6264" t="s">
        <v>6475</v>
      </c>
      <c r="C6264" t="s">
        <v>6124</v>
      </c>
      <c r="D6264" t="s">
        <v>6476</v>
      </c>
      <c r="E6264" t="s">
        <v>24301</v>
      </c>
      <c r="F6264">
        <v>1</v>
      </c>
      <c r="G6264">
        <v>2622429</v>
      </c>
      <c r="H6264" t="s">
        <v>24302</v>
      </c>
      <c r="J6264" s="54" t="s">
        <v>6052</v>
      </c>
      <c r="K6264" s="54">
        <v>0</v>
      </c>
      <c r="L6264" s="22" t="s">
        <v>1563</v>
      </c>
      <c r="M6264" s="22" t="s">
        <v>37294</v>
      </c>
    </row>
    <row r="6265" spans="1:13" x14ac:dyDescent="0.75">
      <c r="A6265" t="s">
        <v>24303</v>
      </c>
      <c r="B6265" t="s">
        <v>6475</v>
      </c>
      <c r="C6265" t="s">
        <v>6124</v>
      </c>
      <c r="D6265" t="s">
        <v>6476</v>
      </c>
      <c r="E6265" t="s">
        <v>24304</v>
      </c>
      <c r="F6265">
        <v>3</v>
      </c>
      <c r="G6265">
        <v>2634289</v>
      </c>
      <c r="H6265" t="s">
        <v>24305</v>
      </c>
      <c r="J6265" s="54" t="s">
        <v>6052</v>
      </c>
      <c r="K6265" s="54">
        <v>0</v>
      </c>
      <c r="L6265" s="22" t="s">
        <v>1563</v>
      </c>
      <c r="M6265" s="22" t="s">
        <v>37294</v>
      </c>
    </row>
    <row r="6266" spans="1:13" x14ac:dyDescent="0.75">
      <c r="A6266" t="s">
        <v>22150</v>
      </c>
      <c r="B6266" t="s">
        <v>6167</v>
      </c>
      <c r="C6266" t="s">
        <v>6124</v>
      </c>
      <c r="D6266" t="s">
        <v>6168</v>
      </c>
      <c r="E6266" t="s">
        <v>22151</v>
      </c>
      <c r="F6266">
        <v>2</v>
      </c>
      <c r="G6266">
        <v>2742047</v>
      </c>
      <c r="H6266" t="s">
        <v>22152</v>
      </c>
      <c r="J6266" s="54" t="s">
        <v>6052</v>
      </c>
      <c r="K6266" s="54">
        <v>0</v>
      </c>
      <c r="L6266" s="22" t="s">
        <v>36807</v>
      </c>
      <c r="M6266" s="22" t="s">
        <v>37291</v>
      </c>
    </row>
    <row r="6267" spans="1:13" x14ac:dyDescent="0.75">
      <c r="A6267" t="s">
        <v>6243</v>
      </c>
      <c r="B6267" t="s">
        <v>6123</v>
      </c>
      <c r="C6267" t="s">
        <v>6124</v>
      </c>
      <c r="D6267" t="s">
        <v>6125</v>
      </c>
      <c r="E6267" t="s">
        <v>6244</v>
      </c>
      <c r="F6267">
        <v>2</v>
      </c>
      <c r="G6267">
        <v>2643840</v>
      </c>
      <c r="H6267" t="s">
        <v>6245</v>
      </c>
      <c r="J6267" s="54" t="s">
        <v>6052</v>
      </c>
      <c r="K6267" s="54">
        <v>0</v>
      </c>
      <c r="L6267" s="22" t="s">
        <v>36806</v>
      </c>
      <c r="M6267" s="22" t="s">
        <v>37290</v>
      </c>
    </row>
    <row r="6268" spans="1:13" x14ac:dyDescent="0.75">
      <c r="A6268" t="s">
        <v>12179</v>
      </c>
      <c r="B6268" t="s">
        <v>6195</v>
      </c>
      <c r="C6268" t="s">
        <v>6124</v>
      </c>
      <c r="D6268" t="s">
        <v>6196</v>
      </c>
      <c r="E6268" t="s">
        <v>12180</v>
      </c>
      <c r="F6268">
        <v>2</v>
      </c>
      <c r="G6268">
        <v>2560146</v>
      </c>
      <c r="H6268" t="s">
        <v>12181</v>
      </c>
      <c r="J6268" s="54" t="s">
        <v>6052</v>
      </c>
      <c r="K6268" s="54">
        <v>0</v>
      </c>
      <c r="L6268" s="22" t="s">
        <v>36807</v>
      </c>
      <c r="M6268" s="22" t="s">
        <v>37288</v>
      </c>
    </row>
    <row r="6269" spans="1:13" x14ac:dyDescent="0.75">
      <c r="A6269" t="s">
        <v>22236</v>
      </c>
      <c r="B6269" t="s">
        <v>10958</v>
      </c>
      <c r="C6269" t="s">
        <v>6124</v>
      </c>
      <c r="D6269" t="s">
        <v>6928</v>
      </c>
      <c r="E6269" t="s">
        <v>22237</v>
      </c>
      <c r="F6269">
        <v>3</v>
      </c>
      <c r="G6269">
        <v>2254542</v>
      </c>
      <c r="H6269" t="s">
        <v>22238</v>
      </c>
      <c r="J6269" s="54" t="s">
        <v>6052</v>
      </c>
      <c r="K6269" s="54">
        <v>0</v>
      </c>
      <c r="L6269" s="22" t="s">
        <v>36806</v>
      </c>
      <c r="M6269" s="22" t="s">
        <v>37292</v>
      </c>
    </row>
    <row r="6270" spans="1:13" x14ac:dyDescent="0.75">
      <c r="A6270" t="s">
        <v>20300</v>
      </c>
      <c r="B6270" t="s">
        <v>6475</v>
      </c>
      <c r="C6270" t="s">
        <v>6124</v>
      </c>
      <c r="D6270" t="s">
        <v>6476</v>
      </c>
      <c r="E6270" t="s">
        <v>20301</v>
      </c>
      <c r="F6270">
        <v>22</v>
      </c>
      <c r="G6270">
        <v>2535435</v>
      </c>
      <c r="H6270" t="s">
        <v>20302</v>
      </c>
      <c r="J6270" s="54" t="s">
        <v>6052</v>
      </c>
      <c r="K6270" s="54">
        <v>0</v>
      </c>
      <c r="L6270" s="22" t="s">
        <v>1563</v>
      </c>
      <c r="M6270" s="22" t="s">
        <v>37294</v>
      </c>
    </row>
    <row r="6271" spans="1:13" x14ac:dyDescent="0.75">
      <c r="A6271" t="s">
        <v>20297</v>
      </c>
      <c r="B6271" t="s">
        <v>11784</v>
      </c>
      <c r="C6271" t="s">
        <v>6124</v>
      </c>
      <c r="D6271" t="s">
        <v>11785</v>
      </c>
      <c r="E6271" t="s">
        <v>20298</v>
      </c>
      <c r="F6271">
        <v>31</v>
      </c>
      <c r="G6271">
        <v>2275253</v>
      </c>
      <c r="H6271" t="s">
        <v>20299</v>
      </c>
      <c r="J6271" s="54" t="s">
        <v>6052</v>
      </c>
      <c r="K6271" s="54">
        <v>0</v>
      </c>
      <c r="L6271" s="22" t="s">
        <v>36805</v>
      </c>
      <c r="M6271" s="22" t="s">
        <v>37297</v>
      </c>
    </row>
    <row r="6272" spans="1:13" x14ac:dyDescent="0.75">
      <c r="A6272" t="s">
        <v>9894</v>
      </c>
      <c r="B6272" t="s">
        <v>6167</v>
      </c>
      <c r="C6272" t="s">
        <v>6124</v>
      </c>
      <c r="D6272" t="s">
        <v>6168</v>
      </c>
      <c r="E6272" t="s">
        <v>9895</v>
      </c>
      <c r="F6272">
        <v>1</v>
      </c>
      <c r="G6272">
        <v>2728308</v>
      </c>
      <c r="H6272" t="s">
        <v>9896</v>
      </c>
      <c r="J6272" s="54" t="s">
        <v>6052</v>
      </c>
      <c r="K6272" s="54">
        <v>0</v>
      </c>
      <c r="L6272" s="22" t="s">
        <v>36807</v>
      </c>
      <c r="M6272" s="22" t="s">
        <v>37291</v>
      </c>
    </row>
    <row r="6273" spans="1:13" x14ac:dyDescent="0.75">
      <c r="A6273" t="s">
        <v>9891</v>
      </c>
      <c r="B6273" t="s">
        <v>6167</v>
      </c>
      <c r="C6273" t="s">
        <v>6124</v>
      </c>
      <c r="D6273" t="s">
        <v>6168</v>
      </c>
      <c r="E6273" t="s">
        <v>9892</v>
      </c>
      <c r="F6273">
        <v>1</v>
      </c>
      <c r="G6273">
        <v>2789538</v>
      </c>
      <c r="H6273" t="s">
        <v>9893</v>
      </c>
      <c r="J6273" s="54" t="s">
        <v>6052</v>
      </c>
      <c r="K6273" s="54">
        <v>0</v>
      </c>
      <c r="L6273" s="22" t="s">
        <v>36807</v>
      </c>
      <c r="M6273" s="22" t="s">
        <v>37291</v>
      </c>
    </row>
    <row r="6274" spans="1:13" x14ac:dyDescent="0.75">
      <c r="A6274" t="s">
        <v>16514</v>
      </c>
      <c r="B6274" t="s">
        <v>9016</v>
      </c>
      <c r="C6274" t="s">
        <v>6124</v>
      </c>
      <c r="D6274" t="s">
        <v>9017</v>
      </c>
      <c r="E6274" t="s">
        <v>16515</v>
      </c>
      <c r="F6274">
        <v>1</v>
      </c>
      <c r="G6274">
        <v>2469323</v>
      </c>
      <c r="H6274" t="s">
        <v>16516</v>
      </c>
      <c r="J6274" s="54" t="s">
        <v>6052</v>
      </c>
      <c r="K6274" s="54">
        <v>0</v>
      </c>
      <c r="L6274" s="22" t="s">
        <v>36806</v>
      </c>
      <c r="M6274" s="22" t="s">
        <v>37289</v>
      </c>
    </row>
    <row r="6275" spans="1:13" x14ac:dyDescent="0.75">
      <c r="A6275" t="s">
        <v>20385</v>
      </c>
      <c r="B6275" t="s">
        <v>9016</v>
      </c>
      <c r="C6275" t="s">
        <v>6124</v>
      </c>
      <c r="D6275" t="s">
        <v>9017</v>
      </c>
      <c r="E6275" t="s">
        <v>20386</v>
      </c>
      <c r="F6275">
        <v>4</v>
      </c>
      <c r="G6275">
        <v>2438595</v>
      </c>
      <c r="H6275" t="s">
        <v>20387</v>
      </c>
      <c r="J6275" s="54" t="s">
        <v>6052</v>
      </c>
      <c r="K6275" s="54">
        <v>0</v>
      </c>
      <c r="L6275" s="22" t="s">
        <v>36806</v>
      </c>
      <c r="M6275" s="22" t="s">
        <v>37289</v>
      </c>
    </row>
    <row r="6276" spans="1:13" x14ac:dyDescent="0.75">
      <c r="A6276" t="s">
        <v>18364</v>
      </c>
      <c r="B6276" t="s">
        <v>6195</v>
      </c>
      <c r="C6276" t="s">
        <v>6124</v>
      </c>
      <c r="D6276" t="s">
        <v>6196</v>
      </c>
      <c r="E6276" t="s">
        <v>18365</v>
      </c>
      <c r="F6276">
        <v>9</v>
      </c>
      <c r="G6276">
        <v>2256190</v>
      </c>
      <c r="H6276" t="s">
        <v>18366</v>
      </c>
      <c r="J6276" s="54" t="s">
        <v>6052</v>
      </c>
      <c r="K6276" s="54">
        <v>0</v>
      </c>
      <c r="L6276" s="22" t="s">
        <v>36807</v>
      </c>
      <c r="M6276" s="22" t="s">
        <v>37288</v>
      </c>
    </row>
    <row r="6277" spans="1:13" x14ac:dyDescent="0.75">
      <c r="A6277" t="s">
        <v>17065</v>
      </c>
      <c r="B6277" t="s">
        <v>6195</v>
      </c>
      <c r="C6277" t="s">
        <v>6124</v>
      </c>
      <c r="D6277" t="s">
        <v>6196</v>
      </c>
      <c r="E6277" t="s">
        <v>17066</v>
      </c>
      <c r="F6277">
        <v>27</v>
      </c>
      <c r="G6277">
        <v>2444677</v>
      </c>
      <c r="H6277" t="s">
        <v>17067</v>
      </c>
      <c r="J6277" s="54" t="s">
        <v>6052</v>
      </c>
      <c r="K6277" s="54">
        <v>0</v>
      </c>
      <c r="L6277" s="22" t="s">
        <v>36807</v>
      </c>
      <c r="M6277" s="22" t="s">
        <v>37288</v>
      </c>
    </row>
    <row r="6278" spans="1:13" x14ac:dyDescent="0.75">
      <c r="A6278" t="s">
        <v>17056</v>
      </c>
      <c r="B6278" t="s">
        <v>10958</v>
      </c>
      <c r="C6278" t="s">
        <v>6124</v>
      </c>
      <c r="D6278" t="s">
        <v>6928</v>
      </c>
      <c r="E6278" t="s">
        <v>17057</v>
      </c>
      <c r="F6278">
        <v>34</v>
      </c>
      <c r="G6278">
        <v>2289009</v>
      </c>
      <c r="H6278" t="s">
        <v>17058</v>
      </c>
      <c r="J6278" s="54" t="s">
        <v>6052</v>
      </c>
      <c r="K6278" s="54">
        <v>0</v>
      </c>
      <c r="L6278" s="22" t="s">
        <v>36806</v>
      </c>
      <c r="M6278" s="22" t="s">
        <v>37292</v>
      </c>
    </row>
    <row r="6279" spans="1:13" x14ac:dyDescent="0.75">
      <c r="A6279" t="s">
        <v>25887</v>
      </c>
      <c r="B6279" t="s">
        <v>14467</v>
      </c>
      <c r="C6279" t="s">
        <v>6124</v>
      </c>
      <c r="D6279" t="s">
        <v>14468</v>
      </c>
      <c r="E6279" t="s">
        <v>25888</v>
      </c>
      <c r="F6279">
        <v>3</v>
      </c>
      <c r="G6279">
        <v>2798844</v>
      </c>
      <c r="H6279" t="s">
        <v>25889</v>
      </c>
      <c r="J6279" s="54" t="s">
        <v>6052</v>
      </c>
      <c r="K6279" s="54">
        <v>0</v>
      </c>
      <c r="L6279" s="22" t="s">
        <v>1563</v>
      </c>
      <c r="M6279" s="22" t="s">
        <v>37301</v>
      </c>
    </row>
    <row r="6280" spans="1:13" x14ac:dyDescent="0.75">
      <c r="A6280" t="s">
        <v>17062</v>
      </c>
      <c r="B6280" t="s">
        <v>6195</v>
      </c>
      <c r="C6280" t="s">
        <v>6124</v>
      </c>
      <c r="D6280" t="s">
        <v>6196</v>
      </c>
      <c r="E6280" t="s">
        <v>17063</v>
      </c>
      <c r="F6280">
        <v>30</v>
      </c>
      <c r="G6280">
        <v>2468753</v>
      </c>
      <c r="H6280" t="s">
        <v>17064</v>
      </c>
      <c r="J6280" s="54" t="s">
        <v>6052</v>
      </c>
      <c r="K6280" s="54">
        <v>0</v>
      </c>
      <c r="L6280" s="22" t="s">
        <v>36807</v>
      </c>
      <c r="M6280" s="22" t="s">
        <v>37288</v>
      </c>
    </row>
    <row r="6281" spans="1:13" x14ac:dyDescent="0.75">
      <c r="A6281" t="s">
        <v>17068</v>
      </c>
      <c r="B6281" t="s">
        <v>10958</v>
      </c>
      <c r="C6281" t="s">
        <v>6124</v>
      </c>
      <c r="D6281" t="s">
        <v>6928</v>
      </c>
      <c r="E6281" t="s">
        <v>17069</v>
      </c>
      <c r="F6281">
        <v>33</v>
      </c>
      <c r="G6281">
        <v>2212016</v>
      </c>
      <c r="H6281" t="s">
        <v>17070</v>
      </c>
      <c r="J6281" s="54" t="s">
        <v>6052</v>
      </c>
      <c r="K6281" s="54">
        <v>0</v>
      </c>
      <c r="L6281" s="22" t="s">
        <v>36806</v>
      </c>
      <c r="M6281" s="22" t="s">
        <v>37292</v>
      </c>
    </row>
    <row r="6282" spans="1:13" x14ac:dyDescent="0.75">
      <c r="A6282" t="s">
        <v>17059</v>
      </c>
      <c r="B6282" t="s">
        <v>10958</v>
      </c>
      <c r="C6282" t="s">
        <v>6124</v>
      </c>
      <c r="D6282" t="s">
        <v>6928</v>
      </c>
      <c r="E6282" t="s">
        <v>17060</v>
      </c>
      <c r="F6282">
        <v>20</v>
      </c>
      <c r="G6282">
        <v>2178430</v>
      </c>
      <c r="H6282" t="s">
        <v>17061</v>
      </c>
      <c r="J6282" s="54" t="s">
        <v>6052</v>
      </c>
      <c r="K6282" s="54">
        <v>0</v>
      </c>
      <c r="L6282" s="22" t="s">
        <v>36806</v>
      </c>
      <c r="M6282" s="22" t="s">
        <v>37292</v>
      </c>
    </row>
    <row r="6283" spans="1:13" x14ac:dyDescent="0.75">
      <c r="A6283" t="s">
        <v>17962</v>
      </c>
      <c r="B6283" t="s">
        <v>6195</v>
      </c>
      <c r="C6283" t="s">
        <v>6124</v>
      </c>
      <c r="D6283" t="s">
        <v>6196</v>
      </c>
      <c r="E6283" t="s">
        <v>17963</v>
      </c>
      <c r="F6283">
        <v>24</v>
      </c>
      <c r="G6283">
        <v>2477199</v>
      </c>
      <c r="H6283" t="s">
        <v>17964</v>
      </c>
      <c r="J6283" s="54" t="s">
        <v>6052</v>
      </c>
      <c r="K6283" s="54">
        <v>0</v>
      </c>
      <c r="L6283" s="22" t="s">
        <v>36807</v>
      </c>
      <c r="M6283" s="22" t="s">
        <v>37288</v>
      </c>
    </row>
    <row r="6284" spans="1:13" x14ac:dyDescent="0.75">
      <c r="A6284" t="s">
        <v>18001</v>
      </c>
      <c r="B6284" t="s">
        <v>6195</v>
      </c>
      <c r="C6284" t="s">
        <v>6124</v>
      </c>
      <c r="D6284" t="s">
        <v>6196</v>
      </c>
      <c r="E6284" t="s">
        <v>18002</v>
      </c>
      <c r="F6284">
        <v>6</v>
      </c>
      <c r="G6284">
        <v>2396041</v>
      </c>
      <c r="H6284" t="s">
        <v>18003</v>
      </c>
      <c r="J6284" s="54" t="s">
        <v>6052</v>
      </c>
      <c r="K6284" s="54">
        <v>0</v>
      </c>
      <c r="L6284" s="22" t="s">
        <v>36807</v>
      </c>
      <c r="M6284" s="22" t="s">
        <v>37288</v>
      </c>
    </row>
    <row r="6285" spans="1:13" x14ac:dyDescent="0.75">
      <c r="A6285" t="s">
        <v>18007</v>
      </c>
      <c r="B6285" t="s">
        <v>6195</v>
      </c>
      <c r="C6285" t="s">
        <v>6124</v>
      </c>
      <c r="D6285" t="s">
        <v>6196</v>
      </c>
      <c r="E6285" t="s">
        <v>18008</v>
      </c>
      <c r="F6285">
        <v>6</v>
      </c>
      <c r="G6285">
        <v>2396207</v>
      </c>
      <c r="H6285" t="s">
        <v>18009</v>
      </c>
      <c r="J6285" s="54" t="s">
        <v>6052</v>
      </c>
      <c r="K6285" s="54">
        <v>0</v>
      </c>
      <c r="L6285" s="22" t="s">
        <v>36807</v>
      </c>
      <c r="M6285" s="22" t="s">
        <v>37288</v>
      </c>
    </row>
    <row r="6286" spans="1:13" x14ac:dyDescent="0.75">
      <c r="A6286" t="s">
        <v>18010</v>
      </c>
      <c r="B6286" t="s">
        <v>6195</v>
      </c>
      <c r="C6286" t="s">
        <v>6124</v>
      </c>
      <c r="D6286" t="s">
        <v>6196</v>
      </c>
      <c r="E6286" t="s">
        <v>18011</v>
      </c>
      <c r="F6286">
        <v>6</v>
      </c>
      <c r="G6286">
        <v>2396096</v>
      </c>
      <c r="H6286" t="s">
        <v>18012</v>
      </c>
      <c r="J6286" s="54" t="s">
        <v>6052</v>
      </c>
      <c r="K6286" s="54">
        <v>0</v>
      </c>
      <c r="L6286" s="22" t="s">
        <v>36807</v>
      </c>
      <c r="M6286" s="22" t="s">
        <v>37288</v>
      </c>
    </row>
    <row r="6287" spans="1:13" x14ac:dyDescent="0.75">
      <c r="A6287" t="s">
        <v>20097</v>
      </c>
      <c r="B6287" t="s">
        <v>6123</v>
      </c>
      <c r="C6287" t="s">
        <v>6124</v>
      </c>
      <c r="D6287" t="s">
        <v>6125</v>
      </c>
      <c r="E6287" t="s">
        <v>20098</v>
      </c>
      <c r="F6287">
        <v>3</v>
      </c>
      <c r="G6287">
        <v>2232213</v>
      </c>
      <c r="H6287" t="s">
        <v>20099</v>
      </c>
      <c r="J6287" s="54" t="s">
        <v>6052</v>
      </c>
      <c r="K6287" s="54">
        <v>0</v>
      </c>
      <c r="L6287" s="22" t="s">
        <v>36806</v>
      </c>
      <c r="M6287" s="22" t="s">
        <v>37290</v>
      </c>
    </row>
    <row r="6288" spans="1:13" x14ac:dyDescent="0.75">
      <c r="A6288" t="s">
        <v>10621</v>
      </c>
      <c r="B6288" t="s">
        <v>6123</v>
      </c>
      <c r="C6288" t="s">
        <v>6124</v>
      </c>
      <c r="D6288" t="s">
        <v>6125</v>
      </c>
      <c r="E6288" t="s">
        <v>10622</v>
      </c>
      <c r="F6288">
        <v>2</v>
      </c>
      <c r="G6288">
        <v>2538314</v>
      </c>
      <c r="H6288" t="s">
        <v>10623</v>
      </c>
      <c r="J6288" s="54" t="s">
        <v>6052</v>
      </c>
      <c r="K6288" s="54">
        <v>0</v>
      </c>
      <c r="L6288" s="22" t="s">
        <v>36806</v>
      </c>
      <c r="M6288" s="22" t="s">
        <v>37290</v>
      </c>
    </row>
    <row r="6289" spans="1:13" x14ac:dyDescent="0.75">
      <c r="A6289" t="s">
        <v>9015</v>
      </c>
      <c r="B6289" t="s">
        <v>9016</v>
      </c>
      <c r="C6289" t="s">
        <v>6124</v>
      </c>
      <c r="D6289" t="s">
        <v>9017</v>
      </c>
      <c r="E6289" t="s">
        <v>9018</v>
      </c>
      <c r="F6289">
        <v>9</v>
      </c>
      <c r="G6289">
        <v>2560716</v>
      </c>
      <c r="H6289" t="s">
        <v>9019</v>
      </c>
      <c r="J6289" s="54" t="s">
        <v>6052</v>
      </c>
      <c r="K6289" s="54">
        <v>0</v>
      </c>
      <c r="L6289" s="22" t="s">
        <v>36806</v>
      </c>
      <c r="M6289" s="22" t="s">
        <v>37289</v>
      </c>
    </row>
    <row r="6290" spans="1:13" x14ac:dyDescent="0.75">
      <c r="A6290" t="s">
        <v>14634</v>
      </c>
      <c r="B6290" t="s">
        <v>6195</v>
      </c>
      <c r="C6290" t="s">
        <v>6124</v>
      </c>
      <c r="D6290" t="s">
        <v>6196</v>
      </c>
      <c r="E6290" t="s">
        <v>14635</v>
      </c>
      <c r="F6290">
        <v>2</v>
      </c>
      <c r="G6290">
        <v>2674594</v>
      </c>
      <c r="H6290" t="s">
        <v>14636</v>
      </c>
      <c r="J6290" s="54" t="s">
        <v>6052</v>
      </c>
      <c r="K6290" s="54">
        <v>0</v>
      </c>
      <c r="L6290" s="22" t="s">
        <v>36807</v>
      </c>
      <c r="M6290" s="22" t="s">
        <v>37288</v>
      </c>
    </row>
    <row r="6291" spans="1:13" x14ac:dyDescent="0.75">
      <c r="A6291" t="s">
        <v>13642</v>
      </c>
      <c r="B6291" t="s">
        <v>6195</v>
      </c>
      <c r="C6291" t="s">
        <v>6124</v>
      </c>
      <c r="D6291" t="s">
        <v>6196</v>
      </c>
      <c r="E6291" t="s">
        <v>13643</v>
      </c>
      <c r="F6291">
        <v>4</v>
      </c>
      <c r="G6291">
        <v>2501418</v>
      </c>
      <c r="H6291" t="s">
        <v>13644</v>
      </c>
      <c r="J6291" s="54" t="s">
        <v>6052</v>
      </c>
      <c r="K6291" s="54">
        <v>0</v>
      </c>
      <c r="L6291" s="22" t="s">
        <v>36807</v>
      </c>
      <c r="M6291" s="22" t="s">
        <v>37288</v>
      </c>
    </row>
    <row r="6292" spans="1:13" x14ac:dyDescent="0.75">
      <c r="A6292" t="s">
        <v>25185</v>
      </c>
      <c r="B6292" t="s">
        <v>6195</v>
      </c>
      <c r="C6292" t="s">
        <v>6124</v>
      </c>
      <c r="D6292" t="s">
        <v>6196</v>
      </c>
      <c r="E6292" t="s">
        <v>25186</v>
      </c>
      <c r="F6292">
        <v>4</v>
      </c>
      <c r="G6292">
        <v>2619402</v>
      </c>
      <c r="H6292" t="s">
        <v>25187</v>
      </c>
      <c r="J6292" s="54" t="s">
        <v>6052</v>
      </c>
      <c r="K6292" s="54">
        <v>0</v>
      </c>
      <c r="L6292" s="22" t="s">
        <v>36807</v>
      </c>
      <c r="M6292" s="22" t="s">
        <v>37288</v>
      </c>
    </row>
    <row r="6293" spans="1:13" x14ac:dyDescent="0.75">
      <c r="A6293" t="s">
        <v>10848</v>
      </c>
      <c r="B6293" t="s">
        <v>6195</v>
      </c>
      <c r="C6293" t="s">
        <v>6124</v>
      </c>
      <c r="D6293" t="s">
        <v>6196</v>
      </c>
      <c r="E6293" t="s">
        <v>10849</v>
      </c>
      <c r="F6293">
        <v>1</v>
      </c>
      <c r="G6293">
        <v>2561368</v>
      </c>
      <c r="H6293" t="s">
        <v>10850</v>
      </c>
      <c r="J6293" s="54" t="s">
        <v>6052</v>
      </c>
      <c r="K6293" s="54">
        <v>0</v>
      </c>
      <c r="L6293" s="22" t="s">
        <v>36807</v>
      </c>
      <c r="M6293" s="22" t="s">
        <v>37288</v>
      </c>
    </row>
    <row r="6294" spans="1:13" x14ac:dyDescent="0.75">
      <c r="A6294" t="s">
        <v>25188</v>
      </c>
      <c r="B6294" t="s">
        <v>6195</v>
      </c>
      <c r="C6294" t="s">
        <v>6124</v>
      </c>
      <c r="D6294" t="s">
        <v>6196</v>
      </c>
      <c r="E6294" t="s">
        <v>25189</v>
      </c>
      <c r="F6294">
        <v>3</v>
      </c>
      <c r="G6294">
        <v>2511057</v>
      </c>
      <c r="H6294" t="s">
        <v>25190</v>
      </c>
      <c r="J6294" s="54" t="s">
        <v>6052</v>
      </c>
      <c r="K6294" s="54">
        <v>0</v>
      </c>
      <c r="L6294" s="22" t="s">
        <v>36807</v>
      </c>
      <c r="M6294" s="22" t="s">
        <v>37288</v>
      </c>
    </row>
    <row r="6295" spans="1:13" x14ac:dyDescent="0.75">
      <c r="A6295" t="s">
        <v>17757</v>
      </c>
      <c r="B6295" t="s">
        <v>10958</v>
      </c>
      <c r="C6295" t="s">
        <v>6124</v>
      </c>
      <c r="D6295" t="s">
        <v>6928</v>
      </c>
      <c r="E6295" t="s">
        <v>17758</v>
      </c>
      <c r="F6295">
        <v>20</v>
      </c>
      <c r="G6295">
        <v>2214275</v>
      </c>
      <c r="H6295" t="s">
        <v>17759</v>
      </c>
      <c r="J6295" s="54" t="s">
        <v>6052</v>
      </c>
      <c r="K6295" s="54">
        <v>0</v>
      </c>
      <c r="L6295" s="22" t="s">
        <v>36806</v>
      </c>
      <c r="M6295" s="22" t="s">
        <v>37292</v>
      </c>
    </row>
    <row r="6296" spans="1:13" x14ac:dyDescent="0.75">
      <c r="A6296" t="s">
        <v>13303</v>
      </c>
      <c r="B6296" t="s">
        <v>6167</v>
      </c>
      <c r="C6296" t="s">
        <v>6124</v>
      </c>
      <c r="D6296" t="s">
        <v>6168</v>
      </c>
      <c r="E6296" t="s">
        <v>13304</v>
      </c>
      <c r="F6296">
        <v>1</v>
      </c>
      <c r="G6296">
        <v>2804759</v>
      </c>
      <c r="H6296" t="s">
        <v>13305</v>
      </c>
      <c r="J6296" s="54" t="s">
        <v>6052</v>
      </c>
      <c r="K6296" s="54">
        <v>0</v>
      </c>
      <c r="L6296" s="22" t="s">
        <v>36807</v>
      </c>
      <c r="M6296" s="22" t="s">
        <v>37291</v>
      </c>
    </row>
    <row r="6297" spans="1:13" x14ac:dyDescent="0.75">
      <c r="A6297" t="s">
        <v>7154</v>
      </c>
      <c r="B6297" t="s">
        <v>7155</v>
      </c>
      <c r="C6297" t="s">
        <v>6124</v>
      </c>
      <c r="D6297" t="s">
        <v>7156</v>
      </c>
      <c r="E6297" t="s">
        <v>7157</v>
      </c>
      <c r="F6297">
        <v>32</v>
      </c>
      <c r="G6297">
        <v>2435835</v>
      </c>
      <c r="H6297" t="s">
        <v>7158</v>
      </c>
      <c r="J6297" s="54" t="s">
        <v>6052</v>
      </c>
      <c r="K6297" s="54">
        <v>0</v>
      </c>
      <c r="L6297" s="22" t="s">
        <v>36806</v>
      </c>
      <c r="M6297" s="22" t="s">
        <v>37296</v>
      </c>
    </row>
    <row r="6298" spans="1:13" x14ac:dyDescent="0.75">
      <c r="A6298" t="s">
        <v>22987</v>
      </c>
      <c r="B6298" t="s">
        <v>6123</v>
      </c>
      <c r="C6298" t="s">
        <v>6124</v>
      </c>
      <c r="D6298" t="s">
        <v>6125</v>
      </c>
      <c r="E6298" t="s">
        <v>22988</v>
      </c>
      <c r="F6298">
        <v>1</v>
      </c>
      <c r="G6298">
        <v>2539082</v>
      </c>
      <c r="H6298" t="s">
        <v>22989</v>
      </c>
      <c r="J6298" s="54" t="s">
        <v>6052</v>
      </c>
      <c r="K6298" s="54">
        <v>0</v>
      </c>
      <c r="L6298" s="22" t="s">
        <v>36806</v>
      </c>
      <c r="M6298" s="22" t="s">
        <v>37290</v>
      </c>
    </row>
    <row r="6299" spans="1:13" x14ac:dyDescent="0.75">
      <c r="A6299" t="s">
        <v>17453</v>
      </c>
      <c r="B6299" t="s">
        <v>6475</v>
      </c>
      <c r="C6299" t="s">
        <v>6124</v>
      </c>
      <c r="D6299" t="s">
        <v>6476</v>
      </c>
      <c r="E6299" t="s">
        <v>17454</v>
      </c>
      <c r="F6299">
        <v>1</v>
      </c>
      <c r="G6299">
        <v>2652107</v>
      </c>
      <c r="H6299" t="s">
        <v>17455</v>
      </c>
      <c r="J6299" s="54" t="s">
        <v>6052</v>
      </c>
      <c r="K6299" s="54">
        <v>0</v>
      </c>
      <c r="L6299" s="22" t="s">
        <v>1563</v>
      </c>
      <c r="M6299" s="22" t="s">
        <v>37294</v>
      </c>
    </row>
    <row r="6300" spans="1:13" x14ac:dyDescent="0.75">
      <c r="A6300" t="s">
        <v>17456</v>
      </c>
      <c r="B6300" t="s">
        <v>6475</v>
      </c>
      <c r="C6300" t="s">
        <v>6124</v>
      </c>
      <c r="D6300" t="s">
        <v>6476</v>
      </c>
      <c r="E6300" t="s">
        <v>17457</v>
      </c>
      <c r="F6300">
        <v>1</v>
      </c>
      <c r="G6300">
        <v>2610930</v>
      </c>
      <c r="H6300" t="s">
        <v>17458</v>
      </c>
      <c r="J6300" s="54" t="s">
        <v>6052</v>
      </c>
      <c r="K6300" s="54">
        <v>0</v>
      </c>
      <c r="L6300" s="22" t="s">
        <v>1563</v>
      </c>
      <c r="M6300" s="22" t="s">
        <v>37294</v>
      </c>
    </row>
    <row r="6301" spans="1:13" x14ac:dyDescent="0.75">
      <c r="A6301" t="s">
        <v>17459</v>
      </c>
      <c r="B6301" t="s">
        <v>6475</v>
      </c>
      <c r="C6301" t="s">
        <v>6124</v>
      </c>
      <c r="D6301" t="s">
        <v>6476</v>
      </c>
      <c r="E6301" t="s">
        <v>17460</v>
      </c>
      <c r="F6301">
        <v>1</v>
      </c>
      <c r="G6301">
        <v>2647211</v>
      </c>
      <c r="H6301" t="s">
        <v>17461</v>
      </c>
      <c r="J6301" s="54" t="s">
        <v>6052</v>
      </c>
      <c r="K6301" s="54">
        <v>0</v>
      </c>
      <c r="L6301" s="22" t="s">
        <v>1563</v>
      </c>
      <c r="M6301" s="22" t="s">
        <v>37294</v>
      </c>
    </row>
    <row r="6302" spans="1:13" x14ac:dyDescent="0.75">
      <c r="A6302" t="s">
        <v>17462</v>
      </c>
      <c r="B6302" t="s">
        <v>6475</v>
      </c>
      <c r="C6302" t="s">
        <v>6124</v>
      </c>
      <c r="D6302" t="s">
        <v>6476</v>
      </c>
      <c r="E6302" t="s">
        <v>17463</v>
      </c>
      <c r="F6302">
        <v>1</v>
      </c>
      <c r="G6302">
        <v>2694981</v>
      </c>
      <c r="H6302" t="s">
        <v>17464</v>
      </c>
      <c r="J6302" s="54" t="s">
        <v>6052</v>
      </c>
      <c r="K6302" s="54">
        <v>0</v>
      </c>
      <c r="L6302" s="22" t="s">
        <v>1563</v>
      </c>
      <c r="M6302" s="22" t="s">
        <v>37294</v>
      </c>
    </row>
    <row r="6303" spans="1:13" x14ac:dyDescent="0.75">
      <c r="A6303" t="s">
        <v>17447</v>
      </c>
      <c r="B6303" t="s">
        <v>6475</v>
      </c>
      <c r="C6303" t="s">
        <v>6124</v>
      </c>
      <c r="D6303" t="s">
        <v>6476</v>
      </c>
      <c r="E6303" t="s">
        <v>17448</v>
      </c>
      <c r="F6303">
        <v>1</v>
      </c>
      <c r="G6303">
        <v>2660394</v>
      </c>
      <c r="H6303" t="s">
        <v>17449</v>
      </c>
      <c r="J6303" s="54" t="s">
        <v>6052</v>
      </c>
      <c r="K6303" s="54">
        <v>0</v>
      </c>
      <c r="L6303" s="22" t="s">
        <v>1563</v>
      </c>
      <c r="M6303" s="22" t="s">
        <v>37294</v>
      </c>
    </row>
    <row r="6304" spans="1:13" x14ac:dyDescent="0.75">
      <c r="A6304" t="s">
        <v>17450</v>
      </c>
      <c r="B6304" t="s">
        <v>6475</v>
      </c>
      <c r="C6304" t="s">
        <v>6124</v>
      </c>
      <c r="D6304" t="s">
        <v>6476</v>
      </c>
      <c r="E6304" t="s">
        <v>17451</v>
      </c>
      <c r="F6304">
        <v>1</v>
      </c>
      <c r="G6304">
        <v>2624231</v>
      </c>
      <c r="H6304" t="s">
        <v>17452</v>
      </c>
      <c r="J6304" s="54" t="s">
        <v>6052</v>
      </c>
      <c r="K6304" s="54">
        <v>0</v>
      </c>
      <c r="L6304" s="22" t="s">
        <v>1563</v>
      </c>
      <c r="M6304" s="22" t="s">
        <v>37294</v>
      </c>
    </row>
    <row r="6305" spans="1:13" x14ac:dyDescent="0.75">
      <c r="A6305" t="s">
        <v>15828</v>
      </c>
      <c r="B6305" t="s">
        <v>7155</v>
      </c>
      <c r="C6305" t="s">
        <v>6124</v>
      </c>
      <c r="D6305" t="s">
        <v>7156</v>
      </c>
      <c r="E6305" t="s">
        <v>15829</v>
      </c>
      <c r="F6305">
        <v>41</v>
      </c>
      <c r="G6305">
        <v>2404190</v>
      </c>
      <c r="H6305" t="s">
        <v>15830</v>
      </c>
      <c r="J6305" s="54" t="s">
        <v>6052</v>
      </c>
      <c r="K6305" s="54">
        <v>0</v>
      </c>
      <c r="L6305" s="22" t="s">
        <v>36806</v>
      </c>
      <c r="M6305" s="22" t="s">
        <v>37296</v>
      </c>
    </row>
    <row r="6306" spans="1:13" x14ac:dyDescent="0.75">
      <c r="A6306" t="s">
        <v>14783</v>
      </c>
      <c r="B6306" t="s">
        <v>11784</v>
      </c>
      <c r="C6306" t="s">
        <v>6124</v>
      </c>
      <c r="D6306" t="s">
        <v>11785</v>
      </c>
      <c r="E6306" t="s">
        <v>14784</v>
      </c>
      <c r="F6306">
        <v>108</v>
      </c>
      <c r="G6306">
        <v>2283589</v>
      </c>
      <c r="H6306" t="s">
        <v>14785</v>
      </c>
      <c r="J6306" s="54" t="s">
        <v>6052</v>
      </c>
      <c r="K6306" s="54">
        <v>0</v>
      </c>
      <c r="L6306" s="22" t="s">
        <v>36805</v>
      </c>
      <c r="M6306" s="22" t="s">
        <v>37297</v>
      </c>
    </row>
    <row r="6307" spans="1:13" x14ac:dyDescent="0.75">
      <c r="A6307" t="s">
        <v>15825</v>
      </c>
      <c r="B6307" t="s">
        <v>6894</v>
      </c>
      <c r="C6307" t="s">
        <v>6124</v>
      </c>
      <c r="D6307" t="s">
        <v>6895</v>
      </c>
      <c r="E6307" t="s">
        <v>15826</v>
      </c>
      <c r="F6307">
        <v>141</v>
      </c>
      <c r="G6307">
        <v>2580743</v>
      </c>
      <c r="H6307" t="s">
        <v>15827</v>
      </c>
      <c r="J6307" s="54" t="s">
        <v>6052</v>
      </c>
      <c r="K6307" s="54">
        <v>0</v>
      </c>
      <c r="L6307" s="22" t="s">
        <v>1563</v>
      </c>
      <c r="M6307" s="22" t="s">
        <v>37293</v>
      </c>
    </row>
    <row r="6308" spans="1:13" x14ac:dyDescent="0.75">
      <c r="A6308" t="s">
        <v>14789</v>
      </c>
      <c r="B6308" t="s">
        <v>7155</v>
      </c>
      <c r="C6308" t="s">
        <v>6124</v>
      </c>
      <c r="D6308" t="s">
        <v>7156</v>
      </c>
      <c r="E6308" t="s">
        <v>14790</v>
      </c>
      <c r="F6308">
        <v>40</v>
      </c>
      <c r="G6308">
        <v>2415582</v>
      </c>
      <c r="H6308" t="s">
        <v>14791</v>
      </c>
      <c r="J6308" s="54" t="s">
        <v>6052</v>
      </c>
      <c r="K6308" s="54">
        <v>0</v>
      </c>
      <c r="L6308" s="22" t="s">
        <v>36806</v>
      </c>
      <c r="M6308" s="22" t="s">
        <v>37296</v>
      </c>
    </row>
    <row r="6309" spans="1:13" x14ac:dyDescent="0.75">
      <c r="A6309" t="s">
        <v>14786</v>
      </c>
      <c r="B6309" t="s">
        <v>11784</v>
      </c>
      <c r="C6309" t="s">
        <v>6124</v>
      </c>
      <c r="D6309" t="s">
        <v>11785</v>
      </c>
      <c r="E6309" t="s">
        <v>14787</v>
      </c>
      <c r="F6309">
        <v>141</v>
      </c>
      <c r="G6309">
        <v>2297511</v>
      </c>
      <c r="H6309" t="s">
        <v>14788</v>
      </c>
      <c r="J6309" s="54" t="s">
        <v>6052</v>
      </c>
      <c r="K6309" s="54">
        <v>0</v>
      </c>
      <c r="L6309" s="22" t="s">
        <v>36805</v>
      </c>
      <c r="M6309" s="22" t="s">
        <v>37297</v>
      </c>
    </row>
    <row r="6310" spans="1:13" x14ac:dyDescent="0.75">
      <c r="A6310" t="s">
        <v>10046</v>
      </c>
      <c r="B6310" t="s">
        <v>9016</v>
      </c>
      <c r="C6310" t="s">
        <v>6124</v>
      </c>
      <c r="D6310" t="s">
        <v>9017</v>
      </c>
      <c r="E6310" t="s">
        <v>10047</v>
      </c>
      <c r="F6310">
        <v>1</v>
      </c>
      <c r="G6310">
        <v>2559946</v>
      </c>
      <c r="H6310" t="s">
        <v>10048</v>
      </c>
      <c r="J6310" s="54" t="s">
        <v>6052</v>
      </c>
      <c r="K6310" s="54">
        <v>0</v>
      </c>
      <c r="L6310" s="22" t="s">
        <v>36806</v>
      </c>
      <c r="M6310" s="22" t="s">
        <v>37289</v>
      </c>
    </row>
    <row r="6311" spans="1:13" x14ac:dyDescent="0.75">
      <c r="A6311" t="s">
        <v>29547</v>
      </c>
      <c r="B6311" t="s">
        <v>11784</v>
      </c>
      <c r="C6311" t="s">
        <v>6124</v>
      </c>
      <c r="D6311" t="s">
        <v>11785</v>
      </c>
      <c r="E6311" t="s">
        <v>29548</v>
      </c>
      <c r="F6311">
        <v>23</v>
      </c>
      <c r="G6311">
        <v>2231640</v>
      </c>
      <c r="H6311" t="s">
        <v>29549</v>
      </c>
      <c r="J6311" s="54" t="s">
        <v>6052</v>
      </c>
      <c r="K6311" s="54">
        <v>0</v>
      </c>
      <c r="L6311" s="22" t="s">
        <v>36805</v>
      </c>
      <c r="M6311" s="22" t="s">
        <v>37297</v>
      </c>
    </row>
    <row r="6312" spans="1:13" x14ac:dyDescent="0.75">
      <c r="A6312" t="s">
        <v>21813</v>
      </c>
      <c r="B6312" t="s">
        <v>7155</v>
      </c>
      <c r="C6312" t="s">
        <v>6124</v>
      </c>
      <c r="D6312" t="s">
        <v>7156</v>
      </c>
      <c r="E6312" t="s">
        <v>21814</v>
      </c>
      <c r="F6312">
        <v>22</v>
      </c>
      <c r="G6312">
        <v>2508421</v>
      </c>
      <c r="H6312" t="s">
        <v>21815</v>
      </c>
      <c r="J6312" s="54" t="s">
        <v>6052</v>
      </c>
      <c r="K6312" s="54">
        <v>0</v>
      </c>
      <c r="L6312" s="22" t="s">
        <v>36806</v>
      </c>
      <c r="M6312" s="22" t="s">
        <v>37296</v>
      </c>
    </row>
    <row r="6313" spans="1:13" x14ac:dyDescent="0.75">
      <c r="A6313" t="s">
        <v>21810</v>
      </c>
      <c r="B6313" t="s">
        <v>6475</v>
      </c>
      <c r="C6313" t="s">
        <v>6124</v>
      </c>
      <c r="D6313" t="s">
        <v>6476</v>
      </c>
      <c r="E6313" t="s">
        <v>21811</v>
      </c>
      <c r="F6313">
        <v>23</v>
      </c>
      <c r="G6313">
        <v>2548401</v>
      </c>
      <c r="H6313" t="s">
        <v>21812</v>
      </c>
      <c r="J6313" s="54" t="s">
        <v>6052</v>
      </c>
      <c r="K6313" s="54">
        <v>0</v>
      </c>
      <c r="L6313" s="22" t="s">
        <v>1563</v>
      </c>
      <c r="M6313" s="22" t="s">
        <v>37294</v>
      </c>
    </row>
    <row r="6314" spans="1:13" x14ac:dyDescent="0.75">
      <c r="A6314" t="s">
        <v>19703</v>
      </c>
      <c r="B6314" t="s">
        <v>16374</v>
      </c>
      <c r="C6314" t="s">
        <v>6124</v>
      </c>
      <c r="D6314" t="s">
        <v>16375</v>
      </c>
      <c r="E6314" t="s">
        <v>19704</v>
      </c>
      <c r="F6314">
        <v>1</v>
      </c>
      <c r="G6314">
        <v>2508082</v>
      </c>
      <c r="H6314" t="s">
        <v>19705</v>
      </c>
      <c r="J6314" s="54" t="s">
        <v>6052</v>
      </c>
      <c r="K6314" s="54">
        <v>0</v>
      </c>
      <c r="L6314" s="22" t="s">
        <v>144</v>
      </c>
      <c r="M6314" s="22" t="s">
        <v>37299</v>
      </c>
    </row>
    <row r="6315" spans="1:13" x14ac:dyDescent="0.75">
      <c r="A6315" t="s">
        <v>19709</v>
      </c>
      <c r="B6315" t="s">
        <v>16374</v>
      </c>
      <c r="C6315" t="s">
        <v>6124</v>
      </c>
      <c r="D6315" t="s">
        <v>16375</v>
      </c>
      <c r="E6315" t="s">
        <v>19710</v>
      </c>
      <c r="F6315">
        <v>1</v>
      </c>
      <c r="G6315">
        <v>2508018</v>
      </c>
      <c r="H6315" t="s">
        <v>19711</v>
      </c>
      <c r="J6315" s="54" t="s">
        <v>6052</v>
      </c>
      <c r="K6315" s="54">
        <v>0</v>
      </c>
      <c r="L6315" s="22" t="s">
        <v>144</v>
      </c>
      <c r="M6315" s="22" t="s">
        <v>37299</v>
      </c>
    </row>
    <row r="6316" spans="1:13" x14ac:dyDescent="0.75">
      <c r="A6316" t="s">
        <v>12173</v>
      </c>
      <c r="B6316" t="s">
        <v>6167</v>
      </c>
      <c r="C6316" t="s">
        <v>6124</v>
      </c>
      <c r="D6316" t="s">
        <v>6168</v>
      </c>
      <c r="E6316" t="s">
        <v>12174</v>
      </c>
      <c r="F6316">
        <v>2</v>
      </c>
      <c r="G6316">
        <v>2746829</v>
      </c>
      <c r="H6316" t="s">
        <v>12175</v>
      </c>
      <c r="J6316" s="54" t="s">
        <v>6052</v>
      </c>
      <c r="K6316" s="54">
        <v>0</v>
      </c>
      <c r="L6316" s="22" t="s">
        <v>36807</v>
      </c>
      <c r="M6316" s="22" t="s">
        <v>37291</v>
      </c>
    </row>
    <row r="6317" spans="1:13" x14ac:dyDescent="0.75">
      <c r="A6317" t="s">
        <v>9403</v>
      </c>
      <c r="B6317" t="s">
        <v>6167</v>
      </c>
      <c r="C6317" t="s">
        <v>6124</v>
      </c>
      <c r="D6317" t="s">
        <v>6168</v>
      </c>
      <c r="E6317" t="s">
        <v>9404</v>
      </c>
      <c r="F6317">
        <v>2</v>
      </c>
      <c r="G6317">
        <v>2790688</v>
      </c>
      <c r="H6317" t="s">
        <v>9405</v>
      </c>
      <c r="J6317" s="54" t="s">
        <v>6052</v>
      </c>
      <c r="K6317" s="54">
        <v>0</v>
      </c>
      <c r="L6317" s="22" t="s">
        <v>36807</v>
      </c>
      <c r="M6317" s="22" t="s">
        <v>37291</v>
      </c>
    </row>
    <row r="6318" spans="1:13" x14ac:dyDescent="0.75">
      <c r="A6318" t="s">
        <v>9406</v>
      </c>
      <c r="B6318" t="s">
        <v>6167</v>
      </c>
      <c r="C6318" t="s">
        <v>6124</v>
      </c>
      <c r="D6318" t="s">
        <v>6168</v>
      </c>
      <c r="E6318" t="s">
        <v>9404</v>
      </c>
      <c r="F6318">
        <v>2</v>
      </c>
      <c r="G6318">
        <v>2796742</v>
      </c>
      <c r="H6318" t="s">
        <v>9407</v>
      </c>
      <c r="J6318" s="54" t="s">
        <v>6052</v>
      </c>
      <c r="K6318" s="54">
        <v>0</v>
      </c>
      <c r="L6318" s="22" t="s">
        <v>36807</v>
      </c>
      <c r="M6318" s="22" t="s">
        <v>37291</v>
      </c>
    </row>
    <row r="6319" spans="1:13" x14ac:dyDescent="0.75">
      <c r="A6319" t="s">
        <v>9408</v>
      </c>
      <c r="B6319" t="s">
        <v>6167</v>
      </c>
      <c r="C6319" t="s">
        <v>6124</v>
      </c>
      <c r="D6319" t="s">
        <v>6168</v>
      </c>
      <c r="E6319" t="s">
        <v>9404</v>
      </c>
      <c r="F6319">
        <v>2</v>
      </c>
      <c r="G6319">
        <v>2783086</v>
      </c>
      <c r="H6319" t="s">
        <v>9409</v>
      </c>
      <c r="J6319" s="54" t="s">
        <v>6052</v>
      </c>
      <c r="K6319" s="54">
        <v>0</v>
      </c>
      <c r="L6319" s="22" t="s">
        <v>36807</v>
      </c>
      <c r="M6319" s="22" t="s">
        <v>37291</v>
      </c>
    </row>
    <row r="6320" spans="1:13" x14ac:dyDescent="0.75">
      <c r="A6320" t="s">
        <v>27331</v>
      </c>
      <c r="B6320" t="s">
        <v>6195</v>
      </c>
      <c r="C6320" t="s">
        <v>6124</v>
      </c>
      <c r="D6320" t="s">
        <v>6196</v>
      </c>
      <c r="E6320" t="s">
        <v>27332</v>
      </c>
      <c r="F6320">
        <v>40</v>
      </c>
      <c r="G6320">
        <v>2426012</v>
      </c>
      <c r="H6320" t="s">
        <v>27333</v>
      </c>
      <c r="J6320" s="54" t="s">
        <v>6052</v>
      </c>
      <c r="K6320" s="54">
        <v>0</v>
      </c>
      <c r="L6320" s="22" t="s">
        <v>36807</v>
      </c>
      <c r="M6320" s="22" t="s">
        <v>37288</v>
      </c>
    </row>
    <row r="6321" spans="1:13" x14ac:dyDescent="0.75">
      <c r="A6321" t="s">
        <v>27325</v>
      </c>
      <c r="B6321" t="s">
        <v>10958</v>
      </c>
      <c r="C6321" t="s">
        <v>6124</v>
      </c>
      <c r="D6321" t="s">
        <v>6928</v>
      </c>
      <c r="E6321" t="s">
        <v>27326</v>
      </c>
      <c r="F6321">
        <v>14</v>
      </c>
      <c r="G6321">
        <v>2236788</v>
      </c>
      <c r="H6321" t="s">
        <v>27327</v>
      </c>
      <c r="J6321" s="54" t="s">
        <v>6052</v>
      </c>
      <c r="K6321" s="54">
        <v>0</v>
      </c>
      <c r="L6321" s="22" t="s">
        <v>36806</v>
      </c>
      <c r="M6321" s="22" t="s">
        <v>37292</v>
      </c>
    </row>
    <row r="6322" spans="1:13" x14ac:dyDescent="0.75">
      <c r="A6322" t="s">
        <v>27328</v>
      </c>
      <c r="B6322" t="s">
        <v>10958</v>
      </c>
      <c r="C6322" t="s">
        <v>6124</v>
      </c>
      <c r="D6322" t="s">
        <v>6928</v>
      </c>
      <c r="E6322" t="s">
        <v>27329</v>
      </c>
      <c r="F6322">
        <v>13</v>
      </c>
      <c r="G6322">
        <v>2235839</v>
      </c>
      <c r="H6322" t="s">
        <v>27330</v>
      </c>
      <c r="J6322" s="54" t="s">
        <v>6052</v>
      </c>
      <c r="K6322" s="54">
        <v>0</v>
      </c>
      <c r="L6322" s="22" t="s">
        <v>36806</v>
      </c>
      <c r="M6322" s="22" t="s">
        <v>37292</v>
      </c>
    </row>
    <row r="6323" spans="1:13" x14ac:dyDescent="0.75">
      <c r="A6323" t="s">
        <v>15984</v>
      </c>
      <c r="B6323" t="s">
        <v>9016</v>
      </c>
      <c r="C6323" t="s">
        <v>6124</v>
      </c>
      <c r="D6323" t="s">
        <v>9017</v>
      </c>
      <c r="E6323" t="s">
        <v>15985</v>
      </c>
      <c r="F6323">
        <v>4</v>
      </c>
      <c r="G6323">
        <v>2572660</v>
      </c>
      <c r="H6323" t="s">
        <v>15986</v>
      </c>
      <c r="J6323" s="54" t="s">
        <v>6052</v>
      </c>
      <c r="K6323" s="54">
        <v>0</v>
      </c>
      <c r="L6323" s="22" t="s">
        <v>36806</v>
      </c>
      <c r="M6323" s="22" t="s">
        <v>37289</v>
      </c>
    </row>
    <row r="6324" spans="1:13" x14ac:dyDescent="0.75">
      <c r="A6324" t="s">
        <v>18337</v>
      </c>
      <c r="B6324" t="s">
        <v>6894</v>
      </c>
      <c r="C6324" t="s">
        <v>6124</v>
      </c>
      <c r="D6324" t="s">
        <v>6895</v>
      </c>
      <c r="E6324" t="s">
        <v>18338</v>
      </c>
      <c r="F6324">
        <v>6</v>
      </c>
      <c r="G6324">
        <v>2764332</v>
      </c>
      <c r="H6324" t="s">
        <v>18339</v>
      </c>
      <c r="J6324" s="54" t="s">
        <v>6052</v>
      </c>
      <c r="K6324" s="54">
        <v>0</v>
      </c>
      <c r="L6324" s="22" t="s">
        <v>1563</v>
      </c>
      <c r="M6324" s="22" t="s">
        <v>37293</v>
      </c>
    </row>
    <row r="6325" spans="1:13" x14ac:dyDescent="0.75">
      <c r="A6325" t="s">
        <v>7659</v>
      </c>
      <c r="B6325" t="s">
        <v>6167</v>
      </c>
      <c r="C6325" t="s">
        <v>6124</v>
      </c>
      <c r="D6325" t="s">
        <v>6168</v>
      </c>
      <c r="E6325" t="s">
        <v>7660</v>
      </c>
      <c r="F6325">
        <v>1</v>
      </c>
      <c r="G6325">
        <v>2913900</v>
      </c>
      <c r="H6325" t="s">
        <v>7661</v>
      </c>
      <c r="J6325" s="54" t="s">
        <v>6052</v>
      </c>
      <c r="K6325" s="54">
        <v>0</v>
      </c>
      <c r="L6325" s="22" t="s">
        <v>36807</v>
      </c>
      <c r="M6325" s="22" t="s">
        <v>37291</v>
      </c>
    </row>
    <row r="6326" spans="1:13" x14ac:dyDescent="0.75">
      <c r="A6326" t="s">
        <v>24913</v>
      </c>
      <c r="B6326" t="s">
        <v>11784</v>
      </c>
      <c r="C6326" t="s">
        <v>6124</v>
      </c>
      <c r="D6326" t="s">
        <v>11785</v>
      </c>
      <c r="E6326" t="s">
        <v>24914</v>
      </c>
      <c r="F6326">
        <v>13</v>
      </c>
      <c r="G6326">
        <v>2237686</v>
      </c>
      <c r="H6326" t="s">
        <v>24915</v>
      </c>
      <c r="J6326" s="54" t="s">
        <v>6052</v>
      </c>
      <c r="K6326" s="54">
        <v>0</v>
      </c>
      <c r="L6326" s="22" t="s">
        <v>36805</v>
      </c>
      <c r="M6326" s="22" t="s">
        <v>37297</v>
      </c>
    </row>
    <row r="6327" spans="1:13" x14ac:dyDescent="0.75">
      <c r="A6327" t="s">
        <v>9636</v>
      </c>
      <c r="B6327" t="s">
        <v>6167</v>
      </c>
      <c r="C6327" t="s">
        <v>6124</v>
      </c>
      <c r="D6327" t="s">
        <v>6168</v>
      </c>
      <c r="E6327" t="s">
        <v>9637</v>
      </c>
      <c r="F6327">
        <v>1</v>
      </c>
      <c r="G6327">
        <v>2820837</v>
      </c>
      <c r="H6327" t="s">
        <v>9638</v>
      </c>
      <c r="J6327" s="54" t="s">
        <v>6052</v>
      </c>
      <c r="K6327" s="54">
        <v>0</v>
      </c>
      <c r="L6327" s="22" t="s">
        <v>36807</v>
      </c>
      <c r="M6327" s="22" t="s">
        <v>37291</v>
      </c>
    </row>
    <row r="6328" spans="1:13" x14ac:dyDescent="0.75">
      <c r="A6328" t="s">
        <v>6307</v>
      </c>
      <c r="B6328" t="s">
        <v>6167</v>
      </c>
      <c r="C6328" t="s">
        <v>6124</v>
      </c>
      <c r="D6328" t="s">
        <v>6168</v>
      </c>
      <c r="E6328" t="s">
        <v>6308</v>
      </c>
      <c r="F6328">
        <v>3</v>
      </c>
      <c r="G6328">
        <v>2903081</v>
      </c>
      <c r="H6328" t="s">
        <v>6309</v>
      </c>
      <c r="J6328" s="54" t="s">
        <v>6052</v>
      </c>
      <c r="K6328" s="54">
        <v>0</v>
      </c>
      <c r="L6328" s="22" t="s">
        <v>36807</v>
      </c>
      <c r="M6328" s="22" t="s">
        <v>37291</v>
      </c>
    </row>
    <row r="6329" spans="1:13" x14ac:dyDescent="0.75">
      <c r="A6329" t="s">
        <v>6839</v>
      </c>
      <c r="B6329" t="s">
        <v>6167</v>
      </c>
      <c r="C6329" t="s">
        <v>6124</v>
      </c>
      <c r="D6329" t="s">
        <v>6168</v>
      </c>
      <c r="E6329" t="s">
        <v>6840</v>
      </c>
      <c r="F6329">
        <v>2</v>
      </c>
      <c r="G6329">
        <v>2827166</v>
      </c>
      <c r="H6329" t="s">
        <v>6841</v>
      </c>
      <c r="J6329" s="54" t="s">
        <v>6052</v>
      </c>
      <c r="K6329" s="54">
        <v>0</v>
      </c>
      <c r="L6329" s="22" t="s">
        <v>36807</v>
      </c>
      <c r="M6329" s="22" t="s">
        <v>37291</v>
      </c>
    </row>
    <row r="6330" spans="1:13" x14ac:dyDescent="0.75">
      <c r="A6330" t="s">
        <v>16998</v>
      </c>
      <c r="B6330" t="s">
        <v>7155</v>
      </c>
      <c r="C6330" t="s">
        <v>6124</v>
      </c>
      <c r="D6330" t="s">
        <v>7156</v>
      </c>
      <c r="E6330" t="s">
        <v>16999</v>
      </c>
      <c r="F6330">
        <v>37</v>
      </c>
      <c r="G6330">
        <v>2511037</v>
      </c>
      <c r="H6330" t="s">
        <v>17000</v>
      </c>
      <c r="J6330" s="54" t="s">
        <v>6052</v>
      </c>
      <c r="K6330" s="54">
        <v>0</v>
      </c>
      <c r="L6330" s="22" t="s">
        <v>36806</v>
      </c>
      <c r="M6330" s="22" t="s">
        <v>37296</v>
      </c>
    </row>
    <row r="6331" spans="1:13" x14ac:dyDescent="0.75">
      <c r="A6331" t="s">
        <v>10403</v>
      </c>
      <c r="B6331" t="s">
        <v>7155</v>
      </c>
      <c r="C6331" t="s">
        <v>6124</v>
      </c>
      <c r="D6331" t="s">
        <v>7156</v>
      </c>
      <c r="E6331" t="s">
        <v>10404</v>
      </c>
      <c r="F6331">
        <v>18</v>
      </c>
      <c r="G6331">
        <v>2516639</v>
      </c>
      <c r="H6331" t="s">
        <v>10405</v>
      </c>
      <c r="J6331" s="54" t="s">
        <v>6052</v>
      </c>
      <c r="K6331" s="54">
        <v>0</v>
      </c>
      <c r="L6331" s="22" t="s">
        <v>36806</v>
      </c>
      <c r="M6331" s="22" t="s">
        <v>37296</v>
      </c>
    </row>
    <row r="6332" spans="1:13" x14ac:dyDescent="0.75">
      <c r="A6332" t="s">
        <v>14775</v>
      </c>
      <c r="B6332" t="s">
        <v>6167</v>
      </c>
      <c r="C6332" t="s">
        <v>6124</v>
      </c>
      <c r="D6332" t="s">
        <v>6168</v>
      </c>
      <c r="E6332" t="s">
        <v>14776</v>
      </c>
      <c r="F6332">
        <v>2</v>
      </c>
      <c r="G6332">
        <v>2804030</v>
      </c>
      <c r="H6332" t="s">
        <v>14777</v>
      </c>
      <c r="J6332" s="54" t="s">
        <v>6052</v>
      </c>
      <c r="K6332" s="54">
        <v>0</v>
      </c>
      <c r="L6332" s="22" t="s">
        <v>36807</v>
      </c>
      <c r="M6332" s="22" t="s">
        <v>37291</v>
      </c>
    </row>
    <row r="6333" spans="1:13" x14ac:dyDescent="0.75">
      <c r="A6333" t="s">
        <v>24707</v>
      </c>
      <c r="B6333" t="s">
        <v>10958</v>
      </c>
      <c r="C6333" t="s">
        <v>6124</v>
      </c>
      <c r="D6333" t="s">
        <v>6928</v>
      </c>
      <c r="E6333" t="s">
        <v>24708</v>
      </c>
      <c r="F6333">
        <v>32</v>
      </c>
      <c r="G6333">
        <v>2180566</v>
      </c>
      <c r="H6333" t="s">
        <v>24709</v>
      </c>
      <c r="J6333" s="54" t="s">
        <v>6052</v>
      </c>
      <c r="K6333" s="54">
        <v>0</v>
      </c>
      <c r="L6333" s="22" t="s">
        <v>36806</v>
      </c>
      <c r="M6333" s="22" t="s">
        <v>37292</v>
      </c>
    </row>
    <row r="6334" spans="1:13" x14ac:dyDescent="0.75">
      <c r="A6334" t="s">
        <v>24704</v>
      </c>
      <c r="B6334" t="s">
        <v>10958</v>
      </c>
      <c r="C6334" t="s">
        <v>6124</v>
      </c>
      <c r="D6334" t="s">
        <v>6928</v>
      </c>
      <c r="E6334" t="s">
        <v>24705</v>
      </c>
      <c r="F6334">
        <v>29</v>
      </c>
      <c r="G6334">
        <v>2182385</v>
      </c>
      <c r="H6334" t="s">
        <v>24706</v>
      </c>
      <c r="J6334" s="54" t="s">
        <v>6052</v>
      </c>
      <c r="K6334" s="54">
        <v>0</v>
      </c>
      <c r="L6334" s="22" t="s">
        <v>36806</v>
      </c>
      <c r="M6334" s="22" t="s">
        <v>37292</v>
      </c>
    </row>
    <row r="6335" spans="1:13" x14ac:dyDescent="0.75">
      <c r="A6335" t="s">
        <v>24710</v>
      </c>
      <c r="B6335" t="s">
        <v>10958</v>
      </c>
      <c r="C6335" t="s">
        <v>6124</v>
      </c>
      <c r="D6335" t="s">
        <v>6928</v>
      </c>
      <c r="E6335" t="s">
        <v>24711</v>
      </c>
      <c r="F6335">
        <v>32</v>
      </c>
      <c r="G6335">
        <v>2177331</v>
      </c>
      <c r="H6335" t="s">
        <v>24712</v>
      </c>
      <c r="J6335" s="54" t="s">
        <v>6052</v>
      </c>
      <c r="K6335" s="54">
        <v>0</v>
      </c>
      <c r="L6335" s="22" t="s">
        <v>36806</v>
      </c>
      <c r="M6335" s="22" t="s">
        <v>37292</v>
      </c>
    </row>
    <row r="6336" spans="1:13" x14ac:dyDescent="0.75">
      <c r="A6336" t="s">
        <v>24701</v>
      </c>
      <c r="B6336" t="s">
        <v>10958</v>
      </c>
      <c r="C6336" t="s">
        <v>6124</v>
      </c>
      <c r="D6336" t="s">
        <v>6928</v>
      </c>
      <c r="E6336" t="s">
        <v>24702</v>
      </c>
      <c r="F6336">
        <v>25</v>
      </c>
      <c r="G6336">
        <v>2173824</v>
      </c>
      <c r="H6336" t="s">
        <v>24703</v>
      </c>
      <c r="J6336" s="54" t="s">
        <v>6052</v>
      </c>
      <c r="K6336" s="54">
        <v>0</v>
      </c>
      <c r="L6336" s="22" t="s">
        <v>36806</v>
      </c>
      <c r="M6336" s="22" t="s">
        <v>37292</v>
      </c>
    </row>
    <row r="6337" spans="1:13" x14ac:dyDescent="0.75">
      <c r="A6337" t="s">
        <v>23570</v>
      </c>
      <c r="B6337" t="s">
        <v>6123</v>
      </c>
      <c r="C6337" t="s">
        <v>6124</v>
      </c>
      <c r="D6337" t="s">
        <v>6125</v>
      </c>
      <c r="E6337" t="s">
        <v>23571</v>
      </c>
      <c r="F6337">
        <v>6</v>
      </c>
      <c r="G6337">
        <v>2573209</v>
      </c>
      <c r="H6337" t="s">
        <v>23572</v>
      </c>
      <c r="J6337" s="54" t="s">
        <v>6052</v>
      </c>
      <c r="K6337" s="54">
        <v>0</v>
      </c>
      <c r="L6337" s="22" t="s">
        <v>36806</v>
      </c>
      <c r="M6337" s="22" t="s">
        <v>37290</v>
      </c>
    </row>
    <row r="6338" spans="1:13" x14ac:dyDescent="0.75">
      <c r="A6338" t="s">
        <v>23573</v>
      </c>
      <c r="B6338" t="s">
        <v>6123</v>
      </c>
      <c r="C6338" t="s">
        <v>6124</v>
      </c>
      <c r="D6338" t="s">
        <v>6125</v>
      </c>
      <c r="E6338" t="s">
        <v>23574</v>
      </c>
      <c r="F6338">
        <v>2</v>
      </c>
      <c r="G6338">
        <v>2734660</v>
      </c>
      <c r="H6338" t="s">
        <v>23575</v>
      </c>
      <c r="J6338" s="54" t="s">
        <v>6052</v>
      </c>
      <c r="K6338" s="54">
        <v>0</v>
      </c>
      <c r="L6338" s="22" t="s">
        <v>36806</v>
      </c>
      <c r="M6338" s="22" t="s">
        <v>37290</v>
      </c>
    </row>
    <row r="6339" spans="1:13" x14ac:dyDescent="0.75">
      <c r="A6339" t="s">
        <v>23582</v>
      </c>
      <c r="B6339" t="s">
        <v>6123</v>
      </c>
      <c r="C6339" t="s">
        <v>6124</v>
      </c>
      <c r="D6339" t="s">
        <v>6125</v>
      </c>
      <c r="E6339" t="s">
        <v>23583</v>
      </c>
      <c r="F6339">
        <v>2</v>
      </c>
      <c r="G6339">
        <v>2646864</v>
      </c>
      <c r="H6339" t="s">
        <v>23584</v>
      </c>
      <c r="J6339" s="54" t="s">
        <v>6052</v>
      </c>
      <c r="K6339" s="54">
        <v>0</v>
      </c>
      <c r="L6339" s="22" t="s">
        <v>36806</v>
      </c>
      <c r="M6339" s="22" t="s">
        <v>37290</v>
      </c>
    </row>
    <row r="6340" spans="1:13" x14ac:dyDescent="0.75">
      <c r="A6340" t="s">
        <v>23576</v>
      </c>
      <c r="B6340" t="s">
        <v>6123</v>
      </c>
      <c r="C6340" t="s">
        <v>6124</v>
      </c>
      <c r="D6340" t="s">
        <v>6125</v>
      </c>
      <c r="E6340" t="s">
        <v>23577</v>
      </c>
      <c r="F6340">
        <v>4</v>
      </c>
      <c r="G6340">
        <v>2761052</v>
      </c>
      <c r="H6340" t="s">
        <v>23578</v>
      </c>
      <c r="J6340" s="54" t="s">
        <v>6052</v>
      </c>
      <c r="K6340" s="54">
        <v>0</v>
      </c>
      <c r="L6340" s="22" t="s">
        <v>36806</v>
      </c>
      <c r="M6340" s="22" t="s">
        <v>37290</v>
      </c>
    </row>
    <row r="6341" spans="1:13" x14ac:dyDescent="0.75">
      <c r="A6341" t="s">
        <v>23579</v>
      </c>
      <c r="B6341" t="s">
        <v>6123</v>
      </c>
      <c r="C6341" t="s">
        <v>6124</v>
      </c>
      <c r="D6341" t="s">
        <v>6125</v>
      </c>
      <c r="E6341" t="s">
        <v>23580</v>
      </c>
      <c r="F6341">
        <v>3</v>
      </c>
      <c r="G6341">
        <v>2485634</v>
      </c>
      <c r="H6341" t="s">
        <v>23581</v>
      </c>
      <c r="J6341" s="54" t="s">
        <v>6052</v>
      </c>
      <c r="K6341" s="54">
        <v>0</v>
      </c>
      <c r="L6341" s="22" t="s">
        <v>36806</v>
      </c>
      <c r="M6341" s="22" t="s">
        <v>37290</v>
      </c>
    </row>
    <row r="6342" spans="1:13" x14ac:dyDescent="0.75">
      <c r="A6342" t="s">
        <v>23567</v>
      </c>
      <c r="B6342" t="s">
        <v>6123</v>
      </c>
      <c r="C6342" t="s">
        <v>6124</v>
      </c>
      <c r="D6342" t="s">
        <v>6125</v>
      </c>
      <c r="E6342" t="s">
        <v>23568</v>
      </c>
      <c r="F6342">
        <v>5</v>
      </c>
      <c r="G6342">
        <v>2472870</v>
      </c>
      <c r="H6342" t="s">
        <v>23569</v>
      </c>
      <c r="J6342" s="54" t="s">
        <v>6052</v>
      </c>
      <c r="K6342" s="54">
        <v>0</v>
      </c>
      <c r="L6342" s="22" t="s">
        <v>36806</v>
      </c>
      <c r="M6342" s="22" t="s">
        <v>37290</v>
      </c>
    </row>
    <row r="6343" spans="1:13" x14ac:dyDescent="0.75">
      <c r="A6343" t="s">
        <v>26204</v>
      </c>
      <c r="B6343" t="s">
        <v>9016</v>
      </c>
      <c r="C6343" t="s">
        <v>6124</v>
      </c>
      <c r="D6343" t="s">
        <v>9017</v>
      </c>
      <c r="E6343" t="s">
        <v>26205</v>
      </c>
      <c r="F6343">
        <v>30</v>
      </c>
      <c r="G6343">
        <v>2571938</v>
      </c>
      <c r="H6343" t="s">
        <v>26206</v>
      </c>
      <c r="J6343" s="54" t="s">
        <v>6052</v>
      </c>
      <c r="K6343" s="54">
        <v>0</v>
      </c>
      <c r="L6343" s="22" t="s">
        <v>36806</v>
      </c>
      <c r="M6343" s="22" t="s">
        <v>37289</v>
      </c>
    </row>
    <row r="6344" spans="1:13" x14ac:dyDescent="0.75">
      <c r="A6344" t="s">
        <v>16517</v>
      </c>
      <c r="B6344" t="s">
        <v>9016</v>
      </c>
      <c r="C6344" t="s">
        <v>6124</v>
      </c>
      <c r="D6344" t="s">
        <v>9017</v>
      </c>
      <c r="E6344" t="s">
        <v>16518</v>
      </c>
      <c r="F6344">
        <v>33</v>
      </c>
      <c r="G6344">
        <v>2634550</v>
      </c>
      <c r="H6344" t="s">
        <v>16519</v>
      </c>
      <c r="J6344" s="54" t="s">
        <v>6052</v>
      </c>
      <c r="K6344" s="54">
        <v>0</v>
      </c>
      <c r="L6344" s="22" t="s">
        <v>36806</v>
      </c>
      <c r="M6344" s="22" t="s">
        <v>37289</v>
      </c>
    </row>
    <row r="6345" spans="1:13" x14ac:dyDescent="0.75">
      <c r="A6345" t="s">
        <v>23585</v>
      </c>
      <c r="B6345" t="s">
        <v>6123</v>
      </c>
      <c r="C6345" t="s">
        <v>6124</v>
      </c>
      <c r="D6345" t="s">
        <v>6125</v>
      </c>
      <c r="E6345" t="s">
        <v>23586</v>
      </c>
      <c r="F6345">
        <v>4</v>
      </c>
      <c r="G6345">
        <v>2659990</v>
      </c>
      <c r="H6345" t="s">
        <v>23587</v>
      </c>
      <c r="J6345" s="54" t="s">
        <v>6052</v>
      </c>
      <c r="K6345" s="54">
        <v>0</v>
      </c>
      <c r="L6345" s="22" t="s">
        <v>36806</v>
      </c>
      <c r="M6345" s="22" t="s">
        <v>37290</v>
      </c>
    </row>
    <row r="6346" spans="1:13" x14ac:dyDescent="0.75">
      <c r="A6346" t="s">
        <v>23588</v>
      </c>
      <c r="B6346" t="s">
        <v>6123</v>
      </c>
      <c r="C6346" t="s">
        <v>6124</v>
      </c>
      <c r="D6346" t="s">
        <v>6125</v>
      </c>
      <c r="E6346" t="s">
        <v>23589</v>
      </c>
      <c r="F6346">
        <v>3</v>
      </c>
      <c r="G6346">
        <v>2602631</v>
      </c>
      <c r="H6346" t="s">
        <v>23590</v>
      </c>
      <c r="J6346" s="54" t="s">
        <v>6052</v>
      </c>
      <c r="K6346" s="54">
        <v>0</v>
      </c>
      <c r="L6346" s="22" t="s">
        <v>36806</v>
      </c>
      <c r="M6346" s="22" t="s">
        <v>37290</v>
      </c>
    </row>
    <row r="6347" spans="1:13" x14ac:dyDescent="0.75">
      <c r="A6347" t="s">
        <v>23591</v>
      </c>
      <c r="B6347" t="s">
        <v>6123</v>
      </c>
      <c r="C6347" t="s">
        <v>6124</v>
      </c>
      <c r="D6347" t="s">
        <v>6125</v>
      </c>
      <c r="E6347" t="s">
        <v>23592</v>
      </c>
      <c r="F6347">
        <v>2</v>
      </c>
      <c r="G6347">
        <v>2503340</v>
      </c>
      <c r="H6347" t="s">
        <v>23593</v>
      </c>
      <c r="J6347" s="54" t="s">
        <v>6052</v>
      </c>
      <c r="K6347" s="54">
        <v>0</v>
      </c>
      <c r="L6347" s="22" t="s">
        <v>36806</v>
      </c>
      <c r="M6347" s="22" t="s">
        <v>37290</v>
      </c>
    </row>
    <row r="6348" spans="1:13" x14ac:dyDescent="0.75">
      <c r="A6348" t="s">
        <v>6508</v>
      </c>
      <c r="B6348" t="s">
        <v>6167</v>
      </c>
      <c r="C6348" t="s">
        <v>6124</v>
      </c>
      <c r="D6348" t="s">
        <v>6168</v>
      </c>
      <c r="E6348" t="s">
        <v>6509</v>
      </c>
      <c r="F6348">
        <v>3</v>
      </c>
      <c r="G6348">
        <v>3075806</v>
      </c>
      <c r="H6348" t="s">
        <v>6510</v>
      </c>
      <c r="J6348" s="54" t="s">
        <v>6052</v>
      </c>
      <c r="K6348" s="54">
        <v>0</v>
      </c>
      <c r="L6348" s="22" t="s">
        <v>36807</v>
      </c>
      <c r="M6348" s="22" t="s">
        <v>37291</v>
      </c>
    </row>
    <row r="6349" spans="1:13" x14ac:dyDescent="0.75">
      <c r="A6349" t="s">
        <v>13928</v>
      </c>
      <c r="B6349" t="s">
        <v>7155</v>
      </c>
      <c r="C6349" t="s">
        <v>6124</v>
      </c>
      <c r="D6349" t="s">
        <v>7156</v>
      </c>
      <c r="E6349" t="s">
        <v>13929</v>
      </c>
      <c r="F6349">
        <v>2</v>
      </c>
      <c r="G6349">
        <v>2486776</v>
      </c>
      <c r="H6349" t="s">
        <v>13930</v>
      </c>
      <c r="J6349" s="54" t="s">
        <v>6052</v>
      </c>
      <c r="K6349" s="54">
        <v>0</v>
      </c>
      <c r="L6349" s="22" t="s">
        <v>36806</v>
      </c>
      <c r="M6349" s="22" t="s">
        <v>37296</v>
      </c>
    </row>
    <row r="6350" spans="1:13" x14ac:dyDescent="0.75">
      <c r="A6350" t="s">
        <v>6179</v>
      </c>
      <c r="B6350" t="s">
        <v>6167</v>
      </c>
      <c r="C6350" t="s">
        <v>6124</v>
      </c>
      <c r="D6350" t="s">
        <v>6168</v>
      </c>
      <c r="E6350" t="s">
        <v>6180</v>
      </c>
      <c r="F6350">
        <v>4</v>
      </c>
      <c r="G6350">
        <v>2885367</v>
      </c>
      <c r="H6350" t="s">
        <v>6181</v>
      </c>
      <c r="J6350" s="54" t="s">
        <v>6052</v>
      </c>
      <c r="K6350" s="54">
        <v>0</v>
      </c>
      <c r="L6350" s="22" t="s">
        <v>36807</v>
      </c>
      <c r="M6350" s="22" t="s">
        <v>37291</v>
      </c>
    </row>
    <row r="6351" spans="1:13" x14ac:dyDescent="0.75">
      <c r="A6351" t="s">
        <v>16723</v>
      </c>
      <c r="B6351" t="s">
        <v>7155</v>
      </c>
      <c r="C6351" t="s">
        <v>6124</v>
      </c>
      <c r="D6351" t="s">
        <v>7156</v>
      </c>
      <c r="E6351" t="s">
        <v>16724</v>
      </c>
      <c r="F6351">
        <v>20</v>
      </c>
      <c r="G6351">
        <v>2378956</v>
      </c>
      <c r="H6351" t="s">
        <v>16725</v>
      </c>
      <c r="J6351" s="54" t="s">
        <v>6052</v>
      </c>
      <c r="K6351" s="54">
        <v>0</v>
      </c>
      <c r="L6351" s="22" t="s">
        <v>36806</v>
      </c>
      <c r="M6351" s="22" t="s">
        <v>37296</v>
      </c>
    </row>
    <row r="6352" spans="1:13" x14ac:dyDescent="0.75">
      <c r="A6352" t="s">
        <v>15806</v>
      </c>
      <c r="B6352" t="s">
        <v>6894</v>
      </c>
      <c r="C6352" t="s">
        <v>6124</v>
      </c>
      <c r="D6352" t="s">
        <v>6895</v>
      </c>
      <c r="E6352" t="s">
        <v>15807</v>
      </c>
      <c r="F6352">
        <v>96</v>
      </c>
      <c r="G6352">
        <v>2229926</v>
      </c>
      <c r="H6352" t="s">
        <v>15808</v>
      </c>
      <c r="J6352" s="54" t="s">
        <v>6052</v>
      </c>
      <c r="K6352" s="54">
        <v>0</v>
      </c>
      <c r="L6352" s="22" t="s">
        <v>1563</v>
      </c>
      <c r="M6352" s="22" t="s">
        <v>37293</v>
      </c>
    </row>
    <row r="6353" spans="1:13" x14ac:dyDescent="0.75">
      <c r="A6353" t="s">
        <v>10219</v>
      </c>
      <c r="B6353" t="s">
        <v>6475</v>
      </c>
      <c r="C6353" t="s">
        <v>6124</v>
      </c>
      <c r="D6353" t="s">
        <v>6476</v>
      </c>
      <c r="E6353" t="s">
        <v>10220</v>
      </c>
      <c r="F6353">
        <v>48</v>
      </c>
      <c r="G6353">
        <v>2554377</v>
      </c>
      <c r="H6353" t="s">
        <v>10221</v>
      </c>
      <c r="J6353" s="54" t="s">
        <v>6052</v>
      </c>
      <c r="K6353" s="54">
        <v>0</v>
      </c>
      <c r="L6353" s="22" t="s">
        <v>1563</v>
      </c>
      <c r="M6353" s="22" t="s">
        <v>37294</v>
      </c>
    </row>
    <row r="6354" spans="1:13" x14ac:dyDescent="0.75">
      <c r="A6354" t="s">
        <v>16056</v>
      </c>
      <c r="B6354" t="s">
        <v>9016</v>
      </c>
      <c r="C6354" t="s">
        <v>6124</v>
      </c>
      <c r="D6354" t="s">
        <v>9017</v>
      </c>
      <c r="E6354" t="s">
        <v>16057</v>
      </c>
      <c r="F6354">
        <v>25</v>
      </c>
      <c r="G6354">
        <v>2466813</v>
      </c>
      <c r="H6354" t="s">
        <v>16058</v>
      </c>
      <c r="J6354" s="54" t="s">
        <v>6052</v>
      </c>
      <c r="K6354" s="54">
        <v>0</v>
      </c>
      <c r="L6354" s="22" t="s">
        <v>36806</v>
      </c>
      <c r="M6354" s="22" t="s">
        <v>37289</v>
      </c>
    </row>
    <row r="6355" spans="1:13" x14ac:dyDescent="0.75">
      <c r="A6355" t="s">
        <v>25863</v>
      </c>
      <c r="B6355" t="s">
        <v>9016</v>
      </c>
      <c r="C6355" t="s">
        <v>6124</v>
      </c>
      <c r="D6355" t="s">
        <v>9017</v>
      </c>
      <c r="E6355" t="s">
        <v>25864</v>
      </c>
      <c r="F6355">
        <v>43</v>
      </c>
      <c r="G6355">
        <v>2557073</v>
      </c>
      <c r="H6355" t="s">
        <v>25865</v>
      </c>
      <c r="J6355" s="54" t="s">
        <v>6052</v>
      </c>
      <c r="K6355" s="54">
        <v>0</v>
      </c>
      <c r="L6355" s="22" t="s">
        <v>36806</v>
      </c>
      <c r="M6355" s="22" t="s">
        <v>37289</v>
      </c>
    </row>
    <row r="6356" spans="1:13" x14ac:dyDescent="0.75">
      <c r="A6356" t="s">
        <v>25923</v>
      </c>
      <c r="B6356" t="s">
        <v>9016</v>
      </c>
      <c r="C6356" t="s">
        <v>6124</v>
      </c>
      <c r="D6356" t="s">
        <v>9017</v>
      </c>
      <c r="E6356" t="s">
        <v>25924</v>
      </c>
      <c r="F6356">
        <v>31</v>
      </c>
      <c r="G6356">
        <v>2541978</v>
      </c>
      <c r="H6356" t="s">
        <v>25925</v>
      </c>
      <c r="J6356" s="54" t="s">
        <v>6052</v>
      </c>
      <c r="K6356" s="54">
        <v>0</v>
      </c>
      <c r="L6356" s="22" t="s">
        <v>36806</v>
      </c>
      <c r="M6356" s="22" t="s">
        <v>37289</v>
      </c>
    </row>
    <row r="6357" spans="1:13" x14ac:dyDescent="0.75">
      <c r="A6357" t="s">
        <v>25920</v>
      </c>
      <c r="B6357" t="s">
        <v>9016</v>
      </c>
      <c r="C6357" t="s">
        <v>6124</v>
      </c>
      <c r="D6357" t="s">
        <v>9017</v>
      </c>
      <c r="E6357" t="s">
        <v>25921</v>
      </c>
      <c r="F6357">
        <v>31</v>
      </c>
      <c r="G6357">
        <v>2463277</v>
      </c>
      <c r="H6357" t="s">
        <v>25922</v>
      </c>
      <c r="J6357" s="54" t="s">
        <v>6052</v>
      </c>
      <c r="K6357" s="54">
        <v>0</v>
      </c>
      <c r="L6357" s="22" t="s">
        <v>36806</v>
      </c>
      <c r="M6357" s="22" t="s">
        <v>37289</v>
      </c>
    </row>
    <row r="6358" spans="1:13" x14ac:dyDescent="0.75">
      <c r="A6358" t="s">
        <v>25962</v>
      </c>
      <c r="B6358" t="s">
        <v>9016</v>
      </c>
      <c r="C6358" t="s">
        <v>6124</v>
      </c>
      <c r="D6358" t="s">
        <v>9017</v>
      </c>
      <c r="E6358" t="s">
        <v>25963</v>
      </c>
      <c r="F6358">
        <v>22</v>
      </c>
      <c r="G6358">
        <v>2468379</v>
      </c>
      <c r="H6358" t="s">
        <v>25964</v>
      </c>
      <c r="J6358" s="54" t="s">
        <v>6052</v>
      </c>
      <c r="K6358" s="54">
        <v>0</v>
      </c>
      <c r="L6358" s="22" t="s">
        <v>36806</v>
      </c>
      <c r="M6358" s="22" t="s">
        <v>37289</v>
      </c>
    </row>
    <row r="6359" spans="1:13" x14ac:dyDescent="0.75">
      <c r="A6359" t="s">
        <v>26082</v>
      </c>
      <c r="B6359" t="s">
        <v>9016</v>
      </c>
      <c r="C6359" t="s">
        <v>6124</v>
      </c>
      <c r="D6359" t="s">
        <v>9017</v>
      </c>
      <c r="E6359" t="s">
        <v>26083</v>
      </c>
      <c r="F6359">
        <v>27</v>
      </c>
      <c r="G6359">
        <v>2556987</v>
      </c>
      <c r="H6359" t="s">
        <v>26084</v>
      </c>
      <c r="J6359" s="54" t="s">
        <v>6052</v>
      </c>
      <c r="K6359" s="54">
        <v>0</v>
      </c>
      <c r="L6359" s="22" t="s">
        <v>36806</v>
      </c>
      <c r="M6359" s="22" t="s">
        <v>37289</v>
      </c>
    </row>
    <row r="6360" spans="1:13" x14ac:dyDescent="0.75">
      <c r="A6360" t="s">
        <v>14332</v>
      </c>
      <c r="B6360" t="s">
        <v>10958</v>
      </c>
      <c r="C6360" t="s">
        <v>6124</v>
      </c>
      <c r="D6360" t="s">
        <v>6928</v>
      </c>
      <c r="E6360" t="s">
        <v>14333</v>
      </c>
      <c r="F6360">
        <v>19</v>
      </c>
      <c r="G6360">
        <v>2218470</v>
      </c>
      <c r="H6360" t="s">
        <v>14334</v>
      </c>
      <c r="J6360" s="54" t="s">
        <v>6052</v>
      </c>
      <c r="K6360" s="54">
        <v>0</v>
      </c>
      <c r="L6360" s="22" t="s">
        <v>36806</v>
      </c>
      <c r="M6360" s="22" t="s">
        <v>37292</v>
      </c>
    </row>
    <row r="6361" spans="1:13" x14ac:dyDescent="0.75">
      <c r="A6361" t="s">
        <v>14612</v>
      </c>
      <c r="B6361" t="s">
        <v>9016</v>
      </c>
      <c r="C6361" t="s">
        <v>6124</v>
      </c>
      <c r="D6361" t="s">
        <v>9017</v>
      </c>
      <c r="E6361" t="s">
        <v>14613</v>
      </c>
      <c r="F6361">
        <v>15</v>
      </c>
      <c r="G6361">
        <v>2575792</v>
      </c>
      <c r="H6361" t="s">
        <v>14614</v>
      </c>
      <c r="J6361" s="54" t="s">
        <v>6052</v>
      </c>
      <c r="K6361" s="54">
        <v>0</v>
      </c>
      <c r="L6361" s="22" t="s">
        <v>36806</v>
      </c>
      <c r="M6361" s="22" t="s">
        <v>37289</v>
      </c>
    </row>
    <row r="6362" spans="1:13" x14ac:dyDescent="0.75">
      <c r="A6362" t="s">
        <v>14411</v>
      </c>
      <c r="B6362" t="s">
        <v>13747</v>
      </c>
      <c r="C6362" t="s">
        <v>6124</v>
      </c>
      <c r="D6362" t="s">
        <v>13748</v>
      </c>
      <c r="E6362" t="s">
        <v>14412</v>
      </c>
      <c r="F6362">
        <v>23</v>
      </c>
      <c r="G6362">
        <v>2541352</v>
      </c>
      <c r="H6362" t="s">
        <v>14413</v>
      </c>
      <c r="J6362" s="54" t="s">
        <v>6052</v>
      </c>
      <c r="K6362" s="54">
        <v>0</v>
      </c>
      <c r="L6362" s="22" t="s">
        <v>1563</v>
      </c>
      <c r="M6362" s="22" t="s">
        <v>37300</v>
      </c>
    </row>
    <row r="6363" spans="1:13" x14ac:dyDescent="0.75">
      <c r="A6363" t="s">
        <v>25860</v>
      </c>
      <c r="B6363" t="s">
        <v>13747</v>
      </c>
      <c r="C6363" t="s">
        <v>6124</v>
      </c>
      <c r="D6363" t="s">
        <v>13748</v>
      </c>
      <c r="E6363" t="s">
        <v>25861</v>
      </c>
      <c r="F6363">
        <v>14</v>
      </c>
      <c r="G6363">
        <v>2475105</v>
      </c>
      <c r="H6363" t="s">
        <v>25862</v>
      </c>
      <c r="J6363" s="54" t="s">
        <v>6052</v>
      </c>
      <c r="K6363" s="54">
        <v>0</v>
      </c>
      <c r="L6363" s="22" t="s">
        <v>1563</v>
      </c>
      <c r="M6363" s="22" t="s">
        <v>37300</v>
      </c>
    </row>
    <row r="6364" spans="1:13" x14ac:dyDescent="0.75">
      <c r="A6364" t="s">
        <v>25974</v>
      </c>
      <c r="B6364" t="s">
        <v>6475</v>
      </c>
      <c r="C6364" t="s">
        <v>6124</v>
      </c>
      <c r="D6364" t="s">
        <v>6476</v>
      </c>
      <c r="E6364" t="s">
        <v>25975</v>
      </c>
      <c r="F6364">
        <v>56</v>
      </c>
      <c r="G6364">
        <v>2546921</v>
      </c>
      <c r="H6364" t="s">
        <v>25976</v>
      </c>
      <c r="J6364" s="54" t="s">
        <v>6052</v>
      </c>
      <c r="K6364" s="54">
        <v>0</v>
      </c>
      <c r="L6364" s="22" t="s">
        <v>1563</v>
      </c>
      <c r="M6364" s="22" t="s">
        <v>37294</v>
      </c>
    </row>
    <row r="6365" spans="1:13" x14ac:dyDescent="0.75">
      <c r="A6365" t="s">
        <v>25848</v>
      </c>
      <c r="B6365" t="s">
        <v>6894</v>
      </c>
      <c r="C6365" t="s">
        <v>6124</v>
      </c>
      <c r="D6365" t="s">
        <v>6895</v>
      </c>
      <c r="E6365" t="s">
        <v>25849</v>
      </c>
      <c r="F6365">
        <v>78</v>
      </c>
      <c r="G6365">
        <v>2662207</v>
      </c>
      <c r="H6365" t="s">
        <v>25850</v>
      </c>
      <c r="J6365" s="54" t="s">
        <v>6052</v>
      </c>
      <c r="K6365" s="54">
        <v>0</v>
      </c>
      <c r="L6365" s="22" t="s">
        <v>1563</v>
      </c>
      <c r="M6365" s="22" t="s">
        <v>37293</v>
      </c>
    </row>
    <row r="6366" spans="1:13" x14ac:dyDescent="0.75">
      <c r="A6366" t="s">
        <v>25917</v>
      </c>
      <c r="B6366" t="s">
        <v>6475</v>
      </c>
      <c r="C6366" t="s">
        <v>6124</v>
      </c>
      <c r="D6366" t="s">
        <v>6476</v>
      </c>
      <c r="E6366" t="s">
        <v>25918</v>
      </c>
      <c r="F6366">
        <v>21</v>
      </c>
      <c r="G6366">
        <v>2553256</v>
      </c>
      <c r="H6366" t="s">
        <v>25919</v>
      </c>
      <c r="J6366" s="54" t="s">
        <v>6052</v>
      </c>
      <c r="K6366" s="54">
        <v>0</v>
      </c>
      <c r="L6366" s="22" t="s">
        <v>1563</v>
      </c>
      <c r="M6366" s="22" t="s">
        <v>37294</v>
      </c>
    </row>
    <row r="6367" spans="1:13" x14ac:dyDescent="0.75">
      <c r="A6367" t="s">
        <v>26079</v>
      </c>
      <c r="B6367" t="s">
        <v>7155</v>
      </c>
      <c r="C6367" t="s">
        <v>6124</v>
      </c>
      <c r="D6367" t="s">
        <v>7156</v>
      </c>
      <c r="E6367" t="s">
        <v>26080</v>
      </c>
      <c r="F6367">
        <v>23</v>
      </c>
      <c r="G6367">
        <v>2500385</v>
      </c>
      <c r="H6367" t="s">
        <v>26081</v>
      </c>
      <c r="J6367" s="54" t="s">
        <v>6052</v>
      </c>
      <c r="K6367" s="54">
        <v>0</v>
      </c>
      <c r="L6367" s="22" t="s">
        <v>36806</v>
      </c>
      <c r="M6367" s="22" t="s">
        <v>37296</v>
      </c>
    </row>
    <row r="6368" spans="1:13" x14ac:dyDescent="0.75">
      <c r="A6368" t="s">
        <v>26073</v>
      </c>
      <c r="B6368" t="s">
        <v>6475</v>
      </c>
      <c r="C6368" t="s">
        <v>6124</v>
      </c>
      <c r="D6368" t="s">
        <v>6476</v>
      </c>
      <c r="E6368" t="s">
        <v>26074</v>
      </c>
      <c r="F6368">
        <v>34</v>
      </c>
      <c r="G6368">
        <v>2458711</v>
      </c>
      <c r="H6368" t="s">
        <v>26075</v>
      </c>
      <c r="J6368" s="54" t="s">
        <v>6052</v>
      </c>
      <c r="K6368" s="54">
        <v>0</v>
      </c>
      <c r="L6368" s="22" t="s">
        <v>1563</v>
      </c>
      <c r="M6368" s="22" t="s">
        <v>37294</v>
      </c>
    </row>
    <row r="6369" spans="1:13" x14ac:dyDescent="0.75">
      <c r="A6369" t="s">
        <v>25827</v>
      </c>
      <c r="B6369" t="s">
        <v>6894</v>
      </c>
      <c r="C6369" t="s">
        <v>6124</v>
      </c>
      <c r="D6369" t="s">
        <v>6895</v>
      </c>
      <c r="E6369" t="s">
        <v>25828</v>
      </c>
      <c r="F6369">
        <v>21</v>
      </c>
      <c r="G6369">
        <v>2619734</v>
      </c>
      <c r="H6369" t="s">
        <v>25829</v>
      </c>
      <c r="J6369" s="54" t="s">
        <v>6052</v>
      </c>
      <c r="K6369" s="54">
        <v>0</v>
      </c>
      <c r="L6369" s="22" t="s">
        <v>1563</v>
      </c>
      <c r="M6369" s="22" t="s">
        <v>37293</v>
      </c>
    </row>
    <row r="6370" spans="1:13" x14ac:dyDescent="0.75">
      <c r="A6370" t="s">
        <v>21943</v>
      </c>
      <c r="B6370" t="s">
        <v>6167</v>
      </c>
      <c r="C6370" t="s">
        <v>6124</v>
      </c>
      <c r="D6370" t="s">
        <v>6168</v>
      </c>
      <c r="E6370" t="s">
        <v>21944</v>
      </c>
      <c r="F6370">
        <v>1</v>
      </c>
      <c r="G6370">
        <v>2854518</v>
      </c>
      <c r="H6370" t="s">
        <v>21945</v>
      </c>
      <c r="J6370" s="54" t="s">
        <v>6052</v>
      </c>
      <c r="K6370" s="54">
        <v>0</v>
      </c>
      <c r="L6370" s="22" t="s">
        <v>36807</v>
      </c>
      <c r="M6370" s="22" t="s">
        <v>37291</v>
      </c>
    </row>
    <row r="6371" spans="1:13" x14ac:dyDescent="0.75">
      <c r="A6371" t="s">
        <v>17986</v>
      </c>
      <c r="B6371" t="s">
        <v>6167</v>
      </c>
      <c r="C6371" t="s">
        <v>6124</v>
      </c>
      <c r="D6371" t="s">
        <v>6168</v>
      </c>
      <c r="E6371" t="s">
        <v>17987</v>
      </c>
      <c r="F6371">
        <v>2</v>
      </c>
      <c r="G6371">
        <v>2712116</v>
      </c>
      <c r="H6371" t="s">
        <v>17988</v>
      </c>
      <c r="J6371" s="54" t="s">
        <v>6052</v>
      </c>
      <c r="K6371" s="54">
        <v>0</v>
      </c>
      <c r="L6371" s="22" t="s">
        <v>36807</v>
      </c>
      <c r="M6371" s="22" t="s">
        <v>37291</v>
      </c>
    </row>
    <row r="6372" spans="1:13" x14ac:dyDescent="0.75">
      <c r="A6372" t="s">
        <v>17983</v>
      </c>
      <c r="B6372" t="s">
        <v>6167</v>
      </c>
      <c r="C6372" t="s">
        <v>6124</v>
      </c>
      <c r="D6372" t="s">
        <v>6168</v>
      </c>
      <c r="E6372" t="s">
        <v>17984</v>
      </c>
      <c r="F6372">
        <v>1</v>
      </c>
      <c r="G6372">
        <v>2746804</v>
      </c>
      <c r="H6372" t="s">
        <v>17985</v>
      </c>
      <c r="J6372" s="54" t="s">
        <v>6052</v>
      </c>
      <c r="K6372" s="54">
        <v>0</v>
      </c>
      <c r="L6372" s="22" t="s">
        <v>36807</v>
      </c>
      <c r="M6372" s="22" t="s">
        <v>37291</v>
      </c>
    </row>
    <row r="6373" spans="1:13" x14ac:dyDescent="0.75">
      <c r="A6373" t="s">
        <v>17980</v>
      </c>
      <c r="B6373" t="s">
        <v>6167</v>
      </c>
      <c r="C6373" t="s">
        <v>6124</v>
      </c>
      <c r="D6373" t="s">
        <v>6168</v>
      </c>
      <c r="E6373" t="s">
        <v>17981</v>
      </c>
      <c r="F6373">
        <v>2</v>
      </c>
      <c r="G6373">
        <v>2892590</v>
      </c>
      <c r="H6373" t="s">
        <v>17982</v>
      </c>
      <c r="J6373" s="54" t="s">
        <v>6052</v>
      </c>
      <c r="K6373" s="54">
        <v>0</v>
      </c>
      <c r="L6373" s="22" t="s">
        <v>36807</v>
      </c>
      <c r="M6373" s="22" t="s">
        <v>37291</v>
      </c>
    </row>
    <row r="6374" spans="1:13" x14ac:dyDescent="0.75">
      <c r="A6374" t="s">
        <v>17992</v>
      </c>
      <c r="B6374" t="s">
        <v>6167</v>
      </c>
      <c r="C6374" t="s">
        <v>6124</v>
      </c>
      <c r="D6374" t="s">
        <v>6168</v>
      </c>
      <c r="E6374" t="s">
        <v>17993</v>
      </c>
      <c r="F6374">
        <v>1</v>
      </c>
      <c r="G6374">
        <v>2840057</v>
      </c>
      <c r="H6374" t="s">
        <v>17994</v>
      </c>
      <c r="J6374" s="54" t="s">
        <v>6052</v>
      </c>
      <c r="K6374" s="54">
        <v>0</v>
      </c>
      <c r="L6374" s="22" t="s">
        <v>36807</v>
      </c>
      <c r="M6374" s="22" t="s">
        <v>37291</v>
      </c>
    </row>
    <row r="6375" spans="1:13" x14ac:dyDescent="0.75">
      <c r="A6375" t="s">
        <v>17989</v>
      </c>
      <c r="B6375" t="s">
        <v>6167</v>
      </c>
      <c r="C6375" t="s">
        <v>6124</v>
      </c>
      <c r="D6375" t="s">
        <v>6168</v>
      </c>
      <c r="E6375" t="s">
        <v>17990</v>
      </c>
      <c r="F6375">
        <v>1</v>
      </c>
      <c r="G6375">
        <v>2896381</v>
      </c>
      <c r="H6375" t="s">
        <v>17991</v>
      </c>
      <c r="J6375" s="54" t="s">
        <v>6052</v>
      </c>
      <c r="K6375" s="54">
        <v>0</v>
      </c>
      <c r="L6375" s="22" t="s">
        <v>36807</v>
      </c>
      <c r="M6375" s="22" t="s">
        <v>37291</v>
      </c>
    </row>
    <row r="6376" spans="1:13" x14ac:dyDescent="0.75">
      <c r="A6376" t="s">
        <v>6266</v>
      </c>
      <c r="B6376" t="s">
        <v>6167</v>
      </c>
      <c r="C6376" t="s">
        <v>6124</v>
      </c>
      <c r="D6376" t="s">
        <v>6168</v>
      </c>
      <c r="E6376" t="s">
        <v>6267</v>
      </c>
      <c r="F6376">
        <v>4</v>
      </c>
      <c r="G6376">
        <v>2917469</v>
      </c>
      <c r="H6376" t="s">
        <v>6268</v>
      </c>
      <c r="J6376" s="54" t="s">
        <v>6052</v>
      </c>
      <c r="K6376" s="54">
        <v>0</v>
      </c>
      <c r="L6376" s="22" t="s">
        <v>36807</v>
      </c>
      <c r="M6376" s="22" t="s">
        <v>37291</v>
      </c>
    </row>
    <row r="6377" spans="1:13" x14ac:dyDescent="0.75">
      <c r="A6377" t="s">
        <v>21191</v>
      </c>
      <c r="B6377" t="s">
        <v>6123</v>
      </c>
      <c r="C6377" t="s">
        <v>6124</v>
      </c>
      <c r="D6377" t="s">
        <v>6125</v>
      </c>
      <c r="E6377" t="s">
        <v>21192</v>
      </c>
      <c r="F6377">
        <v>3</v>
      </c>
      <c r="G6377">
        <v>2732697</v>
      </c>
      <c r="H6377" t="s">
        <v>21193</v>
      </c>
      <c r="J6377" s="54" t="s">
        <v>6052</v>
      </c>
      <c r="K6377" s="54">
        <v>0</v>
      </c>
      <c r="L6377" s="22" t="s">
        <v>36806</v>
      </c>
      <c r="M6377" s="22" t="s">
        <v>37290</v>
      </c>
    </row>
    <row r="6378" spans="1:13" x14ac:dyDescent="0.75">
      <c r="A6378" t="s">
        <v>21194</v>
      </c>
      <c r="B6378" t="s">
        <v>6123</v>
      </c>
      <c r="C6378" t="s">
        <v>6124</v>
      </c>
      <c r="D6378" t="s">
        <v>6125</v>
      </c>
      <c r="E6378" t="s">
        <v>21195</v>
      </c>
      <c r="F6378">
        <v>3</v>
      </c>
      <c r="G6378">
        <v>2754745</v>
      </c>
      <c r="H6378" t="s">
        <v>21196</v>
      </c>
      <c r="J6378" s="54" t="s">
        <v>6052</v>
      </c>
      <c r="K6378" s="54">
        <v>0</v>
      </c>
      <c r="L6378" s="22" t="s">
        <v>36806</v>
      </c>
      <c r="M6378" s="22" t="s">
        <v>37290</v>
      </c>
    </row>
    <row r="6379" spans="1:13" x14ac:dyDescent="0.75">
      <c r="A6379" t="s">
        <v>21197</v>
      </c>
      <c r="B6379" t="s">
        <v>6123</v>
      </c>
      <c r="C6379" t="s">
        <v>6124</v>
      </c>
      <c r="D6379" t="s">
        <v>6125</v>
      </c>
      <c r="E6379" t="s">
        <v>21198</v>
      </c>
      <c r="F6379">
        <v>3</v>
      </c>
      <c r="G6379">
        <v>2732703</v>
      </c>
      <c r="H6379" t="s">
        <v>21199</v>
      </c>
      <c r="J6379" s="54" t="s">
        <v>6052</v>
      </c>
      <c r="K6379" s="54">
        <v>0</v>
      </c>
      <c r="L6379" s="22" t="s">
        <v>36806</v>
      </c>
      <c r="M6379" s="22" t="s">
        <v>37290</v>
      </c>
    </row>
    <row r="6380" spans="1:13" x14ac:dyDescent="0.75">
      <c r="A6380" t="s">
        <v>21200</v>
      </c>
      <c r="B6380" t="s">
        <v>6123</v>
      </c>
      <c r="C6380" t="s">
        <v>6124</v>
      </c>
      <c r="D6380" t="s">
        <v>6125</v>
      </c>
      <c r="E6380" t="s">
        <v>21201</v>
      </c>
      <c r="F6380">
        <v>3</v>
      </c>
      <c r="G6380">
        <v>2751270</v>
      </c>
      <c r="H6380" t="s">
        <v>21202</v>
      </c>
      <c r="J6380" s="54" t="s">
        <v>6052</v>
      </c>
      <c r="K6380" s="54">
        <v>0</v>
      </c>
      <c r="L6380" s="22" t="s">
        <v>36806</v>
      </c>
      <c r="M6380" s="22" t="s">
        <v>37290</v>
      </c>
    </row>
    <row r="6381" spans="1:13" x14ac:dyDescent="0.75">
      <c r="A6381" t="s">
        <v>21203</v>
      </c>
      <c r="B6381" t="s">
        <v>6123</v>
      </c>
      <c r="C6381" t="s">
        <v>6124</v>
      </c>
      <c r="D6381" t="s">
        <v>6125</v>
      </c>
      <c r="E6381" t="s">
        <v>21204</v>
      </c>
      <c r="F6381">
        <v>2</v>
      </c>
      <c r="G6381">
        <v>2726247</v>
      </c>
      <c r="H6381" t="s">
        <v>21205</v>
      </c>
      <c r="J6381" s="54" t="s">
        <v>6052</v>
      </c>
      <c r="K6381" s="54">
        <v>0</v>
      </c>
      <c r="L6381" s="22" t="s">
        <v>36806</v>
      </c>
      <c r="M6381" s="22" t="s">
        <v>37290</v>
      </c>
    </row>
    <row r="6382" spans="1:13" x14ac:dyDescent="0.75">
      <c r="A6382" t="s">
        <v>21206</v>
      </c>
      <c r="B6382" t="s">
        <v>6123</v>
      </c>
      <c r="C6382" t="s">
        <v>6124</v>
      </c>
      <c r="D6382" t="s">
        <v>6125</v>
      </c>
      <c r="E6382" t="s">
        <v>21207</v>
      </c>
      <c r="F6382">
        <v>3</v>
      </c>
      <c r="G6382">
        <v>2732705</v>
      </c>
      <c r="H6382" t="s">
        <v>21208</v>
      </c>
      <c r="J6382" s="54" t="s">
        <v>6052</v>
      </c>
      <c r="K6382" s="54">
        <v>0</v>
      </c>
      <c r="L6382" s="22" t="s">
        <v>36806</v>
      </c>
      <c r="M6382" s="22" t="s">
        <v>37290</v>
      </c>
    </row>
    <row r="6383" spans="1:13" x14ac:dyDescent="0.75">
      <c r="A6383" t="s">
        <v>21209</v>
      </c>
      <c r="B6383" t="s">
        <v>6123</v>
      </c>
      <c r="C6383" t="s">
        <v>6124</v>
      </c>
      <c r="D6383" t="s">
        <v>6125</v>
      </c>
      <c r="E6383" t="s">
        <v>21210</v>
      </c>
      <c r="F6383">
        <v>3</v>
      </c>
      <c r="G6383">
        <v>2754755</v>
      </c>
      <c r="H6383" t="s">
        <v>21211</v>
      </c>
      <c r="J6383" s="54" t="s">
        <v>6052</v>
      </c>
      <c r="K6383" s="54">
        <v>0</v>
      </c>
      <c r="L6383" s="22" t="s">
        <v>36806</v>
      </c>
      <c r="M6383" s="22" t="s">
        <v>37290</v>
      </c>
    </row>
    <row r="6384" spans="1:13" x14ac:dyDescent="0.75">
      <c r="A6384" t="s">
        <v>15840</v>
      </c>
      <c r="B6384" t="s">
        <v>6195</v>
      </c>
      <c r="C6384" t="s">
        <v>6124</v>
      </c>
      <c r="D6384" t="s">
        <v>6196</v>
      </c>
      <c r="E6384" t="s">
        <v>15841</v>
      </c>
      <c r="F6384">
        <v>1</v>
      </c>
      <c r="G6384">
        <v>2699210</v>
      </c>
      <c r="H6384" t="s">
        <v>15842</v>
      </c>
      <c r="J6384" s="54" t="s">
        <v>6052</v>
      </c>
      <c r="K6384" s="54">
        <v>0</v>
      </c>
      <c r="L6384" s="22" t="s">
        <v>36807</v>
      </c>
      <c r="M6384" s="22" t="s">
        <v>37288</v>
      </c>
    </row>
    <row r="6385" spans="1:13" x14ac:dyDescent="0.75">
      <c r="A6385" t="s">
        <v>17509</v>
      </c>
      <c r="B6385" t="s">
        <v>6195</v>
      </c>
      <c r="C6385" t="s">
        <v>6124</v>
      </c>
      <c r="D6385" t="s">
        <v>6196</v>
      </c>
      <c r="E6385" t="s">
        <v>17510</v>
      </c>
      <c r="F6385">
        <v>1</v>
      </c>
      <c r="G6385">
        <v>2699292</v>
      </c>
      <c r="H6385" t="s">
        <v>17511</v>
      </c>
      <c r="J6385" s="54" t="s">
        <v>6052</v>
      </c>
      <c r="K6385" s="54">
        <v>0</v>
      </c>
      <c r="L6385" s="22" t="s">
        <v>36807</v>
      </c>
      <c r="M6385" s="22" t="s">
        <v>37288</v>
      </c>
    </row>
    <row r="6386" spans="1:13" x14ac:dyDescent="0.75">
      <c r="A6386" t="s">
        <v>8450</v>
      </c>
      <c r="B6386" t="s">
        <v>6167</v>
      </c>
      <c r="C6386" t="s">
        <v>6124</v>
      </c>
      <c r="D6386" t="s">
        <v>6168</v>
      </c>
      <c r="E6386" t="s">
        <v>8451</v>
      </c>
      <c r="F6386">
        <v>1</v>
      </c>
      <c r="G6386">
        <v>2692570</v>
      </c>
      <c r="H6386" t="s">
        <v>8452</v>
      </c>
      <c r="J6386" s="54" t="s">
        <v>6052</v>
      </c>
      <c r="K6386" s="54">
        <v>0</v>
      </c>
      <c r="L6386" s="22" t="s">
        <v>36807</v>
      </c>
      <c r="M6386" s="22" t="s">
        <v>37291</v>
      </c>
    </row>
    <row r="6387" spans="1:13" x14ac:dyDescent="0.75">
      <c r="A6387" t="s">
        <v>7889</v>
      </c>
      <c r="B6387" t="s">
        <v>7155</v>
      </c>
      <c r="C6387" t="s">
        <v>6124</v>
      </c>
      <c r="D6387" t="s">
        <v>7156</v>
      </c>
      <c r="E6387" t="s">
        <v>7890</v>
      </c>
      <c r="F6387">
        <v>38</v>
      </c>
      <c r="G6387">
        <v>2452574</v>
      </c>
      <c r="H6387" t="s">
        <v>7891</v>
      </c>
      <c r="J6387" s="54" t="s">
        <v>6052</v>
      </c>
      <c r="K6387" s="54">
        <v>0</v>
      </c>
      <c r="L6387" s="22" t="s">
        <v>36806</v>
      </c>
      <c r="M6387" s="22" t="s">
        <v>37296</v>
      </c>
    </row>
    <row r="6388" spans="1:13" x14ac:dyDescent="0.75">
      <c r="A6388" t="s">
        <v>8463</v>
      </c>
      <c r="B6388" t="s">
        <v>6475</v>
      </c>
      <c r="C6388" t="s">
        <v>6124</v>
      </c>
      <c r="D6388" t="s">
        <v>6476</v>
      </c>
      <c r="E6388" t="s">
        <v>8464</v>
      </c>
      <c r="F6388">
        <v>69</v>
      </c>
      <c r="G6388">
        <v>2524140</v>
      </c>
      <c r="H6388" t="s">
        <v>8465</v>
      </c>
      <c r="J6388" s="54" t="s">
        <v>6052</v>
      </c>
      <c r="K6388" s="54">
        <v>0</v>
      </c>
      <c r="L6388" s="22" t="s">
        <v>1563</v>
      </c>
      <c r="M6388" s="22" t="s">
        <v>37294</v>
      </c>
    </row>
    <row r="6389" spans="1:13" x14ac:dyDescent="0.75">
      <c r="A6389" t="s">
        <v>10376</v>
      </c>
      <c r="B6389" t="s">
        <v>6475</v>
      </c>
      <c r="C6389" t="s">
        <v>6124</v>
      </c>
      <c r="D6389" t="s">
        <v>6476</v>
      </c>
      <c r="E6389" t="s">
        <v>10377</v>
      </c>
      <c r="F6389">
        <v>56</v>
      </c>
      <c r="G6389">
        <v>2514513</v>
      </c>
      <c r="H6389" t="s">
        <v>10378</v>
      </c>
      <c r="J6389" s="54" t="s">
        <v>6052</v>
      </c>
      <c r="K6389" s="54">
        <v>0</v>
      </c>
      <c r="L6389" s="22" t="s">
        <v>1563</v>
      </c>
      <c r="M6389" s="22" t="s">
        <v>37294</v>
      </c>
    </row>
    <row r="6390" spans="1:13" x14ac:dyDescent="0.75">
      <c r="A6390" t="s">
        <v>10373</v>
      </c>
      <c r="B6390" t="s">
        <v>6475</v>
      </c>
      <c r="C6390" t="s">
        <v>6124</v>
      </c>
      <c r="D6390" t="s">
        <v>6476</v>
      </c>
      <c r="E6390" t="s">
        <v>10374</v>
      </c>
      <c r="F6390">
        <v>28</v>
      </c>
      <c r="G6390">
        <v>2536050</v>
      </c>
      <c r="H6390" t="s">
        <v>10375</v>
      </c>
      <c r="J6390" s="54" t="s">
        <v>6052</v>
      </c>
      <c r="K6390" s="54">
        <v>0</v>
      </c>
      <c r="L6390" s="22" t="s">
        <v>1563</v>
      </c>
      <c r="M6390" s="22" t="s">
        <v>37294</v>
      </c>
    </row>
    <row r="6391" spans="1:13" x14ac:dyDescent="0.75">
      <c r="A6391" t="s">
        <v>13507</v>
      </c>
      <c r="B6391" t="s">
        <v>6475</v>
      </c>
      <c r="C6391" t="s">
        <v>6124</v>
      </c>
      <c r="D6391" t="s">
        <v>6476</v>
      </c>
      <c r="E6391" t="s">
        <v>13508</v>
      </c>
      <c r="F6391">
        <v>15</v>
      </c>
      <c r="G6391">
        <v>2546158</v>
      </c>
      <c r="H6391" t="s">
        <v>13509</v>
      </c>
      <c r="J6391" s="54" t="s">
        <v>6052</v>
      </c>
      <c r="K6391" s="54">
        <v>0</v>
      </c>
      <c r="L6391" s="22" t="s">
        <v>1563</v>
      </c>
      <c r="M6391" s="22" t="s">
        <v>37294</v>
      </c>
    </row>
    <row r="6392" spans="1:13" x14ac:dyDescent="0.75">
      <c r="A6392" t="s">
        <v>13591</v>
      </c>
      <c r="B6392" t="s">
        <v>6475</v>
      </c>
      <c r="C6392" t="s">
        <v>6124</v>
      </c>
      <c r="D6392" t="s">
        <v>6476</v>
      </c>
      <c r="E6392" t="s">
        <v>13592</v>
      </c>
      <c r="F6392">
        <v>17</v>
      </c>
      <c r="G6392">
        <v>2570886</v>
      </c>
      <c r="H6392" t="s">
        <v>13593</v>
      </c>
      <c r="J6392" s="54" t="s">
        <v>6052</v>
      </c>
      <c r="K6392" s="54">
        <v>0</v>
      </c>
      <c r="L6392" s="22" t="s">
        <v>1563</v>
      </c>
      <c r="M6392" s="22" t="s">
        <v>37294</v>
      </c>
    </row>
    <row r="6393" spans="1:13" x14ac:dyDescent="0.75">
      <c r="A6393" t="s">
        <v>13510</v>
      </c>
      <c r="B6393" t="s">
        <v>6475</v>
      </c>
      <c r="C6393" t="s">
        <v>6124</v>
      </c>
      <c r="D6393" t="s">
        <v>6476</v>
      </c>
      <c r="E6393" t="s">
        <v>13511</v>
      </c>
      <c r="F6393">
        <v>10</v>
      </c>
      <c r="G6393">
        <v>2491642</v>
      </c>
      <c r="H6393" t="s">
        <v>13512</v>
      </c>
      <c r="J6393" s="54" t="s">
        <v>6052</v>
      </c>
      <c r="K6393" s="54">
        <v>0</v>
      </c>
      <c r="L6393" s="22" t="s">
        <v>1563</v>
      </c>
      <c r="M6393" s="22" t="s">
        <v>37294</v>
      </c>
    </row>
    <row r="6394" spans="1:13" x14ac:dyDescent="0.75">
      <c r="A6394" t="s">
        <v>13513</v>
      </c>
      <c r="B6394" t="s">
        <v>6475</v>
      </c>
      <c r="C6394" t="s">
        <v>6124</v>
      </c>
      <c r="D6394" t="s">
        <v>6476</v>
      </c>
      <c r="E6394" t="s">
        <v>13514</v>
      </c>
      <c r="F6394">
        <v>12</v>
      </c>
      <c r="G6394">
        <v>2600937</v>
      </c>
      <c r="H6394" t="s">
        <v>13515</v>
      </c>
      <c r="J6394" s="54" t="s">
        <v>6052</v>
      </c>
      <c r="K6394" s="54">
        <v>0</v>
      </c>
      <c r="L6394" s="22" t="s">
        <v>1563</v>
      </c>
      <c r="M6394" s="22" t="s">
        <v>37294</v>
      </c>
    </row>
    <row r="6395" spans="1:13" x14ac:dyDescent="0.75">
      <c r="A6395" t="s">
        <v>13597</v>
      </c>
      <c r="B6395" t="s">
        <v>6475</v>
      </c>
      <c r="C6395" t="s">
        <v>6124</v>
      </c>
      <c r="D6395" t="s">
        <v>6476</v>
      </c>
      <c r="E6395" t="s">
        <v>13598</v>
      </c>
      <c r="F6395">
        <v>11</v>
      </c>
      <c r="G6395">
        <v>2667001</v>
      </c>
      <c r="H6395" t="s">
        <v>13599</v>
      </c>
      <c r="J6395" s="54" t="s">
        <v>6052</v>
      </c>
      <c r="K6395" s="54">
        <v>0</v>
      </c>
      <c r="L6395" s="22" t="s">
        <v>1563</v>
      </c>
      <c r="M6395" s="22" t="s">
        <v>37294</v>
      </c>
    </row>
    <row r="6396" spans="1:13" x14ac:dyDescent="0.75">
      <c r="A6396" t="s">
        <v>13504</v>
      </c>
      <c r="B6396" t="s">
        <v>6475</v>
      </c>
      <c r="C6396" t="s">
        <v>6124</v>
      </c>
      <c r="D6396" t="s">
        <v>6476</v>
      </c>
      <c r="E6396" t="s">
        <v>13505</v>
      </c>
      <c r="F6396">
        <v>11</v>
      </c>
      <c r="G6396">
        <v>2579522</v>
      </c>
      <c r="H6396" t="s">
        <v>13506</v>
      </c>
      <c r="J6396" s="54" t="s">
        <v>6052</v>
      </c>
      <c r="K6396" s="54">
        <v>0</v>
      </c>
      <c r="L6396" s="22" t="s">
        <v>1563</v>
      </c>
      <c r="M6396" s="22" t="s">
        <v>37294</v>
      </c>
    </row>
    <row r="6397" spans="1:13" x14ac:dyDescent="0.75">
      <c r="A6397" t="s">
        <v>22841</v>
      </c>
      <c r="B6397" t="s">
        <v>6167</v>
      </c>
      <c r="C6397" t="s">
        <v>6124</v>
      </c>
      <c r="D6397" t="s">
        <v>6168</v>
      </c>
      <c r="E6397" t="s">
        <v>22842</v>
      </c>
      <c r="F6397">
        <v>2</v>
      </c>
      <c r="G6397">
        <v>2897139</v>
      </c>
      <c r="H6397" t="s">
        <v>22843</v>
      </c>
      <c r="J6397" s="54" t="s">
        <v>6052</v>
      </c>
      <c r="K6397" s="54">
        <v>0</v>
      </c>
      <c r="L6397" s="22" t="s">
        <v>36807</v>
      </c>
      <c r="M6397" s="22" t="s">
        <v>37291</v>
      </c>
    </row>
    <row r="6398" spans="1:13" x14ac:dyDescent="0.75">
      <c r="A6398" t="s">
        <v>10225</v>
      </c>
      <c r="B6398" t="s">
        <v>6167</v>
      </c>
      <c r="C6398" t="s">
        <v>6124</v>
      </c>
      <c r="D6398" t="s">
        <v>6168</v>
      </c>
      <c r="E6398" t="s">
        <v>10226</v>
      </c>
      <c r="F6398">
        <v>4</v>
      </c>
      <c r="G6398">
        <v>2859671</v>
      </c>
      <c r="H6398" t="s">
        <v>10227</v>
      </c>
      <c r="J6398" s="54" t="s">
        <v>6052</v>
      </c>
      <c r="K6398" s="54">
        <v>0</v>
      </c>
      <c r="L6398" s="22" t="s">
        <v>36807</v>
      </c>
      <c r="M6398" s="22" t="s">
        <v>37291</v>
      </c>
    </row>
    <row r="6399" spans="1:13" x14ac:dyDescent="0.75">
      <c r="A6399" t="s">
        <v>11419</v>
      </c>
      <c r="B6399" t="s">
        <v>6195</v>
      </c>
      <c r="C6399" t="s">
        <v>6124</v>
      </c>
      <c r="D6399" t="s">
        <v>6196</v>
      </c>
      <c r="E6399" t="s">
        <v>11420</v>
      </c>
      <c r="F6399">
        <v>42</v>
      </c>
      <c r="G6399">
        <v>2454272</v>
      </c>
      <c r="H6399" t="s">
        <v>11421</v>
      </c>
      <c r="J6399" s="54" t="s">
        <v>6052</v>
      </c>
      <c r="K6399" s="54">
        <v>0</v>
      </c>
      <c r="L6399" s="22" t="s">
        <v>36807</v>
      </c>
      <c r="M6399" s="22" t="s">
        <v>37288</v>
      </c>
    </row>
    <row r="6400" spans="1:13" x14ac:dyDescent="0.75">
      <c r="A6400" t="s">
        <v>30103</v>
      </c>
      <c r="B6400" t="s">
        <v>11784</v>
      </c>
      <c r="C6400" t="s">
        <v>6124</v>
      </c>
      <c r="D6400" t="s">
        <v>11785</v>
      </c>
      <c r="E6400" t="s">
        <v>30104</v>
      </c>
      <c r="F6400">
        <v>9</v>
      </c>
      <c r="G6400">
        <v>2251538</v>
      </c>
      <c r="H6400" t="s">
        <v>30105</v>
      </c>
      <c r="J6400" s="54" t="s">
        <v>6052</v>
      </c>
      <c r="K6400" s="54">
        <v>0</v>
      </c>
      <c r="L6400" s="22" t="s">
        <v>36805</v>
      </c>
      <c r="M6400" s="22" t="s">
        <v>37297</v>
      </c>
    </row>
    <row r="6401" spans="1:13" x14ac:dyDescent="0.75">
      <c r="A6401" t="s">
        <v>18449</v>
      </c>
      <c r="B6401" t="s">
        <v>9016</v>
      </c>
      <c r="C6401" t="s">
        <v>6124</v>
      </c>
      <c r="D6401" t="s">
        <v>9017</v>
      </c>
      <c r="E6401" t="s">
        <v>18450</v>
      </c>
      <c r="F6401">
        <v>7</v>
      </c>
      <c r="G6401">
        <v>2571966</v>
      </c>
      <c r="H6401" t="s">
        <v>18451</v>
      </c>
      <c r="J6401" s="54" t="s">
        <v>6052</v>
      </c>
      <c r="K6401" s="54">
        <v>0</v>
      </c>
      <c r="L6401" s="22" t="s">
        <v>36806</v>
      </c>
      <c r="M6401" s="22" t="s">
        <v>37289</v>
      </c>
    </row>
    <row r="6402" spans="1:13" x14ac:dyDescent="0.75">
      <c r="A6402" t="s">
        <v>23208</v>
      </c>
      <c r="B6402" t="s">
        <v>10958</v>
      </c>
      <c r="C6402" t="s">
        <v>6124</v>
      </c>
      <c r="D6402" t="s">
        <v>6928</v>
      </c>
      <c r="E6402" t="s">
        <v>23209</v>
      </c>
      <c r="F6402">
        <v>1</v>
      </c>
      <c r="G6402">
        <v>2239213</v>
      </c>
      <c r="H6402" t="s">
        <v>23210</v>
      </c>
      <c r="J6402" s="54" t="s">
        <v>6052</v>
      </c>
      <c r="K6402" s="54">
        <v>0</v>
      </c>
      <c r="L6402" s="22" t="s">
        <v>36806</v>
      </c>
      <c r="M6402" s="22" t="s">
        <v>37292</v>
      </c>
    </row>
    <row r="6403" spans="1:13" x14ac:dyDescent="0.75">
      <c r="A6403" t="s">
        <v>18985</v>
      </c>
      <c r="B6403" t="s">
        <v>9016</v>
      </c>
      <c r="C6403" t="s">
        <v>6124</v>
      </c>
      <c r="D6403" t="s">
        <v>9017</v>
      </c>
      <c r="E6403" t="s">
        <v>18986</v>
      </c>
      <c r="F6403">
        <v>3</v>
      </c>
      <c r="G6403">
        <v>2564394</v>
      </c>
      <c r="H6403" t="s">
        <v>18987</v>
      </c>
      <c r="J6403" s="54" t="s">
        <v>6052</v>
      </c>
      <c r="K6403" s="54">
        <v>0</v>
      </c>
      <c r="L6403" s="22" t="s">
        <v>36806</v>
      </c>
      <c r="M6403" s="22" t="s">
        <v>37289</v>
      </c>
    </row>
    <row r="6404" spans="1:13" x14ac:dyDescent="0.75">
      <c r="A6404" t="s">
        <v>21918</v>
      </c>
      <c r="B6404" t="s">
        <v>7155</v>
      </c>
      <c r="C6404" t="s">
        <v>6124</v>
      </c>
      <c r="D6404" t="s">
        <v>7156</v>
      </c>
      <c r="E6404" t="s">
        <v>21919</v>
      </c>
      <c r="F6404">
        <v>1</v>
      </c>
      <c r="G6404">
        <v>2565475</v>
      </c>
      <c r="H6404" t="s">
        <v>21920</v>
      </c>
      <c r="J6404" s="54" t="s">
        <v>6052</v>
      </c>
      <c r="K6404" s="54">
        <v>0</v>
      </c>
      <c r="L6404" s="22" t="s">
        <v>36806</v>
      </c>
      <c r="M6404" s="22" t="s">
        <v>37296</v>
      </c>
    </row>
    <row r="6405" spans="1:13" x14ac:dyDescent="0.75">
      <c r="A6405" t="s">
        <v>15278</v>
      </c>
      <c r="B6405" t="s">
        <v>9016</v>
      </c>
      <c r="C6405" t="s">
        <v>6124</v>
      </c>
      <c r="D6405" t="s">
        <v>9017</v>
      </c>
      <c r="E6405" t="s">
        <v>15279</v>
      </c>
      <c r="F6405">
        <v>19</v>
      </c>
      <c r="G6405">
        <v>2659581</v>
      </c>
      <c r="H6405" t="s">
        <v>15280</v>
      </c>
      <c r="J6405" s="54" t="s">
        <v>6052</v>
      </c>
      <c r="K6405" s="54">
        <v>0</v>
      </c>
      <c r="L6405" s="22" t="s">
        <v>36806</v>
      </c>
      <c r="M6405" s="22" t="s">
        <v>37289</v>
      </c>
    </row>
    <row r="6406" spans="1:13" x14ac:dyDescent="0.75">
      <c r="A6406" t="s">
        <v>18982</v>
      </c>
      <c r="B6406" t="s">
        <v>6123</v>
      </c>
      <c r="C6406" t="s">
        <v>6124</v>
      </c>
      <c r="D6406" t="s">
        <v>6125</v>
      </c>
      <c r="E6406" t="s">
        <v>18983</v>
      </c>
      <c r="F6406">
        <v>1</v>
      </c>
      <c r="G6406">
        <v>2521618</v>
      </c>
      <c r="H6406" t="s">
        <v>18984</v>
      </c>
      <c r="J6406" s="54" t="s">
        <v>6052</v>
      </c>
      <c r="K6406" s="54">
        <v>0</v>
      </c>
      <c r="L6406" s="22" t="s">
        <v>36806</v>
      </c>
      <c r="M6406" s="22" t="s">
        <v>37290</v>
      </c>
    </row>
    <row r="6407" spans="1:13" x14ac:dyDescent="0.75">
      <c r="A6407" t="s">
        <v>20303</v>
      </c>
      <c r="B6407" t="s">
        <v>6123</v>
      </c>
      <c r="C6407" t="s">
        <v>6124</v>
      </c>
      <c r="D6407" t="s">
        <v>6125</v>
      </c>
      <c r="E6407" t="s">
        <v>20304</v>
      </c>
      <c r="F6407">
        <v>4</v>
      </c>
      <c r="G6407">
        <v>2544994</v>
      </c>
      <c r="H6407" t="s">
        <v>20305</v>
      </c>
      <c r="J6407" s="54" t="s">
        <v>6052</v>
      </c>
      <c r="K6407" s="54">
        <v>0</v>
      </c>
      <c r="L6407" s="22" t="s">
        <v>36806</v>
      </c>
      <c r="M6407" s="22" t="s">
        <v>37290</v>
      </c>
    </row>
    <row r="6408" spans="1:13" x14ac:dyDescent="0.75">
      <c r="A6408" t="s">
        <v>10031</v>
      </c>
      <c r="B6408" t="s">
        <v>6167</v>
      </c>
      <c r="C6408" t="s">
        <v>6124</v>
      </c>
      <c r="D6408" t="s">
        <v>6168</v>
      </c>
      <c r="E6408" t="s">
        <v>10032</v>
      </c>
      <c r="F6408">
        <v>3</v>
      </c>
      <c r="G6408">
        <v>3018303</v>
      </c>
      <c r="H6408" t="s">
        <v>10033</v>
      </c>
      <c r="J6408" s="54" t="s">
        <v>6052</v>
      </c>
      <c r="K6408" s="54">
        <v>0</v>
      </c>
      <c r="L6408" s="22" t="s">
        <v>36807</v>
      </c>
      <c r="M6408" s="22" t="s">
        <v>37291</v>
      </c>
    </row>
    <row r="6409" spans="1:13" x14ac:dyDescent="0.75">
      <c r="A6409" t="s">
        <v>12509</v>
      </c>
      <c r="B6409" t="s">
        <v>11605</v>
      </c>
      <c r="C6409" t="s">
        <v>6380</v>
      </c>
      <c r="D6409" t="s">
        <v>11606</v>
      </c>
      <c r="E6409">
        <v>2001</v>
      </c>
      <c r="F6409">
        <v>1</v>
      </c>
      <c r="G6409">
        <v>4541729</v>
      </c>
      <c r="H6409" t="s">
        <v>12510</v>
      </c>
      <c r="J6409" s="54" t="s">
        <v>6052</v>
      </c>
      <c r="K6409" s="54">
        <v>0</v>
      </c>
      <c r="L6409" s="22" t="s">
        <v>144</v>
      </c>
      <c r="M6409" s="22" t="s">
        <v>37302</v>
      </c>
    </row>
    <row r="6410" spans="1:13" x14ac:dyDescent="0.75">
      <c r="A6410" t="s">
        <v>16616</v>
      </c>
      <c r="B6410" t="s">
        <v>6379</v>
      </c>
      <c r="C6410" t="s">
        <v>6380</v>
      </c>
      <c r="D6410" t="s">
        <v>6381</v>
      </c>
      <c r="E6410" t="s">
        <v>16617</v>
      </c>
      <c r="F6410">
        <v>1</v>
      </c>
      <c r="G6410">
        <v>4564481</v>
      </c>
      <c r="H6410" t="s">
        <v>16618</v>
      </c>
      <c r="J6410" s="54" t="s">
        <v>6052</v>
      </c>
      <c r="K6410" s="54">
        <v>0</v>
      </c>
      <c r="L6410" s="22" t="s">
        <v>963</v>
      </c>
      <c r="M6410" s="22" t="s">
        <v>37303</v>
      </c>
    </row>
    <row r="6411" spans="1:13" x14ac:dyDescent="0.75">
      <c r="A6411" t="s">
        <v>13323</v>
      </c>
      <c r="B6411" t="s">
        <v>6379</v>
      </c>
      <c r="C6411" t="s">
        <v>6380</v>
      </c>
      <c r="D6411" t="s">
        <v>6381</v>
      </c>
      <c r="E6411" t="s">
        <v>13324</v>
      </c>
      <c r="F6411">
        <v>192</v>
      </c>
      <c r="G6411">
        <v>4951541</v>
      </c>
      <c r="H6411" t="s">
        <v>13325</v>
      </c>
      <c r="J6411" s="54" t="s">
        <v>6052</v>
      </c>
      <c r="K6411" s="54">
        <v>0</v>
      </c>
      <c r="L6411" s="22" t="s">
        <v>963</v>
      </c>
      <c r="M6411" s="22" t="s">
        <v>37303</v>
      </c>
    </row>
    <row r="6412" spans="1:13" x14ac:dyDescent="0.75">
      <c r="A6412" t="s">
        <v>24206</v>
      </c>
      <c r="B6412" t="s">
        <v>6379</v>
      </c>
      <c r="C6412" t="s">
        <v>6380</v>
      </c>
      <c r="D6412" t="s">
        <v>6381</v>
      </c>
      <c r="E6412" t="s">
        <v>24207</v>
      </c>
      <c r="F6412">
        <v>71</v>
      </c>
      <c r="G6412">
        <v>4956694</v>
      </c>
      <c r="H6412" t="s">
        <v>24208</v>
      </c>
      <c r="J6412" s="54" t="s">
        <v>6052</v>
      </c>
      <c r="K6412" s="54">
        <v>0</v>
      </c>
      <c r="L6412" s="22" t="s">
        <v>963</v>
      </c>
      <c r="M6412" s="22" t="s">
        <v>37303</v>
      </c>
    </row>
    <row r="6413" spans="1:13" x14ac:dyDescent="0.75">
      <c r="A6413" t="s">
        <v>11614</v>
      </c>
      <c r="B6413" t="s">
        <v>11605</v>
      </c>
      <c r="C6413" t="s">
        <v>6380</v>
      </c>
      <c r="D6413" t="s">
        <v>11606</v>
      </c>
      <c r="E6413" t="s">
        <v>11615</v>
      </c>
      <c r="F6413">
        <v>95</v>
      </c>
      <c r="G6413">
        <v>3983487</v>
      </c>
      <c r="H6413" t="s">
        <v>11616</v>
      </c>
      <c r="J6413" s="54" t="s">
        <v>6052</v>
      </c>
      <c r="K6413" s="54">
        <v>0</v>
      </c>
      <c r="L6413" s="22" t="s">
        <v>144</v>
      </c>
      <c r="M6413" s="22" t="s">
        <v>37302</v>
      </c>
    </row>
    <row r="6414" spans="1:13" x14ac:dyDescent="0.75">
      <c r="A6414" t="s">
        <v>11604</v>
      </c>
      <c r="B6414" t="s">
        <v>11605</v>
      </c>
      <c r="C6414" t="s">
        <v>6380</v>
      </c>
      <c r="D6414" t="s">
        <v>11606</v>
      </c>
      <c r="E6414" t="s">
        <v>11607</v>
      </c>
      <c r="F6414">
        <v>12</v>
      </c>
      <c r="G6414">
        <v>4032657</v>
      </c>
      <c r="H6414" t="s">
        <v>11608</v>
      </c>
      <c r="J6414" s="54" t="s">
        <v>6052</v>
      </c>
      <c r="K6414" s="54">
        <v>0</v>
      </c>
      <c r="L6414" s="22" t="s">
        <v>144</v>
      </c>
      <c r="M6414" s="22" t="s">
        <v>37302</v>
      </c>
    </row>
    <row r="6415" spans="1:13" x14ac:dyDescent="0.75">
      <c r="A6415" t="s">
        <v>12087</v>
      </c>
      <c r="B6415" t="s">
        <v>6379</v>
      </c>
      <c r="C6415" t="s">
        <v>6380</v>
      </c>
      <c r="D6415" t="s">
        <v>6381</v>
      </c>
      <c r="E6415" t="s">
        <v>12088</v>
      </c>
      <c r="F6415">
        <v>131</v>
      </c>
      <c r="G6415">
        <v>4936723</v>
      </c>
      <c r="H6415" t="s">
        <v>12089</v>
      </c>
      <c r="J6415" s="54" t="s">
        <v>6052</v>
      </c>
      <c r="K6415" s="54">
        <v>0</v>
      </c>
      <c r="L6415" s="22" t="s">
        <v>963</v>
      </c>
      <c r="M6415" s="22" t="s">
        <v>37303</v>
      </c>
    </row>
    <row r="6416" spans="1:13" x14ac:dyDescent="0.75">
      <c r="A6416" t="s">
        <v>27292</v>
      </c>
      <c r="B6416" t="s">
        <v>6379</v>
      </c>
      <c r="C6416" t="s">
        <v>6380</v>
      </c>
      <c r="D6416" t="s">
        <v>6381</v>
      </c>
      <c r="E6416" t="s">
        <v>27293</v>
      </c>
      <c r="F6416">
        <v>1</v>
      </c>
      <c r="G6416">
        <v>5004261</v>
      </c>
      <c r="H6416" t="s">
        <v>27294</v>
      </c>
      <c r="J6416" s="54" t="s">
        <v>6052</v>
      </c>
      <c r="K6416" s="54">
        <v>0</v>
      </c>
      <c r="L6416" s="22" t="s">
        <v>963</v>
      </c>
      <c r="M6416" s="22" t="s">
        <v>37303</v>
      </c>
    </row>
    <row r="6417" spans="1:13" x14ac:dyDescent="0.75">
      <c r="A6417" t="s">
        <v>13611</v>
      </c>
      <c r="B6417" t="s">
        <v>6379</v>
      </c>
      <c r="C6417" t="s">
        <v>6380</v>
      </c>
      <c r="D6417" t="s">
        <v>6381</v>
      </c>
      <c r="E6417" t="s">
        <v>13612</v>
      </c>
      <c r="F6417">
        <v>1</v>
      </c>
      <c r="G6417">
        <v>4668743</v>
      </c>
      <c r="H6417" t="s">
        <v>13613</v>
      </c>
      <c r="J6417" s="54" t="s">
        <v>6052</v>
      </c>
      <c r="K6417" s="54">
        <v>0</v>
      </c>
      <c r="L6417" s="22" t="s">
        <v>963</v>
      </c>
      <c r="M6417" s="22" t="s">
        <v>37303</v>
      </c>
    </row>
    <row r="6418" spans="1:13" x14ac:dyDescent="0.75">
      <c r="A6418" t="s">
        <v>25287</v>
      </c>
      <c r="B6418" t="s">
        <v>11605</v>
      </c>
      <c r="C6418" t="s">
        <v>6380</v>
      </c>
      <c r="D6418" t="s">
        <v>11606</v>
      </c>
      <c r="E6418" t="s">
        <v>25288</v>
      </c>
      <c r="F6418">
        <v>270</v>
      </c>
      <c r="G6418">
        <v>4171120</v>
      </c>
      <c r="H6418" t="s">
        <v>25289</v>
      </c>
      <c r="J6418" s="54" t="s">
        <v>6052</v>
      </c>
      <c r="K6418" s="54">
        <v>0</v>
      </c>
      <c r="L6418" s="22" t="s">
        <v>144</v>
      </c>
      <c r="M6418" s="22" t="s">
        <v>37302</v>
      </c>
    </row>
    <row r="6419" spans="1:13" x14ac:dyDescent="0.75">
      <c r="A6419" t="s">
        <v>6378</v>
      </c>
      <c r="B6419" t="s">
        <v>6379</v>
      </c>
      <c r="C6419" t="s">
        <v>6380</v>
      </c>
      <c r="D6419" t="s">
        <v>6381</v>
      </c>
      <c r="E6419" t="s">
        <v>6382</v>
      </c>
      <c r="F6419">
        <v>1</v>
      </c>
      <c r="G6419">
        <v>4573969</v>
      </c>
      <c r="H6419" t="s">
        <v>6383</v>
      </c>
      <c r="J6419" s="54" t="s">
        <v>6052</v>
      </c>
      <c r="K6419" s="54">
        <v>0</v>
      </c>
      <c r="L6419" s="22" t="s">
        <v>963</v>
      </c>
      <c r="M6419" s="22" t="s">
        <v>37303</v>
      </c>
    </row>
    <row r="6420" spans="1:13" x14ac:dyDescent="0.75">
      <c r="A6420" t="s">
        <v>20461</v>
      </c>
      <c r="B6420" t="s">
        <v>11605</v>
      </c>
      <c r="C6420" t="s">
        <v>6380</v>
      </c>
      <c r="D6420" t="s">
        <v>11606</v>
      </c>
      <c r="E6420" t="s">
        <v>20462</v>
      </c>
      <c r="F6420">
        <v>21</v>
      </c>
      <c r="G6420">
        <v>4001815</v>
      </c>
      <c r="H6420" t="s">
        <v>20463</v>
      </c>
      <c r="J6420" s="54" t="s">
        <v>6052</v>
      </c>
      <c r="K6420" s="54">
        <v>0</v>
      </c>
      <c r="L6420" s="22" t="s">
        <v>144</v>
      </c>
      <c r="M6420" s="22" t="s">
        <v>37302</v>
      </c>
    </row>
    <row r="6421" spans="1:13" x14ac:dyDescent="0.75">
      <c r="A6421" t="s">
        <v>15096</v>
      </c>
      <c r="B6421" t="s">
        <v>6379</v>
      </c>
      <c r="C6421" t="s">
        <v>6380</v>
      </c>
      <c r="D6421" t="s">
        <v>6381</v>
      </c>
      <c r="E6421" t="s">
        <v>15097</v>
      </c>
      <c r="F6421">
        <v>1</v>
      </c>
      <c r="G6421">
        <v>4891004</v>
      </c>
      <c r="H6421" t="s">
        <v>15098</v>
      </c>
      <c r="J6421" s="54" t="s">
        <v>6052</v>
      </c>
      <c r="K6421" s="54">
        <v>0</v>
      </c>
      <c r="L6421" s="22" t="s">
        <v>963</v>
      </c>
      <c r="M6421" s="22" t="s">
        <v>37303</v>
      </c>
    </row>
    <row r="6422" spans="1:13" x14ac:dyDescent="0.75">
      <c r="A6422" t="s">
        <v>17053</v>
      </c>
      <c r="B6422" t="s">
        <v>6379</v>
      </c>
      <c r="C6422" t="s">
        <v>6380</v>
      </c>
      <c r="D6422" t="s">
        <v>6381</v>
      </c>
      <c r="E6422" t="s">
        <v>17054</v>
      </c>
      <c r="F6422">
        <v>1</v>
      </c>
      <c r="G6422">
        <v>4554224</v>
      </c>
      <c r="H6422" t="s">
        <v>17055</v>
      </c>
      <c r="J6422" s="54" t="s">
        <v>6052</v>
      </c>
      <c r="K6422" s="54">
        <v>0</v>
      </c>
      <c r="L6422" s="22" t="s">
        <v>963</v>
      </c>
      <c r="M6422" s="22" t="s">
        <v>37303</v>
      </c>
    </row>
    <row r="6423" spans="1:13" x14ac:dyDescent="0.75">
      <c r="A6423" t="s">
        <v>11968</v>
      </c>
      <c r="B6423" t="s">
        <v>11605</v>
      </c>
      <c r="C6423" t="s">
        <v>6380</v>
      </c>
      <c r="D6423" t="s">
        <v>11606</v>
      </c>
      <c r="E6423" t="s">
        <v>11969</v>
      </c>
      <c r="F6423">
        <v>1</v>
      </c>
      <c r="G6423">
        <v>4541594</v>
      </c>
      <c r="H6423" t="s">
        <v>11970</v>
      </c>
      <c r="J6423" s="54" t="s">
        <v>6052</v>
      </c>
      <c r="K6423" s="54">
        <v>0</v>
      </c>
      <c r="L6423" s="22" t="s">
        <v>144</v>
      </c>
      <c r="M6423" s="22" t="s">
        <v>37302</v>
      </c>
    </row>
    <row r="6424" spans="1:13" x14ac:dyDescent="0.75">
      <c r="A6424" t="s">
        <v>24860</v>
      </c>
      <c r="B6424" t="s">
        <v>7448</v>
      </c>
      <c r="C6424" t="s">
        <v>6093</v>
      </c>
      <c r="D6424" t="s">
        <v>7449</v>
      </c>
      <c r="E6424" t="s">
        <v>24861</v>
      </c>
      <c r="F6424">
        <v>61</v>
      </c>
      <c r="G6424">
        <v>2202773</v>
      </c>
      <c r="H6424" t="s">
        <v>24862</v>
      </c>
      <c r="J6424" s="54" t="s">
        <v>6052</v>
      </c>
      <c r="K6424" s="54">
        <v>0</v>
      </c>
      <c r="L6424" s="22" t="s">
        <v>104</v>
      </c>
      <c r="M6424" s="22" t="s">
        <v>37305</v>
      </c>
    </row>
    <row r="6425" spans="1:13" x14ac:dyDescent="0.75">
      <c r="A6425" t="s">
        <v>9685</v>
      </c>
      <c r="B6425" t="s">
        <v>7448</v>
      </c>
      <c r="C6425" t="s">
        <v>6093</v>
      </c>
      <c r="D6425" t="s">
        <v>7449</v>
      </c>
      <c r="E6425" t="s">
        <v>9686</v>
      </c>
      <c r="F6425">
        <v>1</v>
      </c>
      <c r="G6425">
        <v>1911706</v>
      </c>
      <c r="H6425" t="s">
        <v>9687</v>
      </c>
      <c r="J6425" s="54" t="s">
        <v>6052</v>
      </c>
      <c r="K6425" s="54">
        <v>0</v>
      </c>
      <c r="L6425" s="22" t="s">
        <v>104</v>
      </c>
      <c r="M6425" s="22" t="s">
        <v>37305</v>
      </c>
    </row>
    <row r="6426" spans="1:13" x14ac:dyDescent="0.75">
      <c r="A6426" t="s">
        <v>9688</v>
      </c>
      <c r="B6426" t="s">
        <v>7448</v>
      </c>
      <c r="C6426" t="s">
        <v>6093</v>
      </c>
      <c r="D6426" t="s">
        <v>7449</v>
      </c>
      <c r="E6426" t="s">
        <v>9689</v>
      </c>
      <c r="F6426">
        <v>1</v>
      </c>
      <c r="G6426">
        <v>2233640</v>
      </c>
      <c r="H6426" t="s">
        <v>9690</v>
      </c>
      <c r="J6426" s="54" t="s">
        <v>6052</v>
      </c>
      <c r="K6426" s="54">
        <v>0</v>
      </c>
      <c r="L6426" s="22" t="s">
        <v>104</v>
      </c>
      <c r="M6426" s="22" t="s">
        <v>37305</v>
      </c>
    </row>
    <row r="6427" spans="1:13" x14ac:dyDescent="0.75">
      <c r="A6427" t="s">
        <v>23195</v>
      </c>
      <c r="B6427" t="s">
        <v>7448</v>
      </c>
      <c r="C6427" t="s">
        <v>6093</v>
      </c>
      <c r="D6427" t="s">
        <v>7449</v>
      </c>
      <c r="E6427" t="s">
        <v>23196</v>
      </c>
      <c r="F6427">
        <v>1</v>
      </c>
      <c r="G6427">
        <v>1955308</v>
      </c>
      <c r="H6427" t="s">
        <v>23197</v>
      </c>
      <c r="J6427" s="54" t="s">
        <v>6052</v>
      </c>
      <c r="K6427" s="54">
        <v>0</v>
      </c>
      <c r="L6427" s="22" t="s">
        <v>104</v>
      </c>
      <c r="M6427" s="22" t="s">
        <v>37305</v>
      </c>
    </row>
    <row r="6428" spans="1:13" x14ac:dyDescent="0.75">
      <c r="A6428" t="s">
        <v>8534</v>
      </c>
      <c r="B6428" t="s">
        <v>7448</v>
      </c>
      <c r="C6428" t="s">
        <v>6093</v>
      </c>
      <c r="D6428" t="s">
        <v>7449</v>
      </c>
      <c r="E6428" t="s">
        <v>8535</v>
      </c>
      <c r="F6428">
        <v>83</v>
      </c>
      <c r="G6428">
        <v>2294730</v>
      </c>
      <c r="H6428" t="s">
        <v>8536</v>
      </c>
      <c r="J6428" s="54" t="s">
        <v>6052</v>
      </c>
      <c r="K6428" s="54">
        <v>0</v>
      </c>
      <c r="L6428" s="22" t="s">
        <v>104</v>
      </c>
      <c r="M6428" s="22" t="s">
        <v>37305</v>
      </c>
    </row>
    <row r="6429" spans="1:13" x14ac:dyDescent="0.75">
      <c r="A6429" t="s">
        <v>9331</v>
      </c>
      <c r="B6429" t="s">
        <v>7448</v>
      </c>
      <c r="C6429" t="s">
        <v>6093</v>
      </c>
      <c r="D6429" t="s">
        <v>7449</v>
      </c>
      <c r="E6429" t="s">
        <v>9332</v>
      </c>
      <c r="F6429">
        <v>16</v>
      </c>
      <c r="G6429">
        <v>1938196</v>
      </c>
      <c r="H6429" t="s">
        <v>9333</v>
      </c>
      <c r="J6429" s="54" t="s">
        <v>6052</v>
      </c>
      <c r="K6429" s="54">
        <v>0</v>
      </c>
      <c r="L6429" s="22" t="s">
        <v>104</v>
      </c>
      <c r="M6429" s="22" t="s">
        <v>37305</v>
      </c>
    </row>
    <row r="6430" spans="1:13" x14ac:dyDescent="0.75">
      <c r="A6430" t="s">
        <v>30047</v>
      </c>
      <c r="B6430" t="s">
        <v>7448</v>
      </c>
      <c r="C6430" t="s">
        <v>6093</v>
      </c>
      <c r="D6430" t="s">
        <v>7449</v>
      </c>
      <c r="E6430" t="s">
        <v>30048</v>
      </c>
      <c r="F6430">
        <v>27</v>
      </c>
      <c r="G6430">
        <v>1885480</v>
      </c>
      <c r="H6430" t="s">
        <v>30049</v>
      </c>
      <c r="J6430" s="54" t="s">
        <v>6052</v>
      </c>
      <c r="K6430" s="54">
        <v>0</v>
      </c>
      <c r="L6430" s="22" t="s">
        <v>104</v>
      </c>
      <c r="M6430" s="22" t="s">
        <v>37305</v>
      </c>
    </row>
    <row r="6431" spans="1:13" x14ac:dyDescent="0.75">
      <c r="A6431" t="s">
        <v>28797</v>
      </c>
      <c r="B6431" t="s">
        <v>7448</v>
      </c>
      <c r="C6431" t="s">
        <v>6093</v>
      </c>
      <c r="D6431" t="s">
        <v>7449</v>
      </c>
      <c r="E6431" t="s">
        <v>28798</v>
      </c>
      <c r="F6431">
        <v>18</v>
      </c>
      <c r="G6431">
        <v>1825544</v>
      </c>
      <c r="H6431" t="s">
        <v>28799</v>
      </c>
      <c r="J6431" s="54" t="s">
        <v>6052</v>
      </c>
      <c r="K6431" s="54">
        <v>0</v>
      </c>
      <c r="L6431" s="22" t="s">
        <v>104</v>
      </c>
      <c r="M6431" s="22" t="s">
        <v>37305</v>
      </c>
    </row>
    <row r="6432" spans="1:13" x14ac:dyDescent="0.75">
      <c r="A6432" t="s">
        <v>20186</v>
      </c>
      <c r="B6432" t="s">
        <v>7448</v>
      </c>
      <c r="C6432" t="s">
        <v>6093</v>
      </c>
      <c r="D6432" t="s">
        <v>7449</v>
      </c>
      <c r="E6432" t="s">
        <v>20187</v>
      </c>
      <c r="F6432">
        <v>1</v>
      </c>
      <c r="G6432">
        <v>2284041</v>
      </c>
      <c r="H6432" t="s">
        <v>20188</v>
      </c>
      <c r="J6432" s="54" t="s">
        <v>6052</v>
      </c>
      <c r="K6432" s="54">
        <v>0</v>
      </c>
      <c r="L6432" s="22" t="s">
        <v>104</v>
      </c>
      <c r="M6432" s="22" t="s">
        <v>37305</v>
      </c>
    </row>
    <row r="6433" spans="1:13" x14ac:dyDescent="0.75">
      <c r="A6433" t="s">
        <v>21850</v>
      </c>
      <c r="B6433" t="s">
        <v>7448</v>
      </c>
      <c r="C6433" t="s">
        <v>6093</v>
      </c>
      <c r="D6433" t="s">
        <v>7449</v>
      </c>
      <c r="E6433" t="s">
        <v>21851</v>
      </c>
      <c r="F6433">
        <v>1</v>
      </c>
      <c r="G6433">
        <v>1876334</v>
      </c>
      <c r="H6433" t="s">
        <v>21852</v>
      </c>
      <c r="J6433" s="54" t="s">
        <v>6052</v>
      </c>
      <c r="K6433" s="54">
        <v>0</v>
      </c>
      <c r="L6433" s="22" t="s">
        <v>104</v>
      </c>
      <c r="M6433" s="22" t="s">
        <v>37305</v>
      </c>
    </row>
    <row r="6434" spans="1:13" x14ac:dyDescent="0.75">
      <c r="A6434" t="s">
        <v>19838</v>
      </c>
      <c r="B6434" t="s">
        <v>7448</v>
      </c>
      <c r="C6434" t="s">
        <v>6093</v>
      </c>
      <c r="D6434" t="s">
        <v>7449</v>
      </c>
      <c r="E6434" t="s">
        <v>19839</v>
      </c>
      <c r="F6434">
        <v>17</v>
      </c>
      <c r="G6434">
        <v>1889478</v>
      </c>
      <c r="H6434" t="s">
        <v>19840</v>
      </c>
      <c r="J6434" s="54" t="s">
        <v>6052</v>
      </c>
      <c r="K6434" s="54">
        <v>0</v>
      </c>
      <c r="L6434" s="22" t="s">
        <v>104</v>
      </c>
      <c r="M6434" s="22" t="s">
        <v>37305</v>
      </c>
    </row>
    <row r="6435" spans="1:13" x14ac:dyDescent="0.75">
      <c r="A6435" t="s">
        <v>19841</v>
      </c>
      <c r="B6435" t="s">
        <v>7448</v>
      </c>
      <c r="C6435" t="s">
        <v>6093</v>
      </c>
      <c r="D6435" t="s">
        <v>7449</v>
      </c>
      <c r="E6435" t="s">
        <v>19842</v>
      </c>
      <c r="F6435">
        <v>29</v>
      </c>
      <c r="G6435">
        <v>1975024</v>
      </c>
      <c r="H6435" t="s">
        <v>19843</v>
      </c>
      <c r="J6435" s="54" t="s">
        <v>6052</v>
      </c>
      <c r="K6435" s="54">
        <v>0</v>
      </c>
      <c r="L6435" s="22" t="s">
        <v>104</v>
      </c>
      <c r="M6435" s="22" t="s">
        <v>37305</v>
      </c>
    </row>
    <row r="6436" spans="1:13" x14ac:dyDescent="0.75">
      <c r="A6436" t="s">
        <v>13097</v>
      </c>
      <c r="B6436" t="s">
        <v>7448</v>
      </c>
      <c r="C6436" t="s">
        <v>6093</v>
      </c>
      <c r="D6436" t="s">
        <v>7449</v>
      </c>
      <c r="E6436" t="s">
        <v>13098</v>
      </c>
      <c r="F6436">
        <v>44</v>
      </c>
      <c r="G6436">
        <v>1916995</v>
      </c>
      <c r="H6436" t="s">
        <v>13099</v>
      </c>
      <c r="J6436" s="54" t="s">
        <v>6052</v>
      </c>
      <c r="K6436" s="54">
        <v>0</v>
      </c>
      <c r="L6436" s="22" t="s">
        <v>104</v>
      </c>
      <c r="M6436" s="22" t="s">
        <v>37305</v>
      </c>
    </row>
    <row r="6437" spans="1:13" x14ac:dyDescent="0.75">
      <c r="A6437" t="s">
        <v>13094</v>
      </c>
      <c r="B6437" t="s">
        <v>7448</v>
      </c>
      <c r="C6437" t="s">
        <v>6093</v>
      </c>
      <c r="D6437" t="s">
        <v>7449</v>
      </c>
      <c r="E6437" t="s">
        <v>13095</v>
      </c>
      <c r="F6437">
        <v>97</v>
      </c>
      <c r="G6437">
        <v>2085882</v>
      </c>
      <c r="H6437" t="s">
        <v>13096</v>
      </c>
      <c r="J6437" s="54" t="s">
        <v>6052</v>
      </c>
      <c r="K6437" s="54">
        <v>0</v>
      </c>
      <c r="L6437" s="22" t="s">
        <v>104</v>
      </c>
      <c r="M6437" s="22" t="s">
        <v>37305</v>
      </c>
    </row>
    <row r="6438" spans="1:13" x14ac:dyDescent="0.75">
      <c r="A6438" t="s">
        <v>12912</v>
      </c>
      <c r="B6438" t="s">
        <v>7448</v>
      </c>
      <c r="C6438" t="s">
        <v>6093</v>
      </c>
      <c r="D6438" t="s">
        <v>7449</v>
      </c>
      <c r="E6438" t="s">
        <v>12913</v>
      </c>
      <c r="F6438">
        <v>76</v>
      </c>
      <c r="G6438">
        <v>1926242</v>
      </c>
      <c r="H6438" t="s">
        <v>12914</v>
      </c>
      <c r="J6438" s="54" t="s">
        <v>6052</v>
      </c>
      <c r="K6438" s="54">
        <v>0</v>
      </c>
      <c r="L6438" s="22" t="s">
        <v>104</v>
      </c>
      <c r="M6438" s="22" t="s">
        <v>37305</v>
      </c>
    </row>
    <row r="6439" spans="1:13" x14ac:dyDescent="0.75">
      <c r="A6439" t="s">
        <v>12867</v>
      </c>
      <c r="B6439" t="s">
        <v>7448</v>
      </c>
      <c r="C6439" t="s">
        <v>6093</v>
      </c>
      <c r="D6439" t="s">
        <v>7449</v>
      </c>
      <c r="E6439" t="s">
        <v>12868</v>
      </c>
      <c r="F6439">
        <v>126</v>
      </c>
      <c r="G6439">
        <v>1942366</v>
      </c>
      <c r="H6439" t="s">
        <v>12869</v>
      </c>
      <c r="J6439" s="54" t="s">
        <v>6052</v>
      </c>
      <c r="K6439" s="54">
        <v>0</v>
      </c>
      <c r="L6439" s="22" t="s">
        <v>104</v>
      </c>
      <c r="M6439" s="22" t="s">
        <v>37305</v>
      </c>
    </row>
    <row r="6440" spans="1:13" x14ac:dyDescent="0.75">
      <c r="A6440" t="s">
        <v>11601</v>
      </c>
      <c r="B6440" t="s">
        <v>7448</v>
      </c>
      <c r="C6440" t="s">
        <v>6093</v>
      </c>
      <c r="D6440" t="s">
        <v>7449</v>
      </c>
      <c r="E6440" t="s">
        <v>11602</v>
      </c>
      <c r="F6440">
        <v>1</v>
      </c>
      <c r="G6440">
        <v>1924513</v>
      </c>
      <c r="H6440" t="s">
        <v>11603</v>
      </c>
      <c r="J6440" s="54" t="s">
        <v>6052</v>
      </c>
      <c r="K6440" s="54">
        <v>0</v>
      </c>
      <c r="L6440" s="22" t="s">
        <v>104</v>
      </c>
      <c r="M6440" s="22" t="s">
        <v>37305</v>
      </c>
    </row>
    <row r="6441" spans="1:13" x14ac:dyDescent="0.75">
      <c r="A6441" t="s">
        <v>21489</v>
      </c>
      <c r="B6441" t="s">
        <v>7448</v>
      </c>
      <c r="C6441" t="s">
        <v>6093</v>
      </c>
      <c r="D6441" t="s">
        <v>7449</v>
      </c>
      <c r="E6441" t="s">
        <v>7332</v>
      </c>
      <c r="F6441">
        <v>14</v>
      </c>
      <c r="G6441">
        <v>1950501</v>
      </c>
      <c r="H6441" t="s">
        <v>21490</v>
      </c>
      <c r="J6441" s="54" t="s">
        <v>6052</v>
      </c>
      <c r="K6441" s="54">
        <v>0</v>
      </c>
      <c r="L6441" s="22" t="s">
        <v>104</v>
      </c>
      <c r="M6441" s="22" t="s">
        <v>37305</v>
      </c>
    </row>
    <row r="6442" spans="1:13" x14ac:dyDescent="0.75">
      <c r="A6442" t="s">
        <v>21484</v>
      </c>
      <c r="B6442" t="s">
        <v>7448</v>
      </c>
      <c r="C6442" t="s">
        <v>6093</v>
      </c>
      <c r="D6442" t="s">
        <v>7449</v>
      </c>
      <c r="E6442" t="s">
        <v>13609</v>
      </c>
      <c r="F6442">
        <v>13</v>
      </c>
      <c r="G6442">
        <v>1847941</v>
      </c>
      <c r="H6442" t="s">
        <v>21485</v>
      </c>
      <c r="J6442" s="54" t="s">
        <v>6052</v>
      </c>
      <c r="K6442" s="54">
        <v>0</v>
      </c>
      <c r="L6442" s="22" t="s">
        <v>104</v>
      </c>
      <c r="M6442" s="22" t="s">
        <v>37305</v>
      </c>
    </row>
    <row r="6443" spans="1:13" x14ac:dyDescent="0.75">
      <c r="A6443" t="s">
        <v>16358</v>
      </c>
      <c r="B6443" t="s">
        <v>7448</v>
      </c>
      <c r="C6443" t="s">
        <v>6093</v>
      </c>
      <c r="D6443" t="s">
        <v>7449</v>
      </c>
      <c r="E6443" t="s">
        <v>16359</v>
      </c>
      <c r="F6443">
        <v>1</v>
      </c>
      <c r="G6443">
        <v>1903815</v>
      </c>
      <c r="H6443" t="s">
        <v>16360</v>
      </c>
      <c r="J6443" s="54" t="s">
        <v>6052</v>
      </c>
      <c r="K6443" s="54">
        <v>0</v>
      </c>
      <c r="L6443" s="22" t="s">
        <v>104</v>
      </c>
      <c r="M6443" s="22" t="s">
        <v>37305</v>
      </c>
    </row>
    <row r="6444" spans="1:13" x14ac:dyDescent="0.75">
      <c r="A6444" t="s">
        <v>28667</v>
      </c>
      <c r="B6444" t="s">
        <v>7448</v>
      </c>
      <c r="C6444" t="s">
        <v>6093</v>
      </c>
      <c r="D6444" t="s">
        <v>7449</v>
      </c>
      <c r="E6444" t="s">
        <v>28668</v>
      </c>
      <c r="F6444">
        <v>28</v>
      </c>
      <c r="G6444">
        <v>1850945</v>
      </c>
      <c r="H6444" t="s">
        <v>28669</v>
      </c>
      <c r="J6444" s="54" t="s">
        <v>6052</v>
      </c>
      <c r="K6444" s="54">
        <v>0</v>
      </c>
      <c r="L6444" s="22" t="s">
        <v>104</v>
      </c>
      <c r="M6444" s="22" t="s">
        <v>37305</v>
      </c>
    </row>
    <row r="6445" spans="1:13" x14ac:dyDescent="0.75">
      <c r="A6445" t="s">
        <v>9992</v>
      </c>
      <c r="B6445" t="s">
        <v>7448</v>
      </c>
      <c r="C6445" t="s">
        <v>6093</v>
      </c>
      <c r="D6445" t="s">
        <v>7449</v>
      </c>
      <c r="E6445" t="s">
        <v>9993</v>
      </c>
      <c r="F6445">
        <v>1</v>
      </c>
      <c r="G6445">
        <v>2122284</v>
      </c>
      <c r="H6445" t="s">
        <v>9994</v>
      </c>
      <c r="J6445" s="54" t="s">
        <v>6052</v>
      </c>
      <c r="K6445" s="54">
        <v>0</v>
      </c>
      <c r="L6445" s="22" t="s">
        <v>104</v>
      </c>
      <c r="M6445" s="22" t="s">
        <v>37305</v>
      </c>
    </row>
    <row r="6446" spans="1:13" x14ac:dyDescent="0.75">
      <c r="A6446" t="s">
        <v>28271</v>
      </c>
      <c r="B6446" t="s">
        <v>7448</v>
      </c>
      <c r="C6446" t="s">
        <v>6093</v>
      </c>
      <c r="D6446" t="s">
        <v>7449</v>
      </c>
      <c r="E6446" t="s">
        <v>28272</v>
      </c>
      <c r="F6446">
        <v>18</v>
      </c>
      <c r="G6446">
        <v>1821055</v>
      </c>
      <c r="H6446" t="s">
        <v>28273</v>
      </c>
      <c r="J6446" s="54" t="s">
        <v>6052</v>
      </c>
      <c r="K6446" s="54">
        <v>0</v>
      </c>
      <c r="L6446" s="22" t="s">
        <v>104</v>
      </c>
      <c r="M6446" s="22" t="s">
        <v>37305</v>
      </c>
    </row>
    <row r="6447" spans="1:13" x14ac:dyDescent="0.75">
      <c r="A6447" t="s">
        <v>27936</v>
      </c>
      <c r="B6447" t="s">
        <v>7448</v>
      </c>
      <c r="C6447" t="s">
        <v>6093</v>
      </c>
      <c r="D6447" t="s">
        <v>7449</v>
      </c>
      <c r="E6447" t="s">
        <v>27937</v>
      </c>
      <c r="F6447">
        <v>1</v>
      </c>
      <c r="G6447">
        <v>1953654</v>
      </c>
      <c r="H6447" t="s">
        <v>27938</v>
      </c>
      <c r="J6447" s="54" t="s">
        <v>6052</v>
      </c>
      <c r="K6447" s="54">
        <v>0</v>
      </c>
      <c r="L6447" s="22" t="s">
        <v>104</v>
      </c>
      <c r="M6447" s="22" t="s">
        <v>37305</v>
      </c>
    </row>
    <row r="6448" spans="1:13" x14ac:dyDescent="0.75">
      <c r="A6448" t="s">
        <v>28106</v>
      </c>
      <c r="B6448" t="s">
        <v>7448</v>
      </c>
      <c r="C6448" t="s">
        <v>6093</v>
      </c>
      <c r="D6448" t="s">
        <v>7449</v>
      </c>
      <c r="E6448" t="s">
        <v>28107</v>
      </c>
      <c r="F6448">
        <v>1</v>
      </c>
      <c r="G6448">
        <v>1904537</v>
      </c>
      <c r="H6448" t="s">
        <v>28108</v>
      </c>
      <c r="J6448" s="54" t="s">
        <v>6052</v>
      </c>
      <c r="K6448" s="54">
        <v>0</v>
      </c>
      <c r="L6448" s="22" t="s">
        <v>104</v>
      </c>
      <c r="M6448" s="22" t="s">
        <v>37305</v>
      </c>
    </row>
    <row r="6449" spans="1:13" x14ac:dyDescent="0.75">
      <c r="A6449" t="s">
        <v>15551</v>
      </c>
      <c r="B6449" t="s">
        <v>7448</v>
      </c>
      <c r="C6449" t="s">
        <v>6093</v>
      </c>
      <c r="D6449" t="s">
        <v>7449</v>
      </c>
      <c r="E6449" t="s">
        <v>15552</v>
      </c>
      <c r="F6449">
        <v>23</v>
      </c>
      <c r="G6449">
        <v>1893088</v>
      </c>
      <c r="H6449" t="s">
        <v>15553</v>
      </c>
      <c r="J6449" s="54" t="s">
        <v>6052</v>
      </c>
      <c r="K6449" s="54">
        <v>0</v>
      </c>
      <c r="L6449" s="22" t="s">
        <v>104</v>
      </c>
      <c r="M6449" s="22" t="s">
        <v>37305</v>
      </c>
    </row>
    <row r="6450" spans="1:13" x14ac:dyDescent="0.75">
      <c r="A6450" t="s">
        <v>14756</v>
      </c>
      <c r="B6450" t="s">
        <v>7448</v>
      </c>
      <c r="C6450" t="s">
        <v>6093</v>
      </c>
      <c r="D6450" t="s">
        <v>7449</v>
      </c>
      <c r="E6450" t="s">
        <v>14757</v>
      </c>
      <c r="F6450">
        <v>14</v>
      </c>
      <c r="G6450">
        <v>1863386</v>
      </c>
      <c r="H6450" t="s">
        <v>14758</v>
      </c>
      <c r="J6450" s="54" t="s">
        <v>6052</v>
      </c>
      <c r="K6450" s="54">
        <v>0</v>
      </c>
      <c r="L6450" s="22" t="s">
        <v>104</v>
      </c>
      <c r="M6450" s="22" t="s">
        <v>37305</v>
      </c>
    </row>
    <row r="6451" spans="1:13" x14ac:dyDescent="0.75">
      <c r="A6451" t="s">
        <v>14753</v>
      </c>
      <c r="B6451" t="s">
        <v>7448</v>
      </c>
      <c r="C6451" t="s">
        <v>6093</v>
      </c>
      <c r="D6451" t="s">
        <v>7449</v>
      </c>
      <c r="E6451" t="s">
        <v>14754</v>
      </c>
      <c r="F6451">
        <v>26</v>
      </c>
      <c r="G6451">
        <v>1997328</v>
      </c>
      <c r="H6451" t="s">
        <v>14755</v>
      </c>
      <c r="J6451" s="54" t="s">
        <v>6052</v>
      </c>
      <c r="K6451" s="54">
        <v>0</v>
      </c>
      <c r="L6451" s="22" t="s">
        <v>104</v>
      </c>
      <c r="M6451" s="22" t="s">
        <v>37305</v>
      </c>
    </row>
    <row r="6452" spans="1:13" x14ac:dyDescent="0.75">
      <c r="A6452" t="s">
        <v>23108</v>
      </c>
      <c r="B6452" t="s">
        <v>7448</v>
      </c>
      <c r="C6452" t="s">
        <v>6093</v>
      </c>
      <c r="D6452" t="s">
        <v>7449</v>
      </c>
      <c r="E6452" t="s">
        <v>23109</v>
      </c>
      <c r="F6452">
        <v>17</v>
      </c>
      <c r="G6452">
        <v>1870258</v>
      </c>
      <c r="H6452" t="s">
        <v>23110</v>
      </c>
      <c r="J6452" s="54" t="s">
        <v>6052</v>
      </c>
      <c r="K6452" s="54">
        <v>0</v>
      </c>
      <c r="L6452" s="22" t="s">
        <v>104</v>
      </c>
      <c r="M6452" s="22" t="s">
        <v>37305</v>
      </c>
    </row>
    <row r="6453" spans="1:13" x14ac:dyDescent="0.75">
      <c r="A6453" t="s">
        <v>23099</v>
      </c>
      <c r="B6453" t="s">
        <v>7448</v>
      </c>
      <c r="C6453" t="s">
        <v>6093</v>
      </c>
      <c r="D6453" t="s">
        <v>7449</v>
      </c>
      <c r="E6453" t="s">
        <v>23100</v>
      </c>
      <c r="F6453">
        <v>18</v>
      </c>
      <c r="G6453">
        <v>1868094</v>
      </c>
      <c r="H6453" t="s">
        <v>23101</v>
      </c>
      <c r="J6453" s="54" t="s">
        <v>6052</v>
      </c>
      <c r="K6453" s="54">
        <v>0</v>
      </c>
      <c r="L6453" s="22" t="s">
        <v>104</v>
      </c>
      <c r="M6453" s="22" t="s">
        <v>37305</v>
      </c>
    </row>
    <row r="6454" spans="1:13" x14ac:dyDescent="0.75">
      <c r="A6454" t="s">
        <v>23054</v>
      </c>
      <c r="B6454" t="s">
        <v>7448</v>
      </c>
      <c r="C6454" t="s">
        <v>6093</v>
      </c>
      <c r="D6454" t="s">
        <v>7449</v>
      </c>
      <c r="E6454" t="s">
        <v>23055</v>
      </c>
      <c r="F6454">
        <v>27</v>
      </c>
      <c r="G6454">
        <v>1886050</v>
      </c>
      <c r="H6454" t="s">
        <v>23056</v>
      </c>
      <c r="J6454" s="54" t="s">
        <v>6052</v>
      </c>
      <c r="K6454" s="54">
        <v>0</v>
      </c>
      <c r="L6454" s="22" t="s">
        <v>104</v>
      </c>
      <c r="M6454" s="22" t="s">
        <v>37305</v>
      </c>
    </row>
    <row r="6455" spans="1:13" x14ac:dyDescent="0.75">
      <c r="A6455" t="s">
        <v>25324</v>
      </c>
      <c r="B6455" t="s">
        <v>7448</v>
      </c>
      <c r="C6455" t="s">
        <v>6093</v>
      </c>
      <c r="D6455" t="s">
        <v>7449</v>
      </c>
      <c r="E6455" t="s">
        <v>25325</v>
      </c>
      <c r="F6455">
        <v>62</v>
      </c>
      <c r="G6455">
        <v>2001769</v>
      </c>
      <c r="H6455" t="s">
        <v>25326</v>
      </c>
      <c r="J6455" s="54" t="s">
        <v>6052</v>
      </c>
      <c r="K6455" s="54">
        <v>0</v>
      </c>
      <c r="L6455" s="22" t="s">
        <v>104</v>
      </c>
      <c r="M6455" s="22" t="s">
        <v>37305</v>
      </c>
    </row>
    <row r="6456" spans="1:13" x14ac:dyDescent="0.75">
      <c r="A6456" t="s">
        <v>23015</v>
      </c>
      <c r="B6456" t="s">
        <v>7448</v>
      </c>
      <c r="C6456" t="s">
        <v>6093</v>
      </c>
      <c r="D6456" t="s">
        <v>7449</v>
      </c>
      <c r="E6456" t="s">
        <v>23016</v>
      </c>
      <c r="F6456">
        <v>62</v>
      </c>
      <c r="G6456">
        <v>2245303</v>
      </c>
      <c r="H6456" t="s">
        <v>23017</v>
      </c>
      <c r="J6456" s="54" t="s">
        <v>6052</v>
      </c>
      <c r="K6456" s="54">
        <v>0</v>
      </c>
      <c r="L6456" s="22" t="s">
        <v>104</v>
      </c>
      <c r="M6456" s="22" t="s">
        <v>37305</v>
      </c>
    </row>
    <row r="6457" spans="1:13" x14ac:dyDescent="0.75">
      <c r="A6457" t="s">
        <v>7793</v>
      </c>
      <c r="B6457" t="s">
        <v>7448</v>
      </c>
      <c r="C6457" t="s">
        <v>6093</v>
      </c>
      <c r="D6457" t="s">
        <v>7449</v>
      </c>
      <c r="E6457" t="s">
        <v>7794</v>
      </c>
      <c r="F6457">
        <v>109</v>
      </c>
      <c r="G6457">
        <v>1892386</v>
      </c>
      <c r="H6457" t="s">
        <v>7795</v>
      </c>
      <c r="J6457" s="54" t="s">
        <v>6052</v>
      </c>
      <c r="K6457" s="54">
        <v>0</v>
      </c>
      <c r="L6457" s="22" t="s">
        <v>104</v>
      </c>
      <c r="M6457" s="22" t="s">
        <v>37305</v>
      </c>
    </row>
    <row r="6458" spans="1:13" x14ac:dyDescent="0.75">
      <c r="A6458" t="s">
        <v>9906</v>
      </c>
      <c r="B6458" t="s">
        <v>7448</v>
      </c>
      <c r="C6458" t="s">
        <v>6093</v>
      </c>
      <c r="D6458" t="s">
        <v>7449</v>
      </c>
      <c r="E6458" t="s">
        <v>7794</v>
      </c>
      <c r="F6458">
        <v>24</v>
      </c>
      <c r="G6458">
        <v>1900641</v>
      </c>
      <c r="H6458" t="s">
        <v>9907</v>
      </c>
      <c r="J6458" s="54" t="s">
        <v>6052</v>
      </c>
      <c r="K6458" s="54">
        <v>0</v>
      </c>
      <c r="L6458" s="22" t="s">
        <v>104</v>
      </c>
      <c r="M6458" s="22" t="s">
        <v>37305</v>
      </c>
    </row>
    <row r="6459" spans="1:13" x14ac:dyDescent="0.75">
      <c r="A6459" t="s">
        <v>21650</v>
      </c>
      <c r="B6459" t="s">
        <v>7448</v>
      </c>
      <c r="C6459" t="s">
        <v>6093</v>
      </c>
      <c r="D6459" t="s">
        <v>7449</v>
      </c>
      <c r="E6459" t="s">
        <v>21651</v>
      </c>
      <c r="F6459">
        <v>17</v>
      </c>
      <c r="G6459">
        <v>1901435</v>
      </c>
      <c r="H6459" t="s">
        <v>21652</v>
      </c>
      <c r="J6459" s="54" t="s">
        <v>6052</v>
      </c>
      <c r="K6459" s="54">
        <v>0</v>
      </c>
      <c r="L6459" s="22" t="s">
        <v>104</v>
      </c>
      <c r="M6459" s="22" t="s">
        <v>37305</v>
      </c>
    </row>
    <row r="6460" spans="1:13" x14ac:dyDescent="0.75">
      <c r="A6460" t="s">
        <v>9910</v>
      </c>
      <c r="B6460" t="s">
        <v>7448</v>
      </c>
      <c r="C6460" t="s">
        <v>6093</v>
      </c>
      <c r="D6460" t="s">
        <v>7449</v>
      </c>
      <c r="E6460" t="s">
        <v>8566</v>
      </c>
      <c r="F6460">
        <v>30</v>
      </c>
      <c r="G6460">
        <v>1900949</v>
      </c>
      <c r="H6460" t="s">
        <v>9911</v>
      </c>
      <c r="J6460" s="54" t="s">
        <v>6052</v>
      </c>
      <c r="K6460" s="54">
        <v>0</v>
      </c>
      <c r="L6460" s="22" t="s">
        <v>104</v>
      </c>
      <c r="M6460" s="22" t="s">
        <v>37305</v>
      </c>
    </row>
    <row r="6461" spans="1:13" x14ac:dyDescent="0.75">
      <c r="A6461" t="s">
        <v>26508</v>
      </c>
      <c r="B6461" t="s">
        <v>7448</v>
      </c>
      <c r="C6461" t="s">
        <v>6093</v>
      </c>
      <c r="D6461" t="s">
        <v>7449</v>
      </c>
      <c r="E6461" t="s">
        <v>26509</v>
      </c>
      <c r="F6461">
        <v>46</v>
      </c>
      <c r="G6461">
        <v>2186043</v>
      </c>
      <c r="H6461" t="s">
        <v>26510</v>
      </c>
      <c r="J6461" s="54" t="s">
        <v>6052</v>
      </c>
      <c r="K6461" s="54">
        <v>0</v>
      </c>
      <c r="L6461" s="22" t="s">
        <v>104</v>
      </c>
      <c r="M6461" s="22" t="s">
        <v>37305</v>
      </c>
    </row>
    <row r="6462" spans="1:13" x14ac:dyDescent="0.75">
      <c r="A6462" t="s">
        <v>28167</v>
      </c>
      <c r="B6462" t="s">
        <v>7448</v>
      </c>
      <c r="C6462" t="s">
        <v>6093</v>
      </c>
      <c r="D6462" t="s">
        <v>7449</v>
      </c>
      <c r="E6462" t="s">
        <v>28168</v>
      </c>
      <c r="F6462">
        <v>49</v>
      </c>
      <c r="G6462">
        <v>1934591</v>
      </c>
      <c r="H6462" t="s">
        <v>28169</v>
      </c>
      <c r="J6462" s="54" t="s">
        <v>6052</v>
      </c>
      <c r="K6462" s="54">
        <v>0</v>
      </c>
      <c r="L6462" s="22" t="s">
        <v>104</v>
      </c>
      <c r="M6462" s="22" t="s">
        <v>37305</v>
      </c>
    </row>
    <row r="6463" spans="1:13" x14ac:dyDescent="0.75">
      <c r="A6463" t="s">
        <v>9915</v>
      </c>
      <c r="B6463" t="s">
        <v>7448</v>
      </c>
      <c r="C6463" t="s">
        <v>6093</v>
      </c>
      <c r="D6463" t="s">
        <v>7449</v>
      </c>
      <c r="E6463" t="s">
        <v>9916</v>
      </c>
      <c r="F6463">
        <v>42</v>
      </c>
      <c r="G6463">
        <v>1789216</v>
      </c>
      <c r="H6463" t="s">
        <v>9917</v>
      </c>
      <c r="J6463" s="54" t="s">
        <v>6052</v>
      </c>
      <c r="K6463" s="54">
        <v>0</v>
      </c>
      <c r="L6463" s="22" t="s">
        <v>104</v>
      </c>
      <c r="M6463" s="22" t="s">
        <v>37305</v>
      </c>
    </row>
    <row r="6464" spans="1:13" x14ac:dyDescent="0.75">
      <c r="A6464" t="s">
        <v>15534</v>
      </c>
      <c r="B6464" t="s">
        <v>7448</v>
      </c>
      <c r="C6464" t="s">
        <v>6093</v>
      </c>
      <c r="D6464" t="s">
        <v>7449</v>
      </c>
      <c r="E6464" t="s">
        <v>15535</v>
      </c>
      <c r="F6464">
        <v>47</v>
      </c>
      <c r="G6464">
        <v>1982541</v>
      </c>
      <c r="H6464" t="s">
        <v>15536</v>
      </c>
      <c r="J6464" s="54" t="s">
        <v>6052</v>
      </c>
      <c r="K6464" s="54">
        <v>0</v>
      </c>
      <c r="L6464" s="22" t="s">
        <v>104</v>
      </c>
      <c r="M6464" s="22" t="s">
        <v>37305</v>
      </c>
    </row>
    <row r="6465" spans="1:13" x14ac:dyDescent="0.75">
      <c r="A6465" t="s">
        <v>14298</v>
      </c>
      <c r="B6465" t="s">
        <v>7448</v>
      </c>
      <c r="C6465" t="s">
        <v>6093</v>
      </c>
      <c r="D6465" t="s">
        <v>7449</v>
      </c>
      <c r="E6465" t="s">
        <v>14299</v>
      </c>
      <c r="F6465">
        <v>73</v>
      </c>
      <c r="G6465">
        <v>1960871</v>
      </c>
      <c r="H6465" t="s">
        <v>14300</v>
      </c>
      <c r="J6465" s="54" t="s">
        <v>6052</v>
      </c>
      <c r="K6465" s="54">
        <v>0</v>
      </c>
      <c r="L6465" s="22" t="s">
        <v>104</v>
      </c>
      <c r="M6465" s="22" t="s">
        <v>37305</v>
      </c>
    </row>
    <row r="6466" spans="1:13" x14ac:dyDescent="0.75">
      <c r="A6466" t="s">
        <v>17437</v>
      </c>
      <c r="B6466" t="s">
        <v>7448</v>
      </c>
      <c r="C6466" t="s">
        <v>6093</v>
      </c>
      <c r="D6466" t="s">
        <v>7449</v>
      </c>
      <c r="E6466" t="s">
        <v>17438</v>
      </c>
      <c r="F6466">
        <v>44</v>
      </c>
      <c r="G6466">
        <v>1943307</v>
      </c>
      <c r="H6466" t="s">
        <v>17439</v>
      </c>
      <c r="J6466" s="54" t="s">
        <v>6052</v>
      </c>
      <c r="K6466" s="54">
        <v>0</v>
      </c>
      <c r="L6466" s="22" t="s">
        <v>104</v>
      </c>
      <c r="M6466" s="22" t="s">
        <v>37305</v>
      </c>
    </row>
    <row r="6467" spans="1:13" x14ac:dyDescent="0.75">
      <c r="A6467" t="s">
        <v>24239</v>
      </c>
      <c r="B6467" t="s">
        <v>7448</v>
      </c>
      <c r="C6467" t="s">
        <v>6093</v>
      </c>
      <c r="D6467" t="s">
        <v>7449</v>
      </c>
      <c r="E6467" t="s">
        <v>24240</v>
      </c>
      <c r="F6467">
        <v>78</v>
      </c>
      <c r="G6467">
        <v>2084610</v>
      </c>
      <c r="H6467" t="s">
        <v>24241</v>
      </c>
      <c r="J6467" s="54" t="s">
        <v>6052</v>
      </c>
      <c r="K6467" s="54">
        <v>0</v>
      </c>
      <c r="L6467" s="22" t="s">
        <v>104</v>
      </c>
      <c r="M6467" s="22" t="s">
        <v>37305</v>
      </c>
    </row>
    <row r="6468" spans="1:13" x14ac:dyDescent="0.75">
      <c r="A6468" t="s">
        <v>24233</v>
      </c>
      <c r="B6468" t="s">
        <v>7448</v>
      </c>
      <c r="C6468" t="s">
        <v>6093</v>
      </c>
      <c r="D6468" t="s">
        <v>7449</v>
      </c>
      <c r="E6468" t="s">
        <v>24234</v>
      </c>
      <c r="F6468">
        <v>28</v>
      </c>
      <c r="G6468">
        <v>1815868</v>
      </c>
      <c r="H6468" t="s">
        <v>24235</v>
      </c>
      <c r="J6468" s="54" t="s">
        <v>6052</v>
      </c>
      <c r="K6468" s="54">
        <v>0</v>
      </c>
      <c r="L6468" s="22" t="s">
        <v>104</v>
      </c>
      <c r="M6468" s="22" t="s">
        <v>37305</v>
      </c>
    </row>
    <row r="6469" spans="1:13" x14ac:dyDescent="0.75">
      <c r="A6469" t="s">
        <v>24236</v>
      </c>
      <c r="B6469" t="s">
        <v>7448</v>
      </c>
      <c r="C6469" t="s">
        <v>6093</v>
      </c>
      <c r="D6469" t="s">
        <v>7449</v>
      </c>
      <c r="E6469" t="s">
        <v>24237</v>
      </c>
      <c r="F6469">
        <v>17</v>
      </c>
      <c r="G6469">
        <v>1833499</v>
      </c>
      <c r="H6469" t="s">
        <v>24238</v>
      </c>
      <c r="J6469" s="54" t="s">
        <v>6052</v>
      </c>
      <c r="K6469" s="54">
        <v>0</v>
      </c>
      <c r="L6469" s="22" t="s">
        <v>104</v>
      </c>
      <c r="M6469" s="22" t="s">
        <v>37305</v>
      </c>
    </row>
    <row r="6470" spans="1:13" x14ac:dyDescent="0.75">
      <c r="A6470" t="s">
        <v>24230</v>
      </c>
      <c r="B6470" t="s">
        <v>7448</v>
      </c>
      <c r="C6470" t="s">
        <v>6093</v>
      </c>
      <c r="D6470" t="s">
        <v>7449</v>
      </c>
      <c r="E6470" t="s">
        <v>24231</v>
      </c>
      <c r="F6470">
        <v>33</v>
      </c>
      <c r="G6470">
        <v>1960857</v>
      </c>
      <c r="H6470" t="s">
        <v>24232</v>
      </c>
      <c r="J6470" s="54" t="s">
        <v>6052</v>
      </c>
      <c r="K6470" s="54">
        <v>0</v>
      </c>
      <c r="L6470" s="22" t="s">
        <v>104</v>
      </c>
      <c r="M6470" s="22" t="s">
        <v>37305</v>
      </c>
    </row>
    <row r="6471" spans="1:13" x14ac:dyDescent="0.75">
      <c r="A6471" t="s">
        <v>17425</v>
      </c>
      <c r="B6471" t="s">
        <v>7448</v>
      </c>
      <c r="C6471" t="s">
        <v>6093</v>
      </c>
      <c r="D6471" t="s">
        <v>7449</v>
      </c>
      <c r="E6471" t="s">
        <v>17426</v>
      </c>
      <c r="F6471">
        <v>87</v>
      </c>
      <c r="G6471">
        <v>2155037</v>
      </c>
      <c r="H6471" t="s">
        <v>17427</v>
      </c>
      <c r="J6471" s="54" t="s">
        <v>6052</v>
      </c>
      <c r="K6471" s="54">
        <v>0</v>
      </c>
      <c r="L6471" s="22" t="s">
        <v>104</v>
      </c>
      <c r="M6471" s="22" t="s">
        <v>37305</v>
      </c>
    </row>
    <row r="6472" spans="1:13" x14ac:dyDescent="0.75">
      <c r="A6472" t="s">
        <v>24242</v>
      </c>
      <c r="B6472" t="s">
        <v>7448</v>
      </c>
      <c r="C6472" t="s">
        <v>6093</v>
      </c>
      <c r="D6472" t="s">
        <v>7449</v>
      </c>
      <c r="E6472" t="s">
        <v>24243</v>
      </c>
      <c r="F6472">
        <v>270</v>
      </c>
      <c r="G6472">
        <v>2145621</v>
      </c>
      <c r="H6472" t="s">
        <v>24244</v>
      </c>
      <c r="J6472" s="54" t="s">
        <v>6052</v>
      </c>
      <c r="K6472" s="54">
        <v>0</v>
      </c>
      <c r="L6472" s="22" t="s">
        <v>104</v>
      </c>
      <c r="M6472" s="22" t="s">
        <v>37305</v>
      </c>
    </row>
    <row r="6473" spans="1:13" x14ac:dyDescent="0.75">
      <c r="A6473" t="s">
        <v>19830</v>
      </c>
      <c r="B6473" t="s">
        <v>7443</v>
      </c>
      <c r="C6473" t="s">
        <v>6093</v>
      </c>
      <c r="D6473" t="s">
        <v>7444</v>
      </c>
      <c r="E6473" t="s">
        <v>19831</v>
      </c>
      <c r="F6473">
        <v>110</v>
      </c>
      <c r="G6473">
        <v>1922598</v>
      </c>
      <c r="H6473" t="s">
        <v>19832</v>
      </c>
      <c r="J6473" s="54" t="s">
        <v>6052</v>
      </c>
      <c r="K6473" s="54">
        <v>0</v>
      </c>
      <c r="L6473" s="22" t="s">
        <v>104</v>
      </c>
      <c r="M6473" s="22" t="s">
        <v>37319</v>
      </c>
    </row>
    <row r="6474" spans="1:13" x14ac:dyDescent="0.75">
      <c r="A6474" t="s">
        <v>19766</v>
      </c>
      <c r="B6474" t="s">
        <v>7443</v>
      </c>
      <c r="C6474" t="s">
        <v>6093</v>
      </c>
      <c r="D6474" t="s">
        <v>7444</v>
      </c>
      <c r="E6474" t="s">
        <v>19767</v>
      </c>
      <c r="F6474">
        <v>16</v>
      </c>
      <c r="G6474">
        <v>2091267</v>
      </c>
      <c r="H6474" t="s">
        <v>19768</v>
      </c>
      <c r="J6474" s="54" t="s">
        <v>6052</v>
      </c>
      <c r="K6474" s="54">
        <v>0</v>
      </c>
      <c r="L6474" s="22" t="s">
        <v>104</v>
      </c>
      <c r="M6474" s="22" t="s">
        <v>37319</v>
      </c>
    </row>
    <row r="6475" spans="1:13" x14ac:dyDescent="0.75">
      <c r="A6475" t="s">
        <v>11217</v>
      </c>
      <c r="B6475" t="s">
        <v>7443</v>
      </c>
      <c r="C6475" t="s">
        <v>6093</v>
      </c>
      <c r="D6475" t="s">
        <v>7444</v>
      </c>
      <c r="E6475" t="s">
        <v>11218</v>
      </c>
      <c r="F6475">
        <v>70</v>
      </c>
      <c r="G6475">
        <v>2042733</v>
      </c>
      <c r="H6475" t="s">
        <v>11219</v>
      </c>
      <c r="J6475" s="54" t="s">
        <v>6052</v>
      </c>
      <c r="K6475" s="54">
        <v>0</v>
      </c>
      <c r="L6475" s="22" t="s">
        <v>104</v>
      </c>
      <c r="M6475" s="22" t="s">
        <v>37319</v>
      </c>
    </row>
    <row r="6476" spans="1:13" x14ac:dyDescent="0.75">
      <c r="A6476" t="s">
        <v>11270</v>
      </c>
      <c r="B6476" t="s">
        <v>7443</v>
      </c>
      <c r="C6476" t="s">
        <v>6093</v>
      </c>
      <c r="D6476" t="s">
        <v>7444</v>
      </c>
      <c r="E6476" t="s">
        <v>11271</v>
      </c>
      <c r="F6476">
        <v>29</v>
      </c>
      <c r="G6476">
        <v>2028369</v>
      </c>
      <c r="H6476" t="s">
        <v>11272</v>
      </c>
      <c r="J6476" s="54" t="s">
        <v>6052</v>
      </c>
      <c r="K6476" s="54">
        <v>0</v>
      </c>
      <c r="L6476" s="22" t="s">
        <v>104</v>
      </c>
      <c r="M6476" s="22" t="s">
        <v>37319</v>
      </c>
    </row>
    <row r="6477" spans="1:13" x14ac:dyDescent="0.75">
      <c r="A6477" t="s">
        <v>11276</v>
      </c>
      <c r="B6477" t="s">
        <v>7443</v>
      </c>
      <c r="C6477" t="s">
        <v>6093</v>
      </c>
      <c r="D6477" t="s">
        <v>7444</v>
      </c>
      <c r="E6477" t="s">
        <v>11277</v>
      </c>
      <c r="F6477">
        <v>79</v>
      </c>
      <c r="G6477">
        <v>1946641</v>
      </c>
      <c r="H6477" t="s">
        <v>11278</v>
      </c>
      <c r="J6477" s="54" t="s">
        <v>6052</v>
      </c>
      <c r="K6477" s="54">
        <v>0</v>
      </c>
      <c r="L6477" s="22" t="s">
        <v>104</v>
      </c>
      <c r="M6477" s="22" t="s">
        <v>37319</v>
      </c>
    </row>
    <row r="6478" spans="1:13" x14ac:dyDescent="0.75">
      <c r="A6478" t="s">
        <v>12021</v>
      </c>
      <c r="B6478" t="s">
        <v>7443</v>
      </c>
      <c r="C6478" t="s">
        <v>6093</v>
      </c>
      <c r="D6478" t="s">
        <v>7444</v>
      </c>
      <c r="E6478" t="s">
        <v>12022</v>
      </c>
      <c r="F6478">
        <v>1</v>
      </c>
      <c r="G6478">
        <v>1874337</v>
      </c>
      <c r="H6478" t="s">
        <v>12023</v>
      </c>
      <c r="J6478" s="54" t="s">
        <v>6052</v>
      </c>
      <c r="K6478" s="54">
        <v>0</v>
      </c>
      <c r="L6478" s="22" t="s">
        <v>104</v>
      </c>
      <c r="M6478" s="22" t="s">
        <v>37319</v>
      </c>
    </row>
    <row r="6479" spans="1:13" x14ac:dyDescent="0.75">
      <c r="A6479" t="s">
        <v>16250</v>
      </c>
      <c r="B6479" t="s">
        <v>7443</v>
      </c>
      <c r="C6479" t="s">
        <v>6093</v>
      </c>
      <c r="D6479" t="s">
        <v>7444</v>
      </c>
      <c r="E6479" t="s">
        <v>16251</v>
      </c>
      <c r="F6479">
        <v>23</v>
      </c>
      <c r="G6479">
        <v>1858755</v>
      </c>
      <c r="H6479" t="s">
        <v>16252</v>
      </c>
      <c r="J6479" s="54" t="s">
        <v>6052</v>
      </c>
      <c r="K6479" s="54">
        <v>0</v>
      </c>
      <c r="L6479" s="22" t="s">
        <v>104</v>
      </c>
      <c r="M6479" s="22" t="s">
        <v>37319</v>
      </c>
    </row>
    <row r="6480" spans="1:13" x14ac:dyDescent="0.75">
      <c r="A6480" t="s">
        <v>21913</v>
      </c>
      <c r="B6480" t="s">
        <v>11795</v>
      </c>
      <c r="C6480" t="s">
        <v>6093</v>
      </c>
      <c r="D6480" t="s">
        <v>11796</v>
      </c>
      <c r="E6480">
        <v>4078</v>
      </c>
      <c r="F6480">
        <v>1</v>
      </c>
      <c r="G6480">
        <v>1837840</v>
      </c>
      <c r="H6480" t="s">
        <v>21914</v>
      </c>
      <c r="J6480" s="54" t="s">
        <v>6052</v>
      </c>
      <c r="K6480" s="54">
        <v>0</v>
      </c>
      <c r="L6480" s="22" t="s">
        <v>1563</v>
      </c>
      <c r="M6480" s="22" t="s">
        <v>37314</v>
      </c>
    </row>
    <row r="6481" spans="1:13" x14ac:dyDescent="0.75">
      <c r="A6481" t="s">
        <v>7442</v>
      </c>
      <c r="B6481" t="s">
        <v>7443</v>
      </c>
      <c r="C6481" t="s">
        <v>6093</v>
      </c>
      <c r="D6481" t="s">
        <v>7444</v>
      </c>
      <c r="E6481" t="s">
        <v>7445</v>
      </c>
      <c r="F6481">
        <v>21</v>
      </c>
      <c r="G6481">
        <v>2129953</v>
      </c>
      <c r="H6481" t="s">
        <v>7446</v>
      </c>
      <c r="J6481" s="54" t="s">
        <v>6052</v>
      </c>
      <c r="K6481" s="54">
        <v>0</v>
      </c>
      <c r="L6481" s="22" t="s">
        <v>104</v>
      </c>
      <c r="M6481" s="22" t="s">
        <v>37319</v>
      </c>
    </row>
    <row r="6482" spans="1:13" x14ac:dyDescent="0.75">
      <c r="A6482" t="s">
        <v>7917</v>
      </c>
      <c r="B6482" t="s">
        <v>7443</v>
      </c>
      <c r="C6482" t="s">
        <v>6093</v>
      </c>
      <c r="D6482" t="s">
        <v>7444</v>
      </c>
      <c r="E6482" t="s">
        <v>7445</v>
      </c>
      <c r="F6482">
        <v>49</v>
      </c>
      <c r="G6482">
        <v>2131358</v>
      </c>
      <c r="H6482" t="s">
        <v>7918</v>
      </c>
      <c r="J6482" s="54" t="s">
        <v>6052</v>
      </c>
      <c r="K6482" s="54">
        <v>0</v>
      </c>
      <c r="L6482" s="22" t="s">
        <v>104</v>
      </c>
      <c r="M6482" s="22" t="s">
        <v>37319</v>
      </c>
    </row>
    <row r="6483" spans="1:13" x14ac:dyDescent="0.75">
      <c r="A6483" t="s">
        <v>16319</v>
      </c>
      <c r="B6483" t="s">
        <v>7443</v>
      </c>
      <c r="C6483" t="s">
        <v>6093</v>
      </c>
      <c r="D6483" t="s">
        <v>7444</v>
      </c>
      <c r="E6483" t="s">
        <v>16320</v>
      </c>
      <c r="F6483">
        <v>16</v>
      </c>
      <c r="G6483">
        <v>1943002</v>
      </c>
      <c r="H6483" t="s">
        <v>16321</v>
      </c>
      <c r="J6483" s="54" t="s">
        <v>6052</v>
      </c>
      <c r="K6483" s="54">
        <v>0</v>
      </c>
      <c r="L6483" s="22" t="s">
        <v>104</v>
      </c>
      <c r="M6483" s="22" t="s">
        <v>37319</v>
      </c>
    </row>
    <row r="6484" spans="1:13" x14ac:dyDescent="0.75">
      <c r="A6484" t="s">
        <v>16570</v>
      </c>
      <c r="B6484" t="s">
        <v>7443</v>
      </c>
      <c r="C6484" t="s">
        <v>6093</v>
      </c>
      <c r="D6484" t="s">
        <v>7444</v>
      </c>
      <c r="E6484" t="s">
        <v>16571</v>
      </c>
      <c r="F6484">
        <v>7</v>
      </c>
      <c r="G6484">
        <v>1980231</v>
      </c>
      <c r="H6484" t="s">
        <v>16572</v>
      </c>
      <c r="J6484" s="54" t="s">
        <v>6052</v>
      </c>
      <c r="K6484" s="54">
        <v>0</v>
      </c>
      <c r="L6484" s="22" t="s">
        <v>104</v>
      </c>
      <c r="M6484" s="22" t="s">
        <v>37319</v>
      </c>
    </row>
    <row r="6485" spans="1:13" x14ac:dyDescent="0.75">
      <c r="A6485" t="s">
        <v>17791</v>
      </c>
      <c r="B6485" t="s">
        <v>7443</v>
      </c>
      <c r="C6485" t="s">
        <v>6093</v>
      </c>
      <c r="D6485" t="s">
        <v>7444</v>
      </c>
      <c r="E6485" t="s">
        <v>17773</v>
      </c>
      <c r="F6485">
        <v>6</v>
      </c>
      <c r="G6485">
        <v>1980351</v>
      </c>
      <c r="H6485" t="s">
        <v>17792</v>
      </c>
      <c r="J6485" s="54" t="s">
        <v>6052</v>
      </c>
      <c r="K6485" s="54">
        <v>0</v>
      </c>
      <c r="L6485" s="22" t="s">
        <v>104</v>
      </c>
      <c r="M6485" s="22" t="s">
        <v>37319</v>
      </c>
    </row>
    <row r="6486" spans="1:13" x14ac:dyDescent="0.75">
      <c r="A6486" t="s">
        <v>19821</v>
      </c>
      <c r="B6486" t="s">
        <v>7443</v>
      </c>
      <c r="C6486" t="s">
        <v>6093</v>
      </c>
      <c r="D6486" t="s">
        <v>7444</v>
      </c>
      <c r="E6486" t="s">
        <v>19822</v>
      </c>
      <c r="F6486">
        <v>15</v>
      </c>
      <c r="G6486">
        <v>1958475</v>
      </c>
      <c r="H6486" t="s">
        <v>19823</v>
      </c>
      <c r="J6486" s="54" t="s">
        <v>6052</v>
      </c>
      <c r="K6486" s="54">
        <v>0</v>
      </c>
      <c r="L6486" s="22" t="s">
        <v>104</v>
      </c>
      <c r="M6486" s="22" t="s">
        <v>37319</v>
      </c>
    </row>
    <row r="6487" spans="1:13" x14ac:dyDescent="0.75">
      <c r="A6487" t="s">
        <v>22362</v>
      </c>
      <c r="B6487" t="s">
        <v>7443</v>
      </c>
      <c r="C6487" t="s">
        <v>6093</v>
      </c>
      <c r="D6487" t="s">
        <v>7444</v>
      </c>
      <c r="E6487" t="s">
        <v>22363</v>
      </c>
      <c r="F6487">
        <v>82</v>
      </c>
      <c r="G6487">
        <v>2000983</v>
      </c>
      <c r="H6487" t="s">
        <v>22364</v>
      </c>
      <c r="J6487" s="54" t="s">
        <v>6052</v>
      </c>
      <c r="K6487" s="54">
        <v>0</v>
      </c>
      <c r="L6487" s="22" t="s">
        <v>104</v>
      </c>
      <c r="M6487" s="22" t="s">
        <v>37319</v>
      </c>
    </row>
    <row r="6488" spans="1:13" x14ac:dyDescent="0.75">
      <c r="A6488" t="s">
        <v>16970</v>
      </c>
      <c r="B6488" t="s">
        <v>7443</v>
      </c>
      <c r="C6488" t="s">
        <v>6093</v>
      </c>
      <c r="D6488" t="s">
        <v>7444</v>
      </c>
      <c r="E6488" t="s">
        <v>16971</v>
      </c>
      <c r="F6488">
        <v>5</v>
      </c>
      <c r="G6488">
        <v>1950659</v>
      </c>
      <c r="H6488" t="s">
        <v>16972</v>
      </c>
      <c r="J6488" s="54" t="s">
        <v>6052</v>
      </c>
      <c r="K6488" s="54">
        <v>0</v>
      </c>
      <c r="L6488" s="22" t="s">
        <v>104</v>
      </c>
      <c r="M6488" s="22" t="s">
        <v>37319</v>
      </c>
    </row>
    <row r="6489" spans="1:13" x14ac:dyDescent="0.75">
      <c r="A6489" t="s">
        <v>16256</v>
      </c>
      <c r="B6489" t="s">
        <v>7443</v>
      </c>
      <c r="C6489" t="s">
        <v>6093</v>
      </c>
      <c r="D6489" t="s">
        <v>7444</v>
      </c>
      <c r="E6489" t="s">
        <v>16257</v>
      </c>
      <c r="F6489">
        <v>21</v>
      </c>
      <c r="G6489">
        <v>1924564</v>
      </c>
      <c r="H6489" t="s">
        <v>16258</v>
      </c>
      <c r="J6489" s="54" t="s">
        <v>6052</v>
      </c>
      <c r="K6489" s="54">
        <v>0</v>
      </c>
      <c r="L6489" s="22" t="s">
        <v>104</v>
      </c>
      <c r="M6489" s="22" t="s">
        <v>37319</v>
      </c>
    </row>
    <row r="6490" spans="1:13" x14ac:dyDescent="0.75">
      <c r="A6490" t="s">
        <v>22262</v>
      </c>
      <c r="B6490" t="s">
        <v>7443</v>
      </c>
      <c r="C6490" t="s">
        <v>6093</v>
      </c>
      <c r="D6490" t="s">
        <v>7444</v>
      </c>
      <c r="E6490" t="s">
        <v>22263</v>
      </c>
      <c r="F6490">
        <v>12</v>
      </c>
      <c r="G6490">
        <v>1944550</v>
      </c>
      <c r="H6490" t="s">
        <v>22264</v>
      </c>
      <c r="J6490" s="54" t="s">
        <v>6052</v>
      </c>
      <c r="K6490" s="54">
        <v>0</v>
      </c>
      <c r="L6490" s="22" t="s">
        <v>104</v>
      </c>
      <c r="M6490" s="22" t="s">
        <v>37319</v>
      </c>
    </row>
    <row r="6491" spans="1:13" x14ac:dyDescent="0.75">
      <c r="A6491" t="s">
        <v>21647</v>
      </c>
      <c r="B6491" t="s">
        <v>7443</v>
      </c>
      <c r="C6491" t="s">
        <v>6093</v>
      </c>
      <c r="D6491" t="s">
        <v>7444</v>
      </c>
      <c r="E6491" t="s">
        <v>21648</v>
      </c>
      <c r="F6491">
        <v>138</v>
      </c>
      <c r="G6491">
        <v>2183701</v>
      </c>
      <c r="H6491" t="s">
        <v>21649</v>
      </c>
      <c r="J6491" s="54" t="s">
        <v>6052</v>
      </c>
      <c r="K6491" s="54">
        <v>0</v>
      </c>
      <c r="L6491" s="22" t="s">
        <v>104</v>
      </c>
      <c r="M6491" s="22" t="s">
        <v>37319</v>
      </c>
    </row>
    <row r="6492" spans="1:13" x14ac:dyDescent="0.75">
      <c r="A6492" t="s">
        <v>21644</v>
      </c>
      <c r="B6492" t="s">
        <v>7443</v>
      </c>
      <c r="C6492" t="s">
        <v>6093</v>
      </c>
      <c r="D6492" t="s">
        <v>7444</v>
      </c>
      <c r="E6492" t="s">
        <v>21645</v>
      </c>
      <c r="F6492">
        <v>181</v>
      </c>
      <c r="G6492">
        <v>1985150</v>
      </c>
      <c r="H6492" t="s">
        <v>21646</v>
      </c>
      <c r="J6492" s="54" t="s">
        <v>6052</v>
      </c>
      <c r="K6492" s="54">
        <v>0</v>
      </c>
      <c r="L6492" s="22" t="s">
        <v>104</v>
      </c>
      <c r="M6492" s="22" t="s">
        <v>37319</v>
      </c>
    </row>
    <row r="6493" spans="1:13" x14ac:dyDescent="0.75">
      <c r="A6493" t="s">
        <v>20774</v>
      </c>
      <c r="B6493" t="s">
        <v>7443</v>
      </c>
      <c r="C6493" t="s">
        <v>6093</v>
      </c>
      <c r="D6493" t="s">
        <v>7444</v>
      </c>
      <c r="E6493" t="s">
        <v>20775</v>
      </c>
      <c r="F6493">
        <v>73</v>
      </c>
      <c r="G6493">
        <v>1909634</v>
      </c>
      <c r="H6493" t="s">
        <v>20776</v>
      </c>
      <c r="J6493" s="54" t="s">
        <v>6052</v>
      </c>
      <c r="K6493" s="54">
        <v>0</v>
      </c>
      <c r="L6493" s="22" t="s">
        <v>104</v>
      </c>
      <c r="M6493" s="22" t="s">
        <v>37319</v>
      </c>
    </row>
    <row r="6494" spans="1:13" x14ac:dyDescent="0.75">
      <c r="A6494" t="s">
        <v>28194</v>
      </c>
      <c r="B6494" t="s">
        <v>7443</v>
      </c>
      <c r="C6494" t="s">
        <v>6093</v>
      </c>
      <c r="D6494" t="s">
        <v>7444</v>
      </c>
      <c r="E6494" t="s">
        <v>28195</v>
      </c>
      <c r="F6494">
        <v>9</v>
      </c>
      <c r="G6494">
        <v>2017290</v>
      </c>
      <c r="H6494" t="s">
        <v>28196</v>
      </c>
      <c r="J6494" s="54" t="s">
        <v>6052</v>
      </c>
      <c r="K6494" s="54">
        <v>0</v>
      </c>
      <c r="L6494" s="22" t="s">
        <v>104</v>
      </c>
      <c r="M6494" s="22" t="s">
        <v>37319</v>
      </c>
    </row>
    <row r="6495" spans="1:13" x14ac:dyDescent="0.75">
      <c r="A6495" t="s">
        <v>27747</v>
      </c>
      <c r="B6495" t="s">
        <v>7443</v>
      </c>
      <c r="C6495" t="s">
        <v>6093</v>
      </c>
      <c r="D6495" t="s">
        <v>7444</v>
      </c>
      <c r="E6495" t="s">
        <v>27748</v>
      </c>
      <c r="F6495">
        <v>1</v>
      </c>
      <c r="G6495">
        <v>2161464</v>
      </c>
      <c r="H6495" t="s">
        <v>27749</v>
      </c>
      <c r="J6495" s="54" t="s">
        <v>6052</v>
      </c>
      <c r="K6495" s="54">
        <v>0</v>
      </c>
      <c r="L6495" s="22" t="s">
        <v>104</v>
      </c>
      <c r="M6495" s="22" t="s">
        <v>37319</v>
      </c>
    </row>
    <row r="6496" spans="1:13" x14ac:dyDescent="0.75">
      <c r="A6496" t="s">
        <v>16520</v>
      </c>
      <c r="B6496" t="s">
        <v>7443</v>
      </c>
      <c r="C6496" t="s">
        <v>6093</v>
      </c>
      <c r="D6496" t="s">
        <v>7444</v>
      </c>
      <c r="E6496" t="s">
        <v>16521</v>
      </c>
      <c r="F6496">
        <v>22</v>
      </c>
      <c r="G6496">
        <v>1962410</v>
      </c>
      <c r="H6496" t="s">
        <v>16522</v>
      </c>
      <c r="J6496" s="54" t="s">
        <v>6052</v>
      </c>
      <c r="K6496" s="54">
        <v>0</v>
      </c>
      <c r="L6496" s="22" t="s">
        <v>104</v>
      </c>
      <c r="M6496" s="22" t="s">
        <v>37319</v>
      </c>
    </row>
    <row r="6497" spans="1:13" x14ac:dyDescent="0.75">
      <c r="A6497" t="s">
        <v>26145</v>
      </c>
      <c r="B6497" t="s">
        <v>7443</v>
      </c>
      <c r="C6497" t="s">
        <v>6093</v>
      </c>
      <c r="D6497" t="s">
        <v>7444</v>
      </c>
      <c r="E6497" t="s">
        <v>26146</v>
      </c>
      <c r="F6497">
        <v>15</v>
      </c>
      <c r="G6497">
        <v>1899335</v>
      </c>
      <c r="H6497" t="s">
        <v>26147</v>
      </c>
      <c r="J6497" s="54" t="s">
        <v>6052</v>
      </c>
      <c r="K6497" s="54">
        <v>0</v>
      </c>
      <c r="L6497" s="22" t="s">
        <v>104</v>
      </c>
      <c r="M6497" s="22" t="s">
        <v>37319</v>
      </c>
    </row>
    <row r="6498" spans="1:13" x14ac:dyDescent="0.75">
      <c r="A6498" t="s">
        <v>25965</v>
      </c>
      <c r="B6498" t="s">
        <v>7443</v>
      </c>
      <c r="C6498" t="s">
        <v>6093</v>
      </c>
      <c r="D6498" t="s">
        <v>7444</v>
      </c>
      <c r="E6498" t="s">
        <v>25966</v>
      </c>
      <c r="F6498">
        <v>15</v>
      </c>
      <c r="G6498">
        <v>1898495</v>
      </c>
      <c r="H6498" t="s">
        <v>25967</v>
      </c>
      <c r="J6498" s="54" t="s">
        <v>6052</v>
      </c>
      <c r="K6498" s="54">
        <v>0</v>
      </c>
      <c r="L6498" s="22" t="s">
        <v>104</v>
      </c>
      <c r="M6498" s="22" t="s">
        <v>37319</v>
      </c>
    </row>
    <row r="6499" spans="1:13" x14ac:dyDescent="0.75">
      <c r="A6499" t="s">
        <v>22096</v>
      </c>
      <c r="B6499" t="s">
        <v>7443</v>
      </c>
      <c r="C6499" t="s">
        <v>6093</v>
      </c>
      <c r="D6499" t="s">
        <v>7444</v>
      </c>
      <c r="E6499" t="s">
        <v>22097</v>
      </c>
      <c r="F6499">
        <v>19</v>
      </c>
      <c r="G6499">
        <v>2100255</v>
      </c>
      <c r="H6499" t="s">
        <v>22098</v>
      </c>
      <c r="J6499" s="54" t="s">
        <v>6052</v>
      </c>
      <c r="K6499" s="54">
        <v>0</v>
      </c>
      <c r="L6499" s="22" t="s">
        <v>104</v>
      </c>
      <c r="M6499" s="22" t="s">
        <v>37319</v>
      </c>
    </row>
    <row r="6500" spans="1:13" x14ac:dyDescent="0.75">
      <c r="A6500" t="s">
        <v>21225</v>
      </c>
      <c r="B6500" t="s">
        <v>7932</v>
      </c>
      <c r="C6500" t="s">
        <v>6093</v>
      </c>
      <c r="D6500" t="s">
        <v>7933</v>
      </c>
      <c r="E6500" s="6">
        <v>1540534</v>
      </c>
      <c r="F6500">
        <v>70</v>
      </c>
      <c r="G6500">
        <v>1869421</v>
      </c>
      <c r="H6500" t="s">
        <v>21226</v>
      </c>
      <c r="J6500" s="54" t="s">
        <v>6052</v>
      </c>
      <c r="K6500" s="54">
        <v>0</v>
      </c>
      <c r="L6500" s="22" t="s">
        <v>104</v>
      </c>
      <c r="M6500" s="22" t="s">
        <v>37318</v>
      </c>
    </row>
    <row r="6501" spans="1:13" x14ac:dyDescent="0.75">
      <c r="A6501" t="s">
        <v>19815</v>
      </c>
      <c r="B6501" t="s">
        <v>7932</v>
      </c>
      <c r="C6501" t="s">
        <v>6093</v>
      </c>
      <c r="D6501" t="s">
        <v>7933</v>
      </c>
      <c r="E6501" t="s">
        <v>19816</v>
      </c>
      <c r="F6501">
        <v>10</v>
      </c>
      <c r="G6501">
        <v>1755446</v>
      </c>
      <c r="H6501" t="s">
        <v>19817</v>
      </c>
      <c r="J6501" s="54" t="s">
        <v>6052</v>
      </c>
      <c r="K6501" s="54">
        <v>0</v>
      </c>
      <c r="L6501" s="22" t="s">
        <v>104</v>
      </c>
      <c r="M6501" s="22" t="s">
        <v>37318</v>
      </c>
    </row>
    <row r="6502" spans="1:13" x14ac:dyDescent="0.75">
      <c r="A6502" t="s">
        <v>17378</v>
      </c>
      <c r="B6502" t="s">
        <v>7932</v>
      </c>
      <c r="C6502" t="s">
        <v>6093</v>
      </c>
      <c r="D6502" t="s">
        <v>7933</v>
      </c>
      <c r="E6502" t="s">
        <v>17379</v>
      </c>
      <c r="F6502">
        <v>19</v>
      </c>
      <c r="G6502">
        <v>1800973</v>
      </c>
      <c r="H6502" t="s">
        <v>17380</v>
      </c>
      <c r="J6502" s="54" t="s">
        <v>6052</v>
      </c>
      <c r="K6502" s="54">
        <v>0</v>
      </c>
      <c r="L6502" s="22" t="s">
        <v>104</v>
      </c>
      <c r="M6502" s="22" t="s">
        <v>37318</v>
      </c>
    </row>
    <row r="6503" spans="1:13" x14ac:dyDescent="0.75">
      <c r="A6503" t="s">
        <v>17395</v>
      </c>
      <c r="B6503" t="s">
        <v>7932</v>
      </c>
      <c r="C6503" t="s">
        <v>6093</v>
      </c>
      <c r="D6503" t="s">
        <v>7933</v>
      </c>
      <c r="E6503" t="s">
        <v>17396</v>
      </c>
      <c r="F6503">
        <v>15</v>
      </c>
      <c r="G6503">
        <v>1914344</v>
      </c>
      <c r="H6503" t="s">
        <v>17397</v>
      </c>
      <c r="J6503" s="54" t="s">
        <v>6052</v>
      </c>
      <c r="K6503" s="54">
        <v>0</v>
      </c>
      <c r="L6503" s="22" t="s">
        <v>104</v>
      </c>
      <c r="M6503" s="22" t="s">
        <v>37318</v>
      </c>
    </row>
    <row r="6504" spans="1:13" x14ac:dyDescent="0.75">
      <c r="A6504" t="s">
        <v>11264</v>
      </c>
      <c r="B6504" t="s">
        <v>7932</v>
      </c>
      <c r="C6504" t="s">
        <v>6093</v>
      </c>
      <c r="D6504" t="s">
        <v>7933</v>
      </c>
      <c r="E6504" t="s">
        <v>11265</v>
      </c>
      <c r="F6504">
        <v>48</v>
      </c>
      <c r="G6504">
        <v>1853071</v>
      </c>
      <c r="H6504" t="s">
        <v>11266</v>
      </c>
      <c r="J6504" s="54" t="s">
        <v>6052</v>
      </c>
      <c r="K6504" s="54">
        <v>0</v>
      </c>
      <c r="L6504" s="22" t="s">
        <v>104</v>
      </c>
      <c r="M6504" s="22" t="s">
        <v>37318</v>
      </c>
    </row>
    <row r="6505" spans="1:13" x14ac:dyDescent="0.75">
      <c r="A6505" t="s">
        <v>11294</v>
      </c>
      <c r="B6505" t="s">
        <v>7932</v>
      </c>
      <c r="C6505" t="s">
        <v>6093</v>
      </c>
      <c r="D6505" t="s">
        <v>7933</v>
      </c>
      <c r="E6505" t="s">
        <v>11295</v>
      </c>
      <c r="F6505">
        <v>60</v>
      </c>
      <c r="G6505">
        <v>2069778</v>
      </c>
      <c r="H6505" t="s">
        <v>11296</v>
      </c>
      <c r="J6505" s="54" t="s">
        <v>6052</v>
      </c>
      <c r="K6505" s="54">
        <v>0</v>
      </c>
      <c r="L6505" s="22" t="s">
        <v>104</v>
      </c>
      <c r="M6505" s="22" t="s">
        <v>37318</v>
      </c>
    </row>
    <row r="6506" spans="1:13" x14ac:dyDescent="0.75">
      <c r="A6506" t="s">
        <v>11315</v>
      </c>
      <c r="B6506" t="s">
        <v>7932</v>
      </c>
      <c r="C6506" t="s">
        <v>6093</v>
      </c>
      <c r="D6506" t="s">
        <v>7933</v>
      </c>
      <c r="E6506" t="s">
        <v>11316</v>
      </c>
      <c r="F6506">
        <v>73</v>
      </c>
      <c r="G6506">
        <v>1913462</v>
      </c>
      <c r="H6506" t="s">
        <v>11317</v>
      </c>
      <c r="J6506" s="54" t="s">
        <v>6052</v>
      </c>
      <c r="K6506" s="54">
        <v>0</v>
      </c>
      <c r="L6506" s="22" t="s">
        <v>104</v>
      </c>
      <c r="M6506" s="22" t="s">
        <v>37318</v>
      </c>
    </row>
    <row r="6507" spans="1:13" x14ac:dyDescent="0.75">
      <c r="A6507" t="s">
        <v>11327</v>
      </c>
      <c r="B6507" t="s">
        <v>7932</v>
      </c>
      <c r="C6507" t="s">
        <v>6093</v>
      </c>
      <c r="D6507" t="s">
        <v>7933</v>
      </c>
      <c r="E6507" t="s">
        <v>11328</v>
      </c>
      <c r="F6507">
        <v>124</v>
      </c>
      <c r="G6507">
        <v>2043273</v>
      </c>
      <c r="H6507" t="s">
        <v>11329</v>
      </c>
      <c r="J6507" s="54" t="s">
        <v>6052</v>
      </c>
      <c r="K6507" s="54">
        <v>0</v>
      </c>
      <c r="L6507" s="22" t="s">
        <v>104</v>
      </c>
      <c r="M6507" s="22" t="s">
        <v>37318</v>
      </c>
    </row>
    <row r="6508" spans="1:13" x14ac:dyDescent="0.75">
      <c r="A6508" t="s">
        <v>24743</v>
      </c>
      <c r="B6508" t="s">
        <v>7932</v>
      </c>
      <c r="C6508" t="s">
        <v>6093</v>
      </c>
      <c r="D6508" t="s">
        <v>7933</v>
      </c>
      <c r="E6508" t="s">
        <v>24744</v>
      </c>
      <c r="F6508">
        <v>22</v>
      </c>
      <c r="G6508">
        <v>1821433</v>
      </c>
      <c r="H6508" t="s">
        <v>24745</v>
      </c>
      <c r="J6508" s="54" t="s">
        <v>6052</v>
      </c>
      <c r="K6508" s="54">
        <v>0</v>
      </c>
      <c r="L6508" s="22" t="s">
        <v>104</v>
      </c>
      <c r="M6508" s="22" t="s">
        <v>37318</v>
      </c>
    </row>
    <row r="6509" spans="1:13" x14ac:dyDescent="0.75">
      <c r="A6509" t="s">
        <v>10176</v>
      </c>
      <c r="B6509" t="s">
        <v>7932</v>
      </c>
      <c r="C6509" t="s">
        <v>6093</v>
      </c>
      <c r="D6509" t="s">
        <v>7933</v>
      </c>
      <c r="E6509" t="s">
        <v>10177</v>
      </c>
      <c r="F6509">
        <v>17</v>
      </c>
      <c r="G6509">
        <v>1855240</v>
      </c>
      <c r="H6509" t="s">
        <v>10178</v>
      </c>
      <c r="J6509" s="54" t="s">
        <v>6052</v>
      </c>
      <c r="K6509" s="54">
        <v>0</v>
      </c>
      <c r="L6509" s="22" t="s">
        <v>104</v>
      </c>
      <c r="M6509" s="22" t="s">
        <v>37318</v>
      </c>
    </row>
    <row r="6510" spans="1:13" x14ac:dyDescent="0.75">
      <c r="A6510" t="s">
        <v>17375</v>
      </c>
      <c r="B6510" t="s">
        <v>7932</v>
      </c>
      <c r="C6510" t="s">
        <v>6093</v>
      </c>
      <c r="D6510" t="s">
        <v>7933</v>
      </c>
      <c r="E6510" t="s">
        <v>17376</v>
      </c>
      <c r="F6510">
        <v>43</v>
      </c>
      <c r="G6510">
        <v>1867902</v>
      </c>
      <c r="H6510" t="s">
        <v>17377</v>
      </c>
      <c r="J6510" s="54" t="s">
        <v>6052</v>
      </c>
      <c r="K6510" s="54">
        <v>0</v>
      </c>
      <c r="L6510" s="22" t="s">
        <v>104</v>
      </c>
      <c r="M6510" s="22" t="s">
        <v>37318</v>
      </c>
    </row>
    <row r="6511" spans="1:13" x14ac:dyDescent="0.75">
      <c r="A6511" t="s">
        <v>9679</v>
      </c>
      <c r="B6511" t="s">
        <v>7932</v>
      </c>
      <c r="C6511" t="s">
        <v>6093</v>
      </c>
      <c r="D6511" t="s">
        <v>7933</v>
      </c>
      <c r="E6511" t="s">
        <v>9680</v>
      </c>
      <c r="F6511">
        <v>1</v>
      </c>
      <c r="G6511">
        <v>1991156</v>
      </c>
      <c r="H6511" t="s">
        <v>9681</v>
      </c>
      <c r="J6511" s="54" t="s">
        <v>6052</v>
      </c>
      <c r="K6511" s="54">
        <v>0</v>
      </c>
      <c r="L6511" s="22" t="s">
        <v>104</v>
      </c>
      <c r="M6511" s="22" t="s">
        <v>37318</v>
      </c>
    </row>
    <row r="6512" spans="1:13" x14ac:dyDescent="0.75">
      <c r="A6512" t="s">
        <v>9676</v>
      </c>
      <c r="B6512" t="s">
        <v>7932</v>
      </c>
      <c r="C6512" t="s">
        <v>6093</v>
      </c>
      <c r="D6512" t="s">
        <v>7933</v>
      </c>
      <c r="E6512" t="s">
        <v>9677</v>
      </c>
      <c r="F6512">
        <v>1</v>
      </c>
      <c r="G6512">
        <v>1935414</v>
      </c>
      <c r="H6512" t="s">
        <v>9678</v>
      </c>
      <c r="J6512" s="54" t="s">
        <v>6052</v>
      </c>
      <c r="K6512" s="54">
        <v>0</v>
      </c>
      <c r="L6512" s="22" t="s">
        <v>104</v>
      </c>
      <c r="M6512" s="22" t="s">
        <v>37318</v>
      </c>
    </row>
    <row r="6513" spans="1:13" x14ac:dyDescent="0.75">
      <c r="A6513" t="s">
        <v>9682</v>
      </c>
      <c r="B6513" t="s">
        <v>7932</v>
      </c>
      <c r="C6513" t="s">
        <v>6093</v>
      </c>
      <c r="D6513" t="s">
        <v>7933</v>
      </c>
      <c r="E6513" t="s">
        <v>9683</v>
      </c>
      <c r="F6513">
        <v>1</v>
      </c>
      <c r="G6513">
        <v>1935662</v>
      </c>
      <c r="H6513" t="s">
        <v>9684</v>
      </c>
      <c r="J6513" s="54" t="s">
        <v>6052</v>
      </c>
      <c r="K6513" s="54">
        <v>0</v>
      </c>
      <c r="L6513" s="22" t="s">
        <v>104</v>
      </c>
      <c r="M6513" s="22" t="s">
        <v>37318</v>
      </c>
    </row>
    <row r="6514" spans="1:13" x14ac:dyDescent="0.75">
      <c r="A6514" t="s">
        <v>23192</v>
      </c>
      <c r="B6514" t="s">
        <v>7932</v>
      </c>
      <c r="C6514" t="s">
        <v>6093</v>
      </c>
      <c r="D6514" t="s">
        <v>7933</v>
      </c>
      <c r="E6514" t="s">
        <v>23193</v>
      </c>
      <c r="F6514">
        <v>1</v>
      </c>
      <c r="G6514">
        <v>1901581</v>
      </c>
      <c r="H6514" t="s">
        <v>23194</v>
      </c>
      <c r="J6514" s="54" t="s">
        <v>6052</v>
      </c>
      <c r="K6514" s="54">
        <v>0</v>
      </c>
      <c r="L6514" s="22" t="s">
        <v>104</v>
      </c>
      <c r="M6514" s="22" t="s">
        <v>37318</v>
      </c>
    </row>
    <row r="6515" spans="1:13" x14ac:dyDescent="0.75">
      <c r="A6515" t="s">
        <v>9912</v>
      </c>
      <c r="B6515" t="s">
        <v>7932</v>
      </c>
      <c r="C6515" t="s">
        <v>6093</v>
      </c>
      <c r="D6515" t="s">
        <v>7933</v>
      </c>
      <c r="E6515" t="s">
        <v>9913</v>
      </c>
      <c r="F6515">
        <v>66</v>
      </c>
      <c r="G6515">
        <v>1950566</v>
      </c>
      <c r="H6515" t="s">
        <v>9914</v>
      </c>
      <c r="J6515" s="54" t="s">
        <v>6052</v>
      </c>
      <c r="K6515" s="54">
        <v>0</v>
      </c>
      <c r="L6515" s="22" t="s">
        <v>104</v>
      </c>
      <c r="M6515" s="22" t="s">
        <v>37318</v>
      </c>
    </row>
    <row r="6516" spans="1:13" x14ac:dyDescent="0.75">
      <c r="A6516" t="s">
        <v>19780</v>
      </c>
      <c r="B6516" t="s">
        <v>7932</v>
      </c>
      <c r="C6516" t="s">
        <v>6093</v>
      </c>
      <c r="D6516" t="s">
        <v>7933</v>
      </c>
      <c r="E6516" t="s">
        <v>19781</v>
      </c>
      <c r="F6516">
        <v>93</v>
      </c>
      <c r="G6516">
        <v>1863546</v>
      </c>
      <c r="H6516" t="s">
        <v>19782</v>
      </c>
      <c r="J6516" s="54" t="s">
        <v>6052</v>
      </c>
      <c r="K6516" s="54">
        <v>0</v>
      </c>
      <c r="L6516" s="22" t="s">
        <v>104</v>
      </c>
      <c r="M6516" s="22" t="s">
        <v>37318</v>
      </c>
    </row>
    <row r="6517" spans="1:13" x14ac:dyDescent="0.75">
      <c r="A6517" t="s">
        <v>12002</v>
      </c>
      <c r="B6517" t="s">
        <v>7932</v>
      </c>
      <c r="C6517" t="s">
        <v>6093</v>
      </c>
      <c r="D6517" t="s">
        <v>7933</v>
      </c>
      <c r="E6517" t="s">
        <v>12003</v>
      </c>
      <c r="F6517">
        <v>110</v>
      </c>
      <c r="G6517">
        <v>1856848</v>
      </c>
      <c r="H6517" t="s">
        <v>12004</v>
      </c>
      <c r="J6517" s="54" t="s">
        <v>6052</v>
      </c>
      <c r="K6517" s="54">
        <v>0</v>
      </c>
      <c r="L6517" s="22" t="s">
        <v>104</v>
      </c>
      <c r="M6517" s="22" t="s">
        <v>37318</v>
      </c>
    </row>
    <row r="6518" spans="1:13" x14ac:dyDescent="0.75">
      <c r="A6518" t="s">
        <v>8287</v>
      </c>
      <c r="B6518" t="s">
        <v>7932</v>
      </c>
      <c r="C6518" t="s">
        <v>6093</v>
      </c>
      <c r="D6518" t="s">
        <v>7933</v>
      </c>
      <c r="E6518" t="s">
        <v>8288</v>
      </c>
      <c r="F6518">
        <v>22</v>
      </c>
      <c r="G6518">
        <v>1934050</v>
      </c>
      <c r="H6518" t="s">
        <v>8289</v>
      </c>
      <c r="J6518" s="54" t="s">
        <v>6052</v>
      </c>
      <c r="K6518" s="54">
        <v>0</v>
      </c>
      <c r="L6518" s="22" t="s">
        <v>104</v>
      </c>
      <c r="M6518" s="22" t="s">
        <v>37318</v>
      </c>
    </row>
    <row r="6519" spans="1:13" x14ac:dyDescent="0.75">
      <c r="A6519" t="s">
        <v>20053</v>
      </c>
      <c r="B6519" t="s">
        <v>7932</v>
      </c>
      <c r="C6519" t="s">
        <v>6093</v>
      </c>
      <c r="D6519" t="s">
        <v>7933</v>
      </c>
      <c r="E6519" t="s">
        <v>20054</v>
      </c>
      <c r="F6519">
        <v>1</v>
      </c>
      <c r="G6519">
        <v>2038583</v>
      </c>
      <c r="H6519" t="s">
        <v>20055</v>
      </c>
      <c r="J6519" s="54" t="s">
        <v>6052</v>
      </c>
      <c r="K6519" s="54">
        <v>0</v>
      </c>
      <c r="L6519" s="22" t="s">
        <v>104</v>
      </c>
      <c r="M6519" s="22" t="s">
        <v>37318</v>
      </c>
    </row>
    <row r="6520" spans="1:13" x14ac:dyDescent="0.75">
      <c r="A6520" t="s">
        <v>20183</v>
      </c>
      <c r="B6520" t="s">
        <v>7932</v>
      </c>
      <c r="C6520" t="s">
        <v>6093</v>
      </c>
      <c r="D6520" t="s">
        <v>7933</v>
      </c>
      <c r="E6520" t="s">
        <v>20184</v>
      </c>
      <c r="F6520">
        <v>1</v>
      </c>
      <c r="G6520">
        <v>1903262</v>
      </c>
      <c r="H6520" t="s">
        <v>20185</v>
      </c>
      <c r="J6520" s="54" t="s">
        <v>6052</v>
      </c>
      <c r="K6520" s="54">
        <v>0</v>
      </c>
      <c r="L6520" s="22" t="s">
        <v>104</v>
      </c>
      <c r="M6520" s="22" t="s">
        <v>37318</v>
      </c>
    </row>
    <row r="6521" spans="1:13" x14ac:dyDescent="0.75">
      <c r="A6521" t="s">
        <v>20347</v>
      </c>
      <c r="B6521" t="s">
        <v>7932</v>
      </c>
      <c r="C6521" t="s">
        <v>6093</v>
      </c>
      <c r="D6521" t="s">
        <v>7933</v>
      </c>
      <c r="E6521" t="s">
        <v>20348</v>
      </c>
      <c r="F6521">
        <v>1</v>
      </c>
      <c r="G6521">
        <v>1978680</v>
      </c>
      <c r="H6521" t="s">
        <v>20349</v>
      </c>
      <c r="J6521" s="54" t="s">
        <v>6052</v>
      </c>
      <c r="K6521" s="54">
        <v>0</v>
      </c>
      <c r="L6521" s="22" t="s">
        <v>104</v>
      </c>
      <c r="M6521" s="22" t="s">
        <v>37318</v>
      </c>
    </row>
    <row r="6522" spans="1:13" x14ac:dyDescent="0.75">
      <c r="A6522" t="s">
        <v>11771</v>
      </c>
      <c r="B6522" t="s">
        <v>7932</v>
      </c>
      <c r="C6522" t="s">
        <v>6093</v>
      </c>
      <c r="D6522" t="s">
        <v>7933</v>
      </c>
      <c r="E6522" t="s">
        <v>11772</v>
      </c>
      <c r="F6522">
        <v>1</v>
      </c>
      <c r="G6522">
        <v>1930245</v>
      </c>
      <c r="H6522" t="s">
        <v>11773</v>
      </c>
      <c r="J6522" s="54" t="s">
        <v>6052</v>
      </c>
      <c r="K6522" s="54">
        <v>0</v>
      </c>
      <c r="L6522" s="22" t="s">
        <v>104</v>
      </c>
      <c r="M6522" s="22" t="s">
        <v>37318</v>
      </c>
    </row>
    <row r="6523" spans="1:13" x14ac:dyDescent="0.75">
      <c r="A6523" t="s">
        <v>12667</v>
      </c>
      <c r="B6523" t="s">
        <v>7932</v>
      </c>
      <c r="C6523" t="s">
        <v>6093</v>
      </c>
      <c r="D6523" t="s">
        <v>7933</v>
      </c>
      <c r="E6523" t="s">
        <v>12668</v>
      </c>
      <c r="F6523">
        <v>64</v>
      </c>
      <c r="G6523">
        <v>1901829</v>
      </c>
      <c r="H6523" t="s">
        <v>12669</v>
      </c>
      <c r="J6523" s="54" t="s">
        <v>6052</v>
      </c>
      <c r="K6523" s="54">
        <v>0</v>
      </c>
      <c r="L6523" s="22" t="s">
        <v>104</v>
      </c>
      <c r="M6523" s="22" t="s">
        <v>37318</v>
      </c>
    </row>
    <row r="6524" spans="1:13" x14ac:dyDescent="0.75">
      <c r="A6524" t="s">
        <v>12942</v>
      </c>
      <c r="B6524" t="s">
        <v>7932</v>
      </c>
      <c r="C6524" t="s">
        <v>6093</v>
      </c>
      <c r="D6524" t="s">
        <v>7933</v>
      </c>
      <c r="E6524" t="s">
        <v>12943</v>
      </c>
      <c r="F6524">
        <v>59</v>
      </c>
      <c r="G6524">
        <v>1804950</v>
      </c>
      <c r="H6524" t="s">
        <v>12944</v>
      </c>
      <c r="J6524" s="54" t="s">
        <v>6052</v>
      </c>
      <c r="K6524" s="54">
        <v>0</v>
      </c>
      <c r="L6524" s="22" t="s">
        <v>104</v>
      </c>
      <c r="M6524" s="22" t="s">
        <v>37318</v>
      </c>
    </row>
    <row r="6525" spans="1:13" x14ac:dyDescent="0.75">
      <c r="A6525" t="s">
        <v>15820</v>
      </c>
      <c r="B6525" t="s">
        <v>7932</v>
      </c>
      <c r="C6525" t="s">
        <v>6093</v>
      </c>
      <c r="D6525" t="s">
        <v>7933</v>
      </c>
      <c r="E6525" t="s">
        <v>15821</v>
      </c>
      <c r="F6525">
        <v>6</v>
      </c>
      <c r="G6525">
        <v>1885802</v>
      </c>
      <c r="H6525" t="s">
        <v>15822</v>
      </c>
      <c r="J6525" s="54" t="s">
        <v>6052</v>
      </c>
      <c r="K6525" s="54">
        <v>0</v>
      </c>
      <c r="L6525" s="22" t="s">
        <v>104</v>
      </c>
      <c r="M6525" s="22" t="s">
        <v>37318</v>
      </c>
    </row>
    <row r="6526" spans="1:13" x14ac:dyDescent="0.75">
      <c r="A6526" t="s">
        <v>10715</v>
      </c>
      <c r="B6526" t="s">
        <v>7932</v>
      </c>
      <c r="C6526" t="s">
        <v>6093</v>
      </c>
      <c r="D6526" t="s">
        <v>7933</v>
      </c>
      <c r="E6526" t="s">
        <v>10716</v>
      </c>
      <c r="F6526">
        <v>5</v>
      </c>
      <c r="G6526">
        <v>1965746</v>
      </c>
      <c r="H6526" t="s">
        <v>10717</v>
      </c>
      <c r="J6526" s="54" t="s">
        <v>6052</v>
      </c>
      <c r="K6526" s="54">
        <v>0</v>
      </c>
      <c r="L6526" s="22" t="s">
        <v>104</v>
      </c>
      <c r="M6526" s="22" t="s">
        <v>37318</v>
      </c>
    </row>
    <row r="6527" spans="1:13" x14ac:dyDescent="0.75">
      <c r="A6527" t="s">
        <v>28620</v>
      </c>
      <c r="B6527" t="s">
        <v>7932</v>
      </c>
      <c r="C6527" t="s">
        <v>6093</v>
      </c>
      <c r="D6527" t="s">
        <v>7933</v>
      </c>
      <c r="E6527" t="s">
        <v>28621</v>
      </c>
      <c r="F6527">
        <v>34</v>
      </c>
      <c r="G6527">
        <v>1789116</v>
      </c>
      <c r="H6527" t="s">
        <v>28622</v>
      </c>
      <c r="J6527" s="54" t="s">
        <v>6052</v>
      </c>
      <c r="K6527" s="54">
        <v>0</v>
      </c>
      <c r="L6527" s="22" t="s">
        <v>104</v>
      </c>
      <c r="M6527" s="22" t="s">
        <v>37318</v>
      </c>
    </row>
    <row r="6528" spans="1:13" x14ac:dyDescent="0.75">
      <c r="A6528" t="s">
        <v>27942</v>
      </c>
      <c r="B6528" t="s">
        <v>7932</v>
      </c>
      <c r="C6528" t="s">
        <v>6093</v>
      </c>
      <c r="D6528" t="s">
        <v>7933</v>
      </c>
      <c r="E6528" t="s">
        <v>27943</v>
      </c>
      <c r="F6528">
        <v>1</v>
      </c>
      <c r="G6528">
        <v>1890902</v>
      </c>
      <c r="H6528" t="s">
        <v>27944</v>
      </c>
      <c r="J6528" s="54" t="s">
        <v>6052</v>
      </c>
      <c r="K6528" s="54">
        <v>0</v>
      </c>
      <c r="L6528" s="22" t="s">
        <v>104</v>
      </c>
      <c r="M6528" s="22" t="s">
        <v>37318</v>
      </c>
    </row>
    <row r="6529" spans="1:13" x14ac:dyDescent="0.75">
      <c r="A6529" t="s">
        <v>27623</v>
      </c>
      <c r="B6529" t="s">
        <v>7932</v>
      </c>
      <c r="C6529" t="s">
        <v>6093</v>
      </c>
      <c r="D6529" t="s">
        <v>7933</v>
      </c>
      <c r="E6529" t="s">
        <v>27624</v>
      </c>
      <c r="F6529">
        <v>2</v>
      </c>
      <c r="G6529">
        <v>1943143</v>
      </c>
      <c r="H6529" t="s">
        <v>27625</v>
      </c>
      <c r="J6529" s="54" t="s">
        <v>6052</v>
      </c>
      <c r="K6529" s="54">
        <v>0</v>
      </c>
      <c r="L6529" s="22" t="s">
        <v>104</v>
      </c>
      <c r="M6529" s="22" t="s">
        <v>37318</v>
      </c>
    </row>
    <row r="6530" spans="1:13" x14ac:dyDescent="0.75">
      <c r="A6530" t="s">
        <v>27617</v>
      </c>
      <c r="B6530" t="s">
        <v>7932</v>
      </c>
      <c r="C6530" t="s">
        <v>6093</v>
      </c>
      <c r="D6530" t="s">
        <v>7933</v>
      </c>
      <c r="E6530" t="s">
        <v>27618</v>
      </c>
      <c r="F6530">
        <v>2</v>
      </c>
      <c r="G6530">
        <v>1906855</v>
      </c>
      <c r="H6530" t="s">
        <v>27619</v>
      </c>
      <c r="J6530" s="54" t="s">
        <v>6052</v>
      </c>
      <c r="K6530" s="54">
        <v>0</v>
      </c>
      <c r="L6530" s="22" t="s">
        <v>104</v>
      </c>
      <c r="M6530" s="22" t="s">
        <v>37318</v>
      </c>
    </row>
    <row r="6531" spans="1:13" x14ac:dyDescent="0.75">
      <c r="A6531" t="s">
        <v>23072</v>
      </c>
      <c r="B6531" t="s">
        <v>7932</v>
      </c>
      <c r="C6531" t="s">
        <v>6093</v>
      </c>
      <c r="D6531" t="s">
        <v>7933</v>
      </c>
      <c r="E6531" t="s">
        <v>23073</v>
      </c>
      <c r="F6531">
        <v>20</v>
      </c>
      <c r="G6531">
        <v>1818626</v>
      </c>
      <c r="H6531" t="s">
        <v>23074</v>
      </c>
      <c r="J6531" s="54" t="s">
        <v>6052</v>
      </c>
      <c r="K6531" s="54">
        <v>0</v>
      </c>
      <c r="L6531" s="22" t="s">
        <v>104</v>
      </c>
      <c r="M6531" s="22" t="s">
        <v>37318</v>
      </c>
    </row>
    <row r="6532" spans="1:13" x14ac:dyDescent="0.75">
      <c r="A6532" t="s">
        <v>23024</v>
      </c>
      <c r="B6532" t="s">
        <v>7932</v>
      </c>
      <c r="C6532" t="s">
        <v>6093</v>
      </c>
      <c r="D6532" t="s">
        <v>7933</v>
      </c>
      <c r="E6532" t="s">
        <v>23025</v>
      </c>
      <c r="F6532">
        <v>26</v>
      </c>
      <c r="G6532">
        <v>1927926</v>
      </c>
      <c r="H6532" t="s">
        <v>23026</v>
      </c>
      <c r="J6532" s="54" t="s">
        <v>6052</v>
      </c>
      <c r="K6532" s="54">
        <v>0</v>
      </c>
      <c r="L6532" s="22" t="s">
        <v>104</v>
      </c>
      <c r="M6532" s="22" t="s">
        <v>37318</v>
      </c>
    </row>
    <row r="6533" spans="1:13" x14ac:dyDescent="0.75">
      <c r="A6533" t="s">
        <v>23033</v>
      </c>
      <c r="B6533" t="s">
        <v>7932</v>
      </c>
      <c r="C6533" t="s">
        <v>6093</v>
      </c>
      <c r="D6533" t="s">
        <v>7933</v>
      </c>
      <c r="E6533" t="s">
        <v>23034</v>
      </c>
      <c r="F6533">
        <v>31</v>
      </c>
      <c r="G6533">
        <v>1993590</v>
      </c>
      <c r="H6533" t="s">
        <v>23035</v>
      </c>
      <c r="J6533" s="54" t="s">
        <v>6052</v>
      </c>
      <c r="K6533" s="54">
        <v>0</v>
      </c>
      <c r="L6533" s="22" t="s">
        <v>104</v>
      </c>
      <c r="M6533" s="22" t="s">
        <v>37318</v>
      </c>
    </row>
    <row r="6534" spans="1:13" x14ac:dyDescent="0.75">
      <c r="A6534" t="s">
        <v>23018</v>
      </c>
      <c r="B6534" t="s">
        <v>7932</v>
      </c>
      <c r="C6534" t="s">
        <v>6093</v>
      </c>
      <c r="D6534" t="s">
        <v>7933</v>
      </c>
      <c r="E6534" t="s">
        <v>23019</v>
      </c>
      <c r="F6534">
        <v>20</v>
      </c>
      <c r="G6534">
        <v>1892624</v>
      </c>
      <c r="H6534" t="s">
        <v>23020</v>
      </c>
      <c r="J6534" s="54" t="s">
        <v>6052</v>
      </c>
      <c r="K6534" s="54">
        <v>0</v>
      </c>
      <c r="L6534" s="22" t="s">
        <v>104</v>
      </c>
      <c r="M6534" s="22" t="s">
        <v>37318</v>
      </c>
    </row>
    <row r="6535" spans="1:13" x14ac:dyDescent="0.75">
      <c r="A6535" t="s">
        <v>7931</v>
      </c>
      <c r="B6535" t="s">
        <v>7932</v>
      </c>
      <c r="C6535" t="s">
        <v>6093</v>
      </c>
      <c r="D6535" t="s">
        <v>7933</v>
      </c>
      <c r="E6535" t="s">
        <v>7934</v>
      </c>
      <c r="F6535">
        <v>10</v>
      </c>
      <c r="G6535">
        <v>1963771</v>
      </c>
      <c r="H6535" t="s">
        <v>7935</v>
      </c>
      <c r="J6535" s="54" t="s">
        <v>6052</v>
      </c>
      <c r="K6535" s="54">
        <v>0</v>
      </c>
      <c r="L6535" s="22" t="s">
        <v>104</v>
      </c>
      <c r="M6535" s="22" t="s">
        <v>37318</v>
      </c>
    </row>
    <row r="6536" spans="1:13" x14ac:dyDescent="0.75">
      <c r="A6536" t="s">
        <v>8537</v>
      </c>
      <c r="B6536" t="s">
        <v>7932</v>
      </c>
      <c r="C6536" t="s">
        <v>6093</v>
      </c>
      <c r="D6536" t="s">
        <v>7933</v>
      </c>
      <c r="E6536" t="s">
        <v>8538</v>
      </c>
      <c r="F6536">
        <v>54</v>
      </c>
      <c r="G6536">
        <v>1840061</v>
      </c>
      <c r="H6536" t="s">
        <v>8539</v>
      </c>
      <c r="J6536" s="54" t="s">
        <v>6052</v>
      </c>
      <c r="K6536" s="54">
        <v>0</v>
      </c>
      <c r="L6536" s="22" t="s">
        <v>104</v>
      </c>
      <c r="M6536" s="22" t="s">
        <v>37318</v>
      </c>
    </row>
    <row r="6537" spans="1:13" x14ac:dyDescent="0.75">
      <c r="A6537" t="s">
        <v>9908</v>
      </c>
      <c r="B6537" t="s">
        <v>7932</v>
      </c>
      <c r="C6537" t="s">
        <v>6093</v>
      </c>
      <c r="D6537" t="s">
        <v>7933</v>
      </c>
      <c r="E6537" t="s">
        <v>8538</v>
      </c>
      <c r="F6537">
        <v>89</v>
      </c>
      <c r="G6537">
        <v>1855617</v>
      </c>
      <c r="H6537" t="s">
        <v>9909</v>
      </c>
      <c r="J6537" s="54" t="s">
        <v>6052</v>
      </c>
      <c r="K6537" s="54">
        <v>0</v>
      </c>
      <c r="L6537" s="22" t="s">
        <v>104</v>
      </c>
      <c r="M6537" s="22" t="s">
        <v>37318</v>
      </c>
    </row>
    <row r="6538" spans="1:13" x14ac:dyDescent="0.75">
      <c r="A6538" t="s">
        <v>26505</v>
      </c>
      <c r="B6538" t="s">
        <v>7932</v>
      </c>
      <c r="C6538" t="s">
        <v>6093</v>
      </c>
      <c r="D6538" t="s">
        <v>7933</v>
      </c>
      <c r="E6538" t="s">
        <v>26506</v>
      </c>
      <c r="F6538">
        <v>37</v>
      </c>
      <c r="G6538">
        <v>1826913</v>
      </c>
      <c r="H6538" t="s">
        <v>26507</v>
      </c>
      <c r="J6538" s="54" t="s">
        <v>6052</v>
      </c>
      <c r="K6538" s="54">
        <v>0</v>
      </c>
      <c r="L6538" s="22" t="s">
        <v>104</v>
      </c>
      <c r="M6538" s="22" t="s">
        <v>37318</v>
      </c>
    </row>
    <row r="6539" spans="1:13" x14ac:dyDescent="0.75">
      <c r="A6539" t="s">
        <v>29131</v>
      </c>
      <c r="B6539" t="s">
        <v>7932</v>
      </c>
      <c r="C6539" t="s">
        <v>6093</v>
      </c>
      <c r="D6539" t="s">
        <v>7933</v>
      </c>
      <c r="E6539" t="s">
        <v>29132</v>
      </c>
      <c r="F6539">
        <v>82</v>
      </c>
      <c r="G6539">
        <v>1848707</v>
      </c>
      <c r="H6539" t="s">
        <v>29133</v>
      </c>
      <c r="J6539" s="54" t="s">
        <v>6052</v>
      </c>
      <c r="K6539" s="54">
        <v>0</v>
      </c>
      <c r="L6539" s="22" t="s">
        <v>104</v>
      </c>
      <c r="M6539" s="22" t="s">
        <v>37318</v>
      </c>
    </row>
    <row r="6540" spans="1:13" x14ac:dyDescent="0.75">
      <c r="A6540" t="s">
        <v>23722</v>
      </c>
      <c r="B6540" t="s">
        <v>7932</v>
      </c>
      <c r="C6540" t="s">
        <v>6093</v>
      </c>
      <c r="D6540" t="s">
        <v>7933</v>
      </c>
      <c r="E6540" t="s">
        <v>23723</v>
      </c>
      <c r="F6540">
        <v>1</v>
      </c>
      <c r="G6540">
        <v>1980997</v>
      </c>
      <c r="H6540" t="s">
        <v>23724</v>
      </c>
      <c r="J6540" s="54" t="s">
        <v>6052</v>
      </c>
      <c r="K6540" s="54">
        <v>0</v>
      </c>
      <c r="L6540" s="22" t="s">
        <v>104</v>
      </c>
      <c r="M6540" s="22" t="s">
        <v>37318</v>
      </c>
    </row>
    <row r="6541" spans="1:13" x14ac:dyDescent="0.75">
      <c r="A6541" t="s">
        <v>25830</v>
      </c>
      <c r="B6541" t="s">
        <v>7932</v>
      </c>
      <c r="C6541" t="s">
        <v>6093</v>
      </c>
      <c r="D6541" t="s">
        <v>7933</v>
      </c>
      <c r="E6541" t="s">
        <v>25831</v>
      </c>
      <c r="F6541">
        <v>27</v>
      </c>
      <c r="G6541">
        <v>1830535</v>
      </c>
      <c r="H6541" t="s">
        <v>25832</v>
      </c>
      <c r="J6541" s="54" t="s">
        <v>6052</v>
      </c>
      <c r="K6541" s="54">
        <v>0</v>
      </c>
      <c r="L6541" s="22" t="s">
        <v>104</v>
      </c>
      <c r="M6541" s="22" t="s">
        <v>37318</v>
      </c>
    </row>
    <row r="6542" spans="1:13" x14ac:dyDescent="0.75">
      <c r="A6542" t="s">
        <v>11214</v>
      </c>
      <c r="B6542" t="s">
        <v>7474</v>
      </c>
      <c r="C6542" t="s">
        <v>6093</v>
      </c>
      <c r="D6542" t="s">
        <v>7475</v>
      </c>
      <c r="E6542" t="s">
        <v>11215</v>
      </c>
      <c r="F6542">
        <v>107</v>
      </c>
      <c r="G6542">
        <v>2015766</v>
      </c>
      <c r="H6542" t="s">
        <v>11216</v>
      </c>
      <c r="J6542" s="54" t="s">
        <v>6052</v>
      </c>
      <c r="K6542" s="54">
        <v>0</v>
      </c>
      <c r="L6542" s="22" t="s">
        <v>104</v>
      </c>
      <c r="M6542" s="22" t="s">
        <v>37322</v>
      </c>
    </row>
    <row r="6543" spans="1:13" x14ac:dyDescent="0.75">
      <c r="A6543" t="s">
        <v>11229</v>
      </c>
      <c r="B6543" t="s">
        <v>7474</v>
      </c>
      <c r="C6543" t="s">
        <v>6093</v>
      </c>
      <c r="D6543" t="s">
        <v>7475</v>
      </c>
      <c r="E6543" t="s">
        <v>11230</v>
      </c>
      <c r="F6543">
        <v>106</v>
      </c>
      <c r="G6543">
        <v>2019516</v>
      </c>
      <c r="H6543" t="s">
        <v>11231</v>
      </c>
      <c r="J6543" s="54" t="s">
        <v>6052</v>
      </c>
      <c r="K6543" s="54">
        <v>0</v>
      </c>
      <c r="L6543" s="22" t="s">
        <v>104</v>
      </c>
      <c r="M6543" s="22" t="s">
        <v>37322</v>
      </c>
    </row>
    <row r="6544" spans="1:13" x14ac:dyDescent="0.75">
      <c r="A6544" t="s">
        <v>11220</v>
      </c>
      <c r="B6544" t="s">
        <v>7474</v>
      </c>
      <c r="C6544" t="s">
        <v>6093</v>
      </c>
      <c r="D6544" t="s">
        <v>7475</v>
      </c>
      <c r="E6544" t="s">
        <v>11221</v>
      </c>
      <c r="F6544">
        <v>69</v>
      </c>
      <c r="G6544">
        <v>2079706</v>
      </c>
      <c r="H6544" t="s">
        <v>11222</v>
      </c>
      <c r="J6544" s="54" t="s">
        <v>6052</v>
      </c>
      <c r="K6544" s="54">
        <v>0</v>
      </c>
      <c r="L6544" s="22" t="s">
        <v>104</v>
      </c>
      <c r="M6544" s="22" t="s">
        <v>37322</v>
      </c>
    </row>
    <row r="6545" spans="1:13" x14ac:dyDescent="0.75">
      <c r="A6545" t="s">
        <v>16242</v>
      </c>
      <c r="B6545" t="s">
        <v>7474</v>
      </c>
      <c r="C6545" t="s">
        <v>6093</v>
      </c>
      <c r="D6545" t="s">
        <v>7475</v>
      </c>
      <c r="E6545" t="s">
        <v>11588</v>
      </c>
      <c r="F6545">
        <v>132</v>
      </c>
      <c r="G6545">
        <v>2080561</v>
      </c>
      <c r="H6545" t="s">
        <v>16243</v>
      </c>
      <c r="J6545" s="54" t="s">
        <v>6052</v>
      </c>
      <c r="K6545" s="54">
        <v>0</v>
      </c>
      <c r="L6545" s="22" t="s">
        <v>104</v>
      </c>
      <c r="M6545" s="22" t="s">
        <v>37322</v>
      </c>
    </row>
    <row r="6546" spans="1:13" x14ac:dyDescent="0.75">
      <c r="A6546" t="s">
        <v>16239</v>
      </c>
      <c r="B6546" t="s">
        <v>7474</v>
      </c>
      <c r="C6546" t="s">
        <v>6093</v>
      </c>
      <c r="D6546" t="s">
        <v>7475</v>
      </c>
      <c r="E6546" t="s">
        <v>16240</v>
      </c>
      <c r="F6546">
        <v>47</v>
      </c>
      <c r="G6546">
        <v>2287283</v>
      </c>
      <c r="H6546" t="s">
        <v>16241</v>
      </c>
      <c r="J6546" s="54" t="s">
        <v>6052</v>
      </c>
      <c r="K6546" s="54">
        <v>0</v>
      </c>
      <c r="L6546" s="22" t="s">
        <v>104</v>
      </c>
      <c r="M6546" s="22" t="s">
        <v>37322</v>
      </c>
    </row>
    <row r="6547" spans="1:13" x14ac:dyDescent="0.75">
      <c r="A6547" t="s">
        <v>16316</v>
      </c>
      <c r="B6547" t="s">
        <v>7474</v>
      </c>
      <c r="C6547" t="s">
        <v>6093</v>
      </c>
      <c r="D6547" t="s">
        <v>7475</v>
      </c>
      <c r="E6547" t="s">
        <v>16317</v>
      </c>
      <c r="F6547">
        <v>52</v>
      </c>
      <c r="G6547">
        <v>2282836</v>
      </c>
      <c r="H6547" t="s">
        <v>16318</v>
      </c>
      <c r="J6547" s="54" t="s">
        <v>6052</v>
      </c>
      <c r="K6547" s="54">
        <v>0</v>
      </c>
      <c r="L6547" s="22" t="s">
        <v>104</v>
      </c>
      <c r="M6547" s="22" t="s">
        <v>37322</v>
      </c>
    </row>
    <row r="6548" spans="1:13" x14ac:dyDescent="0.75">
      <c r="A6548" t="s">
        <v>16233</v>
      </c>
      <c r="B6548" t="s">
        <v>7474</v>
      </c>
      <c r="C6548" t="s">
        <v>6093</v>
      </c>
      <c r="D6548" t="s">
        <v>7475</v>
      </c>
      <c r="E6548" t="s">
        <v>16234</v>
      </c>
      <c r="F6548">
        <v>51</v>
      </c>
      <c r="G6548">
        <v>2278062</v>
      </c>
      <c r="H6548" t="s">
        <v>16235</v>
      </c>
      <c r="J6548" s="54" t="s">
        <v>6052</v>
      </c>
      <c r="K6548" s="54">
        <v>0</v>
      </c>
      <c r="L6548" s="22" t="s">
        <v>104</v>
      </c>
      <c r="M6548" s="22" t="s">
        <v>37322</v>
      </c>
    </row>
    <row r="6549" spans="1:13" x14ac:dyDescent="0.75">
      <c r="A6549" t="s">
        <v>16313</v>
      </c>
      <c r="B6549" t="s">
        <v>7474</v>
      </c>
      <c r="C6549" t="s">
        <v>6093</v>
      </c>
      <c r="D6549" t="s">
        <v>7475</v>
      </c>
      <c r="E6549" t="s">
        <v>16314</v>
      </c>
      <c r="F6549">
        <v>68</v>
      </c>
      <c r="G6549">
        <v>2294401</v>
      </c>
      <c r="H6549" t="s">
        <v>16315</v>
      </c>
      <c r="J6549" s="54" t="s">
        <v>6052</v>
      </c>
      <c r="K6549" s="54">
        <v>0</v>
      </c>
      <c r="L6549" s="22" t="s">
        <v>104</v>
      </c>
      <c r="M6549" s="22" t="s">
        <v>37322</v>
      </c>
    </row>
    <row r="6550" spans="1:13" x14ac:dyDescent="0.75">
      <c r="A6550" t="s">
        <v>22475</v>
      </c>
      <c r="B6550" t="s">
        <v>7474</v>
      </c>
      <c r="C6550" t="s">
        <v>6093</v>
      </c>
      <c r="D6550" t="s">
        <v>7475</v>
      </c>
      <c r="E6550" t="s">
        <v>22476</v>
      </c>
      <c r="F6550">
        <v>19</v>
      </c>
      <c r="G6550">
        <v>1933836</v>
      </c>
      <c r="H6550" t="s">
        <v>22477</v>
      </c>
      <c r="J6550" s="54" t="s">
        <v>6052</v>
      </c>
      <c r="K6550" s="54">
        <v>0</v>
      </c>
      <c r="L6550" s="22" t="s">
        <v>104</v>
      </c>
      <c r="M6550" s="22" t="s">
        <v>37322</v>
      </c>
    </row>
    <row r="6551" spans="1:13" x14ac:dyDescent="0.75">
      <c r="A6551" t="s">
        <v>9416</v>
      </c>
      <c r="B6551" t="s">
        <v>7474</v>
      </c>
      <c r="C6551" t="s">
        <v>6093</v>
      </c>
      <c r="D6551" t="s">
        <v>7475</v>
      </c>
      <c r="E6551" t="s">
        <v>9417</v>
      </c>
      <c r="F6551">
        <v>1</v>
      </c>
      <c r="G6551">
        <v>2142100</v>
      </c>
      <c r="H6551" t="s">
        <v>9418</v>
      </c>
      <c r="J6551" s="54" t="s">
        <v>6052</v>
      </c>
      <c r="K6551" s="54">
        <v>0</v>
      </c>
      <c r="L6551" s="22" t="s">
        <v>104</v>
      </c>
      <c r="M6551" s="22" t="s">
        <v>37322</v>
      </c>
    </row>
    <row r="6552" spans="1:13" x14ac:dyDescent="0.75">
      <c r="A6552" t="s">
        <v>7473</v>
      </c>
      <c r="B6552" t="s">
        <v>7474</v>
      </c>
      <c r="C6552" t="s">
        <v>6093</v>
      </c>
      <c r="D6552" t="s">
        <v>7475</v>
      </c>
      <c r="E6552" t="s">
        <v>7476</v>
      </c>
      <c r="F6552">
        <v>28</v>
      </c>
      <c r="G6552">
        <v>1982490</v>
      </c>
      <c r="H6552" t="s">
        <v>7477</v>
      </c>
      <c r="J6552" s="54" t="s">
        <v>6052</v>
      </c>
      <c r="K6552" s="54">
        <v>0</v>
      </c>
      <c r="L6552" s="22" t="s">
        <v>104</v>
      </c>
      <c r="M6552" s="22" t="s">
        <v>37322</v>
      </c>
    </row>
    <row r="6553" spans="1:13" x14ac:dyDescent="0.75">
      <c r="A6553" t="s">
        <v>7919</v>
      </c>
      <c r="B6553" t="s">
        <v>7474</v>
      </c>
      <c r="C6553" t="s">
        <v>6093</v>
      </c>
      <c r="D6553" t="s">
        <v>7475</v>
      </c>
      <c r="E6553" t="s">
        <v>7476</v>
      </c>
      <c r="F6553">
        <v>10</v>
      </c>
      <c r="G6553">
        <v>1994424</v>
      </c>
      <c r="H6553" t="s">
        <v>7920</v>
      </c>
      <c r="J6553" s="54" t="s">
        <v>6052</v>
      </c>
      <c r="K6553" s="54">
        <v>0</v>
      </c>
      <c r="L6553" s="22" t="s">
        <v>104</v>
      </c>
      <c r="M6553" s="22" t="s">
        <v>37322</v>
      </c>
    </row>
    <row r="6554" spans="1:13" x14ac:dyDescent="0.75">
      <c r="A6554" t="s">
        <v>18115</v>
      </c>
      <c r="B6554" t="s">
        <v>7474</v>
      </c>
      <c r="C6554" t="s">
        <v>6093</v>
      </c>
      <c r="D6554" t="s">
        <v>7475</v>
      </c>
      <c r="E6554" t="s">
        <v>7476</v>
      </c>
      <c r="F6554">
        <v>1</v>
      </c>
      <c r="G6554">
        <v>2031205</v>
      </c>
      <c r="H6554" t="s">
        <v>18116</v>
      </c>
      <c r="J6554" s="54" t="s">
        <v>6052</v>
      </c>
      <c r="K6554" s="54">
        <v>0</v>
      </c>
      <c r="L6554" s="22" t="s">
        <v>104</v>
      </c>
      <c r="M6554" s="22" t="s">
        <v>37322</v>
      </c>
    </row>
    <row r="6555" spans="1:13" x14ac:dyDescent="0.75">
      <c r="A6555" t="s">
        <v>16236</v>
      </c>
      <c r="B6555" t="s">
        <v>7474</v>
      </c>
      <c r="C6555" t="s">
        <v>6093</v>
      </c>
      <c r="D6555" t="s">
        <v>7475</v>
      </c>
      <c r="E6555" t="s">
        <v>16237</v>
      </c>
      <c r="F6555">
        <v>42</v>
      </c>
      <c r="G6555">
        <v>1967660</v>
      </c>
      <c r="H6555" t="s">
        <v>16238</v>
      </c>
      <c r="J6555" s="54" t="s">
        <v>6052</v>
      </c>
      <c r="K6555" s="54">
        <v>0</v>
      </c>
      <c r="L6555" s="22" t="s">
        <v>104</v>
      </c>
      <c r="M6555" s="22" t="s">
        <v>37322</v>
      </c>
    </row>
    <row r="6556" spans="1:13" x14ac:dyDescent="0.75">
      <c r="A6556" t="s">
        <v>16307</v>
      </c>
      <c r="B6556" t="s">
        <v>7474</v>
      </c>
      <c r="C6556" t="s">
        <v>6093</v>
      </c>
      <c r="D6556" t="s">
        <v>7475</v>
      </c>
      <c r="E6556" t="s">
        <v>16308</v>
      </c>
      <c r="F6556">
        <v>43</v>
      </c>
      <c r="G6556">
        <v>1991942</v>
      </c>
      <c r="H6556" t="s">
        <v>16309</v>
      </c>
      <c r="J6556" s="54" t="s">
        <v>6052</v>
      </c>
      <c r="K6556" s="54">
        <v>0</v>
      </c>
      <c r="L6556" s="22" t="s">
        <v>104</v>
      </c>
      <c r="M6556" s="22" t="s">
        <v>37322</v>
      </c>
    </row>
    <row r="6557" spans="1:13" x14ac:dyDescent="0.75">
      <c r="A6557" t="s">
        <v>16310</v>
      </c>
      <c r="B6557" t="s">
        <v>7474</v>
      </c>
      <c r="C6557" t="s">
        <v>6093</v>
      </c>
      <c r="D6557" t="s">
        <v>7475</v>
      </c>
      <c r="E6557" t="s">
        <v>16311</v>
      </c>
      <c r="F6557">
        <v>48</v>
      </c>
      <c r="G6557">
        <v>2066467</v>
      </c>
      <c r="H6557" t="s">
        <v>16312</v>
      </c>
      <c r="J6557" s="54" t="s">
        <v>6052</v>
      </c>
      <c r="K6557" s="54">
        <v>0</v>
      </c>
      <c r="L6557" s="22" t="s">
        <v>104</v>
      </c>
      <c r="M6557" s="22" t="s">
        <v>37322</v>
      </c>
    </row>
    <row r="6558" spans="1:13" x14ac:dyDescent="0.75">
      <c r="A6558" t="s">
        <v>16247</v>
      </c>
      <c r="B6558" t="s">
        <v>7474</v>
      </c>
      <c r="C6558" t="s">
        <v>6093</v>
      </c>
      <c r="D6558" t="s">
        <v>7475</v>
      </c>
      <c r="E6558" t="s">
        <v>16248</v>
      </c>
      <c r="F6558">
        <v>44</v>
      </c>
      <c r="G6558">
        <v>2041369</v>
      </c>
      <c r="H6558" t="s">
        <v>16249</v>
      </c>
      <c r="J6558" s="54" t="s">
        <v>6052</v>
      </c>
      <c r="K6558" s="54">
        <v>0</v>
      </c>
      <c r="L6558" s="22" t="s">
        <v>104</v>
      </c>
      <c r="M6558" s="22" t="s">
        <v>37322</v>
      </c>
    </row>
    <row r="6559" spans="1:13" x14ac:dyDescent="0.75">
      <c r="A6559" t="s">
        <v>16244</v>
      </c>
      <c r="B6559" t="s">
        <v>7474</v>
      </c>
      <c r="C6559" t="s">
        <v>6093</v>
      </c>
      <c r="D6559" t="s">
        <v>7475</v>
      </c>
      <c r="E6559" t="s">
        <v>16245</v>
      </c>
      <c r="F6559">
        <v>40</v>
      </c>
      <c r="G6559">
        <v>2003744</v>
      </c>
      <c r="H6559" t="s">
        <v>16246</v>
      </c>
      <c r="J6559" s="54" t="s">
        <v>6052</v>
      </c>
      <c r="K6559" s="54">
        <v>0</v>
      </c>
      <c r="L6559" s="22" t="s">
        <v>104</v>
      </c>
      <c r="M6559" s="22" t="s">
        <v>37322</v>
      </c>
    </row>
    <row r="6560" spans="1:13" x14ac:dyDescent="0.75">
      <c r="A6560" t="s">
        <v>16271</v>
      </c>
      <c r="B6560" t="s">
        <v>7474</v>
      </c>
      <c r="C6560" t="s">
        <v>6093</v>
      </c>
      <c r="D6560" t="s">
        <v>7475</v>
      </c>
      <c r="E6560" t="s">
        <v>16272</v>
      </c>
      <c r="F6560">
        <v>68</v>
      </c>
      <c r="G6560">
        <v>2085438</v>
      </c>
      <c r="H6560" t="s">
        <v>16273</v>
      </c>
      <c r="J6560" s="54" t="s">
        <v>6052</v>
      </c>
      <c r="K6560" s="54">
        <v>0</v>
      </c>
      <c r="L6560" s="22" t="s">
        <v>104</v>
      </c>
      <c r="M6560" s="22" t="s">
        <v>37322</v>
      </c>
    </row>
    <row r="6561" spans="1:13" x14ac:dyDescent="0.75">
      <c r="A6561" t="s">
        <v>10789</v>
      </c>
      <c r="B6561" t="s">
        <v>7474</v>
      </c>
      <c r="C6561" t="s">
        <v>6093</v>
      </c>
      <c r="D6561" t="s">
        <v>7475</v>
      </c>
      <c r="E6561" t="s">
        <v>10790</v>
      </c>
      <c r="F6561">
        <v>7</v>
      </c>
      <c r="G6561">
        <v>2026543</v>
      </c>
      <c r="H6561" t="s">
        <v>10791</v>
      </c>
      <c r="J6561" s="54" t="s">
        <v>6052</v>
      </c>
      <c r="K6561" s="54">
        <v>0</v>
      </c>
      <c r="L6561" s="22" t="s">
        <v>104</v>
      </c>
      <c r="M6561" s="22" t="s">
        <v>37322</v>
      </c>
    </row>
    <row r="6562" spans="1:13" x14ac:dyDescent="0.75">
      <c r="A6562" t="s">
        <v>21639</v>
      </c>
      <c r="B6562" t="s">
        <v>7474</v>
      </c>
      <c r="C6562" t="s">
        <v>6093</v>
      </c>
      <c r="D6562" t="s">
        <v>7475</v>
      </c>
      <c r="E6562" t="s">
        <v>21640</v>
      </c>
      <c r="F6562">
        <v>28</v>
      </c>
      <c r="G6562">
        <v>2053353</v>
      </c>
      <c r="H6562" t="s">
        <v>21641</v>
      </c>
      <c r="J6562" s="54" t="s">
        <v>6052</v>
      </c>
      <c r="K6562" s="54">
        <v>0</v>
      </c>
      <c r="L6562" s="22" t="s">
        <v>104</v>
      </c>
      <c r="M6562" s="22" t="s">
        <v>37322</v>
      </c>
    </row>
    <row r="6563" spans="1:13" x14ac:dyDescent="0.75">
      <c r="A6563" t="s">
        <v>10792</v>
      </c>
      <c r="B6563" t="s">
        <v>7474</v>
      </c>
      <c r="C6563" t="s">
        <v>6093</v>
      </c>
      <c r="D6563" t="s">
        <v>7475</v>
      </c>
      <c r="E6563" t="s">
        <v>10793</v>
      </c>
      <c r="F6563">
        <v>5</v>
      </c>
      <c r="G6563">
        <v>1998501</v>
      </c>
      <c r="H6563" t="s">
        <v>10794</v>
      </c>
      <c r="J6563" s="54" t="s">
        <v>6052</v>
      </c>
      <c r="K6563" s="54">
        <v>0</v>
      </c>
      <c r="L6563" s="22" t="s">
        <v>104</v>
      </c>
      <c r="M6563" s="22" t="s">
        <v>37322</v>
      </c>
    </row>
    <row r="6564" spans="1:13" x14ac:dyDescent="0.75">
      <c r="A6564" t="s">
        <v>11999</v>
      </c>
      <c r="B6564" t="s">
        <v>7474</v>
      </c>
      <c r="C6564" t="s">
        <v>6093</v>
      </c>
      <c r="D6564" t="s">
        <v>7475</v>
      </c>
      <c r="E6564" t="s">
        <v>12000</v>
      </c>
      <c r="F6564">
        <v>123</v>
      </c>
      <c r="G6564">
        <v>2206539</v>
      </c>
      <c r="H6564" t="s">
        <v>12001</v>
      </c>
      <c r="J6564" s="54" t="s">
        <v>6052</v>
      </c>
      <c r="K6564" s="54">
        <v>0</v>
      </c>
      <c r="L6564" s="22" t="s">
        <v>104</v>
      </c>
      <c r="M6564" s="22" t="s">
        <v>37322</v>
      </c>
    </row>
    <row r="6565" spans="1:13" x14ac:dyDescent="0.75">
      <c r="A6565" t="s">
        <v>12045</v>
      </c>
      <c r="B6565" t="s">
        <v>7474</v>
      </c>
      <c r="C6565" t="s">
        <v>6093</v>
      </c>
      <c r="D6565" t="s">
        <v>7475</v>
      </c>
      <c r="E6565" t="s">
        <v>12046</v>
      </c>
      <c r="F6565">
        <v>99</v>
      </c>
      <c r="G6565">
        <v>1979098</v>
      </c>
      <c r="H6565" t="s">
        <v>12047</v>
      </c>
      <c r="J6565" s="54" t="s">
        <v>6052</v>
      </c>
      <c r="K6565" s="54">
        <v>0</v>
      </c>
      <c r="L6565" s="22" t="s">
        <v>104</v>
      </c>
      <c r="M6565" s="22" t="s">
        <v>37322</v>
      </c>
    </row>
    <row r="6566" spans="1:13" x14ac:dyDescent="0.75">
      <c r="A6566" t="s">
        <v>18974</v>
      </c>
      <c r="B6566" t="s">
        <v>7474</v>
      </c>
      <c r="C6566" t="s">
        <v>6093</v>
      </c>
      <c r="D6566" t="s">
        <v>7475</v>
      </c>
      <c r="E6566" t="s">
        <v>18975</v>
      </c>
      <c r="F6566">
        <v>30</v>
      </c>
      <c r="G6566">
        <v>1881435</v>
      </c>
      <c r="H6566" t="s">
        <v>18976</v>
      </c>
      <c r="J6566" s="54" t="s">
        <v>6052</v>
      </c>
      <c r="K6566" s="54">
        <v>0</v>
      </c>
      <c r="L6566" s="22" t="s">
        <v>104</v>
      </c>
      <c r="M6566" s="22" t="s">
        <v>37322</v>
      </c>
    </row>
    <row r="6567" spans="1:13" x14ac:dyDescent="0.75">
      <c r="A6567" t="s">
        <v>12054</v>
      </c>
      <c r="B6567" t="s">
        <v>7474</v>
      </c>
      <c r="C6567" t="s">
        <v>6093</v>
      </c>
      <c r="D6567" t="s">
        <v>7475</v>
      </c>
      <c r="E6567" t="s">
        <v>12055</v>
      </c>
      <c r="F6567">
        <v>95</v>
      </c>
      <c r="G6567">
        <v>1991673</v>
      </c>
      <c r="H6567" t="s">
        <v>12056</v>
      </c>
      <c r="J6567" s="54" t="s">
        <v>6052</v>
      </c>
      <c r="K6567" s="54">
        <v>0</v>
      </c>
      <c r="L6567" s="22" t="s">
        <v>104</v>
      </c>
      <c r="M6567" s="22" t="s">
        <v>37322</v>
      </c>
    </row>
    <row r="6568" spans="1:13" x14ac:dyDescent="0.75">
      <c r="A6568" t="s">
        <v>24488</v>
      </c>
      <c r="B6568" t="s">
        <v>7474</v>
      </c>
      <c r="C6568" t="s">
        <v>6093</v>
      </c>
      <c r="D6568" t="s">
        <v>7475</v>
      </c>
      <c r="E6568" t="s">
        <v>24489</v>
      </c>
      <c r="F6568">
        <v>40</v>
      </c>
      <c r="G6568">
        <v>2066313</v>
      </c>
      <c r="H6568" t="s">
        <v>24490</v>
      </c>
      <c r="J6568" s="54" t="s">
        <v>6052</v>
      </c>
      <c r="K6568" s="54">
        <v>0</v>
      </c>
      <c r="L6568" s="22" t="s">
        <v>104</v>
      </c>
      <c r="M6568" s="22" t="s">
        <v>37322</v>
      </c>
    </row>
    <row r="6569" spans="1:13" x14ac:dyDescent="0.75">
      <c r="A6569" t="s">
        <v>28381</v>
      </c>
      <c r="B6569" t="s">
        <v>7474</v>
      </c>
      <c r="C6569" t="s">
        <v>6093</v>
      </c>
      <c r="D6569" t="s">
        <v>7475</v>
      </c>
      <c r="E6569" t="s">
        <v>28382</v>
      </c>
      <c r="F6569">
        <v>12</v>
      </c>
      <c r="G6569">
        <v>2073737</v>
      </c>
      <c r="H6569" t="s">
        <v>28383</v>
      </c>
      <c r="J6569" s="54" t="s">
        <v>6052</v>
      </c>
      <c r="K6569" s="54">
        <v>0</v>
      </c>
      <c r="L6569" s="22" t="s">
        <v>104</v>
      </c>
      <c r="M6569" s="22" t="s">
        <v>37322</v>
      </c>
    </row>
    <row r="6570" spans="1:13" x14ac:dyDescent="0.75">
      <c r="A6570" t="s">
        <v>28384</v>
      </c>
      <c r="B6570" t="s">
        <v>7474</v>
      </c>
      <c r="C6570" t="s">
        <v>6093</v>
      </c>
      <c r="D6570" t="s">
        <v>7475</v>
      </c>
      <c r="E6570" t="s">
        <v>28385</v>
      </c>
      <c r="F6570">
        <v>16</v>
      </c>
      <c r="G6570">
        <v>2075917</v>
      </c>
      <c r="H6570" t="s">
        <v>28386</v>
      </c>
      <c r="J6570" s="54" t="s">
        <v>6052</v>
      </c>
      <c r="K6570" s="54">
        <v>0</v>
      </c>
      <c r="L6570" s="22" t="s">
        <v>104</v>
      </c>
      <c r="M6570" s="22" t="s">
        <v>37322</v>
      </c>
    </row>
    <row r="6571" spans="1:13" x14ac:dyDescent="0.75">
      <c r="A6571" t="s">
        <v>28387</v>
      </c>
      <c r="B6571" t="s">
        <v>7474</v>
      </c>
      <c r="C6571" t="s">
        <v>6093</v>
      </c>
      <c r="D6571" t="s">
        <v>7475</v>
      </c>
      <c r="E6571" t="s">
        <v>28388</v>
      </c>
      <c r="F6571">
        <v>10</v>
      </c>
      <c r="G6571">
        <v>2230759</v>
      </c>
      <c r="H6571" t="s">
        <v>28389</v>
      </c>
      <c r="J6571" s="54" t="s">
        <v>6052</v>
      </c>
      <c r="K6571" s="54">
        <v>0</v>
      </c>
      <c r="L6571" s="22" t="s">
        <v>104</v>
      </c>
      <c r="M6571" s="22" t="s">
        <v>37322</v>
      </c>
    </row>
    <row r="6572" spans="1:13" x14ac:dyDescent="0.75">
      <c r="A6572" t="s">
        <v>17205</v>
      </c>
      <c r="B6572" t="s">
        <v>7474</v>
      </c>
      <c r="C6572" t="s">
        <v>6093</v>
      </c>
      <c r="D6572" t="s">
        <v>7475</v>
      </c>
      <c r="E6572" t="s">
        <v>17206</v>
      </c>
      <c r="F6572">
        <v>177</v>
      </c>
      <c r="G6572">
        <v>2092623</v>
      </c>
      <c r="H6572" t="s">
        <v>17207</v>
      </c>
      <c r="J6572" s="54" t="s">
        <v>6052</v>
      </c>
      <c r="K6572" s="54">
        <v>0</v>
      </c>
      <c r="L6572" s="22" t="s">
        <v>104</v>
      </c>
      <c r="M6572" s="22" t="s">
        <v>37322</v>
      </c>
    </row>
    <row r="6573" spans="1:13" x14ac:dyDescent="0.75">
      <c r="A6573" t="s">
        <v>27699</v>
      </c>
      <c r="B6573" t="s">
        <v>7474</v>
      </c>
      <c r="C6573" t="s">
        <v>6093</v>
      </c>
      <c r="D6573" t="s">
        <v>7475</v>
      </c>
      <c r="E6573" t="s">
        <v>27700</v>
      </c>
      <c r="F6573">
        <v>1</v>
      </c>
      <c r="G6573">
        <v>2000351</v>
      </c>
      <c r="H6573" t="s">
        <v>27701</v>
      </c>
      <c r="J6573" s="54" t="s">
        <v>6052</v>
      </c>
      <c r="K6573" s="54">
        <v>0</v>
      </c>
      <c r="L6573" s="22" t="s">
        <v>104</v>
      </c>
      <c r="M6573" s="22" t="s">
        <v>37322</v>
      </c>
    </row>
    <row r="6574" spans="1:13" x14ac:dyDescent="0.75">
      <c r="A6574" t="s">
        <v>27768</v>
      </c>
      <c r="B6574" t="s">
        <v>7474</v>
      </c>
      <c r="C6574" t="s">
        <v>6093</v>
      </c>
      <c r="D6574" t="s">
        <v>7475</v>
      </c>
      <c r="E6574" t="s">
        <v>27769</v>
      </c>
      <c r="F6574">
        <v>1</v>
      </c>
      <c r="G6574">
        <v>2176084</v>
      </c>
      <c r="H6574" t="s">
        <v>27770</v>
      </c>
      <c r="J6574" s="54" t="s">
        <v>6052</v>
      </c>
      <c r="K6574" s="54">
        <v>0</v>
      </c>
      <c r="L6574" s="22" t="s">
        <v>104</v>
      </c>
      <c r="M6574" s="22" t="s">
        <v>37322</v>
      </c>
    </row>
    <row r="6575" spans="1:13" x14ac:dyDescent="0.75">
      <c r="A6575" t="s">
        <v>23147</v>
      </c>
      <c r="B6575" t="s">
        <v>7474</v>
      </c>
      <c r="C6575" t="s">
        <v>6093</v>
      </c>
      <c r="D6575" t="s">
        <v>7475</v>
      </c>
      <c r="E6575" t="s">
        <v>23148</v>
      </c>
      <c r="F6575">
        <v>22</v>
      </c>
      <c r="G6575">
        <v>1971746</v>
      </c>
      <c r="H6575" t="s">
        <v>23149</v>
      </c>
      <c r="J6575" s="54" t="s">
        <v>6052</v>
      </c>
      <c r="K6575" s="54">
        <v>0</v>
      </c>
      <c r="L6575" s="22" t="s">
        <v>104</v>
      </c>
      <c r="M6575" s="22" t="s">
        <v>37322</v>
      </c>
    </row>
    <row r="6576" spans="1:13" x14ac:dyDescent="0.75">
      <c r="A6576" t="s">
        <v>17345</v>
      </c>
      <c r="B6576" t="s">
        <v>7474</v>
      </c>
      <c r="C6576" t="s">
        <v>6093</v>
      </c>
      <c r="D6576" t="s">
        <v>7475</v>
      </c>
      <c r="E6576" t="s">
        <v>17346</v>
      </c>
      <c r="F6576">
        <v>30</v>
      </c>
      <c r="G6576">
        <v>2041836</v>
      </c>
      <c r="H6576" t="s">
        <v>17347</v>
      </c>
      <c r="J6576" s="54" t="s">
        <v>6052</v>
      </c>
      <c r="K6576" s="54">
        <v>0</v>
      </c>
      <c r="L6576" s="22" t="s">
        <v>104</v>
      </c>
      <c r="M6576" s="22" t="s">
        <v>37322</v>
      </c>
    </row>
    <row r="6577" spans="1:13" x14ac:dyDescent="0.75">
      <c r="A6577" t="s">
        <v>26180</v>
      </c>
      <c r="B6577" t="s">
        <v>7474</v>
      </c>
      <c r="C6577" t="s">
        <v>6093</v>
      </c>
      <c r="D6577" t="s">
        <v>7475</v>
      </c>
      <c r="E6577" t="s">
        <v>26181</v>
      </c>
      <c r="F6577">
        <v>11</v>
      </c>
      <c r="G6577">
        <v>1973970</v>
      </c>
      <c r="H6577" t="s">
        <v>26182</v>
      </c>
      <c r="J6577" s="54" t="s">
        <v>6052</v>
      </c>
      <c r="K6577" s="54">
        <v>0</v>
      </c>
      <c r="L6577" s="22" t="s">
        <v>104</v>
      </c>
      <c r="M6577" s="22" t="s">
        <v>37322</v>
      </c>
    </row>
    <row r="6578" spans="1:13" x14ac:dyDescent="0.75">
      <c r="A6578" t="s">
        <v>7318</v>
      </c>
      <c r="B6578" t="s">
        <v>7319</v>
      </c>
      <c r="C6578" t="s">
        <v>6093</v>
      </c>
      <c r="D6578" t="s">
        <v>7320</v>
      </c>
      <c r="E6578" t="s">
        <v>7321</v>
      </c>
      <c r="F6578">
        <v>17</v>
      </c>
      <c r="G6578">
        <v>2239421</v>
      </c>
      <c r="H6578" t="s">
        <v>7322</v>
      </c>
      <c r="J6578" s="54" t="s">
        <v>6052</v>
      </c>
      <c r="K6578" s="54">
        <v>0</v>
      </c>
      <c r="L6578" s="22" t="s">
        <v>104</v>
      </c>
      <c r="M6578" s="22" t="s">
        <v>37335</v>
      </c>
    </row>
    <row r="6579" spans="1:13" x14ac:dyDescent="0.75">
      <c r="A6579" t="s">
        <v>27620</v>
      </c>
      <c r="B6579" t="s">
        <v>7319</v>
      </c>
      <c r="C6579" t="s">
        <v>6093</v>
      </c>
      <c r="D6579" t="s">
        <v>7320</v>
      </c>
      <c r="E6579" t="s">
        <v>27621</v>
      </c>
      <c r="F6579">
        <v>3</v>
      </c>
      <c r="G6579">
        <v>2232110</v>
      </c>
      <c r="H6579" t="s">
        <v>27622</v>
      </c>
      <c r="J6579" s="54" t="s">
        <v>6052</v>
      </c>
      <c r="K6579" s="54">
        <v>0</v>
      </c>
      <c r="L6579" s="22" t="s">
        <v>104</v>
      </c>
      <c r="M6579" s="22" t="s">
        <v>37335</v>
      </c>
    </row>
    <row r="6580" spans="1:13" x14ac:dyDescent="0.75">
      <c r="A6580" t="s">
        <v>30658</v>
      </c>
      <c r="B6580" t="s">
        <v>7319</v>
      </c>
      <c r="C6580" t="s">
        <v>6093</v>
      </c>
      <c r="D6580" t="s">
        <v>7320</v>
      </c>
      <c r="E6580" t="s">
        <v>30659</v>
      </c>
      <c r="F6580">
        <v>111</v>
      </c>
      <c r="G6580">
        <v>1991584</v>
      </c>
      <c r="H6580" t="s">
        <v>30660</v>
      </c>
      <c r="J6580" s="54" t="s">
        <v>6052</v>
      </c>
      <c r="K6580" s="54">
        <v>0</v>
      </c>
      <c r="L6580" s="22" t="s">
        <v>104</v>
      </c>
      <c r="M6580" s="22" t="s">
        <v>37335</v>
      </c>
    </row>
    <row r="6581" spans="1:13" x14ac:dyDescent="0.75">
      <c r="A6581" t="s">
        <v>21637</v>
      </c>
      <c r="B6581" t="s">
        <v>6303</v>
      </c>
      <c r="C6581" t="s">
        <v>6093</v>
      </c>
      <c r="D6581" t="s">
        <v>6304</v>
      </c>
      <c r="E6581">
        <v>38</v>
      </c>
      <c r="F6581">
        <v>9</v>
      </c>
      <c r="G6581">
        <v>2164419</v>
      </c>
      <c r="H6581" t="s">
        <v>21638</v>
      </c>
      <c r="J6581" s="54" t="s">
        <v>6052</v>
      </c>
      <c r="K6581" s="54">
        <v>0</v>
      </c>
      <c r="L6581" s="22" t="s">
        <v>104</v>
      </c>
      <c r="M6581" s="22" t="s">
        <v>37309</v>
      </c>
    </row>
    <row r="6582" spans="1:13" x14ac:dyDescent="0.75">
      <c r="A6582" t="s">
        <v>21642</v>
      </c>
      <c r="B6582" t="s">
        <v>6303</v>
      </c>
      <c r="C6582" t="s">
        <v>6093</v>
      </c>
      <c r="D6582" t="s">
        <v>6304</v>
      </c>
      <c r="E6582">
        <v>10558</v>
      </c>
      <c r="F6582">
        <v>13</v>
      </c>
      <c r="G6582">
        <v>2165874</v>
      </c>
      <c r="H6582" t="s">
        <v>21643</v>
      </c>
      <c r="J6582" s="54" t="s">
        <v>6052</v>
      </c>
      <c r="K6582" s="54">
        <v>0</v>
      </c>
      <c r="L6582" s="22" t="s">
        <v>104</v>
      </c>
      <c r="M6582" s="22" t="s">
        <v>37309</v>
      </c>
    </row>
    <row r="6583" spans="1:13" x14ac:dyDescent="0.75">
      <c r="A6583" t="s">
        <v>21342</v>
      </c>
      <c r="B6583" t="s">
        <v>6303</v>
      </c>
      <c r="C6583" t="s">
        <v>6093</v>
      </c>
      <c r="D6583" t="s">
        <v>6304</v>
      </c>
      <c r="E6583" t="s">
        <v>21343</v>
      </c>
      <c r="F6583">
        <v>65</v>
      </c>
      <c r="G6583">
        <v>2249747</v>
      </c>
      <c r="H6583" t="s">
        <v>21344</v>
      </c>
      <c r="J6583" s="54" t="s">
        <v>6052</v>
      </c>
      <c r="K6583" s="54">
        <v>0</v>
      </c>
      <c r="L6583" s="22" t="s">
        <v>104</v>
      </c>
      <c r="M6583" s="22" t="s">
        <v>37309</v>
      </c>
    </row>
    <row r="6584" spans="1:13" x14ac:dyDescent="0.75">
      <c r="A6584" t="s">
        <v>24479</v>
      </c>
      <c r="B6584" t="s">
        <v>6303</v>
      </c>
      <c r="C6584" t="s">
        <v>6093</v>
      </c>
      <c r="D6584" t="s">
        <v>6304</v>
      </c>
      <c r="E6584" t="s">
        <v>24480</v>
      </c>
      <c r="F6584">
        <v>50</v>
      </c>
      <c r="G6584">
        <v>2191635</v>
      </c>
      <c r="H6584" t="s">
        <v>24481</v>
      </c>
      <c r="J6584" s="54" t="s">
        <v>6052</v>
      </c>
      <c r="K6584" s="54">
        <v>0</v>
      </c>
      <c r="L6584" s="22" t="s">
        <v>104</v>
      </c>
      <c r="M6584" s="22" t="s">
        <v>37309</v>
      </c>
    </row>
    <row r="6585" spans="1:13" x14ac:dyDescent="0.75">
      <c r="A6585" t="s">
        <v>6958</v>
      </c>
      <c r="B6585" t="s">
        <v>6303</v>
      </c>
      <c r="C6585" t="s">
        <v>6093</v>
      </c>
      <c r="D6585" t="s">
        <v>6304</v>
      </c>
      <c r="E6585" t="s">
        <v>6959</v>
      </c>
      <c r="F6585">
        <v>13</v>
      </c>
      <c r="G6585">
        <v>2231411</v>
      </c>
      <c r="H6585" t="s">
        <v>6960</v>
      </c>
      <c r="J6585" s="54" t="s">
        <v>6052</v>
      </c>
      <c r="K6585" s="54">
        <v>0</v>
      </c>
      <c r="L6585" s="22" t="s">
        <v>104</v>
      </c>
      <c r="M6585" s="22" t="s">
        <v>37309</v>
      </c>
    </row>
    <row r="6586" spans="1:13" x14ac:dyDescent="0.75">
      <c r="A6586" t="s">
        <v>11312</v>
      </c>
      <c r="B6586" t="s">
        <v>6303</v>
      </c>
      <c r="C6586" t="s">
        <v>6093</v>
      </c>
      <c r="D6586" t="s">
        <v>6304</v>
      </c>
      <c r="E6586" t="s">
        <v>11313</v>
      </c>
      <c r="F6586">
        <v>153</v>
      </c>
      <c r="G6586">
        <v>2190411</v>
      </c>
      <c r="H6586" t="s">
        <v>11314</v>
      </c>
      <c r="J6586" s="54" t="s">
        <v>6052</v>
      </c>
      <c r="K6586" s="54">
        <v>0</v>
      </c>
      <c r="L6586" s="22" t="s">
        <v>104</v>
      </c>
      <c r="M6586" s="22" t="s">
        <v>37309</v>
      </c>
    </row>
    <row r="6587" spans="1:13" x14ac:dyDescent="0.75">
      <c r="A6587" t="s">
        <v>11318</v>
      </c>
      <c r="B6587" t="s">
        <v>6303</v>
      </c>
      <c r="C6587" t="s">
        <v>6093</v>
      </c>
      <c r="D6587" t="s">
        <v>6304</v>
      </c>
      <c r="E6587" t="s">
        <v>11319</v>
      </c>
      <c r="F6587">
        <v>71</v>
      </c>
      <c r="G6587">
        <v>2186177</v>
      </c>
      <c r="H6587" t="s">
        <v>11320</v>
      </c>
      <c r="J6587" s="54" t="s">
        <v>6052</v>
      </c>
      <c r="K6587" s="54">
        <v>0</v>
      </c>
      <c r="L6587" s="22" t="s">
        <v>104</v>
      </c>
      <c r="M6587" s="22" t="s">
        <v>37309</v>
      </c>
    </row>
    <row r="6588" spans="1:13" x14ac:dyDescent="0.75">
      <c r="A6588" t="s">
        <v>16292</v>
      </c>
      <c r="B6588" t="s">
        <v>6303</v>
      </c>
      <c r="C6588" t="s">
        <v>6093</v>
      </c>
      <c r="D6588" t="s">
        <v>6304</v>
      </c>
      <c r="E6588" t="s">
        <v>16293</v>
      </c>
      <c r="F6588">
        <v>12</v>
      </c>
      <c r="G6588">
        <v>2155301</v>
      </c>
      <c r="H6588" t="s">
        <v>16294</v>
      </c>
      <c r="J6588" s="54" t="s">
        <v>6052</v>
      </c>
      <c r="K6588" s="54">
        <v>0</v>
      </c>
      <c r="L6588" s="22" t="s">
        <v>104</v>
      </c>
      <c r="M6588" s="22" t="s">
        <v>37309</v>
      </c>
    </row>
    <row r="6589" spans="1:13" x14ac:dyDescent="0.75">
      <c r="A6589" t="s">
        <v>16218</v>
      </c>
      <c r="B6589" t="s">
        <v>6303</v>
      </c>
      <c r="C6589" t="s">
        <v>6093</v>
      </c>
      <c r="D6589" t="s">
        <v>6304</v>
      </c>
      <c r="E6589" t="s">
        <v>16219</v>
      </c>
      <c r="F6589">
        <v>61</v>
      </c>
      <c r="G6589">
        <v>2280671</v>
      </c>
      <c r="H6589" t="s">
        <v>16220</v>
      </c>
      <c r="J6589" s="54" t="s">
        <v>6052</v>
      </c>
      <c r="K6589" s="54">
        <v>0</v>
      </c>
      <c r="L6589" s="22" t="s">
        <v>104</v>
      </c>
      <c r="M6589" s="22" t="s">
        <v>37309</v>
      </c>
    </row>
    <row r="6590" spans="1:13" x14ac:dyDescent="0.75">
      <c r="A6590" t="s">
        <v>24482</v>
      </c>
      <c r="B6590" t="s">
        <v>6303</v>
      </c>
      <c r="C6590" t="s">
        <v>6093</v>
      </c>
      <c r="D6590" t="s">
        <v>6304</v>
      </c>
      <c r="E6590" t="s">
        <v>24483</v>
      </c>
      <c r="F6590">
        <v>17</v>
      </c>
      <c r="G6590">
        <v>2249569</v>
      </c>
      <c r="H6590" t="s">
        <v>24484</v>
      </c>
      <c r="J6590" s="54" t="s">
        <v>6052</v>
      </c>
      <c r="K6590" s="54">
        <v>0</v>
      </c>
      <c r="L6590" s="22" t="s">
        <v>104</v>
      </c>
      <c r="M6590" s="22" t="s">
        <v>37309</v>
      </c>
    </row>
    <row r="6591" spans="1:13" x14ac:dyDescent="0.75">
      <c r="A6591" t="s">
        <v>24476</v>
      </c>
      <c r="B6591" t="s">
        <v>6303</v>
      </c>
      <c r="C6591" t="s">
        <v>6093</v>
      </c>
      <c r="D6591" t="s">
        <v>6304</v>
      </c>
      <c r="E6591" t="s">
        <v>24477</v>
      </c>
      <c r="F6591">
        <v>35</v>
      </c>
      <c r="G6591">
        <v>2249164</v>
      </c>
      <c r="H6591" t="s">
        <v>24478</v>
      </c>
      <c r="J6591" s="54" t="s">
        <v>6052</v>
      </c>
      <c r="K6591" s="54">
        <v>0</v>
      </c>
      <c r="L6591" s="22" t="s">
        <v>104</v>
      </c>
      <c r="M6591" s="22" t="s">
        <v>37309</v>
      </c>
    </row>
    <row r="6592" spans="1:13" x14ac:dyDescent="0.75">
      <c r="A6592" t="s">
        <v>24473</v>
      </c>
      <c r="B6592" t="s">
        <v>6303</v>
      </c>
      <c r="C6592" t="s">
        <v>6093</v>
      </c>
      <c r="D6592" t="s">
        <v>6304</v>
      </c>
      <c r="E6592" t="s">
        <v>24474</v>
      </c>
      <c r="F6592">
        <v>17</v>
      </c>
      <c r="G6592">
        <v>2230379</v>
      </c>
      <c r="H6592" t="s">
        <v>24475</v>
      </c>
      <c r="J6592" s="54" t="s">
        <v>6052</v>
      </c>
      <c r="K6592" s="54">
        <v>0</v>
      </c>
      <c r="L6592" s="22" t="s">
        <v>104</v>
      </c>
      <c r="M6592" s="22" t="s">
        <v>37309</v>
      </c>
    </row>
    <row r="6593" spans="1:13" x14ac:dyDescent="0.75">
      <c r="A6593" t="s">
        <v>24470</v>
      </c>
      <c r="B6593" t="s">
        <v>6303</v>
      </c>
      <c r="C6593" t="s">
        <v>6093</v>
      </c>
      <c r="D6593" t="s">
        <v>6304</v>
      </c>
      <c r="E6593" t="s">
        <v>24471</v>
      </c>
      <c r="F6593">
        <v>9</v>
      </c>
      <c r="G6593">
        <v>2206727</v>
      </c>
      <c r="H6593" t="s">
        <v>24472</v>
      </c>
      <c r="J6593" s="54" t="s">
        <v>6052</v>
      </c>
      <c r="K6593" s="54">
        <v>0</v>
      </c>
      <c r="L6593" s="22" t="s">
        <v>104</v>
      </c>
      <c r="M6593" s="22" t="s">
        <v>37309</v>
      </c>
    </row>
    <row r="6594" spans="1:13" x14ac:dyDescent="0.75">
      <c r="A6594" t="s">
        <v>24467</v>
      </c>
      <c r="B6594" t="s">
        <v>6303</v>
      </c>
      <c r="C6594" t="s">
        <v>6093</v>
      </c>
      <c r="D6594" t="s">
        <v>6304</v>
      </c>
      <c r="E6594" t="s">
        <v>24468</v>
      </c>
      <c r="F6594">
        <v>11</v>
      </c>
      <c r="G6594">
        <v>2212403</v>
      </c>
      <c r="H6594" t="s">
        <v>24469</v>
      </c>
      <c r="J6594" s="54" t="s">
        <v>6052</v>
      </c>
      <c r="K6594" s="54">
        <v>0</v>
      </c>
      <c r="L6594" s="22" t="s">
        <v>104</v>
      </c>
      <c r="M6594" s="22" t="s">
        <v>37309</v>
      </c>
    </row>
    <row r="6595" spans="1:13" x14ac:dyDescent="0.75">
      <c r="A6595" t="s">
        <v>24464</v>
      </c>
      <c r="B6595" t="s">
        <v>6303</v>
      </c>
      <c r="C6595" t="s">
        <v>6093</v>
      </c>
      <c r="D6595" t="s">
        <v>6304</v>
      </c>
      <c r="E6595" t="s">
        <v>24465</v>
      </c>
      <c r="F6595">
        <v>13</v>
      </c>
      <c r="G6595">
        <v>2200605</v>
      </c>
      <c r="H6595" t="s">
        <v>24466</v>
      </c>
      <c r="J6595" s="54" t="s">
        <v>6052</v>
      </c>
      <c r="K6595" s="54">
        <v>0</v>
      </c>
      <c r="L6595" s="22" t="s">
        <v>104</v>
      </c>
      <c r="M6595" s="22" t="s">
        <v>37309</v>
      </c>
    </row>
    <row r="6596" spans="1:13" x14ac:dyDescent="0.75">
      <c r="A6596" t="s">
        <v>16213</v>
      </c>
      <c r="B6596" t="s">
        <v>6303</v>
      </c>
      <c r="C6596" t="s">
        <v>6093</v>
      </c>
      <c r="D6596" t="s">
        <v>6304</v>
      </c>
      <c r="E6596" t="s">
        <v>16214</v>
      </c>
      <c r="F6596">
        <v>136</v>
      </c>
      <c r="G6596">
        <v>2151963</v>
      </c>
      <c r="H6596" t="s">
        <v>16215</v>
      </c>
      <c r="J6596" s="54" t="s">
        <v>6052</v>
      </c>
      <c r="K6596" s="54">
        <v>0</v>
      </c>
      <c r="L6596" s="22" t="s">
        <v>104</v>
      </c>
      <c r="M6596" s="22" t="s">
        <v>37309</v>
      </c>
    </row>
    <row r="6597" spans="1:13" x14ac:dyDescent="0.75">
      <c r="A6597" t="s">
        <v>16211</v>
      </c>
      <c r="B6597" t="s">
        <v>6303</v>
      </c>
      <c r="C6597" t="s">
        <v>6093</v>
      </c>
      <c r="D6597" t="s">
        <v>6304</v>
      </c>
      <c r="E6597" t="s">
        <v>7101</v>
      </c>
      <c r="F6597">
        <v>19</v>
      </c>
      <c r="G6597">
        <v>2225347</v>
      </c>
      <c r="H6597" t="s">
        <v>16212</v>
      </c>
      <c r="J6597" s="54" t="s">
        <v>6052</v>
      </c>
      <c r="K6597" s="54">
        <v>0</v>
      </c>
      <c r="L6597" s="22" t="s">
        <v>104</v>
      </c>
      <c r="M6597" s="22" t="s">
        <v>37309</v>
      </c>
    </row>
    <row r="6598" spans="1:13" x14ac:dyDescent="0.75">
      <c r="A6598" t="s">
        <v>16216</v>
      </c>
      <c r="B6598" t="s">
        <v>6303</v>
      </c>
      <c r="C6598" t="s">
        <v>6093</v>
      </c>
      <c r="D6598" t="s">
        <v>6304</v>
      </c>
      <c r="E6598" t="s">
        <v>9090</v>
      </c>
      <c r="F6598">
        <v>24</v>
      </c>
      <c r="G6598">
        <v>2182769</v>
      </c>
      <c r="H6598" t="s">
        <v>16217</v>
      </c>
      <c r="J6598" s="54" t="s">
        <v>6052</v>
      </c>
      <c r="K6598" s="54">
        <v>0</v>
      </c>
      <c r="L6598" s="22" t="s">
        <v>104</v>
      </c>
      <c r="M6598" s="22" t="s">
        <v>37309</v>
      </c>
    </row>
    <row r="6599" spans="1:13" x14ac:dyDescent="0.75">
      <c r="A6599" t="s">
        <v>24698</v>
      </c>
      <c r="B6599" t="s">
        <v>6303</v>
      </c>
      <c r="C6599" t="s">
        <v>6093</v>
      </c>
      <c r="D6599" t="s">
        <v>6304</v>
      </c>
      <c r="E6599" t="s">
        <v>24699</v>
      </c>
      <c r="F6599">
        <v>28</v>
      </c>
      <c r="G6599">
        <v>2132479</v>
      </c>
      <c r="H6599" t="s">
        <v>24700</v>
      </c>
      <c r="J6599" s="54" t="s">
        <v>6052</v>
      </c>
      <c r="K6599" s="54">
        <v>0</v>
      </c>
      <c r="L6599" s="22" t="s">
        <v>104</v>
      </c>
      <c r="M6599" s="22" t="s">
        <v>37309</v>
      </c>
    </row>
    <row r="6600" spans="1:13" x14ac:dyDescent="0.75">
      <c r="A6600" t="s">
        <v>24631</v>
      </c>
      <c r="B6600" t="s">
        <v>6303</v>
      </c>
      <c r="C6600" t="s">
        <v>6093</v>
      </c>
      <c r="D6600" t="s">
        <v>6304</v>
      </c>
      <c r="E6600" t="s">
        <v>24632</v>
      </c>
      <c r="F6600">
        <v>19</v>
      </c>
      <c r="G6600">
        <v>2197303</v>
      </c>
      <c r="H6600" t="s">
        <v>24633</v>
      </c>
      <c r="J6600" s="54" t="s">
        <v>6052</v>
      </c>
      <c r="K6600" s="54">
        <v>0</v>
      </c>
      <c r="L6600" s="22" t="s">
        <v>104</v>
      </c>
      <c r="M6600" s="22" t="s">
        <v>37309</v>
      </c>
    </row>
    <row r="6601" spans="1:13" x14ac:dyDescent="0.75">
      <c r="A6601" t="s">
        <v>15600</v>
      </c>
      <c r="B6601" t="s">
        <v>6303</v>
      </c>
      <c r="C6601" t="s">
        <v>6093</v>
      </c>
      <c r="D6601" t="s">
        <v>6304</v>
      </c>
      <c r="E6601" t="s">
        <v>15601</v>
      </c>
      <c r="F6601">
        <v>14</v>
      </c>
      <c r="G6601">
        <v>2231694</v>
      </c>
      <c r="H6601" t="s">
        <v>15602</v>
      </c>
      <c r="J6601" s="54" t="s">
        <v>6052</v>
      </c>
      <c r="K6601" s="54">
        <v>0</v>
      </c>
      <c r="L6601" s="22" t="s">
        <v>104</v>
      </c>
      <c r="M6601" s="22" t="s">
        <v>37309</v>
      </c>
    </row>
    <row r="6602" spans="1:13" x14ac:dyDescent="0.75">
      <c r="A6602" t="s">
        <v>11744</v>
      </c>
      <c r="B6602" t="s">
        <v>6303</v>
      </c>
      <c r="C6602" t="s">
        <v>6093</v>
      </c>
      <c r="D6602" t="s">
        <v>6304</v>
      </c>
      <c r="E6602" t="s">
        <v>11745</v>
      </c>
      <c r="F6602">
        <v>66</v>
      </c>
      <c r="G6602">
        <v>2164016</v>
      </c>
      <c r="H6602" t="s">
        <v>11746</v>
      </c>
      <c r="J6602" s="54" t="s">
        <v>6052</v>
      </c>
      <c r="K6602" s="54">
        <v>0</v>
      </c>
      <c r="L6602" s="22" t="s">
        <v>104</v>
      </c>
      <c r="M6602" s="22" t="s">
        <v>37309</v>
      </c>
    </row>
    <row r="6603" spans="1:13" x14ac:dyDescent="0.75">
      <c r="A6603" t="s">
        <v>24461</v>
      </c>
      <c r="B6603" t="s">
        <v>6303</v>
      </c>
      <c r="C6603" t="s">
        <v>6093</v>
      </c>
      <c r="D6603" t="s">
        <v>6304</v>
      </c>
      <c r="E6603" t="s">
        <v>24462</v>
      </c>
      <c r="F6603">
        <v>12</v>
      </c>
      <c r="G6603">
        <v>2211146</v>
      </c>
      <c r="H6603" t="s">
        <v>24463</v>
      </c>
      <c r="J6603" s="54" t="s">
        <v>6052</v>
      </c>
      <c r="K6603" s="54">
        <v>0</v>
      </c>
      <c r="L6603" s="22" t="s">
        <v>104</v>
      </c>
      <c r="M6603" s="22" t="s">
        <v>37309</v>
      </c>
    </row>
    <row r="6604" spans="1:13" x14ac:dyDescent="0.75">
      <c r="A6604" t="s">
        <v>16205</v>
      </c>
      <c r="B6604" t="s">
        <v>6303</v>
      </c>
      <c r="C6604" t="s">
        <v>6093</v>
      </c>
      <c r="D6604" t="s">
        <v>6304</v>
      </c>
      <c r="E6604" t="s">
        <v>16206</v>
      </c>
      <c r="F6604">
        <v>16</v>
      </c>
      <c r="G6604">
        <v>2239661</v>
      </c>
      <c r="H6604" t="s">
        <v>16207</v>
      </c>
      <c r="J6604" s="54" t="s">
        <v>6052</v>
      </c>
      <c r="K6604" s="54">
        <v>0</v>
      </c>
      <c r="L6604" s="22" t="s">
        <v>104</v>
      </c>
      <c r="M6604" s="22" t="s">
        <v>37309</v>
      </c>
    </row>
    <row r="6605" spans="1:13" x14ac:dyDescent="0.75">
      <c r="A6605" t="s">
        <v>16289</v>
      </c>
      <c r="B6605" t="s">
        <v>6303</v>
      </c>
      <c r="C6605" t="s">
        <v>6093</v>
      </c>
      <c r="D6605" t="s">
        <v>6304</v>
      </c>
      <c r="E6605" t="s">
        <v>16290</v>
      </c>
      <c r="F6605">
        <v>25</v>
      </c>
      <c r="G6605">
        <v>2199820</v>
      </c>
      <c r="H6605" t="s">
        <v>16291</v>
      </c>
      <c r="J6605" s="54" t="s">
        <v>6052</v>
      </c>
      <c r="K6605" s="54">
        <v>0</v>
      </c>
      <c r="L6605" s="22" t="s">
        <v>104</v>
      </c>
      <c r="M6605" s="22" t="s">
        <v>37309</v>
      </c>
    </row>
    <row r="6606" spans="1:13" x14ac:dyDescent="0.75">
      <c r="A6606" t="s">
        <v>16286</v>
      </c>
      <c r="B6606" t="s">
        <v>6303</v>
      </c>
      <c r="C6606" t="s">
        <v>6093</v>
      </c>
      <c r="D6606" t="s">
        <v>6304</v>
      </c>
      <c r="E6606" t="s">
        <v>16287</v>
      </c>
      <c r="F6606">
        <v>22</v>
      </c>
      <c r="G6606">
        <v>2136640</v>
      </c>
      <c r="H6606" t="s">
        <v>16288</v>
      </c>
      <c r="J6606" s="54" t="s">
        <v>6052</v>
      </c>
      <c r="K6606" s="54">
        <v>0</v>
      </c>
      <c r="L6606" s="22" t="s">
        <v>104</v>
      </c>
      <c r="M6606" s="22" t="s">
        <v>37309</v>
      </c>
    </row>
    <row r="6607" spans="1:13" x14ac:dyDescent="0.75">
      <c r="A6607" t="s">
        <v>16208</v>
      </c>
      <c r="B6607" t="s">
        <v>6303</v>
      </c>
      <c r="C6607" t="s">
        <v>6093</v>
      </c>
      <c r="D6607" t="s">
        <v>6304</v>
      </c>
      <c r="E6607" t="s">
        <v>16209</v>
      </c>
      <c r="F6607">
        <v>36</v>
      </c>
      <c r="G6607">
        <v>2150535</v>
      </c>
      <c r="H6607" t="s">
        <v>16210</v>
      </c>
      <c r="J6607" s="54" t="s">
        <v>6052</v>
      </c>
      <c r="K6607" s="54">
        <v>0</v>
      </c>
      <c r="L6607" s="22" t="s">
        <v>104</v>
      </c>
      <c r="M6607" s="22" t="s">
        <v>37309</v>
      </c>
    </row>
    <row r="6608" spans="1:13" x14ac:dyDescent="0.75">
      <c r="A6608" t="s">
        <v>16227</v>
      </c>
      <c r="B6608" t="s">
        <v>6303</v>
      </c>
      <c r="C6608" t="s">
        <v>6093</v>
      </c>
      <c r="D6608" t="s">
        <v>6304</v>
      </c>
      <c r="E6608" t="s">
        <v>16228</v>
      </c>
      <c r="F6608">
        <v>125</v>
      </c>
      <c r="G6608">
        <v>2228843</v>
      </c>
      <c r="H6608" t="s">
        <v>16229</v>
      </c>
      <c r="J6608" s="54" t="s">
        <v>6052</v>
      </c>
      <c r="K6608" s="54">
        <v>0</v>
      </c>
      <c r="L6608" s="22" t="s">
        <v>104</v>
      </c>
      <c r="M6608" s="22" t="s">
        <v>37309</v>
      </c>
    </row>
    <row r="6609" spans="1:13" x14ac:dyDescent="0.75">
      <c r="A6609" t="s">
        <v>16230</v>
      </c>
      <c r="B6609" t="s">
        <v>6303</v>
      </c>
      <c r="C6609" t="s">
        <v>6093</v>
      </c>
      <c r="D6609" t="s">
        <v>6304</v>
      </c>
      <c r="E6609" t="s">
        <v>16231</v>
      </c>
      <c r="F6609">
        <v>13</v>
      </c>
      <c r="G6609">
        <v>2194129</v>
      </c>
      <c r="H6609" t="s">
        <v>16232</v>
      </c>
      <c r="J6609" s="54" t="s">
        <v>6052</v>
      </c>
      <c r="K6609" s="54">
        <v>0</v>
      </c>
      <c r="L6609" s="22" t="s">
        <v>104</v>
      </c>
      <c r="M6609" s="22" t="s">
        <v>37309</v>
      </c>
    </row>
    <row r="6610" spans="1:13" x14ac:dyDescent="0.75">
      <c r="A6610" t="s">
        <v>16301</v>
      </c>
      <c r="B6610" t="s">
        <v>6303</v>
      </c>
      <c r="C6610" t="s">
        <v>6093</v>
      </c>
      <c r="D6610" t="s">
        <v>6304</v>
      </c>
      <c r="E6610" t="s">
        <v>16302</v>
      </c>
      <c r="F6610">
        <v>30</v>
      </c>
      <c r="G6610">
        <v>2137816</v>
      </c>
      <c r="H6610" t="s">
        <v>16303</v>
      </c>
      <c r="J6610" s="54" t="s">
        <v>6052</v>
      </c>
      <c r="K6610" s="54">
        <v>0</v>
      </c>
      <c r="L6610" s="22" t="s">
        <v>104</v>
      </c>
      <c r="M6610" s="22" t="s">
        <v>37309</v>
      </c>
    </row>
    <row r="6611" spans="1:13" x14ac:dyDescent="0.75">
      <c r="A6611" t="s">
        <v>16224</v>
      </c>
      <c r="B6611" t="s">
        <v>6303</v>
      </c>
      <c r="C6611" t="s">
        <v>6093</v>
      </c>
      <c r="D6611" t="s">
        <v>6304</v>
      </c>
      <c r="E6611" t="s">
        <v>16225</v>
      </c>
      <c r="F6611">
        <v>73</v>
      </c>
      <c r="G6611">
        <v>2170067</v>
      </c>
      <c r="H6611" t="s">
        <v>16226</v>
      </c>
      <c r="J6611" s="54" t="s">
        <v>6052</v>
      </c>
      <c r="K6611" s="54">
        <v>0</v>
      </c>
      <c r="L6611" s="22" t="s">
        <v>104</v>
      </c>
      <c r="M6611" s="22" t="s">
        <v>37309</v>
      </c>
    </row>
    <row r="6612" spans="1:13" x14ac:dyDescent="0.75">
      <c r="A6612" t="s">
        <v>16304</v>
      </c>
      <c r="B6612" t="s">
        <v>6303</v>
      </c>
      <c r="C6612" t="s">
        <v>6093</v>
      </c>
      <c r="D6612" t="s">
        <v>6304</v>
      </c>
      <c r="E6612" t="s">
        <v>16305</v>
      </c>
      <c r="F6612">
        <v>27</v>
      </c>
      <c r="G6612">
        <v>2243946</v>
      </c>
      <c r="H6612" t="s">
        <v>16306</v>
      </c>
      <c r="J6612" s="54" t="s">
        <v>6052</v>
      </c>
      <c r="K6612" s="54">
        <v>0</v>
      </c>
      <c r="L6612" s="22" t="s">
        <v>104</v>
      </c>
      <c r="M6612" s="22" t="s">
        <v>37309</v>
      </c>
    </row>
    <row r="6613" spans="1:13" x14ac:dyDescent="0.75">
      <c r="A6613" t="s">
        <v>16295</v>
      </c>
      <c r="B6613" t="s">
        <v>6303</v>
      </c>
      <c r="C6613" t="s">
        <v>6093</v>
      </c>
      <c r="D6613" t="s">
        <v>6304</v>
      </c>
      <c r="E6613" t="s">
        <v>16296</v>
      </c>
      <c r="F6613">
        <v>20</v>
      </c>
      <c r="G6613">
        <v>2306361</v>
      </c>
      <c r="H6613" t="s">
        <v>16297</v>
      </c>
      <c r="J6613" s="54" t="s">
        <v>6052</v>
      </c>
      <c r="K6613" s="54">
        <v>0</v>
      </c>
      <c r="L6613" s="22" t="s">
        <v>104</v>
      </c>
      <c r="M6613" s="22" t="s">
        <v>37309</v>
      </c>
    </row>
    <row r="6614" spans="1:13" x14ac:dyDescent="0.75">
      <c r="A6614" t="s">
        <v>12039</v>
      </c>
      <c r="B6614" t="s">
        <v>6303</v>
      </c>
      <c r="C6614" t="s">
        <v>6093</v>
      </c>
      <c r="D6614" t="s">
        <v>6304</v>
      </c>
      <c r="E6614" t="s">
        <v>12040</v>
      </c>
      <c r="F6614">
        <v>50</v>
      </c>
      <c r="G6614">
        <v>2164498</v>
      </c>
      <c r="H6614" t="s">
        <v>12041</v>
      </c>
      <c r="J6614" s="54" t="s">
        <v>6052</v>
      </c>
      <c r="K6614" s="54">
        <v>0</v>
      </c>
      <c r="L6614" s="22" t="s">
        <v>104</v>
      </c>
      <c r="M6614" s="22" t="s">
        <v>37309</v>
      </c>
    </row>
    <row r="6615" spans="1:13" x14ac:dyDescent="0.75">
      <c r="A6615" t="s">
        <v>19853</v>
      </c>
      <c r="B6615" t="s">
        <v>6303</v>
      </c>
      <c r="C6615" t="s">
        <v>6093</v>
      </c>
      <c r="D6615" t="s">
        <v>6304</v>
      </c>
      <c r="E6615" t="s">
        <v>19854</v>
      </c>
      <c r="F6615">
        <v>14</v>
      </c>
      <c r="G6615">
        <v>2240646</v>
      </c>
      <c r="H6615" t="s">
        <v>19855</v>
      </c>
      <c r="J6615" s="54" t="s">
        <v>6052</v>
      </c>
      <c r="K6615" s="54">
        <v>0</v>
      </c>
      <c r="L6615" s="22" t="s">
        <v>104</v>
      </c>
      <c r="M6615" s="22" t="s">
        <v>37309</v>
      </c>
    </row>
    <row r="6616" spans="1:13" x14ac:dyDescent="0.75">
      <c r="A6616" t="s">
        <v>11950</v>
      </c>
      <c r="B6616" t="s">
        <v>6303</v>
      </c>
      <c r="C6616" t="s">
        <v>6093</v>
      </c>
      <c r="D6616" t="s">
        <v>6304</v>
      </c>
      <c r="E6616" t="s">
        <v>11951</v>
      </c>
      <c r="F6616">
        <v>121</v>
      </c>
      <c r="G6616">
        <v>1978194</v>
      </c>
      <c r="H6616" t="s">
        <v>11952</v>
      </c>
      <c r="J6616" s="54" t="s">
        <v>6052</v>
      </c>
      <c r="K6616" s="54">
        <v>0</v>
      </c>
      <c r="L6616" s="22" t="s">
        <v>104</v>
      </c>
      <c r="M6616" s="22" t="s">
        <v>37309</v>
      </c>
    </row>
    <row r="6617" spans="1:13" x14ac:dyDescent="0.75">
      <c r="A6617" t="s">
        <v>11932</v>
      </c>
      <c r="B6617" t="s">
        <v>6303</v>
      </c>
      <c r="C6617" t="s">
        <v>6093</v>
      </c>
      <c r="D6617" t="s">
        <v>6304</v>
      </c>
      <c r="E6617" t="s">
        <v>11933</v>
      </c>
      <c r="F6617">
        <v>48</v>
      </c>
      <c r="G6617">
        <v>2166763</v>
      </c>
      <c r="H6617" t="s">
        <v>11934</v>
      </c>
      <c r="J6617" s="54" t="s">
        <v>6052</v>
      </c>
      <c r="K6617" s="54">
        <v>0</v>
      </c>
      <c r="L6617" s="22" t="s">
        <v>104</v>
      </c>
      <c r="M6617" s="22" t="s">
        <v>37309</v>
      </c>
    </row>
    <row r="6618" spans="1:13" x14ac:dyDescent="0.75">
      <c r="A6618" t="s">
        <v>6302</v>
      </c>
      <c r="B6618" t="s">
        <v>6303</v>
      </c>
      <c r="C6618" t="s">
        <v>6093</v>
      </c>
      <c r="D6618" t="s">
        <v>6304</v>
      </c>
      <c r="E6618" t="s">
        <v>6305</v>
      </c>
      <c r="F6618">
        <v>1</v>
      </c>
      <c r="G6618">
        <v>2196662</v>
      </c>
      <c r="H6618" t="s">
        <v>6306</v>
      </c>
      <c r="J6618" s="54" t="s">
        <v>6052</v>
      </c>
      <c r="K6618" s="54">
        <v>0</v>
      </c>
      <c r="L6618" s="22" t="s">
        <v>104</v>
      </c>
      <c r="M6618" s="22" t="s">
        <v>37309</v>
      </c>
    </row>
    <row r="6619" spans="1:13" x14ac:dyDescent="0.75">
      <c r="A6619" t="s">
        <v>12042</v>
      </c>
      <c r="B6619" t="s">
        <v>6303</v>
      </c>
      <c r="C6619" t="s">
        <v>6093</v>
      </c>
      <c r="D6619" t="s">
        <v>6304</v>
      </c>
      <c r="E6619" t="s">
        <v>12043</v>
      </c>
      <c r="F6619">
        <v>33</v>
      </c>
      <c r="G6619">
        <v>2233494</v>
      </c>
      <c r="H6619" t="s">
        <v>12044</v>
      </c>
      <c r="J6619" s="54" t="s">
        <v>6052</v>
      </c>
      <c r="K6619" s="54">
        <v>0</v>
      </c>
      <c r="L6619" s="22" t="s">
        <v>104</v>
      </c>
      <c r="M6619" s="22" t="s">
        <v>37309</v>
      </c>
    </row>
    <row r="6620" spans="1:13" x14ac:dyDescent="0.75">
      <c r="A6620" t="s">
        <v>21632</v>
      </c>
      <c r="B6620" t="s">
        <v>6303</v>
      </c>
      <c r="C6620" t="s">
        <v>6093</v>
      </c>
      <c r="D6620" t="s">
        <v>6304</v>
      </c>
      <c r="E6620" t="s">
        <v>10056</v>
      </c>
      <c r="F6620">
        <v>17</v>
      </c>
      <c r="G6620">
        <v>2227230</v>
      </c>
      <c r="H6620" t="s">
        <v>21633</v>
      </c>
      <c r="J6620" s="54" t="s">
        <v>6052</v>
      </c>
      <c r="K6620" s="54">
        <v>0</v>
      </c>
      <c r="L6620" s="22" t="s">
        <v>104</v>
      </c>
      <c r="M6620" s="22" t="s">
        <v>37309</v>
      </c>
    </row>
    <row r="6621" spans="1:13" x14ac:dyDescent="0.75">
      <c r="A6621" t="s">
        <v>21634</v>
      </c>
      <c r="B6621" t="s">
        <v>6303</v>
      </c>
      <c r="C6621" t="s">
        <v>6093</v>
      </c>
      <c r="D6621" t="s">
        <v>6304</v>
      </c>
      <c r="E6621" t="s">
        <v>21635</v>
      </c>
      <c r="F6621">
        <v>18</v>
      </c>
      <c r="G6621">
        <v>2231477</v>
      </c>
      <c r="H6621" t="s">
        <v>21636</v>
      </c>
      <c r="J6621" s="54" t="s">
        <v>6052</v>
      </c>
      <c r="K6621" s="54">
        <v>0</v>
      </c>
      <c r="L6621" s="22" t="s">
        <v>104</v>
      </c>
      <c r="M6621" s="22" t="s">
        <v>37309</v>
      </c>
    </row>
    <row r="6622" spans="1:13" x14ac:dyDescent="0.75">
      <c r="A6622" t="s">
        <v>21629</v>
      </c>
      <c r="B6622" t="s">
        <v>6303</v>
      </c>
      <c r="C6622" t="s">
        <v>6093</v>
      </c>
      <c r="D6622" t="s">
        <v>6304</v>
      </c>
      <c r="E6622" t="s">
        <v>21630</v>
      </c>
      <c r="F6622">
        <v>16</v>
      </c>
      <c r="G6622">
        <v>2236480</v>
      </c>
      <c r="H6622" t="s">
        <v>21631</v>
      </c>
      <c r="J6622" s="54" t="s">
        <v>6052</v>
      </c>
      <c r="K6622" s="54">
        <v>0</v>
      </c>
      <c r="L6622" s="22" t="s">
        <v>104</v>
      </c>
      <c r="M6622" s="22" t="s">
        <v>37309</v>
      </c>
    </row>
    <row r="6623" spans="1:13" x14ac:dyDescent="0.75">
      <c r="A6623" t="s">
        <v>24499</v>
      </c>
      <c r="B6623" t="s">
        <v>6303</v>
      </c>
      <c r="C6623" t="s">
        <v>6093</v>
      </c>
      <c r="D6623" t="s">
        <v>6304</v>
      </c>
      <c r="E6623" t="s">
        <v>24497</v>
      </c>
      <c r="F6623">
        <v>14</v>
      </c>
      <c r="G6623">
        <v>2204031</v>
      </c>
      <c r="H6623" t="s">
        <v>24500</v>
      </c>
      <c r="J6623" s="54" t="s">
        <v>6052</v>
      </c>
      <c r="K6623" s="54">
        <v>0</v>
      </c>
      <c r="L6623" s="22" t="s">
        <v>104</v>
      </c>
      <c r="M6623" s="22" t="s">
        <v>37309</v>
      </c>
    </row>
    <row r="6624" spans="1:13" x14ac:dyDescent="0.75">
      <c r="A6624" t="s">
        <v>19763</v>
      </c>
      <c r="B6624" t="s">
        <v>6303</v>
      </c>
      <c r="C6624" t="s">
        <v>6093</v>
      </c>
      <c r="D6624" t="s">
        <v>6304</v>
      </c>
      <c r="E6624" t="s">
        <v>19764</v>
      </c>
      <c r="F6624">
        <v>87</v>
      </c>
      <c r="G6624">
        <v>2181005</v>
      </c>
      <c r="H6624" t="s">
        <v>19765</v>
      </c>
      <c r="J6624" s="54" t="s">
        <v>6052</v>
      </c>
      <c r="K6624" s="54">
        <v>0</v>
      </c>
      <c r="L6624" s="22" t="s">
        <v>104</v>
      </c>
      <c r="M6624" s="22" t="s">
        <v>37309</v>
      </c>
    </row>
    <row r="6625" spans="1:13" x14ac:dyDescent="0.75">
      <c r="A6625" t="s">
        <v>21795</v>
      </c>
      <c r="B6625" t="s">
        <v>6303</v>
      </c>
      <c r="C6625" t="s">
        <v>6093</v>
      </c>
      <c r="D6625" t="s">
        <v>6304</v>
      </c>
      <c r="E6625" t="s">
        <v>21796</v>
      </c>
      <c r="F6625">
        <v>74</v>
      </c>
      <c r="G6625">
        <v>2215581</v>
      </c>
      <c r="H6625" t="s">
        <v>21797</v>
      </c>
      <c r="J6625" s="54" t="s">
        <v>6052</v>
      </c>
      <c r="K6625" s="54">
        <v>0</v>
      </c>
      <c r="L6625" s="22" t="s">
        <v>104</v>
      </c>
      <c r="M6625" s="22" t="s">
        <v>37309</v>
      </c>
    </row>
    <row r="6626" spans="1:13" x14ac:dyDescent="0.75">
      <c r="A6626" t="s">
        <v>21766</v>
      </c>
      <c r="B6626" t="s">
        <v>6303</v>
      </c>
      <c r="C6626" t="s">
        <v>6093</v>
      </c>
      <c r="D6626" t="s">
        <v>6304</v>
      </c>
      <c r="E6626" t="s">
        <v>21767</v>
      </c>
      <c r="F6626">
        <v>52</v>
      </c>
      <c r="G6626">
        <v>2236381</v>
      </c>
      <c r="H6626" t="s">
        <v>21768</v>
      </c>
      <c r="J6626" s="54" t="s">
        <v>6052</v>
      </c>
      <c r="K6626" s="54">
        <v>0</v>
      </c>
      <c r="L6626" s="22" t="s">
        <v>104</v>
      </c>
      <c r="M6626" s="22" t="s">
        <v>37309</v>
      </c>
    </row>
    <row r="6627" spans="1:13" x14ac:dyDescent="0.75">
      <c r="A6627" t="s">
        <v>22348</v>
      </c>
      <c r="B6627" t="s">
        <v>6303</v>
      </c>
      <c r="C6627" t="s">
        <v>6093</v>
      </c>
      <c r="D6627" t="s">
        <v>6304</v>
      </c>
      <c r="E6627" t="s">
        <v>22349</v>
      </c>
      <c r="F6627">
        <v>168</v>
      </c>
      <c r="G6627">
        <v>2274423</v>
      </c>
      <c r="H6627" t="s">
        <v>22350</v>
      </c>
      <c r="J6627" s="54" t="s">
        <v>6052</v>
      </c>
      <c r="K6627" s="54">
        <v>0</v>
      </c>
      <c r="L6627" s="22" t="s">
        <v>104</v>
      </c>
      <c r="M6627" s="22" t="s">
        <v>37309</v>
      </c>
    </row>
    <row r="6628" spans="1:13" x14ac:dyDescent="0.75">
      <c r="A6628" t="s">
        <v>22345</v>
      </c>
      <c r="B6628" t="s">
        <v>6303</v>
      </c>
      <c r="C6628" t="s">
        <v>6093</v>
      </c>
      <c r="D6628" t="s">
        <v>6304</v>
      </c>
      <c r="E6628" t="s">
        <v>22346</v>
      </c>
      <c r="F6628">
        <v>60</v>
      </c>
      <c r="G6628">
        <v>2206294</v>
      </c>
      <c r="H6628" t="s">
        <v>22347</v>
      </c>
      <c r="J6628" s="54" t="s">
        <v>6052</v>
      </c>
      <c r="K6628" s="54">
        <v>0</v>
      </c>
      <c r="L6628" s="22" t="s">
        <v>104</v>
      </c>
      <c r="M6628" s="22" t="s">
        <v>37309</v>
      </c>
    </row>
    <row r="6629" spans="1:13" x14ac:dyDescent="0.75">
      <c r="A6629" t="s">
        <v>21763</v>
      </c>
      <c r="B6629" t="s">
        <v>6303</v>
      </c>
      <c r="C6629" t="s">
        <v>6093</v>
      </c>
      <c r="D6629" t="s">
        <v>6304</v>
      </c>
      <c r="E6629" t="s">
        <v>21764</v>
      </c>
      <c r="F6629">
        <v>38</v>
      </c>
      <c r="G6629">
        <v>2217339</v>
      </c>
      <c r="H6629" t="s">
        <v>21765</v>
      </c>
      <c r="J6629" s="54" t="s">
        <v>6052</v>
      </c>
      <c r="K6629" s="54">
        <v>0</v>
      </c>
      <c r="L6629" s="22" t="s">
        <v>104</v>
      </c>
      <c r="M6629" s="22" t="s">
        <v>37309</v>
      </c>
    </row>
    <row r="6630" spans="1:13" x14ac:dyDescent="0.75">
      <c r="A6630" t="s">
        <v>21626</v>
      </c>
      <c r="B6630" t="s">
        <v>6303</v>
      </c>
      <c r="C6630" t="s">
        <v>6093</v>
      </c>
      <c r="D6630" t="s">
        <v>6304</v>
      </c>
      <c r="E6630" t="s">
        <v>21627</v>
      </c>
      <c r="F6630">
        <v>17</v>
      </c>
      <c r="G6630">
        <v>2174351</v>
      </c>
      <c r="H6630" t="s">
        <v>21628</v>
      </c>
      <c r="J6630" s="54" t="s">
        <v>6052</v>
      </c>
      <c r="K6630" s="54">
        <v>0</v>
      </c>
      <c r="L6630" s="22" t="s">
        <v>104</v>
      </c>
      <c r="M6630" s="22" t="s">
        <v>37309</v>
      </c>
    </row>
    <row r="6631" spans="1:13" x14ac:dyDescent="0.75">
      <c r="A6631" t="s">
        <v>21107</v>
      </c>
      <c r="B6631" t="s">
        <v>6303</v>
      </c>
      <c r="C6631" t="s">
        <v>6093</v>
      </c>
      <c r="D6631" t="s">
        <v>6304</v>
      </c>
      <c r="E6631" t="s">
        <v>21108</v>
      </c>
      <c r="F6631">
        <v>1</v>
      </c>
      <c r="G6631">
        <v>2187618</v>
      </c>
      <c r="H6631" t="s">
        <v>21109</v>
      </c>
      <c r="J6631" s="54" t="s">
        <v>6052</v>
      </c>
      <c r="K6631" s="54">
        <v>0</v>
      </c>
      <c r="L6631" s="22" t="s">
        <v>104</v>
      </c>
      <c r="M6631" s="22" t="s">
        <v>37309</v>
      </c>
    </row>
    <row r="6632" spans="1:13" x14ac:dyDescent="0.75">
      <c r="A6632" t="s">
        <v>21110</v>
      </c>
      <c r="B6632" t="s">
        <v>6303</v>
      </c>
      <c r="C6632" t="s">
        <v>6093</v>
      </c>
      <c r="D6632" t="s">
        <v>6304</v>
      </c>
      <c r="E6632" t="s">
        <v>21111</v>
      </c>
      <c r="F6632">
        <v>1</v>
      </c>
      <c r="G6632">
        <v>2154796</v>
      </c>
      <c r="H6632" t="s">
        <v>21112</v>
      </c>
      <c r="J6632" s="54" t="s">
        <v>6052</v>
      </c>
      <c r="K6632" s="54">
        <v>0</v>
      </c>
      <c r="L6632" s="22" t="s">
        <v>104</v>
      </c>
      <c r="M6632" s="22" t="s">
        <v>37309</v>
      </c>
    </row>
    <row r="6633" spans="1:13" x14ac:dyDescent="0.75">
      <c r="A6633" t="s">
        <v>13407</v>
      </c>
      <c r="B6633" t="s">
        <v>6303</v>
      </c>
      <c r="C6633" t="s">
        <v>6093</v>
      </c>
      <c r="D6633" t="s">
        <v>6304</v>
      </c>
      <c r="E6633" t="s">
        <v>13408</v>
      </c>
      <c r="F6633">
        <v>1</v>
      </c>
      <c r="G6633">
        <v>2222706</v>
      </c>
      <c r="H6633" t="s">
        <v>13409</v>
      </c>
      <c r="J6633" s="54" t="s">
        <v>6052</v>
      </c>
      <c r="K6633" s="54">
        <v>0</v>
      </c>
      <c r="L6633" s="22" t="s">
        <v>104</v>
      </c>
      <c r="M6633" s="22" t="s">
        <v>37309</v>
      </c>
    </row>
    <row r="6634" spans="1:13" x14ac:dyDescent="0.75">
      <c r="A6634" t="s">
        <v>13945</v>
      </c>
      <c r="B6634" t="s">
        <v>6303</v>
      </c>
      <c r="C6634" t="s">
        <v>6093</v>
      </c>
      <c r="D6634" t="s">
        <v>6304</v>
      </c>
      <c r="E6634" t="s">
        <v>13946</v>
      </c>
      <c r="F6634">
        <v>1</v>
      </c>
      <c r="G6634">
        <v>2121309</v>
      </c>
      <c r="H6634" t="s">
        <v>13947</v>
      </c>
      <c r="J6634" s="54" t="s">
        <v>6052</v>
      </c>
      <c r="K6634" s="54">
        <v>0</v>
      </c>
      <c r="L6634" s="22" t="s">
        <v>104</v>
      </c>
      <c r="M6634" s="22" t="s">
        <v>37309</v>
      </c>
    </row>
    <row r="6635" spans="1:13" x14ac:dyDescent="0.75">
      <c r="A6635" t="s">
        <v>17910</v>
      </c>
      <c r="B6635" t="s">
        <v>6303</v>
      </c>
      <c r="C6635" t="s">
        <v>6093</v>
      </c>
      <c r="D6635" t="s">
        <v>6304</v>
      </c>
      <c r="E6635" t="s">
        <v>17911</v>
      </c>
      <c r="F6635">
        <v>1</v>
      </c>
      <c r="G6635">
        <v>2196595</v>
      </c>
      <c r="H6635" t="s">
        <v>17912</v>
      </c>
      <c r="J6635" s="54" t="s">
        <v>6052</v>
      </c>
      <c r="K6635" s="54">
        <v>0</v>
      </c>
      <c r="L6635" s="22" t="s">
        <v>104</v>
      </c>
      <c r="M6635" s="22" t="s">
        <v>37309</v>
      </c>
    </row>
    <row r="6636" spans="1:13" x14ac:dyDescent="0.75">
      <c r="A6636" t="s">
        <v>12081</v>
      </c>
      <c r="B6636" t="s">
        <v>6303</v>
      </c>
      <c r="C6636" t="s">
        <v>6093</v>
      </c>
      <c r="D6636" t="s">
        <v>6304</v>
      </c>
      <c r="E6636" t="s">
        <v>12082</v>
      </c>
      <c r="F6636">
        <v>18</v>
      </c>
      <c r="G6636">
        <v>2185691</v>
      </c>
      <c r="H6636" t="s">
        <v>12083</v>
      </c>
      <c r="J6636" s="54" t="s">
        <v>6052</v>
      </c>
      <c r="K6636" s="54">
        <v>0</v>
      </c>
      <c r="L6636" s="22" t="s">
        <v>104</v>
      </c>
      <c r="M6636" s="22" t="s">
        <v>37309</v>
      </c>
    </row>
    <row r="6637" spans="1:13" x14ac:dyDescent="0.75">
      <c r="A6637" t="s">
        <v>12024</v>
      </c>
      <c r="B6637" t="s">
        <v>6303</v>
      </c>
      <c r="C6637" t="s">
        <v>6093</v>
      </c>
      <c r="D6637" t="s">
        <v>6304</v>
      </c>
      <c r="E6637" t="s">
        <v>12025</v>
      </c>
      <c r="F6637">
        <v>41</v>
      </c>
      <c r="G6637">
        <v>2151860</v>
      </c>
      <c r="H6637" t="s">
        <v>12026</v>
      </c>
      <c r="J6637" s="54" t="s">
        <v>6052</v>
      </c>
      <c r="K6637" s="54">
        <v>0</v>
      </c>
      <c r="L6637" s="22" t="s">
        <v>104</v>
      </c>
      <c r="M6637" s="22" t="s">
        <v>37309</v>
      </c>
    </row>
    <row r="6638" spans="1:13" x14ac:dyDescent="0.75">
      <c r="A6638" t="s">
        <v>10795</v>
      </c>
      <c r="B6638" t="s">
        <v>6303</v>
      </c>
      <c r="C6638" t="s">
        <v>6093</v>
      </c>
      <c r="D6638" t="s">
        <v>6304</v>
      </c>
      <c r="E6638" t="s">
        <v>10796</v>
      </c>
      <c r="F6638">
        <v>2</v>
      </c>
      <c r="G6638">
        <v>2197447</v>
      </c>
      <c r="H6638" t="s">
        <v>10797</v>
      </c>
      <c r="J6638" s="54" t="s">
        <v>6052</v>
      </c>
      <c r="K6638" s="54">
        <v>0</v>
      </c>
      <c r="L6638" s="22" t="s">
        <v>104</v>
      </c>
      <c r="M6638" s="22" t="s">
        <v>37309</v>
      </c>
    </row>
    <row r="6639" spans="1:13" x14ac:dyDescent="0.75">
      <c r="A6639" t="s">
        <v>12774</v>
      </c>
      <c r="B6639" t="s">
        <v>6303</v>
      </c>
      <c r="C6639" t="s">
        <v>6093</v>
      </c>
      <c r="D6639" t="s">
        <v>6304</v>
      </c>
      <c r="E6639" t="s">
        <v>12775</v>
      </c>
      <c r="F6639">
        <v>71</v>
      </c>
      <c r="G6639">
        <v>2290184</v>
      </c>
      <c r="H6639" t="s">
        <v>12776</v>
      </c>
      <c r="J6639" s="54" t="s">
        <v>6052</v>
      </c>
      <c r="K6639" s="54">
        <v>0</v>
      </c>
      <c r="L6639" s="22" t="s">
        <v>104</v>
      </c>
      <c r="M6639" s="22" t="s">
        <v>37309</v>
      </c>
    </row>
    <row r="6640" spans="1:13" x14ac:dyDescent="0.75">
      <c r="A6640" t="s">
        <v>12631</v>
      </c>
      <c r="B6640" t="s">
        <v>6303</v>
      </c>
      <c r="C6640" t="s">
        <v>6093</v>
      </c>
      <c r="D6640" t="s">
        <v>6304</v>
      </c>
      <c r="E6640" t="s">
        <v>12632</v>
      </c>
      <c r="F6640">
        <v>57</v>
      </c>
      <c r="G6640">
        <v>2170492</v>
      </c>
      <c r="H6640" t="s">
        <v>12633</v>
      </c>
      <c r="J6640" s="54" t="s">
        <v>6052</v>
      </c>
      <c r="K6640" s="54">
        <v>0</v>
      </c>
      <c r="L6640" s="22" t="s">
        <v>104</v>
      </c>
      <c r="M6640" s="22" t="s">
        <v>37309</v>
      </c>
    </row>
    <row r="6641" spans="1:13" x14ac:dyDescent="0.75">
      <c r="A6641" t="s">
        <v>10834</v>
      </c>
      <c r="B6641" t="s">
        <v>6303</v>
      </c>
      <c r="C6641" t="s">
        <v>6093</v>
      </c>
      <c r="D6641" t="s">
        <v>6304</v>
      </c>
      <c r="E6641" t="s">
        <v>10835</v>
      </c>
      <c r="F6641">
        <v>10</v>
      </c>
      <c r="G6641">
        <v>2228772</v>
      </c>
      <c r="H6641" t="s">
        <v>10836</v>
      </c>
      <c r="J6641" s="54" t="s">
        <v>6052</v>
      </c>
      <c r="K6641" s="54">
        <v>0</v>
      </c>
      <c r="L6641" s="22" t="s">
        <v>104</v>
      </c>
      <c r="M6641" s="22" t="s">
        <v>37309</v>
      </c>
    </row>
    <row r="6642" spans="1:13" x14ac:dyDescent="0.75">
      <c r="A6642" t="s">
        <v>10839</v>
      </c>
      <c r="B6642" t="s">
        <v>6303</v>
      </c>
      <c r="C6642" t="s">
        <v>6093</v>
      </c>
      <c r="D6642" t="s">
        <v>6304</v>
      </c>
      <c r="E6642" t="s">
        <v>10840</v>
      </c>
      <c r="F6642">
        <v>1</v>
      </c>
      <c r="G6642">
        <v>2190105</v>
      </c>
      <c r="H6642" t="s">
        <v>10841</v>
      </c>
      <c r="J6642" s="54" t="s">
        <v>6052</v>
      </c>
      <c r="K6642" s="54">
        <v>0</v>
      </c>
      <c r="L6642" s="22" t="s">
        <v>104</v>
      </c>
      <c r="M6642" s="22" t="s">
        <v>37309</v>
      </c>
    </row>
    <row r="6643" spans="1:13" x14ac:dyDescent="0.75">
      <c r="A6643" t="s">
        <v>21486</v>
      </c>
      <c r="B6643" t="s">
        <v>6303</v>
      </c>
      <c r="C6643" t="s">
        <v>6093</v>
      </c>
      <c r="D6643" t="s">
        <v>6304</v>
      </c>
      <c r="E6643" t="s">
        <v>21487</v>
      </c>
      <c r="F6643">
        <v>16</v>
      </c>
      <c r="G6643">
        <v>2266473</v>
      </c>
      <c r="H6643" t="s">
        <v>21488</v>
      </c>
      <c r="J6643" s="54" t="s">
        <v>6052</v>
      </c>
      <c r="K6643" s="54">
        <v>0</v>
      </c>
      <c r="L6643" s="22" t="s">
        <v>104</v>
      </c>
      <c r="M6643" s="22" t="s">
        <v>37309</v>
      </c>
    </row>
    <row r="6644" spans="1:13" x14ac:dyDescent="0.75">
      <c r="A6644" t="s">
        <v>21618</v>
      </c>
      <c r="B6644" t="s">
        <v>6303</v>
      </c>
      <c r="C6644" t="s">
        <v>6093</v>
      </c>
      <c r="D6644" t="s">
        <v>6304</v>
      </c>
      <c r="E6644" t="s">
        <v>21619</v>
      </c>
      <c r="F6644">
        <v>22</v>
      </c>
      <c r="G6644">
        <v>2255498</v>
      </c>
      <c r="H6644" t="s">
        <v>21620</v>
      </c>
      <c r="J6644" s="54" t="s">
        <v>6052</v>
      </c>
      <c r="K6644" s="54">
        <v>0</v>
      </c>
      <c r="L6644" s="22" t="s">
        <v>104</v>
      </c>
      <c r="M6644" s="22" t="s">
        <v>37309</v>
      </c>
    </row>
    <row r="6645" spans="1:13" x14ac:dyDescent="0.75">
      <c r="A6645" t="s">
        <v>11496</v>
      </c>
      <c r="B6645" t="s">
        <v>6303</v>
      </c>
      <c r="C6645" t="s">
        <v>6093</v>
      </c>
      <c r="D6645" t="s">
        <v>6304</v>
      </c>
      <c r="E6645" t="s">
        <v>11497</v>
      </c>
      <c r="F6645">
        <v>1</v>
      </c>
      <c r="G6645">
        <v>2283306</v>
      </c>
      <c r="H6645" t="s">
        <v>11498</v>
      </c>
      <c r="J6645" s="54" t="s">
        <v>6052</v>
      </c>
      <c r="K6645" s="54">
        <v>0</v>
      </c>
      <c r="L6645" s="22" t="s">
        <v>104</v>
      </c>
      <c r="M6645" s="22" t="s">
        <v>37309</v>
      </c>
    </row>
    <row r="6646" spans="1:13" x14ac:dyDescent="0.75">
      <c r="A6646" t="s">
        <v>21623</v>
      </c>
      <c r="B6646" t="s">
        <v>6303</v>
      </c>
      <c r="C6646" t="s">
        <v>6093</v>
      </c>
      <c r="D6646" t="s">
        <v>6304</v>
      </c>
      <c r="E6646" t="s">
        <v>21624</v>
      </c>
      <c r="F6646">
        <v>56</v>
      </c>
      <c r="G6646">
        <v>2266218</v>
      </c>
      <c r="H6646" t="s">
        <v>21625</v>
      </c>
      <c r="J6646" s="54" t="s">
        <v>6052</v>
      </c>
      <c r="K6646" s="54">
        <v>0</v>
      </c>
      <c r="L6646" s="22" t="s">
        <v>104</v>
      </c>
      <c r="M6646" s="22" t="s">
        <v>37309</v>
      </c>
    </row>
    <row r="6647" spans="1:13" x14ac:dyDescent="0.75">
      <c r="A6647" t="s">
        <v>16221</v>
      </c>
      <c r="B6647" t="s">
        <v>6303</v>
      </c>
      <c r="C6647" t="s">
        <v>6093</v>
      </c>
      <c r="D6647" t="s">
        <v>6304</v>
      </c>
      <c r="E6647" t="s">
        <v>16222</v>
      </c>
      <c r="F6647">
        <v>106</v>
      </c>
      <c r="G6647">
        <v>2241345</v>
      </c>
      <c r="H6647" t="s">
        <v>16223</v>
      </c>
      <c r="J6647" s="54" t="s">
        <v>6052</v>
      </c>
      <c r="K6647" s="54">
        <v>0</v>
      </c>
      <c r="L6647" s="22" t="s">
        <v>104</v>
      </c>
      <c r="M6647" s="22" t="s">
        <v>37309</v>
      </c>
    </row>
    <row r="6648" spans="1:13" x14ac:dyDescent="0.75">
      <c r="A6648" t="s">
        <v>12057</v>
      </c>
      <c r="B6648" t="s">
        <v>6303</v>
      </c>
      <c r="C6648" t="s">
        <v>6093</v>
      </c>
      <c r="D6648" t="s">
        <v>6304</v>
      </c>
      <c r="E6648" t="s">
        <v>12058</v>
      </c>
      <c r="F6648">
        <v>67</v>
      </c>
      <c r="G6648">
        <v>2157804</v>
      </c>
      <c r="H6648" t="s">
        <v>12059</v>
      </c>
      <c r="J6648" s="54" t="s">
        <v>6052</v>
      </c>
      <c r="K6648" s="54">
        <v>0</v>
      </c>
      <c r="L6648" s="22" t="s">
        <v>104</v>
      </c>
      <c r="M6648" s="22" t="s">
        <v>37309</v>
      </c>
    </row>
    <row r="6649" spans="1:13" x14ac:dyDescent="0.75">
      <c r="A6649" t="s">
        <v>21616</v>
      </c>
      <c r="B6649" t="s">
        <v>6303</v>
      </c>
      <c r="C6649" t="s">
        <v>6093</v>
      </c>
      <c r="D6649" t="s">
        <v>6304</v>
      </c>
      <c r="E6649" t="s">
        <v>12058</v>
      </c>
      <c r="F6649">
        <v>26</v>
      </c>
      <c r="G6649">
        <v>2154315</v>
      </c>
      <c r="H6649" t="s">
        <v>21617</v>
      </c>
      <c r="J6649" s="54" t="s">
        <v>6052</v>
      </c>
      <c r="K6649" s="54">
        <v>0</v>
      </c>
      <c r="L6649" s="22" t="s">
        <v>104</v>
      </c>
      <c r="M6649" s="22" t="s">
        <v>37309</v>
      </c>
    </row>
    <row r="6650" spans="1:13" x14ac:dyDescent="0.75">
      <c r="A6650" t="s">
        <v>12060</v>
      </c>
      <c r="B6650" t="s">
        <v>6303</v>
      </c>
      <c r="C6650" t="s">
        <v>6093</v>
      </c>
      <c r="D6650" t="s">
        <v>6304</v>
      </c>
      <c r="E6650" t="s">
        <v>12061</v>
      </c>
      <c r="F6650">
        <v>45</v>
      </c>
      <c r="G6650">
        <v>2166946</v>
      </c>
      <c r="H6650" t="s">
        <v>12062</v>
      </c>
      <c r="J6650" s="54" t="s">
        <v>6052</v>
      </c>
      <c r="K6650" s="54">
        <v>0</v>
      </c>
      <c r="L6650" s="22" t="s">
        <v>104</v>
      </c>
      <c r="M6650" s="22" t="s">
        <v>37309</v>
      </c>
    </row>
    <row r="6651" spans="1:13" x14ac:dyDescent="0.75">
      <c r="A6651" t="s">
        <v>21828</v>
      </c>
      <c r="B6651" t="s">
        <v>6303</v>
      </c>
      <c r="C6651" t="s">
        <v>6093</v>
      </c>
      <c r="D6651" t="s">
        <v>6304</v>
      </c>
      <c r="E6651" t="s">
        <v>21829</v>
      </c>
      <c r="F6651">
        <v>26</v>
      </c>
      <c r="G6651">
        <v>2264331</v>
      </c>
      <c r="H6651" t="s">
        <v>21830</v>
      </c>
      <c r="J6651" s="54" t="s">
        <v>6052</v>
      </c>
      <c r="K6651" s="54">
        <v>0</v>
      </c>
      <c r="L6651" s="22" t="s">
        <v>104</v>
      </c>
      <c r="M6651" s="22" t="s">
        <v>37309</v>
      </c>
    </row>
    <row r="6652" spans="1:13" x14ac:dyDescent="0.75">
      <c r="A6652" t="s">
        <v>12066</v>
      </c>
      <c r="B6652" t="s">
        <v>6303</v>
      </c>
      <c r="C6652" t="s">
        <v>6093</v>
      </c>
      <c r="D6652" t="s">
        <v>6304</v>
      </c>
      <c r="E6652" t="s">
        <v>12067</v>
      </c>
      <c r="F6652">
        <v>20</v>
      </c>
      <c r="G6652">
        <v>2307982</v>
      </c>
      <c r="H6652" t="s">
        <v>12068</v>
      </c>
      <c r="J6652" s="54" t="s">
        <v>6052</v>
      </c>
      <c r="K6652" s="54">
        <v>0</v>
      </c>
      <c r="L6652" s="22" t="s">
        <v>104</v>
      </c>
      <c r="M6652" s="22" t="s">
        <v>37309</v>
      </c>
    </row>
    <row r="6653" spans="1:13" x14ac:dyDescent="0.75">
      <c r="A6653" t="s">
        <v>28256</v>
      </c>
      <c r="B6653" t="s">
        <v>6303</v>
      </c>
      <c r="C6653" t="s">
        <v>6093</v>
      </c>
      <c r="D6653" t="s">
        <v>6304</v>
      </c>
      <c r="E6653" t="s">
        <v>28257</v>
      </c>
      <c r="F6653">
        <v>13</v>
      </c>
      <c r="G6653">
        <v>2231411</v>
      </c>
      <c r="H6653" t="s">
        <v>28258</v>
      </c>
      <c r="J6653" s="54" t="s">
        <v>6052</v>
      </c>
      <c r="K6653" s="54">
        <v>0</v>
      </c>
      <c r="L6653" s="22" t="s">
        <v>104</v>
      </c>
      <c r="M6653" s="22" t="s">
        <v>37309</v>
      </c>
    </row>
    <row r="6654" spans="1:13" x14ac:dyDescent="0.75">
      <c r="A6654" t="s">
        <v>12063</v>
      </c>
      <c r="B6654" t="s">
        <v>6303</v>
      </c>
      <c r="C6654" t="s">
        <v>6093</v>
      </c>
      <c r="D6654" t="s">
        <v>6304</v>
      </c>
      <c r="E6654" t="s">
        <v>12064</v>
      </c>
      <c r="F6654">
        <v>27</v>
      </c>
      <c r="G6654">
        <v>2186113</v>
      </c>
      <c r="H6654" t="s">
        <v>12065</v>
      </c>
      <c r="J6654" s="54" t="s">
        <v>6052</v>
      </c>
      <c r="K6654" s="54">
        <v>0</v>
      </c>
      <c r="L6654" s="22" t="s">
        <v>104</v>
      </c>
      <c r="M6654" s="22" t="s">
        <v>37309</v>
      </c>
    </row>
    <row r="6655" spans="1:13" x14ac:dyDescent="0.75">
      <c r="A6655" t="s">
        <v>28118</v>
      </c>
      <c r="B6655" t="s">
        <v>6303</v>
      </c>
      <c r="C6655" t="s">
        <v>6093</v>
      </c>
      <c r="D6655" t="s">
        <v>6304</v>
      </c>
      <c r="E6655" t="s">
        <v>28119</v>
      </c>
      <c r="F6655">
        <v>1</v>
      </c>
      <c r="G6655">
        <v>2185555</v>
      </c>
      <c r="H6655" t="s">
        <v>28120</v>
      </c>
      <c r="J6655" s="54" t="s">
        <v>6052</v>
      </c>
      <c r="K6655" s="54">
        <v>0</v>
      </c>
      <c r="L6655" s="22" t="s">
        <v>104</v>
      </c>
      <c r="M6655" s="22" t="s">
        <v>37309</v>
      </c>
    </row>
    <row r="6656" spans="1:13" x14ac:dyDescent="0.75">
      <c r="A6656" t="s">
        <v>27693</v>
      </c>
      <c r="B6656" t="s">
        <v>6303</v>
      </c>
      <c r="C6656" t="s">
        <v>6093</v>
      </c>
      <c r="D6656" t="s">
        <v>6304</v>
      </c>
      <c r="E6656" t="s">
        <v>27694</v>
      </c>
      <c r="F6656">
        <v>1</v>
      </c>
      <c r="G6656">
        <v>2154796</v>
      </c>
      <c r="H6656" t="s">
        <v>27695</v>
      </c>
      <c r="J6656" s="54" t="s">
        <v>6052</v>
      </c>
      <c r="K6656" s="54">
        <v>0</v>
      </c>
      <c r="L6656" s="22" t="s">
        <v>104</v>
      </c>
      <c r="M6656" s="22" t="s">
        <v>37309</v>
      </c>
    </row>
    <row r="6657" spans="1:13" x14ac:dyDescent="0.75">
      <c r="A6657" t="s">
        <v>8898</v>
      </c>
      <c r="B6657" t="s">
        <v>8899</v>
      </c>
      <c r="C6657" t="s">
        <v>6093</v>
      </c>
      <c r="D6657" t="s">
        <v>8900</v>
      </c>
      <c r="E6657" t="s">
        <v>8901</v>
      </c>
      <c r="F6657">
        <v>1</v>
      </c>
      <c r="G6657">
        <v>1837281</v>
      </c>
      <c r="H6657" t="s">
        <v>8902</v>
      </c>
      <c r="J6657" s="54" t="s">
        <v>6052</v>
      </c>
      <c r="K6657" s="54">
        <v>0</v>
      </c>
      <c r="L6657" s="22" t="s">
        <v>36804</v>
      </c>
      <c r="M6657" s="22" t="s">
        <v>37326</v>
      </c>
    </row>
    <row r="6658" spans="1:13" x14ac:dyDescent="0.75">
      <c r="A6658" t="s">
        <v>27669</v>
      </c>
      <c r="B6658" t="s">
        <v>6303</v>
      </c>
      <c r="C6658" t="s">
        <v>6093</v>
      </c>
      <c r="D6658" t="s">
        <v>6304</v>
      </c>
      <c r="E6658" t="s">
        <v>27670</v>
      </c>
      <c r="F6658">
        <v>1</v>
      </c>
      <c r="G6658">
        <v>2187611</v>
      </c>
      <c r="H6658" t="s">
        <v>27671</v>
      </c>
      <c r="J6658" s="54" t="s">
        <v>6052</v>
      </c>
      <c r="K6658" s="54">
        <v>0</v>
      </c>
      <c r="L6658" s="22" t="s">
        <v>104</v>
      </c>
      <c r="M6658" s="22" t="s">
        <v>37309</v>
      </c>
    </row>
    <row r="6659" spans="1:13" x14ac:dyDescent="0.75">
      <c r="A6659" t="s">
        <v>27939</v>
      </c>
      <c r="B6659" t="s">
        <v>6303</v>
      </c>
      <c r="C6659" t="s">
        <v>6093</v>
      </c>
      <c r="D6659" t="s">
        <v>6304</v>
      </c>
      <c r="E6659" t="s">
        <v>27940</v>
      </c>
      <c r="F6659">
        <v>1</v>
      </c>
      <c r="G6659">
        <v>2196660</v>
      </c>
      <c r="H6659" t="s">
        <v>27941</v>
      </c>
      <c r="J6659" s="54" t="s">
        <v>6052</v>
      </c>
      <c r="K6659" s="54">
        <v>0</v>
      </c>
      <c r="L6659" s="22" t="s">
        <v>104</v>
      </c>
      <c r="M6659" s="22" t="s">
        <v>37309</v>
      </c>
    </row>
    <row r="6660" spans="1:13" x14ac:dyDescent="0.75">
      <c r="A6660" t="s">
        <v>28112</v>
      </c>
      <c r="B6660" t="s">
        <v>6303</v>
      </c>
      <c r="C6660" t="s">
        <v>6093</v>
      </c>
      <c r="D6660" t="s">
        <v>6304</v>
      </c>
      <c r="E6660" t="s">
        <v>28113</v>
      </c>
      <c r="F6660">
        <v>4</v>
      </c>
      <c r="G6660">
        <v>2275545</v>
      </c>
      <c r="H6660" t="s">
        <v>28114</v>
      </c>
      <c r="J6660" s="54" t="s">
        <v>6052</v>
      </c>
      <c r="K6660" s="54">
        <v>0</v>
      </c>
      <c r="L6660" s="22" t="s">
        <v>104</v>
      </c>
      <c r="M6660" s="22" t="s">
        <v>37309</v>
      </c>
    </row>
    <row r="6661" spans="1:13" x14ac:dyDescent="0.75">
      <c r="A6661" t="s">
        <v>28100</v>
      </c>
      <c r="B6661" t="s">
        <v>6303</v>
      </c>
      <c r="C6661" t="s">
        <v>6093</v>
      </c>
      <c r="D6661" t="s">
        <v>6304</v>
      </c>
      <c r="E6661" t="s">
        <v>28101</v>
      </c>
      <c r="F6661">
        <v>3</v>
      </c>
      <c r="G6661">
        <v>2336084</v>
      </c>
      <c r="H6661" t="s">
        <v>28102</v>
      </c>
      <c r="J6661" s="54" t="s">
        <v>6052</v>
      </c>
      <c r="K6661" s="54">
        <v>0</v>
      </c>
      <c r="L6661" s="22" t="s">
        <v>104</v>
      </c>
      <c r="M6661" s="22" t="s">
        <v>37309</v>
      </c>
    </row>
    <row r="6662" spans="1:13" x14ac:dyDescent="0.75">
      <c r="A6662" t="s">
        <v>28109</v>
      </c>
      <c r="B6662" t="s">
        <v>6303</v>
      </c>
      <c r="C6662" t="s">
        <v>6093</v>
      </c>
      <c r="D6662" t="s">
        <v>6304</v>
      </c>
      <c r="E6662" t="s">
        <v>28110</v>
      </c>
      <c r="F6662">
        <v>1</v>
      </c>
      <c r="G6662">
        <v>2223915</v>
      </c>
      <c r="H6662" t="s">
        <v>28111</v>
      </c>
      <c r="J6662" s="54" t="s">
        <v>6052</v>
      </c>
      <c r="K6662" s="54">
        <v>0</v>
      </c>
      <c r="L6662" s="22" t="s">
        <v>104</v>
      </c>
      <c r="M6662" s="22" t="s">
        <v>37309</v>
      </c>
    </row>
    <row r="6663" spans="1:13" x14ac:dyDescent="0.75">
      <c r="A6663" t="s">
        <v>12069</v>
      </c>
      <c r="B6663" t="s">
        <v>6303</v>
      </c>
      <c r="C6663" t="s">
        <v>6093</v>
      </c>
      <c r="D6663" t="s">
        <v>6304</v>
      </c>
      <c r="E6663" t="s">
        <v>12070</v>
      </c>
      <c r="F6663">
        <v>46</v>
      </c>
      <c r="G6663">
        <v>2202674</v>
      </c>
      <c r="H6663" t="s">
        <v>12071</v>
      </c>
      <c r="J6663" s="54" t="s">
        <v>6052</v>
      </c>
      <c r="K6663" s="54">
        <v>0</v>
      </c>
      <c r="L6663" s="22" t="s">
        <v>104</v>
      </c>
      <c r="M6663" s="22" t="s">
        <v>37309</v>
      </c>
    </row>
    <row r="6664" spans="1:13" x14ac:dyDescent="0.75">
      <c r="A6664" t="s">
        <v>12036</v>
      </c>
      <c r="B6664" t="s">
        <v>6303</v>
      </c>
      <c r="C6664" t="s">
        <v>6093</v>
      </c>
      <c r="D6664" t="s">
        <v>6304</v>
      </c>
      <c r="E6664" t="s">
        <v>12037</v>
      </c>
      <c r="F6664">
        <v>43</v>
      </c>
      <c r="G6664">
        <v>2190985</v>
      </c>
      <c r="H6664" t="s">
        <v>12038</v>
      </c>
      <c r="J6664" s="54" t="s">
        <v>6052</v>
      </c>
      <c r="K6664" s="54">
        <v>0</v>
      </c>
      <c r="L6664" s="22" t="s">
        <v>104</v>
      </c>
      <c r="M6664" s="22" t="s">
        <v>37309</v>
      </c>
    </row>
    <row r="6665" spans="1:13" x14ac:dyDescent="0.75">
      <c r="A6665" t="s">
        <v>23096</v>
      </c>
      <c r="B6665" t="s">
        <v>6303</v>
      </c>
      <c r="C6665" t="s">
        <v>6093</v>
      </c>
      <c r="D6665" t="s">
        <v>6304</v>
      </c>
      <c r="E6665" t="s">
        <v>23097</v>
      </c>
      <c r="F6665">
        <v>12</v>
      </c>
      <c r="G6665">
        <v>2092254</v>
      </c>
      <c r="H6665" t="s">
        <v>23098</v>
      </c>
      <c r="J6665" s="54" t="s">
        <v>6052</v>
      </c>
      <c r="K6665" s="54">
        <v>0</v>
      </c>
      <c r="L6665" s="22" t="s">
        <v>104</v>
      </c>
      <c r="M6665" s="22" t="s">
        <v>37309</v>
      </c>
    </row>
    <row r="6666" spans="1:13" x14ac:dyDescent="0.75">
      <c r="A6666" t="s">
        <v>23087</v>
      </c>
      <c r="B6666" t="s">
        <v>6303</v>
      </c>
      <c r="C6666" t="s">
        <v>6093</v>
      </c>
      <c r="D6666" t="s">
        <v>6304</v>
      </c>
      <c r="E6666" t="s">
        <v>23088</v>
      </c>
      <c r="F6666">
        <v>30</v>
      </c>
      <c r="G6666">
        <v>2250098</v>
      </c>
      <c r="H6666" t="s">
        <v>23089</v>
      </c>
      <c r="J6666" s="54" t="s">
        <v>6052</v>
      </c>
      <c r="K6666" s="54">
        <v>0</v>
      </c>
      <c r="L6666" s="22" t="s">
        <v>104</v>
      </c>
      <c r="M6666" s="22" t="s">
        <v>37309</v>
      </c>
    </row>
    <row r="6667" spans="1:13" x14ac:dyDescent="0.75">
      <c r="A6667" t="s">
        <v>23090</v>
      </c>
      <c r="B6667" t="s">
        <v>6303</v>
      </c>
      <c r="C6667" t="s">
        <v>6093</v>
      </c>
      <c r="D6667" t="s">
        <v>6304</v>
      </c>
      <c r="E6667" t="s">
        <v>23091</v>
      </c>
      <c r="F6667">
        <v>28</v>
      </c>
      <c r="G6667">
        <v>2249499</v>
      </c>
      <c r="H6667" t="s">
        <v>23092</v>
      </c>
      <c r="J6667" s="54" t="s">
        <v>6052</v>
      </c>
      <c r="K6667" s="54">
        <v>0</v>
      </c>
      <c r="L6667" s="22" t="s">
        <v>104</v>
      </c>
      <c r="M6667" s="22" t="s">
        <v>37309</v>
      </c>
    </row>
    <row r="6668" spans="1:13" x14ac:dyDescent="0.75">
      <c r="A6668" t="s">
        <v>23066</v>
      </c>
      <c r="B6668" t="s">
        <v>6303</v>
      </c>
      <c r="C6668" t="s">
        <v>6093</v>
      </c>
      <c r="D6668" t="s">
        <v>6304</v>
      </c>
      <c r="E6668" t="s">
        <v>23067</v>
      </c>
      <c r="F6668">
        <v>17</v>
      </c>
      <c r="G6668">
        <v>2183661</v>
      </c>
      <c r="H6668" t="s">
        <v>23068</v>
      </c>
      <c r="J6668" s="54" t="s">
        <v>6052</v>
      </c>
      <c r="K6668" s="54">
        <v>0</v>
      </c>
      <c r="L6668" s="22" t="s">
        <v>104</v>
      </c>
      <c r="M6668" s="22" t="s">
        <v>37309</v>
      </c>
    </row>
    <row r="6669" spans="1:13" x14ac:dyDescent="0.75">
      <c r="A6669" t="s">
        <v>23063</v>
      </c>
      <c r="B6669" t="s">
        <v>6303</v>
      </c>
      <c r="C6669" t="s">
        <v>6093</v>
      </c>
      <c r="D6669" t="s">
        <v>6304</v>
      </c>
      <c r="E6669" t="s">
        <v>23064</v>
      </c>
      <c r="F6669">
        <v>23</v>
      </c>
      <c r="G6669">
        <v>2200426</v>
      </c>
      <c r="H6669" t="s">
        <v>23065</v>
      </c>
      <c r="J6669" s="54" t="s">
        <v>6052</v>
      </c>
      <c r="K6669" s="54">
        <v>0</v>
      </c>
      <c r="L6669" s="22" t="s">
        <v>104</v>
      </c>
      <c r="M6669" s="22" t="s">
        <v>37309</v>
      </c>
    </row>
    <row r="6670" spans="1:13" x14ac:dyDescent="0.75">
      <c r="A6670" t="s">
        <v>26265</v>
      </c>
      <c r="B6670" t="s">
        <v>6303</v>
      </c>
      <c r="C6670" t="s">
        <v>6093</v>
      </c>
      <c r="D6670" t="s">
        <v>6304</v>
      </c>
      <c r="E6670" t="s">
        <v>9018</v>
      </c>
      <c r="F6670">
        <v>18</v>
      </c>
      <c r="G6670">
        <v>2187339</v>
      </c>
      <c r="H6670" t="s">
        <v>26266</v>
      </c>
      <c r="J6670" s="54" t="s">
        <v>6052</v>
      </c>
      <c r="K6670" s="54">
        <v>0</v>
      </c>
      <c r="L6670" s="22" t="s">
        <v>104</v>
      </c>
      <c r="M6670" s="22" t="s">
        <v>37309</v>
      </c>
    </row>
    <row r="6671" spans="1:13" x14ac:dyDescent="0.75">
      <c r="A6671" t="s">
        <v>26262</v>
      </c>
      <c r="B6671" t="s">
        <v>6303</v>
      </c>
      <c r="C6671" t="s">
        <v>6093</v>
      </c>
      <c r="D6671" t="s">
        <v>6304</v>
      </c>
      <c r="E6671" t="s">
        <v>26263</v>
      </c>
      <c r="F6671">
        <v>9</v>
      </c>
      <c r="G6671">
        <v>2156808</v>
      </c>
      <c r="H6671" t="s">
        <v>26264</v>
      </c>
      <c r="J6671" s="54" t="s">
        <v>6052</v>
      </c>
      <c r="K6671" s="54">
        <v>0</v>
      </c>
      <c r="L6671" s="22" t="s">
        <v>104</v>
      </c>
      <c r="M6671" s="22" t="s">
        <v>37309</v>
      </c>
    </row>
    <row r="6672" spans="1:13" x14ac:dyDescent="0.75">
      <c r="A6672" t="s">
        <v>12075</v>
      </c>
      <c r="B6672" t="s">
        <v>6303</v>
      </c>
      <c r="C6672" t="s">
        <v>6093</v>
      </c>
      <c r="D6672" t="s">
        <v>6304</v>
      </c>
      <c r="E6672" t="s">
        <v>12076</v>
      </c>
      <c r="F6672">
        <v>27</v>
      </c>
      <c r="G6672">
        <v>2145819</v>
      </c>
      <c r="H6672" t="s">
        <v>12077</v>
      </c>
      <c r="J6672" s="54" t="s">
        <v>6052</v>
      </c>
      <c r="K6672" s="54">
        <v>0</v>
      </c>
      <c r="L6672" s="22" t="s">
        <v>104</v>
      </c>
      <c r="M6672" s="22" t="s">
        <v>37309</v>
      </c>
    </row>
    <row r="6673" spans="1:13" x14ac:dyDescent="0.75">
      <c r="A6673" t="s">
        <v>21227</v>
      </c>
      <c r="B6673" t="s">
        <v>8899</v>
      </c>
      <c r="C6673" t="s">
        <v>6093</v>
      </c>
      <c r="D6673" t="s">
        <v>8900</v>
      </c>
      <c r="E6673" t="s">
        <v>21228</v>
      </c>
      <c r="F6673">
        <v>1</v>
      </c>
      <c r="G6673">
        <v>1866583</v>
      </c>
      <c r="H6673" t="s">
        <v>21229</v>
      </c>
      <c r="J6673" s="54" t="s">
        <v>6052</v>
      </c>
      <c r="K6673" s="54">
        <v>0</v>
      </c>
      <c r="L6673" s="22" t="s">
        <v>36804</v>
      </c>
      <c r="M6673" s="22" t="s">
        <v>37326</v>
      </c>
    </row>
    <row r="6674" spans="1:13" x14ac:dyDescent="0.75">
      <c r="A6674" t="s">
        <v>21621</v>
      </c>
      <c r="B6674" t="s">
        <v>6303</v>
      </c>
      <c r="C6674" t="s">
        <v>6093</v>
      </c>
      <c r="D6674" t="s">
        <v>6304</v>
      </c>
      <c r="E6674" t="s">
        <v>12076</v>
      </c>
      <c r="F6674">
        <v>13</v>
      </c>
      <c r="G6674">
        <v>2146685</v>
      </c>
      <c r="H6674" t="s">
        <v>21622</v>
      </c>
      <c r="J6674" s="54" t="s">
        <v>6052</v>
      </c>
      <c r="K6674" s="54">
        <v>0</v>
      </c>
      <c r="L6674" s="22" t="s">
        <v>104</v>
      </c>
      <c r="M6674" s="22" t="s">
        <v>37309</v>
      </c>
    </row>
    <row r="6675" spans="1:13" x14ac:dyDescent="0.75">
      <c r="A6675" t="s">
        <v>12072</v>
      </c>
      <c r="B6675" t="s">
        <v>6303</v>
      </c>
      <c r="C6675" t="s">
        <v>6093</v>
      </c>
      <c r="D6675" t="s">
        <v>6304</v>
      </c>
      <c r="E6675" t="s">
        <v>12073</v>
      </c>
      <c r="F6675">
        <v>28</v>
      </c>
      <c r="G6675">
        <v>2164760</v>
      </c>
      <c r="H6675" t="s">
        <v>12074</v>
      </c>
      <c r="J6675" s="54" t="s">
        <v>6052</v>
      </c>
      <c r="K6675" s="54">
        <v>0</v>
      </c>
      <c r="L6675" s="22" t="s">
        <v>104</v>
      </c>
      <c r="M6675" s="22" t="s">
        <v>37309</v>
      </c>
    </row>
    <row r="6676" spans="1:13" x14ac:dyDescent="0.75">
      <c r="A6676" t="s">
        <v>12078</v>
      </c>
      <c r="B6676" t="s">
        <v>6303</v>
      </c>
      <c r="C6676" t="s">
        <v>6093</v>
      </c>
      <c r="D6676" t="s">
        <v>6304</v>
      </c>
      <c r="E6676" t="s">
        <v>12079</v>
      </c>
      <c r="F6676">
        <v>53</v>
      </c>
      <c r="G6676">
        <v>2255061</v>
      </c>
      <c r="H6676" t="s">
        <v>12080</v>
      </c>
      <c r="J6676" s="54" t="s">
        <v>6052</v>
      </c>
      <c r="K6676" s="54">
        <v>0</v>
      </c>
      <c r="L6676" s="22" t="s">
        <v>104</v>
      </c>
      <c r="M6676" s="22" t="s">
        <v>37309</v>
      </c>
    </row>
    <row r="6677" spans="1:13" x14ac:dyDescent="0.75">
      <c r="A6677" t="s">
        <v>21610</v>
      </c>
      <c r="B6677" t="s">
        <v>6303</v>
      </c>
      <c r="C6677" t="s">
        <v>6093</v>
      </c>
      <c r="D6677" t="s">
        <v>6304</v>
      </c>
      <c r="E6677" t="s">
        <v>21611</v>
      </c>
      <c r="F6677">
        <v>8</v>
      </c>
      <c r="G6677">
        <v>2205158</v>
      </c>
      <c r="H6677" t="s">
        <v>21612</v>
      </c>
      <c r="J6677" s="54" t="s">
        <v>6052</v>
      </c>
      <c r="K6677" s="54">
        <v>0</v>
      </c>
      <c r="L6677" s="22" t="s">
        <v>104</v>
      </c>
      <c r="M6677" s="22" t="s">
        <v>37309</v>
      </c>
    </row>
    <row r="6678" spans="1:13" x14ac:dyDescent="0.75">
      <c r="A6678" t="s">
        <v>21613</v>
      </c>
      <c r="B6678" t="s">
        <v>6303</v>
      </c>
      <c r="C6678" t="s">
        <v>6093</v>
      </c>
      <c r="D6678" t="s">
        <v>6304</v>
      </c>
      <c r="E6678" t="s">
        <v>21614</v>
      </c>
      <c r="F6678">
        <v>17</v>
      </c>
      <c r="G6678">
        <v>2198505</v>
      </c>
      <c r="H6678" t="s">
        <v>21615</v>
      </c>
      <c r="J6678" s="54" t="s">
        <v>6052</v>
      </c>
      <c r="K6678" s="54">
        <v>0</v>
      </c>
      <c r="L6678" s="22" t="s">
        <v>104</v>
      </c>
      <c r="M6678" s="22" t="s">
        <v>37309</v>
      </c>
    </row>
    <row r="6679" spans="1:13" x14ac:dyDescent="0.75">
      <c r="A6679" t="s">
        <v>21607</v>
      </c>
      <c r="B6679" t="s">
        <v>6303</v>
      </c>
      <c r="C6679" t="s">
        <v>6093</v>
      </c>
      <c r="D6679" t="s">
        <v>6304</v>
      </c>
      <c r="E6679" t="s">
        <v>21608</v>
      </c>
      <c r="F6679">
        <v>17</v>
      </c>
      <c r="G6679">
        <v>2147000</v>
      </c>
      <c r="H6679" t="s">
        <v>21609</v>
      </c>
      <c r="J6679" s="54" t="s">
        <v>6052</v>
      </c>
      <c r="K6679" s="54">
        <v>0</v>
      </c>
      <c r="L6679" s="22" t="s">
        <v>104</v>
      </c>
      <c r="M6679" s="22" t="s">
        <v>37309</v>
      </c>
    </row>
    <row r="6680" spans="1:13" x14ac:dyDescent="0.75">
      <c r="A6680" t="s">
        <v>10798</v>
      </c>
      <c r="B6680" t="s">
        <v>6303</v>
      </c>
      <c r="C6680" t="s">
        <v>6093</v>
      </c>
      <c r="D6680" t="s">
        <v>6304</v>
      </c>
      <c r="E6680" t="s">
        <v>10799</v>
      </c>
      <c r="F6680">
        <v>7</v>
      </c>
      <c r="G6680">
        <v>2188318</v>
      </c>
      <c r="H6680" t="s">
        <v>10800</v>
      </c>
      <c r="J6680" s="54" t="s">
        <v>6052</v>
      </c>
      <c r="K6680" s="54">
        <v>0</v>
      </c>
      <c r="L6680" s="22" t="s">
        <v>104</v>
      </c>
      <c r="M6680" s="22" t="s">
        <v>37309</v>
      </c>
    </row>
    <row r="6681" spans="1:13" x14ac:dyDescent="0.75">
      <c r="A6681" t="s">
        <v>24695</v>
      </c>
      <c r="B6681" t="s">
        <v>10017</v>
      </c>
      <c r="C6681" t="s">
        <v>6093</v>
      </c>
      <c r="D6681" t="s">
        <v>10018</v>
      </c>
      <c r="E6681" t="s">
        <v>24696</v>
      </c>
      <c r="F6681">
        <v>7</v>
      </c>
      <c r="G6681">
        <v>2006976</v>
      </c>
      <c r="H6681" t="s">
        <v>24697</v>
      </c>
      <c r="J6681" s="54" t="s">
        <v>6052</v>
      </c>
      <c r="K6681" s="54">
        <v>0</v>
      </c>
      <c r="L6681" s="22" t="s">
        <v>104</v>
      </c>
      <c r="M6681" s="22" t="s">
        <v>37327</v>
      </c>
    </row>
    <row r="6682" spans="1:13" x14ac:dyDescent="0.75">
      <c r="A6682" t="s">
        <v>24692</v>
      </c>
      <c r="B6682" t="s">
        <v>10017</v>
      </c>
      <c r="C6682" t="s">
        <v>6093</v>
      </c>
      <c r="D6682" t="s">
        <v>10018</v>
      </c>
      <c r="E6682" t="s">
        <v>24693</v>
      </c>
      <c r="F6682">
        <v>22</v>
      </c>
      <c r="G6682">
        <v>2054930</v>
      </c>
      <c r="H6682" t="s">
        <v>24694</v>
      </c>
      <c r="J6682" s="54" t="s">
        <v>6052</v>
      </c>
      <c r="K6682" s="54">
        <v>0</v>
      </c>
      <c r="L6682" s="22" t="s">
        <v>104</v>
      </c>
      <c r="M6682" s="22" t="s">
        <v>37327</v>
      </c>
    </row>
    <row r="6683" spans="1:13" x14ac:dyDescent="0.75">
      <c r="A6683" t="s">
        <v>24608</v>
      </c>
      <c r="B6683" t="s">
        <v>10017</v>
      </c>
      <c r="C6683" t="s">
        <v>6093</v>
      </c>
      <c r="D6683" t="s">
        <v>10018</v>
      </c>
      <c r="E6683" t="s">
        <v>24609</v>
      </c>
      <c r="F6683">
        <v>18</v>
      </c>
      <c r="G6683">
        <v>1986268</v>
      </c>
      <c r="H6683" t="s">
        <v>24610</v>
      </c>
      <c r="J6683" s="54" t="s">
        <v>6052</v>
      </c>
      <c r="K6683" s="54">
        <v>0</v>
      </c>
      <c r="L6683" s="22" t="s">
        <v>104</v>
      </c>
      <c r="M6683" s="22" t="s">
        <v>37327</v>
      </c>
    </row>
    <row r="6684" spans="1:13" x14ac:dyDescent="0.75">
      <c r="A6684" t="s">
        <v>24603</v>
      </c>
      <c r="B6684" t="s">
        <v>10017</v>
      </c>
      <c r="C6684" t="s">
        <v>6093</v>
      </c>
      <c r="D6684" t="s">
        <v>10018</v>
      </c>
      <c r="E6684" t="s">
        <v>24604</v>
      </c>
      <c r="F6684">
        <v>15</v>
      </c>
      <c r="G6684">
        <v>1988245</v>
      </c>
      <c r="H6684" t="s">
        <v>24605</v>
      </c>
      <c r="J6684" s="54" t="s">
        <v>6052</v>
      </c>
      <c r="K6684" s="54">
        <v>0</v>
      </c>
      <c r="L6684" s="22" t="s">
        <v>104</v>
      </c>
      <c r="M6684" s="22" t="s">
        <v>37327</v>
      </c>
    </row>
    <row r="6685" spans="1:13" x14ac:dyDescent="0.75">
      <c r="A6685" t="s">
        <v>24600</v>
      </c>
      <c r="B6685" t="s">
        <v>10017</v>
      </c>
      <c r="C6685" t="s">
        <v>6093</v>
      </c>
      <c r="D6685" t="s">
        <v>10018</v>
      </c>
      <c r="E6685" t="s">
        <v>24601</v>
      </c>
      <c r="F6685">
        <v>10</v>
      </c>
      <c r="G6685">
        <v>1946708</v>
      </c>
      <c r="H6685" t="s">
        <v>24602</v>
      </c>
      <c r="J6685" s="54" t="s">
        <v>6052</v>
      </c>
      <c r="K6685" s="54">
        <v>0</v>
      </c>
      <c r="L6685" s="22" t="s">
        <v>104</v>
      </c>
      <c r="M6685" s="22" t="s">
        <v>37327</v>
      </c>
    </row>
    <row r="6686" spans="1:13" x14ac:dyDescent="0.75">
      <c r="A6686" t="s">
        <v>15864</v>
      </c>
      <c r="B6686" t="s">
        <v>10017</v>
      </c>
      <c r="C6686" t="s">
        <v>6093</v>
      </c>
      <c r="D6686" t="s">
        <v>10018</v>
      </c>
      <c r="E6686" t="s">
        <v>15865</v>
      </c>
      <c r="F6686">
        <v>7</v>
      </c>
      <c r="G6686">
        <v>2032489</v>
      </c>
      <c r="H6686" t="s">
        <v>15866</v>
      </c>
      <c r="J6686" s="54" t="s">
        <v>6052</v>
      </c>
      <c r="K6686" s="54">
        <v>0</v>
      </c>
      <c r="L6686" s="22" t="s">
        <v>104</v>
      </c>
      <c r="M6686" s="22" t="s">
        <v>37327</v>
      </c>
    </row>
    <row r="6687" spans="1:13" x14ac:dyDescent="0.75">
      <c r="A6687" t="s">
        <v>15861</v>
      </c>
      <c r="B6687" t="s">
        <v>10017</v>
      </c>
      <c r="C6687" t="s">
        <v>6093</v>
      </c>
      <c r="D6687" t="s">
        <v>10018</v>
      </c>
      <c r="E6687" t="s">
        <v>15862</v>
      </c>
      <c r="F6687">
        <v>15</v>
      </c>
      <c r="G6687">
        <v>2064963</v>
      </c>
      <c r="H6687" t="s">
        <v>15863</v>
      </c>
      <c r="J6687" s="54" t="s">
        <v>6052</v>
      </c>
      <c r="K6687" s="54">
        <v>0</v>
      </c>
      <c r="L6687" s="22" t="s">
        <v>104</v>
      </c>
      <c r="M6687" s="22" t="s">
        <v>37327</v>
      </c>
    </row>
    <row r="6688" spans="1:13" x14ac:dyDescent="0.75">
      <c r="A6688" t="s">
        <v>10020</v>
      </c>
      <c r="B6688" t="s">
        <v>10017</v>
      </c>
      <c r="C6688" t="s">
        <v>6093</v>
      </c>
      <c r="D6688" t="s">
        <v>10018</v>
      </c>
      <c r="E6688" t="s">
        <v>10021</v>
      </c>
      <c r="F6688">
        <v>1</v>
      </c>
      <c r="G6688">
        <v>1992567</v>
      </c>
      <c r="H6688" t="s">
        <v>10022</v>
      </c>
      <c r="J6688" s="54" t="s">
        <v>6052</v>
      </c>
      <c r="K6688" s="54">
        <v>0</v>
      </c>
      <c r="L6688" s="22" t="s">
        <v>104</v>
      </c>
      <c r="M6688" s="22" t="s">
        <v>37327</v>
      </c>
    </row>
    <row r="6689" spans="1:13" x14ac:dyDescent="0.75">
      <c r="A6689" t="s">
        <v>15947</v>
      </c>
      <c r="B6689" t="s">
        <v>10017</v>
      </c>
      <c r="C6689" t="s">
        <v>6093</v>
      </c>
      <c r="D6689" t="s">
        <v>10018</v>
      </c>
      <c r="E6689" t="s">
        <v>15948</v>
      </c>
      <c r="F6689">
        <v>1</v>
      </c>
      <c r="G6689">
        <v>2009598</v>
      </c>
      <c r="H6689" t="s">
        <v>15949</v>
      </c>
      <c r="J6689" s="54" t="s">
        <v>6052</v>
      </c>
      <c r="K6689" s="54">
        <v>0</v>
      </c>
      <c r="L6689" s="22" t="s">
        <v>104</v>
      </c>
      <c r="M6689" s="22" t="s">
        <v>37327</v>
      </c>
    </row>
    <row r="6690" spans="1:13" x14ac:dyDescent="0.75">
      <c r="A6690" t="s">
        <v>28328</v>
      </c>
      <c r="B6690" t="s">
        <v>10017</v>
      </c>
      <c r="C6690" t="s">
        <v>6093</v>
      </c>
      <c r="D6690" t="s">
        <v>10018</v>
      </c>
      <c r="E6690" t="s">
        <v>28329</v>
      </c>
      <c r="F6690">
        <v>16</v>
      </c>
      <c r="G6690">
        <v>1965871</v>
      </c>
      <c r="H6690" t="s">
        <v>28330</v>
      </c>
      <c r="J6690" s="54" t="s">
        <v>6052</v>
      </c>
      <c r="K6690" s="54">
        <v>0</v>
      </c>
      <c r="L6690" s="22" t="s">
        <v>104</v>
      </c>
      <c r="M6690" s="22" t="s">
        <v>37327</v>
      </c>
    </row>
    <row r="6691" spans="1:13" x14ac:dyDescent="0.75">
      <c r="A6691" t="s">
        <v>10016</v>
      </c>
      <c r="B6691" t="s">
        <v>10017</v>
      </c>
      <c r="C6691" t="s">
        <v>6093</v>
      </c>
      <c r="D6691" t="s">
        <v>10018</v>
      </c>
      <c r="E6691" t="s">
        <v>6504</v>
      </c>
      <c r="F6691">
        <v>1</v>
      </c>
      <c r="G6691">
        <v>2023580</v>
      </c>
      <c r="H6691" t="s">
        <v>10019</v>
      </c>
      <c r="J6691" s="54" t="s">
        <v>6052</v>
      </c>
      <c r="K6691" s="54">
        <v>0</v>
      </c>
      <c r="L6691" s="22" t="s">
        <v>104</v>
      </c>
      <c r="M6691" s="22" t="s">
        <v>37327</v>
      </c>
    </row>
    <row r="6692" spans="1:13" x14ac:dyDescent="0.75">
      <c r="A6692" t="s">
        <v>15546</v>
      </c>
      <c r="B6692" t="s">
        <v>10017</v>
      </c>
      <c r="C6692" t="s">
        <v>6093</v>
      </c>
      <c r="D6692" t="s">
        <v>10018</v>
      </c>
      <c r="E6692" t="s">
        <v>15547</v>
      </c>
      <c r="F6692">
        <v>16</v>
      </c>
      <c r="G6692">
        <v>1965871</v>
      </c>
      <c r="H6692" t="s">
        <v>15548</v>
      </c>
      <c r="J6692" s="54" t="s">
        <v>6052</v>
      </c>
      <c r="K6692" s="54">
        <v>0</v>
      </c>
      <c r="L6692" s="22" t="s">
        <v>104</v>
      </c>
      <c r="M6692" s="22" t="s">
        <v>37327</v>
      </c>
    </row>
    <row r="6693" spans="1:13" x14ac:dyDescent="0.75">
      <c r="A6693" t="s">
        <v>23654</v>
      </c>
      <c r="B6693" t="s">
        <v>18735</v>
      </c>
      <c r="C6693" t="s">
        <v>6093</v>
      </c>
      <c r="D6693" t="s">
        <v>18736</v>
      </c>
      <c r="E6693" t="s">
        <v>23655</v>
      </c>
      <c r="F6693">
        <v>17</v>
      </c>
      <c r="G6693">
        <v>1690562</v>
      </c>
      <c r="H6693" t="s">
        <v>23656</v>
      </c>
      <c r="J6693" s="54" t="s">
        <v>6052</v>
      </c>
      <c r="K6693" s="54">
        <v>0</v>
      </c>
      <c r="L6693" s="22" t="s">
        <v>104</v>
      </c>
      <c r="M6693" s="22" t="s">
        <v>37332</v>
      </c>
    </row>
    <row r="6694" spans="1:13" x14ac:dyDescent="0.75">
      <c r="A6694" t="s">
        <v>18734</v>
      </c>
      <c r="B6694" t="s">
        <v>18735</v>
      </c>
      <c r="C6694" t="s">
        <v>6093</v>
      </c>
      <c r="D6694" t="s">
        <v>18736</v>
      </c>
      <c r="E6694" t="s">
        <v>18737</v>
      </c>
      <c r="F6694">
        <v>1</v>
      </c>
      <c r="G6694">
        <v>1765730</v>
      </c>
      <c r="H6694" t="s">
        <v>18738</v>
      </c>
      <c r="J6694" s="54" t="s">
        <v>6052</v>
      </c>
      <c r="K6694" s="54">
        <v>0</v>
      </c>
      <c r="L6694" s="22" t="s">
        <v>104</v>
      </c>
      <c r="M6694" s="22" t="s">
        <v>37332</v>
      </c>
    </row>
    <row r="6695" spans="1:13" x14ac:dyDescent="0.75">
      <c r="A6695" t="s">
        <v>12010</v>
      </c>
      <c r="B6695" t="s">
        <v>10821</v>
      </c>
      <c r="C6695" t="s">
        <v>6093</v>
      </c>
      <c r="D6695" t="s">
        <v>10822</v>
      </c>
      <c r="E6695" t="s">
        <v>12011</v>
      </c>
      <c r="F6695">
        <v>219</v>
      </c>
      <c r="G6695">
        <v>2111724</v>
      </c>
      <c r="H6695" t="s">
        <v>12012</v>
      </c>
      <c r="J6695" s="54" t="s">
        <v>6052</v>
      </c>
      <c r="K6695" s="54">
        <v>0</v>
      </c>
      <c r="L6695" s="22" t="s">
        <v>104</v>
      </c>
      <c r="M6695" s="22" t="s">
        <v>37333</v>
      </c>
    </row>
    <row r="6696" spans="1:13" x14ac:dyDescent="0.75">
      <c r="A6696" t="s">
        <v>11926</v>
      </c>
      <c r="B6696" t="s">
        <v>10821</v>
      </c>
      <c r="C6696" t="s">
        <v>6093</v>
      </c>
      <c r="D6696" t="s">
        <v>10822</v>
      </c>
      <c r="E6696" t="s">
        <v>11927</v>
      </c>
      <c r="F6696">
        <v>1</v>
      </c>
      <c r="G6696">
        <v>2177905</v>
      </c>
      <c r="H6696" t="s">
        <v>11928</v>
      </c>
      <c r="J6696" s="54" t="s">
        <v>6052</v>
      </c>
      <c r="K6696" s="54">
        <v>0</v>
      </c>
      <c r="L6696" s="22" t="s">
        <v>104</v>
      </c>
      <c r="M6696" s="22" t="s">
        <v>37333</v>
      </c>
    </row>
    <row r="6697" spans="1:13" x14ac:dyDescent="0.75">
      <c r="A6697" t="s">
        <v>12649</v>
      </c>
      <c r="B6697" t="s">
        <v>10821</v>
      </c>
      <c r="C6697" t="s">
        <v>6093</v>
      </c>
      <c r="D6697" t="s">
        <v>10822</v>
      </c>
      <c r="E6697" t="s">
        <v>12650</v>
      </c>
      <c r="F6697">
        <v>93</v>
      </c>
      <c r="G6697">
        <v>2096062</v>
      </c>
      <c r="H6697" t="s">
        <v>12651</v>
      </c>
      <c r="J6697" s="54" t="s">
        <v>6052</v>
      </c>
      <c r="K6697" s="54">
        <v>0</v>
      </c>
      <c r="L6697" s="22" t="s">
        <v>104</v>
      </c>
      <c r="M6697" s="22" t="s">
        <v>37333</v>
      </c>
    </row>
    <row r="6698" spans="1:13" x14ac:dyDescent="0.75">
      <c r="A6698" t="s">
        <v>26273</v>
      </c>
      <c r="B6698" t="s">
        <v>10821</v>
      </c>
      <c r="C6698" t="s">
        <v>6093</v>
      </c>
      <c r="D6698" t="s">
        <v>10822</v>
      </c>
      <c r="E6698" t="s">
        <v>26274</v>
      </c>
      <c r="F6698">
        <v>35</v>
      </c>
      <c r="G6698">
        <v>2062892</v>
      </c>
      <c r="H6698" t="s">
        <v>26275</v>
      </c>
      <c r="J6698" s="54" t="s">
        <v>6052</v>
      </c>
      <c r="K6698" s="54">
        <v>0</v>
      </c>
      <c r="L6698" s="22" t="s">
        <v>104</v>
      </c>
      <c r="M6698" s="22" t="s">
        <v>37333</v>
      </c>
    </row>
    <row r="6699" spans="1:13" x14ac:dyDescent="0.75">
      <c r="A6699" t="s">
        <v>21598</v>
      </c>
      <c r="B6699" t="s">
        <v>10821</v>
      </c>
      <c r="C6699" t="s">
        <v>6093</v>
      </c>
      <c r="D6699" t="s">
        <v>10822</v>
      </c>
      <c r="E6699" t="s">
        <v>21599</v>
      </c>
      <c r="F6699">
        <v>71</v>
      </c>
      <c r="G6699">
        <v>1914292</v>
      </c>
      <c r="H6699" t="s">
        <v>21600</v>
      </c>
      <c r="J6699" s="54" t="s">
        <v>6052</v>
      </c>
      <c r="K6699" s="54">
        <v>0</v>
      </c>
      <c r="L6699" s="22" t="s">
        <v>104</v>
      </c>
      <c r="M6699" s="22" t="s">
        <v>37333</v>
      </c>
    </row>
    <row r="6700" spans="1:13" x14ac:dyDescent="0.75">
      <c r="A6700" t="s">
        <v>21592</v>
      </c>
      <c r="B6700" t="s">
        <v>10821</v>
      </c>
      <c r="C6700" t="s">
        <v>6093</v>
      </c>
      <c r="D6700" t="s">
        <v>10822</v>
      </c>
      <c r="E6700" t="s">
        <v>21593</v>
      </c>
      <c r="F6700">
        <v>139</v>
      </c>
      <c r="G6700">
        <v>1997894</v>
      </c>
      <c r="H6700" t="s">
        <v>21594</v>
      </c>
      <c r="J6700" s="54" t="s">
        <v>6052</v>
      </c>
      <c r="K6700" s="54">
        <v>0</v>
      </c>
      <c r="L6700" s="22" t="s">
        <v>104</v>
      </c>
      <c r="M6700" s="22" t="s">
        <v>37333</v>
      </c>
    </row>
    <row r="6701" spans="1:13" x14ac:dyDescent="0.75">
      <c r="A6701" t="s">
        <v>21595</v>
      </c>
      <c r="B6701" t="s">
        <v>10821</v>
      </c>
      <c r="C6701" t="s">
        <v>6093</v>
      </c>
      <c r="D6701" t="s">
        <v>10822</v>
      </c>
      <c r="E6701" t="s">
        <v>21596</v>
      </c>
      <c r="F6701">
        <v>99</v>
      </c>
      <c r="G6701">
        <v>1969673</v>
      </c>
      <c r="H6701" t="s">
        <v>21597</v>
      </c>
      <c r="J6701" s="54" t="s">
        <v>6052</v>
      </c>
      <c r="K6701" s="54">
        <v>0</v>
      </c>
      <c r="L6701" s="22" t="s">
        <v>104</v>
      </c>
      <c r="M6701" s="22" t="s">
        <v>37333</v>
      </c>
    </row>
    <row r="6702" spans="1:13" x14ac:dyDescent="0.75">
      <c r="A6702" t="s">
        <v>10820</v>
      </c>
      <c r="B6702" t="s">
        <v>10821</v>
      </c>
      <c r="C6702" t="s">
        <v>6093</v>
      </c>
      <c r="D6702" t="s">
        <v>10822</v>
      </c>
      <c r="E6702" t="s">
        <v>10823</v>
      </c>
      <c r="F6702">
        <v>29</v>
      </c>
      <c r="G6702">
        <v>2024688</v>
      </c>
      <c r="H6702" t="s">
        <v>10824</v>
      </c>
      <c r="J6702" s="54" t="s">
        <v>6052</v>
      </c>
      <c r="K6702" s="54">
        <v>0</v>
      </c>
      <c r="L6702" s="22" t="s">
        <v>104</v>
      </c>
      <c r="M6702" s="22" t="s">
        <v>37333</v>
      </c>
    </row>
    <row r="6703" spans="1:13" x14ac:dyDescent="0.75">
      <c r="A6703" t="s">
        <v>23660</v>
      </c>
      <c r="B6703" t="s">
        <v>7800</v>
      </c>
      <c r="C6703" t="s">
        <v>6093</v>
      </c>
      <c r="D6703" t="s">
        <v>7801</v>
      </c>
      <c r="E6703" t="s">
        <v>23661</v>
      </c>
      <c r="F6703">
        <v>13</v>
      </c>
      <c r="G6703">
        <v>1689662</v>
      </c>
      <c r="H6703" t="s">
        <v>23662</v>
      </c>
      <c r="J6703" s="54" t="s">
        <v>6052</v>
      </c>
      <c r="K6703" s="54">
        <v>0</v>
      </c>
      <c r="L6703" s="22" t="s">
        <v>104</v>
      </c>
      <c r="M6703" s="22" t="s">
        <v>37331</v>
      </c>
    </row>
    <row r="6704" spans="1:13" x14ac:dyDescent="0.75">
      <c r="A6704" t="s">
        <v>23681</v>
      </c>
      <c r="B6704" t="s">
        <v>7800</v>
      </c>
      <c r="C6704" t="s">
        <v>6093</v>
      </c>
      <c r="D6704" t="s">
        <v>7801</v>
      </c>
      <c r="E6704" t="s">
        <v>23682</v>
      </c>
      <c r="F6704">
        <v>12</v>
      </c>
      <c r="G6704">
        <v>1683756</v>
      </c>
      <c r="H6704" t="s">
        <v>23683</v>
      </c>
      <c r="J6704" s="54" t="s">
        <v>6052</v>
      </c>
      <c r="K6704" s="54">
        <v>0</v>
      </c>
      <c r="L6704" s="22" t="s">
        <v>104</v>
      </c>
      <c r="M6704" s="22" t="s">
        <v>37331</v>
      </c>
    </row>
    <row r="6705" spans="1:13" x14ac:dyDescent="0.75">
      <c r="A6705" t="s">
        <v>29592</v>
      </c>
      <c r="B6705" t="s">
        <v>7800</v>
      </c>
      <c r="C6705" t="s">
        <v>6093</v>
      </c>
      <c r="D6705" t="s">
        <v>7801</v>
      </c>
      <c r="E6705" t="s">
        <v>29593</v>
      </c>
      <c r="F6705">
        <v>46</v>
      </c>
      <c r="G6705">
        <v>1695900</v>
      </c>
      <c r="H6705" t="s">
        <v>29594</v>
      </c>
      <c r="J6705" s="54" t="s">
        <v>6052</v>
      </c>
      <c r="K6705" s="54">
        <v>0</v>
      </c>
      <c r="L6705" s="22" t="s">
        <v>104</v>
      </c>
      <c r="M6705" s="22" t="s">
        <v>37331</v>
      </c>
    </row>
    <row r="6706" spans="1:13" x14ac:dyDescent="0.75">
      <c r="A6706" t="s">
        <v>7799</v>
      </c>
      <c r="B6706" t="s">
        <v>7800</v>
      </c>
      <c r="C6706" t="s">
        <v>6093</v>
      </c>
      <c r="D6706" t="s">
        <v>7801</v>
      </c>
      <c r="E6706" t="s">
        <v>7802</v>
      </c>
      <c r="F6706">
        <v>30</v>
      </c>
      <c r="G6706">
        <v>1744061</v>
      </c>
      <c r="H6706" t="s">
        <v>7803</v>
      </c>
      <c r="J6706" s="54" t="s">
        <v>6052</v>
      </c>
      <c r="K6706" s="54">
        <v>0</v>
      </c>
      <c r="L6706" s="22" t="s">
        <v>104</v>
      </c>
      <c r="M6706" s="22" t="s">
        <v>37331</v>
      </c>
    </row>
    <row r="6707" spans="1:13" x14ac:dyDescent="0.75">
      <c r="A6707" t="s">
        <v>10814</v>
      </c>
      <c r="B6707" t="s">
        <v>7800</v>
      </c>
      <c r="C6707" t="s">
        <v>6093</v>
      </c>
      <c r="D6707" t="s">
        <v>7801</v>
      </c>
      <c r="E6707" t="s">
        <v>10815</v>
      </c>
      <c r="F6707">
        <v>11</v>
      </c>
      <c r="G6707">
        <v>1791991</v>
      </c>
      <c r="H6707" t="s">
        <v>10816</v>
      </c>
      <c r="J6707" s="54" t="s">
        <v>6052</v>
      </c>
      <c r="K6707" s="54">
        <v>0</v>
      </c>
      <c r="L6707" s="22" t="s">
        <v>104</v>
      </c>
      <c r="M6707" s="22" t="s">
        <v>37331</v>
      </c>
    </row>
    <row r="6708" spans="1:13" x14ac:dyDescent="0.75">
      <c r="A6708" t="s">
        <v>10862</v>
      </c>
      <c r="B6708" t="s">
        <v>8899</v>
      </c>
      <c r="C6708" t="s">
        <v>6093</v>
      </c>
      <c r="D6708" t="s">
        <v>8900</v>
      </c>
      <c r="E6708" t="s">
        <v>10863</v>
      </c>
      <c r="F6708">
        <v>1</v>
      </c>
      <c r="G6708">
        <v>1908294</v>
      </c>
      <c r="H6708" t="s">
        <v>10864</v>
      </c>
      <c r="J6708" s="54" t="s">
        <v>6052</v>
      </c>
      <c r="K6708" s="54">
        <v>0</v>
      </c>
      <c r="L6708" s="22" t="s">
        <v>36804</v>
      </c>
      <c r="M6708" s="22" t="s">
        <v>37326</v>
      </c>
    </row>
    <row r="6709" spans="1:13" x14ac:dyDescent="0.75">
      <c r="A6709" t="s">
        <v>536</v>
      </c>
      <c r="B6709" t="s">
        <v>537</v>
      </c>
      <c r="C6709" t="s">
        <v>6093</v>
      </c>
      <c r="D6709" t="s">
        <v>7462</v>
      </c>
      <c r="E6709" t="s">
        <v>7924</v>
      </c>
      <c r="F6709">
        <v>9</v>
      </c>
      <c r="G6709">
        <v>1945605</v>
      </c>
      <c r="H6709" t="s">
        <v>7925</v>
      </c>
      <c r="J6709" s="54" t="s">
        <v>7924</v>
      </c>
      <c r="K6709" s="54">
        <v>1</v>
      </c>
      <c r="L6709" s="22" t="s">
        <v>104</v>
      </c>
      <c r="M6709" s="22" t="s">
        <v>36820</v>
      </c>
    </row>
    <row r="6710" spans="1:13" x14ac:dyDescent="0.75">
      <c r="A6710" t="s">
        <v>26300</v>
      </c>
      <c r="B6710" t="s">
        <v>537</v>
      </c>
      <c r="C6710" t="s">
        <v>6093</v>
      </c>
      <c r="D6710" t="s">
        <v>7462</v>
      </c>
      <c r="E6710" t="s">
        <v>26301</v>
      </c>
      <c r="F6710">
        <v>7</v>
      </c>
      <c r="G6710">
        <v>1798038</v>
      </c>
      <c r="H6710" t="s">
        <v>26302</v>
      </c>
      <c r="J6710" s="54" t="s">
        <v>6052</v>
      </c>
      <c r="K6710" s="54">
        <v>0</v>
      </c>
      <c r="L6710" s="22" t="s">
        <v>104</v>
      </c>
      <c r="M6710" s="22" t="s">
        <v>36820</v>
      </c>
    </row>
    <row r="6711" spans="1:13" x14ac:dyDescent="0.75">
      <c r="A6711" t="s">
        <v>7461</v>
      </c>
      <c r="B6711" t="s">
        <v>537</v>
      </c>
      <c r="C6711" t="s">
        <v>6093</v>
      </c>
      <c r="D6711" t="s">
        <v>7462</v>
      </c>
      <c r="E6711" t="s">
        <v>7463</v>
      </c>
      <c r="F6711">
        <v>31</v>
      </c>
      <c r="G6711">
        <v>1905984</v>
      </c>
      <c r="H6711" t="s">
        <v>7464</v>
      </c>
      <c r="J6711" s="54" t="s">
        <v>6052</v>
      </c>
      <c r="K6711" s="54">
        <v>0</v>
      </c>
      <c r="L6711" s="22" t="s">
        <v>104</v>
      </c>
      <c r="M6711" s="22" t="s">
        <v>36820</v>
      </c>
    </row>
    <row r="6712" spans="1:13" x14ac:dyDescent="0.75">
      <c r="A6712" t="s">
        <v>8597</v>
      </c>
      <c r="B6712" t="s">
        <v>537</v>
      </c>
      <c r="C6712" t="s">
        <v>6093</v>
      </c>
      <c r="D6712" t="s">
        <v>7462</v>
      </c>
      <c r="E6712" t="s">
        <v>7463</v>
      </c>
      <c r="F6712">
        <v>53</v>
      </c>
      <c r="G6712">
        <v>1857230</v>
      </c>
      <c r="H6712" t="s">
        <v>8598</v>
      </c>
      <c r="J6712" s="54" t="s">
        <v>6052</v>
      </c>
      <c r="K6712" s="54">
        <v>0</v>
      </c>
      <c r="L6712" s="22" t="s">
        <v>104</v>
      </c>
      <c r="M6712" s="22" t="s">
        <v>36820</v>
      </c>
    </row>
    <row r="6713" spans="1:13" x14ac:dyDescent="0.75">
      <c r="A6713" t="s">
        <v>23693</v>
      </c>
      <c r="B6713" t="s">
        <v>537</v>
      </c>
      <c r="C6713" t="s">
        <v>6093</v>
      </c>
      <c r="D6713" t="s">
        <v>7462</v>
      </c>
      <c r="E6713" t="s">
        <v>23694</v>
      </c>
      <c r="F6713">
        <v>21</v>
      </c>
      <c r="G6713">
        <v>1735527</v>
      </c>
      <c r="H6713" t="s">
        <v>23695</v>
      </c>
      <c r="J6713" s="54" t="s">
        <v>6052</v>
      </c>
      <c r="K6713" s="54">
        <v>0</v>
      </c>
      <c r="L6713" s="22" t="s">
        <v>104</v>
      </c>
      <c r="M6713" s="22" t="s">
        <v>36820</v>
      </c>
    </row>
    <row r="6714" spans="1:13" x14ac:dyDescent="0.75">
      <c r="A6714" t="s">
        <v>23624</v>
      </c>
      <c r="B6714" t="s">
        <v>537</v>
      </c>
      <c r="C6714" t="s">
        <v>6093</v>
      </c>
      <c r="D6714" t="s">
        <v>7462</v>
      </c>
      <c r="E6714" t="s">
        <v>23625</v>
      </c>
      <c r="F6714">
        <v>19</v>
      </c>
      <c r="G6714">
        <v>1732098</v>
      </c>
      <c r="H6714" t="s">
        <v>23626</v>
      </c>
      <c r="J6714" s="54" t="s">
        <v>6052</v>
      </c>
      <c r="K6714" s="54">
        <v>0</v>
      </c>
      <c r="L6714" s="22" t="s">
        <v>104</v>
      </c>
      <c r="M6714" s="22" t="s">
        <v>36820</v>
      </c>
    </row>
    <row r="6715" spans="1:13" x14ac:dyDescent="0.75">
      <c r="A6715" t="s">
        <v>7437</v>
      </c>
      <c r="B6715" t="s">
        <v>7438</v>
      </c>
      <c r="C6715" t="s">
        <v>6093</v>
      </c>
      <c r="D6715" t="s">
        <v>7439</v>
      </c>
      <c r="E6715" t="s">
        <v>7440</v>
      </c>
      <c r="F6715">
        <v>134</v>
      </c>
      <c r="G6715">
        <v>2287892</v>
      </c>
      <c r="H6715" t="s">
        <v>7441</v>
      </c>
      <c r="J6715" s="54" t="s">
        <v>6052</v>
      </c>
      <c r="K6715" s="54">
        <v>0</v>
      </c>
      <c r="L6715" s="22" t="s">
        <v>1563</v>
      </c>
      <c r="M6715" s="22" t="s">
        <v>37328</v>
      </c>
    </row>
    <row r="6716" spans="1:13" x14ac:dyDescent="0.75">
      <c r="A6716" t="s">
        <v>16625</v>
      </c>
      <c r="B6716" t="s">
        <v>11795</v>
      </c>
      <c r="C6716" t="s">
        <v>6093</v>
      </c>
      <c r="D6716" t="s">
        <v>11796</v>
      </c>
      <c r="E6716" t="s">
        <v>16626</v>
      </c>
      <c r="F6716">
        <v>88</v>
      </c>
      <c r="G6716">
        <v>2074705</v>
      </c>
      <c r="H6716" t="s">
        <v>16627</v>
      </c>
      <c r="J6716" s="54" t="s">
        <v>6052</v>
      </c>
      <c r="K6716" s="54">
        <v>0</v>
      </c>
      <c r="L6716" s="22" t="s">
        <v>1563</v>
      </c>
      <c r="M6716" s="22" t="s">
        <v>37314</v>
      </c>
    </row>
    <row r="6717" spans="1:13" x14ac:dyDescent="0.75">
      <c r="A6717" t="s">
        <v>18022</v>
      </c>
      <c r="B6717" t="s">
        <v>11795</v>
      </c>
      <c r="C6717" t="s">
        <v>6093</v>
      </c>
      <c r="D6717" t="s">
        <v>11796</v>
      </c>
      <c r="E6717" t="s">
        <v>16626</v>
      </c>
      <c r="F6717">
        <v>1</v>
      </c>
      <c r="G6717">
        <v>2102268</v>
      </c>
      <c r="H6717" t="s">
        <v>18023</v>
      </c>
      <c r="J6717" s="54" t="s">
        <v>6052</v>
      </c>
      <c r="K6717" s="54">
        <v>0</v>
      </c>
      <c r="L6717" s="22" t="s">
        <v>1563</v>
      </c>
      <c r="M6717" s="22" t="s">
        <v>37314</v>
      </c>
    </row>
    <row r="6718" spans="1:13" x14ac:dyDescent="0.75">
      <c r="A6718" t="s">
        <v>23612</v>
      </c>
      <c r="B6718" t="s">
        <v>537</v>
      </c>
      <c r="C6718" t="s">
        <v>6093</v>
      </c>
      <c r="D6718" t="s">
        <v>7462</v>
      </c>
      <c r="E6718" t="s">
        <v>23613</v>
      </c>
      <c r="F6718">
        <v>13</v>
      </c>
      <c r="G6718">
        <v>1792476</v>
      </c>
      <c r="H6718" t="s">
        <v>23614</v>
      </c>
      <c r="J6718" s="54" t="s">
        <v>6052</v>
      </c>
      <c r="K6718" s="54">
        <v>0</v>
      </c>
      <c r="L6718" s="22" t="s">
        <v>104</v>
      </c>
      <c r="M6718" s="22" t="s">
        <v>36820</v>
      </c>
    </row>
    <row r="6719" spans="1:13" x14ac:dyDescent="0.75">
      <c r="A6719" t="s">
        <v>23618</v>
      </c>
      <c r="B6719" t="s">
        <v>537</v>
      </c>
      <c r="C6719" t="s">
        <v>6093</v>
      </c>
      <c r="D6719" t="s">
        <v>7462</v>
      </c>
      <c r="E6719" t="s">
        <v>23619</v>
      </c>
      <c r="F6719">
        <v>12</v>
      </c>
      <c r="G6719">
        <v>1792604</v>
      </c>
      <c r="H6719" t="s">
        <v>23620</v>
      </c>
      <c r="J6719" s="54" t="s">
        <v>6052</v>
      </c>
      <c r="K6719" s="54">
        <v>0</v>
      </c>
      <c r="L6719" s="22" t="s">
        <v>104</v>
      </c>
      <c r="M6719" s="22" t="s">
        <v>36820</v>
      </c>
    </row>
    <row r="6720" spans="1:13" x14ac:dyDescent="0.75">
      <c r="A6720" t="s">
        <v>19731</v>
      </c>
      <c r="B6720" t="s">
        <v>537</v>
      </c>
      <c r="C6720" t="s">
        <v>6093</v>
      </c>
      <c r="D6720" t="s">
        <v>7462</v>
      </c>
      <c r="E6720" t="s">
        <v>19732</v>
      </c>
      <c r="F6720">
        <v>48</v>
      </c>
      <c r="G6720">
        <v>1718317</v>
      </c>
      <c r="H6720" t="s">
        <v>19733</v>
      </c>
      <c r="J6720" s="54" t="s">
        <v>6052</v>
      </c>
      <c r="K6720" s="54">
        <v>0</v>
      </c>
      <c r="L6720" s="22" t="s">
        <v>104</v>
      </c>
      <c r="M6720" s="22" t="s">
        <v>36820</v>
      </c>
    </row>
    <row r="6721" spans="1:13" x14ac:dyDescent="0.75">
      <c r="A6721" t="s">
        <v>26425</v>
      </c>
      <c r="B6721" t="s">
        <v>537</v>
      </c>
      <c r="C6721" t="s">
        <v>6093</v>
      </c>
      <c r="D6721" t="s">
        <v>7462</v>
      </c>
      <c r="E6721" t="s">
        <v>26426</v>
      </c>
      <c r="F6721">
        <v>17</v>
      </c>
      <c r="G6721">
        <v>1768524</v>
      </c>
      <c r="H6721" t="s">
        <v>26427</v>
      </c>
      <c r="J6721" s="54" t="s">
        <v>6052</v>
      </c>
      <c r="K6721" s="54">
        <v>0</v>
      </c>
      <c r="L6721" s="22" t="s">
        <v>104</v>
      </c>
      <c r="M6721" s="22" t="s">
        <v>36820</v>
      </c>
    </row>
    <row r="6722" spans="1:13" x14ac:dyDescent="0.75">
      <c r="A6722" t="s">
        <v>12936</v>
      </c>
      <c r="B6722" t="s">
        <v>537</v>
      </c>
      <c r="C6722" t="s">
        <v>6093</v>
      </c>
      <c r="D6722" t="s">
        <v>7462</v>
      </c>
      <c r="E6722" t="s">
        <v>12937</v>
      </c>
      <c r="F6722">
        <v>38</v>
      </c>
      <c r="G6722">
        <v>1753374</v>
      </c>
      <c r="H6722" t="s">
        <v>12938</v>
      </c>
      <c r="J6722" s="54" t="s">
        <v>6052</v>
      </c>
      <c r="K6722" s="54">
        <v>0</v>
      </c>
      <c r="L6722" s="22" t="s">
        <v>104</v>
      </c>
      <c r="M6722" s="22" t="s">
        <v>36820</v>
      </c>
    </row>
    <row r="6723" spans="1:13" x14ac:dyDescent="0.75">
      <c r="A6723" t="s">
        <v>29319</v>
      </c>
      <c r="B6723" t="s">
        <v>537</v>
      </c>
      <c r="C6723" t="s">
        <v>6093</v>
      </c>
      <c r="D6723" t="s">
        <v>7462</v>
      </c>
      <c r="E6723" t="s">
        <v>29320</v>
      </c>
      <c r="F6723">
        <v>10</v>
      </c>
      <c r="G6723">
        <v>1682274</v>
      </c>
      <c r="H6723" t="s">
        <v>29321</v>
      </c>
      <c r="J6723" s="54" t="s">
        <v>6052</v>
      </c>
      <c r="K6723" s="54">
        <v>0</v>
      </c>
      <c r="L6723" s="22" t="s">
        <v>104</v>
      </c>
      <c r="M6723" s="22" t="s">
        <v>36820</v>
      </c>
    </row>
    <row r="6724" spans="1:13" x14ac:dyDescent="0.75">
      <c r="A6724" t="s">
        <v>27629</v>
      </c>
      <c r="B6724" t="s">
        <v>537</v>
      </c>
      <c r="C6724" t="s">
        <v>6093</v>
      </c>
      <c r="D6724" t="s">
        <v>7462</v>
      </c>
      <c r="E6724" t="s">
        <v>27630</v>
      </c>
      <c r="F6724">
        <v>6</v>
      </c>
      <c r="G6724">
        <v>2023648</v>
      </c>
      <c r="H6724" t="s">
        <v>27631</v>
      </c>
      <c r="J6724" s="54" t="s">
        <v>6052</v>
      </c>
      <c r="K6724" s="54">
        <v>0</v>
      </c>
      <c r="L6724" s="22" t="s">
        <v>104</v>
      </c>
      <c r="M6724" s="22" t="s">
        <v>36820</v>
      </c>
    </row>
    <row r="6725" spans="1:13" x14ac:dyDescent="0.75">
      <c r="A6725" t="s">
        <v>21040</v>
      </c>
      <c r="B6725" t="s">
        <v>537</v>
      </c>
      <c r="C6725" t="s">
        <v>6093</v>
      </c>
      <c r="D6725" t="s">
        <v>7462</v>
      </c>
      <c r="E6725" t="s">
        <v>21041</v>
      </c>
      <c r="F6725">
        <v>7</v>
      </c>
      <c r="G6725">
        <v>1716789</v>
      </c>
      <c r="H6725" t="s">
        <v>21042</v>
      </c>
      <c r="J6725" s="54" t="s">
        <v>6052</v>
      </c>
      <c r="K6725" s="54">
        <v>0</v>
      </c>
      <c r="L6725" s="22" t="s">
        <v>104</v>
      </c>
      <c r="M6725" s="22" t="s">
        <v>36820</v>
      </c>
    </row>
    <row r="6726" spans="1:13" x14ac:dyDescent="0.75">
      <c r="A6726" t="s">
        <v>8702</v>
      </c>
      <c r="B6726" t="s">
        <v>537</v>
      </c>
      <c r="C6726" t="s">
        <v>6093</v>
      </c>
      <c r="D6726" t="s">
        <v>7462</v>
      </c>
      <c r="E6726" t="s">
        <v>8703</v>
      </c>
      <c r="F6726">
        <v>10</v>
      </c>
      <c r="G6726">
        <v>1758646</v>
      </c>
      <c r="H6726" t="s">
        <v>8704</v>
      </c>
      <c r="J6726" s="54" t="s">
        <v>6052</v>
      </c>
      <c r="K6726" s="54">
        <v>0</v>
      </c>
      <c r="L6726" s="22" t="s">
        <v>104</v>
      </c>
      <c r="M6726" s="22" t="s">
        <v>36820</v>
      </c>
    </row>
    <row r="6727" spans="1:13" x14ac:dyDescent="0.75">
      <c r="A6727" t="s">
        <v>21604</v>
      </c>
      <c r="B6727" t="s">
        <v>537</v>
      </c>
      <c r="C6727" t="s">
        <v>6093</v>
      </c>
      <c r="D6727" t="s">
        <v>7462</v>
      </c>
      <c r="E6727" t="s">
        <v>21605</v>
      </c>
      <c r="F6727">
        <v>20</v>
      </c>
      <c r="G6727">
        <v>1829592</v>
      </c>
      <c r="H6727" t="s">
        <v>21606</v>
      </c>
      <c r="J6727" s="54" t="s">
        <v>6052</v>
      </c>
      <c r="K6727" s="54">
        <v>0</v>
      </c>
      <c r="L6727" s="22" t="s">
        <v>104</v>
      </c>
      <c r="M6727" s="22" t="s">
        <v>36820</v>
      </c>
    </row>
    <row r="6728" spans="1:13" x14ac:dyDescent="0.75">
      <c r="A6728" t="s">
        <v>21601</v>
      </c>
      <c r="B6728" t="s">
        <v>537</v>
      </c>
      <c r="C6728" t="s">
        <v>6093</v>
      </c>
      <c r="D6728" t="s">
        <v>7462</v>
      </c>
      <c r="E6728" t="s">
        <v>21602</v>
      </c>
      <c r="F6728">
        <v>23</v>
      </c>
      <c r="G6728">
        <v>1831482</v>
      </c>
      <c r="H6728" t="s">
        <v>21603</v>
      </c>
      <c r="J6728" s="54" t="s">
        <v>6052</v>
      </c>
      <c r="K6728" s="54">
        <v>0</v>
      </c>
      <c r="L6728" s="22" t="s">
        <v>104</v>
      </c>
      <c r="M6728" s="22" t="s">
        <v>36820</v>
      </c>
    </row>
    <row r="6729" spans="1:13" x14ac:dyDescent="0.75">
      <c r="A6729" t="s">
        <v>7941</v>
      </c>
      <c r="B6729" t="s">
        <v>537</v>
      </c>
      <c r="C6729" t="s">
        <v>6093</v>
      </c>
      <c r="D6729" t="s">
        <v>7462</v>
      </c>
      <c r="E6729" t="s">
        <v>7942</v>
      </c>
      <c r="F6729">
        <v>16</v>
      </c>
      <c r="G6729">
        <v>1869505</v>
      </c>
      <c r="H6729" t="s">
        <v>7943</v>
      </c>
      <c r="J6729" s="54" t="s">
        <v>6052</v>
      </c>
      <c r="K6729" s="54">
        <v>0</v>
      </c>
      <c r="L6729" s="22" t="s">
        <v>104</v>
      </c>
      <c r="M6729" s="22" t="s">
        <v>36820</v>
      </c>
    </row>
    <row r="6730" spans="1:13" x14ac:dyDescent="0.75">
      <c r="A6730" t="s">
        <v>14397</v>
      </c>
      <c r="B6730" t="s">
        <v>8291</v>
      </c>
      <c r="C6730" t="s">
        <v>6093</v>
      </c>
      <c r="D6730" t="s">
        <v>8292</v>
      </c>
      <c r="E6730">
        <v>30309</v>
      </c>
      <c r="F6730">
        <v>12</v>
      </c>
      <c r="G6730">
        <v>1956646</v>
      </c>
      <c r="H6730" t="s">
        <v>14398</v>
      </c>
      <c r="J6730" s="54" t="s">
        <v>6052</v>
      </c>
      <c r="K6730" s="54">
        <v>0</v>
      </c>
      <c r="L6730" s="22" t="s">
        <v>104</v>
      </c>
      <c r="M6730" s="22" t="s">
        <v>37317</v>
      </c>
    </row>
    <row r="6731" spans="1:13" x14ac:dyDescent="0.75">
      <c r="A6731" t="s">
        <v>14395</v>
      </c>
      <c r="B6731" t="s">
        <v>8291</v>
      </c>
      <c r="C6731" t="s">
        <v>6093</v>
      </c>
      <c r="D6731" t="s">
        <v>8292</v>
      </c>
      <c r="E6731">
        <v>32811</v>
      </c>
      <c r="F6731">
        <v>20</v>
      </c>
      <c r="G6731">
        <v>1971034</v>
      </c>
      <c r="H6731" t="s">
        <v>14396</v>
      </c>
      <c r="J6731" s="54" t="s">
        <v>6052</v>
      </c>
      <c r="K6731" s="54">
        <v>0</v>
      </c>
      <c r="L6731" s="22" t="s">
        <v>104</v>
      </c>
      <c r="M6731" s="22" t="s">
        <v>37317</v>
      </c>
    </row>
    <row r="6732" spans="1:13" x14ac:dyDescent="0.75">
      <c r="A6732" t="s">
        <v>17381</v>
      </c>
      <c r="B6732" t="s">
        <v>8291</v>
      </c>
      <c r="C6732" t="s">
        <v>6093</v>
      </c>
      <c r="D6732" t="s">
        <v>8292</v>
      </c>
      <c r="E6732" t="s">
        <v>17382</v>
      </c>
      <c r="F6732">
        <v>8</v>
      </c>
      <c r="G6732">
        <v>1946261</v>
      </c>
      <c r="H6732" t="s">
        <v>17383</v>
      </c>
      <c r="J6732" s="54" t="s">
        <v>6052</v>
      </c>
      <c r="K6732" s="54">
        <v>0</v>
      </c>
      <c r="L6732" s="22" t="s">
        <v>104</v>
      </c>
      <c r="M6732" s="22" t="s">
        <v>37317</v>
      </c>
    </row>
    <row r="6733" spans="1:13" x14ac:dyDescent="0.75">
      <c r="A6733" t="s">
        <v>17392</v>
      </c>
      <c r="B6733" t="s">
        <v>8291</v>
      </c>
      <c r="C6733" t="s">
        <v>6093</v>
      </c>
      <c r="D6733" t="s">
        <v>8292</v>
      </c>
      <c r="E6733" t="s">
        <v>17393</v>
      </c>
      <c r="F6733">
        <v>8</v>
      </c>
      <c r="G6733">
        <v>1845697</v>
      </c>
      <c r="H6733" t="s">
        <v>17394</v>
      </c>
      <c r="J6733" s="54" t="s">
        <v>6052</v>
      </c>
      <c r="K6733" s="54">
        <v>0</v>
      </c>
      <c r="L6733" s="22" t="s">
        <v>104</v>
      </c>
      <c r="M6733" s="22" t="s">
        <v>37317</v>
      </c>
    </row>
    <row r="6734" spans="1:13" x14ac:dyDescent="0.75">
      <c r="A6734" t="s">
        <v>17495</v>
      </c>
      <c r="B6734" t="s">
        <v>8291</v>
      </c>
      <c r="C6734" t="s">
        <v>6093</v>
      </c>
      <c r="D6734" t="s">
        <v>8292</v>
      </c>
      <c r="E6734" t="s">
        <v>17496</v>
      </c>
      <c r="F6734">
        <v>27</v>
      </c>
      <c r="G6734">
        <v>1860124</v>
      </c>
      <c r="H6734" t="s">
        <v>17497</v>
      </c>
      <c r="J6734" s="54" t="s">
        <v>6052</v>
      </c>
      <c r="K6734" s="54">
        <v>0</v>
      </c>
      <c r="L6734" s="22" t="s">
        <v>104</v>
      </c>
      <c r="M6734" s="22" t="s">
        <v>37317</v>
      </c>
    </row>
    <row r="6735" spans="1:13" x14ac:dyDescent="0.75">
      <c r="A6735" t="s">
        <v>17398</v>
      </c>
      <c r="B6735" t="s">
        <v>8291</v>
      </c>
      <c r="C6735" t="s">
        <v>6093</v>
      </c>
      <c r="D6735" t="s">
        <v>8292</v>
      </c>
      <c r="E6735" t="s">
        <v>17399</v>
      </c>
      <c r="F6735">
        <v>7</v>
      </c>
      <c r="G6735">
        <v>1813578</v>
      </c>
      <c r="H6735" t="s">
        <v>17400</v>
      </c>
      <c r="J6735" s="54" t="s">
        <v>6052</v>
      </c>
      <c r="K6735" s="54">
        <v>0</v>
      </c>
      <c r="L6735" s="22" t="s">
        <v>104</v>
      </c>
      <c r="M6735" s="22" t="s">
        <v>37317</v>
      </c>
    </row>
    <row r="6736" spans="1:13" x14ac:dyDescent="0.75">
      <c r="A6736" t="s">
        <v>11300</v>
      </c>
      <c r="B6736" t="s">
        <v>8291</v>
      </c>
      <c r="C6736" t="s">
        <v>6093</v>
      </c>
      <c r="D6736" t="s">
        <v>8292</v>
      </c>
      <c r="E6736" t="s">
        <v>11301</v>
      </c>
      <c r="F6736">
        <v>21</v>
      </c>
      <c r="G6736">
        <v>1968891</v>
      </c>
      <c r="H6736" t="s">
        <v>11302</v>
      </c>
      <c r="J6736" s="54" t="s">
        <v>6052</v>
      </c>
      <c r="K6736" s="54">
        <v>0</v>
      </c>
      <c r="L6736" s="22" t="s">
        <v>104</v>
      </c>
      <c r="M6736" s="22" t="s">
        <v>37317</v>
      </c>
    </row>
    <row r="6737" spans="1:13" x14ac:dyDescent="0.75">
      <c r="A6737" t="s">
        <v>16193</v>
      </c>
      <c r="B6737" t="s">
        <v>8291</v>
      </c>
      <c r="C6737" t="s">
        <v>6093</v>
      </c>
      <c r="D6737" t="s">
        <v>8292</v>
      </c>
      <c r="E6737" t="s">
        <v>16194</v>
      </c>
      <c r="F6737">
        <v>26</v>
      </c>
      <c r="G6737">
        <v>2001461</v>
      </c>
      <c r="H6737" t="s">
        <v>16195</v>
      </c>
      <c r="J6737" s="54" t="s">
        <v>6052</v>
      </c>
      <c r="K6737" s="54">
        <v>0</v>
      </c>
      <c r="L6737" s="22" t="s">
        <v>104</v>
      </c>
      <c r="M6737" s="22" t="s">
        <v>37317</v>
      </c>
    </row>
    <row r="6738" spans="1:13" x14ac:dyDescent="0.75">
      <c r="A6738" t="s">
        <v>16190</v>
      </c>
      <c r="B6738" t="s">
        <v>8291</v>
      </c>
      <c r="C6738" t="s">
        <v>6093</v>
      </c>
      <c r="D6738" t="s">
        <v>8292</v>
      </c>
      <c r="E6738" t="s">
        <v>16191</v>
      </c>
      <c r="F6738">
        <v>41</v>
      </c>
      <c r="G6738">
        <v>1912153</v>
      </c>
      <c r="H6738" t="s">
        <v>16192</v>
      </c>
      <c r="J6738" s="54" t="s">
        <v>6052</v>
      </c>
      <c r="K6738" s="54">
        <v>0</v>
      </c>
      <c r="L6738" s="22" t="s">
        <v>104</v>
      </c>
      <c r="M6738" s="22" t="s">
        <v>37317</v>
      </c>
    </row>
    <row r="6739" spans="1:13" x14ac:dyDescent="0.75">
      <c r="A6739" t="s">
        <v>16277</v>
      </c>
      <c r="B6739" t="s">
        <v>8291</v>
      </c>
      <c r="C6739" t="s">
        <v>6093</v>
      </c>
      <c r="D6739" t="s">
        <v>8292</v>
      </c>
      <c r="E6739" t="s">
        <v>16278</v>
      </c>
      <c r="F6739">
        <v>26</v>
      </c>
      <c r="G6739">
        <v>1992918</v>
      </c>
      <c r="H6739" t="s">
        <v>16279</v>
      </c>
      <c r="J6739" s="54" t="s">
        <v>6052</v>
      </c>
      <c r="K6739" s="54">
        <v>0</v>
      </c>
      <c r="L6739" s="22" t="s">
        <v>104</v>
      </c>
      <c r="M6739" s="22" t="s">
        <v>37317</v>
      </c>
    </row>
    <row r="6740" spans="1:13" x14ac:dyDescent="0.75">
      <c r="A6740" t="s">
        <v>16187</v>
      </c>
      <c r="B6740" t="s">
        <v>8291</v>
      </c>
      <c r="C6740" t="s">
        <v>6093</v>
      </c>
      <c r="D6740" t="s">
        <v>8292</v>
      </c>
      <c r="E6740" t="s">
        <v>16188</v>
      </c>
      <c r="F6740">
        <v>14</v>
      </c>
      <c r="G6740">
        <v>1968232</v>
      </c>
      <c r="H6740" t="s">
        <v>16189</v>
      </c>
      <c r="J6740" s="54" t="s">
        <v>6052</v>
      </c>
      <c r="K6740" s="54">
        <v>0</v>
      </c>
      <c r="L6740" s="22" t="s">
        <v>104</v>
      </c>
      <c r="M6740" s="22" t="s">
        <v>37317</v>
      </c>
    </row>
    <row r="6741" spans="1:13" x14ac:dyDescent="0.75">
      <c r="A6741" t="s">
        <v>16184</v>
      </c>
      <c r="B6741" t="s">
        <v>8291</v>
      </c>
      <c r="C6741" t="s">
        <v>6093</v>
      </c>
      <c r="D6741" t="s">
        <v>8292</v>
      </c>
      <c r="E6741" t="s">
        <v>16185</v>
      </c>
      <c r="F6741">
        <v>34</v>
      </c>
      <c r="G6741">
        <v>1993372</v>
      </c>
      <c r="H6741" t="s">
        <v>16186</v>
      </c>
      <c r="J6741" s="54" t="s">
        <v>6052</v>
      </c>
      <c r="K6741" s="54">
        <v>0</v>
      </c>
      <c r="L6741" s="22" t="s">
        <v>104</v>
      </c>
      <c r="M6741" s="22" t="s">
        <v>37317</v>
      </c>
    </row>
    <row r="6742" spans="1:13" x14ac:dyDescent="0.75">
      <c r="A6742" t="s">
        <v>9521</v>
      </c>
      <c r="B6742" t="s">
        <v>8291</v>
      </c>
      <c r="C6742" t="s">
        <v>6093</v>
      </c>
      <c r="D6742" t="s">
        <v>8292</v>
      </c>
      <c r="E6742" t="s">
        <v>9522</v>
      </c>
      <c r="F6742">
        <v>10</v>
      </c>
      <c r="G6742">
        <v>1951449</v>
      </c>
      <c r="H6742" t="s">
        <v>9523</v>
      </c>
      <c r="J6742" s="54" t="s">
        <v>6052</v>
      </c>
      <c r="K6742" s="54">
        <v>0</v>
      </c>
      <c r="L6742" s="22" t="s">
        <v>104</v>
      </c>
      <c r="M6742" s="22" t="s">
        <v>37317</v>
      </c>
    </row>
    <row r="6743" spans="1:13" x14ac:dyDescent="0.75">
      <c r="A6743" t="s">
        <v>9670</v>
      </c>
      <c r="B6743" t="s">
        <v>8291</v>
      </c>
      <c r="C6743" t="s">
        <v>6093</v>
      </c>
      <c r="D6743" t="s">
        <v>8292</v>
      </c>
      <c r="E6743" t="s">
        <v>9671</v>
      </c>
      <c r="F6743">
        <v>1</v>
      </c>
      <c r="G6743">
        <v>1996214</v>
      </c>
      <c r="H6743" t="s">
        <v>9672</v>
      </c>
      <c r="J6743" s="54" t="s">
        <v>6052</v>
      </c>
      <c r="K6743" s="54">
        <v>0</v>
      </c>
      <c r="L6743" s="22" t="s">
        <v>104</v>
      </c>
      <c r="M6743" s="22" t="s">
        <v>37317</v>
      </c>
    </row>
    <row r="6744" spans="1:13" x14ac:dyDescent="0.75">
      <c r="A6744" t="s">
        <v>8923</v>
      </c>
      <c r="B6744" t="s">
        <v>8291</v>
      </c>
      <c r="C6744" t="s">
        <v>6093</v>
      </c>
      <c r="D6744" t="s">
        <v>8292</v>
      </c>
      <c r="E6744" t="s">
        <v>8924</v>
      </c>
      <c r="F6744">
        <v>48</v>
      </c>
      <c r="G6744">
        <v>1965880</v>
      </c>
      <c r="H6744" t="s">
        <v>8925</v>
      </c>
      <c r="J6744" s="54" t="s">
        <v>6052</v>
      </c>
      <c r="K6744" s="54">
        <v>0</v>
      </c>
      <c r="L6744" s="22" t="s">
        <v>104</v>
      </c>
      <c r="M6744" s="22" t="s">
        <v>37317</v>
      </c>
    </row>
    <row r="6745" spans="1:13" x14ac:dyDescent="0.75">
      <c r="A6745" t="s">
        <v>16202</v>
      </c>
      <c r="B6745" t="s">
        <v>8291</v>
      </c>
      <c r="C6745" t="s">
        <v>6093</v>
      </c>
      <c r="D6745" t="s">
        <v>8292</v>
      </c>
      <c r="E6745" t="s">
        <v>16203</v>
      </c>
      <c r="F6745">
        <v>33</v>
      </c>
      <c r="G6745">
        <v>1993716</v>
      </c>
      <c r="H6745" t="s">
        <v>16204</v>
      </c>
      <c r="J6745" s="54" t="s">
        <v>6052</v>
      </c>
      <c r="K6745" s="54">
        <v>0</v>
      </c>
      <c r="L6745" s="22" t="s">
        <v>104</v>
      </c>
      <c r="M6745" s="22" t="s">
        <v>37317</v>
      </c>
    </row>
    <row r="6746" spans="1:13" x14ac:dyDescent="0.75">
      <c r="A6746" t="s">
        <v>16283</v>
      </c>
      <c r="B6746" t="s">
        <v>8291</v>
      </c>
      <c r="C6746" t="s">
        <v>6093</v>
      </c>
      <c r="D6746" t="s">
        <v>8292</v>
      </c>
      <c r="E6746" t="s">
        <v>16284</v>
      </c>
      <c r="F6746">
        <v>23</v>
      </c>
      <c r="G6746">
        <v>1953433</v>
      </c>
      <c r="H6746" t="s">
        <v>16285</v>
      </c>
      <c r="J6746" s="54" t="s">
        <v>6052</v>
      </c>
      <c r="K6746" s="54">
        <v>0</v>
      </c>
      <c r="L6746" s="22" t="s">
        <v>104</v>
      </c>
      <c r="M6746" s="22" t="s">
        <v>37317</v>
      </c>
    </row>
    <row r="6747" spans="1:13" x14ac:dyDescent="0.75">
      <c r="A6747" t="s">
        <v>16199</v>
      </c>
      <c r="B6747" t="s">
        <v>8291</v>
      </c>
      <c r="C6747" t="s">
        <v>6093</v>
      </c>
      <c r="D6747" t="s">
        <v>8292</v>
      </c>
      <c r="E6747" t="s">
        <v>16200</v>
      </c>
      <c r="F6747">
        <v>18</v>
      </c>
      <c r="G6747">
        <v>1889067</v>
      </c>
      <c r="H6747" t="s">
        <v>16201</v>
      </c>
      <c r="J6747" s="54" t="s">
        <v>6052</v>
      </c>
      <c r="K6747" s="54">
        <v>0</v>
      </c>
      <c r="L6747" s="22" t="s">
        <v>104</v>
      </c>
      <c r="M6747" s="22" t="s">
        <v>37317</v>
      </c>
    </row>
    <row r="6748" spans="1:13" x14ac:dyDescent="0.75">
      <c r="A6748" t="s">
        <v>9673</v>
      </c>
      <c r="B6748" t="s">
        <v>8291</v>
      </c>
      <c r="C6748" t="s">
        <v>6093</v>
      </c>
      <c r="D6748" t="s">
        <v>8292</v>
      </c>
      <c r="E6748" t="s">
        <v>9674</v>
      </c>
      <c r="F6748">
        <v>1</v>
      </c>
      <c r="G6748">
        <v>1960728</v>
      </c>
      <c r="H6748" t="s">
        <v>9675</v>
      </c>
      <c r="J6748" s="54" t="s">
        <v>6052</v>
      </c>
      <c r="K6748" s="54">
        <v>0</v>
      </c>
      <c r="L6748" s="22" t="s">
        <v>104</v>
      </c>
      <c r="M6748" s="22" t="s">
        <v>37317</v>
      </c>
    </row>
    <row r="6749" spans="1:13" x14ac:dyDescent="0.75">
      <c r="A6749" t="s">
        <v>8290</v>
      </c>
      <c r="B6749" t="s">
        <v>8291</v>
      </c>
      <c r="C6749" t="s">
        <v>6093</v>
      </c>
      <c r="D6749" t="s">
        <v>8292</v>
      </c>
      <c r="E6749" t="s">
        <v>8293</v>
      </c>
      <c r="F6749">
        <v>13</v>
      </c>
      <c r="G6749">
        <v>1922374</v>
      </c>
      <c r="H6749" t="s">
        <v>8294</v>
      </c>
      <c r="J6749" s="54" t="s">
        <v>6052</v>
      </c>
      <c r="K6749" s="54">
        <v>0</v>
      </c>
      <c r="L6749" s="22" t="s">
        <v>104</v>
      </c>
      <c r="M6749" s="22" t="s">
        <v>37317</v>
      </c>
    </row>
    <row r="6750" spans="1:13" x14ac:dyDescent="0.75">
      <c r="A6750" t="s">
        <v>13401</v>
      </c>
      <c r="B6750" t="s">
        <v>8291</v>
      </c>
      <c r="C6750" t="s">
        <v>6093</v>
      </c>
      <c r="D6750" t="s">
        <v>8292</v>
      </c>
      <c r="E6750" t="s">
        <v>13402</v>
      </c>
      <c r="F6750">
        <v>1</v>
      </c>
      <c r="G6750">
        <v>1914006</v>
      </c>
      <c r="H6750" t="s">
        <v>13403</v>
      </c>
      <c r="J6750" s="54" t="s">
        <v>6052</v>
      </c>
      <c r="K6750" s="54">
        <v>0</v>
      </c>
      <c r="L6750" s="22" t="s">
        <v>104</v>
      </c>
      <c r="M6750" s="22" t="s">
        <v>37317</v>
      </c>
    </row>
    <row r="6751" spans="1:13" x14ac:dyDescent="0.75">
      <c r="A6751" t="s">
        <v>18461</v>
      </c>
      <c r="B6751" t="s">
        <v>8291</v>
      </c>
      <c r="C6751" t="s">
        <v>6093</v>
      </c>
      <c r="D6751" t="s">
        <v>8292</v>
      </c>
      <c r="E6751" t="s">
        <v>18462</v>
      </c>
      <c r="F6751">
        <v>1</v>
      </c>
      <c r="G6751">
        <v>1933377</v>
      </c>
      <c r="H6751" t="s">
        <v>18463</v>
      </c>
      <c r="J6751" s="54" t="s">
        <v>6052</v>
      </c>
      <c r="K6751" s="54">
        <v>0</v>
      </c>
      <c r="L6751" s="22" t="s">
        <v>104</v>
      </c>
      <c r="M6751" s="22" t="s">
        <v>37317</v>
      </c>
    </row>
    <row r="6752" spans="1:13" x14ac:dyDescent="0.75">
      <c r="A6752" t="s">
        <v>27792</v>
      </c>
      <c r="B6752" t="s">
        <v>8291</v>
      </c>
      <c r="C6752" t="s">
        <v>6093</v>
      </c>
      <c r="D6752" t="s">
        <v>8292</v>
      </c>
      <c r="E6752" t="s">
        <v>27793</v>
      </c>
      <c r="F6752">
        <v>14</v>
      </c>
      <c r="G6752">
        <v>1942413</v>
      </c>
      <c r="H6752" t="s">
        <v>27794</v>
      </c>
      <c r="J6752" s="54" t="s">
        <v>6052</v>
      </c>
      <c r="K6752" s="54">
        <v>0</v>
      </c>
      <c r="L6752" s="22" t="s">
        <v>104</v>
      </c>
      <c r="M6752" s="22" t="s">
        <v>37317</v>
      </c>
    </row>
    <row r="6753" spans="1:13" x14ac:dyDescent="0.75">
      <c r="A6753" t="s">
        <v>27903</v>
      </c>
      <c r="B6753" t="s">
        <v>8291</v>
      </c>
      <c r="C6753" t="s">
        <v>6093</v>
      </c>
      <c r="D6753" t="s">
        <v>8292</v>
      </c>
      <c r="E6753" t="s">
        <v>27904</v>
      </c>
      <c r="F6753">
        <v>16</v>
      </c>
      <c r="G6753">
        <v>1974260</v>
      </c>
      <c r="H6753" t="s">
        <v>27905</v>
      </c>
      <c r="J6753" s="54" t="s">
        <v>6052</v>
      </c>
      <c r="K6753" s="54">
        <v>0</v>
      </c>
      <c r="L6753" s="22" t="s">
        <v>104</v>
      </c>
      <c r="M6753" s="22" t="s">
        <v>37317</v>
      </c>
    </row>
    <row r="6754" spans="1:13" x14ac:dyDescent="0.75">
      <c r="A6754" t="s">
        <v>27810</v>
      </c>
      <c r="B6754" t="s">
        <v>8291</v>
      </c>
      <c r="C6754" t="s">
        <v>6093</v>
      </c>
      <c r="D6754" t="s">
        <v>8292</v>
      </c>
      <c r="E6754" t="s">
        <v>27811</v>
      </c>
      <c r="F6754">
        <v>38</v>
      </c>
      <c r="G6754">
        <v>1886668</v>
      </c>
      <c r="H6754" t="s">
        <v>27812</v>
      </c>
      <c r="J6754" s="54" t="s">
        <v>6052</v>
      </c>
      <c r="K6754" s="54">
        <v>0</v>
      </c>
      <c r="L6754" s="22" t="s">
        <v>104</v>
      </c>
      <c r="M6754" s="22" t="s">
        <v>37317</v>
      </c>
    </row>
    <row r="6755" spans="1:13" x14ac:dyDescent="0.75">
      <c r="A6755" t="s">
        <v>27813</v>
      </c>
      <c r="B6755" t="s">
        <v>8291</v>
      </c>
      <c r="C6755" t="s">
        <v>6093</v>
      </c>
      <c r="D6755" t="s">
        <v>8292</v>
      </c>
      <c r="E6755" t="s">
        <v>27814</v>
      </c>
      <c r="F6755">
        <v>25</v>
      </c>
      <c r="G6755">
        <v>2003390</v>
      </c>
      <c r="H6755" t="s">
        <v>27815</v>
      </c>
      <c r="J6755" s="54" t="s">
        <v>6052</v>
      </c>
      <c r="K6755" s="54">
        <v>0</v>
      </c>
      <c r="L6755" s="22" t="s">
        <v>104</v>
      </c>
      <c r="M6755" s="22" t="s">
        <v>37317</v>
      </c>
    </row>
    <row r="6756" spans="1:13" x14ac:dyDescent="0.75">
      <c r="A6756" t="s">
        <v>27825</v>
      </c>
      <c r="B6756" t="s">
        <v>8291</v>
      </c>
      <c r="C6756" t="s">
        <v>6093</v>
      </c>
      <c r="D6756" t="s">
        <v>8292</v>
      </c>
      <c r="E6756" t="s">
        <v>27826</v>
      </c>
      <c r="F6756">
        <v>14</v>
      </c>
      <c r="G6756">
        <v>1850828</v>
      </c>
      <c r="H6756" t="s">
        <v>27827</v>
      </c>
      <c r="J6756" s="54" t="s">
        <v>6052</v>
      </c>
      <c r="K6756" s="54">
        <v>0</v>
      </c>
      <c r="L6756" s="22" t="s">
        <v>104</v>
      </c>
      <c r="M6756" s="22" t="s">
        <v>37317</v>
      </c>
    </row>
    <row r="6757" spans="1:13" x14ac:dyDescent="0.75">
      <c r="A6757" t="s">
        <v>27801</v>
      </c>
      <c r="B6757" t="s">
        <v>8291</v>
      </c>
      <c r="C6757" t="s">
        <v>6093</v>
      </c>
      <c r="D6757" t="s">
        <v>8292</v>
      </c>
      <c r="E6757" t="s">
        <v>27802</v>
      </c>
      <c r="F6757">
        <v>14</v>
      </c>
      <c r="G6757">
        <v>1900046</v>
      </c>
      <c r="H6757" t="s">
        <v>27803</v>
      </c>
      <c r="J6757" s="54" t="s">
        <v>6052</v>
      </c>
      <c r="K6757" s="54">
        <v>0</v>
      </c>
      <c r="L6757" s="22" t="s">
        <v>104</v>
      </c>
      <c r="M6757" s="22" t="s">
        <v>37317</v>
      </c>
    </row>
    <row r="6758" spans="1:13" x14ac:dyDescent="0.75">
      <c r="A6758" t="s">
        <v>27807</v>
      </c>
      <c r="B6758" t="s">
        <v>8291</v>
      </c>
      <c r="C6758" t="s">
        <v>6093</v>
      </c>
      <c r="D6758" t="s">
        <v>8292</v>
      </c>
      <c r="E6758" t="s">
        <v>27808</v>
      </c>
      <c r="F6758">
        <v>21</v>
      </c>
      <c r="G6758">
        <v>2052377</v>
      </c>
      <c r="H6758" t="s">
        <v>27809</v>
      </c>
      <c r="J6758" s="54" t="s">
        <v>6052</v>
      </c>
      <c r="K6758" s="54">
        <v>0</v>
      </c>
      <c r="L6758" s="22" t="s">
        <v>104</v>
      </c>
      <c r="M6758" s="22" t="s">
        <v>37317</v>
      </c>
    </row>
    <row r="6759" spans="1:13" x14ac:dyDescent="0.75">
      <c r="A6759" t="s">
        <v>27798</v>
      </c>
      <c r="B6759" t="s">
        <v>8291</v>
      </c>
      <c r="C6759" t="s">
        <v>6093</v>
      </c>
      <c r="D6759" t="s">
        <v>8292</v>
      </c>
      <c r="E6759" t="s">
        <v>27799</v>
      </c>
      <c r="F6759">
        <v>14</v>
      </c>
      <c r="G6759">
        <v>1890941</v>
      </c>
      <c r="H6759" t="s">
        <v>27800</v>
      </c>
      <c r="J6759" s="54" t="s">
        <v>6052</v>
      </c>
      <c r="K6759" s="54">
        <v>0</v>
      </c>
      <c r="L6759" s="22" t="s">
        <v>104</v>
      </c>
      <c r="M6759" s="22" t="s">
        <v>37317</v>
      </c>
    </row>
    <row r="6760" spans="1:13" x14ac:dyDescent="0.75">
      <c r="A6760" t="s">
        <v>27816</v>
      </c>
      <c r="B6760" t="s">
        <v>8291</v>
      </c>
      <c r="C6760" t="s">
        <v>6093</v>
      </c>
      <c r="D6760" t="s">
        <v>8292</v>
      </c>
      <c r="E6760" t="s">
        <v>27817</v>
      </c>
      <c r="F6760">
        <v>125</v>
      </c>
      <c r="G6760">
        <v>1887926</v>
      </c>
      <c r="H6760" t="s">
        <v>27818</v>
      </c>
      <c r="J6760" s="54" t="s">
        <v>6052</v>
      </c>
      <c r="K6760" s="54">
        <v>0</v>
      </c>
      <c r="L6760" s="22" t="s">
        <v>104</v>
      </c>
      <c r="M6760" s="22" t="s">
        <v>37317</v>
      </c>
    </row>
    <row r="6761" spans="1:13" x14ac:dyDescent="0.75">
      <c r="A6761" t="s">
        <v>27795</v>
      </c>
      <c r="B6761" t="s">
        <v>8291</v>
      </c>
      <c r="C6761" t="s">
        <v>6093</v>
      </c>
      <c r="D6761" t="s">
        <v>8292</v>
      </c>
      <c r="E6761" t="s">
        <v>27796</v>
      </c>
      <c r="F6761">
        <v>17</v>
      </c>
      <c r="G6761">
        <v>1972424</v>
      </c>
      <c r="H6761" t="s">
        <v>27797</v>
      </c>
      <c r="J6761" s="54" t="s">
        <v>6052</v>
      </c>
      <c r="K6761" s="54">
        <v>0</v>
      </c>
      <c r="L6761" s="22" t="s">
        <v>104</v>
      </c>
      <c r="M6761" s="22" t="s">
        <v>37317</v>
      </c>
    </row>
    <row r="6762" spans="1:13" x14ac:dyDescent="0.75">
      <c r="A6762" t="s">
        <v>27822</v>
      </c>
      <c r="B6762" t="s">
        <v>8291</v>
      </c>
      <c r="C6762" t="s">
        <v>6093</v>
      </c>
      <c r="D6762" t="s">
        <v>8292</v>
      </c>
      <c r="E6762" t="s">
        <v>27823</v>
      </c>
      <c r="F6762">
        <v>10</v>
      </c>
      <c r="G6762">
        <v>1897154</v>
      </c>
      <c r="H6762" t="s">
        <v>27824</v>
      </c>
      <c r="J6762" s="54" t="s">
        <v>6052</v>
      </c>
      <c r="K6762" s="54">
        <v>0</v>
      </c>
      <c r="L6762" s="22" t="s">
        <v>104</v>
      </c>
      <c r="M6762" s="22" t="s">
        <v>37317</v>
      </c>
    </row>
    <row r="6763" spans="1:13" x14ac:dyDescent="0.75">
      <c r="A6763" t="s">
        <v>27804</v>
      </c>
      <c r="B6763" t="s">
        <v>8291</v>
      </c>
      <c r="C6763" t="s">
        <v>6093</v>
      </c>
      <c r="D6763" t="s">
        <v>8292</v>
      </c>
      <c r="E6763" t="s">
        <v>27805</v>
      </c>
      <c r="F6763">
        <v>13</v>
      </c>
      <c r="G6763">
        <v>1897330</v>
      </c>
      <c r="H6763" t="s">
        <v>27806</v>
      </c>
      <c r="J6763" s="54" t="s">
        <v>6052</v>
      </c>
      <c r="K6763" s="54">
        <v>0</v>
      </c>
      <c r="L6763" s="22" t="s">
        <v>104</v>
      </c>
      <c r="M6763" s="22" t="s">
        <v>37317</v>
      </c>
    </row>
    <row r="6764" spans="1:13" x14ac:dyDescent="0.75">
      <c r="A6764" t="s">
        <v>27819</v>
      </c>
      <c r="B6764" t="s">
        <v>8291</v>
      </c>
      <c r="C6764" t="s">
        <v>6093</v>
      </c>
      <c r="D6764" t="s">
        <v>8292</v>
      </c>
      <c r="E6764" t="s">
        <v>27820</v>
      </c>
      <c r="F6764">
        <v>14</v>
      </c>
      <c r="G6764">
        <v>1898090</v>
      </c>
      <c r="H6764" t="s">
        <v>27821</v>
      </c>
      <c r="J6764" s="54" t="s">
        <v>6052</v>
      </c>
      <c r="K6764" s="54">
        <v>0</v>
      </c>
      <c r="L6764" s="22" t="s">
        <v>104</v>
      </c>
      <c r="M6764" s="22" t="s">
        <v>37317</v>
      </c>
    </row>
    <row r="6765" spans="1:13" x14ac:dyDescent="0.75">
      <c r="A6765" t="s">
        <v>22855</v>
      </c>
      <c r="B6765" t="s">
        <v>8291</v>
      </c>
      <c r="C6765" t="s">
        <v>6093</v>
      </c>
      <c r="D6765" t="s">
        <v>8292</v>
      </c>
      <c r="E6765" t="s">
        <v>22856</v>
      </c>
      <c r="F6765">
        <v>13</v>
      </c>
      <c r="G6765">
        <v>1911852</v>
      </c>
      <c r="H6765" t="s">
        <v>22857</v>
      </c>
      <c r="J6765" s="54" t="s">
        <v>6052</v>
      </c>
      <c r="K6765" s="54">
        <v>0</v>
      </c>
      <c r="L6765" s="22" t="s">
        <v>104</v>
      </c>
      <c r="M6765" s="22" t="s">
        <v>37317</v>
      </c>
    </row>
    <row r="6766" spans="1:13" x14ac:dyDescent="0.75">
      <c r="A6766" t="s">
        <v>8884</v>
      </c>
      <c r="B6766" t="s">
        <v>8291</v>
      </c>
      <c r="C6766" t="s">
        <v>6093</v>
      </c>
      <c r="D6766" t="s">
        <v>8292</v>
      </c>
      <c r="E6766" t="s">
        <v>8885</v>
      </c>
      <c r="F6766">
        <v>1</v>
      </c>
      <c r="G6766">
        <v>1933610</v>
      </c>
      <c r="H6766" t="s">
        <v>8886</v>
      </c>
      <c r="J6766" s="54" t="s">
        <v>6052</v>
      </c>
      <c r="K6766" s="54">
        <v>0</v>
      </c>
      <c r="L6766" s="22" t="s">
        <v>104</v>
      </c>
      <c r="M6766" s="22" t="s">
        <v>37317</v>
      </c>
    </row>
    <row r="6767" spans="1:13" x14ac:dyDescent="0.75">
      <c r="A6767" t="s">
        <v>13973</v>
      </c>
      <c r="B6767" t="s">
        <v>11795</v>
      </c>
      <c r="C6767" t="s">
        <v>6093</v>
      </c>
      <c r="D6767" t="s">
        <v>11796</v>
      </c>
      <c r="E6767" t="s">
        <v>13974</v>
      </c>
      <c r="F6767">
        <v>1</v>
      </c>
      <c r="G6767">
        <v>1821173</v>
      </c>
      <c r="H6767" t="s">
        <v>13975</v>
      </c>
      <c r="J6767" s="54" t="s">
        <v>6052</v>
      </c>
      <c r="K6767" s="54">
        <v>0</v>
      </c>
      <c r="L6767" s="22" t="s">
        <v>1563</v>
      </c>
      <c r="M6767" s="22" t="s">
        <v>37314</v>
      </c>
    </row>
    <row r="6768" spans="1:13" x14ac:dyDescent="0.75">
      <c r="A6768" t="s">
        <v>11528</v>
      </c>
      <c r="B6768" t="s">
        <v>8291</v>
      </c>
      <c r="C6768" t="s">
        <v>6093</v>
      </c>
      <c r="D6768" t="s">
        <v>8292</v>
      </c>
      <c r="E6768" t="s">
        <v>11529</v>
      </c>
      <c r="F6768">
        <v>1</v>
      </c>
      <c r="G6768">
        <v>1908201</v>
      </c>
      <c r="H6768" t="s">
        <v>11530</v>
      </c>
      <c r="J6768" s="54" t="s">
        <v>6052</v>
      </c>
      <c r="K6768" s="54">
        <v>0</v>
      </c>
      <c r="L6768" s="22" t="s">
        <v>104</v>
      </c>
      <c r="M6768" s="22" t="s">
        <v>37317</v>
      </c>
    </row>
    <row r="6769" spans="1:13" x14ac:dyDescent="0.75">
      <c r="A6769" t="s">
        <v>16196</v>
      </c>
      <c r="B6769" t="s">
        <v>8291</v>
      </c>
      <c r="C6769" t="s">
        <v>6093</v>
      </c>
      <c r="D6769" t="s">
        <v>8292</v>
      </c>
      <c r="E6769" t="s">
        <v>16197</v>
      </c>
      <c r="F6769">
        <v>26</v>
      </c>
      <c r="G6769">
        <v>2003880</v>
      </c>
      <c r="H6769" t="s">
        <v>16198</v>
      </c>
      <c r="J6769" s="54" t="s">
        <v>6052</v>
      </c>
      <c r="K6769" s="54">
        <v>0</v>
      </c>
      <c r="L6769" s="22" t="s">
        <v>104</v>
      </c>
      <c r="M6769" s="22" t="s">
        <v>37317</v>
      </c>
    </row>
    <row r="6770" spans="1:13" x14ac:dyDescent="0.75">
      <c r="A6770" t="s">
        <v>16280</v>
      </c>
      <c r="B6770" t="s">
        <v>8291</v>
      </c>
      <c r="C6770" t="s">
        <v>6093</v>
      </c>
      <c r="D6770" t="s">
        <v>8292</v>
      </c>
      <c r="E6770" t="s">
        <v>16281</v>
      </c>
      <c r="F6770">
        <v>56</v>
      </c>
      <c r="G6770">
        <v>1876885</v>
      </c>
      <c r="H6770" t="s">
        <v>16282</v>
      </c>
      <c r="J6770" s="54" t="s">
        <v>6052</v>
      </c>
      <c r="K6770" s="54">
        <v>0</v>
      </c>
      <c r="L6770" s="22" t="s">
        <v>104</v>
      </c>
      <c r="M6770" s="22" t="s">
        <v>37317</v>
      </c>
    </row>
    <row r="6771" spans="1:13" x14ac:dyDescent="0.75">
      <c r="A6771" t="s">
        <v>15249</v>
      </c>
      <c r="B6771" t="s">
        <v>8291</v>
      </c>
      <c r="C6771" t="s">
        <v>6093</v>
      </c>
      <c r="D6771" t="s">
        <v>8292</v>
      </c>
      <c r="E6771" t="s">
        <v>15250</v>
      </c>
      <c r="F6771">
        <v>31</v>
      </c>
      <c r="G6771">
        <v>1949554</v>
      </c>
      <c r="H6771" t="s">
        <v>15251</v>
      </c>
      <c r="J6771" s="54" t="s">
        <v>6052</v>
      </c>
      <c r="K6771" s="54">
        <v>0</v>
      </c>
      <c r="L6771" s="22" t="s">
        <v>104</v>
      </c>
      <c r="M6771" s="22" t="s">
        <v>37317</v>
      </c>
    </row>
    <row r="6772" spans="1:13" x14ac:dyDescent="0.75">
      <c r="A6772" t="s">
        <v>14399</v>
      </c>
      <c r="B6772" t="s">
        <v>8291</v>
      </c>
      <c r="C6772" t="s">
        <v>6093</v>
      </c>
      <c r="D6772" t="s">
        <v>8292</v>
      </c>
      <c r="E6772" t="s">
        <v>14400</v>
      </c>
      <c r="F6772">
        <v>16</v>
      </c>
      <c r="G6772">
        <v>1914382</v>
      </c>
      <c r="H6772" t="s">
        <v>14401</v>
      </c>
      <c r="J6772" s="54" t="s">
        <v>6052</v>
      </c>
      <c r="K6772" s="54">
        <v>0</v>
      </c>
      <c r="L6772" s="22" t="s">
        <v>104</v>
      </c>
      <c r="M6772" s="22" t="s">
        <v>37317</v>
      </c>
    </row>
    <row r="6773" spans="1:13" x14ac:dyDescent="0.75">
      <c r="A6773" t="s">
        <v>27735</v>
      </c>
      <c r="B6773" t="s">
        <v>8291</v>
      </c>
      <c r="C6773" t="s">
        <v>6093</v>
      </c>
      <c r="D6773" t="s">
        <v>8292</v>
      </c>
      <c r="E6773" t="s">
        <v>27736</v>
      </c>
      <c r="F6773">
        <v>1</v>
      </c>
      <c r="G6773">
        <v>1932951</v>
      </c>
      <c r="H6773" t="s">
        <v>27737</v>
      </c>
      <c r="J6773" s="54" t="s">
        <v>6052</v>
      </c>
      <c r="K6773" s="54">
        <v>0</v>
      </c>
      <c r="L6773" s="22" t="s">
        <v>104</v>
      </c>
      <c r="M6773" s="22" t="s">
        <v>37317</v>
      </c>
    </row>
    <row r="6774" spans="1:13" x14ac:dyDescent="0.75">
      <c r="A6774" t="s">
        <v>23114</v>
      </c>
      <c r="B6774" t="s">
        <v>8291</v>
      </c>
      <c r="C6774" t="s">
        <v>6093</v>
      </c>
      <c r="D6774" t="s">
        <v>8292</v>
      </c>
      <c r="E6774" t="s">
        <v>23115</v>
      </c>
      <c r="F6774">
        <v>10</v>
      </c>
      <c r="G6774">
        <v>2091190</v>
      </c>
      <c r="H6774" t="s">
        <v>23116</v>
      </c>
      <c r="J6774" s="54" t="s">
        <v>6052</v>
      </c>
      <c r="K6774" s="54">
        <v>0</v>
      </c>
      <c r="L6774" s="22" t="s">
        <v>104</v>
      </c>
      <c r="M6774" s="22" t="s">
        <v>37317</v>
      </c>
    </row>
    <row r="6775" spans="1:13" x14ac:dyDescent="0.75">
      <c r="A6775" t="s">
        <v>23093</v>
      </c>
      <c r="B6775" t="s">
        <v>8291</v>
      </c>
      <c r="C6775" t="s">
        <v>6093</v>
      </c>
      <c r="D6775" t="s">
        <v>8292</v>
      </c>
      <c r="E6775" t="s">
        <v>23094</v>
      </c>
      <c r="F6775">
        <v>11</v>
      </c>
      <c r="G6775">
        <v>1945664</v>
      </c>
      <c r="H6775" t="s">
        <v>23095</v>
      </c>
      <c r="J6775" s="54" t="s">
        <v>6052</v>
      </c>
      <c r="K6775" s="54">
        <v>0</v>
      </c>
      <c r="L6775" s="22" t="s">
        <v>104</v>
      </c>
      <c r="M6775" s="22" t="s">
        <v>37317</v>
      </c>
    </row>
    <row r="6776" spans="1:13" x14ac:dyDescent="0.75">
      <c r="A6776" t="s">
        <v>23081</v>
      </c>
      <c r="B6776" t="s">
        <v>8291</v>
      </c>
      <c r="C6776" t="s">
        <v>6093</v>
      </c>
      <c r="D6776" t="s">
        <v>8292</v>
      </c>
      <c r="E6776" t="s">
        <v>23082</v>
      </c>
      <c r="F6776">
        <v>15</v>
      </c>
      <c r="G6776">
        <v>2041358</v>
      </c>
      <c r="H6776" t="s">
        <v>23083</v>
      </c>
      <c r="J6776" s="54" t="s">
        <v>6052</v>
      </c>
      <c r="K6776" s="54">
        <v>0</v>
      </c>
      <c r="L6776" s="22" t="s">
        <v>104</v>
      </c>
      <c r="M6776" s="22" t="s">
        <v>37317</v>
      </c>
    </row>
    <row r="6777" spans="1:13" x14ac:dyDescent="0.75">
      <c r="A6777" t="s">
        <v>23051</v>
      </c>
      <c r="B6777" t="s">
        <v>8291</v>
      </c>
      <c r="C6777" t="s">
        <v>6093</v>
      </c>
      <c r="D6777" t="s">
        <v>8292</v>
      </c>
      <c r="E6777" t="s">
        <v>23052</v>
      </c>
      <c r="F6777">
        <v>18</v>
      </c>
      <c r="G6777">
        <v>1907506</v>
      </c>
      <c r="H6777" t="s">
        <v>23053</v>
      </c>
      <c r="J6777" s="54" t="s">
        <v>6052</v>
      </c>
      <c r="K6777" s="54">
        <v>0</v>
      </c>
      <c r="L6777" s="22" t="s">
        <v>104</v>
      </c>
      <c r="M6777" s="22" t="s">
        <v>37317</v>
      </c>
    </row>
    <row r="6778" spans="1:13" x14ac:dyDescent="0.75">
      <c r="A6778" t="s">
        <v>23045</v>
      </c>
      <c r="B6778" t="s">
        <v>8291</v>
      </c>
      <c r="C6778" t="s">
        <v>6093</v>
      </c>
      <c r="D6778" t="s">
        <v>8292</v>
      </c>
      <c r="E6778" t="s">
        <v>23046</v>
      </c>
      <c r="F6778">
        <v>7</v>
      </c>
      <c r="G6778">
        <v>1917252</v>
      </c>
      <c r="H6778" t="s">
        <v>23047</v>
      </c>
      <c r="J6778" s="54" t="s">
        <v>6052</v>
      </c>
      <c r="K6778" s="54">
        <v>0</v>
      </c>
      <c r="L6778" s="22" t="s">
        <v>104</v>
      </c>
      <c r="M6778" s="22" t="s">
        <v>37317</v>
      </c>
    </row>
    <row r="6779" spans="1:13" x14ac:dyDescent="0.75">
      <c r="A6779" t="s">
        <v>26267</v>
      </c>
      <c r="B6779" t="s">
        <v>8291</v>
      </c>
      <c r="C6779" t="s">
        <v>6093</v>
      </c>
      <c r="D6779" t="s">
        <v>8292</v>
      </c>
      <c r="E6779" t="s">
        <v>26268</v>
      </c>
      <c r="F6779">
        <v>10</v>
      </c>
      <c r="G6779">
        <v>1948549</v>
      </c>
      <c r="H6779" t="s">
        <v>26269</v>
      </c>
      <c r="J6779" s="54" t="s">
        <v>6052</v>
      </c>
      <c r="K6779" s="54">
        <v>0</v>
      </c>
      <c r="L6779" s="22" t="s">
        <v>104</v>
      </c>
      <c r="M6779" s="22" t="s">
        <v>37317</v>
      </c>
    </row>
    <row r="6780" spans="1:13" x14ac:dyDescent="0.75">
      <c r="A6780" t="s">
        <v>8565</v>
      </c>
      <c r="B6780" t="s">
        <v>8291</v>
      </c>
      <c r="C6780" t="s">
        <v>6093</v>
      </c>
      <c r="D6780" t="s">
        <v>8292</v>
      </c>
      <c r="E6780" t="s">
        <v>8566</v>
      </c>
      <c r="F6780">
        <v>17</v>
      </c>
      <c r="G6780">
        <v>1910718</v>
      </c>
      <c r="H6780" t="s">
        <v>8567</v>
      </c>
      <c r="J6780" s="54" t="s">
        <v>6052</v>
      </c>
      <c r="K6780" s="54">
        <v>0</v>
      </c>
      <c r="L6780" s="22" t="s">
        <v>104</v>
      </c>
      <c r="M6780" s="22" t="s">
        <v>37317</v>
      </c>
    </row>
    <row r="6781" spans="1:13" x14ac:dyDescent="0.75">
      <c r="A6781" t="s">
        <v>26502</v>
      </c>
      <c r="B6781" t="s">
        <v>8291</v>
      </c>
      <c r="C6781" t="s">
        <v>6093</v>
      </c>
      <c r="D6781" t="s">
        <v>8292</v>
      </c>
      <c r="E6781" t="s">
        <v>26503</v>
      </c>
      <c r="F6781">
        <v>11</v>
      </c>
      <c r="G6781">
        <v>1978687</v>
      </c>
      <c r="H6781" t="s">
        <v>26504</v>
      </c>
      <c r="J6781" s="54" t="s">
        <v>6052</v>
      </c>
      <c r="K6781" s="54">
        <v>0</v>
      </c>
      <c r="L6781" s="22" t="s">
        <v>104</v>
      </c>
      <c r="M6781" s="22" t="s">
        <v>37317</v>
      </c>
    </row>
    <row r="6782" spans="1:13" x14ac:dyDescent="0.75">
      <c r="A6782" t="s">
        <v>13925</v>
      </c>
      <c r="B6782" t="s">
        <v>8291</v>
      </c>
      <c r="C6782" t="s">
        <v>6093</v>
      </c>
      <c r="D6782" t="s">
        <v>8292</v>
      </c>
      <c r="E6782" t="s">
        <v>13926</v>
      </c>
      <c r="F6782">
        <v>1</v>
      </c>
      <c r="G6782">
        <v>2006877</v>
      </c>
      <c r="H6782" t="s">
        <v>13927</v>
      </c>
      <c r="J6782" s="54" t="s">
        <v>6052</v>
      </c>
      <c r="K6782" s="54">
        <v>0</v>
      </c>
      <c r="L6782" s="22" t="s">
        <v>104</v>
      </c>
      <c r="M6782" s="22" t="s">
        <v>37317</v>
      </c>
    </row>
    <row r="6783" spans="1:13" x14ac:dyDescent="0.75">
      <c r="A6783" t="s">
        <v>25932</v>
      </c>
      <c r="B6783" t="s">
        <v>8291</v>
      </c>
      <c r="C6783" t="s">
        <v>6093</v>
      </c>
      <c r="D6783" t="s">
        <v>8292</v>
      </c>
      <c r="E6783" t="s">
        <v>25933</v>
      </c>
      <c r="F6783">
        <v>36</v>
      </c>
      <c r="G6783">
        <v>1906605</v>
      </c>
      <c r="H6783" t="s">
        <v>25934</v>
      </c>
      <c r="J6783" s="54" t="s">
        <v>6052</v>
      </c>
      <c r="K6783" s="54">
        <v>0</v>
      </c>
      <c r="L6783" s="22" t="s">
        <v>104</v>
      </c>
      <c r="M6783" s="22" t="s">
        <v>37317</v>
      </c>
    </row>
    <row r="6784" spans="1:13" x14ac:dyDescent="0.75">
      <c r="A6784" t="s">
        <v>20149</v>
      </c>
      <c r="B6784" t="s">
        <v>18978</v>
      </c>
      <c r="C6784" t="s">
        <v>6093</v>
      </c>
      <c r="D6784" t="s">
        <v>18979</v>
      </c>
      <c r="E6784" t="s">
        <v>20150</v>
      </c>
      <c r="F6784">
        <v>94</v>
      </c>
      <c r="G6784">
        <v>2117087</v>
      </c>
      <c r="H6784" t="s">
        <v>20151</v>
      </c>
      <c r="J6784" s="54" t="s">
        <v>6052</v>
      </c>
      <c r="K6784" s="54">
        <v>0</v>
      </c>
      <c r="L6784" s="22" t="s">
        <v>104</v>
      </c>
      <c r="M6784" s="22" t="s">
        <v>37330</v>
      </c>
    </row>
    <row r="6785" spans="1:13" x14ac:dyDescent="0.75">
      <c r="A6785" t="s">
        <v>20615</v>
      </c>
      <c r="B6785" t="s">
        <v>18978</v>
      </c>
      <c r="C6785" t="s">
        <v>6093</v>
      </c>
      <c r="D6785" t="s">
        <v>18979</v>
      </c>
      <c r="E6785" t="s">
        <v>20150</v>
      </c>
      <c r="F6785">
        <v>1</v>
      </c>
      <c r="G6785">
        <v>2144372</v>
      </c>
      <c r="H6785" t="s">
        <v>20616</v>
      </c>
      <c r="J6785" s="54" t="s">
        <v>6052</v>
      </c>
      <c r="K6785" s="54">
        <v>0</v>
      </c>
      <c r="L6785" s="22" t="s">
        <v>104</v>
      </c>
      <c r="M6785" s="22" t="s">
        <v>37330</v>
      </c>
    </row>
    <row r="6786" spans="1:13" x14ac:dyDescent="0.75">
      <c r="A6786" t="s">
        <v>30610</v>
      </c>
      <c r="B6786" t="s">
        <v>18978</v>
      </c>
      <c r="C6786" t="s">
        <v>6093</v>
      </c>
      <c r="D6786" t="s">
        <v>18979</v>
      </c>
      <c r="E6786" t="s">
        <v>30611</v>
      </c>
      <c r="F6786">
        <v>43</v>
      </c>
      <c r="G6786">
        <v>2089736</v>
      </c>
      <c r="H6786" t="s">
        <v>30612</v>
      </c>
      <c r="J6786" s="54" t="s">
        <v>6052</v>
      </c>
      <c r="K6786" s="54">
        <v>0</v>
      </c>
      <c r="L6786" s="22" t="s">
        <v>104</v>
      </c>
      <c r="M6786" s="22" t="s">
        <v>37330</v>
      </c>
    </row>
    <row r="6787" spans="1:13" x14ac:dyDescent="0.75">
      <c r="A6787" t="s">
        <v>28082</v>
      </c>
      <c r="B6787" t="s">
        <v>18978</v>
      </c>
      <c r="C6787" t="s">
        <v>6093</v>
      </c>
      <c r="D6787" t="s">
        <v>18979</v>
      </c>
      <c r="E6787" t="s">
        <v>28083</v>
      </c>
      <c r="F6787">
        <v>79</v>
      </c>
      <c r="G6787">
        <v>1951098</v>
      </c>
      <c r="H6787" t="s">
        <v>28084</v>
      </c>
      <c r="J6787" s="54" t="s">
        <v>6052</v>
      </c>
      <c r="K6787" s="54">
        <v>0</v>
      </c>
      <c r="L6787" s="22" t="s">
        <v>104</v>
      </c>
      <c r="M6787" s="22" t="s">
        <v>37330</v>
      </c>
    </row>
    <row r="6788" spans="1:13" x14ac:dyDescent="0.75">
      <c r="A6788" t="s">
        <v>18977</v>
      </c>
      <c r="B6788" t="s">
        <v>18978</v>
      </c>
      <c r="C6788" t="s">
        <v>6093</v>
      </c>
      <c r="D6788" t="s">
        <v>18979</v>
      </c>
      <c r="E6788" t="s">
        <v>18980</v>
      </c>
      <c r="F6788">
        <v>55</v>
      </c>
      <c r="G6788">
        <v>2062482</v>
      </c>
      <c r="H6788" t="s">
        <v>18981</v>
      </c>
      <c r="J6788" s="54" t="s">
        <v>6052</v>
      </c>
      <c r="K6788" s="54">
        <v>0</v>
      </c>
      <c r="L6788" s="22" t="s">
        <v>104</v>
      </c>
      <c r="M6788" s="22" t="s">
        <v>37330</v>
      </c>
    </row>
    <row r="6789" spans="1:13" x14ac:dyDescent="0.75">
      <c r="A6789" t="s">
        <v>20818</v>
      </c>
      <c r="B6789" t="s">
        <v>18978</v>
      </c>
      <c r="C6789" t="s">
        <v>6093</v>
      </c>
      <c r="D6789" t="s">
        <v>18979</v>
      </c>
      <c r="E6789" t="s">
        <v>20819</v>
      </c>
      <c r="F6789">
        <v>245</v>
      </c>
      <c r="G6789">
        <v>1840682</v>
      </c>
      <c r="H6789" t="s">
        <v>20820</v>
      </c>
      <c r="J6789" s="54" t="s">
        <v>6052</v>
      </c>
      <c r="K6789" s="54">
        <v>0</v>
      </c>
      <c r="L6789" s="22" t="s">
        <v>104</v>
      </c>
      <c r="M6789" s="22" t="s">
        <v>37330</v>
      </c>
    </row>
    <row r="6790" spans="1:13" x14ac:dyDescent="0.75">
      <c r="A6790" t="s">
        <v>20851</v>
      </c>
      <c r="B6790" t="s">
        <v>18978</v>
      </c>
      <c r="C6790" t="s">
        <v>6093</v>
      </c>
      <c r="D6790" t="s">
        <v>18979</v>
      </c>
      <c r="E6790" t="s">
        <v>20852</v>
      </c>
      <c r="F6790">
        <v>131</v>
      </c>
      <c r="G6790">
        <v>2057466</v>
      </c>
      <c r="H6790" t="s">
        <v>20853</v>
      </c>
      <c r="J6790" s="54" t="s">
        <v>6052</v>
      </c>
      <c r="K6790" s="54">
        <v>0</v>
      </c>
      <c r="L6790" s="22" t="s">
        <v>104</v>
      </c>
      <c r="M6790" s="22" t="s">
        <v>37330</v>
      </c>
    </row>
    <row r="6791" spans="1:13" x14ac:dyDescent="0.75">
      <c r="A6791" t="s">
        <v>28223</v>
      </c>
      <c r="B6791" t="s">
        <v>18978</v>
      </c>
      <c r="C6791" t="s">
        <v>6093</v>
      </c>
      <c r="D6791" t="s">
        <v>18979</v>
      </c>
      <c r="E6791" t="s">
        <v>28224</v>
      </c>
      <c r="F6791">
        <v>63</v>
      </c>
      <c r="G6791">
        <v>1985520</v>
      </c>
      <c r="H6791" t="s">
        <v>28225</v>
      </c>
      <c r="J6791" s="54" t="s">
        <v>6052</v>
      </c>
      <c r="K6791" s="54">
        <v>0</v>
      </c>
      <c r="L6791" s="22" t="s">
        <v>104</v>
      </c>
      <c r="M6791" s="22" t="s">
        <v>37330</v>
      </c>
    </row>
    <row r="6792" spans="1:13" x14ac:dyDescent="0.75">
      <c r="A6792" t="s">
        <v>29484</v>
      </c>
      <c r="B6792" t="s">
        <v>18978</v>
      </c>
      <c r="C6792" t="s">
        <v>6093</v>
      </c>
      <c r="D6792" t="s">
        <v>18979</v>
      </c>
      <c r="E6792" t="s">
        <v>29485</v>
      </c>
      <c r="F6792">
        <v>23</v>
      </c>
      <c r="G6792">
        <v>2031851</v>
      </c>
      <c r="H6792" t="s">
        <v>29486</v>
      </c>
      <c r="J6792" s="54" t="s">
        <v>6052</v>
      </c>
      <c r="K6792" s="54">
        <v>0</v>
      </c>
      <c r="L6792" s="22" t="s">
        <v>104</v>
      </c>
      <c r="M6792" s="22" t="s">
        <v>37330</v>
      </c>
    </row>
    <row r="6793" spans="1:13" x14ac:dyDescent="0.75">
      <c r="A6793" t="s">
        <v>27857</v>
      </c>
      <c r="B6793" t="s">
        <v>18978</v>
      </c>
      <c r="C6793" t="s">
        <v>6093</v>
      </c>
      <c r="D6793" t="s">
        <v>18979</v>
      </c>
      <c r="E6793" t="s">
        <v>27858</v>
      </c>
      <c r="F6793">
        <v>77</v>
      </c>
      <c r="G6793">
        <v>1794265</v>
      </c>
      <c r="H6793" t="s">
        <v>27859</v>
      </c>
      <c r="J6793" s="54" t="s">
        <v>6052</v>
      </c>
      <c r="K6793" s="54">
        <v>0</v>
      </c>
      <c r="L6793" s="22" t="s">
        <v>104</v>
      </c>
      <c r="M6793" s="22" t="s">
        <v>37330</v>
      </c>
    </row>
    <row r="6794" spans="1:13" x14ac:dyDescent="0.75">
      <c r="A6794" t="s">
        <v>13337</v>
      </c>
      <c r="B6794" t="s">
        <v>6512</v>
      </c>
      <c r="C6794" t="s">
        <v>6093</v>
      </c>
      <c r="D6794" t="s">
        <v>6513</v>
      </c>
      <c r="E6794" t="s">
        <v>13338</v>
      </c>
      <c r="F6794">
        <v>9</v>
      </c>
      <c r="G6794">
        <v>2110680</v>
      </c>
      <c r="H6794" t="s">
        <v>13339</v>
      </c>
      <c r="J6794" s="54" t="s">
        <v>6052</v>
      </c>
      <c r="K6794" s="54">
        <v>0</v>
      </c>
      <c r="L6794" s="22" t="s">
        <v>104</v>
      </c>
      <c r="M6794" s="22" t="s">
        <v>37324</v>
      </c>
    </row>
    <row r="6795" spans="1:13" x14ac:dyDescent="0.75">
      <c r="A6795" t="s">
        <v>28176</v>
      </c>
      <c r="B6795" t="s">
        <v>6512</v>
      </c>
      <c r="C6795" t="s">
        <v>6093</v>
      </c>
      <c r="D6795" t="s">
        <v>6513</v>
      </c>
      <c r="E6795" t="s">
        <v>28177</v>
      </c>
      <c r="F6795">
        <v>11</v>
      </c>
      <c r="G6795">
        <v>1709483</v>
      </c>
      <c r="H6795" t="s">
        <v>28178</v>
      </c>
      <c r="J6795" s="54" t="s">
        <v>6052</v>
      </c>
      <c r="K6795" s="54">
        <v>0</v>
      </c>
      <c r="L6795" s="22" t="s">
        <v>104</v>
      </c>
      <c r="M6795" s="22" t="s">
        <v>37324</v>
      </c>
    </row>
    <row r="6796" spans="1:13" x14ac:dyDescent="0.75">
      <c r="A6796" t="s">
        <v>13585</v>
      </c>
      <c r="B6796" t="s">
        <v>6512</v>
      </c>
      <c r="C6796" t="s">
        <v>6093</v>
      </c>
      <c r="D6796" t="s">
        <v>6513</v>
      </c>
      <c r="E6796" t="s">
        <v>13586</v>
      </c>
      <c r="F6796">
        <v>28</v>
      </c>
      <c r="G6796">
        <v>1896604</v>
      </c>
      <c r="H6796" t="s">
        <v>13587</v>
      </c>
      <c r="J6796" s="54" t="s">
        <v>6052</v>
      </c>
      <c r="K6796" s="54">
        <v>0</v>
      </c>
      <c r="L6796" s="22" t="s">
        <v>104</v>
      </c>
      <c r="M6796" s="22" t="s">
        <v>37324</v>
      </c>
    </row>
    <row r="6797" spans="1:13" x14ac:dyDescent="0.75">
      <c r="A6797" t="s">
        <v>24452</v>
      </c>
      <c r="B6797" t="s">
        <v>6512</v>
      </c>
      <c r="C6797" t="s">
        <v>6093</v>
      </c>
      <c r="D6797" t="s">
        <v>6513</v>
      </c>
      <c r="E6797" t="s">
        <v>24453</v>
      </c>
      <c r="F6797">
        <v>25</v>
      </c>
      <c r="G6797">
        <v>1863003</v>
      </c>
      <c r="H6797" t="s">
        <v>24454</v>
      </c>
      <c r="J6797" s="54" t="s">
        <v>6052</v>
      </c>
      <c r="K6797" s="54">
        <v>0</v>
      </c>
      <c r="L6797" s="22" t="s">
        <v>104</v>
      </c>
      <c r="M6797" s="22" t="s">
        <v>37324</v>
      </c>
    </row>
    <row r="6798" spans="1:13" x14ac:dyDescent="0.75">
      <c r="A6798" t="s">
        <v>6511</v>
      </c>
      <c r="B6798" t="s">
        <v>6512</v>
      </c>
      <c r="C6798" t="s">
        <v>6093</v>
      </c>
      <c r="D6798" t="s">
        <v>6513</v>
      </c>
      <c r="E6798" t="s">
        <v>6514</v>
      </c>
      <c r="F6798">
        <v>1</v>
      </c>
      <c r="G6798">
        <v>2146611</v>
      </c>
      <c r="H6798" t="s">
        <v>6515</v>
      </c>
      <c r="J6798" s="54" t="s">
        <v>6052</v>
      </c>
      <c r="K6798" s="54">
        <v>0</v>
      </c>
      <c r="L6798" s="22" t="s">
        <v>104</v>
      </c>
      <c r="M6798" s="22" t="s">
        <v>37324</v>
      </c>
    </row>
    <row r="6799" spans="1:13" x14ac:dyDescent="0.75">
      <c r="A6799" t="s">
        <v>16175</v>
      </c>
      <c r="B6799" t="s">
        <v>6512</v>
      </c>
      <c r="C6799" t="s">
        <v>6093</v>
      </c>
      <c r="D6799" t="s">
        <v>6513</v>
      </c>
      <c r="E6799" t="s">
        <v>16176</v>
      </c>
      <c r="F6799">
        <v>34</v>
      </c>
      <c r="G6799">
        <v>2064589</v>
      </c>
      <c r="H6799" t="s">
        <v>16177</v>
      </c>
      <c r="J6799" s="54" t="s">
        <v>6052</v>
      </c>
      <c r="K6799" s="54">
        <v>0</v>
      </c>
      <c r="L6799" s="22" t="s">
        <v>104</v>
      </c>
      <c r="M6799" s="22" t="s">
        <v>37324</v>
      </c>
    </row>
    <row r="6800" spans="1:13" x14ac:dyDescent="0.75">
      <c r="A6800" t="s">
        <v>13343</v>
      </c>
      <c r="B6800" t="s">
        <v>6512</v>
      </c>
      <c r="C6800" t="s">
        <v>6093</v>
      </c>
      <c r="D6800" t="s">
        <v>6513</v>
      </c>
      <c r="E6800" t="s">
        <v>13344</v>
      </c>
      <c r="F6800">
        <v>16</v>
      </c>
      <c r="G6800">
        <v>1847883</v>
      </c>
      <c r="H6800" t="s">
        <v>13345</v>
      </c>
      <c r="J6800" s="54" t="s">
        <v>6052</v>
      </c>
      <c r="K6800" s="54">
        <v>0</v>
      </c>
      <c r="L6800" s="22" t="s">
        <v>104</v>
      </c>
      <c r="M6800" s="22" t="s">
        <v>37324</v>
      </c>
    </row>
    <row r="6801" spans="1:13" x14ac:dyDescent="0.75">
      <c r="A6801" t="s">
        <v>13354</v>
      </c>
      <c r="B6801" t="s">
        <v>6512</v>
      </c>
      <c r="C6801" t="s">
        <v>6093</v>
      </c>
      <c r="D6801" t="s">
        <v>6513</v>
      </c>
      <c r="E6801" t="s">
        <v>13355</v>
      </c>
      <c r="F6801">
        <v>31</v>
      </c>
      <c r="G6801">
        <v>1989191</v>
      </c>
      <c r="H6801" t="s">
        <v>13356</v>
      </c>
      <c r="J6801" s="54" t="s">
        <v>6052</v>
      </c>
      <c r="K6801" s="54">
        <v>0</v>
      </c>
      <c r="L6801" s="22" t="s">
        <v>104</v>
      </c>
      <c r="M6801" s="22" t="s">
        <v>37324</v>
      </c>
    </row>
    <row r="6802" spans="1:13" x14ac:dyDescent="0.75">
      <c r="A6802" t="s">
        <v>13351</v>
      </c>
      <c r="B6802" t="s">
        <v>6512</v>
      </c>
      <c r="C6802" t="s">
        <v>6093</v>
      </c>
      <c r="D6802" t="s">
        <v>6513</v>
      </c>
      <c r="E6802" t="s">
        <v>13352</v>
      </c>
      <c r="F6802">
        <v>15</v>
      </c>
      <c r="G6802">
        <v>2039754</v>
      </c>
      <c r="H6802" t="s">
        <v>13353</v>
      </c>
      <c r="J6802" s="54" t="s">
        <v>6052</v>
      </c>
      <c r="K6802" s="54">
        <v>0</v>
      </c>
      <c r="L6802" s="22" t="s">
        <v>104</v>
      </c>
      <c r="M6802" s="22" t="s">
        <v>37324</v>
      </c>
    </row>
    <row r="6803" spans="1:13" x14ac:dyDescent="0.75">
      <c r="A6803" t="s">
        <v>21807</v>
      </c>
      <c r="B6803" t="s">
        <v>6512</v>
      </c>
      <c r="C6803" t="s">
        <v>6093</v>
      </c>
      <c r="D6803" t="s">
        <v>6513</v>
      </c>
      <c r="E6803" t="s">
        <v>21808</v>
      </c>
      <c r="F6803">
        <v>29</v>
      </c>
      <c r="G6803">
        <v>1903742</v>
      </c>
      <c r="H6803" t="s">
        <v>21809</v>
      </c>
      <c r="J6803" s="54" t="s">
        <v>6052</v>
      </c>
      <c r="K6803" s="54">
        <v>0</v>
      </c>
      <c r="L6803" s="22" t="s">
        <v>104</v>
      </c>
      <c r="M6803" s="22" t="s">
        <v>37324</v>
      </c>
    </row>
    <row r="6804" spans="1:13" x14ac:dyDescent="0.75">
      <c r="A6804" t="s">
        <v>24458</v>
      </c>
      <c r="B6804" t="s">
        <v>6512</v>
      </c>
      <c r="C6804" t="s">
        <v>6093</v>
      </c>
      <c r="D6804" t="s">
        <v>6513</v>
      </c>
      <c r="E6804" t="s">
        <v>24459</v>
      </c>
      <c r="F6804">
        <v>18</v>
      </c>
      <c r="G6804">
        <v>1990783</v>
      </c>
      <c r="H6804" t="s">
        <v>24460</v>
      </c>
      <c r="J6804" s="54" t="s">
        <v>6052</v>
      </c>
      <c r="K6804" s="54">
        <v>0</v>
      </c>
      <c r="L6804" s="22" t="s">
        <v>104</v>
      </c>
      <c r="M6804" s="22" t="s">
        <v>37324</v>
      </c>
    </row>
    <row r="6805" spans="1:13" x14ac:dyDescent="0.75">
      <c r="A6805" t="s">
        <v>21116</v>
      </c>
      <c r="B6805" t="s">
        <v>6512</v>
      </c>
      <c r="C6805" t="s">
        <v>6093</v>
      </c>
      <c r="D6805" t="s">
        <v>6513</v>
      </c>
      <c r="E6805" t="s">
        <v>21117</v>
      </c>
      <c r="F6805">
        <v>1</v>
      </c>
      <c r="G6805">
        <v>1868859</v>
      </c>
      <c r="H6805" t="s">
        <v>21118</v>
      </c>
      <c r="J6805" s="54" t="s">
        <v>6052</v>
      </c>
      <c r="K6805" s="54">
        <v>0</v>
      </c>
      <c r="L6805" s="22" t="s">
        <v>104</v>
      </c>
      <c r="M6805" s="22" t="s">
        <v>37324</v>
      </c>
    </row>
    <row r="6806" spans="1:13" x14ac:dyDescent="0.75">
      <c r="A6806" t="s">
        <v>17907</v>
      </c>
      <c r="B6806" t="s">
        <v>6512</v>
      </c>
      <c r="C6806" t="s">
        <v>6093</v>
      </c>
      <c r="D6806" t="s">
        <v>6513</v>
      </c>
      <c r="E6806" t="s">
        <v>17908</v>
      </c>
      <c r="F6806">
        <v>1</v>
      </c>
      <c r="G6806">
        <v>1868857</v>
      </c>
      <c r="H6806" t="s">
        <v>17909</v>
      </c>
      <c r="J6806" s="54" t="s">
        <v>6052</v>
      </c>
      <c r="K6806" s="54">
        <v>0</v>
      </c>
      <c r="L6806" s="22" t="s">
        <v>104</v>
      </c>
      <c r="M6806" s="22" t="s">
        <v>37324</v>
      </c>
    </row>
    <row r="6807" spans="1:13" x14ac:dyDescent="0.75">
      <c r="A6807" t="s">
        <v>11490</v>
      </c>
      <c r="B6807" t="s">
        <v>6512</v>
      </c>
      <c r="C6807" t="s">
        <v>6093</v>
      </c>
      <c r="D6807" t="s">
        <v>6513</v>
      </c>
      <c r="E6807" t="s">
        <v>11491</v>
      </c>
      <c r="F6807">
        <v>1</v>
      </c>
      <c r="G6807">
        <v>1906344</v>
      </c>
      <c r="H6807" t="s">
        <v>11492</v>
      </c>
      <c r="J6807" s="54" t="s">
        <v>6052</v>
      </c>
      <c r="K6807" s="54">
        <v>0</v>
      </c>
      <c r="L6807" s="22" t="s">
        <v>104</v>
      </c>
      <c r="M6807" s="22" t="s">
        <v>37324</v>
      </c>
    </row>
    <row r="6808" spans="1:13" x14ac:dyDescent="0.75">
      <c r="A6808" t="s">
        <v>16172</v>
      </c>
      <c r="B6808" t="s">
        <v>6512</v>
      </c>
      <c r="C6808" t="s">
        <v>6093</v>
      </c>
      <c r="D6808" t="s">
        <v>6513</v>
      </c>
      <c r="E6808" t="s">
        <v>16173</v>
      </c>
      <c r="F6808">
        <v>31</v>
      </c>
      <c r="G6808">
        <v>2046314</v>
      </c>
      <c r="H6808" t="s">
        <v>16174</v>
      </c>
      <c r="J6808" s="54" t="s">
        <v>6052</v>
      </c>
      <c r="K6808" s="54">
        <v>0</v>
      </c>
      <c r="L6808" s="22" t="s">
        <v>104</v>
      </c>
      <c r="M6808" s="22" t="s">
        <v>37324</v>
      </c>
    </row>
    <row r="6809" spans="1:13" x14ac:dyDescent="0.75">
      <c r="A6809" t="s">
        <v>26645</v>
      </c>
      <c r="B6809" t="s">
        <v>6512</v>
      </c>
      <c r="C6809" t="s">
        <v>6093</v>
      </c>
      <c r="D6809" t="s">
        <v>6513</v>
      </c>
      <c r="E6809" t="s">
        <v>26646</v>
      </c>
      <c r="F6809">
        <v>1</v>
      </c>
      <c r="G6809">
        <v>1868860</v>
      </c>
      <c r="H6809" t="s">
        <v>26647</v>
      </c>
      <c r="J6809" s="54" t="s">
        <v>6052</v>
      </c>
      <c r="K6809" s="54">
        <v>0</v>
      </c>
      <c r="L6809" s="22" t="s">
        <v>104</v>
      </c>
      <c r="M6809" s="22" t="s">
        <v>37324</v>
      </c>
    </row>
    <row r="6810" spans="1:13" x14ac:dyDescent="0.75">
      <c r="A6810" t="s">
        <v>6675</v>
      </c>
      <c r="B6810" t="s">
        <v>6512</v>
      </c>
      <c r="C6810" t="s">
        <v>6093</v>
      </c>
      <c r="D6810" t="s">
        <v>6513</v>
      </c>
      <c r="E6810" t="s">
        <v>6676</v>
      </c>
      <c r="F6810">
        <v>1</v>
      </c>
      <c r="G6810">
        <v>1868883</v>
      </c>
      <c r="H6810" t="s">
        <v>6677</v>
      </c>
      <c r="J6810" s="54" t="s">
        <v>6052</v>
      </c>
      <c r="K6810" s="54">
        <v>0</v>
      </c>
      <c r="L6810" s="22" t="s">
        <v>104</v>
      </c>
      <c r="M6810" s="22" t="s">
        <v>37324</v>
      </c>
    </row>
    <row r="6811" spans="1:13" x14ac:dyDescent="0.75">
      <c r="A6811" t="s">
        <v>28103</v>
      </c>
      <c r="B6811" t="s">
        <v>6512</v>
      </c>
      <c r="C6811" t="s">
        <v>6093</v>
      </c>
      <c r="D6811" t="s">
        <v>6513</v>
      </c>
      <c r="E6811" t="s">
        <v>28104</v>
      </c>
      <c r="F6811">
        <v>4</v>
      </c>
      <c r="G6811">
        <v>2155387</v>
      </c>
      <c r="H6811" t="s">
        <v>28105</v>
      </c>
      <c r="J6811" s="54" t="s">
        <v>6052</v>
      </c>
      <c r="K6811" s="54">
        <v>0</v>
      </c>
      <c r="L6811" s="22" t="s">
        <v>104</v>
      </c>
      <c r="M6811" s="22" t="s">
        <v>37324</v>
      </c>
    </row>
    <row r="6812" spans="1:13" x14ac:dyDescent="0.75">
      <c r="A6812" t="s">
        <v>27632</v>
      </c>
      <c r="B6812" t="s">
        <v>6512</v>
      </c>
      <c r="C6812" t="s">
        <v>6093</v>
      </c>
      <c r="D6812" t="s">
        <v>6513</v>
      </c>
      <c r="E6812" t="s">
        <v>27633</v>
      </c>
      <c r="F6812">
        <v>3</v>
      </c>
      <c r="G6812">
        <v>1879851</v>
      </c>
      <c r="H6812" t="s">
        <v>27634</v>
      </c>
      <c r="J6812" s="54" t="s">
        <v>6052</v>
      </c>
      <c r="K6812" s="54">
        <v>0</v>
      </c>
      <c r="L6812" s="22" t="s">
        <v>104</v>
      </c>
      <c r="M6812" s="22" t="s">
        <v>37324</v>
      </c>
    </row>
    <row r="6813" spans="1:13" x14ac:dyDescent="0.75">
      <c r="A6813" t="s">
        <v>23138</v>
      </c>
      <c r="B6813" t="s">
        <v>6512</v>
      </c>
      <c r="C6813" t="s">
        <v>6093</v>
      </c>
      <c r="D6813" t="s">
        <v>6513</v>
      </c>
      <c r="E6813" t="s">
        <v>23139</v>
      </c>
      <c r="F6813">
        <v>20</v>
      </c>
      <c r="G6813">
        <v>1983600</v>
      </c>
      <c r="H6813" t="s">
        <v>23140</v>
      </c>
      <c r="J6813" s="54" t="s">
        <v>6052</v>
      </c>
      <c r="K6813" s="54">
        <v>0</v>
      </c>
      <c r="L6813" s="22" t="s">
        <v>104</v>
      </c>
      <c r="M6813" s="22" t="s">
        <v>37324</v>
      </c>
    </row>
    <row r="6814" spans="1:13" x14ac:dyDescent="0.75">
      <c r="A6814" t="s">
        <v>23132</v>
      </c>
      <c r="B6814" t="s">
        <v>6512</v>
      </c>
      <c r="C6814" t="s">
        <v>6093</v>
      </c>
      <c r="D6814" t="s">
        <v>6513</v>
      </c>
      <c r="E6814" t="s">
        <v>23133</v>
      </c>
      <c r="F6814">
        <v>16</v>
      </c>
      <c r="G6814">
        <v>1871204</v>
      </c>
      <c r="H6814" t="s">
        <v>23134</v>
      </c>
      <c r="J6814" s="54" t="s">
        <v>6052</v>
      </c>
      <c r="K6814" s="54">
        <v>0</v>
      </c>
      <c r="L6814" s="22" t="s">
        <v>104</v>
      </c>
      <c r="M6814" s="22" t="s">
        <v>37324</v>
      </c>
    </row>
    <row r="6815" spans="1:13" x14ac:dyDescent="0.75">
      <c r="A6815" t="s">
        <v>23135</v>
      </c>
      <c r="B6815" t="s">
        <v>6512</v>
      </c>
      <c r="C6815" t="s">
        <v>6093</v>
      </c>
      <c r="D6815" t="s">
        <v>6513</v>
      </c>
      <c r="E6815" t="s">
        <v>23136</v>
      </c>
      <c r="F6815">
        <v>16</v>
      </c>
      <c r="G6815">
        <v>1871377</v>
      </c>
      <c r="H6815" t="s">
        <v>23137</v>
      </c>
      <c r="J6815" s="54" t="s">
        <v>6052</v>
      </c>
      <c r="K6815" s="54">
        <v>0</v>
      </c>
      <c r="L6815" s="22" t="s">
        <v>104</v>
      </c>
      <c r="M6815" s="22" t="s">
        <v>37324</v>
      </c>
    </row>
    <row r="6816" spans="1:13" x14ac:dyDescent="0.75">
      <c r="A6816" t="s">
        <v>26660</v>
      </c>
      <c r="B6816" t="s">
        <v>7438</v>
      </c>
      <c r="C6816" t="s">
        <v>6093</v>
      </c>
      <c r="D6816" t="s">
        <v>7439</v>
      </c>
      <c r="E6816" t="s">
        <v>26661</v>
      </c>
      <c r="F6816">
        <v>1</v>
      </c>
      <c r="G6816">
        <v>2222638</v>
      </c>
      <c r="H6816" t="s">
        <v>26662</v>
      </c>
      <c r="J6816" s="54" t="s">
        <v>6052</v>
      </c>
      <c r="K6816" s="54">
        <v>0</v>
      </c>
      <c r="L6816" s="22" t="s">
        <v>1563</v>
      </c>
      <c r="M6816" s="22" t="s">
        <v>37328</v>
      </c>
    </row>
    <row r="6817" spans="1:13" x14ac:dyDescent="0.75">
      <c r="A6817" t="s">
        <v>23126</v>
      </c>
      <c r="B6817" t="s">
        <v>6512</v>
      </c>
      <c r="C6817" t="s">
        <v>6093</v>
      </c>
      <c r="D6817" t="s">
        <v>6513</v>
      </c>
      <c r="E6817" t="s">
        <v>23127</v>
      </c>
      <c r="F6817">
        <v>34</v>
      </c>
      <c r="G6817">
        <v>1969298</v>
      </c>
      <c r="H6817" t="s">
        <v>23128</v>
      </c>
      <c r="J6817" s="54" t="s">
        <v>6052</v>
      </c>
      <c r="K6817" s="54">
        <v>0</v>
      </c>
      <c r="L6817" s="22" t="s">
        <v>104</v>
      </c>
      <c r="M6817" s="22" t="s">
        <v>37324</v>
      </c>
    </row>
    <row r="6818" spans="1:13" x14ac:dyDescent="0.75">
      <c r="A6818" t="s">
        <v>23117</v>
      </c>
      <c r="B6818" t="s">
        <v>6512</v>
      </c>
      <c r="C6818" t="s">
        <v>6093</v>
      </c>
      <c r="D6818" t="s">
        <v>6513</v>
      </c>
      <c r="E6818" t="s">
        <v>23118</v>
      </c>
      <c r="F6818">
        <v>30</v>
      </c>
      <c r="G6818">
        <v>2013829</v>
      </c>
      <c r="H6818" t="s">
        <v>23119</v>
      </c>
      <c r="J6818" s="54" t="s">
        <v>6052</v>
      </c>
      <c r="K6818" s="54">
        <v>0</v>
      </c>
      <c r="L6818" s="22" t="s">
        <v>104</v>
      </c>
      <c r="M6818" s="22" t="s">
        <v>37324</v>
      </c>
    </row>
    <row r="6819" spans="1:13" x14ac:dyDescent="0.75">
      <c r="A6819" t="s">
        <v>10804</v>
      </c>
      <c r="B6819" t="s">
        <v>6512</v>
      </c>
      <c r="C6819" t="s">
        <v>6093</v>
      </c>
      <c r="D6819" t="s">
        <v>6513</v>
      </c>
      <c r="E6819" t="s">
        <v>10805</v>
      </c>
      <c r="F6819">
        <v>3</v>
      </c>
      <c r="G6819">
        <v>1915198</v>
      </c>
      <c r="H6819" t="s">
        <v>10806</v>
      </c>
      <c r="J6819" s="54" t="s">
        <v>6052</v>
      </c>
      <c r="K6819" s="54">
        <v>0</v>
      </c>
      <c r="L6819" s="22" t="s">
        <v>104</v>
      </c>
      <c r="M6819" s="22" t="s">
        <v>37324</v>
      </c>
    </row>
    <row r="6820" spans="1:13" x14ac:dyDescent="0.75">
      <c r="A6820" t="s">
        <v>13573</v>
      </c>
      <c r="B6820" t="s">
        <v>6512</v>
      </c>
      <c r="C6820" t="s">
        <v>6093</v>
      </c>
      <c r="D6820" t="s">
        <v>6513</v>
      </c>
      <c r="E6820" t="s">
        <v>13574</v>
      </c>
      <c r="F6820">
        <v>25</v>
      </c>
      <c r="G6820">
        <v>1984277</v>
      </c>
      <c r="H6820" t="s">
        <v>13575</v>
      </c>
      <c r="J6820" s="54" t="s">
        <v>6052</v>
      </c>
      <c r="K6820" s="54">
        <v>0</v>
      </c>
      <c r="L6820" s="22" t="s">
        <v>104</v>
      </c>
      <c r="M6820" s="22" t="s">
        <v>37324</v>
      </c>
    </row>
    <row r="6821" spans="1:13" x14ac:dyDescent="0.75">
      <c r="A6821" t="s">
        <v>13582</v>
      </c>
      <c r="B6821" t="s">
        <v>6512</v>
      </c>
      <c r="C6821" t="s">
        <v>6093</v>
      </c>
      <c r="D6821" t="s">
        <v>6513</v>
      </c>
      <c r="E6821" t="s">
        <v>13583</v>
      </c>
      <c r="F6821">
        <v>20</v>
      </c>
      <c r="G6821">
        <v>1819806</v>
      </c>
      <c r="H6821" t="s">
        <v>13584</v>
      </c>
      <c r="J6821" s="54" t="s">
        <v>6052</v>
      </c>
      <c r="K6821" s="54">
        <v>0</v>
      </c>
      <c r="L6821" s="22" t="s">
        <v>104</v>
      </c>
      <c r="M6821" s="22" t="s">
        <v>37324</v>
      </c>
    </row>
    <row r="6822" spans="1:13" x14ac:dyDescent="0.75">
      <c r="A6822" t="s">
        <v>13579</v>
      </c>
      <c r="B6822" t="s">
        <v>6512</v>
      </c>
      <c r="C6822" t="s">
        <v>6093</v>
      </c>
      <c r="D6822" t="s">
        <v>6513</v>
      </c>
      <c r="E6822" t="s">
        <v>13580</v>
      </c>
      <c r="F6822">
        <v>34</v>
      </c>
      <c r="G6822">
        <v>1908049</v>
      </c>
      <c r="H6822" t="s">
        <v>13581</v>
      </c>
      <c r="J6822" s="54" t="s">
        <v>6052</v>
      </c>
      <c r="K6822" s="54">
        <v>0</v>
      </c>
      <c r="L6822" s="22" t="s">
        <v>104</v>
      </c>
      <c r="M6822" s="22" t="s">
        <v>37324</v>
      </c>
    </row>
    <row r="6823" spans="1:13" x14ac:dyDescent="0.75">
      <c r="A6823" t="s">
        <v>13576</v>
      </c>
      <c r="B6823" t="s">
        <v>6512</v>
      </c>
      <c r="C6823" t="s">
        <v>6093</v>
      </c>
      <c r="D6823" t="s">
        <v>6513</v>
      </c>
      <c r="E6823" t="s">
        <v>13577</v>
      </c>
      <c r="F6823">
        <v>24</v>
      </c>
      <c r="G6823">
        <v>1849671</v>
      </c>
      <c r="H6823" t="s">
        <v>13578</v>
      </c>
      <c r="J6823" s="54" t="s">
        <v>6052</v>
      </c>
      <c r="K6823" s="54">
        <v>0</v>
      </c>
      <c r="L6823" s="22" t="s">
        <v>104</v>
      </c>
      <c r="M6823" s="22" t="s">
        <v>37324</v>
      </c>
    </row>
    <row r="6824" spans="1:13" x14ac:dyDescent="0.75">
      <c r="A6824" t="s">
        <v>13570</v>
      </c>
      <c r="B6824" t="s">
        <v>6512</v>
      </c>
      <c r="C6824" t="s">
        <v>6093</v>
      </c>
      <c r="D6824" t="s">
        <v>6513</v>
      </c>
      <c r="E6824" t="s">
        <v>13571</v>
      </c>
      <c r="F6824">
        <v>27</v>
      </c>
      <c r="G6824">
        <v>2057130</v>
      </c>
      <c r="H6824" t="s">
        <v>13572</v>
      </c>
      <c r="J6824" s="54" t="s">
        <v>6052</v>
      </c>
      <c r="K6824" s="54">
        <v>0</v>
      </c>
      <c r="L6824" s="22" t="s">
        <v>104</v>
      </c>
      <c r="M6824" s="22" t="s">
        <v>37324</v>
      </c>
    </row>
    <row r="6825" spans="1:13" x14ac:dyDescent="0.75">
      <c r="A6825" t="s">
        <v>13567</v>
      </c>
      <c r="B6825" t="s">
        <v>6512</v>
      </c>
      <c r="C6825" t="s">
        <v>6093</v>
      </c>
      <c r="D6825" t="s">
        <v>6513</v>
      </c>
      <c r="E6825" t="s">
        <v>13568</v>
      </c>
      <c r="F6825">
        <v>18</v>
      </c>
      <c r="G6825">
        <v>1888936</v>
      </c>
      <c r="H6825" t="s">
        <v>13569</v>
      </c>
      <c r="J6825" s="54" t="s">
        <v>6052</v>
      </c>
      <c r="K6825" s="54">
        <v>0</v>
      </c>
      <c r="L6825" s="22" t="s">
        <v>104</v>
      </c>
      <c r="M6825" s="22" t="s">
        <v>37324</v>
      </c>
    </row>
    <row r="6826" spans="1:13" x14ac:dyDescent="0.75">
      <c r="A6826" t="s">
        <v>18550</v>
      </c>
      <c r="B6826" t="s">
        <v>6512</v>
      </c>
      <c r="C6826" t="s">
        <v>6093</v>
      </c>
      <c r="D6826" t="s">
        <v>6513</v>
      </c>
      <c r="E6826" t="s">
        <v>18551</v>
      </c>
      <c r="F6826">
        <v>1</v>
      </c>
      <c r="G6826">
        <v>2086958</v>
      </c>
      <c r="H6826" t="s">
        <v>18552</v>
      </c>
      <c r="J6826" s="54" t="s">
        <v>6052</v>
      </c>
      <c r="K6826" s="54">
        <v>0</v>
      </c>
      <c r="L6826" s="22" t="s">
        <v>104</v>
      </c>
      <c r="M6826" s="22" t="s">
        <v>37324</v>
      </c>
    </row>
    <row r="6827" spans="1:13" x14ac:dyDescent="0.75">
      <c r="A6827" t="s">
        <v>20172</v>
      </c>
      <c r="B6827" t="s">
        <v>6512</v>
      </c>
      <c r="C6827" t="s">
        <v>6093</v>
      </c>
      <c r="D6827" t="s">
        <v>6513</v>
      </c>
      <c r="E6827" t="s">
        <v>20173</v>
      </c>
      <c r="F6827">
        <v>1</v>
      </c>
      <c r="G6827">
        <v>2033396</v>
      </c>
      <c r="H6827" t="s">
        <v>20174</v>
      </c>
      <c r="J6827" s="54" t="s">
        <v>6052</v>
      </c>
      <c r="K6827" s="54">
        <v>0</v>
      </c>
      <c r="L6827" s="22" t="s">
        <v>104</v>
      </c>
      <c r="M6827" s="22" t="s">
        <v>37324</v>
      </c>
    </row>
    <row r="6828" spans="1:13" x14ac:dyDescent="0.75">
      <c r="A6828" t="s">
        <v>23060</v>
      </c>
      <c r="B6828" t="s">
        <v>6512</v>
      </c>
      <c r="C6828" t="s">
        <v>6093</v>
      </c>
      <c r="D6828" t="s">
        <v>6513</v>
      </c>
      <c r="E6828" t="s">
        <v>23061</v>
      </c>
      <c r="F6828">
        <v>16</v>
      </c>
      <c r="G6828">
        <v>1987690</v>
      </c>
      <c r="H6828" t="s">
        <v>23062</v>
      </c>
      <c r="J6828" s="54" t="s">
        <v>6052</v>
      </c>
      <c r="K6828" s="54">
        <v>0</v>
      </c>
      <c r="L6828" s="22" t="s">
        <v>104</v>
      </c>
      <c r="M6828" s="22" t="s">
        <v>37324</v>
      </c>
    </row>
    <row r="6829" spans="1:13" x14ac:dyDescent="0.75">
      <c r="A6829" t="s">
        <v>23027</v>
      </c>
      <c r="B6829" t="s">
        <v>6512</v>
      </c>
      <c r="C6829" t="s">
        <v>6093</v>
      </c>
      <c r="D6829" t="s">
        <v>6513</v>
      </c>
      <c r="E6829" t="s">
        <v>23028</v>
      </c>
      <c r="F6829">
        <v>36</v>
      </c>
      <c r="G6829">
        <v>1845105</v>
      </c>
      <c r="H6829" t="s">
        <v>23029</v>
      </c>
      <c r="J6829" s="54" t="s">
        <v>6052</v>
      </c>
      <c r="K6829" s="54">
        <v>0</v>
      </c>
      <c r="L6829" s="22" t="s">
        <v>104</v>
      </c>
      <c r="M6829" s="22" t="s">
        <v>37324</v>
      </c>
    </row>
    <row r="6830" spans="1:13" x14ac:dyDescent="0.75">
      <c r="A6830" t="s">
        <v>7841</v>
      </c>
      <c r="B6830" t="s">
        <v>6512</v>
      </c>
      <c r="C6830" t="s">
        <v>6093</v>
      </c>
      <c r="D6830" t="s">
        <v>6513</v>
      </c>
      <c r="E6830" t="s">
        <v>7842</v>
      </c>
      <c r="F6830">
        <v>34</v>
      </c>
      <c r="G6830">
        <v>1943752</v>
      </c>
      <c r="H6830" t="s">
        <v>7843</v>
      </c>
      <c r="J6830" s="54" t="s">
        <v>6052</v>
      </c>
      <c r="K6830" s="54">
        <v>0</v>
      </c>
      <c r="L6830" s="22" t="s">
        <v>104</v>
      </c>
      <c r="M6830" s="22" t="s">
        <v>37324</v>
      </c>
    </row>
    <row r="6831" spans="1:13" x14ac:dyDescent="0.75">
      <c r="A6831" t="s">
        <v>10807</v>
      </c>
      <c r="B6831" t="s">
        <v>6512</v>
      </c>
      <c r="C6831" t="s">
        <v>6093</v>
      </c>
      <c r="D6831" t="s">
        <v>6513</v>
      </c>
      <c r="E6831" t="s">
        <v>6489</v>
      </c>
      <c r="F6831">
        <v>7</v>
      </c>
      <c r="G6831">
        <v>1984405</v>
      </c>
      <c r="H6831" t="s">
        <v>10808</v>
      </c>
      <c r="J6831" s="54" t="s">
        <v>6052</v>
      </c>
      <c r="K6831" s="54">
        <v>0</v>
      </c>
      <c r="L6831" s="22" t="s">
        <v>104</v>
      </c>
      <c r="M6831" s="22" t="s">
        <v>37324</v>
      </c>
    </row>
    <row r="6832" spans="1:13" x14ac:dyDescent="0.75">
      <c r="A6832" t="s">
        <v>21589</v>
      </c>
      <c r="B6832" t="s">
        <v>6512</v>
      </c>
      <c r="C6832" t="s">
        <v>6093</v>
      </c>
      <c r="D6832" t="s">
        <v>6513</v>
      </c>
      <c r="E6832" t="s">
        <v>21590</v>
      </c>
      <c r="F6832">
        <v>17</v>
      </c>
      <c r="G6832">
        <v>1849168</v>
      </c>
      <c r="H6832" t="s">
        <v>21591</v>
      </c>
      <c r="J6832" s="54" t="s">
        <v>6052</v>
      </c>
      <c r="K6832" s="54">
        <v>0</v>
      </c>
      <c r="L6832" s="22" t="s">
        <v>104</v>
      </c>
      <c r="M6832" s="22" t="s">
        <v>37324</v>
      </c>
    </row>
    <row r="6833" spans="1:13" x14ac:dyDescent="0.75">
      <c r="A6833" t="s">
        <v>10811</v>
      </c>
      <c r="B6833" t="s">
        <v>6512</v>
      </c>
      <c r="C6833" t="s">
        <v>6093</v>
      </c>
      <c r="D6833" t="s">
        <v>6513</v>
      </c>
      <c r="E6833" t="s">
        <v>10812</v>
      </c>
      <c r="F6833">
        <v>8</v>
      </c>
      <c r="G6833">
        <v>1973165</v>
      </c>
      <c r="H6833" t="s">
        <v>10813</v>
      </c>
      <c r="J6833" s="54" t="s">
        <v>6052</v>
      </c>
      <c r="K6833" s="54">
        <v>0</v>
      </c>
      <c r="L6833" s="22" t="s">
        <v>104</v>
      </c>
      <c r="M6833" s="22" t="s">
        <v>37324</v>
      </c>
    </row>
    <row r="6834" spans="1:13" x14ac:dyDescent="0.75">
      <c r="A6834" t="s">
        <v>10456</v>
      </c>
      <c r="B6834" t="s">
        <v>6512</v>
      </c>
      <c r="C6834" t="s">
        <v>6093</v>
      </c>
      <c r="D6834" t="s">
        <v>6513</v>
      </c>
      <c r="E6834" t="s">
        <v>10457</v>
      </c>
      <c r="F6834">
        <v>14</v>
      </c>
      <c r="G6834">
        <v>1944576</v>
      </c>
      <c r="H6834" t="s">
        <v>10458</v>
      </c>
      <c r="J6834" s="54" t="s">
        <v>6052</v>
      </c>
      <c r="K6834" s="54">
        <v>0</v>
      </c>
      <c r="L6834" s="22" t="s">
        <v>104</v>
      </c>
      <c r="M6834" s="22" t="s">
        <v>37324</v>
      </c>
    </row>
    <row r="6835" spans="1:13" x14ac:dyDescent="0.75">
      <c r="A6835" t="s">
        <v>6667</v>
      </c>
      <c r="B6835" t="s">
        <v>6512</v>
      </c>
      <c r="C6835" t="s">
        <v>6093</v>
      </c>
      <c r="D6835" t="s">
        <v>6513</v>
      </c>
      <c r="E6835" t="s">
        <v>6668</v>
      </c>
      <c r="F6835">
        <v>35</v>
      </c>
      <c r="G6835">
        <v>2026898</v>
      </c>
      <c r="H6835" t="s">
        <v>6669</v>
      </c>
      <c r="J6835" s="54" t="s">
        <v>6052</v>
      </c>
      <c r="K6835" s="54">
        <v>0</v>
      </c>
      <c r="L6835" s="22" t="s">
        <v>104</v>
      </c>
      <c r="M6835" s="22" t="s">
        <v>37324</v>
      </c>
    </row>
    <row r="6836" spans="1:13" x14ac:dyDescent="0.75">
      <c r="A6836" t="s">
        <v>10436</v>
      </c>
      <c r="B6836" t="s">
        <v>6512</v>
      </c>
      <c r="C6836" t="s">
        <v>6093</v>
      </c>
      <c r="D6836" t="s">
        <v>6513</v>
      </c>
      <c r="E6836" t="s">
        <v>10437</v>
      </c>
      <c r="F6836">
        <v>16</v>
      </c>
      <c r="G6836">
        <v>2080791</v>
      </c>
      <c r="H6836" t="s">
        <v>10438</v>
      </c>
      <c r="J6836" s="54" t="s">
        <v>6052</v>
      </c>
      <c r="K6836" s="54">
        <v>0</v>
      </c>
      <c r="L6836" s="22" t="s">
        <v>104</v>
      </c>
      <c r="M6836" s="22" t="s">
        <v>37324</v>
      </c>
    </row>
    <row r="6837" spans="1:13" x14ac:dyDescent="0.75">
      <c r="A6837" t="s">
        <v>10442</v>
      </c>
      <c r="B6837" t="s">
        <v>6512</v>
      </c>
      <c r="C6837" t="s">
        <v>6093</v>
      </c>
      <c r="D6837" t="s">
        <v>6513</v>
      </c>
      <c r="E6837" t="s">
        <v>10443</v>
      </c>
      <c r="F6837">
        <v>15</v>
      </c>
      <c r="G6837">
        <v>2127862</v>
      </c>
      <c r="H6837" t="s">
        <v>10444</v>
      </c>
      <c r="J6837" s="54" t="s">
        <v>6052</v>
      </c>
      <c r="K6837" s="54">
        <v>0</v>
      </c>
      <c r="L6837" s="22" t="s">
        <v>104</v>
      </c>
      <c r="M6837" s="22" t="s">
        <v>37324</v>
      </c>
    </row>
    <row r="6838" spans="1:13" x14ac:dyDescent="0.75">
      <c r="A6838" t="s">
        <v>10430</v>
      </c>
      <c r="B6838" t="s">
        <v>6512</v>
      </c>
      <c r="C6838" t="s">
        <v>6093</v>
      </c>
      <c r="D6838" t="s">
        <v>6513</v>
      </c>
      <c r="E6838" t="s">
        <v>10431</v>
      </c>
      <c r="F6838">
        <v>27</v>
      </c>
      <c r="G6838">
        <v>2213700</v>
      </c>
      <c r="H6838" t="s">
        <v>10432</v>
      </c>
      <c r="J6838" s="54" t="s">
        <v>6052</v>
      </c>
      <c r="K6838" s="54">
        <v>0</v>
      </c>
      <c r="L6838" s="22" t="s">
        <v>104</v>
      </c>
      <c r="M6838" s="22" t="s">
        <v>37324</v>
      </c>
    </row>
    <row r="6839" spans="1:13" x14ac:dyDescent="0.75">
      <c r="A6839" t="s">
        <v>10439</v>
      </c>
      <c r="B6839" t="s">
        <v>6512</v>
      </c>
      <c r="C6839" t="s">
        <v>6093</v>
      </c>
      <c r="D6839" t="s">
        <v>6513</v>
      </c>
      <c r="E6839" t="s">
        <v>10440</v>
      </c>
      <c r="F6839">
        <v>1</v>
      </c>
      <c r="G6839">
        <v>1942107</v>
      </c>
      <c r="H6839" t="s">
        <v>10441</v>
      </c>
      <c r="J6839" s="54" t="s">
        <v>6052</v>
      </c>
      <c r="K6839" s="54">
        <v>0</v>
      </c>
      <c r="L6839" s="22" t="s">
        <v>104</v>
      </c>
      <c r="M6839" s="22" t="s">
        <v>37324</v>
      </c>
    </row>
    <row r="6840" spans="1:13" x14ac:dyDescent="0.75">
      <c r="A6840" t="s">
        <v>10433</v>
      </c>
      <c r="B6840" t="s">
        <v>6512</v>
      </c>
      <c r="C6840" t="s">
        <v>6093</v>
      </c>
      <c r="D6840" t="s">
        <v>6513</v>
      </c>
      <c r="E6840" t="s">
        <v>10434</v>
      </c>
      <c r="F6840">
        <v>11</v>
      </c>
      <c r="G6840">
        <v>1989639</v>
      </c>
      <c r="H6840" t="s">
        <v>10435</v>
      </c>
      <c r="J6840" s="54" t="s">
        <v>6052</v>
      </c>
      <c r="K6840" s="54">
        <v>0</v>
      </c>
      <c r="L6840" s="22" t="s">
        <v>104</v>
      </c>
      <c r="M6840" s="22" t="s">
        <v>37324</v>
      </c>
    </row>
    <row r="6841" spans="1:13" x14ac:dyDescent="0.75">
      <c r="A6841" t="s">
        <v>10427</v>
      </c>
      <c r="B6841" t="s">
        <v>6512</v>
      </c>
      <c r="C6841" t="s">
        <v>6093</v>
      </c>
      <c r="D6841" t="s">
        <v>6513</v>
      </c>
      <c r="E6841" t="s">
        <v>10428</v>
      </c>
      <c r="F6841">
        <v>15</v>
      </c>
      <c r="G6841">
        <v>2136987</v>
      </c>
      <c r="H6841" t="s">
        <v>10429</v>
      </c>
      <c r="J6841" s="54" t="s">
        <v>6052</v>
      </c>
      <c r="K6841" s="54">
        <v>0</v>
      </c>
      <c r="L6841" s="22" t="s">
        <v>104</v>
      </c>
      <c r="M6841" s="22" t="s">
        <v>37324</v>
      </c>
    </row>
    <row r="6842" spans="1:13" x14ac:dyDescent="0.75">
      <c r="A6842" t="s">
        <v>17683</v>
      </c>
      <c r="B6842" t="s">
        <v>6512</v>
      </c>
      <c r="C6842" t="s">
        <v>6093</v>
      </c>
      <c r="D6842" t="s">
        <v>6513</v>
      </c>
      <c r="E6842" t="s">
        <v>17684</v>
      </c>
      <c r="F6842">
        <v>21</v>
      </c>
      <c r="G6842">
        <v>2000773</v>
      </c>
      <c r="H6842" t="s">
        <v>17685</v>
      </c>
      <c r="J6842" s="54" t="s">
        <v>6052</v>
      </c>
      <c r="K6842" s="54">
        <v>0</v>
      </c>
      <c r="L6842" s="22" t="s">
        <v>104</v>
      </c>
      <c r="M6842" s="22" t="s">
        <v>37324</v>
      </c>
    </row>
    <row r="6843" spans="1:13" x14ac:dyDescent="0.75">
      <c r="A6843" t="s">
        <v>17680</v>
      </c>
      <c r="B6843" t="s">
        <v>6512</v>
      </c>
      <c r="C6843" t="s">
        <v>6093</v>
      </c>
      <c r="D6843" t="s">
        <v>6513</v>
      </c>
      <c r="E6843" t="s">
        <v>17681</v>
      </c>
      <c r="F6843">
        <v>23</v>
      </c>
      <c r="G6843">
        <v>2001354</v>
      </c>
      <c r="H6843" t="s">
        <v>17682</v>
      </c>
      <c r="J6843" s="54" t="s">
        <v>6052</v>
      </c>
      <c r="K6843" s="54">
        <v>0</v>
      </c>
      <c r="L6843" s="22" t="s">
        <v>104</v>
      </c>
      <c r="M6843" s="22" t="s">
        <v>37324</v>
      </c>
    </row>
    <row r="6844" spans="1:13" x14ac:dyDescent="0.75">
      <c r="A6844" t="s">
        <v>17686</v>
      </c>
      <c r="B6844" t="s">
        <v>6512</v>
      </c>
      <c r="C6844" t="s">
        <v>6093</v>
      </c>
      <c r="D6844" t="s">
        <v>6513</v>
      </c>
      <c r="E6844" t="s">
        <v>17687</v>
      </c>
      <c r="F6844">
        <v>27</v>
      </c>
      <c r="G6844">
        <v>2002705</v>
      </c>
      <c r="H6844" t="s">
        <v>17688</v>
      </c>
      <c r="J6844" s="54" t="s">
        <v>6052</v>
      </c>
      <c r="K6844" s="54">
        <v>0</v>
      </c>
      <c r="L6844" s="22" t="s">
        <v>104</v>
      </c>
      <c r="M6844" s="22" t="s">
        <v>37324</v>
      </c>
    </row>
    <row r="6845" spans="1:13" x14ac:dyDescent="0.75">
      <c r="A6845" t="s">
        <v>17668</v>
      </c>
      <c r="B6845" t="s">
        <v>6512</v>
      </c>
      <c r="C6845" t="s">
        <v>6093</v>
      </c>
      <c r="D6845" t="s">
        <v>6513</v>
      </c>
      <c r="E6845" t="s">
        <v>17669</v>
      </c>
      <c r="F6845">
        <v>27</v>
      </c>
      <c r="G6845">
        <v>2002890</v>
      </c>
      <c r="H6845" t="s">
        <v>17670</v>
      </c>
      <c r="J6845" s="54" t="s">
        <v>6052</v>
      </c>
      <c r="K6845" s="54">
        <v>0</v>
      </c>
      <c r="L6845" s="22" t="s">
        <v>104</v>
      </c>
      <c r="M6845" s="22" t="s">
        <v>37324</v>
      </c>
    </row>
    <row r="6846" spans="1:13" x14ac:dyDescent="0.75">
      <c r="A6846" t="s">
        <v>17659</v>
      </c>
      <c r="B6846" t="s">
        <v>6512</v>
      </c>
      <c r="C6846" t="s">
        <v>6093</v>
      </c>
      <c r="D6846" t="s">
        <v>6513</v>
      </c>
      <c r="E6846" t="s">
        <v>17660</v>
      </c>
      <c r="F6846">
        <v>18</v>
      </c>
      <c r="G6846">
        <v>1996012</v>
      </c>
      <c r="H6846" t="s">
        <v>17661</v>
      </c>
      <c r="J6846" s="54" t="s">
        <v>6052</v>
      </c>
      <c r="K6846" s="54">
        <v>0</v>
      </c>
      <c r="L6846" s="22" t="s">
        <v>104</v>
      </c>
      <c r="M6846" s="22" t="s">
        <v>37324</v>
      </c>
    </row>
    <row r="6847" spans="1:13" x14ac:dyDescent="0.75">
      <c r="A6847" t="s">
        <v>17674</v>
      </c>
      <c r="B6847" t="s">
        <v>6512</v>
      </c>
      <c r="C6847" t="s">
        <v>6093</v>
      </c>
      <c r="D6847" t="s">
        <v>6513</v>
      </c>
      <c r="E6847" t="s">
        <v>17675</v>
      </c>
      <c r="F6847">
        <v>15</v>
      </c>
      <c r="G6847">
        <v>1973655</v>
      </c>
      <c r="H6847" t="s">
        <v>17676</v>
      </c>
      <c r="J6847" s="54" t="s">
        <v>6052</v>
      </c>
      <c r="K6847" s="54">
        <v>0</v>
      </c>
      <c r="L6847" s="22" t="s">
        <v>104</v>
      </c>
      <c r="M6847" s="22" t="s">
        <v>37324</v>
      </c>
    </row>
    <row r="6848" spans="1:13" x14ac:dyDescent="0.75">
      <c r="A6848" t="s">
        <v>22282</v>
      </c>
      <c r="B6848" t="s">
        <v>6512</v>
      </c>
      <c r="C6848" t="s">
        <v>6093</v>
      </c>
      <c r="D6848" t="s">
        <v>6513</v>
      </c>
      <c r="E6848" t="s">
        <v>22283</v>
      </c>
      <c r="F6848">
        <v>30</v>
      </c>
      <c r="G6848">
        <v>1858685</v>
      </c>
      <c r="H6848" t="s">
        <v>22284</v>
      </c>
      <c r="J6848" s="54" t="s">
        <v>6052</v>
      </c>
      <c r="K6848" s="54">
        <v>0</v>
      </c>
      <c r="L6848" s="22" t="s">
        <v>104</v>
      </c>
      <c r="M6848" s="22" t="s">
        <v>37324</v>
      </c>
    </row>
    <row r="6849" spans="1:13" x14ac:dyDescent="0.75">
      <c r="A6849" t="s">
        <v>17665</v>
      </c>
      <c r="B6849" t="s">
        <v>6512</v>
      </c>
      <c r="C6849" t="s">
        <v>6093</v>
      </c>
      <c r="D6849" t="s">
        <v>6513</v>
      </c>
      <c r="E6849" t="s">
        <v>17666</v>
      </c>
      <c r="F6849">
        <v>21</v>
      </c>
      <c r="G6849">
        <v>2016502</v>
      </c>
      <c r="H6849" t="s">
        <v>17667</v>
      </c>
      <c r="J6849" s="54" t="s">
        <v>6052</v>
      </c>
      <c r="K6849" s="54">
        <v>0</v>
      </c>
      <c r="L6849" s="22" t="s">
        <v>104</v>
      </c>
      <c r="M6849" s="22" t="s">
        <v>37324</v>
      </c>
    </row>
    <row r="6850" spans="1:13" x14ac:dyDescent="0.75">
      <c r="A6850" t="s">
        <v>17707</v>
      </c>
      <c r="B6850" t="s">
        <v>6512</v>
      </c>
      <c r="C6850" t="s">
        <v>6093</v>
      </c>
      <c r="D6850" t="s">
        <v>6513</v>
      </c>
      <c r="E6850" t="s">
        <v>17708</v>
      </c>
      <c r="F6850">
        <v>30</v>
      </c>
      <c r="G6850">
        <v>2000922</v>
      </c>
      <c r="H6850" t="s">
        <v>17709</v>
      </c>
      <c r="J6850" s="54" t="s">
        <v>6052</v>
      </c>
      <c r="K6850" s="54">
        <v>0</v>
      </c>
      <c r="L6850" s="22" t="s">
        <v>104</v>
      </c>
      <c r="M6850" s="22" t="s">
        <v>37324</v>
      </c>
    </row>
    <row r="6851" spans="1:13" x14ac:dyDescent="0.75">
      <c r="A6851" t="s">
        <v>17701</v>
      </c>
      <c r="B6851" t="s">
        <v>6512</v>
      </c>
      <c r="C6851" t="s">
        <v>6093</v>
      </c>
      <c r="D6851" t="s">
        <v>6513</v>
      </c>
      <c r="E6851" t="s">
        <v>17702</v>
      </c>
      <c r="F6851">
        <v>27</v>
      </c>
      <c r="G6851">
        <v>2006191</v>
      </c>
      <c r="H6851" t="s">
        <v>17703</v>
      </c>
      <c r="J6851" s="54" t="s">
        <v>6052</v>
      </c>
      <c r="K6851" s="54">
        <v>0</v>
      </c>
      <c r="L6851" s="22" t="s">
        <v>104</v>
      </c>
      <c r="M6851" s="22" t="s">
        <v>37324</v>
      </c>
    </row>
    <row r="6852" spans="1:13" x14ac:dyDescent="0.75">
      <c r="A6852" t="s">
        <v>24564</v>
      </c>
      <c r="B6852" t="s">
        <v>6512</v>
      </c>
      <c r="C6852" t="s">
        <v>6093</v>
      </c>
      <c r="D6852" t="s">
        <v>6513</v>
      </c>
      <c r="E6852" t="s">
        <v>24565</v>
      </c>
      <c r="F6852">
        <v>7</v>
      </c>
      <c r="G6852">
        <v>1999481</v>
      </c>
      <c r="H6852" t="s">
        <v>24566</v>
      </c>
      <c r="J6852" s="54" t="s">
        <v>6052</v>
      </c>
      <c r="K6852" s="54">
        <v>0</v>
      </c>
      <c r="L6852" s="22" t="s">
        <v>104</v>
      </c>
      <c r="M6852" s="22" t="s">
        <v>37324</v>
      </c>
    </row>
    <row r="6853" spans="1:13" x14ac:dyDescent="0.75">
      <c r="A6853" t="s">
        <v>17677</v>
      </c>
      <c r="B6853" t="s">
        <v>6512</v>
      </c>
      <c r="C6853" t="s">
        <v>6093</v>
      </c>
      <c r="D6853" t="s">
        <v>6513</v>
      </c>
      <c r="E6853" t="s">
        <v>17678</v>
      </c>
      <c r="F6853">
        <v>27</v>
      </c>
      <c r="G6853">
        <v>2060956</v>
      </c>
      <c r="H6853" t="s">
        <v>17679</v>
      </c>
      <c r="J6853" s="54" t="s">
        <v>6052</v>
      </c>
      <c r="K6853" s="54">
        <v>0</v>
      </c>
      <c r="L6853" s="22" t="s">
        <v>104</v>
      </c>
      <c r="M6853" s="22" t="s">
        <v>37324</v>
      </c>
    </row>
    <row r="6854" spans="1:13" x14ac:dyDescent="0.75">
      <c r="A6854" t="s">
        <v>17671</v>
      </c>
      <c r="B6854" t="s">
        <v>6512</v>
      </c>
      <c r="C6854" t="s">
        <v>6093</v>
      </c>
      <c r="D6854" t="s">
        <v>6513</v>
      </c>
      <c r="E6854" t="s">
        <v>17672</v>
      </c>
      <c r="F6854">
        <v>27</v>
      </c>
      <c r="G6854">
        <v>2001505</v>
      </c>
      <c r="H6854" t="s">
        <v>17673</v>
      </c>
      <c r="J6854" s="54" t="s">
        <v>6052</v>
      </c>
      <c r="K6854" s="54">
        <v>0</v>
      </c>
      <c r="L6854" s="22" t="s">
        <v>104</v>
      </c>
      <c r="M6854" s="22" t="s">
        <v>37324</v>
      </c>
    </row>
    <row r="6855" spans="1:13" x14ac:dyDescent="0.75">
      <c r="A6855" t="s">
        <v>17647</v>
      </c>
      <c r="B6855" t="s">
        <v>6512</v>
      </c>
      <c r="C6855" t="s">
        <v>6093</v>
      </c>
      <c r="D6855" t="s">
        <v>6513</v>
      </c>
      <c r="E6855" t="s">
        <v>17648</v>
      </c>
      <c r="F6855">
        <v>30</v>
      </c>
      <c r="G6855">
        <v>2007541</v>
      </c>
      <c r="H6855" t="s">
        <v>17649</v>
      </c>
      <c r="J6855" s="54" t="s">
        <v>6052</v>
      </c>
      <c r="K6855" s="54">
        <v>0</v>
      </c>
      <c r="L6855" s="22" t="s">
        <v>104</v>
      </c>
      <c r="M6855" s="22" t="s">
        <v>37324</v>
      </c>
    </row>
    <row r="6856" spans="1:13" x14ac:dyDescent="0.75">
      <c r="A6856" t="s">
        <v>17653</v>
      </c>
      <c r="B6856" t="s">
        <v>6512</v>
      </c>
      <c r="C6856" t="s">
        <v>6093</v>
      </c>
      <c r="D6856" t="s">
        <v>6513</v>
      </c>
      <c r="E6856" t="s">
        <v>17654</v>
      </c>
      <c r="F6856">
        <v>24</v>
      </c>
      <c r="G6856">
        <v>2005875</v>
      </c>
      <c r="H6856" t="s">
        <v>17655</v>
      </c>
      <c r="J6856" s="54" t="s">
        <v>6052</v>
      </c>
      <c r="K6856" s="54">
        <v>0</v>
      </c>
      <c r="L6856" s="22" t="s">
        <v>104</v>
      </c>
      <c r="M6856" s="22" t="s">
        <v>37324</v>
      </c>
    </row>
    <row r="6857" spans="1:13" x14ac:dyDescent="0.75">
      <c r="A6857" t="s">
        <v>17650</v>
      </c>
      <c r="B6857" t="s">
        <v>6512</v>
      </c>
      <c r="C6857" t="s">
        <v>6093</v>
      </c>
      <c r="D6857" t="s">
        <v>6513</v>
      </c>
      <c r="E6857" t="s">
        <v>17651</v>
      </c>
      <c r="F6857">
        <v>28</v>
      </c>
      <c r="G6857">
        <v>2007955</v>
      </c>
      <c r="H6857" t="s">
        <v>17652</v>
      </c>
      <c r="J6857" s="54" t="s">
        <v>6052</v>
      </c>
      <c r="K6857" s="54">
        <v>0</v>
      </c>
      <c r="L6857" s="22" t="s">
        <v>104</v>
      </c>
      <c r="M6857" s="22" t="s">
        <v>37324</v>
      </c>
    </row>
    <row r="6858" spans="1:13" x14ac:dyDescent="0.75">
      <c r="A6858" t="s">
        <v>17641</v>
      </c>
      <c r="B6858" t="s">
        <v>6512</v>
      </c>
      <c r="C6858" t="s">
        <v>6093</v>
      </c>
      <c r="D6858" t="s">
        <v>6513</v>
      </c>
      <c r="E6858" t="s">
        <v>17642</v>
      </c>
      <c r="F6858">
        <v>25</v>
      </c>
      <c r="G6858">
        <v>2007565</v>
      </c>
      <c r="H6858" t="s">
        <v>17643</v>
      </c>
      <c r="J6858" s="54" t="s">
        <v>6052</v>
      </c>
      <c r="K6858" s="54">
        <v>0</v>
      </c>
      <c r="L6858" s="22" t="s">
        <v>104</v>
      </c>
      <c r="M6858" s="22" t="s">
        <v>37324</v>
      </c>
    </row>
    <row r="6859" spans="1:13" x14ac:dyDescent="0.75">
      <c r="A6859" t="s">
        <v>17704</v>
      </c>
      <c r="B6859" t="s">
        <v>6512</v>
      </c>
      <c r="C6859" t="s">
        <v>6093</v>
      </c>
      <c r="D6859" t="s">
        <v>6513</v>
      </c>
      <c r="E6859" t="s">
        <v>17705</v>
      </c>
      <c r="F6859">
        <v>25</v>
      </c>
      <c r="G6859">
        <v>2005820</v>
      </c>
      <c r="H6859" t="s">
        <v>17706</v>
      </c>
      <c r="J6859" s="54" t="s">
        <v>6052</v>
      </c>
      <c r="K6859" s="54">
        <v>0</v>
      </c>
      <c r="L6859" s="22" t="s">
        <v>104</v>
      </c>
      <c r="M6859" s="22" t="s">
        <v>37324</v>
      </c>
    </row>
    <row r="6860" spans="1:13" x14ac:dyDescent="0.75">
      <c r="A6860" t="s">
        <v>17698</v>
      </c>
      <c r="B6860" t="s">
        <v>6512</v>
      </c>
      <c r="C6860" t="s">
        <v>6093</v>
      </c>
      <c r="D6860" t="s">
        <v>6513</v>
      </c>
      <c r="E6860" t="s">
        <v>17699</v>
      </c>
      <c r="F6860">
        <v>29</v>
      </c>
      <c r="G6860">
        <v>2006041</v>
      </c>
      <c r="H6860" t="s">
        <v>17700</v>
      </c>
      <c r="J6860" s="54" t="s">
        <v>6052</v>
      </c>
      <c r="K6860" s="54">
        <v>0</v>
      </c>
      <c r="L6860" s="22" t="s">
        <v>104</v>
      </c>
      <c r="M6860" s="22" t="s">
        <v>37324</v>
      </c>
    </row>
    <row r="6861" spans="1:13" x14ac:dyDescent="0.75">
      <c r="A6861" t="s">
        <v>24567</v>
      </c>
      <c r="B6861" t="s">
        <v>6512</v>
      </c>
      <c r="C6861" t="s">
        <v>6093</v>
      </c>
      <c r="D6861" t="s">
        <v>6513</v>
      </c>
      <c r="E6861" t="s">
        <v>9212</v>
      </c>
      <c r="F6861">
        <v>33</v>
      </c>
      <c r="G6861">
        <v>1874967</v>
      </c>
      <c r="H6861" t="s">
        <v>24568</v>
      </c>
      <c r="J6861" s="54" t="s">
        <v>6052</v>
      </c>
      <c r="K6861" s="54">
        <v>0</v>
      </c>
      <c r="L6861" s="22" t="s">
        <v>104</v>
      </c>
      <c r="M6861" s="22" t="s">
        <v>37324</v>
      </c>
    </row>
    <row r="6862" spans="1:13" x14ac:dyDescent="0.75">
      <c r="A6862" t="s">
        <v>17662</v>
      </c>
      <c r="B6862" t="s">
        <v>6512</v>
      </c>
      <c r="C6862" t="s">
        <v>6093</v>
      </c>
      <c r="D6862" t="s">
        <v>6513</v>
      </c>
      <c r="E6862" t="s">
        <v>17663</v>
      </c>
      <c r="F6862">
        <v>27</v>
      </c>
      <c r="G6862">
        <v>2032459</v>
      </c>
      <c r="H6862" t="s">
        <v>17664</v>
      </c>
      <c r="J6862" s="54" t="s">
        <v>6052</v>
      </c>
      <c r="K6862" s="54">
        <v>0</v>
      </c>
      <c r="L6862" s="22" t="s">
        <v>104</v>
      </c>
      <c r="M6862" s="22" t="s">
        <v>37324</v>
      </c>
    </row>
    <row r="6863" spans="1:13" x14ac:dyDescent="0.75">
      <c r="A6863" t="s">
        <v>17695</v>
      </c>
      <c r="B6863" t="s">
        <v>6512</v>
      </c>
      <c r="C6863" t="s">
        <v>6093</v>
      </c>
      <c r="D6863" t="s">
        <v>6513</v>
      </c>
      <c r="E6863" t="s">
        <v>17696</v>
      </c>
      <c r="F6863">
        <v>33</v>
      </c>
      <c r="G6863">
        <v>2007726</v>
      </c>
      <c r="H6863" t="s">
        <v>17697</v>
      </c>
      <c r="J6863" s="54" t="s">
        <v>6052</v>
      </c>
      <c r="K6863" s="54">
        <v>0</v>
      </c>
      <c r="L6863" s="22" t="s">
        <v>104</v>
      </c>
      <c r="M6863" s="22" t="s">
        <v>37324</v>
      </c>
    </row>
    <row r="6864" spans="1:13" x14ac:dyDescent="0.75">
      <c r="A6864" t="s">
        <v>17692</v>
      </c>
      <c r="B6864" t="s">
        <v>6512</v>
      </c>
      <c r="C6864" t="s">
        <v>6093</v>
      </c>
      <c r="D6864" t="s">
        <v>6513</v>
      </c>
      <c r="E6864" t="s">
        <v>17693</v>
      </c>
      <c r="F6864">
        <v>26</v>
      </c>
      <c r="G6864">
        <v>2000668</v>
      </c>
      <c r="H6864" t="s">
        <v>17694</v>
      </c>
      <c r="J6864" s="54" t="s">
        <v>6052</v>
      </c>
      <c r="K6864" s="54">
        <v>0</v>
      </c>
      <c r="L6864" s="22" t="s">
        <v>104</v>
      </c>
      <c r="M6864" s="22" t="s">
        <v>37324</v>
      </c>
    </row>
    <row r="6865" spans="1:13" x14ac:dyDescent="0.75">
      <c r="A6865" t="s">
        <v>17689</v>
      </c>
      <c r="B6865" t="s">
        <v>6512</v>
      </c>
      <c r="C6865" t="s">
        <v>6093</v>
      </c>
      <c r="D6865" t="s">
        <v>6513</v>
      </c>
      <c r="E6865" t="s">
        <v>17690</v>
      </c>
      <c r="F6865">
        <v>23</v>
      </c>
      <c r="G6865">
        <v>2000125</v>
      </c>
      <c r="H6865" t="s">
        <v>17691</v>
      </c>
      <c r="J6865" s="54" t="s">
        <v>6052</v>
      </c>
      <c r="K6865" s="54">
        <v>0</v>
      </c>
      <c r="L6865" s="22" t="s">
        <v>104</v>
      </c>
      <c r="M6865" s="22" t="s">
        <v>37324</v>
      </c>
    </row>
    <row r="6866" spans="1:13" x14ac:dyDescent="0.75">
      <c r="A6866" t="s">
        <v>17638</v>
      </c>
      <c r="B6866" t="s">
        <v>6512</v>
      </c>
      <c r="C6866" t="s">
        <v>6093</v>
      </c>
      <c r="D6866" t="s">
        <v>6513</v>
      </c>
      <c r="E6866" t="s">
        <v>17639</v>
      </c>
      <c r="F6866">
        <v>25</v>
      </c>
      <c r="G6866">
        <v>2002001</v>
      </c>
      <c r="H6866" t="s">
        <v>17640</v>
      </c>
      <c r="J6866" s="54" t="s">
        <v>6052</v>
      </c>
      <c r="K6866" s="54">
        <v>0</v>
      </c>
      <c r="L6866" s="22" t="s">
        <v>104</v>
      </c>
      <c r="M6866" s="22" t="s">
        <v>37324</v>
      </c>
    </row>
    <row r="6867" spans="1:13" x14ac:dyDescent="0.75">
      <c r="A6867" t="s">
        <v>17656</v>
      </c>
      <c r="B6867" t="s">
        <v>6512</v>
      </c>
      <c r="C6867" t="s">
        <v>6093</v>
      </c>
      <c r="D6867" t="s">
        <v>6513</v>
      </c>
      <c r="E6867" t="s">
        <v>17657</v>
      </c>
      <c r="F6867">
        <v>28</v>
      </c>
      <c r="G6867">
        <v>2007012</v>
      </c>
      <c r="H6867" t="s">
        <v>17658</v>
      </c>
      <c r="J6867" s="54" t="s">
        <v>6052</v>
      </c>
      <c r="K6867" s="54">
        <v>0</v>
      </c>
      <c r="L6867" s="22" t="s">
        <v>104</v>
      </c>
      <c r="M6867" s="22" t="s">
        <v>37324</v>
      </c>
    </row>
    <row r="6868" spans="1:13" x14ac:dyDescent="0.75">
      <c r="A6868" t="s">
        <v>17644</v>
      </c>
      <c r="B6868" t="s">
        <v>6512</v>
      </c>
      <c r="C6868" t="s">
        <v>6093</v>
      </c>
      <c r="D6868" t="s">
        <v>6513</v>
      </c>
      <c r="E6868" t="s">
        <v>17645</v>
      </c>
      <c r="F6868">
        <v>31</v>
      </c>
      <c r="G6868">
        <v>2006587</v>
      </c>
      <c r="H6868" t="s">
        <v>17646</v>
      </c>
      <c r="J6868" s="54" t="s">
        <v>6052</v>
      </c>
      <c r="K6868" s="54">
        <v>0</v>
      </c>
      <c r="L6868" s="22" t="s">
        <v>104</v>
      </c>
      <c r="M6868" s="22" t="s">
        <v>37324</v>
      </c>
    </row>
    <row r="6869" spans="1:13" x14ac:dyDescent="0.75">
      <c r="A6869" t="s">
        <v>17710</v>
      </c>
      <c r="B6869" t="s">
        <v>6512</v>
      </c>
      <c r="C6869" t="s">
        <v>6093</v>
      </c>
      <c r="D6869" t="s">
        <v>6513</v>
      </c>
      <c r="E6869" t="s">
        <v>17711</v>
      </c>
      <c r="F6869">
        <v>30</v>
      </c>
      <c r="G6869">
        <v>1996076</v>
      </c>
      <c r="H6869" t="s">
        <v>17712</v>
      </c>
      <c r="J6869" s="54" t="s">
        <v>6052</v>
      </c>
      <c r="K6869" s="54">
        <v>0</v>
      </c>
      <c r="L6869" s="22" t="s">
        <v>104</v>
      </c>
      <c r="M6869" s="22" t="s">
        <v>37324</v>
      </c>
    </row>
    <row r="6870" spans="1:13" x14ac:dyDescent="0.75">
      <c r="A6870" t="s">
        <v>17713</v>
      </c>
      <c r="B6870" t="s">
        <v>6512</v>
      </c>
      <c r="C6870" t="s">
        <v>6093</v>
      </c>
      <c r="D6870" t="s">
        <v>6513</v>
      </c>
      <c r="E6870" t="s">
        <v>17714</v>
      </c>
      <c r="F6870">
        <v>18</v>
      </c>
      <c r="G6870">
        <v>1894166</v>
      </c>
      <c r="H6870" t="s">
        <v>17715</v>
      </c>
      <c r="J6870" s="54" t="s">
        <v>6052</v>
      </c>
      <c r="K6870" s="54">
        <v>0</v>
      </c>
      <c r="L6870" s="22" t="s">
        <v>104</v>
      </c>
      <c r="M6870" s="22" t="s">
        <v>37324</v>
      </c>
    </row>
    <row r="6871" spans="1:13" x14ac:dyDescent="0.75">
      <c r="A6871" t="s">
        <v>11965</v>
      </c>
      <c r="B6871" t="s">
        <v>6512</v>
      </c>
      <c r="C6871" t="s">
        <v>6093</v>
      </c>
      <c r="D6871" t="s">
        <v>6513</v>
      </c>
      <c r="E6871" t="s">
        <v>11966</v>
      </c>
      <c r="F6871">
        <v>1</v>
      </c>
      <c r="G6871">
        <v>2167922</v>
      </c>
      <c r="H6871" t="s">
        <v>11967</v>
      </c>
      <c r="J6871" s="54" t="s">
        <v>6052</v>
      </c>
      <c r="K6871" s="54">
        <v>0</v>
      </c>
      <c r="L6871" s="22" t="s">
        <v>104</v>
      </c>
      <c r="M6871" s="22" t="s">
        <v>37324</v>
      </c>
    </row>
    <row r="6872" spans="1:13" x14ac:dyDescent="0.75">
      <c r="A6872" t="s">
        <v>14323</v>
      </c>
      <c r="B6872" t="s">
        <v>6512</v>
      </c>
      <c r="C6872" t="s">
        <v>6093</v>
      </c>
      <c r="D6872" t="s">
        <v>6513</v>
      </c>
      <c r="E6872" t="s">
        <v>14324</v>
      </c>
      <c r="F6872">
        <v>25</v>
      </c>
      <c r="G6872">
        <v>1964794</v>
      </c>
      <c r="H6872" t="s">
        <v>14325</v>
      </c>
      <c r="J6872" s="54" t="s">
        <v>6052</v>
      </c>
      <c r="K6872" s="54">
        <v>0</v>
      </c>
      <c r="L6872" s="22" t="s">
        <v>104</v>
      </c>
      <c r="M6872" s="22" t="s">
        <v>37324</v>
      </c>
    </row>
    <row r="6873" spans="1:13" x14ac:dyDescent="0.75">
      <c r="A6873" t="s">
        <v>14378</v>
      </c>
      <c r="B6873" t="s">
        <v>6512</v>
      </c>
      <c r="C6873" t="s">
        <v>6093</v>
      </c>
      <c r="D6873" t="s">
        <v>6513</v>
      </c>
      <c r="E6873" t="s">
        <v>14379</v>
      </c>
      <c r="F6873">
        <v>31</v>
      </c>
      <c r="G6873">
        <v>1960083</v>
      </c>
      <c r="H6873" t="s">
        <v>14380</v>
      </c>
      <c r="J6873" s="54" t="s">
        <v>6052</v>
      </c>
      <c r="K6873" s="54">
        <v>0</v>
      </c>
      <c r="L6873" s="22" t="s">
        <v>104</v>
      </c>
      <c r="M6873" s="22" t="s">
        <v>37324</v>
      </c>
    </row>
    <row r="6874" spans="1:13" x14ac:dyDescent="0.75">
      <c r="A6874" t="s">
        <v>25842</v>
      </c>
      <c r="B6874" t="s">
        <v>6512</v>
      </c>
      <c r="C6874" t="s">
        <v>6093</v>
      </c>
      <c r="D6874" t="s">
        <v>6513</v>
      </c>
      <c r="E6874" t="s">
        <v>25843</v>
      </c>
      <c r="F6874">
        <v>33</v>
      </c>
      <c r="G6874">
        <v>1969270</v>
      </c>
      <c r="H6874" t="s">
        <v>25844</v>
      </c>
      <c r="J6874" s="54" t="s">
        <v>6052</v>
      </c>
      <c r="K6874" s="54">
        <v>0</v>
      </c>
      <c r="L6874" s="22" t="s">
        <v>104</v>
      </c>
      <c r="M6874" s="22" t="s">
        <v>37324</v>
      </c>
    </row>
    <row r="6875" spans="1:13" x14ac:dyDescent="0.75">
      <c r="A6875" t="s">
        <v>14326</v>
      </c>
      <c r="B6875" t="s">
        <v>6512</v>
      </c>
      <c r="C6875" t="s">
        <v>6093</v>
      </c>
      <c r="D6875" t="s">
        <v>6513</v>
      </c>
      <c r="E6875" t="s">
        <v>14327</v>
      </c>
      <c r="F6875">
        <v>27</v>
      </c>
      <c r="G6875">
        <v>2081765</v>
      </c>
      <c r="H6875" t="s">
        <v>14328</v>
      </c>
      <c r="J6875" s="54" t="s">
        <v>6052</v>
      </c>
      <c r="K6875" s="54">
        <v>0</v>
      </c>
      <c r="L6875" s="22" t="s">
        <v>104</v>
      </c>
      <c r="M6875" s="22" t="s">
        <v>37324</v>
      </c>
    </row>
    <row r="6876" spans="1:13" x14ac:dyDescent="0.75">
      <c r="A6876" t="s">
        <v>9122</v>
      </c>
      <c r="B6876" t="s">
        <v>6112</v>
      </c>
      <c r="C6876" t="s">
        <v>6093</v>
      </c>
      <c r="D6876" t="s">
        <v>6113</v>
      </c>
      <c r="E6876">
        <v>21</v>
      </c>
      <c r="F6876">
        <v>120</v>
      </c>
      <c r="G6876">
        <v>1990074</v>
      </c>
      <c r="H6876" t="s">
        <v>9123</v>
      </c>
      <c r="J6876" s="54" t="s">
        <v>6052</v>
      </c>
      <c r="K6876" s="54">
        <v>0</v>
      </c>
      <c r="L6876" s="22" t="s">
        <v>104</v>
      </c>
      <c r="M6876" s="22" t="s">
        <v>37307</v>
      </c>
    </row>
    <row r="6877" spans="1:13" x14ac:dyDescent="0.75">
      <c r="A6877" t="s">
        <v>9214</v>
      </c>
      <c r="B6877" t="s">
        <v>6112</v>
      </c>
      <c r="C6877" t="s">
        <v>6093</v>
      </c>
      <c r="D6877" t="s">
        <v>6113</v>
      </c>
      <c r="E6877">
        <v>24</v>
      </c>
      <c r="F6877">
        <v>119</v>
      </c>
      <c r="G6877">
        <v>2013675</v>
      </c>
      <c r="H6877" t="s">
        <v>9215</v>
      </c>
      <c r="J6877" s="54" t="s">
        <v>6052</v>
      </c>
      <c r="K6877" s="54">
        <v>0</v>
      </c>
      <c r="L6877" s="22" t="s">
        <v>104</v>
      </c>
      <c r="M6877" s="22" t="s">
        <v>37307</v>
      </c>
    </row>
    <row r="6878" spans="1:13" x14ac:dyDescent="0.75">
      <c r="A6878" t="s">
        <v>16973</v>
      </c>
      <c r="B6878" t="s">
        <v>6112</v>
      </c>
      <c r="C6878" t="s">
        <v>6093</v>
      </c>
      <c r="D6878" t="s">
        <v>6113</v>
      </c>
      <c r="E6878">
        <v>35</v>
      </c>
      <c r="F6878">
        <v>39</v>
      </c>
      <c r="G6878">
        <v>1929542</v>
      </c>
      <c r="H6878" t="s">
        <v>16974</v>
      </c>
      <c r="J6878" s="54" t="s">
        <v>6052</v>
      </c>
      <c r="K6878" s="54">
        <v>0</v>
      </c>
      <c r="L6878" s="22" t="s">
        <v>104</v>
      </c>
      <c r="M6878" s="22" t="s">
        <v>37307</v>
      </c>
    </row>
    <row r="6879" spans="1:13" x14ac:dyDescent="0.75">
      <c r="A6879" t="s">
        <v>19868</v>
      </c>
      <c r="B6879" t="s">
        <v>6112</v>
      </c>
      <c r="C6879" t="s">
        <v>6093</v>
      </c>
      <c r="D6879" t="s">
        <v>6113</v>
      </c>
      <c r="E6879" t="s">
        <v>19869</v>
      </c>
      <c r="F6879">
        <v>33</v>
      </c>
      <c r="G6879">
        <v>2005180</v>
      </c>
      <c r="H6879" t="s">
        <v>19870</v>
      </c>
      <c r="J6879" s="54" t="s">
        <v>6052</v>
      </c>
      <c r="K6879" s="54">
        <v>0</v>
      </c>
      <c r="L6879" s="22" t="s">
        <v>104</v>
      </c>
      <c r="M6879" s="22" t="s">
        <v>37307</v>
      </c>
    </row>
    <row r="6880" spans="1:13" x14ac:dyDescent="0.75">
      <c r="A6880" t="s">
        <v>24797</v>
      </c>
      <c r="B6880" t="s">
        <v>6112</v>
      </c>
      <c r="C6880" t="s">
        <v>6093</v>
      </c>
      <c r="D6880" t="s">
        <v>6113</v>
      </c>
      <c r="E6880" t="s">
        <v>24798</v>
      </c>
      <c r="F6880">
        <v>30</v>
      </c>
      <c r="G6880">
        <v>1997461</v>
      </c>
      <c r="H6880" t="s">
        <v>24799</v>
      </c>
      <c r="J6880" s="54" t="s">
        <v>6052</v>
      </c>
      <c r="K6880" s="54">
        <v>0</v>
      </c>
      <c r="L6880" s="22" t="s">
        <v>104</v>
      </c>
      <c r="M6880" s="22" t="s">
        <v>37307</v>
      </c>
    </row>
    <row r="6881" spans="1:13" x14ac:dyDescent="0.75">
      <c r="A6881" t="s">
        <v>24821</v>
      </c>
      <c r="B6881" t="s">
        <v>6112</v>
      </c>
      <c r="C6881" t="s">
        <v>6093</v>
      </c>
      <c r="D6881" t="s">
        <v>6113</v>
      </c>
      <c r="E6881" t="s">
        <v>24822</v>
      </c>
      <c r="F6881">
        <v>32</v>
      </c>
      <c r="G6881">
        <v>2001244</v>
      </c>
      <c r="H6881" t="s">
        <v>24823</v>
      </c>
      <c r="J6881" s="54" t="s">
        <v>6052</v>
      </c>
      <c r="K6881" s="54">
        <v>0</v>
      </c>
      <c r="L6881" s="22" t="s">
        <v>104</v>
      </c>
      <c r="M6881" s="22" t="s">
        <v>37307</v>
      </c>
    </row>
    <row r="6882" spans="1:13" x14ac:dyDescent="0.75">
      <c r="A6882" t="s">
        <v>24818</v>
      </c>
      <c r="B6882" t="s">
        <v>6112</v>
      </c>
      <c r="C6882" t="s">
        <v>6093</v>
      </c>
      <c r="D6882" t="s">
        <v>6113</v>
      </c>
      <c r="E6882" t="s">
        <v>24819</v>
      </c>
      <c r="F6882">
        <v>25</v>
      </c>
      <c r="G6882">
        <v>1990771</v>
      </c>
      <c r="H6882" t="s">
        <v>24820</v>
      </c>
      <c r="J6882" s="54" t="s">
        <v>6052</v>
      </c>
      <c r="K6882" s="54">
        <v>0</v>
      </c>
      <c r="L6882" s="22" t="s">
        <v>104</v>
      </c>
      <c r="M6882" s="22" t="s">
        <v>37307</v>
      </c>
    </row>
    <row r="6883" spans="1:13" x14ac:dyDescent="0.75">
      <c r="A6883" t="s">
        <v>24815</v>
      </c>
      <c r="B6883" t="s">
        <v>6112</v>
      </c>
      <c r="C6883" t="s">
        <v>6093</v>
      </c>
      <c r="D6883" t="s">
        <v>6113</v>
      </c>
      <c r="E6883" t="s">
        <v>24816</v>
      </c>
      <c r="F6883">
        <v>24</v>
      </c>
      <c r="G6883">
        <v>1991487</v>
      </c>
      <c r="H6883" t="s">
        <v>24817</v>
      </c>
      <c r="J6883" s="54" t="s">
        <v>6052</v>
      </c>
      <c r="K6883" s="54">
        <v>0</v>
      </c>
      <c r="L6883" s="22" t="s">
        <v>104</v>
      </c>
      <c r="M6883" s="22" t="s">
        <v>37307</v>
      </c>
    </row>
    <row r="6884" spans="1:13" x14ac:dyDescent="0.75">
      <c r="A6884" t="s">
        <v>19859</v>
      </c>
      <c r="B6884" t="s">
        <v>6112</v>
      </c>
      <c r="C6884" t="s">
        <v>6093</v>
      </c>
      <c r="D6884" t="s">
        <v>6113</v>
      </c>
      <c r="E6884" t="s">
        <v>19860</v>
      </c>
      <c r="F6884">
        <v>25</v>
      </c>
      <c r="G6884">
        <v>2017397</v>
      </c>
      <c r="H6884" t="s">
        <v>19861</v>
      </c>
      <c r="J6884" s="54" t="s">
        <v>6052</v>
      </c>
      <c r="K6884" s="54">
        <v>0</v>
      </c>
      <c r="L6884" s="22" t="s">
        <v>104</v>
      </c>
      <c r="M6884" s="22" t="s">
        <v>37307</v>
      </c>
    </row>
    <row r="6885" spans="1:13" x14ac:dyDescent="0.75">
      <c r="A6885" t="s">
        <v>24812</v>
      </c>
      <c r="B6885" t="s">
        <v>6112</v>
      </c>
      <c r="C6885" t="s">
        <v>6093</v>
      </c>
      <c r="D6885" t="s">
        <v>6113</v>
      </c>
      <c r="E6885" t="s">
        <v>24813</v>
      </c>
      <c r="F6885">
        <v>183</v>
      </c>
      <c r="G6885">
        <v>1973213</v>
      </c>
      <c r="H6885" t="s">
        <v>24814</v>
      </c>
      <c r="J6885" s="54" t="s">
        <v>6052</v>
      </c>
      <c r="K6885" s="54">
        <v>0</v>
      </c>
      <c r="L6885" s="22" t="s">
        <v>104</v>
      </c>
      <c r="M6885" s="22" t="s">
        <v>37307</v>
      </c>
    </row>
    <row r="6886" spans="1:13" x14ac:dyDescent="0.75">
      <c r="A6886" t="s">
        <v>19786</v>
      </c>
      <c r="B6886" t="s">
        <v>6112</v>
      </c>
      <c r="C6886" t="s">
        <v>6093</v>
      </c>
      <c r="D6886" t="s">
        <v>6113</v>
      </c>
      <c r="E6886" t="s">
        <v>19787</v>
      </c>
      <c r="F6886">
        <v>31</v>
      </c>
      <c r="G6886">
        <v>1990200</v>
      </c>
      <c r="H6886" t="s">
        <v>19788</v>
      </c>
      <c r="J6886" s="54" t="s">
        <v>6052</v>
      </c>
      <c r="K6886" s="54">
        <v>0</v>
      </c>
      <c r="L6886" s="22" t="s">
        <v>104</v>
      </c>
      <c r="M6886" s="22" t="s">
        <v>37307</v>
      </c>
    </row>
    <row r="6887" spans="1:13" x14ac:dyDescent="0.75">
      <c r="A6887" t="s">
        <v>11226</v>
      </c>
      <c r="B6887" t="s">
        <v>6112</v>
      </c>
      <c r="C6887" t="s">
        <v>6093</v>
      </c>
      <c r="D6887" t="s">
        <v>6113</v>
      </c>
      <c r="E6887" t="s">
        <v>11227</v>
      </c>
      <c r="F6887">
        <v>49</v>
      </c>
      <c r="G6887">
        <v>2035965</v>
      </c>
      <c r="H6887" t="s">
        <v>11228</v>
      </c>
      <c r="J6887" s="54" t="s">
        <v>6052</v>
      </c>
      <c r="K6887" s="54">
        <v>0</v>
      </c>
      <c r="L6887" s="22" t="s">
        <v>104</v>
      </c>
      <c r="M6887" s="22" t="s">
        <v>37307</v>
      </c>
    </row>
    <row r="6888" spans="1:13" x14ac:dyDescent="0.75">
      <c r="A6888" t="s">
        <v>11208</v>
      </c>
      <c r="B6888" t="s">
        <v>6112</v>
      </c>
      <c r="C6888" t="s">
        <v>6093</v>
      </c>
      <c r="D6888" t="s">
        <v>6113</v>
      </c>
      <c r="E6888" t="s">
        <v>11209</v>
      </c>
      <c r="F6888">
        <v>62</v>
      </c>
      <c r="G6888">
        <v>2026153</v>
      </c>
      <c r="H6888" t="s">
        <v>11210</v>
      </c>
      <c r="J6888" s="54" t="s">
        <v>6052</v>
      </c>
      <c r="K6888" s="54">
        <v>0</v>
      </c>
      <c r="L6888" s="22" t="s">
        <v>104</v>
      </c>
      <c r="M6888" s="22" t="s">
        <v>37307</v>
      </c>
    </row>
    <row r="6889" spans="1:13" x14ac:dyDescent="0.75">
      <c r="A6889" t="s">
        <v>9145</v>
      </c>
      <c r="B6889" t="s">
        <v>6112</v>
      </c>
      <c r="C6889" t="s">
        <v>6093</v>
      </c>
      <c r="D6889" t="s">
        <v>6113</v>
      </c>
      <c r="E6889" t="s">
        <v>9146</v>
      </c>
      <c r="F6889">
        <v>111</v>
      </c>
      <c r="G6889">
        <v>1921647</v>
      </c>
      <c r="H6889" t="s">
        <v>9147</v>
      </c>
      <c r="J6889" s="54" t="s">
        <v>6052</v>
      </c>
      <c r="K6889" s="54">
        <v>0</v>
      </c>
      <c r="L6889" s="22" t="s">
        <v>104</v>
      </c>
      <c r="M6889" s="22" t="s">
        <v>37307</v>
      </c>
    </row>
    <row r="6890" spans="1:13" x14ac:dyDescent="0.75">
      <c r="A6890" t="s">
        <v>9148</v>
      </c>
      <c r="B6890" t="s">
        <v>6112</v>
      </c>
      <c r="C6890" t="s">
        <v>6093</v>
      </c>
      <c r="D6890" t="s">
        <v>6113</v>
      </c>
      <c r="E6890" t="s">
        <v>9149</v>
      </c>
      <c r="F6890">
        <v>105</v>
      </c>
      <c r="G6890">
        <v>1969615</v>
      </c>
      <c r="H6890" t="s">
        <v>9150</v>
      </c>
      <c r="J6890" s="54" t="s">
        <v>6052</v>
      </c>
      <c r="K6890" s="54">
        <v>0</v>
      </c>
      <c r="L6890" s="22" t="s">
        <v>104</v>
      </c>
      <c r="M6890" s="22" t="s">
        <v>37307</v>
      </c>
    </row>
    <row r="6891" spans="1:13" x14ac:dyDescent="0.75">
      <c r="A6891" t="s">
        <v>9080</v>
      </c>
      <c r="B6891" t="s">
        <v>6112</v>
      </c>
      <c r="C6891" t="s">
        <v>6093</v>
      </c>
      <c r="D6891" t="s">
        <v>6113</v>
      </c>
      <c r="E6891" t="s">
        <v>9081</v>
      </c>
      <c r="F6891">
        <v>155</v>
      </c>
      <c r="G6891">
        <v>1861960</v>
      </c>
      <c r="H6891" t="s">
        <v>9082</v>
      </c>
      <c r="J6891" s="54" t="s">
        <v>6052</v>
      </c>
      <c r="K6891" s="54">
        <v>0</v>
      </c>
      <c r="L6891" s="22" t="s">
        <v>104</v>
      </c>
      <c r="M6891" s="22" t="s">
        <v>37307</v>
      </c>
    </row>
    <row r="6892" spans="1:13" x14ac:dyDescent="0.75">
      <c r="A6892" t="s">
        <v>9119</v>
      </c>
      <c r="B6892" t="s">
        <v>6112</v>
      </c>
      <c r="C6892" t="s">
        <v>6093</v>
      </c>
      <c r="D6892" t="s">
        <v>6113</v>
      </c>
      <c r="E6892" t="s">
        <v>9120</v>
      </c>
      <c r="F6892">
        <v>102</v>
      </c>
      <c r="G6892">
        <v>1969096</v>
      </c>
      <c r="H6892" t="s">
        <v>9121</v>
      </c>
      <c r="J6892" s="54" t="s">
        <v>6052</v>
      </c>
      <c r="K6892" s="54">
        <v>0</v>
      </c>
      <c r="L6892" s="22" t="s">
        <v>104</v>
      </c>
      <c r="M6892" s="22" t="s">
        <v>37307</v>
      </c>
    </row>
    <row r="6893" spans="1:13" x14ac:dyDescent="0.75">
      <c r="A6893" t="s">
        <v>9065</v>
      </c>
      <c r="B6893" t="s">
        <v>6112</v>
      </c>
      <c r="C6893" t="s">
        <v>6093</v>
      </c>
      <c r="D6893" t="s">
        <v>6113</v>
      </c>
      <c r="E6893" t="s">
        <v>9066</v>
      </c>
      <c r="F6893">
        <v>87</v>
      </c>
      <c r="G6893">
        <v>1932974</v>
      </c>
      <c r="H6893" t="s">
        <v>9067</v>
      </c>
      <c r="J6893" s="54" t="s">
        <v>6052</v>
      </c>
      <c r="K6893" s="54">
        <v>0</v>
      </c>
      <c r="L6893" s="22" t="s">
        <v>104</v>
      </c>
      <c r="M6893" s="22" t="s">
        <v>37307</v>
      </c>
    </row>
    <row r="6894" spans="1:13" x14ac:dyDescent="0.75">
      <c r="A6894" t="s">
        <v>9077</v>
      </c>
      <c r="B6894" t="s">
        <v>6112</v>
      </c>
      <c r="C6894" t="s">
        <v>6093</v>
      </c>
      <c r="D6894" t="s">
        <v>6113</v>
      </c>
      <c r="E6894" t="s">
        <v>9078</v>
      </c>
      <c r="F6894">
        <v>117</v>
      </c>
      <c r="G6894">
        <v>2021665</v>
      </c>
      <c r="H6894" t="s">
        <v>9079</v>
      </c>
      <c r="J6894" s="54" t="s">
        <v>6052</v>
      </c>
      <c r="K6894" s="54">
        <v>0</v>
      </c>
      <c r="L6894" s="22" t="s">
        <v>104</v>
      </c>
      <c r="M6894" s="22" t="s">
        <v>37307</v>
      </c>
    </row>
    <row r="6895" spans="1:13" x14ac:dyDescent="0.75">
      <c r="A6895" t="s">
        <v>9205</v>
      </c>
      <c r="B6895" t="s">
        <v>6112</v>
      </c>
      <c r="C6895" t="s">
        <v>6093</v>
      </c>
      <c r="D6895" t="s">
        <v>6113</v>
      </c>
      <c r="E6895" t="s">
        <v>9206</v>
      </c>
      <c r="F6895">
        <v>90</v>
      </c>
      <c r="G6895">
        <v>1872370</v>
      </c>
      <c r="H6895" t="s">
        <v>9207</v>
      </c>
      <c r="J6895" s="54" t="s">
        <v>6052</v>
      </c>
      <c r="K6895" s="54">
        <v>0</v>
      </c>
      <c r="L6895" s="22" t="s">
        <v>104</v>
      </c>
      <c r="M6895" s="22" t="s">
        <v>37307</v>
      </c>
    </row>
    <row r="6896" spans="1:13" x14ac:dyDescent="0.75">
      <c r="A6896" t="s">
        <v>9139</v>
      </c>
      <c r="B6896" t="s">
        <v>6112</v>
      </c>
      <c r="C6896" t="s">
        <v>6093</v>
      </c>
      <c r="D6896" t="s">
        <v>6113</v>
      </c>
      <c r="E6896" t="s">
        <v>9140</v>
      </c>
      <c r="F6896">
        <v>102</v>
      </c>
      <c r="G6896">
        <v>2068485</v>
      </c>
      <c r="H6896" t="s">
        <v>9141</v>
      </c>
      <c r="J6896" s="54" t="s">
        <v>6052</v>
      </c>
      <c r="K6896" s="54">
        <v>0</v>
      </c>
      <c r="L6896" s="22" t="s">
        <v>104</v>
      </c>
      <c r="M6896" s="22" t="s">
        <v>37307</v>
      </c>
    </row>
    <row r="6897" spans="1:13" x14ac:dyDescent="0.75">
      <c r="A6897" t="s">
        <v>19039</v>
      </c>
      <c r="B6897" t="s">
        <v>6112</v>
      </c>
      <c r="C6897" t="s">
        <v>6093</v>
      </c>
      <c r="D6897" t="s">
        <v>6113</v>
      </c>
      <c r="E6897" t="s">
        <v>19040</v>
      </c>
      <c r="F6897">
        <v>1</v>
      </c>
      <c r="G6897">
        <v>1978522</v>
      </c>
      <c r="H6897" t="s">
        <v>19041</v>
      </c>
      <c r="J6897" s="54" t="s">
        <v>6052</v>
      </c>
      <c r="K6897" s="54">
        <v>0</v>
      </c>
      <c r="L6897" s="22" t="s">
        <v>104</v>
      </c>
      <c r="M6897" s="22" t="s">
        <v>37307</v>
      </c>
    </row>
    <row r="6898" spans="1:13" x14ac:dyDescent="0.75">
      <c r="A6898" t="s">
        <v>9071</v>
      </c>
      <c r="B6898" t="s">
        <v>6112</v>
      </c>
      <c r="C6898" t="s">
        <v>6093</v>
      </c>
      <c r="D6898" t="s">
        <v>6113</v>
      </c>
      <c r="E6898" t="s">
        <v>9072</v>
      </c>
      <c r="F6898">
        <v>111</v>
      </c>
      <c r="G6898">
        <v>1965562</v>
      </c>
      <c r="H6898" t="s">
        <v>9073</v>
      </c>
      <c r="J6898" s="54" t="s">
        <v>6052</v>
      </c>
      <c r="K6898" s="54">
        <v>0</v>
      </c>
      <c r="L6898" s="22" t="s">
        <v>104</v>
      </c>
      <c r="M6898" s="22" t="s">
        <v>37307</v>
      </c>
    </row>
    <row r="6899" spans="1:13" x14ac:dyDescent="0.75">
      <c r="A6899" t="s">
        <v>9151</v>
      </c>
      <c r="B6899" t="s">
        <v>6112</v>
      </c>
      <c r="C6899" t="s">
        <v>6093</v>
      </c>
      <c r="D6899" t="s">
        <v>6113</v>
      </c>
      <c r="E6899" t="s">
        <v>9152</v>
      </c>
      <c r="F6899">
        <v>98</v>
      </c>
      <c r="G6899">
        <v>1970005</v>
      </c>
      <c r="H6899" t="s">
        <v>9153</v>
      </c>
      <c r="J6899" s="54" t="s">
        <v>6052</v>
      </c>
      <c r="K6899" s="54">
        <v>0</v>
      </c>
      <c r="L6899" s="22" t="s">
        <v>104</v>
      </c>
      <c r="M6899" s="22" t="s">
        <v>37307</v>
      </c>
    </row>
    <row r="6900" spans="1:13" x14ac:dyDescent="0.75">
      <c r="A6900" t="s">
        <v>9142</v>
      </c>
      <c r="B6900" t="s">
        <v>6112</v>
      </c>
      <c r="C6900" t="s">
        <v>6093</v>
      </c>
      <c r="D6900" t="s">
        <v>6113</v>
      </c>
      <c r="E6900" t="s">
        <v>9143</v>
      </c>
      <c r="F6900">
        <v>142</v>
      </c>
      <c r="G6900">
        <v>2034346</v>
      </c>
      <c r="H6900" t="s">
        <v>9144</v>
      </c>
      <c r="J6900" s="54" t="s">
        <v>6052</v>
      </c>
      <c r="K6900" s="54">
        <v>0</v>
      </c>
      <c r="L6900" s="22" t="s">
        <v>104</v>
      </c>
      <c r="M6900" s="22" t="s">
        <v>37307</v>
      </c>
    </row>
    <row r="6901" spans="1:13" x14ac:dyDescent="0.75">
      <c r="A6901" t="s">
        <v>9068</v>
      </c>
      <c r="B6901" t="s">
        <v>6112</v>
      </c>
      <c r="C6901" t="s">
        <v>6093</v>
      </c>
      <c r="D6901" t="s">
        <v>6113</v>
      </c>
      <c r="E6901" t="s">
        <v>9069</v>
      </c>
      <c r="F6901">
        <v>97</v>
      </c>
      <c r="G6901">
        <v>2005341</v>
      </c>
      <c r="H6901" t="s">
        <v>9070</v>
      </c>
      <c r="J6901" s="54" t="s">
        <v>6052</v>
      </c>
      <c r="K6901" s="54">
        <v>0</v>
      </c>
      <c r="L6901" s="22" t="s">
        <v>104</v>
      </c>
      <c r="M6901" s="22" t="s">
        <v>37307</v>
      </c>
    </row>
    <row r="6902" spans="1:13" x14ac:dyDescent="0.75">
      <c r="A6902" t="s">
        <v>9074</v>
      </c>
      <c r="B6902" t="s">
        <v>6112</v>
      </c>
      <c r="C6902" t="s">
        <v>6093</v>
      </c>
      <c r="D6902" t="s">
        <v>6113</v>
      </c>
      <c r="E6902" t="s">
        <v>9075</v>
      </c>
      <c r="F6902">
        <v>127</v>
      </c>
      <c r="G6902">
        <v>2008731</v>
      </c>
      <c r="H6902" t="s">
        <v>9076</v>
      </c>
      <c r="J6902" s="54" t="s">
        <v>6052</v>
      </c>
      <c r="K6902" s="54">
        <v>0</v>
      </c>
      <c r="L6902" s="22" t="s">
        <v>104</v>
      </c>
      <c r="M6902" s="22" t="s">
        <v>37307</v>
      </c>
    </row>
    <row r="6903" spans="1:13" x14ac:dyDescent="0.75">
      <c r="A6903" t="s">
        <v>11282</v>
      </c>
      <c r="B6903" t="s">
        <v>6112</v>
      </c>
      <c r="C6903" t="s">
        <v>6093</v>
      </c>
      <c r="D6903" t="s">
        <v>6113</v>
      </c>
      <c r="E6903" t="s">
        <v>11283</v>
      </c>
      <c r="F6903">
        <v>32</v>
      </c>
      <c r="G6903">
        <v>2007546</v>
      </c>
      <c r="H6903" t="s">
        <v>11284</v>
      </c>
      <c r="J6903" s="54" t="s">
        <v>6052</v>
      </c>
      <c r="K6903" s="54">
        <v>0</v>
      </c>
      <c r="L6903" s="22" t="s">
        <v>104</v>
      </c>
      <c r="M6903" s="22" t="s">
        <v>37307</v>
      </c>
    </row>
    <row r="6904" spans="1:13" x14ac:dyDescent="0.75">
      <c r="A6904" t="s">
        <v>9251</v>
      </c>
      <c r="B6904" t="s">
        <v>6112</v>
      </c>
      <c r="C6904" t="s">
        <v>6093</v>
      </c>
      <c r="D6904" t="s">
        <v>6113</v>
      </c>
      <c r="E6904" t="s">
        <v>9252</v>
      </c>
      <c r="F6904">
        <v>9</v>
      </c>
      <c r="G6904">
        <v>2010949</v>
      </c>
      <c r="H6904" t="s">
        <v>9253</v>
      </c>
      <c r="J6904" s="54" t="s">
        <v>6052</v>
      </c>
      <c r="K6904" s="54">
        <v>0</v>
      </c>
      <c r="L6904" s="22" t="s">
        <v>104</v>
      </c>
      <c r="M6904" s="22" t="s">
        <v>37307</v>
      </c>
    </row>
    <row r="6905" spans="1:13" x14ac:dyDescent="0.75">
      <c r="A6905" t="s">
        <v>13311</v>
      </c>
      <c r="B6905" t="s">
        <v>8899</v>
      </c>
      <c r="C6905" t="s">
        <v>6093</v>
      </c>
      <c r="D6905" t="s">
        <v>8900</v>
      </c>
      <c r="E6905" t="s">
        <v>13312</v>
      </c>
      <c r="F6905">
        <v>48</v>
      </c>
      <c r="G6905">
        <v>1863165</v>
      </c>
      <c r="H6905" t="s">
        <v>13313</v>
      </c>
      <c r="J6905" s="54" t="s">
        <v>6052</v>
      </c>
      <c r="K6905" s="54">
        <v>0</v>
      </c>
      <c r="L6905" s="22" t="s">
        <v>36804</v>
      </c>
      <c r="M6905" s="22" t="s">
        <v>37326</v>
      </c>
    </row>
    <row r="6906" spans="1:13" x14ac:dyDescent="0.75">
      <c r="A6906" t="s">
        <v>16496</v>
      </c>
      <c r="B6906" t="s">
        <v>8899</v>
      </c>
      <c r="C6906" t="s">
        <v>6093</v>
      </c>
      <c r="D6906" t="s">
        <v>8900</v>
      </c>
      <c r="E6906" t="s">
        <v>13312</v>
      </c>
      <c r="F6906">
        <v>1</v>
      </c>
      <c r="G6906">
        <v>1914862</v>
      </c>
      <c r="H6906" t="s">
        <v>16497</v>
      </c>
      <c r="J6906" s="54" t="s">
        <v>6052</v>
      </c>
      <c r="K6906" s="54">
        <v>0</v>
      </c>
      <c r="L6906" s="22" t="s">
        <v>36804</v>
      </c>
      <c r="M6906" s="22" t="s">
        <v>37326</v>
      </c>
    </row>
    <row r="6907" spans="1:13" x14ac:dyDescent="0.75">
      <c r="A6907" t="s">
        <v>9083</v>
      </c>
      <c r="B6907" t="s">
        <v>6112</v>
      </c>
      <c r="C6907" t="s">
        <v>6093</v>
      </c>
      <c r="D6907" t="s">
        <v>6113</v>
      </c>
      <c r="E6907" t="s">
        <v>9084</v>
      </c>
      <c r="F6907">
        <v>86</v>
      </c>
      <c r="G6907">
        <v>1943643</v>
      </c>
      <c r="H6907" t="s">
        <v>9085</v>
      </c>
      <c r="J6907" s="54" t="s">
        <v>6052</v>
      </c>
      <c r="K6907" s="54">
        <v>0</v>
      </c>
      <c r="L6907" s="22" t="s">
        <v>104</v>
      </c>
      <c r="M6907" s="22" t="s">
        <v>37307</v>
      </c>
    </row>
    <row r="6908" spans="1:13" x14ac:dyDescent="0.75">
      <c r="A6908" t="s">
        <v>9208</v>
      </c>
      <c r="B6908" t="s">
        <v>6112</v>
      </c>
      <c r="C6908" t="s">
        <v>6093</v>
      </c>
      <c r="D6908" t="s">
        <v>6113</v>
      </c>
      <c r="E6908" t="s">
        <v>9209</v>
      </c>
      <c r="F6908">
        <v>113</v>
      </c>
      <c r="G6908">
        <v>1953006</v>
      </c>
      <c r="H6908" t="s">
        <v>9210</v>
      </c>
      <c r="J6908" s="54" t="s">
        <v>6052</v>
      </c>
      <c r="K6908" s="54">
        <v>0</v>
      </c>
      <c r="L6908" s="22" t="s">
        <v>104</v>
      </c>
      <c r="M6908" s="22" t="s">
        <v>37307</v>
      </c>
    </row>
    <row r="6909" spans="1:13" x14ac:dyDescent="0.75">
      <c r="A6909" t="s">
        <v>9130</v>
      </c>
      <c r="B6909" t="s">
        <v>6112</v>
      </c>
      <c r="C6909" t="s">
        <v>6093</v>
      </c>
      <c r="D6909" t="s">
        <v>6113</v>
      </c>
      <c r="E6909" t="s">
        <v>9131</v>
      </c>
      <c r="F6909">
        <v>100</v>
      </c>
      <c r="G6909">
        <v>1908740</v>
      </c>
      <c r="H6909" t="s">
        <v>9132</v>
      </c>
      <c r="J6909" s="54" t="s">
        <v>6052</v>
      </c>
      <c r="K6909" s="54">
        <v>0</v>
      </c>
      <c r="L6909" s="22" t="s">
        <v>104</v>
      </c>
      <c r="M6909" s="22" t="s">
        <v>37307</v>
      </c>
    </row>
    <row r="6910" spans="1:13" x14ac:dyDescent="0.75">
      <c r="A6910" t="s">
        <v>24455</v>
      </c>
      <c r="B6910" t="s">
        <v>6112</v>
      </c>
      <c r="C6910" t="s">
        <v>6093</v>
      </c>
      <c r="D6910" t="s">
        <v>6113</v>
      </c>
      <c r="E6910" t="s">
        <v>24456</v>
      </c>
      <c r="F6910">
        <v>18</v>
      </c>
      <c r="G6910">
        <v>1976904</v>
      </c>
      <c r="H6910" t="s">
        <v>24457</v>
      </c>
      <c r="J6910" s="54" t="s">
        <v>6052</v>
      </c>
      <c r="K6910" s="54">
        <v>0</v>
      </c>
      <c r="L6910" s="22" t="s">
        <v>104</v>
      </c>
      <c r="M6910" s="22" t="s">
        <v>37307</v>
      </c>
    </row>
    <row r="6911" spans="1:13" x14ac:dyDescent="0.75">
      <c r="A6911" t="s">
        <v>24449</v>
      </c>
      <c r="B6911" t="s">
        <v>6112</v>
      </c>
      <c r="C6911" t="s">
        <v>6093</v>
      </c>
      <c r="D6911" t="s">
        <v>6113</v>
      </c>
      <c r="E6911" t="s">
        <v>24450</v>
      </c>
      <c r="F6911">
        <v>15</v>
      </c>
      <c r="G6911">
        <v>1976909</v>
      </c>
      <c r="H6911" t="s">
        <v>24451</v>
      </c>
      <c r="J6911" s="54" t="s">
        <v>6052</v>
      </c>
      <c r="K6911" s="54">
        <v>0</v>
      </c>
      <c r="L6911" s="22" t="s">
        <v>104</v>
      </c>
      <c r="M6911" s="22" t="s">
        <v>37307</v>
      </c>
    </row>
    <row r="6912" spans="1:13" x14ac:dyDescent="0.75">
      <c r="A6912" t="s">
        <v>24446</v>
      </c>
      <c r="B6912" t="s">
        <v>6112</v>
      </c>
      <c r="C6912" t="s">
        <v>6093</v>
      </c>
      <c r="D6912" t="s">
        <v>6113</v>
      </c>
      <c r="E6912" t="s">
        <v>24447</v>
      </c>
      <c r="F6912">
        <v>19</v>
      </c>
      <c r="G6912">
        <v>1951390</v>
      </c>
      <c r="H6912" t="s">
        <v>24448</v>
      </c>
      <c r="J6912" s="54" t="s">
        <v>6052</v>
      </c>
      <c r="K6912" s="54">
        <v>0</v>
      </c>
      <c r="L6912" s="22" t="s">
        <v>104</v>
      </c>
      <c r="M6912" s="22" t="s">
        <v>37307</v>
      </c>
    </row>
    <row r="6913" spans="1:13" x14ac:dyDescent="0.75">
      <c r="A6913" t="s">
        <v>24443</v>
      </c>
      <c r="B6913" t="s">
        <v>6112</v>
      </c>
      <c r="C6913" t="s">
        <v>6093</v>
      </c>
      <c r="D6913" t="s">
        <v>6113</v>
      </c>
      <c r="E6913" t="s">
        <v>24444</v>
      </c>
      <c r="F6913">
        <v>15</v>
      </c>
      <c r="G6913">
        <v>1973508</v>
      </c>
      <c r="H6913" t="s">
        <v>24445</v>
      </c>
      <c r="J6913" s="54" t="s">
        <v>6052</v>
      </c>
      <c r="K6913" s="54">
        <v>0</v>
      </c>
      <c r="L6913" s="22" t="s">
        <v>104</v>
      </c>
      <c r="M6913" s="22" t="s">
        <v>37307</v>
      </c>
    </row>
    <row r="6914" spans="1:13" x14ac:dyDescent="0.75">
      <c r="A6914" t="s">
        <v>9157</v>
      </c>
      <c r="B6914" t="s">
        <v>6112</v>
      </c>
      <c r="C6914" t="s">
        <v>6093</v>
      </c>
      <c r="D6914" t="s">
        <v>6113</v>
      </c>
      <c r="E6914" t="s">
        <v>9158</v>
      </c>
      <c r="F6914">
        <v>108</v>
      </c>
      <c r="G6914">
        <v>1984020</v>
      </c>
      <c r="H6914" t="s">
        <v>9159</v>
      </c>
      <c r="J6914" s="54" t="s">
        <v>6052</v>
      </c>
      <c r="K6914" s="54">
        <v>0</v>
      </c>
      <c r="L6914" s="22" t="s">
        <v>104</v>
      </c>
      <c r="M6914" s="22" t="s">
        <v>37307</v>
      </c>
    </row>
    <row r="6915" spans="1:13" x14ac:dyDescent="0.75">
      <c r="A6915" t="s">
        <v>9089</v>
      </c>
      <c r="B6915" t="s">
        <v>6112</v>
      </c>
      <c r="C6915" t="s">
        <v>6093</v>
      </c>
      <c r="D6915" t="s">
        <v>6113</v>
      </c>
      <c r="E6915" t="s">
        <v>9090</v>
      </c>
      <c r="F6915">
        <v>105</v>
      </c>
      <c r="G6915">
        <v>1868494</v>
      </c>
      <c r="H6915" t="s">
        <v>9091</v>
      </c>
      <c r="J6915" s="54" t="s">
        <v>6052</v>
      </c>
      <c r="K6915" s="54">
        <v>0</v>
      </c>
      <c r="L6915" s="22" t="s">
        <v>104</v>
      </c>
      <c r="M6915" s="22" t="s">
        <v>37307</v>
      </c>
    </row>
    <row r="6916" spans="1:13" x14ac:dyDescent="0.75">
      <c r="A6916" t="s">
        <v>9260</v>
      </c>
      <c r="B6916" t="s">
        <v>6112</v>
      </c>
      <c r="C6916" t="s">
        <v>6093</v>
      </c>
      <c r="D6916" t="s">
        <v>6113</v>
      </c>
      <c r="E6916" t="s">
        <v>9261</v>
      </c>
      <c r="F6916">
        <v>42</v>
      </c>
      <c r="G6916">
        <v>2003697</v>
      </c>
      <c r="H6916" t="s">
        <v>9262</v>
      </c>
      <c r="J6916" s="54" t="s">
        <v>6052</v>
      </c>
      <c r="K6916" s="54">
        <v>0</v>
      </c>
      <c r="L6916" s="22" t="s">
        <v>104</v>
      </c>
      <c r="M6916" s="22" t="s">
        <v>37307</v>
      </c>
    </row>
    <row r="6917" spans="1:13" x14ac:dyDescent="0.75">
      <c r="A6917" t="s">
        <v>12517</v>
      </c>
      <c r="B6917" t="s">
        <v>6112</v>
      </c>
      <c r="C6917" t="s">
        <v>6093</v>
      </c>
      <c r="D6917" t="s">
        <v>6113</v>
      </c>
      <c r="E6917" t="s">
        <v>12518</v>
      </c>
      <c r="F6917">
        <v>37</v>
      </c>
      <c r="G6917">
        <v>2066006</v>
      </c>
      <c r="H6917" t="s">
        <v>12519</v>
      </c>
      <c r="J6917" s="54" t="s">
        <v>6052</v>
      </c>
      <c r="K6917" s="54">
        <v>0</v>
      </c>
      <c r="L6917" s="22" t="s">
        <v>104</v>
      </c>
      <c r="M6917" s="22" t="s">
        <v>37307</v>
      </c>
    </row>
    <row r="6918" spans="1:13" x14ac:dyDescent="0.75">
      <c r="A6918" t="s">
        <v>24663</v>
      </c>
      <c r="B6918" t="s">
        <v>6112</v>
      </c>
      <c r="C6918" t="s">
        <v>6093</v>
      </c>
      <c r="D6918" t="s">
        <v>6113</v>
      </c>
      <c r="E6918" t="s">
        <v>24664</v>
      </c>
      <c r="F6918">
        <v>21</v>
      </c>
      <c r="G6918">
        <v>2019416</v>
      </c>
      <c r="H6918" t="s">
        <v>24665</v>
      </c>
      <c r="J6918" s="54" t="s">
        <v>6052</v>
      </c>
      <c r="K6918" s="54">
        <v>0</v>
      </c>
      <c r="L6918" s="22" t="s">
        <v>104</v>
      </c>
      <c r="M6918" s="22" t="s">
        <v>37307</v>
      </c>
    </row>
    <row r="6919" spans="1:13" x14ac:dyDescent="0.75">
      <c r="A6919" t="s">
        <v>24586</v>
      </c>
      <c r="B6919" t="s">
        <v>6112</v>
      </c>
      <c r="C6919" t="s">
        <v>6093</v>
      </c>
      <c r="D6919" t="s">
        <v>6113</v>
      </c>
      <c r="E6919" t="s">
        <v>24587</v>
      </c>
      <c r="F6919">
        <v>29</v>
      </c>
      <c r="G6919">
        <v>1975176</v>
      </c>
      <c r="H6919" t="s">
        <v>24588</v>
      </c>
      <c r="J6919" s="54" t="s">
        <v>6052</v>
      </c>
      <c r="K6919" s="54">
        <v>0</v>
      </c>
      <c r="L6919" s="22" t="s">
        <v>104</v>
      </c>
      <c r="M6919" s="22" t="s">
        <v>37307</v>
      </c>
    </row>
    <row r="6920" spans="1:13" x14ac:dyDescent="0.75">
      <c r="A6920" t="s">
        <v>15591</v>
      </c>
      <c r="B6920" t="s">
        <v>6112</v>
      </c>
      <c r="C6920" t="s">
        <v>6093</v>
      </c>
      <c r="D6920" t="s">
        <v>6113</v>
      </c>
      <c r="E6920" t="s">
        <v>15592</v>
      </c>
      <c r="F6920">
        <v>14</v>
      </c>
      <c r="G6920">
        <v>2020615</v>
      </c>
      <c r="H6920" t="s">
        <v>15593</v>
      </c>
      <c r="J6920" s="54" t="s">
        <v>6052</v>
      </c>
      <c r="K6920" s="54">
        <v>0</v>
      </c>
      <c r="L6920" s="22" t="s">
        <v>104</v>
      </c>
      <c r="M6920" s="22" t="s">
        <v>37307</v>
      </c>
    </row>
    <row r="6921" spans="1:13" x14ac:dyDescent="0.75">
      <c r="A6921" t="s">
        <v>9263</v>
      </c>
      <c r="B6921" t="s">
        <v>6112</v>
      </c>
      <c r="C6921" t="s">
        <v>6093</v>
      </c>
      <c r="D6921" t="s">
        <v>6113</v>
      </c>
      <c r="E6921" t="s">
        <v>9264</v>
      </c>
      <c r="F6921">
        <v>10</v>
      </c>
      <c r="G6921">
        <v>1999673</v>
      </c>
      <c r="H6921" t="s">
        <v>9265</v>
      </c>
      <c r="J6921" s="54" t="s">
        <v>6052</v>
      </c>
      <c r="K6921" s="54">
        <v>0</v>
      </c>
      <c r="L6921" s="22" t="s">
        <v>104</v>
      </c>
      <c r="M6921" s="22" t="s">
        <v>37307</v>
      </c>
    </row>
    <row r="6922" spans="1:13" x14ac:dyDescent="0.75">
      <c r="A6922" t="s">
        <v>12197</v>
      </c>
      <c r="B6922" t="s">
        <v>6112</v>
      </c>
      <c r="C6922" t="s">
        <v>6093</v>
      </c>
      <c r="D6922" t="s">
        <v>6113</v>
      </c>
      <c r="E6922" t="s">
        <v>12198</v>
      </c>
      <c r="F6922">
        <v>24</v>
      </c>
      <c r="G6922">
        <v>2050195</v>
      </c>
      <c r="H6922" t="s">
        <v>12199</v>
      </c>
      <c r="J6922" s="54" t="s">
        <v>6052</v>
      </c>
      <c r="K6922" s="54">
        <v>0</v>
      </c>
      <c r="L6922" s="22" t="s">
        <v>104</v>
      </c>
      <c r="M6922" s="22" t="s">
        <v>37307</v>
      </c>
    </row>
    <row r="6923" spans="1:13" x14ac:dyDescent="0.75">
      <c r="A6923" t="s">
        <v>9124</v>
      </c>
      <c r="B6923" t="s">
        <v>6112</v>
      </c>
      <c r="C6923" t="s">
        <v>6093</v>
      </c>
      <c r="D6923" t="s">
        <v>6113</v>
      </c>
      <c r="E6923" t="s">
        <v>9125</v>
      </c>
      <c r="F6923">
        <v>111</v>
      </c>
      <c r="G6923">
        <v>1948124</v>
      </c>
      <c r="H6923" t="s">
        <v>9126</v>
      </c>
      <c r="J6923" s="54" t="s">
        <v>6052</v>
      </c>
      <c r="K6923" s="54">
        <v>0</v>
      </c>
      <c r="L6923" s="22" t="s">
        <v>104</v>
      </c>
      <c r="M6923" s="22" t="s">
        <v>37307</v>
      </c>
    </row>
    <row r="6924" spans="1:13" x14ac:dyDescent="0.75">
      <c r="A6924" t="s">
        <v>10158</v>
      </c>
      <c r="B6924" t="s">
        <v>6112</v>
      </c>
      <c r="C6924" t="s">
        <v>6093</v>
      </c>
      <c r="D6924" t="s">
        <v>6113</v>
      </c>
      <c r="E6924" t="s">
        <v>10159</v>
      </c>
      <c r="F6924">
        <v>81</v>
      </c>
      <c r="G6924">
        <v>2077621</v>
      </c>
      <c r="H6924" t="s">
        <v>10160</v>
      </c>
      <c r="J6924" s="54" t="s">
        <v>6052</v>
      </c>
      <c r="K6924" s="54">
        <v>0</v>
      </c>
      <c r="L6924" s="22" t="s">
        <v>104</v>
      </c>
      <c r="M6924" s="22" t="s">
        <v>37307</v>
      </c>
    </row>
    <row r="6925" spans="1:13" x14ac:dyDescent="0.75">
      <c r="A6925" t="s">
        <v>19004</v>
      </c>
      <c r="B6925" t="s">
        <v>6112</v>
      </c>
      <c r="C6925" t="s">
        <v>6093</v>
      </c>
      <c r="D6925" t="s">
        <v>6113</v>
      </c>
      <c r="E6925" t="s">
        <v>10159</v>
      </c>
      <c r="F6925">
        <v>1</v>
      </c>
      <c r="G6925">
        <v>2011542</v>
      </c>
      <c r="H6925" t="s">
        <v>19005</v>
      </c>
      <c r="J6925" s="54" t="s">
        <v>6052</v>
      </c>
      <c r="K6925" s="54">
        <v>0</v>
      </c>
      <c r="L6925" s="22" t="s">
        <v>104</v>
      </c>
      <c r="M6925" s="22" t="s">
        <v>37307</v>
      </c>
    </row>
    <row r="6926" spans="1:13" x14ac:dyDescent="0.75">
      <c r="A6926" t="s">
        <v>10149</v>
      </c>
      <c r="B6926" t="s">
        <v>6112</v>
      </c>
      <c r="C6926" t="s">
        <v>6093</v>
      </c>
      <c r="D6926" t="s">
        <v>6113</v>
      </c>
      <c r="E6926" t="s">
        <v>10150</v>
      </c>
      <c r="F6926">
        <v>53</v>
      </c>
      <c r="G6926">
        <v>2036366</v>
      </c>
      <c r="H6926" t="s">
        <v>10151</v>
      </c>
      <c r="J6926" s="54" t="s">
        <v>6052</v>
      </c>
      <c r="K6926" s="54">
        <v>0</v>
      </c>
      <c r="L6926" s="22" t="s">
        <v>104</v>
      </c>
      <c r="M6926" s="22" t="s">
        <v>37307</v>
      </c>
    </row>
    <row r="6927" spans="1:13" x14ac:dyDescent="0.75">
      <c r="A6927" t="s">
        <v>10155</v>
      </c>
      <c r="B6927" t="s">
        <v>6112</v>
      </c>
      <c r="C6927" t="s">
        <v>6093</v>
      </c>
      <c r="D6927" t="s">
        <v>6113</v>
      </c>
      <c r="E6927" t="s">
        <v>10156</v>
      </c>
      <c r="F6927">
        <v>61</v>
      </c>
      <c r="G6927">
        <v>2048211</v>
      </c>
      <c r="H6927" t="s">
        <v>10157</v>
      </c>
      <c r="J6927" s="54" t="s">
        <v>6052</v>
      </c>
      <c r="K6927" s="54">
        <v>0</v>
      </c>
      <c r="L6927" s="22" t="s">
        <v>104</v>
      </c>
      <c r="M6927" s="22" t="s">
        <v>37307</v>
      </c>
    </row>
    <row r="6928" spans="1:13" x14ac:dyDescent="0.75">
      <c r="A6928" t="s">
        <v>24440</v>
      </c>
      <c r="B6928" t="s">
        <v>6112</v>
      </c>
      <c r="C6928" t="s">
        <v>6093</v>
      </c>
      <c r="D6928" t="s">
        <v>6113</v>
      </c>
      <c r="E6928" t="s">
        <v>24441</v>
      </c>
      <c r="F6928">
        <v>50</v>
      </c>
      <c r="G6928">
        <v>2037237</v>
      </c>
      <c r="H6928" t="s">
        <v>24442</v>
      </c>
      <c r="J6928" s="54" t="s">
        <v>6052</v>
      </c>
      <c r="K6928" s="54">
        <v>0</v>
      </c>
      <c r="L6928" s="22" t="s">
        <v>104</v>
      </c>
      <c r="M6928" s="22" t="s">
        <v>37307</v>
      </c>
    </row>
    <row r="6929" spans="1:13" x14ac:dyDescent="0.75">
      <c r="A6929" t="s">
        <v>24437</v>
      </c>
      <c r="B6929" t="s">
        <v>6112</v>
      </c>
      <c r="C6929" t="s">
        <v>6093</v>
      </c>
      <c r="D6929" t="s">
        <v>6113</v>
      </c>
      <c r="E6929" t="s">
        <v>24438</v>
      </c>
      <c r="F6929">
        <v>15</v>
      </c>
      <c r="G6929">
        <v>1973536</v>
      </c>
      <c r="H6929" t="s">
        <v>24439</v>
      </c>
      <c r="J6929" s="54" t="s">
        <v>6052</v>
      </c>
      <c r="K6929" s="54">
        <v>0</v>
      </c>
      <c r="L6929" s="22" t="s">
        <v>104</v>
      </c>
      <c r="M6929" s="22" t="s">
        <v>37307</v>
      </c>
    </row>
    <row r="6930" spans="1:13" x14ac:dyDescent="0.75">
      <c r="A6930" t="s">
        <v>10152</v>
      </c>
      <c r="B6930" t="s">
        <v>6112</v>
      </c>
      <c r="C6930" t="s">
        <v>6093</v>
      </c>
      <c r="D6930" t="s">
        <v>6113</v>
      </c>
      <c r="E6930" t="s">
        <v>10153</v>
      </c>
      <c r="F6930">
        <v>46</v>
      </c>
      <c r="G6930">
        <v>2151929</v>
      </c>
      <c r="H6930" t="s">
        <v>10154</v>
      </c>
      <c r="J6930" s="54" t="s">
        <v>6052</v>
      </c>
      <c r="K6930" s="54">
        <v>0</v>
      </c>
      <c r="L6930" s="22" t="s">
        <v>104</v>
      </c>
      <c r="M6930" s="22" t="s">
        <v>37307</v>
      </c>
    </row>
    <row r="6931" spans="1:13" x14ac:dyDescent="0.75">
      <c r="A6931" t="s">
        <v>13663</v>
      </c>
      <c r="B6931" t="s">
        <v>6112</v>
      </c>
      <c r="C6931" t="s">
        <v>6093</v>
      </c>
      <c r="D6931" t="s">
        <v>6113</v>
      </c>
      <c r="E6931" t="s">
        <v>13664</v>
      </c>
      <c r="F6931">
        <v>68</v>
      </c>
      <c r="G6931">
        <v>1985972</v>
      </c>
      <c r="H6931" t="s">
        <v>13665</v>
      </c>
      <c r="J6931" s="54" t="s">
        <v>6052</v>
      </c>
      <c r="K6931" s="54">
        <v>0</v>
      </c>
      <c r="L6931" s="22" t="s">
        <v>104</v>
      </c>
      <c r="M6931" s="22" t="s">
        <v>37307</v>
      </c>
    </row>
    <row r="6932" spans="1:13" x14ac:dyDescent="0.75">
      <c r="A6932" t="s">
        <v>24434</v>
      </c>
      <c r="B6932" t="s">
        <v>6112</v>
      </c>
      <c r="C6932" t="s">
        <v>6093</v>
      </c>
      <c r="D6932" t="s">
        <v>6113</v>
      </c>
      <c r="E6932" t="s">
        <v>24435</v>
      </c>
      <c r="F6932">
        <v>19</v>
      </c>
      <c r="G6932">
        <v>1979353</v>
      </c>
      <c r="H6932" t="s">
        <v>24436</v>
      </c>
      <c r="J6932" s="54" t="s">
        <v>6052</v>
      </c>
      <c r="K6932" s="54">
        <v>0</v>
      </c>
      <c r="L6932" s="22" t="s">
        <v>104</v>
      </c>
      <c r="M6932" s="22" t="s">
        <v>37307</v>
      </c>
    </row>
    <row r="6933" spans="1:13" x14ac:dyDescent="0.75">
      <c r="A6933" t="s">
        <v>24431</v>
      </c>
      <c r="B6933" t="s">
        <v>6112</v>
      </c>
      <c r="C6933" t="s">
        <v>6093</v>
      </c>
      <c r="D6933" t="s">
        <v>6113</v>
      </c>
      <c r="E6933" t="s">
        <v>24432</v>
      </c>
      <c r="F6933">
        <v>13</v>
      </c>
      <c r="G6933">
        <v>1977685</v>
      </c>
      <c r="H6933" t="s">
        <v>24433</v>
      </c>
      <c r="J6933" s="54" t="s">
        <v>6052</v>
      </c>
      <c r="K6933" s="54">
        <v>0</v>
      </c>
      <c r="L6933" s="22" t="s">
        <v>104</v>
      </c>
      <c r="M6933" s="22" t="s">
        <v>37307</v>
      </c>
    </row>
    <row r="6934" spans="1:13" x14ac:dyDescent="0.75">
      <c r="A6934" t="s">
        <v>24428</v>
      </c>
      <c r="B6934" t="s">
        <v>6112</v>
      </c>
      <c r="C6934" t="s">
        <v>6093</v>
      </c>
      <c r="D6934" t="s">
        <v>6113</v>
      </c>
      <c r="E6934" t="s">
        <v>24429</v>
      </c>
      <c r="F6934">
        <v>25</v>
      </c>
      <c r="G6934">
        <v>2022536</v>
      </c>
      <c r="H6934" t="s">
        <v>24430</v>
      </c>
      <c r="J6934" s="54" t="s">
        <v>6052</v>
      </c>
      <c r="K6934" s="54">
        <v>0</v>
      </c>
      <c r="L6934" s="22" t="s">
        <v>104</v>
      </c>
      <c r="M6934" s="22" t="s">
        <v>37307</v>
      </c>
    </row>
    <row r="6935" spans="1:13" x14ac:dyDescent="0.75">
      <c r="A6935" t="s">
        <v>10164</v>
      </c>
      <c r="B6935" t="s">
        <v>6112</v>
      </c>
      <c r="C6935" t="s">
        <v>6093</v>
      </c>
      <c r="D6935" t="s">
        <v>6113</v>
      </c>
      <c r="E6935" t="s">
        <v>10165</v>
      </c>
      <c r="F6935">
        <v>87</v>
      </c>
      <c r="G6935">
        <v>2095411</v>
      </c>
      <c r="H6935" t="s">
        <v>10166</v>
      </c>
      <c r="J6935" s="54" t="s">
        <v>6052</v>
      </c>
      <c r="K6935" s="54">
        <v>0</v>
      </c>
      <c r="L6935" s="22" t="s">
        <v>104</v>
      </c>
      <c r="M6935" s="22" t="s">
        <v>37307</v>
      </c>
    </row>
    <row r="6936" spans="1:13" x14ac:dyDescent="0.75">
      <c r="A6936" t="s">
        <v>21934</v>
      </c>
      <c r="B6936" t="s">
        <v>6112</v>
      </c>
      <c r="C6936" t="s">
        <v>6093</v>
      </c>
      <c r="D6936" t="s">
        <v>6113</v>
      </c>
      <c r="E6936" t="s">
        <v>21935</v>
      </c>
      <c r="F6936">
        <v>20</v>
      </c>
      <c r="G6936">
        <v>1963415</v>
      </c>
      <c r="H6936" t="s">
        <v>21936</v>
      </c>
      <c r="J6936" s="54" t="s">
        <v>6052</v>
      </c>
      <c r="K6936" s="54">
        <v>0</v>
      </c>
      <c r="L6936" s="22" t="s">
        <v>104</v>
      </c>
      <c r="M6936" s="22" t="s">
        <v>37307</v>
      </c>
    </row>
    <row r="6937" spans="1:13" x14ac:dyDescent="0.75">
      <c r="A6937" t="s">
        <v>10161</v>
      </c>
      <c r="B6937" t="s">
        <v>6112</v>
      </c>
      <c r="C6937" t="s">
        <v>6093</v>
      </c>
      <c r="D6937" t="s">
        <v>6113</v>
      </c>
      <c r="E6937" t="s">
        <v>10162</v>
      </c>
      <c r="F6937">
        <v>75</v>
      </c>
      <c r="G6937">
        <v>2061948</v>
      </c>
      <c r="H6937" t="s">
        <v>10163</v>
      </c>
      <c r="J6937" s="54" t="s">
        <v>6052</v>
      </c>
      <c r="K6937" s="54">
        <v>0</v>
      </c>
      <c r="L6937" s="22" t="s">
        <v>104</v>
      </c>
      <c r="M6937" s="22" t="s">
        <v>37307</v>
      </c>
    </row>
    <row r="6938" spans="1:13" x14ac:dyDescent="0.75">
      <c r="A6938" t="s">
        <v>25026</v>
      </c>
      <c r="B6938" t="s">
        <v>6112</v>
      </c>
      <c r="C6938" t="s">
        <v>6093</v>
      </c>
      <c r="D6938" t="s">
        <v>6113</v>
      </c>
      <c r="E6938" t="s">
        <v>25027</v>
      </c>
      <c r="F6938">
        <v>16</v>
      </c>
      <c r="G6938">
        <v>1994169</v>
      </c>
      <c r="H6938" t="s">
        <v>25028</v>
      </c>
      <c r="J6938" s="54" t="s">
        <v>6052</v>
      </c>
      <c r="K6938" s="54">
        <v>0</v>
      </c>
      <c r="L6938" s="22" t="s">
        <v>104</v>
      </c>
      <c r="M6938" s="22" t="s">
        <v>37307</v>
      </c>
    </row>
    <row r="6939" spans="1:13" x14ac:dyDescent="0.75">
      <c r="A6939" t="s">
        <v>23902</v>
      </c>
      <c r="B6939" t="s">
        <v>6112</v>
      </c>
      <c r="C6939" t="s">
        <v>6093</v>
      </c>
      <c r="D6939" t="s">
        <v>6113</v>
      </c>
      <c r="E6939" t="s">
        <v>23903</v>
      </c>
      <c r="F6939">
        <v>1</v>
      </c>
      <c r="G6939">
        <v>2114814</v>
      </c>
      <c r="H6939" t="s">
        <v>23904</v>
      </c>
      <c r="J6939" s="54" t="s">
        <v>6052</v>
      </c>
      <c r="K6939" s="54">
        <v>0</v>
      </c>
      <c r="L6939" s="22" t="s">
        <v>104</v>
      </c>
      <c r="M6939" s="22" t="s">
        <v>37307</v>
      </c>
    </row>
    <row r="6940" spans="1:13" x14ac:dyDescent="0.75">
      <c r="A6940" t="s">
        <v>23899</v>
      </c>
      <c r="B6940" t="s">
        <v>6112</v>
      </c>
      <c r="C6940" t="s">
        <v>6093</v>
      </c>
      <c r="D6940" t="s">
        <v>6113</v>
      </c>
      <c r="E6940" t="s">
        <v>23900</v>
      </c>
      <c r="F6940">
        <v>1</v>
      </c>
      <c r="G6940">
        <v>2115009</v>
      </c>
      <c r="H6940" t="s">
        <v>23901</v>
      </c>
      <c r="J6940" s="54" t="s">
        <v>6052</v>
      </c>
      <c r="K6940" s="54">
        <v>0</v>
      </c>
      <c r="L6940" s="22" t="s">
        <v>104</v>
      </c>
      <c r="M6940" s="22" t="s">
        <v>37307</v>
      </c>
    </row>
    <row r="6941" spans="1:13" x14ac:dyDescent="0.75">
      <c r="A6941" t="s">
        <v>24776</v>
      </c>
      <c r="B6941" t="s">
        <v>6112</v>
      </c>
      <c r="C6941" t="s">
        <v>6093</v>
      </c>
      <c r="D6941" t="s">
        <v>6113</v>
      </c>
      <c r="E6941" t="s">
        <v>24777</v>
      </c>
      <c r="F6941">
        <v>27</v>
      </c>
      <c r="G6941">
        <v>1999617</v>
      </c>
      <c r="H6941" t="s">
        <v>24778</v>
      </c>
      <c r="J6941" s="54" t="s">
        <v>6052</v>
      </c>
      <c r="K6941" s="54">
        <v>0</v>
      </c>
      <c r="L6941" s="22" t="s">
        <v>104</v>
      </c>
      <c r="M6941" s="22" t="s">
        <v>37307</v>
      </c>
    </row>
    <row r="6942" spans="1:13" x14ac:dyDescent="0.75">
      <c r="A6942" t="s">
        <v>19871</v>
      </c>
      <c r="B6942" t="s">
        <v>6112</v>
      </c>
      <c r="C6942" t="s">
        <v>6093</v>
      </c>
      <c r="D6942" t="s">
        <v>6113</v>
      </c>
      <c r="E6942" t="s">
        <v>19872</v>
      </c>
      <c r="F6942">
        <v>25</v>
      </c>
      <c r="G6942">
        <v>1995468</v>
      </c>
      <c r="H6942" t="s">
        <v>19873</v>
      </c>
      <c r="J6942" s="54" t="s">
        <v>6052</v>
      </c>
      <c r="K6942" s="54">
        <v>0</v>
      </c>
      <c r="L6942" s="22" t="s">
        <v>104</v>
      </c>
      <c r="M6942" s="22" t="s">
        <v>37307</v>
      </c>
    </row>
    <row r="6943" spans="1:13" x14ac:dyDescent="0.75">
      <c r="A6943" t="s">
        <v>19865</v>
      </c>
      <c r="B6943" t="s">
        <v>6112</v>
      </c>
      <c r="C6943" t="s">
        <v>6093</v>
      </c>
      <c r="D6943" t="s">
        <v>6113</v>
      </c>
      <c r="E6943" t="s">
        <v>19866</v>
      </c>
      <c r="F6943">
        <v>33</v>
      </c>
      <c r="G6943">
        <v>1987784</v>
      </c>
      <c r="H6943" t="s">
        <v>19867</v>
      </c>
      <c r="J6943" s="54" t="s">
        <v>6052</v>
      </c>
      <c r="K6943" s="54">
        <v>0</v>
      </c>
      <c r="L6943" s="22" t="s">
        <v>104</v>
      </c>
      <c r="M6943" s="22" t="s">
        <v>37307</v>
      </c>
    </row>
    <row r="6944" spans="1:13" x14ac:dyDescent="0.75">
      <c r="A6944" t="s">
        <v>9353</v>
      </c>
      <c r="B6944" t="s">
        <v>6112</v>
      </c>
      <c r="C6944" t="s">
        <v>6093</v>
      </c>
      <c r="D6944" t="s">
        <v>6113</v>
      </c>
      <c r="E6944" t="s">
        <v>9354</v>
      </c>
      <c r="F6944">
        <v>20</v>
      </c>
      <c r="G6944">
        <v>1988767</v>
      </c>
      <c r="H6944" t="s">
        <v>9355</v>
      </c>
      <c r="J6944" s="54" t="s">
        <v>6052</v>
      </c>
      <c r="K6944" s="54">
        <v>0</v>
      </c>
      <c r="L6944" s="22" t="s">
        <v>104</v>
      </c>
      <c r="M6944" s="22" t="s">
        <v>37307</v>
      </c>
    </row>
    <row r="6945" spans="1:13" x14ac:dyDescent="0.75">
      <c r="A6945" t="s">
        <v>21051</v>
      </c>
      <c r="B6945" t="s">
        <v>6112</v>
      </c>
      <c r="C6945" t="s">
        <v>6093</v>
      </c>
      <c r="D6945" t="s">
        <v>6113</v>
      </c>
      <c r="E6945" t="s">
        <v>21052</v>
      </c>
      <c r="F6945">
        <v>106</v>
      </c>
      <c r="G6945">
        <v>2003248</v>
      </c>
      <c r="H6945" t="s">
        <v>21053</v>
      </c>
      <c r="J6945" s="54" t="s">
        <v>6052</v>
      </c>
      <c r="K6945" s="54">
        <v>0</v>
      </c>
      <c r="L6945" s="22" t="s">
        <v>104</v>
      </c>
      <c r="M6945" s="22" t="s">
        <v>37307</v>
      </c>
    </row>
    <row r="6946" spans="1:13" x14ac:dyDescent="0.75">
      <c r="A6946" t="s">
        <v>28737</v>
      </c>
      <c r="B6946" t="s">
        <v>6112</v>
      </c>
      <c r="C6946" t="s">
        <v>6093</v>
      </c>
      <c r="D6946" t="s">
        <v>6113</v>
      </c>
      <c r="E6946" t="s">
        <v>28738</v>
      </c>
      <c r="F6946">
        <v>36</v>
      </c>
      <c r="G6946">
        <v>1971455</v>
      </c>
      <c r="H6946" t="s">
        <v>28739</v>
      </c>
      <c r="J6946" s="54" t="s">
        <v>6052</v>
      </c>
      <c r="K6946" s="54">
        <v>0</v>
      </c>
      <c r="L6946" s="22" t="s">
        <v>104</v>
      </c>
      <c r="M6946" s="22" t="s">
        <v>37307</v>
      </c>
    </row>
    <row r="6947" spans="1:13" x14ac:dyDescent="0.75">
      <c r="A6947" t="s">
        <v>29946</v>
      </c>
      <c r="B6947" t="s">
        <v>6112</v>
      </c>
      <c r="C6947" t="s">
        <v>6093</v>
      </c>
      <c r="D6947" t="s">
        <v>6113</v>
      </c>
      <c r="E6947" t="s">
        <v>29947</v>
      </c>
      <c r="F6947">
        <v>18</v>
      </c>
      <c r="G6947">
        <v>1985544</v>
      </c>
      <c r="H6947" t="s">
        <v>29948</v>
      </c>
      <c r="J6947" s="54" t="s">
        <v>6052</v>
      </c>
      <c r="K6947" s="54">
        <v>0</v>
      </c>
      <c r="L6947" s="22" t="s">
        <v>104</v>
      </c>
      <c r="M6947" s="22" t="s">
        <v>37307</v>
      </c>
    </row>
    <row r="6948" spans="1:13" x14ac:dyDescent="0.75">
      <c r="A6948" t="s">
        <v>21134</v>
      </c>
      <c r="B6948" t="s">
        <v>6112</v>
      </c>
      <c r="C6948" t="s">
        <v>6093</v>
      </c>
      <c r="D6948" t="s">
        <v>6113</v>
      </c>
      <c r="E6948" t="s">
        <v>21135</v>
      </c>
      <c r="F6948">
        <v>1</v>
      </c>
      <c r="G6948">
        <v>2019345</v>
      </c>
      <c r="H6948" t="s">
        <v>21136</v>
      </c>
      <c r="J6948" s="54" t="s">
        <v>6052</v>
      </c>
      <c r="K6948" s="54">
        <v>0</v>
      </c>
      <c r="L6948" s="22" t="s">
        <v>104</v>
      </c>
      <c r="M6948" s="22" t="s">
        <v>37307</v>
      </c>
    </row>
    <row r="6949" spans="1:13" x14ac:dyDescent="0.75">
      <c r="A6949" t="s">
        <v>13458</v>
      </c>
      <c r="B6949" t="s">
        <v>6112</v>
      </c>
      <c r="C6949" t="s">
        <v>6093</v>
      </c>
      <c r="D6949" t="s">
        <v>6113</v>
      </c>
      <c r="E6949" t="s">
        <v>13459</v>
      </c>
      <c r="F6949">
        <v>1</v>
      </c>
      <c r="G6949">
        <v>2144124</v>
      </c>
      <c r="H6949" t="s">
        <v>13460</v>
      </c>
      <c r="J6949" s="54" t="s">
        <v>6052</v>
      </c>
      <c r="K6949" s="54">
        <v>0</v>
      </c>
      <c r="L6949" s="22" t="s">
        <v>104</v>
      </c>
      <c r="M6949" s="22" t="s">
        <v>37307</v>
      </c>
    </row>
    <row r="6950" spans="1:13" x14ac:dyDescent="0.75">
      <c r="A6950" t="s">
        <v>18192</v>
      </c>
      <c r="B6950" t="s">
        <v>6112</v>
      </c>
      <c r="C6950" t="s">
        <v>6093</v>
      </c>
      <c r="D6950" t="s">
        <v>6113</v>
      </c>
      <c r="E6950" t="s">
        <v>18193</v>
      </c>
      <c r="F6950">
        <v>1</v>
      </c>
      <c r="G6950">
        <v>2054143</v>
      </c>
      <c r="H6950" t="s">
        <v>18194</v>
      </c>
      <c r="J6950" s="54" t="s">
        <v>6052</v>
      </c>
      <c r="K6950" s="54">
        <v>0</v>
      </c>
      <c r="L6950" s="22" t="s">
        <v>104</v>
      </c>
      <c r="M6950" s="22" t="s">
        <v>37307</v>
      </c>
    </row>
    <row r="6951" spans="1:13" x14ac:dyDescent="0.75">
      <c r="A6951" t="s">
        <v>9163</v>
      </c>
      <c r="B6951" t="s">
        <v>6112</v>
      </c>
      <c r="C6951" t="s">
        <v>6093</v>
      </c>
      <c r="D6951" t="s">
        <v>6113</v>
      </c>
      <c r="E6951" t="s">
        <v>9164</v>
      </c>
      <c r="F6951">
        <v>122</v>
      </c>
      <c r="G6951">
        <v>1977039</v>
      </c>
      <c r="H6951" t="s">
        <v>9165</v>
      </c>
      <c r="J6951" s="54" t="s">
        <v>6052</v>
      </c>
      <c r="K6951" s="54">
        <v>0</v>
      </c>
      <c r="L6951" s="22" t="s">
        <v>104</v>
      </c>
      <c r="M6951" s="22" t="s">
        <v>37307</v>
      </c>
    </row>
    <row r="6952" spans="1:13" x14ac:dyDescent="0.75">
      <c r="A6952" t="s">
        <v>8655</v>
      </c>
      <c r="B6952" t="s">
        <v>6112</v>
      </c>
      <c r="C6952" t="s">
        <v>6093</v>
      </c>
      <c r="D6952" t="s">
        <v>6113</v>
      </c>
      <c r="E6952" t="s">
        <v>8656</v>
      </c>
      <c r="F6952">
        <v>1</v>
      </c>
      <c r="G6952">
        <v>2027088</v>
      </c>
      <c r="H6952" t="s">
        <v>8657</v>
      </c>
      <c r="J6952" s="54" t="s">
        <v>6052</v>
      </c>
      <c r="K6952" s="54">
        <v>0</v>
      </c>
      <c r="L6952" s="22" t="s">
        <v>104</v>
      </c>
      <c r="M6952" s="22" t="s">
        <v>37307</v>
      </c>
    </row>
    <row r="6953" spans="1:13" x14ac:dyDescent="0.75">
      <c r="A6953" t="s">
        <v>13636</v>
      </c>
      <c r="B6953" t="s">
        <v>6112</v>
      </c>
      <c r="C6953" t="s">
        <v>6093</v>
      </c>
      <c r="D6953" t="s">
        <v>6113</v>
      </c>
      <c r="E6953" t="s">
        <v>13637</v>
      </c>
      <c r="F6953">
        <v>186</v>
      </c>
      <c r="G6953">
        <v>2003112</v>
      </c>
      <c r="H6953" t="s">
        <v>13638</v>
      </c>
      <c r="J6953" s="54" t="s">
        <v>6052</v>
      </c>
      <c r="K6953" s="54">
        <v>0</v>
      </c>
      <c r="L6953" s="22" t="s">
        <v>104</v>
      </c>
      <c r="M6953" s="22" t="s">
        <v>37307</v>
      </c>
    </row>
    <row r="6954" spans="1:13" x14ac:dyDescent="0.75">
      <c r="A6954" t="s">
        <v>13623</v>
      </c>
      <c r="B6954" t="s">
        <v>6112</v>
      </c>
      <c r="C6954" t="s">
        <v>6093</v>
      </c>
      <c r="D6954" t="s">
        <v>6113</v>
      </c>
      <c r="E6954" t="s">
        <v>13624</v>
      </c>
      <c r="F6954">
        <v>1</v>
      </c>
      <c r="G6954">
        <v>2098341</v>
      </c>
      <c r="H6954" t="s">
        <v>13625</v>
      </c>
      <c r="J6954" s="54" t="s">
        <v>6052</v>
      </c>
      <c r="K6954" s="54">
        <v>0</v>
      </c>
      <c r="L6954" s="22" t="s">
        <v>104</v>
      </c>
      <c r="M6954" s="22" t="s">
        <v>37307</v>
      </c>
    </row>
    <row r="6955" spans="1:13" x14ac:dyDescent="0.75">
      <c r="A6955" t="s">
        <v>9254</v>
      </c>
      <c r="B6955" t="s">
        <v>6112</v>
      </c>
      <c r="C6955" t="s">
        <v>6093</v>
      </c>
      <c r="D6955" t="s">
        <v>6113</v>
      </c>
      <c r="E6955" t="s">
        <v>9255</v>
      </c>
      <c r="F6955">
        <v>2</v>
      </c>
      <c r="G6955">
        <v>2034595</v>
      </c>
      <c r="H6955" t="s">
        <v>9256</v>
      </c>
      <c r="J6955" s="54" t="s">
        <v>6052</v>
      </c>
      <c r="K6955" s="54">
        <v>0</v>
      </c>
      <c r="L6955" s="22" t="s">
        <v>104</v>
      </c>
      <c r="M6955" s="22" t="s">
        <v>37307</v>
      </c>
    </row>
    <row r="6956" spans="1:13" x14ac:dyDescent="0.75">
      <c r="A6956" t="s">
        <v>9257</v>
      </c>
      <c r="B6956" t="s">
        <v>6112</v>
      </c>
      <c r="C6956" t="s">
        <v>6093</v>
      </c>
      <c r="D6956" t="s">
        <v>6113</v>
      </c>
      <c r="E6956" t="s">
        <v>9258</v>
      </c>
      <c r="F6956">
        <v>47</v>
      </c>
      <c r="G6956">
        <v>1976204</v>
      </c>
      <c r="H6956" t="s">
        <v>9259</v>
      </c>
      <c r="J6956" s="54" t="s">
        <v>6052</v>
      </c>
      <c r="K6956" s="54">
        <v>0</v>
      </c>
      <c r="L6956" s="22" t="s">
        <v>104</v>
      </c>
      <c r="M6956" s="22" t="s">
        <v>37307</v>
      </c>
    </row>
    <row r="6957" spans="1:13" x14ac:dyDescent="0.75">
      <c r="A6957" t="s">
        <v>30169</v>
      </c>
      <c r="B6957" t="s">
        <v>6112</v>
      </c>
      <c r="C6957" t="s">
        <v>6093</v>
      </c>
      <c r="D6957" t="s">
        <v>6113</v>
      </c>
      <c r="E6957" t="s">
        <v>30170</v>
      </c>
      <c r="F6957">
        <v>269</v>
      </c>
      <c r="G6957">
        <v>1712068</v>
      </c>
      <c r="H6957" t="s">
        <v>30171</v>
      </c>
      <c r="J6957" s="54" t="s">
        <v>6052</v>
      </c>
      <c r="K6957" s="54">
        <v>0</v>
      </c>
      <c r="L6957" s="22" t="s">
        <v>104</v>
      </c>
      <c r="M6957" s="22" t="s">
        <v>37307</v>
      </c>
    </row>
    <row r="6958" spans="1:13" x14ac:dyDescent="0.75">
      <c r="A6958" t="s">
        <v>15996</v>
      </c>
      <c r="B6958" t="s">
        <v>6112</v>
      </c>
      <c r="C6958" t="s">
        <v>6093</v>
      </c>
      <c r="D6958" t="s">
        <v>6113</v>
      </c>
      <c r="E6958" t="s">
        <v>15997</v>
      </c>
      <c r="F6958">
        <v>1</v>
      </c>
      <c r="G6958">
        <v>2076490</v>
      </c>
      <c r="H6958" t="s">
        <v>15998</v>
      </c>
      <c r="J6958" s="54" t="s">
        <v>6052</v>
      </c>
      <c r="K6958" s="54">
        <v>0</v>
      </c>
      <c r="L6958" s="22" t="s">
        <v>104</v>
      </c>
      <c r="M6958" s="22" t="s">
        <v>37307</v>
      </c>
    </row>
    <row r="6959" spans="1:13" x14ac:dyDescent="0.75">
      <c r="A6959" t="s">
        <v>14704</v>
      </c>
      <c r="B6959" t="s">
        <v>6112</v>
      </c>
      <c r="C6959" t="s">
        <v>6093</v>
      </c>
      <c r="D6959" t="s">
        <v>6113</v>
      </c>
      <c r="E6959" t="s">
        <v>14705</v>
      </c>
      <c r="F6959">
        <v>1</v>
      </c>
      <c r="G6959">
        <v>2088369</v>
      </c>
      <c r="H6959" t="s">
        <v>14706</v>
      </c>
      <c r="J6959" s="54" t="s">
        <v>6052</v>
      </c>
      <c r="K6959" s="54">
        <v>0</v>
      </c>
      <c r="L6959" s="22" t="s">
        <v>104</v>
      </c>
      <c r="M6959" s="22" t="s">
        <v>37307</v>
      </c>
    </row>
    <row r="6960" spans="1:13" x14ac:dyDescent="0.75">
      <c r="A6960" t="s">
        <v>8740</v>
      </c>
      <c r="B6960" t="s">
        <v>6112</v>
      </c>
      <c r="C6960" t="s">
        <v>6093</v>
      </c>
      <c r="D6960" t="s">
        <v>6113</v>
      </c>
      <c r="E6960" t="s">
        <v>8741</v>
      </c>
      <c r="F6960">
        <v>1</v>
      </c>
      <c r="G6960">
        <v>2015626</v>
      </c>
      <c r="H6960" t="s">
        <v>8742</v>
      </c>
      <c r="J6960" s="54" t="s">
        <v>6052</v>
      </c>
      <c r="K6960" s="54">
        <v>0</v>
      </c>
      <c r="L6960" s="22" t="s">
        <v>104</v>
      </c>
      <c r="M6960" s="22" t="s">
        <v>37307</v>
      </c>
    </row>
    <row r="6961" spans="1:13" x14ac:dyDescent="0.75">
      <c r="A6961" t="s">
        <v>26186</v>
      </c>
      <c r="B6961" t="s">
        <v>6112</v>
      </c>
      <c r="C6961" t="s">
        <v>6093</v>
      </c>
      <c r="D6961" t="s">
        <v>6113</v>
      </c>
      <c r="E6961" t="s">
        <v>26187</v>
      </c>
      <c r="F6961">
        <v>1</v>
      </c>
      <c r="G6961">
        <v>2094589</v>
      </c>
      <c r="H6961" t="s">
        <v>26188</v>
      </c>
      <c r="J6961" s="54" t="s">
        <v>6052</v>
      </c>
      <c r="K6961" s="54">
        <v>0</v>
      </c>
      <c r="L6961" s="22" t="s">
        <v>104</v>
      </c>
      <c r="M6961" s="22" t="s">
        <v>37307</v>
      </c>
    </row>
    <row r="6962" spans="1:13" x14ac:dyDescent="0.75">
      <c r="A6962" t="s">
        <v>9166</v>
      </c>
      <c r="B6962" t="s">
        <v>6112</v>
      </c>
      <c r="C6962" t="s">
        <v>6093</v>
      </c>
      <c r="D6962" t="s">
        <v>6113</v>
      </c>
      <c r="E6962" t="s">
        <v>9167</v>
      </c>
      <c r="F6962">
        <v>106</v>
      </c>
      <c r="G6962">
        <v>1961974</v>
      </c>
      <c r="H6962" t="s">
        <v>9168</v>
      </c>
      <c r="J6962" s="54" t="s">
        <v>6052</v>
      </c>
      <c r="K6962" s="54">
        <v>0</v>
      </c>
      <c r="L6962" s="22" t="s">
        <v>104</v>
      </c>
      <c r="M6962" s="22" t="s">
        <v>37307</v>
      </c>
    </row>
    <row r="6963" spans="1:13" x14ac:dyDescent="0.75">
      <c r="A6963" t="s">
        <v>9062</v>
      </c>
      <c r="B6963" t="s">
        <v>6112</v>
      </c>
      <c r="C6963" t="s">
        <v>6093</v>
      </c>
      <c r="D6963" t="s">
        <v>6113</v>
      </c>
      <c r="E6963" t="s">
        <v>9063</v>
      </c>
      <c r="F6963">
        <v>139</v>
      </c>
      <c r="G6963">
        <v>1917450</v>
      </c>
      <c r="H6963" t="s">
        <v>9064</v>
      </c>
      <c r="J6963" s="54" t="s">
        <v>6052</v>
      </c>
      <c r="K6963" s="54">
        <v>0</v>
      </c>
      <c r="L6963" s="22" t="s">
        <v>104</v>
      </c>
      <c r="M6963" s="22" t="s">
        <v>37307</v>
      </c>
    </row>
    <row r="6964" spans="1:13" x14ac:dyDescent="0.75">
      <c r="A6964" t="s">
        <v>9181</v>
      </c>
      <c r="B6964" t="s">
        <v>6112</v>
      </c>
      <c r="C6964" t="s">
        <v>6093</v>
      </c>
      <c r="D6964" t="s">
        <v>6113</v>
      </c>
      <c r="E6964" t="s">
        <v>9182</v>
      </c>
      <c r="F6964">
        <v>115</v>
      </c>
      <c r="G6964">
        <v>1930238</v>
      </c>
      <c r="H6964" t="s">
        <v>9183</v>
      </c>
      <c r="J6964" s="54" t="s">
        <v>6052</v>
      </c>
      <c r="K6964" s="54">
        <v>0</v>
      </c>
      <c r="L6964" s="22" t="s">
        <v>104</v>
      </c>
      <c r="M6964" s="22" t="s">
        <v>37307</v>
      </c>
    </row>
    <row r="6965" spans="1:13" x14ac:dyDescent="0.75">
      <c r="A6965" t="s">
        <v>17474</v>
      </c>
      <c r="B6965" t="s">
        <v>6112</v>
      </c>
      <c r="C6965" t="s">
        <v>6093</v>
      </c>
      <c r="D6965" t="s">
        <v>6113</v>
      </c>
      <c r="E6965" t="s">
        <v>17475</v>
      </c>
      <c r="F6965">
        <v>2</v>
      </c>
      <c r="G6965">
        <v>2022536</v>
      </c>
      <c r="H6965" t="s">
        <v>17476</v>
      </c>
      <c r="J6965" s="54" t="s">
        <v>6052</v>
      </c>
      <c r="K6965" s="54">
        <v>0</v>
      </c>
      <c r="L6965" s="22" t="s">
        <v>104</v>
      </c>
      <c r="M6965" s="22" t="s">
        <v>37307</v>
      </c>
    </row>
    <row r="6966" spans="1:13" x14ac:dyDescent="0.75">
      <c r="A6966" t="s">
        <v>28205</v>
      </c>
      <c r="B6966" t="s">
        <v>6112</v>
      </c>
      <c r="C6966" t="s">
        <v>6093</v>
      </c>
      <c r="D6966" t="s">
        <v>6113</v>
      </c>
      <c r="E6966" t="s">
        <v>28206</v>
      </c>
      <c r="F6966">
        <v>14</v>
      </c>
      <c r="G6966">
        <v>2020615</v>
      </c>
      <c r="H6966" t="s">
        <v>28207</v>
      </c>
      <c r="J6966" s="54" t="s">
        <v>6052</v>
      </c>
      <c r="K6966" s="54">
        <v>0</v>
      </c>
      <c r="L6966" s="22" t="s">
        <v>104</v>
      </c>
      <c r="M6966" s="22" t="s">
        <v>37307</v>
      </c>
    </row>
    <row r="6967" spans="1:13" x14ac:dyDescent="0.75">
      <c r="A6967" t="s">
        <v>9092</v>
      </c>
      <c r="B6967" t="s">
        <v>6112</v>
      </c>
      <c r="C6967" t="s">
        <v>6093</v>
      </c>
      <c r="D6967" t="s">
        <v>6113</v>
      </c>
      <c r="E6967" t="s">
        <v>9093</v>
      </c>
      <c r="F6967">
        <v>110</v>
      </c>
      <c r="G6967">
        <v>1965509</v>
      </c>
      <c r="H6967" t="s">
        <v>9094</v>
      </c>
      <c r="J6967" s="54" t="s">
        <v>6052</v>
      </c>
      <c r="K6967" s="54">
        <v>0</v>
      </c>
      <c r="L6967" s="22" t="s">
        <v>104</v>
      </c>
      <c r="M6967" s="22" t="s">
        <v>37307</v>
      </c>
    </row>
    <row r="6968" spans="1:13" x14ac:dyDescent="0.75">
      <c r="A6968" t="s">
        <v>9184</v>
      </c>
      <c r="B6968" t="s">
        <v>6112</v>
      </c>
      <c r="C6968" t="s">
        <v>6093</v>
      </c>
      <c r="D6968" t="s">
        <v>6113</v>
      </c>
      <c r="E6968" t="s">
        <v>9185</v>
      </c>
      <c r="F6968">
        <v>113</v>
      </c>
      <c r="G6968">
        <v>1953403</v>
      </c>
      <c r="H6968" t="s">
        <v>9186</v>
      </c>
      <c r="J6968" s="54" t="s">
        <v>6052</v>
      </c>
      <c r="K6968" s="54">
        <v>0</v>
      </c>
      <c r="L6968" s="22" t="s">
        <v>104</v>
      </c>
      <c r="M6968" s="22" t="s">
        <v>37307</v>
      </c>
    </row>
    <row r="6969" spans="1:13" x14ac:dyDescent="0.75">
      <c r="A6969" t="s">
        <v>9169</v>
      </c>
      <c r="B6969" t="s">
        <v>6112</v>
      </c>
      <c r="C6969" t="s">
        <v>6093</v>
      </c>
      <c r="D6969" t="s">
        <v>6113</v>
      </c>
      <c r="E6969" t="s">
        <v>9170</v>
      </c>
      <c r="F6969">
        <v>102</v>
      </c>
      <c r="G6969">
        <v>1962026</v>
      </c>
      <c r="H6969" t="s">
        <v>9171</v>
      </c>
      <c r="J6969" s="54" t="s">
        <v>6052</v>
      </c>
      <c r="K6969" s="54">
        <v>0</v>
      </c>
      <c r="L6969" s="22" t="s">
        <v>104</v>
      </c>
      <c r="M6969" s="22" t="s">
        <v>37307</v>
      </c>
    </row>
    <row r="6970" spans="1:13" x14ac:dyDescent="0.75">
      <c r="A6970" t="s">
        <v>9187</v>
      </c>
      <c r="B6970" t="s">
        <v>6112</v>
      </c>
      <c r="C6970" t="s">
        <v>6093</v>
      </c>
      <c r="D6970" t="s">
        <v>6113</v>
      </c>
      <c r="E6970" t="s">
        <v>9188</v>
      </c>
      <c r="F6970">
        <v>113</v>
      </c>
      <c r="G6970">
        <v>2006044</v>
      </c>
      <c r="H6970" t="s">
        <v>9189</v>
      </c>
      <c r="J6970" s="54" t="s">
        <v>6052</v>
      </c>
      <c r="K6970" s="54">
        <v>0</v>
      </c>
      <c r="L6970" s="22" t="s">
        <v>104</v>
      </c>
      <c r="M6970" s="22" t="s">
        <v>37307</v>
      </c>
    </row>
    <row r="6971" spans="1:13" x14ac:dyDescent="0.75">
      <c r="A6971" t="s">
        <v>17032</v>
      </c>
      <c r="B6971" t="s">
        <v>6112</v>
      </c>
      <c r="C6971" t="s">
        <v>6093</v>
      </c>
      <c r="D6971" t="s">
        <v>6113</v>
      </c>
      <c r="E6971" t="s">
        <v>17033</v>
      </c>
      <c r="F6971">
        <v>1</v>
      </c>
      <c r="G6971">
        <v>2018796</v>
      </c>
      <c r="H6971" t="s">
        <v>17034</v>
      </c>
      <c r="J6971" s="54" t="s">
        <v>6052</v>
      </c>
      <c r="K6971" s="54">
        <v>0</v>
      </c>
      <c r="L6971" s="22" t="s">
        <v>104</v>
      </c>
      <c r="M6971" s="22" t="s">
        <v>37307</v>
      </c>
    </row>
    <row r="6972" spans="1:13" x14ac:dyDescent="0.75">
      <c r="A6972" t="s">
        <v>17923</v>
      </c>
      <c r="B6972" t="s">
        <v>6112</v>
      </c>
      <c r="C6972" t="s">
        <v>6093</v>
      </c>
      <c r="D6972" t="s">
        <v>6113</v>
      </c>
      <c r="E6972" t="s">
        <v>17924</v>
      </c>
      <c r="F6972">
        <v>3</v>
      </c>
      <c r="G6972">
        <v>2028032</v>
      </c>
      <c r="H6972" t="s">
        <v>17925</v>
      </c>
      <c r="J6972" s="54" t="s">
        <v>6052</v>
      </c>
      <c r="K6972" s="54">
        <v>0</v>
      </c>
      <c r="L6972" s="22" t="s">
        <v>104</v>
      </c>
      <c r="M6972" s="22" t="s">
        <v>37307</v>
      </c>
    </row>
    <row r="6973" spans="1:13" x14ac:dyDescent="0.75">
      <c r="A6973" t="s">
        <v>9266</v>
      </c>
      <c r="B6973" t="s">
        <v>6112</v>
      </c>
      <c r="C6973" t="s">
        <v>6093</v>
      </c>
      <c r="D6973" t="s">
        <v>6113</v>
      </c>
      <c r="E6973" t="s">
        <v>9267</v>
      </c>
      <c r="F6973">
        <v>36</v>
      </c>
      <c r="G6973">
        <v>2021313</v>
      </c>
      <c r="H6973" t="s">
        <v>9268</v>
      </c>
      <c r="J6973" s="54" t="s">
        <v>6052</v>
      </c>
      <c r="K6973" s="54">
        <v>0</v>
      </c>
      <c r="L6973" s="22" t="s">
        <v>104</v>
      </c>
      <c r="M6973" s="22" t="s">
        <v>37307</v>
      </c>
    </row>
    <row r="6974" spans="1:13" x14ac:dyDescent="0.75">
      <c r="A6974" t="s">
        <v>27675</v>
      </c>
      <c r="B6974" t="s">
        <v>6112</v>
      </c>
      <c r="C6974" t="s">
        <v>6093</v>
      </c>
      <c r="D6974" t="s">
        <v>6113</v>
      </c>
      <c r="E6974" t="s">
        <v>27676</v>
      </c>
      <c r="F6974">
        <v>1</v>
      </c>
      <c r="G6974">
        <v>2019343</v>
      </c>
      <c r="H6974" t="s">
        <v>27677</v>
      </c>
      <c r="J6974" s="54" t="s">
        <v>6052</v>
      </c>
      <c r="K6974" s="54">
        <v>0</v>
      </c>
      <c r="L6974" s="22" t="s">
        <v>104</v>
      </c>
      <c r="M6974" s="22" t="s">
        <v>37307</v>
      </c>
    </row>
    <row r="6975" spans="1:13" x14ac:dyDescent="0.75">
      <c r="A6975" t="s">
        <v>27948</v>
      </c>
      <c r="B6975" t="s">
        <v>6112</v>
      </c>
      <c r="C6975" t="s">
        <v>6093</v>
      </c>
      <c r="D6975" t="s">
        <v>6113</v>
      </c>
      <c r="E6975" t="s">
        <v>27949</v>
      </c>
      <c r="F6975">
        <v>1</v>
      </c>
      <c r="G6975">
        <v>2005322</v>
      </c>
      <c r="H6975" t="s">
        <v>27950</v>
      </c>
      <c r="J6975" s="54" t="s">
        <v>6052</v>
      </c>
      <c r="K6975" s="54">
        <v>0</v>
      </c>
      <c r="L6975" s="22" t="s">
        <v>104</v>
      </c>
      <c r="M6975" s="22" t="s">
        <v>37307</v>
      </c>
    </row>
    <row r="6976" spans="1:13" x14ac:dyDescent="0.75">
      <c r="A6976" t="s">
        <v>26600</v>
      </c>
      <c r="B6976" t="s">
        <v>11795</v>
      </c>
      <c r="C6976" t="s">
        <v>6093</v>
      </c>
      <c r="D6976" t="s">
        <v>11796</v>
      </c>
      <c r="E6976" t="s">
        <v>26601</v>
      </c>
      <c r="F6976">
        <v>1</v>
      </c>
      <c r="G6976">
        <v>1852351</v>
      </c>
      <c r="H6976" t="s">
        <v>26602</v>
      </c>
      <c r="J6976" s="54" t="s">
        <v>6052</v>
      </c>
      <c r="K6976" s="54">
        <v>0</v>
      </c>
      <c r="L6976" s="22" t="s">
        <v>1563</v>
      </c>
      <c r="M6976" s="22" t="s">
        <v>37314</v>
      </c>
    </row>
    <row r="6977" spans="1:13" x14ac:dyDescent="0.75">
      <c r="A6977" t="s">
        <v>27626</v>
      </c>
      <c r="B6977" t="s">
        <v>6112</v>
      </c>
      <c r="C6977" t="s">
        <v>6093</v>
      </c>
      <c r="D6977" t="s">
        <v>6113</v>
      </c>
      <c r="E6977" t="s">
        <v>27627</v>
      </c>
      <c r="F6977">
        <v>2</v>
      </c>
      <c r="G6977">
        <v>2022743</v>
      </c>
      <c r="H6977" t="s">
        <v>27628</v>
      </c>
      <c r="J6977" s="54" t="s">
        <v>6052</v>
      </c>
      <c r="K6977" s="54">
        <v>0</v>
      </c>
      <c r="L6977" s="22" t="s">
        <v>104</v>
      </c>
      <c r="M6977" s="22" t="s">
        <v>37307</v>
      </c>
    </row>
    <row r="6978" spans="1:13" x14ac:dyDescent="0.75">
      <c r="A6978" t="s">
        <v>9101</v>
      </c>
      <c r="B6978" t="s">
        <v>6112</v>
      </c>
      <c r="C6978" t="s">
        <v>6093</v>
      </c>
      <c r="D6978" t="s">
        <v>6113</v>
      </c>
      <c r="E6978" t="s">
        <v>9102</v>
      </c>
      <c r="F6978">
        <v>131</v>
      </c>
      <c r="G6978">
        <v>2002107</v>
      </c>
      <c r="H6978" t="s">
        <v>9103</v>
      </c>
      <c r="J6978" s="54" t="s">
        <v>6052</v>
      </c>
      <c r="K6978" s="54">
        <v>0</v>
      </c>
      <c r="L6978" s="22" t="s">
        <v>104</v>
      </c>
      <c r="M6978" s="22" t="s">
        <v>37307</v>
      </c>
    </row>
    <row r="6979" spans="1:13" x14ac:dyDescent="0.75">
      <c r="A6979" t="s">
        <v>9086</v>
      </c>
      <c r="B6979" t="s">
        <v>6112</v>
      </c>
      <c r="C6979" t="s">
        <v>6093</v>
      </c>
      <c r="D6979" t="s">
        <v>6113</v>
      </c>
      <c r="E6979" t="s">
        <v>9087</v>
      </c>
      <c r="F6979">
        <v>115</v>
      </c>
      <c r="G6979">
        <v>1990978</v>
      </c>
      <c r="H6979" t="s">
        <v>9088</v>
      </c>
      <c r="J6979" s="54" t="s">
        <v>6052</v>
      </c>
      <c r="K6979" s="54">
        <v>0</v>
      </c>
      <c r="L6979" s="22" t="s">
        <v>104</v>
      </c>
      <c r="M6979" s="22" t="s">
        <v>37307</v>
      </c>
    </row>
    <row r="6980" spans="1:13" x14ac:dyDescent="0.75">
      <c r="A6980" t="s">
        <v>11953</v>
      </c>
      <c r="B6980" t="s">
        <v>6112</v>
      </c>
      <c r="C6980" t="s">
        <v>6093</v>
      </c>
      <c r="D6980" t="s">
        <v>6113</v>
      </c>
      <c r="E6980" t="s">
        <v>11954</v>
      </c>
      <c r="F6980">
        <v>1</v>
      </c>
      <c r="G6980">
        <v>1984441</v>
      </c>
      <c r="H6980" t="s">
        <v>11955</v>
      </c>
      <c r="J6980" s="54" t="s">
        <v>6052</v>
      </c>
      <c r="K6980" s="54">
        <v>0</v>
      </c>
      <c r="L6980" s="22" t="s">
        <v>104</v>
      </c>
      <c r="M6980" s="22" t="s">
        <v>37307</v>
      </c>
    </row>
    <row r="6981" spans="1:13" x14ac:dyDescent="0.75">
      <c r="A6981" t="s">
        <v>9202</v>
      </c>
      <c r="B6981" t="s">
        <v>6112</v>
      </c>
      <c r="C6981" t="s">
        <v>6093</v>
      </c>
      <c r="D6981" t="s">
        <v>6113</v>
      </c>
      <c r="E6981" t="s">
        <v>9203</v>
      </c>
      <c r="F6981">
        <v>139</v>
      </c>
      <c r="G6981">
        <v>2036028</v>
      </c>
      <c r="H6981" t="s">
        <v>9204</v>
      </c>
      <c r="J6981" s="54" t="s">
        <v>6052</v>
      </c>
      <c r="K6981" s="54">
        <v>0</v>
      </c>
      <c r="L6981" s="22" t="s">
        <v>104</v>
      </c>
      <c r="M6981" s="22" t="s">
        <v>37307</v>
      </c>
    </row>
    <row r="6982" spans="1:13" x14ac:dyDescent="0.75">
      <c r="A6982" t="s">
        <v>9172</v>
      </c>
      <c r="B6982" t="s">
        <v>6112</v>
      </c>
      <c r="C6982" t="s">
        <v>6093</v>
      </c>
      <c r="D6982" t="s">
        <v>6113</v>
      </c>
      <c r="E6982" t="s">
        <v>9173</v>
      </c>
      <c r="F6982">
        <v>116</v>
      </c>
      <c r="G6982">
        <v>1968630</v>
      </c>
      <c r="H6982" t="s">
        <v>9174</v>
      </c>
      <c r="J6982" s="54" t="s">
        <v>6052</v>
      </c>
      <c r="K6982" s="54">
        <v>0</v>
      </c>
      <c r="L6982" s="22" t="s">
        <v>104</v>
      </c>
      <c r="M6982" s="22" t="s">
        <v>37307</v>
      </c>
    </row>
    <row r="6983" spans="1:13" x14ac:dyDescent="0.75">
      <c r="A6983" t="s">
        <v>9175</v>
      </c>
      <c r="B6983" t="s">
        <v>6112</v>
      </c>
      <c r="C6983" t="s">
        <v>6093</v>
      </c>
      <c r="D6983" t="s">
        <v>6113</v>
      </c>
      <c r="E6983" t="s">
        <v>9176</v>
      </c>
      <c r="F6983">
        <v>105</v>
      </c>
      <c r="G6983">
        <v>1941389</v>
      </c>
      <c r="H6983" t="s">
        <v>9177</v>
      </c>
      <c r="J6983" s="54" t="s">
        <v>6052</v>
      </c>
      <c r="K6983" s="54">
        <v>0</v>
      </c>
      <c r="L6983" s="22" t="s">
        <v>104</v>
      </c>
      <c r="M6983" s="22" t="s">
        <v>37307</v>
      </c>
    </row>
    <row r="6984" spans="1:13" x14ac:dyDescent="0.75">
      <c r="A6984" t="s">
        <v>9116</v>
      </c>
      <c r="B6984" t="s">
        <v>6112</v>
      </c>
      <c r="C6984" t="s">
        <v>6093</v>
      </c>
      <c r="D6984" t="s">
        <v>6113</v>
      </c>
      <c r="E6984" t="s">
        <v>9117</v>
      </c>
      <c r="F6984">
        <v>135</v>
      </c>
      <c r="G6984">
        <v>1963147</v>
      </c>
      <c r="H6984" t="s">
        <v>9118</v>
      </c>
      <c r="J6984" s="54" t="s">
        <v>6052</v>
      </c>
      <c r="K6984" s="54">
        <v>0</v>
      </c>
      <c r="L6984" s="22" t="s">
        <v>104</v>
      </c>
      <c r="M6984" s="22" t="s">
        <v>37307</v>
      </c>
    </row>
    <row r="6985" spans="1:13" x14ac:dyDescent="0.75">
      <c r="A6985" t="s">
        <v>9178</v>
      </c>
      <c r="B6985" t="s">
        <v>6112</v>
      </c>
      <c r="C6985" t="s">
        <v>6093</v>
      </c>
      <c r="D6985" t="s">
        <v>6113</v>
      </c>
      <c r="E6985" t="s">
        <v>9179</v>
      </c>
      <c r="F6985">
        <v>99</v>
      </c>
      <c r="G6985">
        <v>1996009</v>
      </c>
      <c r="H6985" t="s">
        <v>9180</v>
      </c>
      <c r="J6985" s="54" t="s">
        <v>6052</v>
      </c>
      <c r="K6985" s="54">
        <v>0</v>
      </c>
      <c r="L6985" s="22" t="s">
        <v>104</v>
      </c>
      <c r="M6985" s="22" t="s">
        <v>37307</v>
      </c>
    </row>
    <row r="6986" spans="1:13" x14ac:dyDescent="0.75">
      <c r="A6986" t="s">
        <v>9095</v>
      </c>
      <c r="B6986" t="s">
        <v>6112</v>
      </c>
      <c r="C6986" t="s">
        <v>6093</v>
      </c>
      <c r="D6986" t="s">
        <v>6113</v>
      </c>
      <c r="E6986" t="s">
        <v>9096</v>
      </c>
      <c r="F6986">
        <v>97</v>
      </c>
      <c r="G6986">
        <v>1926604</v>
      </c>
      <c r="H6986" t="s">
        <v>9097</v>
      </c>
      <c r="J6986" s="54" t="s">
        <v>6052</v>
      </c>
      <c r="K6986" s="54">
        <v>0</v>
      </c>
      <c r="L6986" s="22" t="s">
        <v>104</v>
      </c>
      <c r="M6986" s="22" t="s">
        <v>37307</v>
      </c>
    </row>
    <row r="6987" spans="1:13" x14ac:dyDescent="0.75">
      <c r="A6987" t="s">
        <v>6547</v>
      </c>
      <c r="B6987" t="s">
        <v>6112</v>
      </c>
      <c r="C6987" t="s">
        <v>6093</v>
      </c>
      <c r="D6987" t="s">
        <v>6113</v>
      </c>
      <c r="E6987" t="s">
        <v>6548</v>
      </c>
      <c r="F6987">
        <v>1</v>
      </c>
      <c r="G6987">
        <v>2013587</v>
      </c>
      <c r="H6987" t="s">
        <v>6549</v>
      </c>
      <c r="J6987" s="54" t="s">
        <v>6052</v>
      </c>
      <c r="K6987" s="54">
        <v>0</v>
      </c>
      <c r="L6987" s="22" t="s">
        <v>104</v>
      </c>
      <c r="M6987" s="22" t="s">
        <v>37307</v>
      </c>
    </row>
    <row r="6988" spans="1:13" x14ac:dyDescent="0.75">
      <c r="A6988" t="s">
        <v>9104</v>
      </c>
      <c r="B6988" t="s">
        <v>6112</v>
      </c>
      <c r="C6988" t="s">
        <v>6093</v>
      </c>
      <c r="D6988" t="s">
        <v>6113</v>
      </c>
      <c r="E6988" t="s">
        <v>9105</v>
      </c>
      <c r="F6988">
        <v>130</v>
      </c>
      <c r="G6988">
        <v>2015161</v>
      </c>
      <c r="H6988" t="s">
        <v>9106</v>
      </c>
      <c r="J6988" s="54" t="s">
        <v>6052</v>
      </c>
      <c r="K6988" s="54">
        <v>0</v>
      </c>
      <c r="L6988" s="22" t="s">
        <v>104</v>
      </c>
      <c r="M6988" s="22" t="s">
        <v>37307</v>
      </c>
    </row>
    <row r="6989" spans="1:13" x14ac:dyDescent="0.75">
      <c r="A6989" t="s">
        <v>9154</v>
      </c>
      <c r="B6989" t="s">
        <v>6112</v>
      </c>
      <c r="C6989" t="s">
        <v>6093</v>
      </c>
      <c r="D6989" t="s">
        <v>6113</v>
      </c>
      <c r="E6989" t="s">
        <v>9155</v>
      </c>
      <c r="F6989">
        <v>102</v>
      </c>
      <c r="G6989">
        <v>1944173</v>
      </c>
      <c r="H6989" t="s">
        <v>9156</v>
      </c>
      <c r="J6989" s="54" t="s">
        <v>6052</v>
      </c>
      <c r="K6989" s="54">
        <v>0</v>
      </c>
      <c r="L6989" s="22" t="s">
        <v>104</v>
      </c>
      <c r="M6989" s="22" t="s">
        <v>37307</v>
      </c>
    </row>
    <row r="6990" spans="1:13" x14ac:dyDescent="0.75">
      <c r="A6990" t="s">
        <v>9136</v>
      </c>
      <c r="B6990" t="s">
        <v>6112</v>
      </c>
      <c r="C6990" t="s">
        <v>6093</v>
      </c>
      <c r="D6990" t="s">
        <v>6113</v>
      </c>
      <c r="E6990" t="s">
        <v>9137</v>
      </c>
      <c r="F6990">
        <v>130</v>
      </c>
      <c r="G6990">
        <v>2003229</v>
      </c>
      <c r="H6990" t="s">
        <v>9138</v>
      </c>
      <c r="J6990" s="54" t="s">
        <v>6052</v>
      </c>
      <c r="K6990" s="54">
        <v>0</v>
      </c>
      <c r="L6990" s="22" t="s">
        <v>104</v>
      </c>
      <c r="M6990" s="22" t="s">
        <v>37307</v>
      </c>
    </row>
    <row r="6991" spans="1:13" x14ac:dyDescent="0.75">
      <c r="A6991" t="s">
        <v>21508</v>
      </c>
      <c r="B6991" t="s">
        <v>6112</v>
      </c>
      <c r="C6991" t="s">
        <v>6093</v>
      </c>
      <c r="D6991" t="s">
        <v>6113</v>
      </c>
      <c r="E6991" t="s">
        <v>9137</v>
      </c>
      <c r="F6991">
        <v>1</v>
      </c>
      <c r="G6991">
        <v>2060302</v>
      </c>
      <c r="H6991" t="s">
        <v>21509</v>
      </c>
      <c r="J6991" s="54" t="s">
        <v>6052</v>
      </c>
      <c r="K6991" s="54">
        <v>0</v>
      </c>
      <c r="L6991" s="22" t="s">
        <v>104</v>
      </c>
      <c r="M6991" s="22" t="s">
        <v>37307</v>
      </c>
    </row>
    <row r="6992" spans="1:13" x14ac:dyDescent="0.75">
      <c r="A6992" t="s">
        <v>24245</v>
      </c>
      <c r="B6992" t="s">
        <v>11795</v>
      </c>
      <c r="C6992" t="s">
        <v>6093</v>
      </c>
      <c r="D6992" t="s">
        <v>11796</v>
      </c>
      <c r="E6992" t="s">
        <v>24246</v>
      </c>
      <c r="F6992">
        <v>1</v>
      </c>
      <c r="G6992">
        <v>1897009</v>
      </c>
      <c r="H6992" t="s">
        <v>24247</v>
      </c>
      <c r="J6992" s="54" t="s">
        <v>6052</v>
      </c>
      <c r="K6992" s="54">
        <v>0</v>
      </c>
      <c r="L6992" s="22" t="s">
        <v>1563</v>
      </c>
      <c r="M6992" s="22" t="s">
        <v>37314</v>
      </c>
    </row>
    <row r="6993" spans="1:13" x14ac:dyDescent="0.75">
      <c r="A6993" t="s">
        <v>18186</v>
      </c>
      <c r="B6993" t="s">
        <v>6112</v>
      </c>
      <c r="C6993" t="s">
        <v>6093</v>
      </c>
      <c r="D6993" t="s">
        <v>6113</v>
      </c>
      <c r="E6993" t="s">
        <v>18187</v>
      </c>
      <c r="F6993">
        <v>1</v>
      </c>
      <c r="G6993">
        <v>2085371</v>
      </c>
      <c r="H6993" t="s">
        <v>18188</v>
      </c>
      <c r="J6993" s="54" t="s">
        <v>6052</v>
      </c>
      <c r="K6993" s="54">
        <v>0</v>
      </c>
      <c r="L6993" s="22" t="s">
        <v>104</v>
      </c>
      <c r="M6993" s="22" t="s">
        <v>37307</v>
      </c>
    </row>
    <row r="6994" spans="1:13" x14ac:dyDescent="0.75">
      <c r="A6994" t="s">
        <v>26520</v>
      </c>
      <c r="B6994" t="s">
        <v>6112</v>
      </c>
      <c r="C6994" t="s">
        <v>6093</v>
      </c>
      <c r="D6994" t="s">
        <v>6113</v>
      </c>
      <c r="E6994" t="s">
        <v>26521</v>
      </c>
      <c r="F6994">
        <v>23</v>
      </c>
      <c r="G6994">
        <v>1981793</v>
      </c>
      <c r="H6994" t="s">
        <v>26522</v>
      </c>
      <c r="J6994" s="54" t="s">
        <v>6052</v>
      </c>
      <c r="K6994" s="54">
        <v>0</v>
      </c>
      <c r="L6994" s="22" t="s">
        <v>104</v>
      </c>
      <c r="M6994" s="22" t="s">
        <v>37307</v>
      </c>
    </row>
    <row r="6995" spans="1:13" x14ac:dyDescent="0.75">
      <c r="A6995" t="s">
        <v>26517</v>
      </c>
      <c r="B6995" t="s">
        <v>6112</v>
      </c>
      <c r="C6995" t="s">
        <v>6093</v>
      </c>
      <c r="D6995" t="s">
        <v>6113</v>
      </c>
      <c r="E6995" t="s">
        <v>26518</v>
      </c>
      <c r="F6995">
        <v>20</v>
      </c>
      <c r="G6995">
        <v>1981669</v>
      </c>
      <c r="H6995" t="s">
        <v>26519</v>
      </c>
      <c r="J6995" s="54" t="s">
        <v>6052</v>
      </c>
      <c r="K6995" s="54">
        <v>0</v>
      </c>
      <c r="L6995" s="22" t="s">
        <v>104</v>
      </c>
      <c r="M6995" s="22" t="s">
        <v>37307</v>
      </c>
    </row>
    <row r="6996" spans="1:13" x14ac:dyDescent="0.75">
      <c r="A6996" t="s">
        <v>26514</v>
      </c>
      <c r="B6996" t="s">
        <v>6112</v>
      </c>
      <c r="C6996" t="s">
        <v>6093</v>
      </c>
      <c r="D6996" t="s">
        <v>6113</v>
      </c>
      <c r="E6996" t="s">
        <v>26515</v>
      </c>
      <c r="F6996">
        <v>18</v>
      </c>
      <c r="G6996">
        <v>1972578</v>
      </c>
      <c r="H6996" t="s">
        <v>26516</v>
      </c>
      <c r="J6996" s="54" t="s">
        <v>6052</v>
      </c>
      <c r="K6996" s="54">
        <v>0</v>
      </c>
      <c r="L6996" s="22" t="s">
        <v>104</v>
      </c>
      <c r="M6996" s="22" t="s">
        <v>37307</v>
      </c>
    </row>
    <row r="6997" spans="1:13" x14ac:dyDescent="0.75">
      <c r="A6997" t="s">
        <v>26461</v>
      </c>
      <c r="B6997" t="s">
        <v>6112</v>
      </c>
      <c r="C6997" t="s">
        <v>6093</v>
      </c>
      <c r="D6997" t="s">
        <v>6113</v>
      </c>
      <c r="E6997" t="s">
        <v>26462</v>
      </c>
      <c r="F6997">
        <v>25</v>
      </c>
      <c r="G6997">
        <v>2010966</v>
      </c>
      <c r="H6997" t="s">
        <v>26463</v>
      </c>
      <c r="J6997" s="54" t="s">
        <v>6052</v>
      </c>
      <c r="K6997" s="54">
        <v>0</v>
      </c>
      <c r="L6997" s="22" t="s">
        <v>104</v>
      </c>
      <c r="M6997" s="22" t="s">
        <v>37307</v>
      </c>
    </row>
    <row r="6998" spans="1:13" x14ac:dyDescent="0.75">
      <c r="A6998" t="s">
        <v>26523</v>
      </c>
      <c r="B6998" t="s">
        <v>6112</v>
      </c>
      <c r="C6998" t="s">
        <v>6093</v>
      </c>
      <c r="D6998" t="s">
        <v>6113</v>
      </c>
      <c r="E6998" t="s">
        <v>26524</v>
      </c>
      <c r="F6998">
        <v>32</v>
      </c>
      <c r="G6998">
        <v>2026624</v>
      </c>
      <c r="H6998" t="s">
        <v>26525</v>
      </c>
      <c r="J6998" s="54" t="s">
        <v>6052</v>
      </c>
      <c r="K6998" s="54">
        <v>0</v>
      </c>
      <c r="L6998" s="22" t="s">
        <v>104</v>
      </c>
      <c r="M6998" s="22" t="s">
        <v>37307</v>
      </c>
    </row>
    <row r="6999" spans="1:13" x14ac:dyDescent="0.75">
      <c r="A6999" t="s">
        <v>18183</v>
      </c>
      <c r="B6999" t="s">
        <v>6112</v>
      </c>
      <c r="C6999" t="s">
        <v>6093</v>
      </c>
      <c r="D6999" t="s">
        <v>6113</v>
      </c>
      <c r="E6999" t="s">
        <v>18184</v>
      </c>
      <c r="F6999">
        <v>1</v>
      </c>
      <c r="G6999">
        <v>2085254</v>
      </c>
      <c r="H6999" t="s">
        <v>18185</v>
      </c>
      <c r="J6999" s="54" t="s">
        <v>6052</v>
      </c>
      <c r="K6999" s="54">
        <v>0</v>
      </c>
      <c r="L6999" s="22" t="s">
        <v>104</v>
      </c>
      <c r="M6999" s="22" t="s">
        <v>37307</v>
      </c>
    </row>
    <row r="7000" spans="1:13" x14ac:dyDescent="0.75">
      <c r="A7000" t="s">
        <v>13792</v>
      </c>
      <c r="B7000" t="s">
        <v>6112</v>
      </c>
      <c r="C7000" t="s">
        <v>6093</v>
      </c>
      <c r="D7000" t="s">
        <v>6113</v>
      </c>
      <c r="E7000" t="s">
        <v>13793</v>
      </c>
      <c r="F7000">
        <v>36</v>
      </c>
      <c r="G7000">
        <v>1995598</v>
      </c>
      <c r="H7000" t="s">
        <v>13794</v>
      </c>
      <c r="J7000" s="54" t="s">
        <v>6052</v>
      </c>
      <c r="K7000" s="54">
        <v>0</v>
      </c>
      <c r="L7000" s="22" t="s">
        <v>104</v>
      </c>
      <c r="M7000" s="22" t="s">
        <v>37307</v>
      </c>
    </row>
    <row r="7001" spans="1:13" x14ac:dyDescent="0.75">
      <c r="A7001" t="s">
        <v>13789</v>
      </c>
      <c r="B7001" t="s">
        <v>6112</v>
      </c>
      <c r="C7001" t="s">
        <v>6093</v>
      </c>
      <c r="D7001" t="s">
        <v>6113</v>
      </c>
      <c r="E7001" t="s">
        <v>13790</v>
      </c>
      <c r="F7001">
        <v>52</v>
      </c>
      <c r="G7001">
        <v>2003657</v>
      </c>
      <c r="H7001" t="s">
        <v>13791</v>
      </c>
      <c r="J7001" s="54" t="s">
        <v>6052</v>
      </c>
      <c r="K7001" s="54">
        <v>0</v>
      </c>
      <c r="L7001" s="22" t="s">
        <v>104</v>
      </c>
      <c r="M7001" s="22" t="s">
        <v>37307</v>
      </c>
    </row>
    <row r="7002" spans="1:13" x14ac:dyDescent="0.75">
      <c r="A7002" t="s">
        <v>13780</v>
      </c>
      <c r="B7002" t="s">
        <v>6112</v>
      </c>
      <c r="C7002" t="s">
        <v>6093</v>
      </c>
      <c r="D7002" t="s">
        <v>6113</v>
      </c>
      <c r="E7002" t="s">
        <v>13781</v>
      </c>
      <c r="F7002">
        <v>54</v>
      </c>
      <c r="G7002">
        <v>2004353</v>
      </c>
      <c r="H7002" t="s">
        <v>13782</v>
      </c>
      <c r="J7002" s="54" t="s">
        <v>6052</v>
      </c>
      <c r="K7002" s="54">
        <v>0</v>
      </c>
      <c r="L7002" s="22" t="s">
        <v>104</v>
      </c>
      <c r="M7002" s="22" t="s">
        <v>37307</v>
      </c>
    </row>
    <row r="7003" spans="1:13" x14ac:dyDescent="0.75">
      <c r="A7003" t="s">
        <v>13765</v>
      </c>
      <c r="B7003" t="s">
        <v>6112</v>
      </c>
      <c r="C7003" t="s">
        <v>6093</v>
      </c>
      <c r="D7003" t="s">
        <v>6113</v>
      </c>
      <c r="E7003" t="s">
        <v>13766</v>
      </c>
      <c r="F7003">
        <v>40</v>
      </c>
      <c r="G7003">
        <v>1990377</v>
      </c>
      <c r="H7003" t="s">
        <v>13767</v>
      </c>
      <c r="J7003" s="54" t="s">
        <v>6052</v>
      </c>
      <c r="K7003" s="54">
        <v>0</v>
      </c>
      <c r="L7003" s="22" t="s">
        <v>104</v>
      </c>
      <c r="M7003" s="22" t="s">
        <v>37307</v>
      </c>
    </row>
    <row r="7004" spans="1:13" x14ac:dyDescent="0.75">
      <c r="A7004" t="s">
        <v>18553</v>
      </c>
      <c r="B7004" t="s">
        <v>11795</v>
      </c>
      <c r="C7004" t="s">
        <v>6093</v>
      </c>
      <c r="D7004" t="s">
        <v>11796</v>
      </c>
      <c r="E7004" t="s">
        <v>18554</v>
      </c>
      <c r="F7004">
        <v>1</v>
      </c>
      <c r="G7004">
        <v>1858890</v>
      </c>
      <c r="H7004" t="s">
        <v>18555</v>
      </c>
      <c r="J7004" s="54" t="s">
        <v>6052</v>
      </c>
      <c r="K7004" s="54">
        <v>0</v>
      </c>
      <c r="L7004" s="22" t="s">
        <v>1563</v>
      </c>
      <c r="M7004" s="22" t="s">
        <v>37314</v>
      </c>
    </row>
    <row r="7005" spans="1:13" x14ac:dyDescent="0.75">
      <c r="A7005" t="s">
        <v>13681</v>
      </c>
      <c r="B7005" t="s">
        <v>7438</v>
      </c>
      <c r="C7005" t="s">
        <v>6093</v>
      </c>
      <c r="D7005" t="s">
        <v>7439</v>
      </c>
      <c r="E7005" t="s">
        <v>13682</v>
      </c>
      <c r="F7005">
        <v>1</v>
      </c>
      <c r="G7005">
        <v>2227680</v>
      </c>
      <c r="H7005" t="s">
        <v>13683</v>
      </c>
      <c r="J7005" s="54" t="s">
        <v>6052</v>
      </c>
      <c r="K7005" s="54">
        <v>0</v>
      </c>
      <c r="L7005" s="22" t="s">
        <v>1563</v>
      </c>
      <c r="M7005" s="22" t="s">
        <v>37328</v>
      </c>
    </row>
    <row r="7006" spans="1:13" x14ac:dyDescent="0.75">
      <c r="A7006" t="s">
        <v>13786</v>
      </c>
      <c r="B7006" t="s">
        <v>6112</v>
      </c>
      <c r="C7006" t="s">
        <v>6093</v>
      </c>
      <c r="D7006" t="s">
        <v>6113</v>
      </c>
      <c r="E7006" t="s">
        <v>13787</v>
      </c>
      <c r="F7006">
        <v>52</v>
      </c>
      <c r="G7006">
        <v>1980074</v>
      </c>
      <c r="H7006" t="s">
        <v>13788</v>
      </c>
      <c r="J7006" s="54" t="s">
        <v>6052</v>
      </c>
      <c r="K7006" s="54">
        <v>0</v>
      </c>
      <c r="L7006" s="22" t="s">
        <v>104</v>
      </c>
      <c r="M7006" s="22" t="s">
        <v>37307</v>
      </c>
    </row>
    <row r="7007" spans="1:13" x14ac:dyDescent="0.75">
      <c r="A7007" t="s">
        <v>13768</v>
      </c>
      <c r="B7007" t="s">
        <v>6112</v>
      </c>
      <c r="C7007" t="s">
        <v>6093</v>
      </c>
      <c r="D7007" t="s">
        <v>6113</v>
      </c>
      <c r="E7007" t="s">
        <v>13769</v>
      </c>
      <c r="F7007">
        <v>42</v>
      </c>
      <c r="G7007">
        <v>1998996</v>
      </c>
      <c r="H7007" t="s">
        <v>13770</v>
      </c>
      <c r="J7007" s="54" t="s">
        <v>6052</v>
      </c>
      <c r="K7007" s="54">
        <v>0</v>
      </c>
      <c r="L7007" s="22" t="s">
        <v>104</v>
      </c>
      <c r="M7007" s="22" t="s">
        <v>37307</v>
      </c>
    </row>
    <row r="7008" spans="1:13" x14ac:dyDescent="0.75">
      <c r="A7008" t="s">
        <v>13771</v>
      </c>
      <c r="B7008" t="s">
        <v>6112</v>
      </c>
      <c r="C7008" t="s">
        <v>6093</v>
      </c>
      <c r="D7008" t="s">
        <v>6113</v>
      </c>
      <c r="E7008" t="s">
        <v>13772</v>
      </c>
      <c r="F7008">
        <v>37</v>
      </c>
      <c r="G7008">
        <v>1984238</v>
      </c>
      <c r="H7008" t="s">
        <v>13773</v>
      </c>
      <c r="J7008" s="54" t="s">
        <v>6052</v>
      </c>
      <c r="K7008" s="54">
        <v>0</v>
      </c>
      <c r="L7008" s="22" t="s">
        <v>104</v>
      </c>
      <c r="M7008" s="22" t="s">
        <v>37307</v>
      </c>
    </row>
    <row r="7009" spans="1:13" x14ac:dyDescent="0.75">
      <c r="A7009" t="s">
        <v>13762</v>
      </c>
      <c r="B7009" t="s">
        <v>6112</v>
      </c>
      <c r="C7009" t="s">
        <v>6093</v>
      </c>
      <c r="D7009" t="s">
        <v>6113</v>
      </c>
      <c r="E7009" t="s">
        <v>13763</v>
      </c>
      <c r="F7009">
        <v>57</v>
      </c>
      <c r="G7009">
        <v>2012978</v>
      </c>
      <c r="H7009" t="s">
        <v>13764</v>
      </c>
      <c r="J7009" s="54" t="s">
        <v>6052</v>
      </c>
      <c r="K7009" s="54">
        <v>0</v>
      </c>
      <c r="L7009" s="22" t="s">
        <v>104</v>
      </c>
      <c r="M7009" s="22" t="s">
        <v>37307</v>
      </c>
    </row>
    <row r="7010" spans="1:13" x14ac:dyDescent="0.75">
      <c r="A7010" t="s">
        <v>13783</v>
      </c>
      <c r="B7010" t="s">
        <v>6112</v>
      </c>
      <c r="C7010" t="s">
        <v>6093</v>
      </c>
      <c r="D7010" t="s">
        <v>6113</v>
      </c>
      <c r="E7010" t="s">
        <v>13784</v>
      </c>
      <c r="F7010">
        <v>64</v>
      </c>
      <c r="G7010">
        <v>2001751</v>
      </c>
      <c r="H7010" t="s">
        <v>13785</v>
      </c>
      <c r="J7010" s="54" t="s">
        <v>6052</v>
      </c>
      <c r="K7010" s="54">
        <v>0</v>
      </c>
      <c r="L7010" s="22" t="s">
        <v>104</v>
      </c>
      <c r="M7010" s="22" t="s">
        <v>37307</v>
      </c>
    </row>
    <row r="7011" spans="1:13" x14ac:dyDescent="0.75">
      <c r="A7011" t="s">
        <v>13774</v>
      </c>
      <c r="B7011" t="s">
        <v>6112</v>
      </c>
      <c r="C7011" t="s">
        <v>6093</v>
      </c>
      <c r="D7011" t="s">
        <v>6113</v>
      </c>
      <c r="E7011" t="s">
        <v>13775</v>
      </c>
      <c r="F7011">
        <v>65</v>
      </c>
      <c r="G7011">
        <v>2024471</v>
      </c>
      <c r="H7011" t="s">
        <v>13776</v>
      </c>
      <c r="J7011" s="54" t="s">
        <v>6052</v>
      </c>
      <c r="K7011" s="54">
        <v>0</v>
      </c>
      <c r="L7011" s="22" t="s">
        <v>104</v>
      </c>
      <c r="M7011" s="22" t="s">
        <v>37307</v>
      </c>
    </row>
    <row r="7012" spans="1:13" x14ac:dyDescent="0.75">
      <c r="A7012" t="s">
        <v>13777</v>
      </c>
      <c r="B7012" t="s">
        <v>6112</v>
      </c>
      <c r="C7012" t="s">
        <v>6093</v>
      </c>
      <c r="D7012" t="s">
        <v>6113</v>
      </c>
      <c r="E7012" t="s">
        <v>13778</v>
      </c>
      <c r="F7012">
        <v>69</v>
      </c>
      <c r="G7012">
        <v>2084933</v>
      </c>
      <c r="H7012" t="s">
        <v>13779</v>
      </c>
      <c r="J7012" s="54" t="s">
        <v>6052</v>
      </c>
      <c r="K7012" s="54">
        <v>0</v>
      </c>
      <c r="L7012" s="22" t="s">
        <v>104</v>
      </c>
      <c r="M7012" s="22" t="s">
        <v>37307</v>
      </c>
    </row>
    <row r="7013" spans="1:13" x14ac:dyDescent="0.75">
      <c r="A7013" t="s">
        <v>10049</v>
      </c>
      <c r="B7013" t="s">
        <v>6112</v>
      </c>
      <c r="C7013" t="s">
        <v>6093</v>
      </c>
      <c r="D7013" t="s">
        <v>6113</v>
      </c>
      <c r="E7013" t="s">
        <v>10050</v>
      </c>
      <c r="F7013">
        <v>12</v>
      </c>
      <c r="G7013">
        <v>2002612</v>
      </c>
      <c r="H7013" t="s">
        <v>10051</v>
      </c>
      <c r="J7013" s="54" t="s">
        <v>6052</v>
      </c>
      <c r="K7013" s="54">
        <v>0</v>
      </c>
      <c r="L7013" s="22" t="s">
        <v>104</v>
      </c>
      <c r="M7013" s="22" t="s">
        <v>37307</v>
      </c>
    </row>
    <row r="7014" spans="1:13" x14ac:dyDescent="0.75">
      <c r="A7014" t="s">
        <v>10052</v>
      </c>
      <c r="B7014" t="s">
        <v>6112</v>
      </c>
      <c r="C7014" t="s">
        <v>6093</v>
      </c>
      <c r="D7014" t="s">
        <v>6113</v>
      </c>
      <c r="E7014" t="s">
        <v>10053</v>
      </c>
      <c r="F7014">
        <v>14</v>
      </c>
      <c r="G7014">
        <v>2001391</v>
      </c>
      <c r="H7014" t="s">
        <v>10054</v>
      </c>
      <c r="J7014" s="54" t="s">
        <v>6052</v>
      </c>
      <c r="K7014" s="54">
        <v>0</v>
      </c>
      <c r="L7014" s="22" t="s">
        <v>104</v>
      </c>
      <c r="M7014" s="22" t="s">
        <v>37307</v>
      </c>
    </row>
    <row r="7015" spans="1:13" x14ac:dyDescent="0.75">
      <c r="A7015" t="s">
        <v>9059</v>
      </c>
      <c r="B7015" t="s">
        <v>6112</v>
      </c>
      <c r="C7015" t="s">
        <v>6093</v>
      </c>
      <c r="D7015" t="s">
        <v>6113</v>
      </c>
      <c r="E7015" t="s">
        <v>9060</v>
      </c>
      <c r="F7015">
        <v>109</v>
      </c>
      <c r="G7015">
        <v>1983724</v>
      </c>
      <c r="H7015" t="s">
        <v>9061</v>
      </c>
      <c r="J7015" s="54" t="s">
        <v>6052</v>
      </c>
      <c r="K7015" s="54">
        <v>0</v>
      </c>
      <c r="L7015" s="22" t="s">
        <v>104</v>
      </c>
      <c r="M7015" s="22" t="s">
        <v>37307</v>
      </c>
    </row>
    <row r="7016" spans="1:13" x14ac:dyDescent="0.75">
      <c r="A7016" t="s">
        <v>24809</v>
      </c>
      <c r="B7016" t="s">
        <v>6112</v>
      </c>
      <c r="C7016" t="s">
        <v>6093</v>
      </c>
      <c r="D7016" t="s">
        <v>6113</v>
      </c>
      <c r="E7016" t="s">
        <v>24810</v>
      </c>
      <c r="F7016">
        <v>14</v>
      </c>
      <c r="G7016">
        <v>1955456</v>
      </c>
      <c r="H7016" t="s">
        <v>24811</v>
      </c>
      <c r="J7016" s="54" t="s">
        <v>6052</v>
      </c>
      <c r="K7016" s="54">
        <v>0</v>
      </c>
      <c r="L7016" s="22" t="s">
        <v>104</v>
      </c>
      <c r="M7016" s="22" t="s">
        <v>37307</v>
      </c>
    </row>
    <row r="7017" spans="1:13" x14ac:dyDescent="0.75">
      <c r="A7017" t="s">
        <v>18180</v>
      </c>
      <c r="B7017" t="s">
        <v>6112</v>
      </c>
      <c r="C7017" t="s">
        <v>6093</v>
      </c>
      <c r="D7017" t="s">
        <v>6113</v>
      </c>
      <c r="E7017" t="s">
        <v>18181</v>
      </c>
      <c r="F7017">
        <v>1</v>
      </c>
      <c r="G7017">
        <v>2080705</v>
      </c>
      <c r="H7017" t="s">
        <v>18182</v>
      </c>
      <c r="J7017" s="54" t="s">
        <v>6052</v>
      </c>
      <c r="K7017" s="54">
        <v>0</v>
      </c>
      <c r="L7017" s="22" t="s">
        <v>104</v>
      </c>
      <c r="M7017" s="22" t="s">
        <v>37307</v>
      </c>
    </row>
    <row r="7018" spans="1:13" x14ac:dyDescent="0.75">
      <c r="A7018" t="s">
        <v>9050</v>
      </c>
      <c r="B7018" t="s">
        <v>6112</v>
      </c>
      <c r="C7018" t="s">
        <v>6093</v>
      </c>
      <c r="D7018" t="s">
        <v>6113</v>
      </c>
      <c r="E7018" t="s">
        <v>9051</v>
      </c>
      <c r="F7018">
        <v>132</v>
      </c>
      <c r="G7018">
        <v>2006359</v>
      </c>
      <c r="H7018" t="s">
        <v>9052</v>
      </c>
      <c r="J7018" s="54" t="s">
        <v>6052</v>
      </c>
      <c r="K7018" s="54">
        <v>0</v>
      </c>
      <c r="L7018" s="22" t="s">
        <v>104</v>
      </c>
      <c r="M7018" s="22" t="s">
        <v>37307</v>
      </c>
    </row>
    <row r="7019" spans="1:13" x14ac:dyDescent="0.75">
      <c r="A7019" t="s">
        <v>23069</v>
      </c>
      <c r="B7019" t="s">
        <v>6112</v>
      </c>
      <c r="C7019" t="s">
        <v>6093</v>
      </c>
      <c r="D7019" t="s">
        <v>6113</v>
      </c>
      <c r="E7019" t="s">
        <v>23070</v>
      </c>
      <c r="F7019">
        <v>20</v>
      </c>
      <c r="G7019">
        <v>2041017</v>
      </c>
      <c r="H7019" t="s">
        <v>23071</v>
      </c>
      <c r="J7019" s="54" t="s">
        <v>6052</v>
      </c>
      <c r="K7019" s="54">
        <v>0</v>
      </c>
      <c r="L7019" s="22" t="s">
        <v>104</v>
      </c>
      <c r="M7019" s="22" t="s">
        <v>37307</v>
      </c>
    </row>
    <row r="7020" spans="1:13" x14ac:dyDescent="0.75">
      <c r="A7020" t="s">
        <v>18177</v>
      </c>
      <c r="B7020" t="s">
        <v>6112</v>
      </c>
      <c r="C7020" t="s">
        <v>6093</v>
      </c>
      <c r="D7020" t="s">
        <v>6113</v>
      </c>
      <c r="E7020" t="s">
        <v>18178</v>
      </c>
      <c r="F7020">
        <v>1</v>
      </c>
      <c r="G7020">
        <v>2085365</v>
      </c>
      <c r="H7020" t="s">
        <v>18179</v>
      </c>
      <c r="J7020" s="54" t="s">
        <v>6052</v>
      </c>
      <c r="K7020" s="54">
        <v>0</v>
      </c>
      <c r="L7020" s="22" t="s">
        <v>104</v>
      </c>
      <c r="M7020" s="22" t="s">
        <v>37307</v>
      </c>
    </row>
    <row r="7021" spans="1:13" x14ac:dyDescent="0.75">
      <c r="A7021" t="s">
        <v>9133</v>
      </c>
      <c r="B7021" t="s">
        <v>6112</v>
      </c>
      <c r="C7021" t="s">
        <v>6093</v>
      </c>
      <c r="D7021" t="s">
        <v>6113</v>
      </c>
      <c r="E7021" t="s">
        <v>9134</v>
      </c>
      <c r="F7021">
        <v>91</v>
      </c>
      <c r="G7021">
        <v>1992890</v>
      </c>
      <c r="H7021" t="s">
        <v>9135</v>
      </c>
      <c r="J7021" s="54" t="s">
        <v>6052</v>
      </c>
      <c r="K7021" s="54">
        <v>0</v>
      </c>
      <c r="L7021" s="22" t="s">
        <v>104</v>
      </c>
      <c r="M7021" s="22" t="s">
        <v>37307</v>
      </c>
    </row>
    <row r="7022" spans="1:13" x14ac:dyDescent="0.75">
      <c r="A7022" t="s">
        <v>9053</v>
      </c>
      <c r="B7022" t="s">
        <v>6112</v>
      </c>
      <c r="C7022" t="s">
        <v>6093</v>
      </c>
      <c r="D7022" t="s">
        <v>6113</v>
      </c>
      <c r="E7022" t="s">
        <v>9054</v>
      </c>
      <c r="F7022">
        <v>104</v>
      </c>
      <c r="G7022">
        <v>1952324</v>
      </c>
      <c r="H7022" t="s">
        <v>9055</v>
      </c>
      <c r="J7022" s="54" t="s">
        <v>6052</v>
      </c>
      <c r="K7022" s="54">
        <v>0</v>
      </c>
      <c r="L7022" s="22" t="s">
        <v>104</v>
      </c>
      <c r="M7022" s="22" t="s">
        <v>37307</v>
      </c>
    </row>
    <row r="7023" spans="1:13" x14ac:dyDescent="0.75">
      <c r="A7023" t="s">
        <v>9193</v>
      </c>
      <c r="B7023" t="s">
        <v>6112</v>
      </c>
      <c r="C7023" t="s">
        <v>6093</v>
      </c>
      <c r="D7023" t="s">
        <v>6113</v>
      </c>
      <c r="E7023" t="s">
        <v>9194</v>
      </c>
      <c r="F7023">
        <v>185</v>
      </c>
      <c r="G7023">
        <v>2081419</v>
      </c>
      <c r="H7023" t="s">
        <v>9195</v>
      </c>
      <c r="J7023" s="54" t="s">
        <v>6052</v>
      </c>
      <c r="K7023" s="54">
        <v>0</v>
      </c>
      <c r="L7023" s="22" t="s">
        <v>104</v>
      </c>
      <c r="M7023" s="22" t="s">
        <v>37307</v>
      </c>
    </row>
    <row r="7024" spans="1:13" x14ac:dyDescent="0.75">
      <c r="A7024" t="s">
        <v>9056</v>
      </c>
      <c r="B7024" t="s">
        <v>6112</v>
      </c>
      <c r="C7024" t="s">
        <v>6093</v>
      </c>
      <c r="D7024" t="s">
        <v>6113</v>
      </c>
      <c r="E7024" t="s">
        <v>9057</v>
      </c>
      <c r="F7024">
        <v>107</v>
      </c>
      <c r="G7024">
        <v>1925888</v>
      </c>
      <c r="H7024" t="s">
        <v>9058</v>
      </c>
      <c r="J7024" s="54" t="s">
        <v>6052</v>
      </c>
      <c r="K7024" s="54">
        <v>0</v>
      </c>
      <c r="L7024" s="22" t="s">
        <v>104</v>
      </c>
      <c r="M7024" s="22" t="s">
        <v>37307</v>
      </c>
    </row>
    <row r="7025" spans="1:13" x14ac:dyDescent="0.75">
      <c r="A7025" t="s">
        <v>9107</v>
      </c>
      <c r="B7025" t="s">
        <v>6112</v>
      </c>
      <c r="C7025" t="s">
        <v>6093</v>
      </c>
      <c r="D7025" t="s">
        <v>6113</v>
      </c>
      <c r="E7025" t="s">
        <v>9108</v>
      </c>
      <c r="F7025">
        <v>97</v>
      </c>
      <c r="G7025">
        <v>1944789</v>
      </c>
      <c r="H7025" t="s">
        <v>9109</v>
      </c>
      <c r="J7025" s="54" t="s">
        <v>6052</v>
      </c>
      <c r="K7025" s="54">
        <v>0</v>
      </c>
      <c r="L7025" s="22" t="s">
        <v>104</v>
      </c>
      <c r="M7025" s="22" t="s">
        <v>37307</v>
      </c>
    </row>
    <row r="7026" spans="1:13" x14ac:dyDescent="0.75">
      <c r="A7026" t="s">
        <v>9127</v>
      </c>
      <c r="B7026" t="s">
        <v>6112</v>
      </c>
      <c r="C7026" t="s">
        <v>6093</v>
      </c>
      <c r="D7026" t="s">
        <v>6113</v>
      </c>
      <c r="E7026" t="s">
        <v>9128</v>
      </c>
      <c r="F7026">
        <v>114</v>
      </c>
      <c r="G7026">
        <v>1994929</v>
      </c>
      <c r="H7026" t="s">
        <v>9129</v>
      </c>
      <c r="J7026" s="54" t="s">
        <v>6052</v>
      </c>
      <c r="K7026" s="54">
        <v>0</v>
      </c>
      <c r="L7026" s="22" t="s">
        <v>104</v>
      </c>
      <c r="M7026" s="22" t="s">
        <v>37307</v>
      </c>
    </row>
    <row r="7027" spans="1:13" x14ac:dyDescent="0.75">
      <c r="A7027" t="s">
        <v>9211</v>
      </c>
      <c r="B7027" t="s">
        <v>6112</v>
      </c>
      <c r="C7027" t="s">
        <v>6093</v>
      </c>
      <c r="D7027" t="s">
        <v>6113</v>
      </c>
      <c r="E7027" t="s">
        <v>9212</v>
      </c>
      <c r="F7027">
        <v>152</v>
      </c>
      <c r="G7027">
        <v>1977578</v>
      </c>
      <c r="H7027" t="s">
        <v>9213</v>
      </c>
      <c r="J7027" s="54" t="s">
        <v>6052</v>
      </c>
      <c r="K7027" s="54">
        <v>0</v>
      </c>
      <c r="L7027" s="22" t="s">
        <v>104</v>
      </c>
      <c r="M7027" s="22" t="s">
        <v>37307</v>
      </c>
    </row>
    <row r="7028" spans="1:13" x14ac:dyDescent="0.75">
      <c r="A7028" t="s">
        <v>9110</v>
      </c>
      <c r="B7028" t="s">
        <v>6112</v>
      </c>
      <c r="C7028" t="s">
        <v>6093</v>
      </c>
      <c r="D7028" t="s">
        <v>6113</v>
      </c>
      <c r="E7028" t="s">
        <v>9111</v>
      </c>
      <c r="F7028">
        <v>112</v>
      </c>
      <c r="G7028">
        <v>1960471</v>
      </c>
      <c r="H7028" t="s">
        <v>9112</v>
      </c>
      <c r="J7028" s="54" t="s">
        <v>6052</v>
      </c>
      <c r="K7028" s="54">
        <v>0</v>
      </c>
      <c r="L7028" s="22" t="s">
        <v>104</v>
      </c>
      <c r="M7028" s="22" t="s">
        <v>37307</v>
      </c>
    </row>
    <row r="7029" spans="1:13" x14ac:dyDescent="0.75">
      <c r="A7029" t="s">
        <v>21046</v>
      </c>
      <c r="B7029" t="s">
        <v>6112</v>
      </c>
      <c r="C7029" t="s">
        <v>6093</v>
      </c>
      <c r="D7029" t="s">
        <v>6113</v>
      </c>
      <c r="E7029" t="s">
        <v>21047</v>
      </c>
      <c r="F7029">
        <v>18</v>
      </c>
      <c r="G7029">
        <v>2011866</v>
      </c>
      <c r="H7029" t="s">
        <v>21048</v>
      </c>
      <c r="J7029" s="54" t="s">
        <v>6052</v>
      </c>
      <c r="K7029" s="54">
        <v>0</v>
      </c>
      <c r="L7029" s="22" t="s">
        <v>104</v>
      </c>
      <c r="M7029" s="22" t="s">
        <v>37307</v>
      </c>
    </row>
    <row r="7030" spans="1:13" x14ac:dyDescent="0.75">
      <c r="A7030" t="s">
        <v>21043</v>
      </c>
      <c r="B7030" t="s">
        <v>6112</v>
      </c>
      <c r="C7030" t="s">
        <v>6093</v>
      </c>
      <c r="D7030" t="s">
        <v>6113</v>
      </c>
      <c r="E7030" t="s">
        <v>21044</v>
      </c>
      <c r="F7030">
        <v>27</v>
      </c>
      <c r="G7030">
        <v>2012417</v>
      </c>
      <c r="H7030" t="s">
        <v>21045</v>
      </c>
      <c r="J7030" s="54" t="s">
        <v>6052</v>
      </c>
      <c r="K7030" s="54">
        <v>0</v>
      </c>
      <c r="L7030" s="22" t="s">
        <v>104</v>
      </c>
      <c r="M7030" s="22" t="s">
        <v>37307</v>
      </c>
    </row>
    <row r="7031" spans="1:13" x14ac:dyDescent="0.75">
      <c r="A7031" t="s">
        <v>30655</v>
      </c>
      <c r="B7031" t="s">
        <v>6112</v>
      </c>
      <c r="C7031" t="s">
        <v>6093</v>
      </c>
      <c r="D7031" t="s">
        <v>6113</v>
      </c>
      <c r="E7031" t="s">
        <v>30656</v>
      </c>
      <c r="F7031">
        <v>27</v>
      </c>
      <c r="G7031">
        <v>1965284</v>
      </c>
      <c r="H7031" t="s">
        <v>30657</v>
      </c>
      <c r="J7031" s="54" t="s">
        <v>6052</v>
      </c>
      <c r="K7031" s="54">
        <v>0</v>
      </c>
      <c r="L7031" s="22" t="s">
        <v>104</v>
      </c>
      <c r="M7031" s="22" t="s">
        <v>37307</v>
      </c>
    </row>
    <row r="7032" spans="1:13" x14ac:dyDescent="0.75">
      <c r="A7032" t="s">
        <v>28883</v>
      </c>
      <c r="B7032" t="s">
        <v>6112</v>
      </c>
      <c r="C7032" t="s">
        <v>6093</v>
      </c>
      <c r="D7032" t="s">
        <v>6113</v>
      </c>
      <c r="E7032" t="s">
        <v>28884</v>
      </c>
      <c r="F7032">
        <v>45</v>
      </c>
      <c r="G7032">
        <v>1976835</v>
      </c>
      <c r="H7032" t="s">
        <v>28885</v>
      </c>
      <c r="J7032" s="54" t="s">
        <v>6052</v>
      </c>
      <c r="K7032" s="54">
        <v>0</v>
      </c>
      <c r="L7032" s="22" t="s">
        <v>104</v>
      </c>
      <c r="M7032" s="22" t="s">
        <v>37307</v>
      </c>
    </row>
    <row r="7033" spans="1:13" x14ac:dyDescent="0.75">
      <c r="A7033" t="s">
        <v>9196</v>
      </c>
      <c r="B7033" t="s">
        <v>6112</v>
      </c>
      <c r="C7033" t="s">
        <v>6093</v>
      </c>
      <c r="D7033" t="s">
        <v>6113</v>
      </c>
      <c r="E7033" t="s">
        <v>9197</v>
      </c>
      <c r="F7033">
        <v>131</v>
      </c>
      <c r="G7033">
        <v>1980457</v>
      </c>
      <c r="H7033" t="s">
        <v>9198</v>
      </c>
      <c r="J7033" s="54" t="s">
        <v>6052</v>
      </c>
      <c r="K7033" s="54">
        <v>0</v>
      </c>
      <c r="L7033" s="22" t="s">
        <v>104</v>
      </c>
      <c r="M7033" s="22" t="s">
        <v>37307</v>
      </c>
    </row>
    <row r="7034" spans="1:13" x14ac:dyDescent="0.75">
      <c r="A7034" t="s">
        <v>9199</v>
      </c>
      <c r="B7034" t="s">
        <v>6112</v>
      </c>
      <c r="C7034" t="s">
        <v>6093</v>
      </c>
      <c r="D7034" t="s">
        <v>6113</v>
      </c>
      <c r="E7034" t="s">
        <v>9200</v>
      </c>
      <c r="F7034">
        <v>121</v>
      </c>
      <c r="G7034">
        <v>1925853</v>
      </c>
      <c r="H7034" t="s">
        <v>9201</v>
      </c>
      <c r="J7034" s="54" t="s">
        <v>6052</v>
      </c>
      <c r="K7034" s="54">
        <v>0</v>
      </c>
      <c r="L7034" s="22" t="s">
        <v>104</v>
      </c>
      <c r="M7034" s="22" t="s">
        <v>37307</v>
      </c>
    </row>
    <row r="7035" spans="1:13" x14ac:dyDescent="0.75">
      <c r="A7035" t="s">
        <v>28170</v>
      </c>
      <c r="B7035" t="s">
        <v>6112</v>
      </c>
      <c r="C7035" t="s">
        <v>6093</v>
      </c>
      <c r="D7035" t="s">
        <v>6113</v>
      </c>
      <c r="E7035" t="s">
        <v>28171</v>
      </c>
      <c r="F7035">
        <v>14</v>
      </c>
      <c r="G7035">
        <v>1980736</v>
      </c>
      <c r="H7035" t="s">
        <v>28172</v>
      </c>
      <c r="J7035" s="54" t="s">
        <v>6052</v>
      </c>
      <c r="K7035" s="54">
        <v>0</v>
      </c>
      <c r="L7035" s="22" t="s">
        <v>104</v>
      </c>
      <c r="M7035" s="22" t="s">
        <v>37307</v>
      </c>
    </row>
    <row r="7036" spans="1:13" x14ac:dyDescent="0.75">
      <c r="A7036" t="s">
        <v>9098</v>
      </c>
      <c r="B7036" t="s">
        <v>6112</v>
      </c>
      <c r="C7036" t="s">
        <v>6093</v>
      </c>
      <c r="D7036" t="s">
        <v>6113</v>
      </c>
      <c r="E7036" t="s">
        <v>9099</v>
      </c>
      <c r="F7036">
        <v>113</v>
      </c>
      <c r="G7036">
        <v>1966047</v>
      </c>
      <c r="H7036" t="s">
        <v>9100</v>
      </c>
      <c r="J7036" s="54" t="s">
        <v>6052</v>
      </c>
      <c r="K7036" s="54">
        <v>0</v>
      </c>
      <c r="L7036" s="22" t="s">
        <v>104</v>
      </c>
      <c r="M7036" s="22" t="s">
        <v>37307</v>
      </c>
    </row>
    <row r="7037" spans="1:13" x14ac:dyDescent="0.75">
      <c r="A7037" t="s">
        <v>17477</v>
      </c>
      <c r="B7037" t="s">
        <v>6112</v>
      </c>
      <c r="C7037" t="s">
        <v>6093</v>
      </c>
      <c r="D7037" t="s">
        <v>6113</v>
      </c>
      <c r="E7037" t="s">
        <v>17478</v>
      </c>
      <c r="F7037">
        <v>1</v>
      </c>
      <c r="G7037">
        <v>1976303</v>
      </c>
      <c r="H7037" t="s">
        <v>17479</v>
      </c>
      <c r="J7037" s="54" t="s">
        <v>6052</v>
      </c>
      <c r="K7037" s="54">
        <v>0</v>
      </c>
      <c r="L7037" s="22" t="s">
        <v>104</v>
      </c>
      <c r="M7037" s="22" t="s">
        <v>37307</v>
      </c>
    </row>
    <row r="7038" spans="1:13" x14ac:dyDescent="0.75">
      <c r="A7038" t="s">
        <v>8024</v>
      </c>
      <c r="B7038" t="s">
        <v>6112</v>
      </c>
      <c r="C7038" t="s">
        <v>6093</v>
      </c>
      <c r="D7038" t="s">
        <v>6113</v>
      </c>
      <c r="E7038" t="s">
        <v>8025</v>
      </c>
      <c r="F7038">
        <v>141</v>
      </c>
      <c r="G7038">
        <v>1816188</v>
      </c>
      <c r="H7038" t="s">
        <v>8026</v>
      </c>
      <c r="J7038" s="54" t="s">
        <v>6052</v>
      </c>
      <c r="K7038" s="54">
        <v>0</v>
      </c>
      <c r="L7038" s="22" t="s">
        <v>104</v>
      </c>
      <c r="M7038" s="22" t="s">
        <v>37307</v>
      </c>
    </row>
    <row r="7039" spans="1:13" x14ac:dyDescent="0.75">
      <c r="A7039" t="s">
        <v>8027</v>
      </c>
      <c r="B7039" t="s">
        <v>6112</v>
      </c>
      <c r="C7039" t="s">
        <v>6093</v>
      </c>
      <c r="D7039" t="s">
        <v>6113</v>
      </c>
      <c r="E7039" t="s">
        <v>8028</v>
      </c>
      <c r="F7039">
        <v>146</v>
      </c>
      <c r="G7039">
        <v>1801671</v>
      </c>
      <c r="H7039" t="s">
        <v>8029</v>
      </c>
      <c r="J7039" s="54" t="s">
        <v>6052</v>
      </c>
      <c r="K7039" s="54">
        <v>0</v>
      </c>
      <c r="L7039" s="22" t="s">
        <v>104</v>
      </c>
      <c r="M7039" s="22" t="s">
        <v>37307</v>
      </c>
    </row>
    <row r="7040" spans="1:13" x14ac:dyDescent="0.75">
      <c r="A7040" t="s">
        <v>8030</v>
      </c>
      <c r="B7040" t="s">
        <v>6112</v>
      </c>
      <c r="C7040" t="s">
        <v>6093</v>
      </c>
      <c r="D7040" t="s">
        <v>6113</v>
      </c>
      <c r="E7040" t="s">
        <v>8031</v>
      </c>
      <c r="F7040">
        <v>141</v>
      </c>
      <c r="G7040">
        <v>1799918</v>
      </c>
      <c r="H7040" t="s">
        <v>8032</v>
      </c>
      <c r="J7040" s="54" t="s">
        <v>6052</v>
      </c>
      <c r="K7040" s="54">
        <v>0</v>
      </c>
      <c r="L7040" s="22" t="s">
        <v>104</v>
      </c>
      <c r="M7040" s="22" t="s">
        <v>37307</v>
      </c>
    </row>
    <row r="7041" spans="1:13" x14ac:dyDescent="0.75">
      <c r="A7041" t="s">
        <v>8033</v>
      </c>
      <c r="B7041" t="s">
        <v>6112</v>
      </c>
      <c r="C7041" t="s">
        <v>6093</v>
      </c>
      <c r="D7041" t="s">
        <v>6113</v>
      </c>
      <c r="E7041" t="s">
        <v>8034</v>
      </c>
      <c r="F7041">
        <v>135</v>
      </c>
      <c r="G7041">
        <v>1809107</v>
      </c>
      <c r="H7041" t="s">
        <v>8035</v>
      </c>
      <c r="J7041" s="54" t="s">
        <v>6052</v>
      </c>
      <c r="K7041" s="54">
        <v>0</v>
      </c>
      <c r="L7041" s="22" t="s">
        <v>104</v>
      </c>
      <c r="M7041" s="22" t="s">
        <v>37307</v>
      </c>
    </row>
    <row r="7042" spans="1:13" x14ac:dyDescent="0.75">
      <c r="A7042" t="s">
        <v>8036</v>
      </c>
      <c r="B7042" t="s">
        <v>6112</v>
      </c>
      <c r="C7042" t="s">
        <v>6093</v>
      </c>
      <c r="D7042" t="s">
        <v>6113</v>
      </c>
      <c r="E7042" t="s">
        <v>8037</v>
      </c>
      <c r="F7042">
        <v>60</v>
      </c>
      <c r="G7042">
        <v>1929685</v>
      </c>
      <c r="H7042" t="s">
        <v>8038</v>
      </c>
      <c r="J7042" s="54" t="s">
        <v>6052</v>
      </c>
      <c r="K7042" s="54">
        <v>0</v>
      </c>
      <c r="L7042" s="22" t="s">
        <v>104</v>
      </c>
      <c r="M7042" s="22" t="s">
        <v>37307</v>
      </c>
    </row>
    <row r="7043" spans="1:13" x14ac:dyDescent="0.75">
      <c r="A7043" t="s">
        <v>8039</v>
      </c>
      <c r="B7043" t="s">
        <v>6112</v>
      </c>
      <c r="C7043" t="s">
        <v>6093</v>
      </c>
      <c r="D7043" t="s">
        <v>6113</v>
      </c>
      <c r="E7043" t="s">
        <v>8040</v>
      </c>
      <c r="F7043">
        <v>159</v>
      </c>
      <c r="G7043">
        <v>1776899</v>
      </c>
      <c r="H7043" t="s">
        <v>8041</v>
      </c>
      <c r="J7043" s="54" t="s">
        <v>6052</v>
      </c>
      <c r="K7043" s="54">
        <v>0</v>
      </c>
      <c r="L7043" s="22" t="s">
        <v>104</v>
      </c>
      <c r="M7043" s="22" t="s">
        <v>37307</v>
      </c>
    </row>
    <row r="7044" spans="1:13" x14ac:dyDescent="0.75">
      <c r="A7044" t="s">
        <v>8042</v>
      </c>
      <c r="B7044" t="s">
        <v>6112</v>
      </c>
      <c r="C7044" t="s">
        <v>6093</v>
      </c>
      <c r="D7044" t="s">
        <v>6113</v>
      </c>
      <c r="E7044" t="s">
        <v>8043</v>
      </c>
      <c r="F7044">
        <v>109</v>
      </c>
      <c r="G7044">
        <v>1890503</v>
      </c>
      <c r="H7044" t="s">
        <v>8044</v>
      </c>
      <c r="J7044" s="54" t="s">
        <v>6052</v>
      </c>
      <c r="K7044" s="54">
        <v>0</v>
      </c>
      <c r="L7044" s="22" t="s">
        <v>104</v>
      </c>
      <c r="M7044" s="22" t="s">
        <v>37307</v>
      </c>
    </row>
    <row r="7045" spans="1:13" x14ac:dyDescent="0.75">
      <c r="A7045" t="s">
        <v>8045</v>
      </c>
      <c r="B7045" t="s">
        <v>6112</v>
      </c>
      <c r="C7045" t="s">
        <v>6093</v>
      </c>
      <c r="D7045" t="s">
        <v>6113</v>
      </c>
      <c r="E7045" t="s">
        <v>8046</v>
      </c>
      <c r="F7045">
        <v>96</v>
      </c>
      <c r="G7045">
        <v>1861689</v>
      </c>
      <c r="H7045" t="s">
        <v>8047</v>
      </c>
      <c r="J7045" s="54" t="s">
        <v>6052</v>
      </c>
      <c r="K7045" s="54">
        <v>0</v>
      </c>
      <c r="L7045" s="22" t="s">
        <v>104</v>
      </c>
      <c r="M7045" s="22" t="s">
        <v>37307</v>
      </c>
    </row>
    <row r="7046" spans="1:13" x14ac:dyDescent="0.75">
      <c r="A7046" t="s">
        <v>8048</v>
      </c>
      <c r="B7046" t="s">
        <v>6112</v>
      </c>
      <c r="C7046" t="s">
        <v>6093</v>
      </c>
      <c r="D7046" t="s">
        <v>6113</v>
      </c>
      <c r="E7046" t="s">
        <v>8049</v>
      </c>
      <c r="F7046">
        <v>131</v>
      </c>
      <c r="G7046">
        <v>1805076</v>
      </c>
      <c r="H7046" t="s">
        <v>8050</v>
      </c>
      <c r="J7046" s="54" t="s">
        <v>6052</v>
      </c>
      <c r="K7046" s="54">
        <v>0</v>
      </c>
      <c r="L7046" s="22" t="s">
        <v>104</v>
      </c>
      <c r="M7046" s="22" t="s">
        <v>37307</v>
      </c>
    </row>
    <row r="7047" spans="1:13" x14ac:dyDescent="0.75">
      <c r="A7047" t="s">
        <v>8051</v>
      </c>
      <c r="B7047" t="s">
        <v>6112</v>
      </c>
      <c r="C7047" t="s">
        <v>6093</v>
      </c>
      <c r="D7047" t="s">
        <v>6113</v>
      </c>
      <c r="E7047" t="s">
        <v>8052</v>
      </c>
      <c r="F7047">
        <v>157</v>
      </c>
      <c r="G7047">
        <v>1776306</v>
      </c>
      <c r="H7047" t="s">
        <v>8053</v>
      </c>
      <c r="J7047" s="54" t="s">
        <v>6052</v>
      </c>
      <c r="K7047" s="54">
        <v>0</v>
      </c>
      <c r="L7047" s="22" t="s">
        <v>104</v>
      </c>
      <c r="M7047" s="22" t="s">
        <v>37307</v>
      </c>
    </row>
    <row r="7048" spans="1:13" x14ac:dyDescent="0.75">
      <c r="A7048" t="s">
        <v>8054</v>
      </c>
      <c r="B7048" t="s">
        <v>6112</v>
      </c>
      <c r="C7048" t="s">
        <v>6093</v>
      </c>
      <c r="D7048" t="s">
        <v>6113</v>
      </c>
      <c r="E7048" t="s">
        <v>8055</v>
      </c>
      <c r="F7048">
        <v>99</v>
      </c>
      <c r="G7048">
        <v>1877792</v>
      </c>
      <c r="H7048" t="s">
        <v>8056</v>
      </c>
      <c r="J7048" s="54" t="s">
        <v>6052</v>
      </c>
      <c r="K7048" s="54">
        <v>0</v>
      </c>
      <c r="L7048" s="22" t="s">
        <v>104</v>
      </c>
      <c r="M7048" s="22" t="s">
        <v>37307</v>
      </c>
    </row>
    <row r="7049" spans="1:13" x14ac:dyDescent="0.75">
      <c r="A7049" t="s">
        <v>8057</v>
      </c>
      <c r="B7049" t="s">
        <v>6112</v>
      </c>
      <c r="C7049" t="s">
        <v>6093</v>
      </c>
      <c r="D7049" t="s">
        <v>6113</v>
      </c>
      <c r="E7049" t="s">
        <v>8058</v>
      </c>
      <c r="F7049">
        <v>143</v>
      </c>
      <c r="G7049">
        <v>1785489</v>
      </c>
      <c r="H7049" t="s">
        <v>8059</v>
      </c>
      <c r="J7049" s="54" t="s">
        <v>6052</v>
      </c>
      <c r="K7049" s="54">
        <v>0</v>
      </c>
      <c r="L7049" s="22" t="s">
        <v>104</v>
      </c>
      <c r="M7049" s="22" t="s">
        <v>37307</v>
      </c>
    </row>
    <row r="7050" spans="1:13" x14ac:dyDescent="0.75">
      <c r="A7050" t="s">
        <v>8060</v>
      </c>
      <c r="B7050" t="s">
        <v>6112</v>
      </c>
      <c r="C7050" t="s">
        <v>6093</v>
      </c>
      <c r="D7050" t="s">
        <v>6113</v>
      </c>
      <c r="E7050" t="s">
        <v>8061</v>
      </c>
      <c r="F7050">
        <v>120</v>
      </c>
      <c r="G7050">
        <v>1819408</v>
      </c>
      <c r="H7050" t="s">
        <v>8062</v>
      </c>
      <c r="J7050" s="54" t="s">
        <v>6052</v>
      </c>
      <c r="K7050" s="54">
        <v>0</v>
      </c>
      <c r="L7050" s="22" t="s">
        <v>104</v>
      </c>
      <c r="M7050" s="22" t="s">
        <v>37307</v>
      </c>
    </row>
    <row r="7051" spans="1:13" x14ac:dyDescent="0.75">
      <c r="A7051" t="s">
        <v>9548</v>
      </c>
      <c r="B7051" t="s">
        <v>8899</v>
      </c>
      <c r="C7051" t="s">
        <v>6093</v>
      </c>
      <c r="D7051" t="s">
        <v>8900</v>
      </c>
      <c r="E7051" t="s">
        <v>9549</v>
      </c>
      <c r="F7051">
        <v>31</v>
      </c>
      <c r="G7051">
        <v>1858737</v>
      </c>
      <c r="H7051" t="s">
        <v>9550</v>
      </c>
      <c r="J7051" s="54" t="s">
        <v>6052</v>
      </c>
      <c r="K7051" s="54">
        <v>0</v>
      </c>
      <c r="L7051" s="22" t="s">
        <v>36804</v>
      </c>
      <c r="M7051" s="22" t="s">
        <v>37326</v>
      </c>
    </row>
    <row r="7052" spans="1:13" x14ac:dyDescent="0.75">
      <c r="A7052" t="s">
        <v>21679</v>
      </c>
      <c r="B7052" t="s">
        <v>11795</v>
      </c>
      <c r="C7052" t="s">
        <v>6093</v>
      </c>
      <c r="D7052" t="s">
        <v>11796</v>
      </c>
      <c r="E7052" t="s">
        <v>21680</v>
      </c>
      <c r="F7052">
        <v>84</v>
      </c>
      <c r="G7052">
        <v>2017459</v>
      </c>
      <c r="H7052" t="s">
        <v>21681</v>
      </c>
      <c r="J7052" s="54" t="s">
        <v>6052</v>
      </c>
      <c r="K7052" s="54">
        <v>0</v>
      </c>
      <c r="L7052" s="22" t="s">
        <v>1563</v>
      </c>
      <c r="M7052" s="22" t="s">
        <v>37314</v>
      </c>
    </row>
    <row r="7053" spans="1:13" x14ac:dyDescent="0.75">
      <c r="A7053" t="s">
        <v>8063</v>
      </c>
      <c r="B7053" t="s">
        <v>6112</v>
      </c>
      <c r="C7053" t="s">
        <v>6093</v>
      </c>
      <c r="D7053" t="s">
        <v>6113</v>
      </c>
      <c r="E7053" t="s">
        <v>8064</v>
      </c>
      <c r="F7053">
        <v>117</v>
      </c>
      <c r="G7053">
        <v>1822635</v>
      </c>
      <c r="H7053" t="s">
        <v>8065</v>
      </c>
      <c r="J7053" s="54" t="s">
        <v>6052</v>
      </c>
      <c r="K7053" s="54">
        <v>0</v>
      </c>
      <c r="L7053" s="22" t="s">
        <v>104</v>
      </c>
      <c r="M7053" s="22" t="s">
        <v>37307</v>
      </c>
    </row>
    <row r="7054" spans="1:13" x14ac:dyDescent="0.75">
      <c r="A7054" t="s">
        <v>8066</v>
      </c>
      <c r="B7054" t="s">
        <v>6112</v>
      </c>
      <c r="C7054" t="s">
        <v>6093</v>
      </c>
      <c r="D7054" t="s">
        <v>6113</v>
      </c>
      <c r="E7054" t="s">
        <v>8067</v>
      </c>
      <c r="F7054">
        <v>121</v>
      </c>
      <c r="G7054">
        <v>1820468</v>
      </c>
      <c r="H7054" t="s">
        <v>8068</v>
      </c>
      <c r="J7054" s="54" t="s">
        <v>6052</v>
      </c>
      <c r="K7054" s="54">
        <v>0</v>
      </c>
      <c r="L7054" s="22" t="s">
        <v>104</v>
      </c>
      <c r="M7054" s="22" t="s">
        <v>37307</v>
      </c>
    </row>
    <row r="7055" spans="1:13" x14ac:dyDescent="0.75">
      <c r="A7055" t="s">
        <v>8069</v>
      </c>
      <c r="B7055" t="s">
        <v>6112</v>
      </c>
      <c r="C7055" t="s">
        <v>6093</v>
      </c>
      <c r="D7055" t="s">
        <v>6113</v>
      </c>
      <c r="E7055" t="s">
        <v>8070</v>
      </c>
      <c r="F7055">
        <v>101</v>
      </c>
      <c r="G7055">
        <v>1851396</v>
      </c>
      <c r="H7055" t="s">
        <v>8071</v>
      </c>
      <c r="J7055" s="54" t="s">
        <v>6052</v>
      </c>
      <c r="K7055" s="54">
        <v>0</v>
      </c>
      <c r="L7055" s="22" t="s">
        <v>104</v>
      </c>
      <c r="M7055" s="22" t="s">
        <v>37307</v>
      </c>
    </row>
    <row r="7056" spans="1:13" x14ac:dyDescent="0.75">
      <c r="A7056" t="s">
        <v>8072</v>
      </c>
      <c r="B7056" t="s">
        <v>6112</v>
      </c>
      <c r="C7056" t="s">
        <v>6093</v>
      </c>
      <c r="D7056" t="s">
        <v>6113</v>
      </c>
      <c r="E7056" t="s">
        <v>8073</v>
      </c>
      <c r="F7056">
        <v>55</v>
      </c>
      <c r="G7056">
        <v>1927654</v>
      </c>
      <c r="H7056" t="s">
        <v>8074</v>
      </c>
      <c r="J7056" s="54" t="s">
        <v>6052</v>
      </c>
      <c r="K7056" s="54">
        <v>0</v>
      </c>
      <c r="L7056" s="22" t="s">
        <v>104</v>
      </c>
      <c r="M7056" s="22" t="s">
        <v>37307</v>
      </c>
    </row>
    <row r="7057" spans="1:13" x14ac:dyDescent="0.75">
      <c r="A7057" t="s">
        <v>8075</v>
      </c>
      <c r="B7057" t="s">
        <v>6112</v>
      </c>
      <c r="C7057" t="s">
        <v>6093</v>
      </c>
      <c r="D7057" t="s">
        <v>6113</v>
      </c>
      <c r="E7057" t="s">
        <v>8076</v>
      </c>
      <c r="F7057">
        <v>120</v>
      </c>
      <c r="G7057">
        <v>1818945</v>
      </c>
      <c r="H7057" t="s">
        <v>8077</v>
      </c>
      <c r="J7057" s="54" t="s">
        <v>6052</v>
      </c>
      <c r="K7057" s="54">
        <v>0</v>
      </c>
      <c r="L7057" s="22" t="s">
        <v>104</v>
      </c>
      <c r="M7057" s="22" t="s">
        <v>37307</v>
      </c>
    </row>
    <row r="7058" spans="1:13" x14ac:dyDescent="0.75">
      <c r="A7058" t="s">
        <v>8078</v>
      </c>
      <c r="B7058" t="s">
        <v>6112</v>
      </c>
      <c r="C7058" t="s">
        <v>6093</v>
      </c>
      <c r="D7058" t="s">
        <v>6113</v>
      </c>
      <c r="E7058" t="s">
        <v>8079</v>
      </c>
      <c r="F7058">
        <v>130</v>
      </c>
      <c r="G7058">
        <v>1817871</v>
      </c>
      <c r="H7058" t="s">
        <v>8080</v>
      </c>
      <c r="J7058" s="54" t="s">
        <v>6052</v>
      </c>
      <c r="K7058" s="54">
        <v>0</v>
      </c>
      <c r="L7058" s="22" t="s">
        <v>104</v>
      </c>
      <c r="M7058" s="22" t="s">
        <v>37307</v>
      </c>
    </row>
    <row r="7059" spans="1:13" x14ac:dyDescent="0.75">
      <c r="A7059" t="s">
        <v>8081</v>
      </c>
      <c r="B7059" t="s">
        <v>6112</v>
      </c>
      <c r="C7059" t="s">
        <v>6093</v>
      </c>
      <c r="D7059" t="s">
        <v>6113</v>
      </c>
      <c r="E7059" t="s">
        <v>8082</v>
      </c>
      <c r="F7059">
        <v>92</v>
      </c>
      <c r="G7059">
        <v>1897877</v>
      </c>
      <c r="H7059" t="s">
        <v>8083</v>
      </c>
      <c r="J7059" s="54" t="s">
        <v>6052</v>
      </c>
      <c r="K7059" s="54">
        <v>0</v>
      </c>
      <c r="L7059" s="22" t="s">
        <v>104</v>
      </c>
      <c r="M7059" s="22" t="s">
        <v>37307</v>
      </c>
    </row>
    <row r="7060" spans="1:13" x14ac:dyDescent="0.75">
      <c r="A7060" t="s">
        <v>8084</v>
      </c>
      <c r="B7060" t="s">
        <v>6112</v>
      </c>
      <c r="C7060" t="s">
        <v>6093</v>
      </c>
      <c r="D7060" t="s">
        <v>6113</v>
      </c>
      <c r="E7060" t="s">
        <v>8085</v>
      </c>
      <c r="F7060">
        <v>115</v>
      </c>
      <c r="G7060">
        <v>1829200</v>
      </c>
      <c r="H7060" t="s">
        <v>8086</v>
      </c>
      <c r="J7060" s="54" t="s">
        <v>6052</v>
      </c>
      <c r="K7060" s="54">
        <v>0</v>
      </c>
      <c r="L7060" s="22" t="s">
        <v>104</v>
      </c>
      <c r="M7060" s="22" t="s">
        <v>37307</v>
      </c>
    </row>
    <row r="7061" spans="1:13" x14ac:dyDescent="0.75">
      <c r="A7061" t="s">
        <v>8087</v>
      </c>
      <c r="B7061" t="s">
        <v>6112</v>
      </c>
      <c r="C7061" t="s">
        <v>6093</v>
      </c>
      <c r="D7061" t="s">
        <v>6113</v>
      </c>
      <c r="E7061" t="s">
        <v>8088</v>
      </c>
      <c r="F7061">
        <v>59</v>
      </c>
      <c r="G7061">
        <v>1927770</v>
      </c>
      <c r="H7061" t="s">
        <v>8089</v>
      </c>
      <c r="J7061" s="54" t="s">
        <v>6052</v>
      </c>
      <c r="K7061" s="54">
        <v>0</v>
      </c>
      <c r="L7061" s="22" t="s">
        <v>104</v>
      </c>
      <c r="M7061" s="22" t="s">
        <v>37307</v>
      </c>
    </row>
    <row r="7062" spans="1:13" x14ac:dyDescent="0.75">
      <c r="A7062" t="s">
        <v>16693</v>
      </c>
      <c r="B7062" t="s">
        <v>8899</v>
      </c>
      <c r="C7062" t="s">
        <v>6093</v>
      </c>
      <c r="D7062" t="s">
        <v>8900</v>
      </c>
      <c r="E7062" t="s">
        <v>16694</v>
      </c>
      <c r="F7062">
        <v>1</v>
      </c>
      <c r="G7062">
        <v>1825427</v>
      </c>
      <c r="H7062" t="s">
        <v>16695</v>
      </c>
      <c r="J7062" s="54" t="s">
        <v>6052</v>
      </c>
      <c r="K7062" s="54">
        <v>0</v>
      </c>
      <c r="L7062" s="22" t="s">
        <v>36804</v>
      </c>
      <c r="M7062" s="22" t="s">
        <v>37326</v>
      </c>
    </row>
    <row r="7063" spans="1:13" x14ac:dyDescent="0.75">
      <c r="A7063" t="s">
        <v>8090</v>
      </c>
      <c r="B7063" t="s">
        <v>6112</v>
      </c>
      <c r="C7063" t="s">
        <v>6093</v>
      </c>
      <c r="D7063" t="s">
        <v>6113</v>
      </c>
      <c r="E7063" t="s">
        <v>8091</v>
      </c>
      <c r="F7063">
        <v>86</v>
      </c>
      <c r="G7063">
        <v>1899487</v>
      </c>
      <c r="H7063" t="s">
        <v>8092</v>
      </c>
      <c r="J7063" s="54" t="s">
        <v>6052</v>
      </c>
      <c r="K7063" s="54">
        <v>0</v>
      </c>
      <c r="L7063" s="22" t="s">
        <v>104</v>
      </c>
      <c r="M7063" s="22" t="s">
        <v>37307</v>
      </c>
    </row>
    <row r="7064" spans="1:13" x14ac:dyDescent="0.75">
      <c r="A7064" t="s">
        <v>8093</v>
      </c>
      <c r="B7064" t="s">
        <v>6112</v>
      </c>
      <c r="C7064" t="s">
        <v>6093</v>
      </c>
      <c r="D7064" t="s">
        <v>6113</v>
      </c>
      <c r="E7064" t="s">
        <v>8094</v>
      </c>
      <c r="F7064">
        <v>112</v>
      </c>
      <c r="G7064">
        <v>1872679</v>
      </c>
      <c r="H7064" t="s">
        <v>8095</v>
      </c>
      <c r="J7064" s="54" t="s">
        <v>6052</v>
      </c>
      <c r="K7064" s="54">
        <v>0</v>
      </c>
      <c r="L7064" s="22" t="s">
        <v>104</v>
      </c>
      <c r="M7064" s="22" t="s">
        <v>37307</v>
      </c>
    </row>
    <row r="7065" spans="1:13" x14ac:dyDescent="0.75">
      <c r="A7065" t="s">
        <v>8096</v>
      </c>
      <c r="B7065" t="s">
        <v>6112</v>
      </c>
      <c r="C7065" t="s">
        <v>6093</v>
      </c>
      <c r="D7065" t="s">
        <v>6113</v>
      </c>
      <c r="E7065" t="s">
        <v>8097</v>
      </c>
      <c r="F7065">
        <v>128</v>
      </c>
      <c r="G7065">
        <v>1794749</v>
      </c>
      <c r="H7065" t="s">
        <v>8098</v>
      </c>
      <c r="J7065" s="54" t="s">
        <v>6052</v>
      </c>
      <c r="K7065" s="54">
        <v>0</v>
      </c>
      <c r="L7065" s="22" t="s">
        <v>104</v>
      </c>
      <c r="M7065" s="22" t="s">
        <v>37307</v>
      </c>
    </row>
    <row r="7066" spans="1:13" x14ac:dyDescent="0.75">
      <c r="A7066" t="s">
        <v>8099</v>
      </c>
      <c r="B7066" t="s">
        <v>6112</v>
      </c>
      <c r="C7066" t="s">
        <v>6093</v>
      </c>
      <c r="D7066" t="s">
        <v>6113</v>
      </c>
      <c r="E7066" t="s">
        <v>8100</v>
      </c>
      <c r="F7066">
        <v>110</v>
      </c>
      <c r="G7066">
        <v>1882948</v>
      </c>
      <c r="H7066" t="s">
        <v>8101</v>
      </c>
      <c r="J7066" s="54" t="s">
        <v>6052</v>
      </c>
      <c r="K7066" s="54">
        <v>0</v>
      </c>
      <c r="L7066" s="22" t="s">
        <v>104</v>
      </c>
      <c r="M7066" s="22" t="s">
        <v>37307</v>
      </c>
    </row>
    <row r="7067" spans="1:13" x14ac:dyDescent="0.75">
      <c r="A7067" t="s">
        <v>8102</v>
      </c>
      <c r="B7067" t="s">
        <v>6112</v>
      </c>
      <c r="C7067" t="s">
        <v>6093</v>
      </c>
      <c r="D7067" t="s">
        <v>6113</v>
      </c>
      <c r="E7067" t="s">
        <v>8103</v>
      </c>
      <c r="F7067">
        <v>126</v>
      </c>
      <c r="G7067">
        <v>1818201</v>
      </c>
      <c r="H7067" t="s">
        <v>8104</v>
      </c>
      <c r="J7067" s="54" t="s">
        <v>6052</v>
      </c>
      <c r="K7067" s="54">
        <v>0</v>
      </c>
      <c r="L7067" s="22" t="s">
        <v>104</v>
      </c>
      <c r="M7067" s="22" t="s">
        <v>37307</v>
      </c>
    </row>
    <row r="7068" spans="1:13" x14ac:dyDescent="0.75">
      <c r="A7068" t="s">
        <v>8105</v>
      </c>
      <c r="B7068" t="s">
        <v>6112</v>
      </c>
      <c r="C7068" t="s">
        <v>6093</v>
      </c>
      <c r="D7068" t="s">
        <v>6113</v>
      </c>
      <c r="E7068" t="s">
        <v>8106</v>
      </c>
      <c r="F7068">
        <v>127</v>
      </c>
      <c r="G7068">
        <v>1765562</v>
      </c>
      <c r="H7068" t="s">
        <v>8107</v>
      </c>
      <c r="J7068" s="54" t="s">
        <v>6052</v>
      </c>
      <c r="K7068" s="54">
        <v>0</v>
      </c>
      <c r="L7068" s="22" t="s">
        <v>104</v>
      </c>
      <c r="M7068" s="22" t="s">
        <v>37307</v>
      </c>
    </row>
    <row r="7069" spans="1:13" x14ac:dyDescent="0.75">
      <c r="A7069" t="s">
        <v>8108</v>
      </c>
      <c r="B7069" t="s">
        <v>6112</v>
      </c>
      <c r="C7069" t="s">
        <v>6093</v>
      </c>
      <c r="D7069" t="s">
        <v>6113</v>
      </c>
      <c r="E7069" t="s">
        <v>8109</v>
      </c>
      <c r="F7069">
        <v>120</v>
      </c>
      <c r="G7069">
        <v>1832015</v>
      </c>
      <c r="H7069" t="s">
        <v>8110</v>
      </c>
      <c r="J7069" s="54" t="s">
        <v>6052</v>
      </c>
      <c r="K7069" s="54">
        <v>0</v>
      </c>
      <c r="L7069" s="22" t="s">
        <v>104</v>
      </c>
      <c r="M7069" s="22" t="s">
        <v>37307</v>
      </c>
    </row>
    <row r="7070" spans="1:13" x14ac:dyDescent="0.75">
      <c r="A7070" t="s">
        <v>8111</v>
      </c>
      <c r="B7070" t="s">
        <v>6112</v>
      </c>
      <c r="C7070" t="s">
        <v>6093</v>
      </c>
      <c r="D7070" t="s">
        <v>6113</v>
      </c>
      <c r="E7070" t="s">
        <v>8112</v>
      </c>
      <c r="F7070">
        <v>90</v>
      </c>
      <c r="G7070">
        <v>1898193</v>
      </c>
      <c r="H7070" t="s">
        <v>8113</v>
      </c>
      <c r="J7070" s="54" t="s">
        <v>6052</v>
      </c>
      <c r="K7070" s="54">
        <v>0</v>
      </c>
      <c r="L7070" s="22" t="s">
        <v>104</v>
      </c>
      <c r="M7070" s="22" t="s">
        <v>37307</v>
      </c>
    </row>
    <row r="7071" spans="1:13" x14ac:dyDescent="0.75">
      <c r="A7071" t="s">
        <v>8114</v>
      </c>
      <c r="B7071" t="s">
        <v>6112</v>
      </c>
      <c r="C7071" t="s">
        <v>6093</v>
      </c>
      <c r="D7071" t="s">
        <v>6113</v>
      </c>
      <c r="E7071" t="s">
        <v>8115</v>
      </c>
      <c r="F7071">
        <v>146</v>
      </c>
      <c r="G7071">
        <v>1770853</v>
      </c>
      <c r="H7071" t="s">
        <v>8116</v>
      </c>
      <c r="J7071" s="54" t="s">
        <v>6052</v>
      </c>
      <c r="K7071" s="54">
        <v>0</v>
      </c>
      <c r="L7071" s="22" t="s">
        <v>104</v>
      </c>
      <c r="M7071" s="22" t="s">
        <v>37307</v>
      </c>
    </row>
    <row r="7072" spans="1:13" x14ac:dyDescent="0.75">
      <c r="A7072" t="s">
        <v>8117</v>
      </c>
      <c r="B7072" t="s">
        <v>6112</v>
      </c>
      <c r="C7072" t="s">
        <v>6093</v>
      </c>
      <c r="D7072" t="s">
        <v>6113</v>
      </c>
      <c r="E7072" t="s">
        <v>8118</v>
      </c>
      <c r="F7072">
        <v>115</v>
      </c>
      <c r="G7072">
        <v>1820309</v>
      </c>
      <c r="H7072" t="s">
        <v>8119</v>
      </c>
      <c r="J7072" s="54" t="s">
        <v>6052</v>
      </c>
      <c r="K7072" s="54">
        <v>0</v>
      </c>
      <c r="L7072" s="22" t="s">
        <v>104</v>
      </c>
      <c r="M7072" s="22" t="s">
        <v>37307</v>
      </c>
    </row>
    <row r="7073" spans="1:13" x14ac:dyDescent="0.75">
      <c r="A7073" t="s">
        <v>8120</v>
      </c>
      <c r="B7073" t="s">
        <v>6112</v>
      </c>
      <c r="C7073" t="s">
        <v>6093</v>
      </c>
      <c r="D7073" t="s">
        <v>6113</v>
      </c>
      <c r="E7073" t="s">
        <v>8121</v>
      </c>
      <c r="F7073">
        <v>136</v>
      </c>
      <c r="G7073">
        <v>1847156</v>
      </c>
      <c r="H7073" t="s">
        <v>8122</v>
      </c>
      <c r="J7073" s="54" t="s">
        <v>6052</v>
      </c>
      <c r="K7073" s="54">
        <v>0</v>
      </c>
      <c r="L7073" s="22" t="s">
        <v>104</v>
      </c>
      <c r="M7073" s="22" t="s">
        <v>37307</v>
      </c>
    </row>
    <row r="7074" spans="1:13" x14ac:dyDescent="0.75">
      <c r="A7074" t="s">
        <v>8123</v>
      </c>
      <c r="B7074" t="s">
        <v>6112</v>
      </c>
      <c r="C7074" t="s">
        <v>6093</v>
      </c>
      <c r="D7074" t="s">
        <v>6113</v>
      </c>
      <c r="E7074" t="s">
        <v>8124</v>
      </c>
      <c r="F7074">
        <v>135</v>
      </c>
      <c r="G7074">
        <v>1809350</v>
      </c>
      <c r="H7074" t="s">
        <v>8125</v>
      </c>
      <c r="J7074" s="54" t="s">
        <v>6052</v>
      </c>
      <c r="K7074" s="54">
        <v>0</v>
      </c>
      <c r="L7074" s="22" t="s">
        <v>104</v>
      </c>
      <c r="M7074" s="22" t="s">
        <v>37307</v>
      </c>
    </row>
    <row r="7075" spans="1:13" x14ac:dyDescent="0.75">
      <c r="A7075" t="s">
        <v>8126</v>
      </c>
      <c r="B7075" t="s">
        <v>6112</v>
      </c>
      <c r="C7075" t="s">
        <v>6093</v>
      </c>
      <c r="D7075" t="s">
        <v>6113</v>
      </c>
      <c r="E7075" t="s">
        <v>8127</v>
      </c>
      <c r="F7075">
        <v>194</v>
      </c>
      <c r="G7075">
        <v>1771432</v>
      </c>
      <c r="H7075" t="s">
        <v>8128</v>
      </c>
      <c r="J7075" s="54" t="s">
        <v>6052</v>
      </c>
      <c r="K7075" s="54">
        <v>0</v>
      </c>
      <c r="L7075" s="22" t="s">
        <v>104</v>
      </c>
      <c r="M7075" s="22" t="s">
        <v>37307</v>
      </c>
    </row>
    <row r="7076" spans="1:13" x14ac:dyDescent="0.75">
      <c r="A7076" t="s">
        <v>8129</v>
      </c>
      <c r="B7076" t="s">
        <v>6112</v>
      </c>
      <c r="C7076" t="s">
        <v>6093</v>
      </c>
      <c r="D7076" t="s">
        <v>6113</v>
      </c>
      <c r="E7076" t="s">
        <v>8130</v>
      </c>
      <c r="F7076">
        <v>136</v>
      </c>
      <c r="G7076">
        <v>1789375</v>
      </c>
      <c r="H7076" t="s">
        <v>8131</v>
      </c>
      <c r="J7076" s="54" t="s">
        <v>6052</v>
      </c>
      <c r="K7076" s="54">
        <v>0</v>
      </c>
      <c r="L7076" s="22" t="s">
        <v>104</v>
      </c>
      <c r="M7076" s="22" t="s">
        <v>37307</v>
      </c>
    </row>
    <row r="7077" spans="1:13" x14ac:dyDescent="0.75">
      <c r="A7077" t="s">
        <v>8132</v>
      </c>
      <c r="B7077" t="s">
        <v>6112</v>
      </c>
      <c r="C7077" t="s">
        <v>6093</v>
      </c>
      <c r="D7077" t="s">
        <v>6113</v>
      </c>
      <c r="E7077" t="s">
        <v>8133</v>
      </c>
      <c r="F7077">
        <v>131</v>
      </c>
      <c r="G7077">
        <v>1809266</v>
      </c>
      <c r="H7077" t="s">
        <v>8134</v>
      </c>
      <c r="J7077" s="54" t="s">
        <v>6052</v>
      </c>
      <c r="K7077" s="54">
        <v>0</v>
      </c>
      <c r="L7077" s="22" t="s">
        <v>104</v>
      </c>
      <c r="M7077" s="22" t="s">
        <v>37307</v>
      </c>
    </row>
    <row r="7078" spans="1:13" x14ac:dyDescent="0.75">
      <c r="A7078" t="s">
        <v>8135</v>
      </c>
      <c r="B7078" t="s">
        <v>6112</v>
      </c>
      <c r="C7078" t="s">
        <v>6093</v>
      </c>
      <c r="D7078" t="s">
        <v>6113</v>
      </c>
      <c r="E7078" t="s">
        <v>8136</v>
      </c>
      <c r="F7078">
        <v>145</v>
      </c>
      <c r="G7078">
        <v>1790639</v>
      </c>
      <c r="H7078" t="s">
        <v>8137</v>
      </c>
      <c r="J7078" s="54" t="s">
        <v>6052</v>
      </c>
      <c r="K7078" s="54">
        <v>0</v>
      </c>
      <c r="L7078" s="22" t="s">
        <v>104</v>
      </c>
      <c r="M7078" s="22" t="s">
        <v>37307</v>
      </c>
    </row>
    <row r="7079" spans="1:13" x14ac:dyDescent="0.75">
      <c r="A7079" t="s">
        <v>8138</v>
      </c>
      <c r="B7079" t="s">
        <v>6112</v>
      </c>
      <c r="C7079" t="s">
        <v>6093</v>
      </c>
      <c r="D7079" t="s">
        <v>6113</v>
      </c>
      <c r="E7079" t="s">
        <v>8139</v>
      </c>
      <c r="F7079">
        <v>101</v>
      </c>
      <c r="G7079">
        <v>1861625</v>
      </c>
      <c r="H7079" t="s">
        <v>8140</v>
      </c>
      <c r="J7079" s="54" t="s">
        <v>6052</v>
      </c>
      <c r="K7079" s="54">
        <v>0</v>
      </c>
      <c r="L7079" s="22" t="s">
        <v>104</v>
      </c>
      <c r="M7079" s="22" t="s">
        <v>37307</v>
      </c>
    </row>
    <row r="7080" spans="1:13" x14ac:dyDescent="0.75">
      <c r="A7080" t="s">
        <v>8141</v>
      </c>
      <c r="B7080" t="s">
        <v>6112</v>
      </c>
      <c r="C7080" t="s">
        <v>6093</v>
      </c>
      <c r="D7080" t="s">
        <v>6113</v>
      </c>
      <c r="E7080" t="s">
        <v>8142</v>
      </c>
      <c r="F7080">
        <v>134</v>
      </c>
      <c r="G7080">
        <v>1809565</v>
      </c>
      <c r="H7080" t="s">
        <v>8143</v>
      </c>
      <c r="J7080" s="54" t="s">
        <v>6052</v>
      </c>
      <c r="K7080" s="54">
        <v>0</v>
      </c>
      <c r="L7080" s="22" t="s">
        <v>104</v>
      </c>
      <c r="M7080" s="22" t="s">
        <v>37307</v>
      </c>
    </row>
    <row r="7081" spans="1:13" x14ac:dyDescent="0.75">
      <c r="A7081" t="s">
        <v>8144</v>
      </c>
      <c r="B7081" t="s">
        <v>6112</v>
      </c>
      <c r="C7081" t="s">
        <v>6093</v>
      </c>
      <c r="D7081" t="s">
        <v>6113</v>
      </c>
      <c r="E7081" t="s">
        <v>8145</v>
      </c>
      <c r="F7081">
        <v>133</v>
      </c>
      <c r="G7081">
        <v>1797735</v>
      </c>
      <c r="H7081" t="s">
        <v>8146</v>
      </c>
      <c r="J7081" s="54" t="s">
        <v>6052</v>
      </c>
      <c r="K7081" s="54">
        <v>0</v>
      </c>
      <c r="L7081" s="22" t="s">
        <v>104</v>
      </c>
      <c r="M7081" s="22" t="s">
        <v>37307</v>
      </c>
    </row>
    <row r="7082" spans="1:13" x14ac:dyDescent="0.75">
      <c r="A7082" t="s">
        <v>8147</v>
      </c>
      <c r="B7082" t="s">
        <v>6112</v>
      </c>
      <c r="C7082" t="s">
        <v>6093</v>
      </c>
      <c r="D7082" t="s">
        <v>6113</v>
      </c>
      <c r="E7082" t="s">
        <v>8148</v>
      </c>
      <c r="F7082">
        <v>130</v>
      </c>
      <c r="G7082">
        <v>1802905</v>
      </c>
      <c r="H7082" t="s">
        <v>8149</v>
      </c>
      <c r="J7082" s="54" t="s">
        <v>6052</v>
      </c>
      <c r="K7082" s="54">
        <v>0</v>
      </c>
      <c r="L7082" s="22" t="s">
        <v>104</v>
      </c>
      <c r="M7082" s="22" t="s">
        <v>37307</v>
      </c>
    </row>
    <row r="7083" spans="1:13" x14ac:dyDescent="0.75">
      <c r="A7083" t="s">
        <v>8150</v>
      </c>
      <c r="B7083" t="s">
        <v>6112</v>
      </c>
      <c r="C7083" t="s">
        <v>6093</v>
      </c>
      <c r="D7083" t="s">
        <v>6113</v>
      </c>
      <c r="E7083" t="s">
        <v>8151</v>
      </c>
      <c r="F7083">
        <v>109</v>
      </c>
      <c r="G7083">
        <v>1859995</v>
      </c>
      <c r="H7083" t="s">
        <v>8152</v>
      </c>
      <c r="J7083" s="54" t="s">
        <v>6052</v>
      </c>
      <c r="K7083" s="54">
        <v>0</v>
      </c>
      <c r="L7083" s="22" t="s">
        <v>104</v>
      </c>
      <c r="M7083" s="22" t="s">
        <v>37307</v>
      </c>
    </row>
    <row r="7084" spans="1:13" x14ac:dyDescent="0.75">
      <c r="A7084" t="s">
        <v>8153</v>
      </c>
      <c r="B7084" t="s">
        <v>6112</v>
      </c>
      <c r="C7084" t="s">
        <v>6093</v>
      </c>
      <c r="D7084" t="s">
        <v>6113</v>
      </c>
      <c r="E7084" t="s">
        <v>8154</v>
      </c>
      <c r="F7084">
        <v>106</v>
      </c>
      <c r="G7084">
        <v>1854930</v>
      </c>
      <c r="H7084" t="s">
        <v>8155</v>
      </c>
      <c r="J7084" s="54" t="s">
        <v>6052</v>
      </c>
      <c r="K7084" s="54">
        <v>0</v>
      </c>
      <c r="L7084" s="22" t="s">
        <v>104</v>
      </c>
      <c r="M7084" s="22" t="s">
        <v>37307</v>
      </c>
    </row>
    <row r="7085" spans="1:13" x14ac:dyDescent="0.75">
      <c r="A7085" t="s">
        <v>8156</v>
      </c>
      <c r="B7085" t="s">
        <v>6112</v>
      </c>
      <c r="C7085" t="s">
        <v>6093</v>
      </c>
      <c r="D7085" t="s">
        <v>6113</v>
      </c>
      <c r="E7085" t="s">
        <v>8157</v>
      </c>
      <c r="F7085">
        <v>86</v>
      </c>
      <c r="G7085">
        <v>1898217</v>
      </c>
      <c r="H7085" t="s">
        <v>8158</v>
      </c>
      <c r="J7085" s="54" t="s">
        <v>6052</v>
      </c>
      <c r="K7085" s="54">
        <v>0</v>
      </c>
      <c r="L7085" s="22" t="s">
        <v>104</v>
      </c>
      <c r="M7085" s="22" t="s">
        <v>37307</v>
      </c>
    </row>
    <row r="7086" spans="1:13" x14ac:dyDescent="0.75">
      <c r="A7086" t="s">
        <v>8159</v>
      </c>
      <c r="B7086" t="s">
        <v>6112</v>
      </c>
      <c r="C7086" t="s">
        <v>6093</v>
      </c>
      <c r="D7086" t="s">
        <v>6113</v>
      </c>
      <c r="E7086" t="s">
        <v>8160</v>
      </c>
      <c r="F7086">
        <v>61</v>
      </c>
      <c r="G7086">
        <v>1914397</v>
      </c>
      <c r="H7086" t="s">
        <v>8161</v>
      </c>
      <c r="J7086" s="54" t="s">
        <v>6052</v>
      </c>
      <c r="K7086" s="54">
        <v>0</v>
      </c>
      <c r="L7086" s="22" t="s">
        <v>104</v>
      </c>
      <c r="M7086" s="22" t="s">
        <v>37307</v>
      </c>
    </row>
    <row r="7087" spans="1:13" x14ac:dyDescent="0.75">
      <c r="A7087" t="s">
        <v>8162</v>
      </c>
      <c r="B7087" t="s">
        <v>6112</v>
      </c>
      <c r="C7087" t="s">
        <v>6093</v>
      </c>
      <c r="D7087" t="s">
        <v>6113</v>
      </c>
      <c r="E7087" t="s">
        <v>8163</v>
      </c>
      <c r="F7087">
        <v>66</v>
      </c>
      <c r="G7087">
        <v>1914702</v>
      </c>
      <c r="H7087" t="s">
        <v>8164</v>
      </c>
      <c r="J7087" s="54" t="s">
        <v>6052</v>
      </c>
      <c r="K7087" s="54">
        <v>0</v>
      </c>
      <c r="L7087" s="22" t="s">
        <v>104</v>
      </c>
      <c r="M7087" s="22" t="s">
        <v>37307</v>
      </c>
    </row>
    <row r="7088" spans="1:13" x14ac:dyDescent="0.75">
      <c r="A7088" t="s">
        <v>8165</v>
      </c>
      <c r="B7088" t="s">
        <v>6112</v>
      </c>
      <c r="C7088" t="s">
        <v>6093</v>
      </c>
      <c r="D7088" t="s">
        <v>6113</v>
      </c>
      <c r="E7088" t="s">
        <v>8166</v>
      </c>
      <c r="F7088">
        <v>143</v>
      </c>
      <c r="G7088">
        <v>1771140</v>
      </c>
      <c r="H7088" t="s">
        <v>8167</v>
      </c>
      <c r="J7088" s="54" t="s">
        <v>6052</v>
      </c>
      <c r="K7088" s="54">
        <v>0</v>
      </c>
      <c r="L7088" s="22" t="s">
        <v>104</v>
      </c>
      <c r="M7088" s="22" t="s">
        <v>37307</v>
      </c>
    </row>
    <row r="7089" spans="1:13" x14ac:dyDescent="0.75">
      <c r="A7089" t="s">
        <v>8168</v>
      </c>
      <c r="B7089" t="s">
        <v>6112</v>
      </c>
      <c r="C7089" t="s">
        <v>6093</v>
      </c>
      <c r="D7089" t="s">
        <v>6113</v>
      </c>
      <c r="E7089" t="s">
        <v>8169</v>
      </c>
      <c r="F7089">
        <v>98</v>
      </c>
      <c r="G7089">
        <v>1879409</v>
      </c>
      <c r="H7089" t="s">
        <v>8170</v>
      </c>
      <c r="J7089" s="54" t="s">
        <v>6052</v>
      </c>
      <c r="K7089" s="54">
        <v>0</v>
      </c>
      <c r="L7089" s="22" t="s">
        <v>104</v>
      </c>
      <c r="M7089" s="22" t="s">
        <v>37307</v>
      </c>
    </row>
    <row r="7090" spans="1:13" x14ac:dyDescent="0.75">
      <c r="A7090" t="s">
        <v>8171</v>
      </c>
      <c r="B7090" t="s">
        <v>6112</v>
      </c>
      <c r="C7090" t="s">
        <v>6093</v>
      </c>
      <c r="D7090" t="s">
        <v>6113</v>
      </c>
      <c r="E7090" t="s">
        <v>8172</v>
      </c>
      <c r="F7090">
        <v>110</v>
      </c>
      <c r="G7090">
        <v>1881106</v>
      </c>
      <c r="H7090" t="s">
        <v>8173</v>
      </c>
      <c r="J7090" s="54" t="s">
        <v>6052</v>
      </c>
      <c r="K7090" s="54">
        <v>0</v>
      </c>
      <c r="L7090" s="22" t="s">
        <v>104</v>
      </c>
      <c r="M7090" s="22" t="s">
        <v>37307</v>
      </c>
    </row>
    <row r="7091" spans="1:13" x14ac:dyDescent="0.75">
      <c r="A7091" t="s">
        <v>8174</v>
      </c>
      <c r="B7091" t="s">
        <v>6112</v>
      </c>
      <c r="C7091" t="s">
        <v>6093</v>
      </c>
      <c r="D7091" t="s">
        <v>6113</v>
      </c>
      <c r="E7091" t="s">
        <v>8175</v>
      </c>
      <c r="F7091">
        <v>141</v>
      </c>
      <c r="G7091">
        <v>1799001</v>
      </c>
      <c r="H7091" t="s">
        <v>8176</v>
      </c>
      <c r="J7091" s="54" t="s">
        <v>6052</v>
      </c>
      <c r="K7091" s="54">
        <v>0</v>
      </c>
      <c r="L7091" s="22" t="s">
        <v>104</v>
      </c>
      <c r="M7091" s="22" t="s">
        <v>37307</v>
      </c>
    </row>
    <row r="7092" spans="1:13" x14ac:dyDescent="0.75">
      <c r="A7092" t="s">
        <v>8177</v>
      </c>
      <c r="B7092" t="s">
        <v>6112</v>
      </c>
      <c r="C7092" t="s">
        <v>6093</v>
      </c>
      <c r="D7092" t="s">
        <v>6113</v>
      </c>
      <c r="E7092" t="s">
        <v>8178</v>
      </c>
      <c r="F7092">
        <v>137</v>
      </c>
      <c r="G7092">
        <v>1824597</v>
      </c>
      <c r="H7092" t="s">
        <v>8179</v>
      </c>
      <c r="J7092" s="54" t="s">
        <v>6052</v>
      </c>
      <c r="K7092" s="54">
        <v>0</v>
      </c>
      <c r="L7092" s="22" t="s">
        <v>104</v>
      </c>
      <c r="M7092" s="22" t="s">
        <v>37307</v>
      </c>
    </row>
    <row r="7093" spans="1:13" x14ac:dyDescent="0.75">
      <c r="A7093" t="s">
        <v>8180</v>
      </c>
      <c r="B7093" t="s">
        <v>6112</v>
      </c>
      <c r="C7093" t="s">
        <v>6093</v>
      </c>
      <c r="D7093" t="s">
        <v>6113</v>
      </c>
      <c r="E7093" t="s">
        <v>8181</v>
      </c>
      <c r="F7093">
        <v>127</v>
      </c>
      <c r="G7093">
        <v>1819735</v>
      </c>
      <c r="H7093" t="s">
        <v>8182</v>
      </c>
      <c r="J7093" s="54" t="s">
        <v>6052</v>
      </c>
      <c r="K7093" s="54">
        <v>0</v>
      </c>
      <c r="L7093" s="22" t="s">
        <v>104</v>
      </c>
      <c r="M7093" s="22" t="s">
        <v>37307</v>
      </c>
    </row>
    <row r="7094" spans="1:13" x14ac:dyDescent="0.75">
      <c r="A7094" t="s">
        <v>8183</v>
      </c>
      <c r="B7094" t="s">
        <v>6112</v>
      </c>
      <c r="C7094" t="s">
        <v>6093</v>
      </c>
      <c r="D7094" t="s">
        <v>6113</v>
      </c>
      <c r="E7094" t="s">
        <v>8184</v>
      </c>
      <c r="F7094">
        <v>92</v>
      </c>
      <c r="G7094">
        <v>1855678</v>
      </c>
      <c r="H7094" t="s">
        <v>8185</v>
      </c>
      <c r="J7094" s="54" t="s">
        <v>6052</v>
      </c>
      <c r="K7094" s="54">
        <v>0</v>
      </c>
      <c r="L7094" s="22" t="s">
        <v>104</v>
      </c>
      <c r="M7094" s="22" t="s">
        <v>37307</v>
      </c>
    </row>
    <row r="7095" spans="1:13" x14ac:dyDescent="0.75">
      <c r="A7095" t="s">
        <v>8186</v>
      </c>
      <c r="B7095" t="s">
        <v>6112</v>
      </c>
      <c r="C7095" t="s">
        <v>6093</v>
      </c>
      <c r="D7095" t="s">
        <v>6113</v>
      </c>
      <c r="E7095" t="s">
        <v>8187</v>
      </c>
      <c r="F7095">
        <v>98</v>
      </c>
      <c r="G7095">
        <v>1856336</v>
      </c>
      <c r="H7095" t="s">
        <v>8188</v>
      </c>
      <c r="J7095" s="54" t="s">
        <v>6052</v>
      </c>
      <c r="K7095" s="54">
        <v>0</v>
      </c>
      <c r="L7095" s="22" t="s">
        <v>104</v>
      </c>
      <c r="M7095" s="22" t="s">
        <v>37307</v>
      </c>
    </row>
    <row r="7096" spans="1:13" x14ac:dyDescent="0.75">
      <c r="A7096" t="s">
        <v>8189</v>
      </c>
      <c r="B7096" t="s">
        <v>6112</v>
      </c>
      <c r="C7096" t="s">
        <v>6093</v>
      </c>
      <c r="D7096" t="s">
        <v>6113</v>
      </c>
      <c r="E7096" t="s">
        <v>8190</v>
      </c>
      <c r="F7096">
        <v>136</v>
      </c>
      <c r="G7096">
        <v>1809821</v>
      </c>
      <c r="H7096" t="s">
        <v>8191</v>
      </c>
      <c r="J7096" s="54" t="s">
        <v>6052</v>
      </c>
      <c r="K7096" s="54">
        <v>0</v>
      </c>
      <c r="L7096" s="22" t="s">
        <v>104</v>
      </c>
      <c r="M7096" s="22" t="s">
        <v>37307</v>
      </c>
    </row>
    <row r="7097" spans="1:13" x14ac:dyDescent="0.75">
      <c r="A7097" t="s">
        <v>8192</v>
      </c>
      <c r="B7097" t="s">
        <v>6112</v>
      </c>
      <c r="C7097" t="s">
        <v>6093</v>
      </c>
      <c r="D7097" t="s">
        <v>6113</v>
      </c>
      <c r="E7097" t="s">
        <v>8193</v>
      </c>
      <c r="F7097">
        <v>119</v>
      </c>
      <c r="G7097">
        <v>1818786</v>
      </c>
      <c r="H7097" t="s">
        <v>8194</v>
      </c>
      <c r="J7097" s="54" t="s">
        <v>6052</v>
      </c>
      <c r="K7097" s="54">
        <v>0</v>
      </c>
      <c r="L7097" s="22" t="s">
        <v>104</v>
      </c>
      <c r="M7097" s="22" t="s">
        <v>37307</v>
      </c>
    </row>
    <row r="7098" spans="1:13" x14ac:dyDescent="0.75">
      <c r="A7098" t="s">
        <v>8195</v>
      </c>
      <c r="B7098" t="s">
        <v>6112</v>
      </c>
      <c r="C7098" t="s">
        <v>6093</v>
      </c>
      <c r="D7098" t="s">
        <v>6113</v>
      </c>
      <c r="E7098" t="s">
        <v>8196</v>
      </c>
      <c r="F7098">
        <v>140</v>
      </c>
      <c r="G7098">
        <v>1798201</v>
      </c>
      <c r="H7098" t="s">
        <v>8197</v>
      </c>
      <c r="J7098" s="54" t="s">
        <v>6052</v>
      </c>
      <c r="K7098" s="54">
        <v>0</v>
      </c>
      <c r="L7098" s="22" t="s">
        <v>104</v>
      </c>
      <c r="M7098" s="22" t="s">
        <v>37307</v>
      </c>
    </row>
    <row r="7099" spans="1:13" x14ac:dyDescent="0.75">
      <c r="A7099" t="s">
        <v>8198</v>
      </c>
      <c r="B7099" t="s">
        <v>6112</v>
      </c>
      <c r="C7099" t="s">
        <v>6093</v>
      </c>
      <c r="D7099" t="s">
        <v>6113</v>
      </c>
      <c r="E7099" t="s">
        <v>8199</v>
      </c>
      <c r="F7099">
        <v>137</v>
      </c>
      <c r="G7099">
        <v>1810877</v>
      </c>
      <c r="H7099" t="s">
        <v>8200</v>
      </c>
      <c r="J7099" s="54" t="s">
        <v>6052</v>
      </c>
      <c r="K7099" s="54">
        <v>0</v>
      </c>
      <c r="L7099" s="22" t="s">
        <v>104</v>
      </c>
      <c r="M7099" s="22" t="s">
        <v>37307</v>
      </c>
    </row>
    <row r="7100" spans="1:13" x14ac:dyDescent="0.75">
      <c r="A7100" t="s">
        <v>8201</v>
      </c>
      <c r="B7100" t="s">
        <v>6112</v>
      </c>
      <c r="C7100" t="s">
        <v>6093</v>
      </c>
      <c r="D7100" t="s">
        <v>6113</v>
      </c>
      <c r="E7100" t="s">
        <v>8202</v>
      </c>
      <c r="F7100">
        <v>109</v>
      </c>
      <c r="G7100">
        <v>1891335</v>
      </c>
      <c r="H7100" t="s">
        <v>8203</v>
      </c>
      <c r="J7100" s="54" t="s">
        <v>6052</v>
      </c>
      <c r="K7100" s="54">
        <v>0</v>
      </c>
      <c r="L7100" s="22" t="s">
        <v>104</v>
      </c>
      <c r="M7100" s="22" t="s">
        <v>37307</v>
      </c>
    </row>
    <row r="7101" spans="1:13" x14ac:dyDescent="0.75">
      <c r="A7101" t="s">
        <v>8204</v>
      </c>
      <c r="B7101" t="s">
        <v>6112</v>
      </c>
      <c r="C7101" t="s">
        <v>6093</v>
      </c>
      <c r="D7101" t="s">
        <v>6113</v>
      </c>
      <c r="E7101" t="s">
        <v>8205</v>
      </c>
      <c r="F7101">
        <v>136</v>
      </c>
      <c r="G7101">
        <v>1743498</v>
      </c>
      <c r="H7101" t="s">
        <v>8206</v>
      </c>
      <c r="J7101" s="54" t="s">
        <v>6052</v>
      </c>
      <c r="K7101" s="54">
        <v>0</v>
      </c>
      <c r="L7101" s="22" t="s">
        <v>104</v>
      </c>
      <c r="M7101" s="22" t="s">
        <v>37307</v>
      </c>
    </row>
    <row r="7102" spans="1:13" x14ac:dyDescent="0.75">
      <c r="A7102" t="s">
        <v>8207</v>
      </c>
      <c r="B7102" t="s">
        <v>6112</v>
      </c>
      <c r="C7102" t="s">
        <v>6093</v>
      </c>
      <c r="D7102" t="s">
        <v>6113</v>
      </c>
      <c r="E7102" t="s">
        <v>8208</v>
      </c>
      <c r="F7102">
        <v>103</v>
      </c>
      <c r="G7102">
        <v>1880026</v>
      </c>
      <c r="H7102" t="s">
        <v>8209</v>
      </c>
      <c r="J7102" s="54" t="s">
        <v>6052</v>
      </c>
      <c r="K7102" s="54">
        <v>0</v>
      </c>
      <c r="L7102" s="22" t="s">
        <v>104</v>
      </c>
      <c r="M7102" s="22" t="s">
        <v>37307</v>
      </c>
    </row>
    <row r="7103" spans="1:13" x14ac:dyDescent="0.75">
      <c r="A7103" t="s">
        <v>8210</v>
      </c>
      <c r="B7103" t="s">
        <v>6112</v>
      </c>
      <c r="C7103" t="s">
        <v>6093</v>
      </c>
      <c r="D7103" t="s">
        <v>6113</v>
      </c>
      <c r="E7103" t="s">
        <v>8211</v>
      </c>
      <c r="F7103">
        <v>53</v>
      </c>
      <c r="G7103">
        <v>1935728</v>
      </c>
      <c r="H7103" t="s">
        <v>8212</v>
      </c>
      <c r="J7103" s="54" t="s">
        <v>6052</v>
      </c>
      <c r="K7103" s="54">
        <v>0</v>
      </c>
      <c r="L7103" s="22" t="s">
        <v>104</v>
      </c>
      <c r="M7103" s="22" t="s">
        <v>37307</v>
      </c>
    </row>
    <row r="7104" spans="1:13" x14ac:dyDescent="0.75">
      <c r="A7104" t="s">
        <v>8213</v>
      </c>
      <c r="B7104" t="s">
        <v>6112</v>
      </c>
      <c r="C7104" t="s">
        <v>6093</v>
      </c>
      <c r="D7104" t="s">
        <v>6113</v>
      </c>
      <c r="E7104" t="s">
        <v>8214</v>
      </c>
      <c r="F7104">
        <v>93</v>
      </c>
      <c r="G7104">
        <v>1869620</v>
      </c>
      <c r="H7104" t="s">
        <v>8215</v>
      </c>
      <c r="J7104" s="54" t="s">
        <v>6052</v>
      </c>
      <c r="K7104" s="54">
        <v>0</v>
      </c>
      <c r="L7104" s="22" t="s">
        <v>104</v>
      </c>
      <c r="M7104" s="22" t="s">
        <v>37307</v>
      </c>
    </row>
    <row r="7105" spans="1:13" x14ac:dyDescent="0.75">
      <c r="A7105" t="s">
        <v>8216</v>
      </c>
      <c r="B7105" t="s">
        <v>6112</v>
      </c>
      <c r="C7105" t="s">
        <v>6093</v>
      </c>
      <c r="D7105" t="s">
        <v>6113</v>
      </c>
      <c r="E7105" t="s">
        <v>8217</v>
      </c>
      <c r="F7105">
        <v>57</v>
      </c>
      <c r="G7105">
        <v>1936890</v>
      </c>
      <c r="H7105" t="s">
        <v>8218</v>
      </c>
      <c r="J7105" s="54" t="s">
        <v>6052</v>
      </c>
      <c r="K7105" s="54">
        <v>0</v>
      </c>
      <c r="L7105" s="22" t="s">
        <v>104</v>
      </c>
      <c r="M7105" s="22" t="s">
        <v>37307</v>
      </c>
    </row>
    <row r="7106" spans="1:13" x14ac:dyDescent="0.75">
      <c r="A7106" t="s">
        <v>8219</v>
      </c>
      <c r="B7106" t="s">
        <v>6112</v>
      </c>
      <c r="C7106" t="s">
        <v>6093</v>
      </c>
      <c r="D7106" t="s">
        <v>6113</v>
      </c>
      <c r="E7106" t="s">
        <v>8220</v>
      </c>
      <c r="F7106">
        <v>135</v>
      </c>
      <c r="G7106">
        <v>1804833</v>
      </c>
      <c r="H7106" t="s">
        <v>8221</v>
      </c>
      <c r="J7106" s="54" t="s">
        <v>6052</v>
      </c>
      <c r="K7106" s="54">
        <v>0</v>
      </c>
      <c r="L7106" s="22" t="s">
        <v>104</v>
      </c>
      <c r="M7106" s="22" t="s">
        <v>37307</v>
      </c>
    </row>
    <row r="7107" spans="1:13" x14ac:dyDescent="0.75">
      <c r="A7107" t="s">
        <v>8222</v>
      </c>
      <c r="B7107" t="s">
        <v>6112</v>
      </c>
      <c r="C7107" t="s">
        <v>6093</v>
      </c>
      <c r="D7107" t="s">
        <v>6113</v>
      </c>
      <c r="E7107" t="s">
        <v>8223</v>
      </c>
      <c r="F7107">
        <v>109</v>
      </c>
      <c r="G7107">
        <v>1855602</v>
      </c>
      <c r="H7107" t="s">
        <v>8224</v>
      </c>
      <c r="J7107" s="54" t="s">
        <v>6052</v>
      </c>
      <c r="K7107" s="54">
        <v>0</v>
      </c>
      <c r="L7107" s="22" t="s">
        <v>104</v>
      </c>
      <c r="M7107" s="22" t="s">
        <v>37307</v>
      </c>
    </row>
    <row r="7108" spans="1:13" x14ac:dyDescent="0.75">
      <c r="A7108" t="s">
        <v>8225</v>
      </c>
      <c r="B7108" t="s">
        <v>6112</v>
      </c>
      <c r="C7108" t="s">
        <v>6093</v>
      </c>
      <c r="D7108" t="s">
        <v>6113</v>
      </c>
      <c r="E7108" t="s">
        <v>8226</v>
      </c>
      <c r="F7108">
        <v>108</v>
      </c>
      <c r="G7108">
        <v>1879483</v>
      </c>
      <c r="H7108" t="s">
        <v>8227</v>
      </c>
      <c r="J7108" s="54" t="s">
        <v>6052</v>
      </c>
      <c r="K7108" s="54">
        <v>0</v>
      </c>
      <c r="L7108" s="22" t="s">
        <v>104</v>
      </c>
      <c r="M7108" s="22" t="s">
        <v>37307</v>
      </c>
    </row>
    <row r="7109" spans="1:13" x14ac:dyDescent="0.75">
      <c r="A7109" t="s">
        <v>8228</v>
      </c>
      <c r="B7109" t="s">
        <v>6112</v>
      </c>
      <c r="C7109" t="s">
        <v>6093</v>
      </c>
      <c r="D7109" t="s">
        <v>6113</v>
      </c>
      <c r="E7109" t="s">
        <v>8229</v>
      </c>
      <c r="F7109">
        <v>110</v>
      </c>
      <c r="G7109">
        <v>1883089</v>
      </c>
      <c r="H7109" t="s">
        <v>8230</v>
      </c>
      <c r="J7109" s="54" t="s">
        <v>6052</v>
      </c>
      <c r="K7109" s="54">
        <v>0</v>
      </c>
      <c r="L7109" s="22" t="s">
        <v>104</v>
      </c>
      <c r="M7109" s="22" t="s">
        <v>37307</v>
      </c>
    </row>
    <row r="7110" spans="1:13" x14ac:dyDescent="0.75">
      <c r="A7110" t="s">
        <v>8231</v>
      </c>
      <c r="B7110" t="s">
        <v>6112</v>
      </c>
      <c r="C7110" t="s">
        <v>6093</v>
      </c>
      <c r="D7110" t="s">
        <v>6113</v>
      </c>
      <c r="E7110" t="s">
        <v>8232</v>
      </c>
      <c r="F7110">
        <v>48</v>
      </c>
      <c r="G7110">
        <v>1941227</v>
      </c>
      <c r="H7110" t="s">
        <v>8233</v>
      </c>
      <c r="J7110" s="54" t="s">
        <v>6052</v>
      </c>
      <c r="K7110" s="54">
        <v>0</v>
      </c>
      <c r="L7110" s="22" t="s">
        <v>104</v>
      </c>
      <c r="M7110" s="22" t="s">
        <v>37307</v>
      </c>
    </row>
    <row r="7111" spans="1:13" x14ac:dyDescent="0.75">
      <c r="A7111" t="s">
        <v>8234</v>
      </c>
      <c r="B7111" t="s">
        <v>6112</v>
      </c>
      <c r="C7111" t="s">
        <v>6093</v>
      </c>
      <c r="D7111" t="s">
        <v>6113</v>
      </c>
      <c r="E7111" t="s">
        <v>8235</v>
      </c>
      <c r="F7111">
        <v>64</v>
      </c>
      <c r="G7111">
        <v>1921849</v>
      </c>
      <c r="H7111" t="s">
        <v>8236</v>
      </c>
      <c r="J7111" s="54" t="s">
        <v>6052</v>
      </c>
      <c r="K7111" s="54">
        <v>0</v>
      </c>
      <c r="L7111" s="22" t="s">
        <v>104</v>
      </c>
      <c r="M7111" s="22" t="s">
        <v>37307</v>
      </c>
    </row>
    <row r="7112" spans="1:13" x14ac:dyDescent="0.75">
      <c r="A7112" t="s">
        <v>8237</v>
      </c>
      <c r="B7112" t="s">
        <v>6112</v>
      </c>
      <c r="C7112" t="s">
        <v>6093</v>
      </c>
      <c r="D7112" t="s">
        <v>6113</v>
      </c>
      <c r="E7112" t="s">
        <v>8238</v>
      </c>
      <c r="F7112">
        <v>128</v>
      </c>
      <c r="G7112">
        <v>1820007</v>
      </c>
      <c r="H7112" t="s">
        <v>8239</v>
      </c>
      <c r="J7112" s="54" t="s">
        <v>6052</v>
      </c>
      <c r="K7112" s="54">
        <v>0</v>
      </c>
      <c r="L7112" s="22" t="s">
        <v>104</v>
      </c>
      <c r="M7112" s="22" t="s">
        <v>37307</v>
      </c>
    </row>
    <row r="7113" spans="1:13" x14ac:dyDescent="0.75">
      <c r="A7113" t="s">
        <v>8240</v>
      </c>
      <c r="B7113" t="s">
        <v>6112</v>
      </c>
      <c r="C7113" t="s">
        <v>6093</v>
      </c>
      <c r="D7113" t="s">
        <v>6113</v>
      </c>
      <c r="E7113" t="s">
        <v>8241</v>
      </c>
      <c r="F7113">
        <v>49</v>
      </c>
      <c r="G7113">
        <v>1941392</v>
      </c>
      <c r="H7113" t="s">
        <v>8242</v>
      </c>
      <c r="J7113" s="54" t="s">
        <v>6052</v>
      </c>
      <c r="K7113" s="54">
        <v>0</v>
      </c>
      <c r="L7113" s="22" t="s">
        <v>104</v>
      </c>
      <c r="M7113" s="22" t="s">
        <v>37307</v>
      </c>
    </row>
    <row r="7114" spans="1:13" x14ac:dyDescent="0.75">
      <c r="A7114" t="s">
        <v>8243</v>
      </c>
      <c r="B7114" t="s">
        <v>6112</v>
      </c>
      <c r="C7114" t="s">
        <v>6093</v>
      </c>
      <c r="D7114" t="s">
        <v>6113</v>
      </c>
      <c r="E7114" t="s">
        <v>8244</v>
      </c>
      <c r="F7114">
        <v>121</v>
      </c>
      <c r="G7114">
        <v>1800548</v>
      </c>
      <c r="H7114" t="s">
        <v>8245</v>
      </c>
      <c r="J7114" s="54" t="s">
        <v>6052</v>
      </c>
      <c r="K7114" s="54">
        <v>0</v>
      </c>
      <c r="L7114" s="22" t="s">
        <v>104</v>
      </c>
      <c r="M7114" s="22" t="s">
        <v>37307</v>
      </c>
    </row>
    <row r="7115" spans="1:13" x14ac:dyDescent="0.75">
      <c r="A7115" t="s">
        <v>8246</v>
      </c>
      <c r="B7115" t="s">
        <v>6112</v>
      </c>
      <c r="C7115" t="s">
        <v>6093</v>
      </c>
      <c r="D7115" t="s">
        <v>6113</v>
      </c>
      <c r="E7115" t="s">
        <v>8247</v>
      </c>
      <c r="F7115">
        <v>132</v>
      </c>
      <c r="G7115">
        <v>1814786</v>
      </c>
      <c r="H7115" t="s">
        <v>8248</v>
      </c>
      <c r="J7115" s="54" t="s">
        <v>6052</v>
      </c>
      <c r="K7115" s="54">
        <v>0</v>
      </c>
      <c r="L7115" s="22" t="s">
        <v>104</v>
      </c>
      <c r="M7115" s="22" t="s">
        <v>37307</v>
      </c>
    </row>
    <row r="7116" spans="1:13" x14ac:dyDescent="0.75">
      <c r="A7116" t="s">
        <v>9160</v>
      </c>
      <c r="B7116" t="s">
        <v>6112</v>
      </c>
      <c r="C7116" t="s">
        <v>6093</v>
      </c>
      <c r="D7116" t="s">
        <v>6113</v>
      </c>
      <c r="E7116" t="s">
        <v>9161</v>
      </c>
      <c r="F7116">
        <v>153</v>
      </c>
      <c r="G7116">
        <v>1991956</v>
      </c>
      <c r="H7116" t="s">
        <v>9162</v>
      </c>
      <c r="J7116" s="54" t="s">
        <v>6052</v>
      </c>
      <c r="K7116" s="54">
        <v>0</v>
      </c>
      <c r="L7116" s="22" t="s">
        <v>104</v>
      </c>
      <c r="M7116" s="22" t="s">
        <v>37307</v>
      </c>
    </row>
    <row r="7117" spans="1:13" x14ac:dyDescent="0.75">
      <c r="A7117" t="s">
        <v>9113</v>
      </c>
      <c r="B7117" t="s">
        <v>6112</v>
      </c>
      <c r="C7117" t="s">
        <v>6093</v>
      </c>
      <c r="D7117" t="s">
        <v>6113</v>
      </c>
      <c r="E7117" t="s">
        <v>9114</v>
      </c>
      <c r="F7117">
        <v>163</v>
      </c>
      <c r="G7117">
        <v>2099425</v>
      </c>
      <c r="H7117" t="s">
        <v>9115</v>
      </c>
      <c r="J7117" s="54" t="s">
        <v>6052</v>
      </c>
      <c r="K7117" s="54">
        <v>0</v>
      </c>
      <c r="L7117" s="22" t="s">
        <v>104</v>
      </c>
      <c r="M7117" s="22" t="s">
        <v>37307</v>
      </c>
    </row>
    <row r="7118" spans="1:13" x14ac:dyDescent="0.75">
      <c r="A7118" t="s">
        <v>9216</v>
      </c>
      <c r="B7118" t="s">
        <v>6112</v>
      </c>
      <c r="C7118" t="s">
        <v>6093</v>
      </c>
      <c r="D7118" t="s">
        <v>6113</v>
      </c>
      <c r="E7118" t="s">
        <v>9217</v>
      </c>
      <c r="F7118">
        <v>103</v>
      </c>
      <c r="G7118">
        <v>1960144</v>
      </c>
      <c r="H7118" t="s">
        <v>9218</v>
      </c>
      <c r="J7118" s="54" t="s">
        <v>6052</v>
      </c>
      <c r="K7118" s="54">
        <v>0</v>
      </c>
      <c r="L7118" s="22" t="s">
        <v>104</v>
      </c>
      <c r="M7118" s="22" t="s">
        <v>37307</v>
      </c>
    </row>
    <row r="7119" spans="1:13" x14ac:dyDescent="0.75">
      <c r="A7119" t="s">
        <v>17480</v>
      </c>
      <c r="B7119" t="s">
        <v>6112</v>
      </c>
      <c r="C7119" t="s">
        <v>6093</v>
      </c>
      <c r="D7119" t="s">
        <v>6113</v>
      </c>
      <c r="E7119" t="s">
        <v>17481</v>
      </c>
      <c r="F7119">
        <v>1</v>
      </c>
      <c r="G7119">
        <v>2050049</v>
      </c>
      <c r="H7119" t="s">
        <v>17482</v>
      </c>
      <c r="J7119" s="54" t="s">
        <v>6052</v>
      </c>
      <c r="K7119" s="54">
        <v>0</v>
      </c>
      <c r="L7119" s="22" t="s">
        <v>104</v>
      </c>
      <c r="M7119" s="22" t="s">
        <v>37307</v>
      </c>
    </row>
    <row r="7120" spans="1:13" x14ac:dyDescent="0.75">
      <c r="A7120" t="s">
        <v>18210</v>
      </c>
      <c r="B7120" t="s">
        <v>6112</v>
      </c>
      <c r="C7120" t="s">
        <v>6093</v>
      </c>
      <c r="D7120" t="s">
        <v>6113</v>
      </c>
      <c r="E7120" t="s">
        <v>17481</v>
      </c>
      <c r="F7120">
        <v>21</v>
      </c>
      <c r="G7120">
        <v>2001996</v>
      </c>
      <c r="H7120" t="s">
        <v>18211</v>
      </c>
      <c r="J7120" s="54" t="s">
        <v>6052</v>
      </c>
      <c r="K7120" s="54">
        <v>0</v>
      </c>
      <c r="L7120" s="22" t="s">
        <v>104</v>
      </c>
      <c r="M7120" s="22" t="s">
        <v>37307</v>
      </c>
    </row>
    <row r="7121" spans="1:13" x14ac:dyDescent="0.75">
      <c r="A7121" t="s">
        <v>6111</v>
      </c>
      <c r="B7121" t="s">
        <v>6112</v>
      </c>
      <c r="C7121" t="s">
        <v>6093</v>
      </c>
      <c r="D7121" t="s">
        <v>6113</v>
      </c>
      <c r="E7121" t="s">
        <v>6114</v>
      </c>
      <c r="F7121">
        <v>1</v>
      </c>
      <c r="G7121">
        <v>2032925</v>
      </c>
      <c r="H7121" t="s">
        <v>6115</v>
      </c>
      <c r="J7121" s="54" t="s">
        <v>6052</v>
      </c>
      <c r="K7121" s="54">
        <v>0</v>
      </c>
      <c r="L7121" s="22" t="s">
        <v>104</v>
      </c>
      <c r="M7121" s="22" t="s">
        <v>37307</v>
      </c>
    </row>
    <row r="7122" spans="1:13" x14ac:dyDescent="0.75">
      <c r="A7122" t="s">
        <v>21049</v>
      </c>
      <c r="B7122" t="s">
        <v>6112</v>
      </c>
      <c r="C7122" t="s">
        <v>6093</v>
      </c>
      <c r="D7122" t="s">
        <v>6113</v>
      </c>
      <c r="E7122" t="s">
        <v>6114</v>
      </c>
      <c r="F7122">
        <v>29</v>
      </c>
      <c r="G7122">
        <v>2007660</v>
      </c>
      <c r="H7122" t="s">
        <v>21050</v>
      </c>
      <c r="J7122" s="54" t="s">
        <v>6052</v>
      </c>
      <c r="K7122" s="54">
        <v>0</v>
      </c>
      <c r="L7122" s="22" t="s">
        <v>104</v>
      </c>
      <c r="M7122" s="22" t="s">
        <v>37307</v>
      </c>
    </row>
    <row r="7123" spans="1:13" x14ac:dyDescent="0.75">
      <c r="A7123" t="s">
        <v>23896</v>
      </c>
      <c r="B7123" t="s">
        <v>6112</v>
      </c>
      <c r="C7123" t="s">
        <v>6093</v>
      </c>
      <c r="D7123" t="s">
        <v>6113</v>
      </c>
      <c r="E7123" t="s">
        <v>23897</v>
      </c>
      <c r="F7123">
        <v>1</v>
      </c>
      <c r="G7123">
        <v>2033272</v>
      </c>
      <c r="H7123" t="s">
        <v>23898</v>
      </c>
      <c r="J7123" s="54" t="s">
        <v>6052</v>
      </c>
      <c r="K7123" s="54">
        <v>0</v>
      </c>
      <c r="L7123" s="22" t="s">
        <v>104</v>
      </c>
      <c r="M7123" s="22" t="s">
        <v>37307</v>
      </c>
    </row>
    <row r="7124" spans="1:13" x14ac:dyDescent="0.75">
      <c r="A7124" t="s">
        <v>10728</v>
      </c>
      <c r="B7124" t="s">
        <v>6112</v>
      </c>
      <c r="C7124" t="s">
        <v>6093</v>
      </c>
      <c r="D7124" t="s">
        <v>6113</v>
      </c>
      <c r="E7124" t="s">
        <v>10729</v>
      </c>
      <c r="F7124">
        <v>1</v>
      </c>
      <c r="G7124">
        <v>2031692</v>
      </c>
      <c r="H7124" t="s">
        <v>10730</v>
      </c>
      <c r="J7124" s="54" t="s">
        <v>6052</v>
      </c>
      <c r="K7124" s="54">
        <v>0</v>
      </c>
      <c r="L7124" s="22" t="s">
        <v>104</v>
      </c>
      <c r="M7124" s="22" t="s">
        <v>37307</v>
      </c>
    </row>
    <row r="7125" spans="1:13" x14ac:dyDescent="0.75">
      <c r="A7125" t="s">
        <v>18332</v>
      </c>
      <c r="B7125" t="s">
        <v>6112</v>
      </c>
      <c r="C7125" t="s">
        <v>6093</v>
      </c>
      <c r="D7125" t="s">
        <v>6113</v>
      </c>
      <c r="E7125" t="s">
        <v>18333</v>
      </c>
      <c r="F7125">
        <v>25</v>
      </c>
      <c r="G7125">
        <v>1985422</v>
      </c>
      <c r="H7125" t="s">
        <v>18334</v>
      </c>
      <c r="J7125" s="54" t="s">
        <v>6052</v>
      </c>
      <c r="K7125" s="54">
        <v>0</v>
      </c>
      <c r="L7125" s="22" t="s">
        <v>104</v>
      </c>
      <c r="M7125" s="22" t="s">
        <v>37307</v>
      </c>
    </row>
    <row r="7126" spans="1:13" x14ac:dyDescent="0.75">
      <c r="A7126" t="s">
        <v>18305</v>
      </c>
      <c r="B7126" t="s">
        <v>6112</v>
      </c>
      <c r="C7126" t="s">
        <v>6093</v>
      </c>
      <c r="D7126" t="s">
        <v>6113</v>
      </c>
      <c r="E7126" t="s">
        <v>18306</v>
      </c>
      <c r="F7126">
        <v>38</v>
      </c>
      <c r="G7126">
        <v>2077181</v>
      </c>
      <c r="H7126" t="s">
        <v>18307</v>
      </c>
      <c r="J7126" s="54" t="s">
        <v>6052</v>
      </c>
      <c r="K7126" s="54">
        <v>0</v>
      </c>
      <c r="L7126" s="22" t="s">
        <v>104</v>
      </c>
      <c r="M7126" s="22" t="s">
        <v>37307</v>
      </c>
    </row>
    <row r="7127" spans="1:13" x14ac:dyDescent="0.75">
      <c r="A7127" t="s">
        <v>18230</v>
      </c>
      <c r="B7127" t="s">
        <v>6112</v>
      </c>
      <c r="C7127" t="s">
        <v>6093</v>
      </c>
      <c r="D7127" t="s">
        <v>6113</v>
      </c>
      <c r="E7127" t="s">
        <v>18231</v>
      </c>
      <c r="F7127">
        <v>23</v>
      </c>
      <c r="G7127">
        <v>1961863</v>
      </c>
      <c r="H7127" t="s">
        <v>18232</v>
      </c>
      <c r="J7127" s="54" t="s">
        <v>6052</v>
      </c>
      <c r="K7127" s="54">
        <v>0</v>
      </c>
      <c r="L7127" s="22" t="s">
        <v>104</v>
      </c>
      <c r="M7127" s="22" t="s">
        <v>37307</v>
      </c>
    </row>
    <row r="7128" spans="1:13" x14ac:dyDescent="0.75">
      <c r="A7128" t="s">
        <v>18227</v>
      </c>
      <c r="B7128" t="s">
        <v>6112</v>
      </c>
      <c r="C7128" t="s">
        <v>6093</v>
      </c>
      <c r="D7128" t="s">
        <v>6113</v>
      </c>
      <c r="E7128" t="s">
        <v>18228</v>
      </c>
      <c r="F7128">
        <v>19</v>
      </c>
      <c r="G7128">
        <v>1964397</v>
      </c>
      <c r="H7128" t="s">
        <v>18229</v>
      </c>
      <c r="J7128" s="54" t="s">
        <v>6052</v>
      </c>
      <c r="K7128" s="54">
        <v>0</v>
      </c>
      <c r="L7128" s="22" t="s">
        <v>104</v>
      </c>
      <c r="M7128" s="22" t="s">
        <v>37307</v>
      </c>
    </row>
    <row r="7129" spans="1:13" x14ac:dyDescent="0.75">
      <c r="A7129" t="s">
        <v>18221</v>
      </c>
      <c r="B7129" t="s">
        <v>6112</v>
      </c>
      <c r="C7129" t="s">
        <v>6093</v>
      </c>
      <c r="D7129" t="s">
        <v>6113</v>
      </c>
      <c r="E7129" t="s">
        <v>18222</v>
      </c>
      <c r="F7129">
        <v>41</v>
      </c>
      <c r="G7129">
        <v>2031959</v>
      </c>
      <c r="H7129" t="s">
        <v>18223</v>
      </c>
      <c r="J7129" s="54" t="s">
        <v>6052</v>
      </c>
      <c r="K7129" s="54">
        <v>0</v>
      </c>
      <c r="L7129" s="22" t="s">
        <v>104</v>
      </c>
      <c r="M7129" s="22" t="s">
        <v>37307</v>
      </c>
    </row>
    <row r="7130" spans="1:13" x14ac:dyDescent="0.75">
      <c r="A7130" t="s">
        <v>18224</v>
      </c>
      <c r="B7130" t="s">
        <v>6112</v>
      </c>
      <c r="C7130" t="s">
        <v>6093</v>
      </c>
      <c r="D7130" t="s">
        <v>6113</v>
      </c>
      <c r="E7130" t="s">
        <v>18225</v>
      </c>
      <c r="F7130">
        <v>31</v>
      </c>
      <c r="G7130">
        <v>2073321</v>
      </c>
      <c r="H7130" t="s">
        <v>18226</v>
      </c>
      <c r="J7130" s="54" t="s">
        <v>6052</v>
      </c>
      <c r="K7130" s="54">
        <v>0</v>
      </c>
      <c r="L7130" s="22" t="s">
        <v>104</v>
      </c>
      <c r="M7130" s="22" t="s">
        <v>37307</v>
      </c>
    </row>
    <row r="7131" spans="1:13" x14ac:dyDescent="0.75">
      <c r="A7131" t="s">
        <v>18218</v>
      </c>
      <c r="B7131" t="s">
        <v>6112</v>
      </c>
      <c r="C7131" t="s">
        <v>6093</v>
      </c>
      <c r="D7131" t="s">
        <v>6113</v>
      </c>
      <c r="E7131" t="s">
        <v>18219</v>
      </c>
      <c r="F7131">
        <v>11</v>
      </c>
      <c r="G7131">
        <v>1977024</v>
      </c>
      <c r="H7131" t="s">
        <v>18220</v>
      </c>
      <c r="J7131" s="54" t="s">
        <v>6052</v>
      </c>
      <c r="K7131" s="54">
        <v>0</v>
      </c>
      <c r="L7131" s="22" t="s">
        <v>104</v>
      </c>
      <c r="M7131" s="22" t="s">
        <v>37307</v>
      </c>
    </row>
    <row r="7132" spans="1:13" x14ac:dyDescent="0.75">
      <c r="A7132" t="s">
        <v>18215</v>
      </c>
      <c r="B7132" t="s">
        <v>6112</v>
      </c>
      <c r="C7132" t="s">
        <v>6093</v>
      </c>
      <c r="D7132" t="s">
        <v>6113</v>
      </c>
      <c r="E7132" t="s">
        <v>18216</v>
      </c>
      <c r="F7132">
        <v>61</v>
      </c>
      <c r="G7132">
        <v>2026999</v>
      </c>
      <c r="H7132" t="s">
        <v>18217</v>
      </c>
      <c r="J7132" s="54" t="s">
        <v>6052</v>
      </c>
      <c r="K7132" s="54">
        <v>0</v>
      </c>
      <c r="L7132" s="22" t="s">
        <v>104</v>
      </c>
      <c r="M7132" s="22" t="s">
        <v>37307</v>
      </c>
    </row>
    <row r="7133" spans="1:13" x14ac:dyDescent="0.75">
      <c r="A7133" t="s">
        <v>18302</v>
      </c>
      <c r="B7133" t="s">
        <v>6112</v>
      </c>
      <c r="C7133" t="s">
        <v>6093</v>
      </c>
      <c r="D7133" t="s">
        <v>6113</v>
      </c>
      <c r="E7133" t="s">
        <v>18303</v>
      </c>
      <c r="F7133">
        <v>12</v>
      </c>
      <c r="G7133">
        <v>2011891</v>
      </c>
      <c r="H7133" t="s">
        <v>18304</v>
      </c>
      <c r="J7133" s="54" t="s">
        <v>6052</v>
      </c>
      <c r="K7133" s="54">
        <v>0</v>
      </c>
      <c r="L7133" s="22" t="s">
        <v>104</v>
      </c>
      <c r="M7133" s="22" t="s">
        <v>37307</v>
      </c>
    </row>
    <row r="7134" spans="1:13" x14ac:dyDescent="0.75">
      <c r="A7134" t="s">
        <v>18299</v>
      </c>
      <c r="B7134" t="s">
        <v>6112</v>
      </c>
      <c r="C7134" t="s">
        <v>6093</v>
      </c>
      <c r="D7134" t="s">
        <v>6113</v>
      </c>
      <c r="E7134" t="s">
        <v>18300</v>
      </c>
      <c r="F7134">
        <v>12</v>
      </c>
      <c r="G7134">
        <v>2051174</v>
      </c>
      <c r="H7134" t="s">
        <v>18301</v>
      </c>
      <c r="J7134" s="54" t="s">
        <v>6052</v>
      </c>
      <c r="K7134" s="54">
        <v>0</v>
      </c>
      <c r="L7134" s="22" t="s">
        <v>104</v>
      </c>
      <c r="M7134" s="22" t="s">
        <v>37307</v>
      </c>
    </row>
    <row r="7135" spans="1:13" x14ac:dyDescent="0.75">
      <c r="A7135" t="s">
        <v>18296</v>
      </c>
      <c r="B7135" t="s">
        <v>6112</v>
      </c>
      <c r="C7135" t="s">
        <v>6093</v>
      </c>
      <c r="D7135" t="s">
        <v>6113</v>
      </c>
      <c r="E7135" t="s">
        <v>18297</v>
      </c>
      <c r="F7135">
        <v>12</v>
      </c>
      <c r="G7135">
        <v>2039165</v>
      </c>
      <c r="H7135" t="s">
        <v>18298</v>
      </c>
      <c r="J7135" s="54" t="s">
        <v>6052</v>
      </c>
      <c r="K7135" s="54">
        <v>0</v>
      </c>
      <c r="L7135" s="22" t="s">
        <v>104</v>
      </c>
      <c r="M7135" s="22" t="s">
        <v>37307</v>
      </c>
    </row>
    <row r="7136" spans="1:13" x14ac:dyDescent="0.75">
      <c r="A7136" t="s">
        <v>18329</v>
      </c>
      <c r="B7136" t="s">
        <v>6112</v>
      </c>
      <c r="C7136" t="s">
        <v>6093</v>
      </c>
      <c r="D7136" t="s">
        <v>6113</v>
      </c>
      <c r="E7136" t="s">
        <v>18330</v>
      </c>
      <c r="F7136">
        <v>32</v>
      </c>
      <c r="G7136">
        <v>2012907</v>
      </c>
      <c r="H7136" t="s">
        <v>18331</v>
      </c>
      <c r="J7136" s="54" t="s">
        <v>6052</v>
      </c>
      <c r="K7136" s="54">
        <v>0</v>
      </c>
      <c r="L7136" s="22" t="s">
        <v>104</v>
      </c>
      <c r="M7136" s="22" t="s">
        <v>37307</v>
      </c>
    </row>
    <row r="7137" spans="1:13" x14ac:dyDescent="0.75">
      <c r="A7137" t="s">
        <v>18293</v>
      </c>
      <c r="B7137" t="s">
        <v>6112</v>
      </c>
      <c r="C7137" t="s">
        <v>6093</v>
      </c>
      <c r="D7137" t="s">
        <v>6113</v>
      </c>
      <c r="E7137" t="s">
        <v>18294</v>
      </c>
      <c r="F7137">
        <v>7</v>
      </c>
      <c r="G7137">
        <v>1981025</v>
      </c>
      <c r="H7137" t="s">
        <v>18295</v>
      </c>
      <c r="J7137" s="54" t="s">
        <v>6052</v>
      </c>
      <c r="K7137" s="54">
        <v>0</v>
      </c>
      <c r="L7137" s="22" t="s">
        <v>104</v>
      </c>
      <c r="M7137" s="22" t="s">
        <v>37307</v>
      </c>
    </row>
    <row r="7138" spans="1:13" x14ac:dyDescent="0.75">
      <c r="A7138" t="s">
        <v>18290</v>
      </c>
      <c r="B7138" t="s">
        <v>6112</v>
      </c>
      <c r="C7138" t="s">
        <v>6093</v>
      </c>
      <c r="D7138" t="s">
        <v>6113</v>
      </c>
      <c r="E7138" t="s">
        <v>18291</v>
      </c>
      <c r="F7138">
        <v>17</v>
      </c>
      <c r="G7138">
        <v>2030630</v>
      </c>
      <c r="H7138" t="s">
        <v>18292</v>
      </c>
      <c r="J7138" s="54" t="s">
        <v>6052</v>
      </c>
      <c r="K7138" s="54">
        <v>0</v>
      </c>
      <c r="L7138" s="22" t="s">
        <v>104</v>
      </c>
      <c r="M7138" s="22" t="s">
        <v>37307</v>
      </c>
    </row>
    <row r="7139" spans="1:13" x14ac:dyDescent="0.75">
      <c r="A7139" t="s">
        <v>18287</v>
      </c>
      <c r="B7139" t="s">
        <v>6112</v>
      </c>
      <c r="C7139" t="s">
        <v>6093</v>
      </c>
      <c r="D7139" t="s">
        <v>6113</v>
      </c>
      <c r="E7139" t="s">
        <v>18288</v>
      </c>
      <c r="F7139">
        <v>19</v>
      </c>
      <c r="G7139">
        <v>2030863</v>
      </c>
      <c r="H7139" t="s">
        <v>18289</v>
      </c>
      <c r="J7139" s="54" t="s">
        <v>6052</v>
      </c>
      <c r="K7139" s="54">
        <v>0</v>
      </c>
      <c r="L7139" s="22" t="s">
        <v>104</v>
      </c>
      <c r="M7139" s="22" t="s">
        <v>37307</v>
      </c>
    </row>
    <row r="7140" spans="1:13" x14ac:dyDescent="0.75">
      <c r="A7140" t="s">
        <v>18212</v>
      </c>
      <c r="B7140" t="s">
        <v>6112</v>
      </c>
      <c r="C7140" t="s">
        <v>6093</v>
      </c>
      <c r="D7140" t="s">
        <v>6113</v>
      </c>
      <c r="E7140" t="s">
        <v>18213</v>
      </c>
      <c r="F7140">
        <v>16</v>
      </c>
      <c r="G7140">
        <v>2044568</v>
      </c>
      <c r="H7140" t="s">
        <v>18214</v>
      </c>
      <c r="J7140" s="54" t="s">
        <v>6052</v>
      </c>
      <c r="K7140" s="54">
        <v>0</v>
      </c>
      <c r="L7140" s="22" t="s">
        <v>104</v>
      </c>
      <c r="M7140" s="22" t="s">
        <v>37307</v>
      </c>
    </row>
    <row r="7141" spans="1:13" x14ac:dyDescent="0.75">
      <c r="A7141" t="s">
        <v>18284</v>
      </c>
      <c r="B7141" t="s">
        <v>6112</v>
      </c>
      <c r="C7141" t="s">
        <v>6093</v>
      </c>
      <c r="D7141" t="s">
        <v>6113</v>
      </c>
      <c r="E7141" t="s">
        <v>18285</v>
      </c>
      <c r="F7141">
        <v>18</v>
      </c>
      <c r="G7141">
        <v>1967929</v>
      </c>
      <c r="H7141" t="s">
        <v>18286</v>
      </c>
      <c r="J7141" s="54" t="s">
        <v>6052</v>
      </c>
      <c r="K7141" s="54">
        <v>0</v>
      </c>
      <c r="L7141" s="22" t="s">
        <v>104</v>
      </c>
      <c r="M7141" s="22" t="s">
        <v>37307</v>
      </c>
    </row>
    <row r="7142" spans="1:13" x14ac:dyDescent="0.75">
      <c r="A7142" t="s">
        <v>18281</v>
      </c>
      <c r="B7142" t="s">
        <v>6112</v>
      </c>
      <c r="C7142" t="s">
        <v>6093</v>
      </c>
      <c r="D7142" t="s">
        <v>6113</v>
      </c>
      <c r="E7142" t="s">
        <v>18282</v>
      </c>
      <c r="F7142">
        <v>21</v>
      </c>
      <c r="G7142">
        <v>2035011</v>
      </c>
      <c r="H7142" t="s">
        <v>18283</v>
      </c>
      <c r="J7142" s="54" t="s">
        <v>6052</v>
      </c>
      <c r="K7142" s="54">
        <v>0</v>
      </c>
      <c r="L7142" s="22" t="s">
        <v>104</v>
      </c>
      <c r="M7142" s="22" t="s">
        <v>37307</v>
      </c>
    </row>
    <row r="7143" spans="1:13" x14ac:dyDescent="0.75">
      <c r="A7143" t="s">
        <v>18278</v>
      </c>
      <c r="B7143" t="s">
        <v>6112</v>
      </c>
      <c r="C7143" t="s">
        <v>6093</v>
      </c>
      <c r="D7143" t="s">
        <v>6113</v>
      </c>
      <c r="E7143" t="s">
        <v>18279</v>
      </c>
      <c r="F7143">
        <v>23</v>
      </c>
      <c r="G7143">
        <v>2009530</v>
      </c>
      <c r="H7143" t="s">
        <v>18280</v>
      </c>
      <c r="J7143" s="54" t="s">
        <v>6052</v>
      </c>
      <c r="K7143" s="54">
        <v>0</v>
      </c>
      <c r="L7143" s="22" t="s">
        <v>104</v>
      </c>
      <c r="M7143" s="22" t="s">
        <v>37307</v>
      </c>
    </row>
    <row r="7144" spans="1:13" x14ac:dyDescent="0.75">
      <c r="A7144" t="s">
        <v>18275</v>
      </c>
      <c r="B7144" t="s">
        <v>6112</v>
      </c>
      <c r="C7144" t="s">
        <v>6093</v>
      </c>
      <c r="D7144" t="s">
        <v>6113</v>
      </c>
      <c r="E7144" t="s">
        <v>18276</v>
      </c>
      <c r="F7144">
        <v>4</v>
      </c>
      <c r="G7144">
        <v>2014513</v>
      </c>
      <c r="H7144" t="s">
        <v>18277</v>
      </c>
      <c r="J7144" s="54" t="s">
        <v>6052</v>
      </c>
      <c r="K7144" s="54">
        <v>0</v>
      </c>
      <c r="L7144" s="22" t="s">
        <v>104</v>
      </c>
      <c r="M7144" s="22" t="s">
        <v>37307</v>
      </c>
    </row>
    <row r="7145" spans="1:13" x14ac:dyDescent="0.75">
      <c r="A7145" t="s">
        <v>18272</v>
      </c>
      <c r="B7145" t="s">
        <v>6112</v>
      </c>
      <c r="C7145" t="s">
        <v>6093</v>
      </c>
      <c r="D7145" t="s">
        <v>6113</v>
      </c>
      <c r="E7145" t="s">
        <v>18273</v>
      </c>
      <c r="F7145">
        <v>15</v>
      </c>
      <c r="G7145">
        <v>2073407</v>
      </c>
      <c r="H7145" t="s">
        <v>18274</v>
      </c>
      <c r="J7145" s="54" t="s">
        <v>6052</v>
      </c>
      <c r="K7145" s="54">
        <v>0</v>
      </c>
      <c r="L7145" s="22" t="s">
        <v>104</v>
      </c>
      <c r="M7145" s="22" t="s">
        <v>37307</v>
      </c>
    </row>
    <row r="7146" spans="1:13" x14ac:dyDescent="0.75">
      <c r="A7146" t="s">
        <v>18269</v>
      </c>
      <c r="B7146" t="s">
        <v>6112</v>
      </c>
      <c r="C7146" t="s">
        <v>6093</v>
      </c>
      <c r="D7146" t="s">
        <v>6113</v>
      </c>
      <c r="E7146" t="s">
        <v>18270</v>
      </c>
      <c r="F7146">
        <v>13</v>
      </c>
      <c r="G7146">
        <v>2011414</v>
      </c>
      <c r="H7146" t="s">
        <v>18271</v>
      </c>
      <c r="J7146" s="54" t="s">
        <v>6052</v>
      </c>
      <c r="K7146" s="54">
        <v>0</v>
      </c>
      <c r="L7146" s="22" t="s">
        <v>104</v>
      </c>
      <c r="M7146" s="22" t="s">
        <v>37307</v>
      </c>
    </row>
    <row r="7147" spans="1:13" x14ac:dyDescent="0.75">
      <c r="A7147" t="s">
        <v>18323</v>
      </c>
      <c r="B7147" t="s">
        <v>6112</v>
      </c>
      <c r="C7147" t="s">
        <v>6093</v>
      </c>
      <c r="D7147" t="s">
        <v>6113</v>
      </c>
      <c r="E7147" t="s">
        <v>18324</v>
      </c>
      <c r="F7147">
        <v>18</v>
      </c>
      <c r="G7147">
        <v>1988846</v>
      </c>
      <c r="H7147" t="s">
        <v>18325</v>
      </c>
      <c r="J7147" s="54" t="s">
        <v>6052</v>
      </c>
      <c r="K7147" s="54">
        <v>0</v>
      </c>
      <c r="L7147" s="22" t="s">
        <v>104</v>
      </c>
      <c r="M7147" s="22" t="s">
        <v>37307</v>
      </c>
    </row>
    <row r="7148" spans="1:13" x14ac:dyDescent="0.75">
      <c r="A7148" t="s">
        <v>18266</v>
      </c>
      <c r="B7148" t="s">
        <v>6112</v>
      </c>
      <c r="C7148" t="s">
        <v>6093</v>
      </c>
      <c r="D7148" t="s">
        <v>6113</v>
      </c>
      <c r="E7148" t="s">
        <v>18267</v>
      </c>
      <c r="F7148">
        <v>16</v>
      </c>
      <c r="G7148">
        <v>2014838</v>
      </c>
      <c r="H7148" t="s">
        <v>18268</v>
      </c>
      <c r="J7148" s="54" t="s">
        <v>6052</v>
      </c>
      <c r="K7148" s="54">
        <v>0</v>
      </c>
      <c r="L7148" s="22" t="s">
        <v>104</v>
      </c>
      <c r="M7148" s="22" t="s">
        <v>37307</v>
      </c>
    </row>
    <row r="7149" spans="1:13" x14ac:dyDescent="0.75">
      <c r="A7149" t="s">
        <v>18263</v>
      </c>
      <c r="B7149" t="s">
        <v>6112</v>
      </c>
      <c r="C7149" t="s">
        <v>6093</v>
      </c>
      <c r="D7149" t="s">
        <v>6113</v>
      </c>
      <c r="E7149" t="s">
        <v>18264</v>
      </c>
      <c r="F7149">
        <v>16</v>
      </c>
      <c r="G7149">
        <v>1990492</v>
      </c>
      <c r="H7149" t="s">
        <v>18265</v>
      </c>
      <c r="J7149" s="54" t="s">
        <v>6052</v>
      </c>
      <c r="K7149" s="54">
        <v>0</v>
      </c>
      <c r="L7149" s="22" t="s">
        <v>104</v>
      </c>
      <c r="M7149" s="22" t="s">
        <v>37307</v>
      </c>
    </row>
    <row r="7150" spans="1:13" x14ac:dyDescent="0.75">
      <c r="A7150" t="s">
        <v>18260</v>
      </c>
      <c r="B7150" t="s">
        <v>6112</v>
      </c>
      <c r="C7150" t="s">
        <v>6093</v>
      </c>
      <c r="D7150" t="s">
        <v>6113</v>
      </c>
      <c r="E7150" t="s">
        <v>18261</v>
      </c>
      <c r="F7150">
        <v>36</v>
      </c>
      <c r="G7150">
        <v>2041059</v>
      </c>
      <c r="H7150" t="s">
        <v>18262</v>
      </c>
      <c r="J7150" s="54" t="s">
        <v>6052</v>
      </c>
      <c r="K7150" s="54">
        <v>0</v>
      </c>
      <c r="L7150" s="22" t="s">
        <v>104</v>
      </c>
      <c r="M7150" s="22" t="s">
        <v>37307</v>
      </c>
    </row>
    <row r="7151" spans="1:13" x14ac:dyDescent="0.75">
      <c r="A7151" t="s">
        <v>18257</v>
      </c>
      <c r="B7151" t="s">
        <v>6112</v>
      </c>
      <c r="C7151" t="s">
        <v>6093</v>
      </c>
      <c r="D7151" t="s">
        <v>6113</v>
      </c>
      <c r="E7151" t="s">
        <v>18258</v>
      </c>
      <c r="F7151">
        <v>14</v>
      </c>
      <c r="G7151">
        <v>2050803</v>
      </c>
      <c r="H7151" t="s">
        <v>18259</v>
      </c>
      <c r="J7151" s="54" t="s">
        <v>6052</v>
      </c>
      <c r="K7151" s="54">
        <v>0</v>
      </c>
      <c r="L7151" s="22" t="s">
        <v>104</v>
      </c>
      <c r="M7151" s="22" t="s">
        <v>37307</v>
      </c>
    </row>
    <row r="7152" spans="1:13" x14ac:dyDescent="0.75">
      <c r="A7152" t="s">
        <v>18251</v>
      </c>
      <c r="B7152" t="s">
        <v>6112</v>
      </c>
      <c r="C7152" t="s">
        <v>6093</v>
      </c>
      <c r="D7152" t="s">
        <v>6113</v>
      </c>
      <c r="E7152" t="s">
        <v>18252</v>
      </c>
      <c r="F7152">
        <v>11</v>
      </c>
      <c r="G7152">
        <v>1986924</v>
      </c>
      <c r="H7152" t="s">
        <v>18253</v>
      </c>
      <c r="J7152" s="54" t="s">
        <v>6052</v>
      </c>
      <c r="K7152" s="54">
        <v>0</v>
      </c>
      <c r="L7152" s="22" t="s">
        <v>104</v>
      </c>
      <c r="M7152" s="22" t="s">
        <v>37307</v>
      </c>
    </row>
    <row r="7153" spans="1:13" x14ac:dyDescent="0.75">
      <c r="A7153" t="s">
        <v>18254</v>
      </c>
      <c r="B7153" t="s">
        <v>6112</v>
      </c>
      <c r="C7153" t="s">
        <v>6093</v>
      </c>
      <c r="D7153" t="s">
        <v>6113</v>
      </c>
      <c r="E7153" t="s">
        <v>18255</v>
      </c>
      <c r="F7153">
        <v>18</v>
      </c>
      <c r="G7153">
        <v>1984708</v>
      </c>
      <c r="H7153" t="s">
        <v>18256</v>
      </c>
      <c r="J7153" s="54" t="s">
        <v>6052</v>
      </c>
      <c r="K7153" s="54">
        <v>0</v>
      </c>
      <c r="L7153" s="22" t="s">
        <v>104</v>
      </c>
      <c r="M7153" s="22" t="s">
        <v>37307</v>
      </c>
    </row>
    <row r="7154" spans="1:13" x14ac:dyDescent="0.75">
      <c r="A7154" t="s">
        <v>18245</v>
      </c>
      <c r="B7154" t="s">
        <v>6112</v>
      </c>
      <c r="C7154" t="s">
        <v>6093</v>
      </c>
      <c r="D7154" t="s">
        <v>6113</v>
      </c>
      <c r="E7154" t="s">
        <v>18246</v>
      </c>
      <c r="F7154">
        <v>52</v>
      </c>
      <c r="G7154">
        <v>2054294</v>
      </c>
      <c r="H7154" t="s">
        <v>18247</v>
      </c>
      <c r="J7154" s="54" t="s">
        <v>6052</v>
      </c>
      <c r="K7154" s="54">
        <v>0</v>
      </c>
      <c r="L7154" s="22" t="s">
        <v>104</v>
      </c>
      <c r="M7154" s="22" t="s">
        <v>37307</v>
      </c>
    </row>
    <row r="7155" spans="1:13" x14ac:dyDescent="0.75">
      <c r="A7155" t="s">
        <v>18248</v>
      </c>
      <c r="B7155" t="s">
        <v>6112</v>
      </c>
      <c r="C7155" t="s">
        <v>6093</v>
      </c>
      <c r="D7155" t="s">
        <v>6113</v>
      </c>
      <c r="E7155" t="s">
        <v>18249</v>
      </c>
      <c r="F7155">
        <v>53</v>
      </c>
      <c r="G7155">
        <v>1981474</v>
      </c>
      <c r="H7155" t="s">
        <v>18250</v>
      </c>
      <c r="J7155" s="54" t="s">
        <v>6052</v>
      </c>
      <c r="K7155" s="54">
        <v>0</v>
      </c>
      <c r="L7155" s="22" t="s">
        <v>104</v>
      </c>
      <c r="M7155" s="22" t="s">
        <v>37307</v>
      </c>
    </row>
    <row r="7156" spans="1:13" x14ac:dyDescent="0.75">
      <c r="A7156" t="s">
        <v>18236</v>
      </c>
      <c r="B7156" t="s">
        <v>6112</v>
      </c>
      <c r="C7156" t="s">
        <v>6093</v>
      </c>
      <c r="D7156" t="s">
        <v>6113</v>
      </c>
      <c r="E7156" t="s">
        <v>18237</v>
      </c>
      <c r="F7156">
        <v>43</v>
      </c>
      <c r="G7156">
        <v>2089832</v>
      </c>
      <c r="H7156" t="s">
        <v>18238</v>
      </c>
      <c r="J7156" s="54" t="s">
        <v>6052</v>
      </c>
      <c r="K7156" s="54">
        <v>0</v>
      </c>
      <c r="L7156" s="22" t="s">
        <v>104</v>
      </c>
      <c r="M7156" s="22" t="s">
        <v>37307</v>
      </c>
    </row>
    <row r="7157" spans="1:13" x14ac:dyDescent="0.75">
      <c r="A7157" t="s">
        <v>18239</v>
      </c>
      <c r="B7157" t="s">
        <v>6112</v>
      </c>
      <c r="C7157" t="s">
        <v>6093</v>
      </c>
      <c r="D7157" t="s">
        <v>6113</v>
      </c>
      <c r="E7157" t="s">
        <v>18240</v>
      </c>
      <c r="F7157">
        <v>36</v>
      </c>
      <c r="G7157">
        <v>2004916</v>
      </c>
      <c r="H7157" t="s">
        <v>18241</v>
      </c>
      <c r="J7157" s="54" t="s">
        <v>6052</v>
      </c>
      <c r="K7157" s="54">
        <v>0</v>
      </c>
      <c r="L7157" s="22" t="s">
        <v>104</v>
      </c>
      <c r="M7157" s="22" t="s">
        <v>37307</v>
      </c>
    </row>
    <row r="7158" spans="1:13" x14ac:dyDescent="0.75">
      <c r="A7158" t="s">
        <v>18326</v>
      </c>
      <c r="B7158" t="s">
        <v>6112</v>
      </c>
      <c r="C7158" t="s">
        <v>6093</v>
      </c>
      <c r="D7158" t="s">
        <v>6113</v>
      </c>
      <c r="E7158" t="s">
        <v>18327</v>
      </c>
      <c r="F7158">
        <v>23</v>
      </c>
      <c r="G7158">
        <v>1990785</v>
      </c>
      <c r="H7158" t="s">
        <v>18328</v>
      </c>
      <c r="J7158" s="54" t="s">
        <v>6052</v>
      </c>
      <c r="K7158" s="54">
        <v>0</v>
      </c>
      <c r="L7158" s="22" t="s">
        <v>104</v>
      </c>
      <c r="M7158" s="22" t="s">
        <v>37307</v>
      </c>
    </row>
    <row r="7159" spans="1:13" x14ac:dyDescent="0.75">
      <c r="A7159" t="s">
        <v>18242</v>
      </c>
      <c r="B7159" t="s">
        <v>6112</v>
      </c>
      <c r="C7159" t="s">
        <v>6093</v>
      </c>
      <c r="D7159" t="s">
        <v>6113</v>
      </c>
      <c r="E7159" t="s">
        <v>18243</v>
      </c>
      <c r="F7159">
        <v>19</v>
      </c>
      <c r="G7159">
        <v>1992196</v>
      </c>
      <c r="H7159" t="s">
        <v>18244</v>
      </c>
      <c r="J7159" s="54" t="s">
        <v>6052</v>
      </c>
      <c r="K7159" s="54">
        <v>0</v>
      </c>
      <c r="L7159" s="22" t="s">
        <v>104</v>
      </c>
      <c r="M7159" s="22" t="s">
        <v>37307</v>
      </c>
    </row>
    <row r="7160" spans="1:13" x14ac:dyDescent="0.75">
      <c r="A7160" t="s">
        <v>18320</v>
      </c>
      <c r="B7160" t="s">
        <v>6112</v>
      </c>
      <c r="C7160" t="s">
        <v>6093</v>
      </c>
      <c r="D7160" t="s">
        <v>6113</v>
      </c>
      <c r="E7160" t="s">
        <v>18321</v>
      </c>
      <c r="F7160">
        <v>22</v>
      </c>
      <c r="G7160">
        <v>2020767</v>
      </c>
      <c r="H7160" t="s">
        <v>18322</v>
      </c>
      <c r="J7160" s="54" t="s">
        <v>6052</v>
      </c>
      <c r="K7160" s="54">
        <v>0</v>
      </c>
      <c r="L7160" s="22" t="s">
        <v>104</v>
      </c>
      <c r="M7160" s="22" t="s">
        <v>37307</v>
      </c>
    </row>
    <row r="7161" spans="1:13" x14ac:dyDescent="0.75">
      <c r="A7161" t="s">
        <v>18317</v>
      </c>
      <c r="B7161" t="s">
        <v>6112</v>
      </c>
      <c r="C7161" t="s">
        <v>6093</v>
      </c>
      <c r="D7161" t="s">
        <v>6113</v>
      </c>
      <c r="E7161" t="s">
        <v>18318</v>
      </c>
      <c r="F7161">
        <v>16</v>
      </c>
      <c r="G7161">
        <v>1968640</v>
      </c>
      <c r="H7161" t="s">
        <v>18319</v>
      </c>
      <c r="J7161" s="54" t="s">
        <v>6052</v>
      </c>
      <c r="K7161" s="54">
        <v>0</v>
      </c>
      <c r="L7161" s="22" t="s">
        <v>104</v>
      </c>
      <c r="M7161" s="22" t="s">
        <v>37307</v>
      </c>
    </row>
    <row r="7162" spans="1:13" x14ac:dyDescent="0.75">
      <c r="A7162" t="s">
        <v>18314</v>
      </c>
      <c r="B7162" t="s">
        <v>6112</v>
      </c>
      <c r="C7162" t="s">
        <v>6093</v>
      </c>
      <c r="D7162" t="s">
        <v>6113</v>
      </c>
      <c r="E7162" t="s">
        <v>18315</v>
      </c>
      <c r="F7162">
        <v>24</v>
      </c>
      <c r="G7162">
        <v>1958306</v>
      </c>
      <c r="H7162" t="s">
        <v>18316</v>
      </c>
      <c r="J7162" s="54" t="s">
        <v>6052</v>
      </c>
      <c r="K7162" s="54">
        <v>0</v>
      </c>
      <c r="L7162" s="22" t="s">
        <v>104</v>
      </c>
      <c r="M7162" s="22" t="s">
        <v>37307</v>
      </c>
    </row>
    <row r="7163" spans="1:13" x14ac:dyDescent="0.75">
      <c r="A7163" t="s">
        <v>18311</v>
      </c>
      <c r="B7163" t="s">
        <v>6112</v>
      </c>
      <c r="C7163" t="s">
        <v>6093</v>
      </c>
      <c r="D7163" t="s">
        <v>6113</v>
      </c>
      <c r="E7163" t="s">
        <v>18312</v>
      </c>
      <c r="F7163">
        <v>23</v>
      </c>
      <c r="G7163">
        <v>1981226</v>
      </c>
      <c r="H7163" t="s">
        <v>18313</v>
      </c>
      <c r="J7163" s="54" t="s">
        <v>6052</v>
      </c>
      <c r="K7163" s="54">
        <v>0</v>
      </c>
      <c r="L7163" s="22" t="s">
        <v>104</v>
      </c>
      <c r="M7163" s="22" t="s">
        <v>37307</v>
      </c>
    </row>
    <row r="7164" spans="1:13" x14ac:dyDescent="0.75">
      <c r="A7164" t="s">
        <v>18308</v>
      </c>
      <c r="B7164" t="s">
        <v>6112</v>
      </c>
      <c r="C7164" t="s">
        <v>6093</v>
      </c>
      <c r="D7164" t="s">
        <v>6113</v>
      </c>
      <c r="E7164" t="s">
        <v>18309</v>
      </c>
      <c r="F7164">
        <v>13</v>
      </c>
      <c r="G7164">
        <v>2114820</v>
      </c>
      <c r="H7164" t="s">
        <v>18310</v>
      </c>
      <c r="J7164" s="54" t="s">
        <v>6052</v>
      </c>
      <c r="K7164" s="54">
        <v>0</v>
      </c>
      <c r="L7164" s="22" t="s">
        <v>104</v>
      </c>
      <c r="M7164" s="22" t="s">
        <v>37307</v>
      </c>
    </row>
    <row r="7165" spans="1:13" x14ac:dyDescent="0.75">
      <c r="A7165" t="s">
        <v>9190</v>
      </c>
      <c r="B7165" t="s">
        <v>6112</v>
      </c>
      <c r="C7165" t="s">
        <v>6093</v>
      </c>
      <c r="D7165" t="s">
        <v>6113</v>
      </c>
      <c r="E7165" t="s">
        <v>9191</v>
      </c>
      <c r="F7165">
        <v>114</v>
      </c>
      <c r="G7165">
        <v>1991361</v>
      </c>
      <c r="H7165" t="s">
        <v>9192</v>
      </c>
      <c r="J7165" s="54" t="s">
        <v>6052</v>
      </c>
      <c r="K7165" s="54">
        <v>0</v>
      </c>
      <c r="L7165" s="22" t="s">
        <v>104</v>
      </c>
      <c r="M7165" s="22" t="s">
        <v>37307</v>
      </c>
    </row>
    <row r="7166" spans="1:13" x14ac:dyDescent="0.75">
      <c r="A7166" t="s">
        <v>24425</v>
      </c>
      <c r="B7166" t="s">
        <v>6112</v>
      </c>
      <c r="C7166" t="s">
        <v>6093</v>
      </c>
      <c r="D7166" t="s">
        <v>6113</v>
      </c>
      <c r="E7166" t="s">
        <v>24426</v>
      </c>
      <c r="F7166">
        <v>12</v>
      </c>
      <c r="G7166">
        <v>1983862</v>
      </c>
      <c r="H7166" t="s">
        <v>24427</v>
      </c>
      <c r="J7166" s="54" t="s">
        <v>6052</v>
      </c>
      <c r="K7166" s="54">
        <v>0</v>
      </c>
      <c r="L7166" s="22" t="s">
        <v>104</v>
      </c>
      <c r="M7166" s="22" t="s">
        <v>37307</v>
      </c>
    </row>
    <row r="7167" spans="1:13" x14ac:dyDescent="0.75">
      <c r="A7167" t="s">
        <v>18503</v>
      </c>
      <c r="B7167" t="s">
        <v>6998</v>
      </c>
      <c r="C7167" t="s">
        <v>6093</v>
      </c>
      <c r="D7167" t="s">
        <v>6999</v>
      </c>
      <c r="E7167">
        <v>5905</v>
      </c>
      <c r="F7167">
        <v>15</v>
      </c>
      <c r="G7167">
        <v>1822865</v>
      </c>
      <c r="H7167" t="s">
        <v>18504</v>
      </c>
      <c r="J7167" s="54" t="s">
        <v>6052</v>
      </c>
      <c r="K7167" s="54">
        <v>0</v>
      </c>
      <c r="L7167" s="22" t="s">
        <v>104</v>
      </c>
      <c r="M7167" s="22" t="s">
        <v>37315</v>
      </c>
    </row>
    <row r="7168" spans="1:13" x14ac:dyDescent="0.75">
      <c r="A7168" t="s">
        <v>9401</v>
      </c>
      <c r="B7168" t="s">
        <v>6998</v>
      </c>
      <c r="C7168" t="s">
        <v>6093</v>
      </c>
      <c r="D7168" t="s">
        <v>6999</v>
      </c>
      <c r="E7168">
        <v>7747</v>
      </c>
      <c r="F7168">
        <v>23</v>
      </c>
      <c r="G7168">
        <v>1884389</v>
      </c>
      <c r="H7168" t="s">
        <v>9402</v>
      </c>
      <c r="J7168" s="54" t="s">
        <v>6052</v>
      </c>
      <c r="K7168" s="54">
        <v>0</v>
      </c>
      <c r="L7168" s="22" t="s">
        <v>104</v>
      </c>
      <c r="M7168" s="22" t="s">
        <v>37315</v>
      </c>
    </row>
    <row r="7169" spans="1:13" x14ac:dyDescent="0.75">
      <c r="A7169" t="s">
        <v>24420</v>
      </c>
      <c r="B7169" t="s">
        <v>6998</v>
      </c>
      <c r="C7169" t="s">
        <v>6093</v>
      </c>
      <c r="D7169" t="s">
        <v>6999</v>
      </c>
      <c r="E7169" t="s">
        <v>24421</v>
      </c>
      <c r="F7169">
        <v>13</v>
      </c>
      <c r="G7169">
        <v>1816699</v>
      </c>
      <c r="H7169" t="s">
        <v>24422</v>
      </c>
      <c r="J7169" s="54" t="s">
        <v>6052</v>
      </c>
      <c r="K7169" s="54">
        <v>0</v>
      </c>
      <c r="L7169" s="22" t="s">
        <v>104</v>
      </c>
      <c r="M7169" s="22" t="s">
        <v>37315</v>
      </c>
    </row>
    <row r="7170" spans="1:13" x14ac:dyDescent="0.75">
      <c r="A7170" t="s">
        <v>24408</v>
      </c>
      <c r="B7170" t="s">
        <v>6998</v>
      </c>
      <c r="C7170" t="s">
        <v>6093</v>
      </c>
      <c r="D7170" t="s">
        <v>6999</v>
      </c>
      <c r="E7170" t="s">
        <v>24409</v>
      </c>
      <c r="F7170">
        <v>22</v>
      </c>
      <c r="G7170">
        <v>2005987</v>
      </c>
      <c r="H7170" t="s">
        <v>24410</v>
      </c>
      <c r="J7170" s="54" t="s">
        <v>6052</v>
      </c>
      <c r="K7170" s="54">
        <v>0</v>
      </c>
      <c r="L7170" s="22" t="s">
        <v>104</v>
      </c>
      <c r="M7170" s="22" t="s">
        <v>37315</v>
      </c>
    </row>
    <row r="7171" spans="1:13" x14ac:dyDescent="0.75">
      <c r="A7171" t="s">
        <v>24381</v>
      </c>
      <c r="B7171" t="s">
        <v>6998</v>
      </c>
      <c r="C7171" t="s">
        <v>6093</v>
      </c>
      <c r="D7171" t="s">
        <v>6999</v>
      </c>
      <c r="E7171" t="s">
        <v>24382</v>
      </c>
      <c r="F7171">
        <v>130</v>
      </c>
      <c r="G7171">
        <v>1881068</v>
      </c>
      <c r="H7171" t="s">
        <v>24383</v>
      </c>
      <c r="J7171" s="54" t="s">
        <v>6052</v>
      </c>
      <c r="K7171" s="54">
        <v>0</v>
      </c>
      <c r="L7171" s="22" t="s">
        <v>104</v>
      </c>
      <c r="M7171" s="22" t="s">
        <v>37315</v>
      </c>
    </row>
    <row r="7172" spans="1:13" x14ac:dyDescent="0.75">
      <c r="A7172" t="s">
        <v>16274</v>
      </c>
      <c r="B7172" t="s">
        <v>6998</v>
      </c>
      <c r="C7172" t="s">
        <v>6093</v>
      </c>
      <c r="D7172" t="s">
        <v>6999</v>
      </c>
      <c r="E7172" t="s">
        <v>16275</v>
      </c>
      <c r="F7172">
        <v>18</v>
      </c>
      <c r="G7172">
        <v>1943341</v>
      </c>
      <c r="H7172" t="s">
        <v>16276</v>
      </c>
      <c r="J7172" s="54" t="s">
        <v>6052</v>
      </c>
      <c r="K7172" s="54">
        <v>0</v>
      </c>
      <c r="L7172" s="22" t="s">
        <v>104</v>
      </c>
      <c r="M7172" s="22" t="s">
        <v>37315</v>
      </c>
    </row>
    <row r="7173" spans="1:13" x14ac:dyDescent="0.75">
      <c r="A7173" t="s">
        <v>16181</v>
      </c>
      <c r="B7173" t="s">
        <v>6998</v>
      </c>
      <c r="C7173" t="s">
        <v>6093</v>
      </c>
      <c r="D7173" t="s">
        <v>6999</v>
      </c>
      <c r="E7173" t="s">
        <v>16182</v>
      </c>
      <c r="F7173">
        <v>51</v>
      </c>
      <c r="G7173">
        <v>1896964</v>
      </c>
      <c r="H7173" t="s">
        <v>16183</v>
      </c>
      <c r="J7173" s="54" t="s">
        <v>6052</v>
      </c>
      <c r="K7173" s="54">
        <v>0</v>
      </c>
      <c r="L7173" s="22" t="s">
        <v>104</v>
      </c>
      <c r="M7173" s="22" t="s">
        <v>37315</v>
      </c>
    </row>
    <row r="7174" spans="1:13" x14ac:dyDescent="0.75">
      <c r="A7174" t="s">
        <v>9398</v>
      </c>
      <c r="B7174" t="s">
        <v>6998</v>
      </c>
      <c r="C7174" t="s">
        <v>6093</v>
      </c>
      <c r="D7174" t="s">
        <v>6999</v>
      </c>
      <c r="E7174" t="s">
        <v>9399</v>
      </c>
      <c r="F7174">
        <v>17</v>
      </c>
      <c r="G7174">
        <v>1981087</v>
      </c>
      <c r="H7174" t="s">
        <v>9400</v>
      </c>
      <c r="J7174" s="54" t="s">
        <v>6052</v>
      </c>
      <c r="K7174" s="54">
        <v>0</v>
      </c>
      <c r="L7174" s="22" t="s">
        <v>104</v>
      </c>
      <c r="M7174" s="22" t="s">
        <v>37315</v>
      </c>
    </row>
    <row r="7175" spans="1:13" x14ac:dyDescent="0.75">
      <c r="A7175" t="s">
        <v>7883</v>
      </c>
      <c r="B7175" t="s">
        <v>6998</v>
      </c>
      <c r="C7175" t="s">
        <v>6093</v>
      </c>
      <c r="D7175" t="s">
        <v>6999</v>
      </c>
      <c r="E7175" t="s">
        <v>7884</v>
      </c>
      <c r="F7175">
        <v>2</v>
      </c>
      <c r="G7175">
        <v>1916998</v>
      </c>
      <c r="H7175" t="s">
        <v>7885</v>
      </c>
      <c r="J7175" s="54" t="s">
        <v>6052</v>
      </c>
      <c r="K7175" s="54">
        <v>0</v>
      </c>
      <c r="L7175" s="22" t="s">
        <v>104</v>
      </c>
      <c r="M7175" s="22" t="s">
        <v>37315</v>
      </c>
    </row>
    <row r="7176" spans="1:13" x14ac:dyDescent="0.75">
      <c r="A7176" t="s">
        <v>17084</v>
      </c>
      <c r="B7176" t="s">
        <v>6998</v>
      </c>
      <c r="C7176" t="s">
        <v>6093</v>
      </c>
      <c r="D7176" t="s">
        <v>6999</v>
      </c>
      <c r="E7176" t="s">
        <v>7884</v>
      </c>
      <c r="F7176">
        <v>1</v>
      </c>
      <c r="G7176">
        <v>1926555</v>
      </c>
      <c r="H7176" t="s">
        <v>17085</v>
      </c>
      <c r="J7176" s="54" t="s">
        <v>6052</v>
      </c>
      <c r="K7176" s="54">
        <v>0</v>
      </c>
      <c r="L7176" s="22" t="s">
        <v>104</v>
      </c>
      <c r="M7176" s="22" t="s">
        <v>37315</v>
      </c>
    </row>
    <row r="7177" spans="1:13" x14ac:dyDescent="0.75">
      <c r="A7177" t="s">
        <v>19989</v>
      </c>
      <c r="B7177" t="s">
        <v>6998</v>
      </c>
      <c r="C7177" t="s">
        <v>6093</v>
      </c>
      <c r="D7177" t="s">
        <v>6999</v>
      </c>
      <c r="E7177" t="s">
        <v>19990</v>
      </c>
      <c r="F7177">
        <v>1</v>
      </c>
      <c r="G7177">
        <v>2024323</v>
      </c>
      <c r="H7177" t="s">
        <v>19991</v>
      </c>
      <c r="J7177" s="54" t="s">
        <v>6052</v>
      </c>
      <c r="K7177" s="54">
        <v>0</v>
      </c>
      <c r="L7177" s="22" t="s">
        <v>104</v>
      </c>
      <c r="M7177" s="22" t="s">
        <v>37315</v>
      </c>
    </row>
    <row r="7178" spans="1:13" x14ac:dyDescent="0.75">
      <c r="A7178" t="s">
        <v>19986</v>
      </c>
      <c r="B7178" t="s">
        <v>6998</v>
      </c>
      <c r="C7178" t="s">
        <v>6093</v>
      </c>
      <c r="D7178" t="s">
        <v>6999</v>
      </c>
      <c r="E7178" t="s">
        <v>19987</v>
      </c>
      <c r="F7178">
        <v>1</v>
      </c>
      <c r="G7178">
        <v>1913782</v>
      </c>
      <c r="H7178" t="s">
        <v>19988</v>
      </c>
      <c r="J7178" s="54" t="s">
        <v>6052</v>
      </c>
      <c r="K7178" s="54">
        <v>0</v>
      </c>
      <c r="L7178" s="22" t="s">
        <v>104</v>
      </c>
      <c r="M7178" s="22" t="s">
        <v>37315</v>
      </c>
    </row>
    <row r="7179" spans="1:13" x14ac:dyDescent="0.75">
      <c r="A7179" t="s">
        <v>21580</v>
      </c>
      <c r="B7179" t="s">
        <v>6998</v>
      </c>
      <c r="C7179" t="s">
        <v>6093</v>
      </c>
      <c r="D7179" t="s">
        <v>6999</v>
      </c>
      <c r="E7179" t="s">
        <v>21581</v>
      </c>
      <c r="F7179">
        <v>25</v>
      </c>
      <c r="G7179">
        <v>1897448</v>
      </c>
      <c r="H7179" t="s">
        <v>21582</v>
      </c>
      <c r="J7179" s="54" t="s">
        <v>6052</v>
      </c>
      <c r="K7179" s="54">
        <v>0</v>
      </c>
      <c r="L7179" s="22" t="s">
        <v>104</v>
      </c>
      <c r="M7179" s="22" t="s">
        <v>37315</v>
      </c>
    </row>
    <row r="7180" spans="1:13" x14ac:dyDescent="0.75">
      <c r="A7180" t="s">
        <v>21571</v>
      </c>
      <c r="B7180" t="s">
        <v>6998</v>
      </c>
      <c r="C7180" t="s">
        <v>6093</v>
      </c>
      <c r="D7180" t="s">
        <v>6999</v>
      </c>
      <c r="E7180" t="s">
        <v>21572</v>
      </c>
      <c r="F7180">
        <v>14</v>
      </c>
      <c r="G7180">
        <v>1958801</v>
      </c>
      <c r="H7180" t="s">
        <v>21573</v>
      </c>
      <c r="J7180" s="54" t="s">
        <v>6052</v>
      </c>
      <c r="K7180" s="54">
        <v>0</v>
      </c>
      <c r="L7180" s="22" t="s">
        <v>104</v>
      </c>
      <c r="M7180" s="22" t="s">
        <v>37315</v>
      </c>
    </row>
    <row r="7181" spans="1:13" x14ac:dyDescent="0.75">
      <c r="A7181" t="s">
        <v>21574</v>
      </c>
      <c r="B7181" t="s">
        <v>6998</v>
      </c>
      <c r="C7181" t="s">
        <v>6093</v>
      </c>
      <c r="D7181" t="s">
        <v>6999</v>
      </c>
      <c r="E7181" t="s">
        <v>21575</v>
      </c>
      <c r="F7181">
        <v>12</v>
      </c>
      <c r="G7181">
        <v>1961621</v>
      </c>
      <c r="H7181" t="s">
        <v>21576</v>
      </c>
      <c r="J7181" s="54" t="s">
        <v>6052</v>
      </c>
      <c r="K7181" s="54">
        <v>0</v>
      </c>
      <c r="L7181" s="22" t="s">
        <v>104</v>
      </c>
      <c r="M7181" s="22" t="s">
        <v>37315</v>
      </c>
    </row>
    <row r="7182" spans="1:13" x14ac:dyDescent="0.75">
      <c r="A7182" t="s">
        <v>16169</v>
      </c>
      <c r="B7182" t="s">
        <v>6998</v>
      </c>
      <c r="C7182" t="s">
        <v>6093</v>
      </c>
      <c r="D7182" t="s">
        <v>6999</v>
      </c>
      <c r="E7182" t="s">
        <v>16170</v>
      </c>
      <c r="F7182">
        <v>62</v>
      </c>
      <c r="G7182">
        <v>2005267</v>
      </c>
      <c r="H7182" t="s">
        <v>16171</v>
      </c>
      <c r="J7182" s="54" t="s">
        <v>6052</v>
      </c>
      <c r="K7182" s="54">
        <v>0</v>
      </c>
      <c r="L7182" s="22" t="s">
        <v>104</v>
      </c>
      <c r="M7182" s="22" t="s">
        <v>37315</v>
      </c>
    </row>
    <row r="7183" spans="1:13" x14ac:dyDescent="0.75">
      <c r="A7183" t="s">
        <v>6997</v>
      </c>
      <c r="B7183" t="s">
        <v>6998</v>
      </c>
      <c r="C7183" t="s">
        <v>6093</v>
      </c>
      <c r="D7183" t="s">
        <v>6999</v>
      </c>
      <c r="E7183" t="s">
        <v>7000</v>
      </c>
      <c r="F7183">
        <v>28</v>
      </c>
      <c r="G7183">
        <v>1880978</v>
      </c>
      <c r="H7183" t="s">
        <v>7001</v>
      </c>
      <c r="J7183" s="54" t="s">
        <v>6052</v>
      </c>
      <c r="K7183" s="54">
        <v>0</v>
      </c>
      <c r="L7183" s="22" t="s">
        <v>104</v>
      </c>
      <c r="M7183" s="22" t="s">
        <v>37315</v>
      </c>
    </row>
    <row r="7184" spans="1:13" x14ac:dyDescent="0.75">
      <c r="A7184" t="s">
        <v>28115</v>
      </c>
      <c r="B7184" t="s">
        <v>6998</v>
      </c>
      <c r="C7184" t="s">
        <v>6093</v>
      </c>
      <c r="D7184" t="s">
        <v>6999</v>
      </c>
      <c r="E7184" t="s">
        <v>28116</v>
      </c>
      <c r="F7184">
        <v>2</v>
      </c>
      <c r="G7184">
        <v>1949061</v>
      </c>
      <c r="H7184" t="s">
        <v>28117</v>
      </c>
      <c r="J7184" s="54" t="s">
        <v>6052</v>
      </c>
      <c r="K7184" s="54">
        <v>0</v>
      </c>
      <c r="L7184" s="22" t="s">
        <v>104</v>
      </c>
      <c r="M7184" s="22" t="s">
        <v>37315</v>
      </c>
    </row>
    <row r="7185" spans="1:13" x14ac:dyDescent="0.75">
      <c r="A7185" t="s">
        <v>23144</v>
      </c>
      <c r="B7185" t="s">
        <v>6998</v>
      </c>
      <c r="C7185" t="s">
        <v>6093</v>
      </c>
      <c r="D7185" t="s">
        <v>6999</v>
      </c>
      <c r="E7185" t="s">
        <v>23145</v>
      </c>
      <c r="F7185">
        <v>23</v>
      </c>
      <c r="G7185">
        <v>1902441</v>
      </c>
      <c r="H7185" t="s">
        <v>23146</v>
      </c>
      <c r="J7185" s="54" t="s">
        <v>6052</v>
      </c>
      <c r="K7185" s="54">
        <v>0</v>
      </c>
      <c r="L7185" s="22" t="s">
        <v>104</v>
      </c>
      <c r="M7185" s="22" t="s">
        <v>37315</v>
      </c>
    </row>
    <row r="7186" spans="1:13" x14ac:dyDescent="0.75">
      <c r="A7186" t="s">
        <v>23141</v>
      </c>
      <c r="B7186" t="s">
        <v>6998</v>
      </c>
      <c r="C7186" t="s">
        <v>6093</v>
      </c>
      <c r="D7186" t="s">
        <v>6999</v>
      </c>
      <c r="E7186" t="s">
        <v>23142</v>
      </c>
      <c r="F7186">
        <v>23</v>
      </c>
      <c r="G7186">
        <v>1901479</v>
      </c>
      <c r="H7186" t="s">
        <v>23143</v>
      </c>
      <c r="J7186" s="54" t="s">
        <v>6052</v>
      </c>
      <c r="K7186" s="54">
        <v>0</v>
      </c>
      <c r="L7186" s="22" t="s">
        <v>104</v>
      </c>
      <c r="M7186" s="22" t="s">
        <v>37315</v>
      </c>
    </row>
    <row r="7187" spans="1:13" x14ac:dyDescent="0.75">
      <c r="A7187" t="s">
        <v>13561</v>
      </c>
      <c r="B7187" t="s">
        <v>6998</v>
      </c>
      <c r="C7187" t="s">
        <v>6093</v>
      </c>
      <c r="D7187" t="s">
        <v>6999</v>
      </c>
      <c r="E7187" t="s">
        <v>13562</v>
      </c>
      <c r="F7187">
        <v>20</v>
      </c>
      <c r="G7187">
        <v>1834212</v>
      </c>
      <c r="H7187" t="s">
        <v>13563</v>
      </c>
      <c r="J7187" s="54" t="s">
        <v>6052</v>
      </c>
      <c r="K7187" s="54">
        <v>0</v>
      </c>
      <c r="L7187" s="22" t="s">
        <v>104</v>
      </c>
      <c r="M7187" s="22" t="s">
        <v>37315</v>
      </c>
    </row>
    <row r="7188" spans="1:13" x14ac:dyDescent="0.75">
      <c r="A7188" t="s">
        <v>7912</v>
      </c>
      <c r="B7188" t="s">
        <v>6998</v>
      </c>
      <c r="C7188" t="s">
        <v>6093</v>
      </c>
      <c r="D7188" t="s">
        <v>6999</v>
      </c>
      <c r="E7188" t="s">
        <v>7913</v>
      </c>
      <c r="F7188">
        <v>66</v>
      </c>
      <c r="G7188">
        <v>2020730</v>
      </c>
      <c r="H7188" t="s">
        <v>7914</v>
      </c>
      <c r="J7188" s="54" t="s">
        <v>6052</v>
      </c>
      <c r="K7188" s="54">
        <v>0</v>
      </c>
      <c r="L7188" s="22" t="s">
        <v>104</v>
      </c>
      <c r="M7188" s="22" t="s">
        <v>37315</v>
      </c>
    </row>
    <row r="7189" spans="1:13" x14ac:dyDescent="0.75">
      <c r="A7189" t="s">
        <v>13564</v>
      </c>
      <c r="B7189" t="s">
        <v>6998</v>
      </c>
      <c r="C7189" t="s">
        <v>6093</v>
      </c>
      <c r="D7189" t="s">
        <v>6999</v>
      </c>
      <c r="E7189" t="s">
        <v>13565</v>
      </c>
      <c r="F7189">
        <v>22</v>
      </c>
      <c r="G7189">
        <v>1929173</v>
      </c>
      <c r="H7189" t="s">
        <v>13566</v>
      </c>
      <c r="J7189" s="54" t="s">
        <v>6052</v>
      </c>
      <c r="K7189" s="54">
        <v>0</v>
      </c>
      <c r="L7189" s="22" t="s">
        <v>104</v>
      </c>
      <c r="M7189" s="22" t="s">
        <v>37315</v>
      </c>
    </row>
    <row r="7190" spans="1:13" x14ac:dyDescent="0.75">
      <c r="A7190" t="s">
        <v>21063</v>
      </c>
      <c r="B7190" t="s">
        <v>6671</v>
      </c>
      <c r="C7190" t="s">
        <v>6093</v>
      </c>
      <c r="D7190" t="s">
        <v>6672</v>
      </c>
      <c r="E7190">
        <v>34</v>
      </c>
      <c r="F7190">
        <v>23</v>
      </c>
      <c r="G7190">
        <v>1911766</v>
      </c>
      <c r="H7190" t="s">
        <v>21064</v>
      </c>
      <c r="J7190" s="54" t="s">
        <v>6052</v>
      </c>
      <c r="K7190" s="54">
        <v>0</v>
      </c>
      <c r="L7190" s="22" t="s">
        <v>104</v>
      </c>
      <c r="M7190" s="22" t="s">
        <v>37308</v>
      </c>
    </row>
    <row r="7191" spans="1:13" x14ac:dyDescent="0.75">
      <c r="A7191" t="s">
        <v>21212</v>
      </c>
      <c r="B7191" t="s">
        <v>6671</v>
      </c>
      <c r="C7191" t="s">
        <v>6093</v>
      </c>
      <c r="D7191" t="s">
        <v>6672</v>
      </c>
      <c r="E7191">
        <v>34</v>
      </c>
      <c r="F7191">
        <v>1</v>
      </c>
      <c r="G7191">
        <v>1920884</v>
      </c>
      <c r="H7191" t="s">
        <v>21213</v>
      </c>
      <c r="J7191" s="54" t="s">
        <v>6052</v>
      </c>
      <c r="K7191" s="54">
        <v>0</v>
      </c>
      <c r="L7191" s="22" t="s">
        <v>104</v>
      </c>
      <c r="M7191" s="22" t="s">
        <v>37308</v>
      </c>
    </row>
    <row r="7192" spans="1:13" x14ac:dyDescent="0.75">
      <c r="A7192" t="s">
        <v>21583</v>
      </c>
      <c r="B7192" t="s">
        <v>6671</v>
      </c>
      <c r="C7192" t="s">
        <v>6093</v>
      </c>
      <c r="D7192" t="s">
        <v>6672</v>
      </c>
      <c r="E7192">
        <v>34</v>
      </c>
      <c r="F7192">
        <v>9</v>
      </c>
      <c r="G7192">
        <v>1903756</v>
      </c>
      <c r="H7192" t="s">
        <v>21584</v>
      </c>
      <c r="J7192" s="54" t="s">
        <v>6052</v>
      </c>
      <c r="K7192" s="54">
        <v>0</v>
      </c>
      <c r="L7192" s="22" t="s">
        <v>104</v>
      </c>
      <c r="M7192" s="22" t="s">
        <v>37308</v>
      </c>
    </row>
    <row r="7193" spans="1:13" x14ac:dyDescent="0.75">
      <c r="A7193" t="s">
        <v>21585</v>
      </c>
      <c r="B7193" t="s">
        <v>6671</v>
      </c>
      <c r="C7193" t="s">
        <v>6093</v>
      </c>
      <c r="D7193" t="s">
        <v>6672</v>
      </c>
      <c r="E7193">
        <v>102</v>
      </c>
      <c r="F7193">
        <v>13</v>
      </c>
      <c r="G7193">
        <v>1903378</v>
      </c>
      <c r="H7193" t="s">
        <v>21586</v>
      </c>
      <c r="J7193" s="54" t="s">
        <v>6052</v>
      </c>
      <c r="K7193" s="54">
        <v>0</v>
      </c>
      <c r="L7193" s="22" t="s">
        <v>104</v>
      </c>
      <c r="M7193" s="22" t="s">
        <v>37308</v>
      </c>
    </row>
    <row r="7194" spans="1:13" x14ac:dyDescent="0.75">
      <c r="A7194" t="s">
        <v>16946</v>
      </c>
      <c r="B7194" t="s">
        <v>6671</v>
      </c>
      <c r="C7194" t="s">
        <v>6093</v>
      </c>
      <c r="D7194" t="s">
        <v>6672</v>
      </c>
      <c r="E7194">
        <v>1643</v>
      </c>
      <c r="F7194">
        <v>1</v>
      </c>
      <c r="G7194">
        <v>1898954</v>
      </c>
      <c r="H7194" t="s">
        <v>16947</v>
      </c>
      <c r="J7194" s="54" t="s">
        <v>6052</v>
      </c>
      <c r="K7194" s="54">
        <v>0</v>
      </c>
      <c r="L7194" s="22" t="s">
        <v>104</v>
      </c>
      <c r="M7194" s="22" t="s">
        <v>37308</v>
      </c>
    </row>
    <row r="7195" spans="1:13" x14ac:dyDescent="0.75">
      <c r="A7195" t="s">
        <v>22867</v>
      </c>
      <c r="B7195" t="s">
        <v>6671</v>
      </c>
      <c r="C7195" t="s">
        <v>6093</v>
      </c>
      <c r="D7195" t="s">
        <v>6672</v>
      </c>
      <c r="E7195">
        <v>1648</v>
      </c>
      <c r="F7195">
        <v>1</v>
      </c>
      <c r="G7195">
        <v>1876737</v>
      </c>
      <c r="H7195" t="s">
        <v>22868</v>
      </c>
      <c r="J7195" s="54" t="s">
        <v>6052</v>
      </c>
      <c r="K7195" s="54">
        <v>0</v>
      </c>
      <c r="L7195" s="22" t="s">
        <v>104</v>
      </c>
      <c r="M7195" s="22" t="s">
        <v>37308</v>
      </c>
    </row>
    <row r="7196" spans="1:13" x14ac:dyDescent="0.75">
      <c r="A7196" t="s">
        <v>21587</v>
      </c>
      <c r="B7196" t="s">
        <v>6671</v>
      </c>
      <c r="C7196" t="s">
        <v>6093</v>
      </c>
      <c r="D7196" t="s">
        <v>6672</v>
      </c>
      <c r="E7196">
        <v>10557</v>
      </c>
      <c r="F7196">
        <v>18</v>
      </c>
      <c r="G7196">
        <v>1961798</v>
      </c>
      <c r="H7196" t="s">
        <v>21588</v>
      </c>
      <c r="J7196" s="54" t="s">
        <v>6052</v>
      </c>
      <c r="K7196" s="54">
        <v>0</v>
      </c>
      <c r="L7196" s="22" t="s">
        <v>104</v>
      </c>
      <c r="M7196" s="22" t="s">
        <v>37308</v>
      </c>
    </row>
    <row r="7197" spans="1:13" x14ac:dyDescent="0.75">
      <c r="A7197" t="s">
        <v>11261</v>
      </c>
      <c r="B7197" t="s">
        <v>6671</v>
      </c>
      <c r="C7197" t="s">
        <v>6093</v>
      </c>
      <c r="D7197" t="s">
        <v>6672</v>
      </c>
      <c r="E7197" t="s">
        <v>11262</v>
      </c>
      <c r="F7197">
        <v>23</v>
      </c>
      <c r="G7197">
        <v>1993349</v>
      </c>
      <c r="H7197" t="s">
        <v>11263</v>
      </c>
      <c r="J7197" s="54" t="s">
        <v>6052</v>
      </c>
      <c r="K7197" s="54">
        <v>0</v>
      </c>
      <c r="L7197" s="22" t="s">
        <v>104</v>
      </c>
      <c r="M7197" s="22" t="s">
        <v>37308</v>
      </c>
    </row>
    <row r="7198" spans="1:13" x14ac:dyDescent="0.75">
      <c r="A7198" t="s">
        <v>24411</v>
      </c>
      <c r="B7198" t="s">
        <v>6671</v>
      </c>
      <c r="C7198" t="s">
        <v>6093</v>
      </c>
      <c r="D7198" t="s">
        <v>6672</v>
      </c>
      <c r="E7198" t="s">
        <v>24412</v>
      </c>
      <c r="F7198">
        <v>14</v>
      </c>
      <c r="G7198">
        <v>2018162</v>
      </c>
      <c r="H7198" t="s">
        <v>24413</v>
      </c>
      <c r="J7198" s="54" t="s">
        <v>6052</v>
      </c>
      <c r="K7198" s="54">
        <v>0</v>
      </c>
      <c r="L7198" s="22" t="s">
        <v>104</v>
      </c>
      <c r="M7198" s="22" t="s">
        <v>37308</v>
      </c>
    </row>
    <row r="7199" spans="1:13" x14ac:dyDescent="0.75">
      <c r="A7199" t="s">
        <v>24399</v>
      </c>
      <c r="B7199" t="s">
        <v>6671</v>
      </c>
      <c r="C7199" t="s">
        <v>6093</v>
      </c>
      <c r="D7199" t="s">
        <v>6672</v>
      </c>
      <c r="E7199" t="s">
        <v>24400</v>
      </c>
      <c r="F7199">
        <v>15</v>
      </c>
      <c r="G7199">
        <v>2003805</v>
      </c>
      <c r="H7199" t="s">
        <v>24401</v>
      </c>
      <c r="J7199" s="54" t="s">
        <v>6052</v>
      </c>
      <c r="K7199" s="54">
        <v>0</v>
      </c>
      <c r="L7199" s="22" t="s">
        <v>104</v>
      </c>
      <c r="M7199" s="22" t="s">
        <v>37308</v>
      </c>
    </row>
    <row r="7200" spans="1:13" x14ac:dyDescent="0.75">
      <c r="A7200" t="s">
        <v>24393</v>
      </c>
      <c r="B7200" t="s">
        <v>6671</v>
      </c>
      <c r="C7200" t="s">
        <v>6093</v>
      </c>
      <c r="D7200" t="s">
        <v>6672</v>
      </c>
      <c r="E7200" t="s">
        <v>24394</v>
      </c>
      <c r="F7200">
        <v>21</v>
      </c>
      <c r="G7200">
        <v>2044464</v>
      </c>
      <c r="H7200" t="s">
        <v>24395</v>
      </c>
      <c r="J7200" s="54" t="s">
        <v>6052</v>
      </c>
      <c r="K7200" s="54">
        <v>0</v>
      </c>
      <c r="L7200" s="22" t="s">
        <v>104</v>
      </c>
      <c r="M7200" s="22" t="s">
        <v>37308</v>
      </c>
    </row>
    <row r="7201" spans="1:13" x14ac:dyDescent="0.75">
      <c r="A7201" t="s">
        <v>24390</v>
      </c>
      <c r="B7201" t="s">
        <v>6671</v>
      </c>
      <c r="C7201" t="s">
        <v>6093</v>
      </c>
      <c r="D7201" t="s">
        <v>6672</v>
      </c>
      <c r="E7201" t="s">
        <v>24391</v>
      </c>
      <c r="F7201">
        <v>13</v>
      </c>
      <c r="G7201">
        <v>1993585</v>
      </c>
      <c r="H7201" t="s">
        <v>24392</v>
      </c>
      <c r="J7201" s="54" t="s">
        <v>6052</v>
      </c>
      <c r="K7201" s="54">
        <v>0</v>
      </c>
      <c r="L7201" s="22" t="s">
        <v>104</v>
      </c>
      <c r="M7201" s="22" t="s">
        <v>37308</v>
      </c>
    </row>
    <row r="7202" spans="1:13" x14ac:dyDescent="0.75">
      <c r="A7202" t="s">
        <v>29143</v>
      </c>
      <c r="B7202" t="s">
        <v>6671</v>
      </c>
      <c r="C7202" t="s">
        <v>6093</v>
      </c>
      <c r="D7202" t="s">
        <v>6672</v>
      </c>
      <c r="E7202" t="s">
        <v>29144</v>
      </c>
      <c r="F7202">
        <v>10</v>
      </c>
      <c r="G7202">
        <v>2054678</v>
      </c>
      <c r="H7202" t="s">
        <v>29145</v>
      </c>
      <c r="J7202" s="54" t="s">
        <v>6052</v>
      </c>
      <c r="K7202" s="54">
        <v>0</v>
      </c>
      <c r="L7202" s="22" t="s">
        <v>104</v>
      </c>
      <c r="M7202" s="22" t="s">
        <v>37308</v>
      </c>
    </row>
    <row r="7203" spans="1:13" x14ac:dyDescent="0.75">
      <c r="A7203" t="s">
        <v>18791</v>
      </c>
      <c r="B7203" t="s">
        <v>6671</v>
      </c>
      <c r="C7203" t="s">
        <v>6093</v>
      </c>
      <c r="D7203" t="s">
        <v>6672</v>
      </c>
      <c r="E7203" t="s">
        <v>18792</v>
      </c>
      <c r="F7203">
        <v>1</v>
      </c>
      <c r="G7203">
        <v>1995690</v>
      </c>
      <c r="H7203" t="s">
        <v>18793</v>
      </c>
      <c r="J7203" s="54" t="s">
        <v>6052</v>
      </c>
      <c r="K7203" s="54">
        <v>0</v>
      </c>
      <c r="L7203" s="22" t="s">
        <v>104</v>
      </c>
      <c r="M7203" s="22" t="s">
        <v>37308</v>
      </c>
    </row>
    <row r="7204" spans="1:13" x14ac:dyDescent="0.75">
      <c r="A7204" t="s">
        <v>6670</v>
      </c>
      <c r="B7204" t="s">
        <v>6671</v>
      </c>
      <c r="C7204" t="s">
        <v>6093</v>
      </c>
      <c r="D7204" t="s">
        <v>6672</v>
      </c>
      <c r="E7204" t="s">
        <v>6673</v>
      </c>
      <c r="F7204">
        <v>25</v>
      </c>
      <c r="G7204">
        <v>1884712</v>
      </c>
      <c r="H7204" t="s">
        <v>6674</v>
      </c>
      <c r="J7204" s="54" t="s">
        <v>6052</v>
      </c>
      <c r="K7204" s="54">
        <v>0</v>
      </c>
      <c r="L7204" s="22" t="s">
        <v>104</v>
      </c>
      <c r="M7204" s="22" t="s">
        <v>37308</v>
      </c>
    </row>
    <row r="7205" spans="1:13" x14ac:dyDescent="0.75">
      <c r="A7205" t="s">
        <v>7080</v>
      </c>
      <c r="B7205" t="s">
        <v>6671</v>
      </c>
      <c r="C7205" t="s">
        <v>6093</v>
      </c>
      <c r="D7205" t="s">
        <v>6672</v>
      </c>
      <c r="E7205" t="s">
        <v>6673</v>
      </c>
      <c r="F7205">
        <v>24</v>
      </c>
      <c r="G7205">
        <v>1913838</v>
      </c>
      <c r="H7205" t="s">
        <v>7081</v>
      </c>
      <c r="J7205" s="54" t="s">
        <v>6052</v>
      </c>
      <c r="K7205" s="54">
        <v>0</v>
      </c>
      <c r="L7205" s="22" t="s">
        <v>104</v>
      </c>
      <c r="M7205" s="22" t="s">
        <v>37308</v>
      </c>
    </row>
    <row r="7206" spans="1:13" x14ac:dyDescent="0.75">
      <c r="A7206" t="s">
        <v>7383</v>
      </c>
      <c r="B7206" t="s">
        <v>6671</v>
      </c>
      <c r="C7206" t="s">
        <v>6093</v>
      </c>
      <c r="D7206" t="s">
        <v>6672</v>
      </c>
      <c r="E7206" t="s">
        <v>7384</v>
      </c>
      <c r="F7206">
        <v>17</v>
      </c>
      <c r="G7206">
        <v>2068336</v>
      </c>
      <c r="H7206" t="s">
        <v>7385</v>
      </c>
      <c r="J7206" s="54" t="s">
        <v>6052</v>
      </c>
      <c r="K7206" s="54">
        <v>0</v>
      </c>
      <c r="L7206" s="22" t="s">
        <v>104</v>
      </c>
      <c r="M7206" s="22" t="s">
        <v>37308</v>
      </c>
    </row>
    <row r="7207" spans="1:13" x14ac:dyDescent="0.75">
      <c r="A7207" t="s">
        <v>16934</v>
      </c>
      <c r="B7207" t="s">
        <v>6671</v>
      </c>
      <c r="C7207" t="s">
        <v>6093</v>
      </c>
      <c r="D7207" t="s">
        <v>6672</v>
      </c>
      <c r="E7207" t="s">
        <v>16935</v>
      </c>
      <c r="F7207">
        <v>3</v>
      </c>
      <c r="G7207">
        <v>1881450</v>
      </c>
      <c r="H7207" t="s">
        <v>16936</v>
      </c>
      <c r="J7207" s="54" t="s">
        <v>6052</v>
      </c>
      <c r="K7207" s="54">
        <v>0</v>
      </c>
      <c r="L7207" s="22" t="s">
        <v>104</v>
      </c>
      <c r="M7207" s="22" t="s">
        <v>37308</v>
      </c>
    </row>
    <row r="7208" spans="1:13" x14ac:dyDescent="0.75">
      <c r="A7208" t="s">
        <v>24384</v>
      </c>
      <c r="B7208" t="s">
        <v>6671</v>
      </c>
      <c r="C7208" t="s">
        <v>6093</v>
      </c>
      <c r="D7208" t="s">
        <v>6672</v>
      </c>
      <c r="E7208" t="s">
        <v>24385</v>
      </c>
      <c r="F7208">
        <v>17</v>
      </c>
      <c r="G7208">
        <v>2029110</v>
      </c>
      <c r="H7208" t="s">
        <v>24386</v>
      </c>
      <c r="J7208" s="54" t="s">
        <v>6052</v>
      </c>
      <c r="K7208" s="54">
        <v>0</v>
      </c>
      <c r="L7208" s="22" t="s">
        <v>104</v>
      </c>
      <c r="M7208" s="22" t="s">
        <v>37308</v>
      </c>
    </row>
    <row r="7209" spans="1:13" x14ac:dyDescent="0.75">
      <c r="A7209" t="s">
        <v>16322</v>
      </c>
      <c r="B7209" t="s">
        <v>6671</v>
      </c>
      <c r="C7209" t="s">
        <v>6093</v>
      </c>
      <c r="D7209" t="s">
        <v>6672</v>
      </c>
      <c r="E7209" t="s">
        <v>16323</v>
      </c>
      <c r="F7209">
        <v>20</v>
      </c>
      <c r="G7209">
        <v>2011128</v>
      </c>
      <c r="H7209" t="s">
        <v>16324</v>
      </c>
      <c r="J7209" s="54" t="s">
        <v>6052</v>
      </c>
      <c r="K7209" s="54">
        <v>0</v>
      </c>
      <c r="L7209" s="22" t="s">
        <v>104</v>
      </c>
      <c r="M7209" s="22" t="s">
        <v>37308</v>
      </c>
    </row>
    <row r="7210" spans="1:13" x14ac:dyDescent="0.75">
      <c r="A7210" t="s">
        <v>16163</v>
      </c>
      <c r="B7210" t="s">
        <v>6671</v>
      </c>
      <c r="C7210" t="s">
        <v>6093</v>
      </c>
      <c r="D7210" t="s">
        <v>6672</v>
      </c>
      <c r="E7210" t="s">
        <v>16164</v>
      </c>
      <c r="F7210">
        <v>20</v>
      </c>
      <c r="G7210">
        <v>1951779</v>
      </c>
      <c r="H7210" t="s">
        <v>16165</v>
      </c>
      <c r="J7210" s="54" t="s">
        <v>6052</v>
      </c>
      <c r="K7210" s="54">
        <v>0</v>
      </c>
      <c r="L7210" s="22" t="s">
        <v>104</v>
      </c>
      <c r="M7210" s="22" t="s">
        <v>37308</v>
      </c>
    </row>
    <row r="7211" spans="1:13" x14ac:dyDescent="0.75">
      <c r="A7211" t="s">
        <v>16178</v>
      </c>
      <c r="B7211" t="s">
        <v>6671</v>
      </c>
      <c r="C7211" t="s">
        <v>6093</v>
      </c>
      <c r="D7211" t="s">
        <v>6672</v>
      </c>
      <c r="E7211" t="s">
        <v>16179</v>
      </c>
      <c r="F7211">
        <v>22</v>
      </c>
      <c r="G7211">
        <v>2089314</v>
      </c>
      <c r="H7211" t="s">
        <v>16180</v>
      </c>
      <c r="J7211" s="54" t="s">
        <v>6052</v>
      </c>
      <c r="K7211" s="54">
        <v>0</v>
      </c>
      <c r="L7211" s="22" t="s">
        <v>104</v>
      </c>
      <c r="M7211" s="22" t="s">
        <v>37308</v>
      </c>
    </row>
    <row r="7212" spans="1:13" x14ac:dyDescent="0.75">
      <c r="A7212" t="s">
        <v>13357</v>
      </c>
      <c r="B7212" t="s">
        <v>6671</v>
      </c>
      <c r="C7212" t="s">
        <v>6093</v>
      </c>
      <c r="D7212" t="s">
        <v>6672</v>
      </c>
      <c r="E7212" t="s">
        <v>13358</v>
      </c>
      <c r="F7212">
        <v>15</v>
      </c>
      <c r="G7212">
        <v>1910194</v>
      </c>
      <c r="H7212" t="s">
        <v>13359</v>
      </c>
      <c r="J7212" s="54" t="s">
        <v>6052</v>
      </c>
      <c r="K7212" s="54">
        <v>0</v>
      </c>
      <c r="L7212" s="22" t="s">
        <v>104</v>
      </c>
      <c r="M7212" s="22" t="s">
        <v>37308</v>
      </c>
    </row>
    <row r="7213" spans="1:13" x14ac:dyDescent="0.75">
      <c r="A7213" t="s">
        <v>12215</v>
      </c>
      <c r="B7213" t="s">
        <v>6671</v>
      </c>
      <c r="C7213" t="s">
        <v>6093</v>
      </c>
      <c r="D7213" t="s">
        <v>6672</v>
      </c>
      <c r="E7213" t="s">
        <v>12216</v>
      </c>
      <c r="F7213">
        <v>43</v>
      </c>
      <c r="G7213">
        <v>1913574</v>
      </c>
      <c r="H7213" t="s">
        <v>12217</v>
      </c>
      <c r="J7213" s="54" t="s">
        <v>6052</v>
      </c>
      <c r="K7213" s="54">
        <v>0</v>
      </c>
      <c r="L7213" s="22" t="s">
        <v>104</v>
      </c>
      <c r="M7213" s="22" t="s">
        <v>37308</v>
      </c>
    </row>
    <row r="7214" spans="1:13" x14ac:dyDescent="0.75">
      <c r="A7214" t="s">
        <v>23725</v>
      </c>
      <c r="B7214" t="s">
        <v>6671</v>
      </c>
      <c r="C7214" t="s">
        <v>6093</v>
      </c>
      <c r="D7214" t="s">
        <v>6672</v>
      </c>
      <c r="E7214" t="s">
        <v>23726</v>
      </c>
      <c r="F7214">
        <v>1</v>
      </c>
      <c r="G7214">
        <v>2002022</v>
      </c>
      <c r="H7214" t="s">
        <v>23727</v>
      </c>
      <c r="J7214" s="54" t="s">
        <v>6052</v>
      </c>
      <c r="K7214" s="54">
        <v>0</v>
      </c>
      <c r="L7214" s="22" t="s">
        <v>104</v>
      </c>
      <c r="M7214" s="22" t="s">
        <v>37308</v>
      </c>
    </row>
    <row r="7215" spans="1:13" x14ac:dyDescent="0.75">
      <c r="A7215" t="s">
        <v>23687</v>
      </c>
      <c r="B7215" t="s">
        <v>6671</v>
      </c>
      <c r="C7215" t="s">
        <v>6093</v>
      </c>
      <c r="D7215" t="s">
        <v>6672</v>
      </c>
      <c r="E7215" t="s">
        <v>23688</v>
      </c>
      <c r="F7215">
        <v>25</v>
      </c>
      <c r="G7215">
        <v>1989212</v>
      </c>
      <c r="H7215" t="s">
        <v>23689</v>
      </c>
      <c r="J7215" s="54" t="s">
        <v>6052</v>
      </c>
      <c r="K7215" s="54">
        <v>0</v>
      </c>
      <c r="L7215" s="22" t="s">
        <v>104</v>
      </c>
      <c r="M7215" s="22" t="s">
        <v>37308</v>
      </c>
    </row>
    <row r="7216" spans="1:13" x14ac:dyDescent="0.75">
      <c r="A7216" t="s">
        <v>23696</v>
      </c>
      <c r="B7216" t="s">
        <v>6671</v>
      </c>
      <c r="C7216" t="s">
        <v>6093</v>
      </c>
      <c r="D7216" t="s">
        <v>6672</v>
      </c>
      <c r="E7216" t="s">
        <v>23697</v>
      </c>
      <c r="F7216">
        <v>23</v>
      </c>
      <c r="G7216">
        <v>1988828</v>
      </c>
      <c r="H7216" t="s">
        <v>23698</v>
      </c>
      <c r="J7216" s="54" t="s">
        <v>6052</v>
      </c>
      <c r="K7216" s="54">
        <v>0</v>
      </c>
      <c r="L7216" s="22" t="s">
        <v>104</v>
      </c>
      <c r="M7216" s="22" t="s">
        <v>37308</v>
      </c>
    </row>
    <row r="7217" spans="1:13" x14ac:dyDescent="0.75">
      <c r="A7217" t="s">
        <v>23627</v>
      </c>
      <c r="B7217" t="s">
        <v>6671</v>
      </c>
      <c r="C7217" t="s">
        <v>6093</v>
      </c>
      <c r="D7217" t="s">
        <v>6672</v>
      </c>
      <c r="E7217" t="s">
        <v>23628</v>
      </c>
      <c r="F7217">
        <v>24</v>
      </c>
      <c r="G7217">
        <v>1989258</v>
      </c>
      <c r="H7217" t="s">
        <v>23629</v>
      </c>
      <c r="J7217" s="54" t="s">
        <v>6052</v>
      </c>
      <c r="K7217" s="54">
        <v>0</v>
      </c>
      <c r="L7217" s="22" t="s">
        <v>104</v>
      </c>
      <c r="M7217" s="22" t="s">
        <v>37308</v>
      </c>
    </row>
    <row r="7218" spans="1:13" x14ac:dyDescent="0.75">
      <c r="A7218" t="s">
        <v>23648</v>
      </c>
      <c r="B7218" t="s">
        <v>6671</v>
      </c>
      <c r="C7218" t="s">
        <v>6093</v>
      </c>
      <c r="D7218" t="s">
        <v>6672</v>
      </c>
      <c r="E7218" t="s">
        <v>23649</v>
      </c>
      <c r="F7218">
        <v>21</v>
      </c>
      <c r="G7218">
        <v>1988975</v>
      </c>
      <c r="H7218" t="s">
        <v>23650</v>
      </c>
      <c r="J7218" s="54" t="s">
        <v>6052</v>
      </c>
      <c r="K7218" s="54">
        <v>0</v>
      </c>
      <c r="L7218" s="22" t="s">
        <v>104</v>
      </c>
      <c r="M7218" s="22" t="s">
        <v>37308</v>
      </c>
    </row>
    <row r="7219" spans="1:13" x14ac:dyDescent="0.75">
      <c r="A7219" t="s">
        <v>23690</v>
      </c>
      <c r="B7219" t="s">
        <v>6671</v>
      </c>
      <c r="C7219" t="s">
        <v>6093</v>
      </c>
      <c r="D7219" t="s">
        <v>6672</v>
      </c>
      <c r="E7219" t="s">
        <v>23691</v>
      </c>
      <c r="F7219">
        <v>22</v>
      </c>
      <c r="G7219">
        <v>1989651</v>
      </c>
      <c r="H7219" t="s">
        <v>23692</v>
      </c>
      <c r="J7219" s="54" t="s">
        <v>6052</v>
      </c>
      <c r="K7219" s="54">
        <v>0</v>
      </c>
      <c r="L7219" s="22" t="s">
        <v>104</v>
      </c>
      <c r="M7219" s="22" t="s">
        <v>37308</v>
      </c>
    </row>
    <row r="7220" spans="1:13" x14ac:dyDescent="0.75">
      <c r="A7220" t="s">
        <v>23630</v>
      </c>
      <c r="B7220" t="s">
        <v>6671</v>
      </c>
      <c r="C7220" t="s">
        <v>6093</v>
      </c>
      <c r="D7220" t="s">
        <v>6672</v>
      </c>
      <c r="E7220" t="s">
        <v>23631</v>
      </c>
      <c r="F7220">
        <v>20</v>
      </c>
      <c r="G7220">
        <v>1990038</v>
      </c>
      <c r="H7220" t="s">
        <v>23632</v>
      </c>
      <c r="J7220" s="54" t="s">
        <v>6052</v>
      </c>
      <c r="K7220" s="54">
        <v>0</v>
      </c>
      <c r="L7220" s="22" t="s">
        <v>104</v>
      </c>
      <c r="M7220" s="22" t="s">
        <v>37308</v>
      </c>
    </row>
    <row r="7221" spans="1:13" x14ac:dyDescent="0.75">
      <c r="A7221" t="s">
        <v>23657</v>
      </c>
      <c r="B7221" t="s">
        <v>6671</v>
      </c>
      <c r="C7221" t="s">
        <v>6093</v>
      </c>
      <c r="D7221" t="s">
        <v>6672</v>
      </c>
      <c r="E7221" t="s">
        <v>23658</v>
      </c>
      <c r="F7221">
        <v>19</v>
      </c>
      <c r="G7221">
        <v>1989556</v>
      </c>
      <c r="H7221" t="s">
        <v>23659</v>
      </c>
      <c r="J7221" s="54" t="s">
        <v>6052</v>
      </c>
      <c r="K7221" s="54">
        <v>0</v>
      </c>
      <c r="L7221" s="22" t="s">
        <v>104</v>
      </c>
      <c r="M7221" s="22" t="s">
        <v>37308</v>
      </c>
    </row>
    <row r="7222" spans="1:13" x14ac:dyDescent="0.75">
      <c r="A7222" t="s">
        <v>23651</v>
      </c>
      <c r="B7222" t="s">
        <v>6671</v>
      </c>
      <c r="C7222" t="s">
        <v>6093</v>
      </c>
      <c r="D7222" t="s">
        <v>6672</v>
      </c>
      <c r="E7222" t="s">
        <v>23652</v>
      </c>
      <c r="F7222">
        <v>13</v>
      </c>
      <c r="G7222">
        <v>2003414</v>
      </c>
      <c r="H7222" t="s">
        <v>23653</v>
      </c>
      <c r="J7222" s="54" t="s">
        <v>6052</v>
      </c>
      <c r="K7222" s="54">
        <v>0</v>
      </c>
      <c r="L7222" s="22" t="s">
        <v>104</v>
      </c>
      <c r="M7222" s="22" t="s">
        <v>37308</v>
      </c>
    </row>
    <row r="7223" spans="1:13" x14ac:dyDescent="0.75">
      <c r="A7223" t="s">
        <v>23675</v>
      </c>
      <c r="B7223" t="s">
        <v>6671</v>
      </c>
      <c r="C7223" t="s">
        <v>6093</v>
      </c>
      <c r="D7223" t="s">
        <v>6672</v>
      </c>
      <c r="E7223" t="s">
        <v>23676</v>
      </c>
      <c r="F7223">
        <v>17</v>
      </c>
      <c r="G7223">
        <v>1998799</v>
      </c>
      <c r="H7223" t="s">
        <v>23677</v>
      </c>
      <c r="J7223" s="54" t="s">
        <v>6052</v>
      </c>
      <c r="K7223" s="54">
        <v>0</v>
      </c>
      <c r="L7223" s="22" t="s">
        <v>104</v>
      </c>
      <c r="M7223" s="22" t="s">
        <v>37308</v>
      </c>
    </row>
    <row r="7224" spans="1:13" x14ac:dyDescent="0.75">
      <c r="A7224" t="s">
        <v>24378</v>
      </c>
      <c r="B7224" t="s">
        <v>6671</v>
      </c>
      <c r="C7224" t="s">
        <v>6093</v>
      </c>
      <c r="D7224" t="s">
        <v>6672</v>
      </c>
      <c r="E7224" t="s">
        <v>24379</v>
      </c>
      <c r="F7224">
        <v>13</v>
      </c>
      <c r="G7224">
        <v>1954562</v>
      </c>
      <c r="H7224" t="s">
        <v>24380</v>
      </c>
      <c r="J7224" s="54" t="s">
        <v>6052</v>
      </c>
      <c r="K7224" s="54">
        <v>0</v>
      </c>
      <c r="L7224" s="22" t="s">
        <v>104</v>
      </c>
      <c r="M7224" s="22" t="s">
        <v>37308</v>
      </c>
    </row>
    <row r="7225" spans="1:13" x14ac:dyDescent="0.75">
      <c r="A7225" t="s">
        <v>25061</v>
      </c>
      <c r="B7225" t="s">
        <v>6671</v>
      </c>
      <c r="C7225" t="s">
        <v>6093</v>
      </c>
      <c r="D7225" t="s">
        <v>6672</v>
      </c>
      <c r="E7225" t="s">
        <v>25062</v>
      </c>
      <c r="F7225">
        <v>1</v>
      </c>
      <c r="G7225">
        <v>1970732</v>
      </c>
      <c r="H7225" t="s">
        <v>25063</v>
      </c>
      <c r="J7225" s="54" t="s">
        <v>6052</v>
      </c>
      <c r="K7225" s="54">
        <v>0</v>
      </c>
      <c r="L7225" s="22" t="s">
        <v>104</v>
      </c>
      <c r="M7225" s="22" t="s">
        <v>37308</v>
      </c>
    </row>
    <row r="7226" spans="1:13" x14ac:dyDescent="0.75">
      <c r="A7226" t="s">
        <v>20032</v>
      </c>
      <c r="B7226" t="s">
        <v>6671</v>
      </c>
      <c r="C7226" t="s">
        <v>6093</v>
      </c>
      <c r="D7226" t="s">
        <v>6672</v>
      </c>
      <c r="E7226" t="s">
        <v>20033</v>
      </c>
      <c r="F7226">
        <v>1</v>
      </c>
      <c r="G7226">
        <v>1931547</v>
      </c>
      <c r="H7226" t="s">
        <v>20034</v>
      </c>
      <c r="J7226" s="54" t="s">
        <v>6052</v>
      </c>
      <c r="K7226" s="54">
        <v>0</v>
      </c>
      <c r="L7226" s="22" t="s">
        <v>104</v>
      </c>
      <c r="M7226" s="22" t="s">
        <v>37308</v>
      </c>
    </row>
    <row r="7227" spans="1:13" x14ac:dyDescent="0.75">
      <c r="A7227" t="s">
        <v>20059</v>
      </c>
      <c r="B7227" t="s">
        <v>6671</v>
      </c>
      <c r="C7227" t="s">
        <v>6093</v>
      </c>
      <c r="D7227" t="s">
        <v>6672</v>
      </c>
      <c r="E7227" t="s">
        <v>20060</v>
      </c>
      <c r="F7227">
        <v>1</v>
      </c>
      <c r="G7227">
        <v>1905756</v>
      </c>
      <c r="H7227" t="s">
        <v>20061</v>
      </c>
      <c r="J7227" s="54" t="s">
        <v>6052</v>
      </c>
      <c r="K7227" s="54">
        <v>0</v>
      </c>
      <c r="L7227" s="22" t="s">
        <v>104</v>
      </c>
      <c r="M7227" s="22" t="s">
        <v>37308</v>
      </c>
    </row>
    <row r="7228" spans="1:13" x14ac:dyDescent="0.75">
      <c r="A7228" t="s">
        <v>20047</v>
      </c>
      <c r="B7228" t="s">
        <v>6671</v>
      </c>
      <c r="C7228" t="s">
        <v>6093</v>
      </c>
      <c r="D7228" t="s">
        <v>6672</v>
      </c>
      <c r="E7228" t="s">
        <v>20048</v>
      </c>
      <c r="F7228">
        <v>1</v>
      </c>
      <c r="G7228">
        <v>1994899</v>
      </c>
      <c r="H7228" t="s">
        <v>20049</v>
      </c>
      <c r="J7228" s="54" t="s">
        <v>6052</v>
      </c>
      <c r="K7228" s="54">
        <v>0</v>
      </c>
      <c r="L7228" s="22" t="s">
        <v>104</v>
      </c>
      <c r="M7228" s="22" t="s">
        <v>37308</v>
      </c>
    </row>
    <row r="7229" spans="1:13" x14ac:dyDescent="0.75">
      <c r="A7229" t="s">
        <v>13895</v>
      </c>
      <c r="B7229" t="s">
        <v>6671</v>
      </c>
      <c r="C7229" t="s">
        <v>6093</v>
      </c>
      <c r="D7229" t="s">
        <v>6672</v>
      </c>
      <c r="E7229" t="s">
        <v>13896</v>
      </c>
      <c r="F7229">
        <v>2</v>
      </c>
      <c r="G7229">
        <v>1995178</v>
      </c>
      <c r="H7229" t="s">
        <v>13897</v>
      </c>
      <c r="J7229" s="54" t="s">
        <v>6052</v>
      </c>
      <c r="K7229" s="54">
        <v>0</v>
      </c>
      <c r="L7229" s="22" t="s">
        <v>104</v>
      </c>
      <c r="M7229" s="22" t="s">
        <v>37308</v>
      </c>
    </row>
    <row r="7230" spans="1:13" x14ac:dyDescent="0.75">
      <c r="A7230" t="s">
        <v>13948</v>
      </c>
      <c r="B7230" t="s">
        <v>6671</v>
      </c>
      <c r="C7230" t="s">
        <v>6093</v>
      </c>
      <c r="D7230" t="s">
        <v>6672</v>
      </c>
      <c r="E7230" t="s">
        <v>13949</v>
      </c>
      <c r="F7230">
        <v>1</v>
      </c>
      <c r="G7230">
        <v>2053209</v>
      </c>
      <c r="H7230" t="s">
        <v>13950</v>
      </c>
      <c r="J7230" s="54" t="s">
        <v>6052</v>
      </c>
      <c r="K7230" s="54">
        <v>0</v>
      </c>
      <c r="L7230" s="22" t="s">
        <v>104</v>
      </c>
      <c r="M7230" s="22" t="s">
        <v>37308</v>
      </c>
    </row>
    <row r="7231" spans="1:13" x14ac:dyDescent="0.75">
      <c r="A7231" t="s">
        <v>26440</v>
      </c>
      <c r="B7231" t="s">
        <v>6671</v>
      </c>
      <c r="C7231" t="s">
        <v>6093</v>
      </c>
      <c r="D7231" t="s">
        <v>6672</v>
      </c>
      <c r="E7231" t="s">
        <v>26441</v>
      </c>
      <c r="F7231">
        <v>20</v>
      </c>
      <c r="G7231">
        <v>2109804</v>
      </c>
      <c r="H7231" t="s">
        <v>26442</v>
      </c>
      <c r="J7231" s="54" t="s">
        <v>6052</v>
      </c>
      <c r="K7231" s="54">
        <v>0</v>
      </c>
      <c r="L7231" s="22" t="s">
        <v>104</v>
      </c>
      <c r="M7231" s="22" t="s">
        <v>37308</v>
      </c>
    </row>
    <row r="7232" spans="1:13" x14ac:dyDescent="0.75">
      <c r="A7232" t="s">
        <v>26437</v>
      </c>
      <c r="B7232" t="s">
        <v>6671</v>
      </c>
      <c r="C7232" t="s">
        <v>6093</v>
      </c>
      <c r="D7232" t="s">
        <v>6672</v>
      </c>
      <c r="E7232" t="s">
        <v>26438</v>
      </c>
      <c r="F7232">
        <v>24</v>
      </c>
      <c r="G7232">
        <v>2049680</v>
      </c>
      <c r="H7232" t="s">
        <v>26439</v>
      </c>
      <c r="J7232" s="54" t="s">
        <v>6052</v>
      </c>
      <c r="K7232" s="54">
        <v>0</v>
      </c>
      <c r="L7232" s="22" t="s">
        <v>104</v>
      </c>
      <c r="M7232" s="22" t="s">
        <v>37308</v>
      </c>
    </row>
    <row r="7233" spans="1:13" x14ac:dyDescent="0.75">
      <c r="A7233" t="s">
        <v>26434</v>
      </c>
      <c r="B7233" t="s">
        <v>6671</v>
      </c>
      <c r="C7233" t="s">
        <v>6093</v>
      </c>
      <c r="D7233" t="s">
        <v>6672</v>
      </c>
      <c r="E7233" t="s">
        <v>26435</v>
      </c>
      <c r="F7233">
        <v>24</v>
      </c>
      <c r="G7233">
        <v>2071804</v>
      </c>
      <c r="H7233" t="s">
        <v>26436</v>
      </c>
      <c r="J7233" s="54" t="s">
        <v>6052</v>
      </c>
      <c r="K7233" s="54">
        <v>0</v>
      </c>
      <c r="L7233" s="22" t="s">
        <v>104</v>
      </c>
      <c r="M7233" s="22" t="s">
        <v>37308</v>
      </c>
    </row>
    <row r="7234" spans="1:13" x14ac:dyDescent="0.75">
      <c r="A7234" t="s">
        <v>26431</v>
      </c>
      <c r="B7234" t="s">
        <v>6671</v>
      </c>
      <c r="C7234" t="s">
        <v>6093</v>
      </c>
      <c r="D7234" t="s">
        <v>6672</v>
      </c>
      <c r="E7234" t="s">
        <v>26432</v>
      </c>
      <c r="F7234">
        <v>24</v>
      </c>
      <c r="G7234">
        <v>2073577</v>
      </c>
      <c r="H7234" t="s">
        <v>26433</v>
      </c>
      <c r="J7234" s="54" t="s">
        <v>6052</v>
      </c>
      <c r="K7234" s="54">
        <v>0</v>
      </c>
      <c r="L7234" s="22" t="s">
        <v>104</v>
      </c>
      <c r="M7234" s="22" t="s">
        <v>37308</v>
      </c>
    </row>
    <row r="7235" spans="1:13" x14ac:dyDescent="0.75">
      <c r="A7235" t="s">
        <v>24375</v>
      </c>
      <c r="B7235" t="s">
        <v>6671</v>
      </c>
      <c r="C7235" t="s">
        <v>6093</v>
      </c>
      <c r="D7235" t="s">
        <v>6672</v>
      </c>
      <c r="E7235" t="s">
        <v>24376</v>
      </c>
      <c r="F7235">
        <v>11</v>
      </c>
      <c r="G7235">
        <v>2059438</v>
      </c>
      <c r="H7235" t="s">
        <v>24377</v>
      </c>
      <c r="J7235" s="54" t="s">
        <v>6052</v>
      </c>
      <c r="K7235" s="54">
        <v>0</v>
      </c>
      <c r="L7235" s="22" t="s">
        <v>104</v>
      </c>
      <c r="M7235" s="22" t="s">
        <v>37308</v>
      </c>
    </row>
    <row r="7236" spans="1:13" x14ac:dyDescent="0.75">
      <c r="A7236" t="s">
        <v>27957</v>
      </c>
      <c r="B7236" t="s">
        <v>6671</v>
      </c>
      <c r="C7236" t="s">
        <v>6093</v>
      </c>
      <c r="D7236" t="s">
        <v>6672</v>
      </c>
      <c r="E7236" t="s">
        <v>27958</v>
      </c>
      <c r="F7236">
        <v>1</v>
      </c>
      <c r="G7236">
        <v>1931548</v>
      </c>
      <c r="H7236" t="s">
        <v>27959</v>
      </c>
      <c r="J7236" s="54" t="s">
        <v>6052</v>
      </c>
      <c r="K7236" s="54">
        <v>0</v>
      </c>
      <c r="L7236" s="22" t="s">
        <v>104</v>
      </c>
      <c r="M7236" s="22" t="s">
        <v>37308</v>
      </c>
    </row>
    <row r="7237" spans="1:13" x14ac:dyDescent="0.75">
      <c r="A7237" t="s">
        <v>23120</v>
      </c>
      <c r="B7237" t="s">
        <v>6671</v>
      </c>
      <c r="C7237" t="s">
        <v>6093</v>
      </c>
      <c r="D7237" t="s">
        <v>6672</v>
      </c>
      <c r="E7237" t="s">
        <v>23121</v>
      </c>
      <c r="F7237">
        <v>25</v>
      </c>
      <c r="G7237">
        <v>2048158</v>
      </c>
      <c r="H7237" t="s">
        <v>23122</v>
      </c>
      <c r="J7237" s="54" t="s">
        <v>6052</v>
      </c>
      <c r="K7237" s="54">
        <v>0</v>
      </c>
      <c r="L7237" s="22" t="s">
        <v>104</v>
      </c>
      <c r="M7237" s="22" t="s">
        <v>37308</v>
      </c>
    </row>
    <row r="7238" spans="1:13" x14ac:dyDescent="0.75">
      <c r="A7238" t="s">
        <v>23129</v>
      </c>
      <c r="B7238" t="s">
        <v>6671</v>
      </c>
      <c r="C7238" t="s">
        <v>6093</v>
      </c>
      <c r="D7238" t="s">
        <v>6672</v>
      </c>
      <c r="E7238" t="s">
        <v>23130</v>
      </c>
      <c r="F7238">
        <v>25</v>
      </c>
      <c r="G7238">
        <v>1951473</v>
      </c>
      <c r="H7238" t="s">
        <v>23131</v>
      </c>
      <c r="J7238" s="54" t="s">
        <v>6052</v>
      </c>
      <c r="K7238" s="54">
        <v>0</v>
      </c>
      <c r="L7238" s="22" t="s">
        <v>104</v>
      </c>
      <c r="M7238" s="22" t="s">
        <v>37308</v>
      </c>
    </row>
    <row r="7239" spans="1:13" x14ac:dyDescent="0.75">
      <c r="A7239" t="s">
        <v>13558</v>
      </c>
      <c r="B7239" t="s">
        <v>6671</v>
      </c>
      <c r="C7239" t="s">
        <v>6093</v>
      </c>
      <c r="D7239" t="s">
        <v>6672</v>
      </c>
      <c r="E7239" t="s">
        <v>13559</v>
      </c>
      <c r="F7239">
        <v>11</v>
      </c>
      <c r="G7239">
        <v>1951174</v>
      </c>
      <c r="H7239" t="s">
        <v>13560</v>
      </c>
      <c r="J7239" s="54" t="s">
        <v>6052</v>
      </c>
      <c r="K7239" s="54">
        <v>0</v>
      </c>
      <c r="L7239" s="22" t="s">
        <v>104</v>
      </c>
      <c r="M7239" s="22" t="s">
        <v>37308</v>
      </c>
    </row>
    <row r="7240" spans="1:13" x14ac:dyDescent="0.75">
      <c r="A7240" t="s">
        <v>13522</v>
      </c>
      <c r="B7240" t="s">
        <v>6671</v>
      </c>
      <c r="C7240" t="s">
        <v>6093</v>
      </c>
      <c r="D7240" t="s">
        <v>6672</v>
      </c>
      <c r="E7240" t="s">
        <v>13523</v>
      </c>
      <c r="F7240">
        <v>18</v>
      </c>
      <c r="G7240">
        <v>1951470</v>
      </c>
      <c r="H7240" t="s">
        <v>13524</v>
      </c>
      <c r="J7240" s="54" t="s">
        <v>6052</v>
      </c>
      <c r="K7240" s="54">
        <v>0</v>
      </c>
      <c r="L7240" s="22" t="s">
        <v>104</v>
      </c>
      <c r="M7240" s="22" t="s">
        <v>37308</v>
      </c>
    </row>
    <row r="7241" spans="1:13" x14ac:dyDescent="0.75">
      <c r="A7241" t="s">
        <v>13555</v>
      </c>
      <c r="B7241" t="s">
        <v>6671</v>
      </c>
      <c r="C7241" t="s">
        <v>6093</v>
      </c>
      <c r="D7241" t="s">
        <v>6672</v>
      </c>
      <c r="E7241" t="s">
        <v>13556</v>
      </c>
      <c r="F7241">
        <v>10</v>
      </c>
      <c r="G7241">
        <v>2016848</v>
      </c>
      <c r="H7241" t="s">
        <v>13557</v>
      </c>
      <c r="J7241" s="54" t="s">
        <v>6052</v>
      </c>
      <c r="K7241" s="54">
        <v>0</v>
      </c>
      <c r="L7241" s="22" t="s">
        <v>104</v>
      </c>
      <c r="M7241" s="22" t="s">
        <v>37308</v>
      </c>
    </row>
    <row r="7242" spans="1:13" x14ac:dyDescent="0.75">
      <c r="A7242" t="s">
        <v>13546</v>
      </c>
      <c r="B7242" t="s">
        <v>6671</v>
      </c>
      <c r="C7242" t="s">
        <v>6093</v>
      </c>
      <c r="D7242" t="s">
        <v>6672</v>
      </c>
      <c r="E7242" t="s">
        <v>13547</v>
      </c>
      <c r="F7242">
        <v>9</v>
      </c>
      <c r="G7242">
        <v>1946464</v>
      </c>
      <c r="H7242" t="s">
        <v>13548</v>
      </c>
      <c r="J7242" s="54" t="s">
        <v>6052</v>
      </c>
      <c r="K7242" s="54">
        <v>0</v>
      </c>
      <c r="L7242" s="22" t="s">
        <v>104</v>
      </c>
      <c r="M7242" s="22" t="s">
        <v>37308</v>
      </c>
    </row>
    <row r="7243" spans="1:13" x14ac:dyDescent="0.75">
      <c r="A7243" t="s">
        <v>13543</v>
      </c>
      <c r="B7243" t="s">
        <v>6671</v>
      </c>
      <c r="C7243" t="s">
        <v>6093</v>
      </c>
      <c r="D7243" t="s">
        <v>6672</v>
      </c>
      <c r="E7243" t="s">
        <v>13544</v>
      </c>
      <c r="F7243">
        <v>12</v>
      </c>
      <c r="G7243">
        <v>1967066</v>
      </c>
      <c r="H7243" t="s">
        <v>13545</v>
      </c>
      <c r="J7243" s="54" t="s">
        <v>6052</v>
      </c>
      <c r="K7243" s="54">
        <v>0</v>
      </c>
      <c r="L7243" s="22" t="s">
        <v>104</v>
      </c>
      <c r="M7243" s="22" t="s">
        <v>37308</v>
      </c>
    </row>
    <row r="7244" spans="1:13" x14ac:dyDescent="0.75">
      <c r="A7244" t="s">
        <v>13516</v>
      </c>
      <c r="B7244" t="s">
        <v>6671</v>
      </c>
      <c r="C7244" t="s">
        <v>6093</v>
      </c>
      <c r="D7244" t="s">
        <v>6672</v>
      </c>
      <c r="E7244" t="s">
        <v>13517</v>
      </c>
      <c r="F7244">
        <v>25</v>
      </c>
      <c r="G7244">
        <v>2032500</v>
      </c>
      <c r="H7244" t="s">
        <v>13518</v>
      </c>
      <c r="J7244" s="54" t="s">
        <v>6052</v>
      </c>
      <c r="K7244" s="54">
        <v>0</v>
      </c>
      <c r="L7244" s="22" t="s">
        <v>104</v>
      </c>
      <c r="M7244" s="22" t="s">
        <v>37308</v>
      </c>
    </row>
    <row r="7245" spans="1:13" x14ac:dyDescent="0.75">
      <c r="A7245" t="s">
        <v>10801</v>
      </c>
      <c r="B7245" t="s">
        <v>6671</v>
      </c>
      <c r="C7245" t="s">
        <v>6093</v>
      </c>
      <c r="D7245" t="s">
        <v>6672</v>
      </c>
      <c r="E7245" t="s">
        <v>10802</v>
      </c>
      <c r="F7245">
        <v>10</v>
      </c>
      <c r="G7245">
        <v>1844175</v>
      </c>
      <c r="H7245" t="s">
        <v>10803</v>
      </c>
      <c r="J7245" s="54" t="s">
        <v>6052</v>
      </c>
      <c r="K7245" s="54">
        <v>0</v>
      </c>
      <c r="L7245" s="22" t="s">
        <v>104</v>
      </c>
      <c r="M7245" s="22" t="s">
        <v>37308</v>
      </c>
    </row>
    <row r="7246" spans="1:13" x14ac:dyDescent="0.75">
      <c r="A7246" t="s">
        <v>13552</v>
      </c>
      <c r="B7246" t="s">
        <v>6671</v>
      </c>
      <c r="C7246" t="s">
        <v>6093</v>
      </c>
      <c r="D7246" t="s">
        <v>6672</v>
      </c>
      <c r="E7246" t="s">
        <v>13553</v>
      </c>
      <c r="F7246">
        <v>11</v>
      </c>
      <c r="G7246">
        <v>2004683</v>
      </c>
      <c r="H7246" t="s">
        <v>13554</v>
      </c>
      <c r="J7246" s="54" t="s">
        <v>6052</v>
      </c>
      <c r="K7246" s="54">
        <v>0</v>
      </c>
      <c r="L7246" s="22" t="s">
        <v>104</v>
      </c>
      <c r="M7246" s="22" t="s">
        <v>37308</v>
      </c>
    </row>
    <row r="7247" spans="1:13" x14ac:dyDescent="0.75">
      <c r="A7247" t="s">
        <v>13549</v>
      </c>
      <c r="B7247" t="s">
        <v>6671</v>
      </c>
      <c r="C7247" t="s">
        <v>6093</v>
      </c>
      <c r="D7247" t="s">
        <v>6672</v>
      </c>
      <c r="E7247" t="s">
        <v>13550</v>
      </c>
      <c r="F7247">
        <v>7</v>
      </c>
      <c r="G7247">
        <v>1936849</v>
      </c>
      <c r="H7247" t="s">
        <v>13551</v>
      </c>
      <c r="J7247" s="54" t="s">
        <v>6052</v>
      </c>
      <c r="K7247" s="54">
        <v>0</v>
      </c>
      <c r="L7247" s="22" t="s">
        <v>104</v>
      </c>
      <c r="M7247" s="22" t="s">
        <v>37308</v>
      </c>
    </row>
    <row r="7248" spans="1:13" x14ac:dyDescent="0.75">
      <c r="A7248" t="s">
        <v>13540</v>
      </c>
      <c r="B7248" t="s">
        <v>6671</v>
      </c>
      <c r="C7248" t="s">
        <v>6093</v>
      </c>
      <c r="D7248" t="s">
        <v>6672</v>
      </c>
      <c r="E7248" t="s">
        <v>13541</v>
      </c>
      <c r="F7248">
        <v>10</v>
      </c>
      <c r="G7248">
        <v>1921370</v>
      </c>
      <c r="H7248" t="s">
        <v>13542</v>
      </c>
      <c r="J7248" s="54" t="s">
        <v>6052</v>
      </c>
      <c r="K7248" s="54">
        <v>0</v>
      </c>
      <c r="L7248" s="22" t="s">
        <v>104</v>
      </c>
      <c r="M7248" s="22" t="s">
        <v>37308</v>
      </c>
    </row>
    <row r="7249" spans="1:13" x14ac:dyDescent="0.75">
      <c r="A7249" t="s">
        <v>13537</v>
      </c>
      <c r="B7249" t="s">
        <v>6671</v>
      </c>
      <c r="C7249" t="s">
        <v>6093</v>
      </c>
      <c r="D7249" t="s">
        <v>6672</v>
      </c>
      <c r="E7249" t="s">
        <v>13538</v>
      </c>
      <c r="F7249">
        <v>13</v>
      </c>
      <c r="G7249">
        <v>1988397</v>
      </c>
      <c r="H7249" t="s">
        <v>13539</v>
      </c>
      <c r="J7249" s="54" t="s">
        <v>6052</v>
      </c>
      <c r="K7249" s="54">
        <v>0</v>
      </c>
      <c r="L7249" s="22" t="s">
        <v>104</v>
      </c>
      <c r="M7249" s="22" t="s">
        <v>37308</v>
      </c>
    </row>
    <row r="7250" spans="1:13" x14ac:dyDescent="0.75">
      <c r="A7250" t="s">
        <v>13531</v>
      </c>
      <c r="B7250" t="s">
        <v>6671</v>
      </c>
      <c r="C7250" t="s">
        <v>6093</v>
      </c>
      <c r="D7250" t="s">
        <v>6672</v>
      </c>
      <c r="E7250" t="s">
        <v>13532</v>
      </c>
      <c r="F7250">
        <v>18</v>
      </c>
      <c r="G7250">
        <v>1990764</v>
      </c>
      <c r="H7250" t="s">
        <v>13533</v>
      </c>
      <c r="J7250" s="54" t="s">
        <v>6052</v>
      </c>
      <c r="K7250" s="54">
        <v>0</v>
      </c>
      <c r="L7250" s="22" t="s">
        <v>104</v>
      </c>
      <c r="M7250" s="22" t="s">
        <v>37308</v>
      </c>
    </row>
    <row r="7251" spans="1:13" x14ac:dyDescent="0.75">
      <c r="A7251" t="s">
        <v>13314</v>
      </c>
      <c r="B7251" t="s">
        <v>6671</v>
      </c>
      <c r="C7251" t="s">
        <v>6093</v>
      </c>
      <c r="D7251" t="s">
        <v>6672</v>
      </c>
      <c r="E7251" t="s">
        <v>13315</v>
      </c>
      <c r="F7251">
        <v>1</v>
      </c>
      <c r="G7251">
        <v>1966910</v>
      </c>
      <c r="H7251" t="s">
        <v>13316</v>
      </c>
      <c r="J7251" s="54" t="s">
        <v>6052</v>
      </c>
      <c r="K7251" s="54">
        <v>0</v>
      </c>
      <c r="L7251" s="22" t="s">
        <v>104</v>
      </c>
      <c r="M7251" s="22" t="s">
        <v>37308</v>
      </c>
    </row>
    <row r="7252" spans="1:13" x14ac:dyDescent="0.75">
      <c r="A7252" t="s">
        <v>23102</v>
      </c>
      <c r="B7252" t="s">
        <v>6671</v>
      </c>
      <c r="C7252" t="s">
        <v>6093</v>
      </c>
      <c r="D7252" t="s">
        <v>6672</v>
      </c>
      <c r="E7252" t="s">
        <v>23103</v>
      </c>
      <c r="F7252">
        <v>16</v>
      </c>
      <c r="G7252">
        <v>1990034</v>
      </c>
      <c r="H7252" t="s">
        <v>23104</v>
      </c>
      <c r="J7252" s="54" t="s">
        <v>6052</v>
      </c>
      <c r="K7252" s="54">
        <v>0</v>
      </c>
      <c r="L7252" s="22" t="s">
        <v>104</v>
      </c>
      <c r="M7252" s="22" t="s">
        <v>37308</v>
      </c>
    </row>
    <row r="7253" spans="1:13" x14ac:dyDescent="0.75">
      <c r="A7253" t="s">
        <v>23030</v>
      </c>
      <c r="B7253" t="s">
        <v>6671</v>
      </c>
      <c r="C7253" t="s">
        <v>6093</v>
      </c>
      <c r="D7253" t="s">
        <v>6672</v>
      </c>
      <c r="E7253" t="s">
        <v>23031</v>
      </c>
      <c r="F7253">
        <v>13</v>
      </c>
      <c r="G7253">
        <v>2001251</v>
      </c>
      <c r="H7253" t="s">
        <v>23032</v>
      </c>
      <c r="J7253" s="54" t="s">
        <v>6052</v>
      </c>
      <c r="K7253" s="54">
        <v>0</v>
      </c>
      <c r="L7253" s="22" t="s">
        <v>104</v>
      </c>
      <c r="M7253" s="22" t="s">
        <v>37308</v>
      </c>
    </row>
    <row r="7254" spans="1:13" x14ac:dyDescent="0.75">
      <c r="A7254" t="s">
        <v>23021</v>
      </c>
      <c r="B7254" t="s">
        <v>6671</v>
      </c>
      <c r="C7254" t="s">
        <v>6093</v>
      </c>
      <c r="D7254" t="s">
        <v>6672</v>
      </c>
      <c r="E7254" t="s">
        <v>23022</v>
      </c>
      <c r="F7254">
        <v>22</v>
      </c>
      <c r="G7254">
        <v>2026813</v>
      </c>
      <c r="H7254" t="s">
        <v>23023</v>
      </c>
      <c r="J7254" s="54" t="s">
        <v>6052</v>
      </c>
      <c r="K7254" s="54">
        <v>0</v>
      </c>
      <c r="L7254" s="22" t="s">
        <v>104</v>
      </c>
      <c r="M7254" s="22" t="s">
        <v>37308</v>
      </c>
    </row>
    <row r="7255" spans="1:13" x14ac:dyDescent="0.75">
      <c r="A7255" t="s">
        <v>13129</v>
      </c>
      <c r="B7255" t="s">
        <v>6671</v>
      </c>
      <c r="C7255" t="s">
        <v>6093</v>
      </c>
      <c r="D7255" t="s">
        <v>6672</v>
      </c>
      <c r="E7255" t="s">
        <v>13130</v>
      </c>
      <c r="F7255">
        <v>13</v>
      </c>
      <c r="G7255">
        <v>1934082</v>
      </c>
      <c r="H7255" t="s">
        <v>13131</v>
      </c>
      <c r="J7255" s="54" t="s">
        <v>6052</v>
      </c>
      <c r="K7255" s="54">
        <v>0</v>
      </c>
      <c r="L7255" s="22" t="s">
        <v>104</v>
      </c>
      <c r="M7255" s="22" t="s">
        <v>37308</v>
      </c>
    </row>
    <row r="7256" spans="1:13" x14ac:dyDescent="0.75">
      <c r="A7256" t="s">
        <v>20109</v>
      </c>
      <c r="B7256" t="s">
        <v>6671</v>
      </c>
      <c r="C7256" t="s">
        <v>6093</v>
      </c>
      <c r="D7256" t="s">
        <v>6672</v>
      </c>
      <c r="E7256" t="s">
        <v>20110</v>
      </c>
      <c r="F7256">
        <v>1</v>
      </c>
      <c r="G7256">
        <v>1969104</v>
      </c>
      <c r="H7256" t="s">
        <v>20111</v>
      </c>
      <c r="J7256" s="54" t="s">
        <v>6052</v>
      </c>
      <c r="K7256" s="54">
        <v>0</v>
      </c>
      <c r="L7256" s="22" t="s">
        <v>104</v>
      </c>
      <c r="M7256" s="22" t="s">
        <v>37308</v>
      </c>
    </row>
    <row r="7257" spans="1:13" x14ac:dyDescent="0.75">
      <c r="A7257" t="s">
        <v>20315</v>
      </c>
      <c r="B7257" t="s">
        <v>6671</v>
      </c>
      <c r="C7257" t="s">
        <v>6093</v>
      </c>
      <c r="D7257" t="s">
        <v>6672</v>
      </c>
      <c r="E7257" t="s">
        <v>20110</v>
      </c>
      <c r="F7257">
        <v>2</v>
      </c>
      <c r="G7257">
        <v>1985912</v>
      </c>
      <c r="H7257" t="s">
        <v>20316</v>
      </c>
      <c r="J7257" s="54" t="s">
        <v>6052</v>
      </c>
      <c r="K7257" s="54">
        <v>0</v>
      </c>
      <c r="L7257" s="22" t="s">
        <v>104</v>
      </c>
      <c r="M7257" s="22" t="s">
        <v>37308</v>
      </c>
    </row>
    <row r="7258" spans="1:13" x14ac:dyDescent="0.75">
      <c r="A7258" t="s">
        <v>10425</v>
      </c>
      <c r="B7258" t="s">
        <v>6671</v>
      </c>
      <c r="C7258" t="s">
        <v>6093</v>
      </c>
      <c r="D7258" t="s">
        <v>6672</v>
      </c>
      <c r="E7258" t="s">
        <v>7207</v>
      </c>
      <c r="F7258">
        <v>11</v>
      </c>
      <c r="G7258">
        <v>1873971</v>
      </c>
      <c r="H7258" t="s">
        <v>10426</v>
      </c>
      <c r="J7258" s="54" t="s">
        <v>6052</v>
      </c>
      <c r="K7258" s="54">
        <v>0</v>
      </c>
      <c r="L7258" s="22" t="s">
        <v>104</v>
      </c>
      <c r="M7258" s="22" t="s">
        <v>37308</v>
      </c>
    </row>
    <row r="7259" spans="1:13" x14ac:dyDescent="0.75">
      <c r="A7259" t="s">
        <v>10809</v>
      </c>
      <c r="B7259" t="s">
        <v>6671</v>
      </c>
      <c r="C7259" t="s">
        <v>6093</v>
      </c>
      <c r="D7259" t="s">
        <v>6672</v>
      </c>
      <c r="E7259" t="s">
        <v>7207</v>
      </c>
      <c r="F7259">
        <v>5</v>
      </c>
      <c r="G7259">
        <v>1859497</v>
      </c>
      <c r="H7259" t="s">
        <v>10810</v>
      </c>
      <c r="J7259" s="54" t="s">
        <v>6052</v>
      </c>
      <c r="K7259" s="54">
        <v>0</v>
      </c>
      <c r="L7259" s="22" t="s">
        <v>104</v>
      </c>
      <c r="M7259" s="22" t="s">
        <v>37308</v>
      </c>
    </row>
    <row r="7260" spans="1:13" x14ac:dyDescent="0.75">
      <c r="A7260" t="s">
        <v>21569</v>
      </c>
      <c r="B7260" t="s">
        <v>6671</v>
      </c>
      <c r="C7260" t="s">
        <v>6093</v>
      </c>
      <c r="D7260" t="s">
        <v>6672</v>
      </c>
      <c r="E7260" t="s">
        <v>7207</v>
      </c>
      <c r="F7260">
        <v>15</v>
      </c>
      <c r="G7260">
        <v>1870517</v>
      </c>
      <c r="H7260" t="s">
        <v>21570</v>
      </c>
      <c r="J7260" s="54" t="s">
        <v>6052</v>
      </c>
      <c r="K7260" s="54">
        <v>0</v>
      </c>
      <c r="L7260" s="22" t="s">
        <v>104</v>
      </c>
      <c r="M7260" s="22" t="s">
        <v>37308</v>
      </c>
    </row>
    <row r="7261" spans="1:13" x14ac:dyDescent="0.75">
      <c r="A7261" t="s">
        <v>10445</v>
      </c>
      <c r="B7261" t="s">
        <v>6671</v>
      </c>
      <c r="C7261" t="s">
        <v>6093</v>
      </c>
      <c r="D7261" t="s">
        <v>6672</v>
      </c>
      <c r="E7261" t="s">
        <v>10446</v>
      </c>
      <c r="F7261">
        <v>7</v>
      </c>
      <c r="G7261">
        <v>2043121</v>
      </c>
      <c r="H7261" t="s">
        <v>10447</v>
      </c>
      <c r="J7261" s="54" t="s">
        <v>6052</v>
      </c>
      <c r="K7261" s="54">
        <v>0</v>
      </c>
      <c r="L7261" s="22" t="s">
        <v>104</v>
      </c>
      <c r="M7261" s="22" t="s">
        <v>37308</v>
      </c>
    </row>
    <row r="7262" spans="1:13" x14ac:dyDescent="0.75">
      <c r="A7262" t="s">
        <v>18788</v>
      </c>
      <c r="B7262" t="s">
        <v>6671</v>
      </c>
      <c r="C7262" t="s">
        <v>6093</v>
      </c>
      <c r="D7262" t="s">
        <v>6672</v>
      </c>
      <c r="E7262" t="s">
        <v>18789</v>
      </c>
      <c r="F7262">
        <v>1</v>
      </c>
      <c r="G7262">
        <v>2113832</v>
      </c>
      <c r="H7262" t="s">
        <v>18790</v>
      </c>
      <c r="J7262" s="54" t="s">
        <v>6052</v>
      </c>
      <c r="K7262" s="54">
        <v>0</v>
      </c>
      <c r="L7262" s="22" t="s">
        <v>104</v>
      </c>
      <c r="M7262" s="22" t="s">
        <v>37308</v>
      </c>
    </row>
    <row r="7263" spans="1:13" x14ac:dyDescent="0.75">
      <c r="A7263" t="s">
        <v>18797</v>
      </c>
      <c r="B7263" t="s">
        <v>6671</v>
      </c>
      <c r="C7263" t="s">
        <v>6093</v>
      </c>
      <c r="D7263" t="s">
        <v>6672</v>
      </c>
      <c r="E7263" t="s">
        <v>18798</v>
      </c>
      <c r="F7263">
        <v>2</v>
      </c>
      <c r="G7263">
        <v>2107069</v>
      </c>
      <c r="H7263" t="s">
        <v>18799</v>
      </c>
      <c r="J7263" s="54" t="s">
        <v>6052</v>
      </c>
      <c r="K7263" s="54">
        <v>0</v>
      </c>
      <c r="L7263" s="22" t="s">
        <v>104</v>
      </c>
      <c r="M7263" s="22" t="s">
        <v>37308</v>
      </c>
    </row>
    <row r="7264" spans="1:13" x14ac:dyDescent="0.75">
      <c r="A7264" t="s">
        <v>14329</v>
      </c>
      <c r="B7264" t="s">
        <v>6671</v>
      </c>
      <c r="C7264" t="s">
        <v>6093</v>
      </c>
      <c r="D7264" t="s">
        <v>6672</v>
      </c>
      <c r="E7264" t="s">
        <v>14330</v>
      </c>
      <c r="F7264">
        <v>14</v>
      </c>
      <c r="G7264">
        <v>1999792</v>
      </c>
      <c r="H7264" t="s">
        <v>14331</v>
      </c>
      <c r="J7264" s="54" t="s">
        <v>6052</v>
      </c>
      <c r="K7264" s="54">
        <v>0</v>
      </c>
      <c r="L7264" s="22" t="s">
        <v>104</v>
      </c>
      <c r="M7264" s="22" t="s">
        <v>37308</v>
      </c>
    </row>
    <row r="7265" spans="1:13" x14ac:dyDescent="0.75">
      <c r="A7265" t="s">
        <v>8510</v>
      </c>
      <c r="B7265" t="s">
        <v>6671</v>
      </c>
      <c r="C7265" t="s">
        <v>6093</v>
      </c>
      <c r="D7265" t="s">
        <v>6672</v>
      </c>
      <c r="E7265" t="s">
        <v>8511</v>
      </c>
      <c r="F7265">
        <v>1</v>
      </c>
      <c r="G7265">
        <v>1958690</v>
      </c>
      <c r="H7265" t="s">
        <v>8512</v>
      </c>
      <c r="J7265" s="54" t="s">
        <v>6052</v>
      </c>
      <c r="K7265" s="54">
        <v>0</v>
      </c>
      <c r="L7265" s="22" t="s">
        <v>104</v>
      </c>
      <c r="M7265" s="22" t="s">
        <v>37308</v>
      </c>
    </row>
    <row r="7266" spans="1:13" x14ac:dyDescent="0.75">
      <c r="A7266" t="s">
        <v>10389</v>
      </c>
      <c r="B7266" t="s">
        <v>6671</v>
      </c>
      <c r="C7266" t="s">
        <v>6093</v>
      </c>
      <c r="D7266" t="s">
        <v>6672</v>
      </c>
      <c r="E7266" t="s">
        <v>10390</v>
      </c>
      <c r="F7266">
        <v>1</v>
      </c>
      <c r="G7266">
        <v>2041142</v>
      </c>
      <c r="H7266" t="s">
        <v>10391</v>
      </c>
      <c r="J7266" s="54" t="s">
        <v>6052</v>
      </c>
      <c r="K7266" s="54">
        <v>0</v>
      </c>
      <c r="L7266" s="22" t="s">
        <v>104</v>
      </c>
      <c r="M7266" s="22" t="s">
        <v>37308</v>
      </c>
    </row>
    <row r="7267" spans="1:13" x14ac:dyDescent="0.75">
      <c r="A7267" t="s">
        <v>12375</v>
      </c>
      <c r="B7267" t="s">
        <v>6671</v>
      </c>
      <c r="C7267" t="s">
        <v>6093</v>
      </c>
      <c r="D7267" t="s">
        <v>6672</v>
      </c>
      <c r="E7267" t="s">
        <v>12376</v>
      </c>
      <c r="F7267">
        <v>7</v>
      </c>
      <c r="G7267">
        <v>2013158</v>
      </c>
      <c r="H7267" t="s">
        <v>12377</v>
      </c>
      <c r="J7267" s="54" t="s">
        <v>6052</v>
      </c>
      <c r="K7267" s="54">
        <v>0</v>
      </c>
      <c r="L7267" s="22" t="s">
        <v>104</v>
      </c>
      <c r="M7267" s="22" t="s">
        <v>37308</v>
      </c>
    </row>
    <row r="7268" spans="1:13" x14ac:dyDescent="0.75">
      <c r="A7268" t="s">
        <v>13534</v>
      </c>
      <c r="B7268" t="s">
        <v>6671</v>
      </c>
      <c r="C7268" t="s">
        <v>6093</v>
      </c>
      <c r="D7268" t="s">
        <v>6672</v>
      </c>
      <c r="E7268" t="s">
        <v>13535</v>
      </c>
      <c r="F7268">
        <v>26</v>
      </c>
      <c r="G7268">
        <v>1999772</v>
      </c>
      <c r="H7268" t="s">
        <v>13536</v>
      </c>
      <c r="J7268" s="54" t="s">
        <v>6052</v>
      </c>
      <c r="K7268" s="54">
        <v>0</v>
      </c>
      <c r="L7268" s="22" t="s">
        <v>104</v>
      </c>
      <c r="M7268" s="22" t="s">
        <v>37308</v>
      </c>
    </row>
    <row r="7269" spans="1:13" x14ac:dyDescent="0.75">
      <c r="A7269" t="s">
        <v>13490</v>
      </c>
      <c r="B7269" t="s">
        <v>6639</v>
      </c>
      <c r="C7269" t="s">
        <v>6093</v>
      </c>
      <c r="D7269" t="s">
        <v>6640</v>
      </c>
      <c r="E7269">
        <v>859</v>
      </c>
      <c r="F7269">
        <v>14</v>
      </c>
      <c r="G7269">
        <v>2036380</v>
      </c>
      <c r="H7269" t="s">
        <v>13491</v>
      </c>
      <c r="J7269" s="54" t="s">
        <v>6052</v>
      </c>
      <c r="K7269" s="54">
        <v>0</v>
      </c>
      <c r="L7269" s="22" t="s">
        <v>104</v>
      </c>
      <c r="M7269" s="22" t="s">
        <v>37312</v>
      </c>
    </row>
    <row r="7270" spans="1:13" x14ac:dyDescent="0.75">
      <c r="A7270" t="s">
        <v>9243</v>
      </c>
      <c r="B7270" t="s">
        <v>6639</v>
      </c>
      <c r="C7270" t="s">
        <v>6093</v>
      </c>
      <c r="D7270" t="s">
        <v>6640</v>
      </c>
      <c r="E7270">
        <v>1366</v>
      </c>
      <c r="F7270">
        <v>14</v>
      </c>
      <c r="G7270">
        <v>1871850</v>
      </c>
      <c r="H7270" t="s">
        <v>9244</v>
      </c>
      <c r="J7270" s="54" t="s">
        <v>6052</v>
      </c>
      <c r="K7270" s="54">
        <v>0</v>
      </c>
      <c r="L7270" s="22" t="s">
        <v>104</v>
      </c>
      <c r="M7270" s="22" t="s">
        <v>37312</v>
      </c>
    </row>
    <row r="7271" spans="1:13" x14ac:dyDescent="0.75">
      <c r="A7271" t="s">
        <v>9620</v>
      </c>
      <c r="B7271" t="s">
        <v>6639</v>
      </c>
      <c r="C7271" t="s">
        <v>6093</v>
      </c>
      <c r="D7271" t="s">
        <v>6640</v>
      </c>
      <c r="E7271">
        <v>2425</v>
      </c>
      <c r="F7271">
        <v>15</v>
      </c>
      <c r="G7271">
        <v>1871835</v>
      </c>
      <c r="H7271" t="s">
        <v>9621</v>
      </c>
      <c r="J7271" s="54" t="s">
        <v>6052</v>
      </c>
      <c r="K7271" s="54">
        <v>0</v>
      </c>
      <c r="L7271" s="22" t="s">
        <v>104</v>
      </c>
      <c r="M7271" s="22" t="s">
        <v>37312</v>
      </c>
    </row>
    <row r="7272" spans="1:13" x14ac:dyDescent="0.75">
      <c r="A7272" t="s">
        <v>9622</v>
      </c>
      <c r="B7272" t="s">
        <v>6639</v>
      </c>
      <c r="C7272" t="s">
        <v>6093</v>
      </c>
      <c r="D7272" t="s">
        <v>6640</v>
      </c>
      <c r="E7272">
        <v>2426</v>
      </c>
      <c r="F7272">
        <v>25</v>
      </c>
      <c r="G7272">
        <v>1882877</v>
      </c>
      <c r="H7272" t="s">
        <v>9623</v>
      </c>
      <c r="J7272" s="54" t="s">
        <v>6052</v>
      </c>
      <c r="K7272" s="54">
        <v>0</v>
      </c>
      <c r="L7272" s="22" t="s">
        <v>104</v>
      </c>
      <c r="M7272" s="22" t="s">
        <v>37312</v>
      </c>
    </row>
    <row r="7273" spans="1:13" x14ac:dyDescent="0.75">
      <c r="A7273" t="s">
        <v>24423</v>
      </c>
      <c r="B7273" t="s">
        <v>6639</v>
      </c>
      <c r="C7273" t="s">
        <v>6093</v>
      </c>
      <c r="D7273" t="s">
        <v>6640</v>
      </c>
      <c r="E7273">
        <v>100969208172</v>
      </c>
      <c r="F7273">
        <v>11</v>
      </c>
      <c r="G7273">
        <v>1918213</v>
      </c>
      <c r="H7273" t="s">
        <v>24424</v>
      </c>
      <c r="J7273" s="54" t="s">
        <v>6052</v>
      </c>
      <c r="K7273" s="54">
        <v>0</v>
      </c>
      <c r="L7273" s="22" t="s">
        <v>104</v>
      </c>
      <c r="M7273" s="22" t="s">
        <v>37312</v>
      </c>
    </row>
    <row r="7274" spans="1:13" x14ac:dyDescent="0.75">
      <c r="A7274" t="s">
        <v>19835</v>
      </c>
      <c r="B7274" t="s">
        <v>6639</v>
      </c>
      <c r="C7274" t="s">
        <v>6093</v>
      </c>
      <c r="D7274" t="s">
        <v>6640</v>
      </c>
      <c r="E7274" t="s">
        <v>19836</v>
      </c>
      <c r="F7274">
        <v>13</v>
      </c>
      <c r="G7274">
        <v>1909643</v>
      </c>
      <c r="H7274" t="s">
        <v>19837</v>
      </c>
      <c r="J7274" s="54" t="s">
        <v>6052</v>
      </c>
      <c r="K7274" s="54">
        <v>0</v>
      </c>
      <c r="L7274" s="22" t="s">
        <v>104</v>
      </c>
      <c r="M7274" s="22" t="s">
        <v>37312</v>
      </c>
    </row>
    <row r="7275" spans="1:13" x14ac:dyDescent="0.75">
      <c r="A7275" t="s">
        <v>6638</v>
      </c>
      <c r="B7275" t="s">
        <v>6639</v>
      </c>
      <c r="C7275" t="s">
        <v>6093</v>
      </c>
      <c r="D7275" t="s">
        <v>6640</v>
      </c>
      <c r="E7275" t="s">
        <v>6641</v>
      </c>
      <c r="F7275">
        <v>20</v>
      </c>
      <c r="G7275">
        <v>1976523</v>
      </c>
      <c r="H7275" t="s">
        <v>6642</v>
      </c>
      <c r="J7275" s="54" t="s">
        <v>6052</v>
      </c>
      <c r="K7275" s="54">
        <v>0</v>
      </c>
      <c r="L7275" s="22" t="s">
        <v>104</v>
      </c>
      <c r="M7275" s="22" t="s">
        <v>37312</v>
      </c>
    </row>
    <row r="7276" spans="1:13" x14ac:dyDescent="0.75">
      <c r="A7276" t="s">
        <v>11595</v>
      </c>
      <c r="B7276" t="s">
        <v>6639</v>
      </c>
      <c r="C7276" t="s">
        <v>6093</v>
      </c>
      <c r="D7276" t="s">
        <v>6640</v>
      </c>
      <c r="E7276" t="s">
        <v>11596</v>
      </c>
      <c r="F7276">
        <v>24</v>
      </c>
      <c r="G7276">
        <v>1928943</v>
      </c>
      <c r="H7276" t="s">
        <v>11597</v>
      </c>
      <c r="J7276" s="54" t="s">
        <v>6052</v>
      </c>
      <c r="K7276" s="54">
        <v>0</v>
      </c>
      <c r="L7276" s="22" t="s">
        <v>104</v>
      </c>
      <c r="M7276" s="22" t="s">
        <v>37312</v>
      </c>
    </row>
    <row r="7277" spans="1:13" x14ac:dyDescent="0.75">
      <c r="A7277" t="s">
        <v>24414</v>
      </c>
      <c r="B7277" t="s">
        <v>6639</v>
      </c>
      <c r="C7277" t="s">
        <v>6093</v>
      </c>
      <c r="D7277" t="s">
        <v>6640</v>
      </c>
      <c r="E7277" t="s">
        <v>24415</v>
      </c>
      <c r="F7277">
        <v>24</v>
      </c>
      <c r="G7277">
        <v>1905304</v>
      </c>
      <c r="H7277" t="s">
        <v>24416</v>
      </c>
      <c r="J7277" s="54" t="s">
        <v>6052</v>
      </c>
      <c r="K7277" s="54">
        <v>0</v>
      </c>
      <c r="L7277" s="22" t="s">
        <v>104</v>
      </c>
      <c r="M7277" s="22" t="s">
        <v>37312</v>
      </c>
    </row>
    <row r="7278" spans="1:13" x14ac:dyDescent="0.75">
      <c r="A7278" t="s">
        <v>24417</v>
      </c>
      <c r="B7278" t="s">
        <v>6639</v>
      </c>
      <c r="C7278" t="s">
        <v>6093</v>
      </c>
      <c r="D7278" t="s">
        <v>6640</v>
      </c>
      <c r="E7278" t="s">
        <v>24418</v>
      </c>
      <c r="F7278">
        <v>14</v>
      </c>
      <c r="G7278">
        <v>1867867</v>
      </c>
      <c r="H7278" t="s">
        <v>24419</v>
      </c>
      <c r="J7278" s="54" t="s">
        <v>6052</v>
      </c>
      <c r="K7278" s="54">
        <v>0</v>
      </c>
      <c r="L7278" s="22" t="s">
        <v>104</v>
      </c>
      <c r="M7278" s="22" t="s">
        <v>37312</v>
      </c>
    </row>
    <row r="7279" spans="1:13" x14ac:dyDescent="0.75">
      <c r="A7279" t="s">
        <v>24402</v>
      </c>
      <c r="B7279" t="s">
        <v>6639</v>
      </c>
      <c r="C7279" t="s">
        <v>6093</v>
      </c>
      <c r="D7279" t="s">
        <v>6640</v>
      </c>
      <c r="E7279" t="s">
        <v>24403</v>
      </c>
      <c r="F7279">
        <v>18</v>
      </c>
      <c r="G7279">
        <v>1946439</v>
      </c>
      <c r="H7279" t="s">
        <v>24404</v>
      </c>
      <c r="J7279" s="54" t="s">
        <v>6052</v>
      </c>
      <c r="K7279" s="54">
        <v>0</v>
      </c>
      <c r="L7279" s="22" t="s">
        <v>104</v>
      </c>
      <c r="M7279" s="22" t="s">
        <v>37312</v>
      </c>
    </row>
    <row r="7280" spans="1:13" x14ac:dyDescent="0.75">
      <c r="A7280" t="s">
        <v>24405</v>
      </c>
      <c r="B7280" t="s">
        <v>6639</v>
      </c>
      <c r="C7280" t="s">
        <v>6093</v>
      </c>
      <c r="D7280" t="s">
        <v>6640</v>
      </c>
      <c r="E7280" t="s">
        <v>24406</v>
      </c>
      <c r="F7280">
        <v>204</v>
      </c>
      <c r="G7280">
        <v>1934762</v>
      </c>
      <c r="H7280" t="s">
        <v>24407</v>
      </c>
      <c r="J7280" s="54" t="s">
        <v>6052</v>
      </c>
      <c r="K7280" s="54">
        <v>0</v>
      </c>
      <c r="L7280" s="22" t="s">
        <v>104</v>
      </c>
      <c r="M7280" s="22" t="s">
        <v>37312</v>
      </c>
    </row>
    <row r="7281" spans="1:13" x14ac:dyDescent="0.75">
      <c r="A7281" t="s">
        <v>24396</v>
      </c>
      <c r="B7281" t="s">
        <v>6639</v>
      </c>
      <c r="C7281" t="s">
        <v>6093</v>
      </c>
      <c r="D7281" t="s">
        <v>6640</v>
      </c>
      <c r="E7281" t="s">
        <v>24397</v>
      </c>
      <c r="F7281">
        <v>11</v>
      </c>
      <c r="G7281">
        <v>1911527</v>
      </c>
      <c r="H7281" t="s">
        <v>24398</v>
      </c>
      <c r="J7281" s="54" t="s">
        <v>6052</v>
      </c>
      <c r="K7281" s="54">
        <v>0</v>
      </c>
      <c r="L7281" s="22" t="s">
        <v>104</v>
      </c>
      <c r="M7281" s="22" t="s">
        <v>37312</v>
      </c>
    </row>
    <row r="7282" spans="1:13" x14ac:dyDescent="0.75">
      <c r="A7282" t="s">
        <v>24387</v>
      </c>
      <c r="B7282" t="s">
        <v>6639</v>
      </c>
      <c r="C7282" t="s">
        <v>6093</v>
      </c>
      <c r="D7282" t="s">
        <v>6640</v>
      </c>
      <c r="E7282" t="s">
        <v>24388</v>
      </c>
      <c r="F7282">
        <v>11</v>
      </c>
      <c r="G7282">
        <v>1955342</v>
      </c>
      <c r="H7282" t="s">
        <v>24389</v>
      </c>
      <c r="J7282" s="54" t="s">
        <v>6052</v>
      </c>
      <c r="K7282" s="54">
        <v>0</v>
      </c>
      <c r="L7282" s="22" t="s">
        <v>104</v>
      </c>
      <c r="M7282" s="22" t="s">
        <v>37312</v>
      </c>
    </row>
    <row r="7283" spans="1:13" x14ac:dyDescent="0.75">
      <c r="A7283" t="s">
        <v>13487</v>
      </c>
      <c r="B7283" t="s">
        <v>6639</v>
      </c>
      <c r="C7283" t="s">
        <v>6093</v>
      </c>
      <c r="D7283" t="s">
        <v>6640</v>
      </c>
      <c r="E7283" t="s">
        <v>13488</v>
      </c>
      <c r="F7283">
        <v>29</v>
      </c>
      <c r="G7283">
        <v>1964273</v>
      </c>
      <c r="H7283" t="s">
        <v>13489</v>
      </c>
      <c r="J7283" s="54" t="s">
        <v>6052</v>
      </c>
      <c r="K7283" s="54">
        <v>0</v>
      </c>
      <c r="L7283" s="22" t="s">
        <v>104</v>
      </c>
      <c r="M7283" s="22" t="s">
        <v>37312</v>
      </c>
    </row>
    <row r="7284" spans="1:13" x14ac:dyDescent="0.75">
      <c r="A7284" t="s">
        <v>9245</v>
      </c>
      <c r="B7284" t="s">
        <v>6639</v>
      </c>
      <c r="C7284" t="s">
        <v>6093</v>
      </c>
      <c r="D7284" t="s">
        <v>6640</v>
      </c>
      <c r="E7284" t="s">
        <v>9246</v>
      </c>
      <c r="F7284">
        <v>22</v>
      </c>
      <c r="G7284">
        <v>2184662</v>
      </c>
      <c r="H7284" t="s">
        <v>9247</v>
      </c>
      <c r="J7284" s="54" t="s">
        <v>6052</v>
      </c>
      <c r="K7284" s="54">
        <v>0</v>
      </c>
      <c r="L7284" s="22" t="s">
        <v>104</v>
      </c>
      <c r="M7284" s="22" t="s">
        <v>37312</v>
      </c>
    </row>
    <row r="7285" spans="1:13" x14ac:dyDescent="0.75">
      <c r="A7285" t="s">
        <v>10179</v>
      </c>
      <c r="B7285" t="s">
        <v>6639</v>
      </c>
      <c r="C7285" t="s">
        <v>6093</v>
      </c>
      <c r="D7285" t="s">
        <v>6640</v>
      </c>
      <c r="E7285" t="s">
        <v>10180</v>
      </c>
      <c r="F7285">
        <v>24</v>
      </c>
      <c r="G7285">
        <v>1859121</v>
      </c>
      <c r="H7285" t="s">
        <v>10181</v>
      </c>
      <c r="J7285" s="54" t="s">
        <v>6052</v>
      </c>
      <c r="K7285" s="54">
        <v>0</v>
      </c>
      <c r="L7285" s="22" t="s">
        <v>104</v>
      </c>
      <c r="M7285" s="22" t="s">
        <v>37312</v>
      </c>
    </row>
    <row r="7286" spans="1:13" x14ac:dyDescent="0.75">
      <c r="A7286" t="s">
        <v>10128</v>
      </c>
      <c r="B7286" t="s">
        <v>6639</v>
      </c>
      <c r="C7286" t="s">
        <v>6093</v>
      </c>
      <c r="D7286" t="s">
        <v>6640</v>
      </c>
      <c r="E7286" t="s">
        <v>10129</v>
      </c>
      <c r="F7286">
        <v>26</v>
      </c>
      <c r="G7286">
        <v>1937191</v>
      </c>
      <c r="H7286" t="s">
        <v>10130</v>
      </c>
      <c r="J7286" s="54" t="s">
        <v>6052</v>
      </c>
      <c r="K7286" s="54">
        <v>0</v>
      </c>
      <c r="L7286" s="22" t="s">
        <v>104</v>
      </c>
      <c r="M7286" s="22" t="s">
        <v>37312</v>
      </c>
    </row>
    <row r="7287" spans="1:13" x14ac:dyDescent="0.75">
      <c r="A7287" t="s">
        <v>8754</v>
      </c>
      <c r="B7287" t="s">
        <v>6639</v>
      </c>
      <c r="C7287" t="s">
        <v>6093</v>
      </c>
      <c r="D7287" t="s">
        <v>6640</v>
      </c>
      <c r="E7287" t="s">
        <v>8755</v>
      </c>
      <c r="F7287">
        <v>17</v>
      </c>
      <c r="G7287">
        <v>1858462</v>
      </c>
      <c r="H7287" t="s">
        <v>8756</v>
      </c>
      <c r="J7287" s="54" t="s">
        <v>6052</v>
      </c>
      <c r="K7287" s="54">
        <v>0</v>
      </c>
      <c r="L7287" s="22" t="s">
        <v>104</v>
      </c>
      <c r="M7287" s="22" t="s">
        <v>37312</v>
      </c>
    </row>
    <row r="7288" spans="1:13" x14ac:dyDescent="0.75">
      <c r="A7288" t="s">
        <v>10211</v>
      </c>
      <c r="B7288" t="s">
        <v>6639</v>
      </c>
      <c r="C7288" t="s">
        <v>6093</v>
      </c>
      <c r="D7288" t="s">
        <v>6640</v>
      </c>
      <c r="E7288" t="s">
        <v>10212</v>
      </c>
      <c r="F7288">
        <v>27</v>
      </c>
      <c r="G7288">
        <v>1921648</v>
      </c>
      <c r="H7288" t="s">
        <v>10213</v>
      </c>
      <c r="J7288" s="54" t="s">
        <v>6052</v>
      </c>
      <c r="K7288" s="54">
        <v>0</v>
      </c>
      <c r="L7288" s="22" t="s">
        <v>104</v>
      </c>
      <c r="M7288" s="22" t="s">
        <v>37312</v>
      </c>
    </row>
    <row r="7289" spans="1:13" x14ac:dyDescent="0.75">
      <c r="A7289" t="s">
        <v>20744</v>
      </c>
      <c r="B7289" t="s">
        <v>6639</v>
      </c>
      <c r="C7289" t="s">
        <v>6093</v>
      </c>
      <c r="D7289" t="s">
        <v>6640</v>
      </c>
      <c r="E7289" t="s">
        <v>20745</v>
      </c>
      <c r="F7289">
        <v>53</v>
      </c>
      <c r="G7289">
        <v>2013862</v>
      </c>
      <c r="H7289" t="s">
        <v>20746</v>
      </c>
      <c r="J7289" s="54" t="s">
        <v>6052</v>
      </c>
      <c r="K7289" s="54">
        <v>0</v>
      </c>
      <c r="L7289" s="22" t="s">
        <v>104</v>
      </c>
      <c r="M7289" s="22" t="s">
        <v>37312</v>
      </c>
    </row>
    <row r="7290" spans="1:13" x14ac:dyDescent="0.75">
      <c r="A7290" t="s">
        <v>29957</v>
      </c>
      <c r="B7290" t="s">
        <v>6639</v>
      </c>
      <c r="C7290" t="s">
        <v>6093</v>
      </c>
      <c r="D7290" t="s">
        <v>6640</v>
      </c>
      <c r="E7290" t="s">
        <v>29958</v>
      </c>
      <c r="F7290">
        <v>126</v>
      </c>
      <c r="G7290">
        <v>1940756</v>
      </c>
      <c r="H7290" t="s">
        <v>29959</v>
      </c>
      <c r="J7290" s="54" t="s">
        <v>6052</v>
      </c>
      <c r="K7290" s="54">
        <v>0</v>
      </c>
      <c r="L7290" s="22" t="s">
        <v>104</v>
      </c>
      <c r="M7290" s="22" t="s">
        <v>37312</v>
      </c>
    </row>
    <row r="7291" spans="1:13" x14ac:dyDescent="0.75">
      <c r="A7291" t="s">
        <v>8932</v>
      </c>
      <c r="B7291" t="s">
        <v>6639</v>
      </c>
      <c r="C7291" t="s">
        <v>6093</v>
      </c>
      <c r="D7291" t="s">
        <v>6640</v>
      </c>
      <c r="E7291" t="s">
        <v>8933</v>
      </c>
      <c r="F7291">
        <v>11</v>
      </c>
      <c r="G7291">
        <v>2000650</v>
      </c>
      <c r="H7291" t="s">
        <v>8934</v>
      </c>
      <c r="J7291" s="54" t="s">
        <v>6052</v>
      </c>
      <c r="K7291" s="54">
        <v>0</v>
      </c>
      <c r="L7291" s="22" t="s">
        <v>104</v>
      </c>
      <c r="M7291" s="22" t="s">
        <v>37312</v>
      </c>
    </row>
    <row r="7292" spans="1:13" x14ac:dyDescent="0.75">
      <c r="A7292" t="s">
        <v>23357</v>
      </c>
      <c r="B7292" t="s">
        <v>6639</v>
      </c>
      <c r="C7292" t="s">
        <v>6093</v>
      </c>
      <c r="D7292" t="s">
        <v>6640</v>
      </c>
      <c r="E7292" t="s">
        <v>23358</v>
      </c>
      <c r="F7292">
        <v>1</v>
      </c>
      <c r="G7292">
        <v>2063152</v>
      </c>
      <c r="H7292" t="s">
        <v>23359</v>
      </c>
      <c r="J7292" s="54" t="s">
        <v>6052</v>
      </c>
      <c r="K7292" s="54">
        <v>0</v>
      </c>
      <c r="L7292" s="22" t="s">
        <v>104</v>
      </c>
      <c r="M7292" s="22" t="s">
        <v>37312</v>
      </c>
    </row>
    <row r="7293" spans="1:13" x14ac:dyDescent="0.75">
      <c r="A7293" t="s">
        <v>19774</v>
      </c>
      <c r="B7293" t="s">
        <v>6639</v>
      </c>
      <c r="C7293" t="s">
        <v>6093</v>
      </c>
      <c r="D7293" t="s">
        <v>6640</v>
      </c>
      <c r="E7293" t="s">
        <v>19775</v>
      </c>
      <c r="F7293">
        <v>15</v>
      </c>
      <c r="G7293">
        <v>1964791</v>
      </c>
      <c r="H7293" t="s">
        <v>19776</v>
      </c>
      <c r="J7293" s="54" t="s">
        <v>6052</v>
      </c>
      <c r="K7293" s="54">
        <v>0</v>
      </c>
      <c r="L7293" s="22" t="s">
        <v>104</v>
      </c>
      <c r="M7293" s="22" t="s">
        <v>37312</v>
      </c>
    </row>
    <row r="7294" spans="1:13" x14ac:dyDescent="0.75">
      <c r="A7294" t="s">
        <v>21577</v>
      </c>
      <c r="B7294" t="s">
        <v>6639</v>
      </c>
      <c r="C7294" t="s">
        <v>6093</v>
      </c>
      <c r="D7294" t="s">
        <v>6640</v>
      </c>
      <c r="E7294" t="s">
        <v>21578</v>
      </c>
      <c r="F7294">
        <v>15</v>
      </c>
      <c r="G7294">
        <v>1944845</v>
      </c>
      <c r="H7294" t="s">
        <v>21579</v>
      </c>
      <c r="J7294" s="54" t="s">
        <v>6052</v>
      </c>
      <c r="K7294" s="54">
        <v>0</v>
      </c>
      <c r="L7294" s="22" t="s">
        <v>104</v>
      </c>
      <c r="M7294" s="22" t="s">
        <v>37312</v>
      </c>
    </row>
    <row r="7295" spans="1:13" x14ac:dyDescent="0.75">
      <c r="A7295" t="s">
        <v>12027</v>
      </c>
      <c r="B7295" t="s">
        <v>6639</v>
      </c>
      <c r="C7295" t="s">
        <v>6093</v>
      </c>
      <c r="D7295" t="s">
        <v>6640</v>
      </c>
      <c r="E7295" t="s">
        <v>12028</v>
      </c>
      <c r="F7295">
        <v>37</v>
      </c>
      <c r="G7295">
        <v>1792852</v>
      </c>
      <c r="H7295" t="s">
        <v>12029</v>
      </c>
      <c r="J7295" s="54" t="s">
        <v>6052</v>
      </c>
      <c r="K7295" s="54">
        <v>0</v>
      </c>
      <c r="L7295" s="22" t="s">
        <v>104</v>
      </c>
      <c r="M7295" s="22" t="s">
        <v>37312</v>
      </c>
    </row>
    <row r="7296" spans="1:13" x14ac:dyDescent="0.75">
      <c r="A7296" t="s">
        <v>28587</v>
      </c>
      <c r="B7296" t="s">
        <v>6639</v>
      </c>
      <c r="C7296" t="s">
        <v>6093</v>
      </c>
      <c r="D7296" t="s">
        <v>6640</v>
      </c>
      <c r="E7296" t="s">
        <v>28588</v>
      </c>
      <c r="F7296">
        <v>98</v>
      </c>
      <c r="G7296">
        <v>1855725</v>
      </c>
      <c r="H7296" t="s">
        <v>28589</v>
      </c>
      <c r="J7296" s="54" t="s">
        <v>6052</v>
      </c>
      <c r="K7296" s="54">
        <v>0</v>
      </c>
      <c r="L7296" s="22" t="s">
        <v>104</v>
      </c>
      <c r="M7296" s="22" t="s">
        <v>37312</v>
      </c>
    </row>
    <row r="7297" spans="1:13" x14ac:dyDescent="0.75">
      <c r="A7297" t="s">
        <v>13528</v>
      </c>
      <c r="B7297" t="s">
        <v>6639</v>
      </c>
      <c r="C7297" t="s">
        <v>6093</v>
      </c>
      <c r="D7297" t="s">
        <v>6640</v>
      </c>
      <c r="E7297" t="s">
        <v>13529</v>
      </c>
      <c r="F7297">
        <v>10</v>
      </c>
      <c r="G7297">
        <v>1847293</v>
      </c>
      <c r="H7297" t="s">
        <v>13530</v>
      </c>
      <c r="J7297" s="54" t="s">
        <v>6052</v>
      </c>
      <c r="K7297" s="54">
        <v>0</v>
      </c>
      <c r="L7297" s="22" t="s">
        <v>104</v>
      </c>
      <c r="M7297" s="22" t="s">
        <v>37312</v>
      </c>
    </row>
    <row r="7298" spans="1:13" x14ac:dyDescent="0.75">
      <c r="A7298" t="s">
        <v>13519</v>
      </c>
      <c r="B7298" t="s">
        <v>6639</v>
      </c>
      <c r="C7298" t="s">
        <v>6093</v>
      </c>
      <c r="D7298" t="s">
        <v>6640</v>
      </c>
      <c r="E7298" t="s">
        <v>13520</v>
      </c>
      <c r="F7298">
        <v>15</v>
      </c>
      <c r="G7298">
        <v>1852323</v>
      </c>
      <c r="H7298" t="s">
        <v>13521</v>
      </c>
      <c r="J7298" s="54" t="s">
        <v>6052</v>
      </c>
      <c r="K7298" s="54">
        <v>0</v>
      </c>
      <c r="L7298" s="22" t="s">
        <v>104</v>
      </c>
      <c r="M7298" s="22" t="s">
        <v>37312</v>
      </c>
    </row>
    <row r="7299" spans="1:13" x14ac:dyDescent="0.75">
      <c r="A7299" t="s">
        <v>13931</v>
      </c>
      <c r="B7299" t="s">
        <v>6639</v>
      </c>
      <c r="C7299" t="s">
        <v>6093</v>
      </c>
      <c r="D7299" t="s">
        <v>6640</v>
      </c>
      <c r="E7299" t="s">
        <v>13932</v>
      </c>
      <c r="F7299">
        <v>1</v>
      </c>
      <c r="G7299">
        <v>1889005</v>
      </c>
      <c r="H7299" t="s">
        <v>13933</v>
      </c>
      <c r="J7299" s="54" t="s">
        <v>6052</v>
      </c>
      <c r="K7299" s="54">
        <v>0</v>
      </c>
      <c r="L7299" s="22" t="s">
        <v>104</v>
      </c>
      <c r="M7299" s="22" t="s">
        <v>37312</v>
      </c>
    </row>
    <row r="7300" spans="1:13" x14ac:dyDescent="0.75">
      <c r="A7300" t="s">
        <v>13525</v>
      </c>
      <c r="B7300" t="s">
        <v>6639</v>
      </c>
      <c r="C7300" t="s">
        <v>6093</v>
      </c>
      <c r="D7300" t="s">
        <v>6640</v>
      </c>
      <c r="E7300" t="s">
        <v>13526</v>
      </c>
      <c r="F7300">
        <v>10</v>
      </c>
      <c r="G7300">
        <v>1934840</v>
      </c>
      <c r="H7300" t="s">
        <v>13527</v>
      </c>
      <c r="J7300" s="54" t="s">
        <v>6052</v>
      </c>
      <c r="K7300" s="54">
        <v>0</v>
      </c>
      <c r="L7300" s="22" t="s">
        <v>104</v>
      </c>
      <c r="M7300" s="22" t="s">
        <v>37312</v>
      </c>
    </row>
    <row r="7301" spans="1:13" x14ac:dyDescent="0.75">
      <c r="A7301" t="s">
        <v>23075</v>
      </c>
      <c r="B7301" t="s">
        <v>6639</v>
      </c>
      <c r="C7301" t="s">
        <v>6093</v>
      </c>
      <c r="D7301" t="s">
        <v>6640</v>
      </c>
      <c r="E7301" t="s">
        <v>23076</v>
      </c>
      <c r="F7301">
        <v>17</v>
      </c>
      <c r="G7301">
        <v>1868427</v>
      </c>
      <c r="H7301" t="s">
        <v>23077</v>
      </c>
      <c r="J7301" s="54" t="s">
        <v>6052</v>
      </c>
      <c r="K7301" s="54">
        <v>0</v>
      </c>
      <c r="L7301" s="22" t="s">
        <v>104</v>
      </c>
      <c r="M7301" s="22" t="s">
        <v>37312</v>
      </c>
    </row>
    <row r="7302" spans="1:13" x14ac:dyDescent="0.75">
      <c r="A7302" t="s">
        <v>23057</v>
      </c>
      <c r="B7302" t="s">
        <v>6639</v>
      </c>
      <c r="C7302" t="s">
        <v>6093</v>
      </c>
      <c r="D7302" t="s">
        <v>6640</v>
      </c>
      <c r="E7302" t="s">
        <v>23058</v>
      </c>
      <c r="F7302">
        <v>48</v>
      </c>
      <c r="G7302">
        <v>1911372</v>
      </c>
      <c r="H7302" t="s">
        <v>23059</v>
      </c>
      <c r="J7302" s="54" t="s">
        <v>6052</v>
      </c>
      <c r="K7302" s="54">
        <v>0</v>
      </c>
      <c r="L7302" s="22" t="s">
        <v>104</v>
      </c>
      <c r="M7302" s="22" t="s">
        <v>37312</v>
      </c>
    </row>
    <row r="7303" spans="1:13" x14ac:dyDescent="0.75">
      <c r="A7303" t="s">
        <v>23048</v>
      </c>
      <c r="B7303" t="s">
        <v>6639</v>
      </c>
      <c r="C7303" t="s">
        <v>6093</v>
      </c>
      <c r="D7303" t="s">
        <v>6640</v>
      </c>
      <c r="E7303" t="s">
        <v>23049</v>
      </c>
      <c r="F7303">
        <v>19</v>
      </c>
      <c r="G7303">
        <v>1880091</v>
      </c>
      <c r="H7303" t="s">
        <v>23050</v>
      </c>
      <c r="J7303" s="54" t="s">
        <v>6052</v>
      </c>
      <c r="K7303" s="54">
        <v>0</v>
      </c>
      <c r="L7303" s="22" t="s">
        <v>104</v>
      </c>
      <c r="M7303" s="22" t="s">
        <v>37312</v>
      </c>
    </row>
    <row r="7304" spans="1:13" x14ac:dyDescent="0.75">
      <c r="A7304" t="s">
        <v>23036</v>
      </c>
      <c r="B7304" t="s">
        <v>6639</v>
      </c>
      <c r="C7304" t="s">
        <v>6093</v>
      </c>
      <c r="D7304" t="s">
        <v>6640</v>
      </c>
      <c r="E7304" t="s">
        <v>23037</v>
      </c>
      <c r="F7304">
        <v>26</v>
      </c>
      <c r="G7304">
        <v>2005270</v>
      </c>
      <c r="H7304" t="s">
        <v>23038</v>
      </c>
      <c r="J7304" s="54" t="s">
        <v>6052</v>
      </c>
      <c r="K7304" s="54">
        <v>0</v>
      </c>
      <c r="L7304" s="22" t="s">
        <v>104</v>
      </c>
      <c r="M7304" s="22" t="s">
        <v>37312</v>
      </c>
    </row>
    <row r="7305" spans="1:13" x14ac:dyDescent="0.75">
      <c r="A7305" t="s">
        <v>23012</v>
      </c>
      <c r="B7305" t="s">
        <v>6639</v>
      </c>
      <c r="C7305" t="s">
        <v>6093</v>
      </c>
      <c r="D7305" t="s">
        <v>6640</v>
      </c>
      <c r="E7305" t="s">
        <v>23013</v>
      </c>
      <c r="F7305">
        <v>25</v>
      </c>
      <c r="G7305">
        <v>1947688</v>
      </c>
      <c r="H7305" t="s">
        <v>23014</v>
      </c>
      <c r="J7305" s="54" t="s">
        <v>6052</v>
      </c>
      <c r="K7305" s="54">
        <v>0</v>
      </c>
      <c r="L7305" s="22" t="s">
        <v>104</v>
      </c>
      <c r="M7305" s="22" t="s">
        <v>37312</v>
      </c>
    </row>
    <row r="7306" spans="1:13" x14ac:dyDescent="0.75">
      <c r="A7306" t="s">
        <v>8543</v>
      </c>
      <c r="B7306" t="s">
        <v>6639</v>
      </c>
      <c r="C7306" t="s">
        <v>6093</v>
      </c>
      <c r="D7306" t="s">
        <v>6640</v>
      </c>
      <c r="E7306" t="s">
        <v>8544</v>
      </c>
      <c r="F7306">
        <v>20</v>
      </c>
      <c r="G7306">
        <v>1853895</v>
      </c>
      <c r="H7306" t="s">
        <v>8545</v>
      </c>
      <c r="J7306" s="54" t="s">
        <v>6052</v>
      </c>
      <c r="K7306" s="54">
        <v>0</v>
      </c>
      <c r="L7306" s="22" t="s">
        <v>104</v>
      </c>
      <c r="M7306" s="22" t="s">
        <v>37312</v>
      </c>
    </row>
    <row r="7307" spans="1:13" x14ac:dyDescent="0.75">
      <c r="A7307" t="s">
        <v>7796</v>
      </c>
      <c r="B7307" t="s">
        <v>6639</v>
      </c>
      <c r="C7307" t="s">
        <v>6093</v>
      </c>
      <c r="D7307" t="s">
        <v>6640</v>
      </c>
      <c r="E7307" t="s">
        <v>7797</v>
      </c>
      <c r="F7307">
        <v>63</v>
      </c>
      <c r="G7307">
        <v>2005180</v>
      </c>
      <c r="H7307" t="s">
        <v>7798</v>
      </c>
      <c r="J7307" s="54" t="s">
        <v>6052</v>
      </c>
      <c r="K7307" s="54">
        <v>0</v>
      </c>
      <c r="L7307" s="22" t="s">
        <v>104</v>
      </c>
      <c r="M7307" s="22" t="s">
        <v>37312</v>
      </c>
    </row>
    <row r="7308" spans="1:13" x14ac:dyDescent="0.75">
      <c r="A7308" t="s">
        <v>8784</v>
      </c>
      <c r="B7308" t="s">
        <v>6639</v>
      </c>
      <c r="C7308" t="s">
        <v>6093</v>
      </c>
      <c r="D7308" t="s">
        <v>6640</v>
      </c>
      <c r="E7308" t="s">
        <v>8785</v>
      </c>
      <c r="F7308">
        <v>25</v>
      </c>
      <c r="G7308">
        <v>2020585</v>
      </c>
      <c r="H7308" t="s">
        <v>8786</v>
      </c>
      <c r="J7308" s="54" t="s">
        <v>6052</v>
      </c>
      <c r="K7308" s="54">
        <v>0</v>
      </c>
      <c r="L7308" s="22" t="s">
        <v>104</v>
      </c>
      <c r="M7308" s="22" t="s">
        <v>37312</v>
      </c>
    </row>
    <row r="7309" spans="1:13" x14ac:dyDescent="0.75">
      <c r="A7309" t="s">
        <v>7921</v>
      </c>
      <c r="B7309" t="s">
        <v>6639</v>
      </c>
      <c r="C7309" t="s">
        <v>6093</v>
      </c>
      <c r="D7309" t="s">
        <v>6640</v>
      </c>
      <c r="E7309" t="s">
        <v>7922</v>
      </c>
      <c r="F7309">
        <v>5</v>
      </c>
      <c r="G7309">
        <v>1888813</v>
      </c>
      <c r="H7309" t="s">
        <v>7923</v>
      </c>
      <c r="J7309" s="54" t="s">
        <v>6052</v>
      </c>
      <c r="K7309" s="54">
        <v>0</v>
      </c>
      <c r="L7309" s="22" t="s">
        <v>104</v>
      </c>
      <c r="M7309" s="22" t="s">
        <v>37312</v>
      </c>
    </row>
    <row r="7310" spans="1:13" x14ac:dyDescent="0.75">
      <c r="A7310" t="s">
        <v>22239</v>
      </c>
      <c r="B7310" t="s">
        <v>6639</v>
      </c>
      <c r="C7310" t="s">
        <v>6093</v>
      </c>
      <c r="D7310" t="s">
        <v>6640</v>
      </c>
      <c r="E7310" t="s">
        <v>22240</v>
      </c>
      <c r="F7310">
        <v>1</v>
      </c>
      <c r="G7310">
        <v>1938840</v>
      </c>
      <c r="H7310" t="s">
        <v>22241</v>
      </c>
      <c r="J7310" s="54" t="s">
        <v>6052</v>
      </c>
      <c r="K7310" s="54">
        <v>0</v>
      </c>
      <c r="L7310" s="22" t="s">
        <v>104</v>
      </c>
      <c r="M7310" s="22" t="s">
        <v>37312</v>
      </c>
    </row>
    <row r="7311" spans="1:13" x14ac:dyDescent="0.75">
      <c r="A7311" t="s">
        <v>22242</v>
      </c>
      <c r="B7311" t="s">
        <v>6639</v>
      </c>
      <c r="C7311" t="s">
        <v>6093</v>
      </c>
      <c r="D7311" t="s">
        <v>6640</v>
      </c>
      <c r="E7311" t="s">
        <v>22243</v>
      </c>
      <c r="F7311">
        <v>1</v>
      </c>
      <c r="G7311">
        <v>1944085</v>
      </c>
      <c r="H7311" t="s">
        <v>22244</v>
      </c>
      <c r="J7311" s="54" t="s">
        <v>6052</v>
      </c>
      <c r="K7311" s="54">
        <v>0</v>
      </c>
      <c r="L7311" s="22" t="s">
        <v>104</v>
      </c>
      <c r="M7311" s="22" t="s">
        <v>37312</v>
      </c>
    </row>
    <row r="7312" spans="1:13" x14ac:dyDescent="0.75">
      <c r="A7312" t="s">
        <v>10817</v>
      </c>
      <c r="B7312" t="s">
        <v>6639</v>
      </c>
      <c r="C7312" t="s">
        <v>6093</v>
      </c>
      <c r="D7312" t="s">
        <v>6640</v>
      </c>
      <c r="E7312" t="s">
        <v>10818</v>
      </c>
      <c r="F7312">
        <v>10</v>
      </c>
      <c r="G7312">
        <v>1835325</v>
      </c>
      <c r="H7312" t="s">
        <v>10819</v>
      </c>
      <c r="J7312" s="54" t="s">
        <v>6052</v>
      </c>
      <c r="K7312" s="54">
        <v>0</v>
      </c>
      <c r="L7312" s="22" t="s">
        <v>104</v>
      </c>
      <c r="M7312" s="22" t="s">
        <v>37312</v>
      </c>
    </row>
    <row r="7313" spans="1:13" x14ac:dyDescent="0.75">
      <c r="A7313" t="s">
        <v>525</v>
      </c>
      <c r="B7313" t="s">
        <v>371</v>
      </c>
      <c r="C7313" t="s">
        <v>6093</v>
      </c>
      <c r="D7313" t="s">
        <v>7315</v>
      </c>
      <c r="E7313" t="s">
        <v>7915</v>
      </c>
      <c r="F7313">
        <v>18</v>
      </c>
      <c r="G7313">
        <v>1988691</v>
      </c>
      <c r="H7313" t="s">
        <v>7916</v>
      </c>
      <c r="J7313" s="54" t="s">
        <v>7915</v>
      </c>
      <c r="K7313" s="54">
        <v>2</v>
      </c>
      <c r="L7313" s="22" t="s">
        <v>104</v>
      </c>
      <c r="M7313" s="22" t="s">
        <v>372</v>
      </c>
    </row>
    <row r="7314" spans="1:13" x14ac:dyDescent="0.75">
      <c r="A7314" t="s">
        <v>370</v>
      </c>
      <c r="B7314" t="s">
        <v>371</v>
      </c>
      <c r="C7314" t="s">
        <v>6093</v>
      </c>
      <c r="D7314" t="s">
        <v>7315</v>
      </c>
      <c r="E7314" t="s">
        <v>7316</v>
      </c>
      <c r="F7314">
        <v>16</v>
      </c>
      <c r="G7314">
        <v>2050302</v>
      </c>
      <c r="H7314" t="s">
        <v>7317</v>
      </c>
      <c r="J7314" s="54" t="s">
        <v>7316</v>
      </c>
      <c r="K7314" s="54">
        <v>2</v>
      </c>
      <c r="L7314" s="22" t="s">
        <v>104</v>
      </c>
      <c r="M7314" s="22" t="s">
        <v>372</v>
      </c>
    </row>
    <row r="7315" spans="1:13" x14ac:dyDescent="0.75">
      <c r="A7315" t="s">
        <v>2548</v>
      </c>
      <c r="B7315" t="s">
        <v>371</v>
      </c>
      <c r="C7315" t="s">
        <v>6093</v>
      </c>
      <c r="D7315" t="s">
        <v>7315</v>
      </c>
      <c r="E7315" t="s">
        <v>17878</v>
      </c>
      <c r="F7315">
        <v>6</v>
      </c>
      <c r="G7315">
        <v>1949143</v>
      </c>
      <c r="H7315" t="s">
        <v>17879</v>
      </c>
      <c r="J7315" s="54" t="s">
        <v>17878</v>
      </c>
      <c r="K7315" s="54">
        <v>2</v>
      </c>
      <c r="L7315" s="22" t="s">
        <v>104</v>
      </c>
      <c r="M7315" s="22" t="s">
        <v>372</v>
      </c>
    </row>
    <row r="7316" spans="1:13" x14ac:dyDescent="0.75">
      <c r="A7316" t="s">
        <v>2553</v>
      </c>
      <c r="B7316" t="s">
        <v>371</v>
      </c>
      <c r="C7316" t="s">
        <v>6093</v>
      </c>
      <c r="D7316" t="s">
        <v>7315</v>
      </c>
      <c r="E7316" t="s">
        <v>17845</v>
      </c>
      <c r="F7316">
        <v>15</v>
      </c>
      <c r="G7316">
        <v>2005283</v>
      </c>
      <c r="H7316" t="s">
        <v>17882</v>
      </c>
      <c r="J7316" s="54" t="s">
        <v>17845</v>
      </c>
      <c r="K7316" s="54">
        <v>2</v>
      </c>
      <c r="L7316" s="22" t="s">
        <v>104</v>
      </c>
      <c r="M7316" s="22" t="s">
        <v>372</v>
      </c>
    </row>
    <row r="7317" spans="1:13" x14ac:dyDescent="0.75">
      <c r="A7317" t="s">
        <v>2561</v>
      </c>
      <c r="B7317" t="s">
        <v>371</v>
      </c>
      <c r="C7317" t="s">
        <v>6093</v>
      </c>
      <c r="D7317" t="s">
        <v>7315</v>
      </c>
      <c r="E7317" t="s">
        <v>17776</v>
      </c>
      <c r="F7317">
        <v>17</v>
      </c>
      <c r="G7317">
        <v>2027355</v>
      </c>
      <c r="H7317" t="s">
        <v>17886</v>
      </c>
      <c r="J7317" s="54" t="s">
        <v>17776</v>
      </c>
      <c r="K7317" s="54">
        <v>2</v>
      </c>
      <c r="L7317" s="22" t="s">
        <v>104</v>
      </c>
      <c r="M7317" s="22" t="s">
        <v>372</v>
      </c>
    </row>
    <row r="7318" spans="1:13" x14ac:dyDescent="0.75">
      <c r="A7318" t="s">
        <v>2538</v>
      </c>
      <c r="B7318" t="s">
        <v>371</v>
      </c>
      <c r="C7318" t="s">
        <v>6093</v>
      </c>
      <c r="D7318" t="s">
        <v>7315</v>
      </c>
      <c r="E7318" t="s">
        <v>17863</v>
      </c>
      <c r="F7318">
        <v>30</v>
      </c>
      <c r="G7318">
        <v>1974799</v>
      </c>
      <c r="H7318" t="s">
        <v>17864</v>
      </c>
      <c r="J7318" s="54" t="s">
        <v>17863</v>
      </c>
      <c r="K7318" s="54">
        <v>2</v>
      </c>
      <c r="L7318" s="22" t="s">
        <v>104</v>
      </c>
      <c r="M7318" s="22" t="s">
        <v>372</v>
      </c>
    </row>
    <row r="7319" spans="1:13" x14ac:dyDescent="0.75">
      <c r="A7319" t="s">
        <v>2139</v>
      </c>
      <c r="B7319" t="s">
        <v>371</v>
      </c>
      <c r="C7319" t="s">
        <v>6093</v>
      </c>
      <c r="D7319" t="s">
        <v>7315</v>
      </c>
      <c r="E7319" t="s">
        <v>15598</v>
      </c>
      <c r="F7319">
        <v>40</v>
      </c>
      <c r="G7319">
        <v>2059623</v>
      </c>
      <c r="H7319" t="s">
        <v>15599</v>
      </c>
      <c r="J7319" s="54" t="s">
        <v>15598</v>
      </c>
      <c r="K7319" s="54">
        <v>2</v>
      </c>
      <c r="L7319" s="22" t="s">
        <v>104</v>
      </c>
      <c r="M7319" s="22" t="s">
        <v>372</v>
      </c>
    </row>
    <row r="7320" spans="1:13" x14ac:dyDescent="0.75">
      <c r="A7320" t="s">
        <v>4819</v>
      </c>
      <c r="B7320" t="s">
        <v>371</v>
      </c>
      <c r="C7320" t="s">
        <v>6093</v>
      </c>
      <c r="D7320" t="s">
        <v>7315</v>
      </c>
      <c r="E7320" t="s">
        <v>24606</v>
      </c>
      <c r="F7320">
        <v>18</v>
      </c>
      <c r="G7320">
        <v>1947696</v>
      </c>
      <c r="H7320" t="s">
        <v>24607</v>
      </c>
      <c r="J7320" s="54" t="s">
        <v>24606</v>
      </c>
      <c r="K7320" s="54">
        <v>2</v>
      </c>
      <c r="L7320" s="22" t="s">
        <v>104</v>
      </c>
      <c r="M7320" s="22" t="s">
        <v>372</v>
      </c>
    </row>
    <row r="7321" spans="1:13" x14ac:dyDescent="0.75">
      <c r="A7321" t="s">
        <v>20166</v>
      </c>
      <c r="B7321" t="s">
        <v>371</v>
      </c>
      <c r="C7321" t="s">
        <v>6093</v>
      </c>
      <c r="D7321" t="s">
        <v>7315</v>
      </c>
      <c r="E7321">
        <v>1.1000000000000001</v>
      </c>
      <c r="F7321">
        <v>50</v>
      </c>
      <c r="G7321">
        <v>2103580</v>
      </c>
      <c r="H7321" t="s">
        <v>20167</v>
      </c>
      <c r="J7321" s="54" t="s">
        <v>6052</v>
      </c>
      <c r="K7321" s="54">
        <v>0</v>
      </c>
      <c r="L7321" s="22" t="s">
        <v>104</v>
      </c>
      <c r="M7321" s="22" t="s">
        <v>372</v>
      </c>
    </row>
    <row r="7322" spans="1:13" x14ac:dyDescent="0.75">
      <c r="A7322" t="s">
        <v>30477</v>
      </c>
      <c r="B7322" t="s">
        <v>7438</v>
      </c>
      <c r="C7322" t="s">
        <v>6093</v>
      </c>
      <c r="D7322" t="s">
        <v>7439</v>
      </c>
      <c r="E7322" t="s">
        <v>30478</v>
      </c>
      <c r="F7322">
        <v>1</v>
      </c>
      <c r="G7322">
        <v>2088496</v>
      </c>
      <c r="H7322" t="s">
        <v>30479</v>
      </c>
      <c r="J7322" s="54" t="s">
        <v>6052</v>
      </c>
      <c r="K7322" s="54">
        <v>0</v>
      </c>
      <c r="L7322" s="22" t="s">
        <v>1563</v>
      </c>
      <c r="M7322" s="22" t="s">
        <v>37328</v>
      </c>
    </row>
    <row r="7323" spans="1:13" x14ac:dyDescent="0.75">
      <c r="A7323" t="s">
        <v>11852</v>
      </c>
      <c r="B7323" t="s">
        <v>8899</v>
      </c>
      <c r="C7323" t="s">
        <v>6093</v>
      </c>
      <c r="D7323" t="s">
        <v>8900</v>
      </c>
      <c r="E7323" t="s">
        <v>11853</v>
      </c>
      <c r="F7323">
        <v>1</v>
      </c>
      <c r="G7323">
        <v>1744827</v>
      </c>
      <c r="H7323" t="s">
        <v>11854</v>
      </c>
      <c r="J7323" s="54" t="s">
        <v>6052</v>
      </c>
      <c r="K7323" s="54">
        <v>0</v>
      </c>
      <c r="L7323" s="22" t="s">
        <v>36804</v>
      </c>
      <c r="M7323" s="22" t="s">
        <v>37326</v>
      </c>
    </row>
    <row r="7324" spans="1:13" x14ac:dyDescent="0.75">
      <c r="A7324" t="s">
        <v>20164</v>
      </c>
      <c r="B7324" t="s">
        <v>371</v>
      </c>
      <c r="C7324" t="s">
        <v>6093</v>
      </c>
      <c r="D7324" t="s">
        <v>7315</v>
      </c>
      <c r="E7324">
        <v>6.1</v>
      </c>
      <c r="F7324">
        <v>28</v>
      </c>
      <c r="G7324">
        <v>2135306</v>
      </c>
      <c r="H7324" t="s">
        <v>20165</v>
      </c>
      <c r="J7324" s="54" t="s">
        <v>6052</v>
      </c>
      <c r="K7324" s="54">
        <v>0</v>
      </c>
      <c r="L7324" s="22" t="s">
        <v>104</v>
      </c>
      <c r="M7324" s="22" t="s">
        <v>372</v>
      </c>
    </row>
    <row r="7325" spans="1:13" x14ac:dyDescent="0.75">
      <c r="A7325" t="s">
        <v>20162</v>
      </c>
      <c r="B7325" t="s">
        <v>371</v>
      </c>
      <c r="C7325" t="s">
        <v>6093</v>
      </c>
      <c r="D7325" t="s">
        <v>7315</v>
      </c>
      <c r="E7325">
        <v>7.1</v>
      </c>
      <c r="F7325">
        <v>30</v>
      </c>
      <c r="G7325">
        <v>2138498</v>
      </c>
      <c r="H7325" t="s">
        <v>20163</v>
      </c>
      <c r="J7325" s="54" t="s">
        <v>6052</v>
      </c>
      <c r="K7325" s="54">
        <v>0</v>
      </c>
      <c r="L7325" s="22" t="s">
        <v>104</v>
      </c>
      <c r="M7325" s="22" t="s">
        <v>372</v>
      </c>
    </row>
    <row r="7326" spans="1:13" x14ac:dyDescent="0.75">
      <c r="A7326" t="s">
        <v>19783</v>
      </c>
      <c r="B7326" t="s">
        <v>371</v>
      </c>
      <c r="C7326" t="s">
        <v>6093</v>
      </c>
      <c r="D7326" t="s">
        <v>7315</v>
      </c>
      <c r="E7326" t="s">
        <v>19784</v>
      </c>
      <c r="F7326">
        <v>40</v>
      </c>
      <c r="G7326">
        <v>2172075</v>
      </c>
      <c r="H7326" t="s">
        <v>19785</v>
      </c>
      <c r="J7326" s="54" t="s">
        <v>6052</v>
      </c>
      <c r="K7326" s="54">
        <v>0</v>
      </c>
      <c r="L7326" s="22" t="s">
        <v>104</v>
      </c>
      <c r="M7326" s="22" t="s">
        <v>372</v>
      </c>
    </row>
    <row r="7327" spans="1:13" x14ac:dyDescent="0.75">
      <c r="A7327" t="s">
        <v>24806</v>
      </c>
      <c r="B7327" t="s">
        <v>371</v>
      </c>
      <c r="C7327" t="s">
        <v>6093</v>
      </c>
      <c r="D7327" t="s">
        <v>7315</v>
      </c>
      <c r="E7327" t="s">
        <v>24807</v>
      </c>
      <c r="F7327">
        <v>28</v>
      </c>
      <c r="G7327">
        <v>2152783</v>
      </c>
      <c r="H7327" t="s">
        <v>24808</v>
      </c>
      <c r="J7327" s="54" t="s">
        <v>6052</v>
      </c>
      <c r="K7327" s="54">
        <v>0</v>
      </c>
      <c r="L7327" s="22" t="s">
        <v>104</v>
      </c>
      <c r="M7327" s="22" t="s">
        <v>372</v>
      </c>
    </row>
    <row r="7328" spans="1:13" x14ac:dyDescent="0.75">
      <c r="A7328" t="s">
        <v>24803</v>
      </c>
      <c r="B7328" t="s">
        <v>371</v>
      </c>
      <c r="C7328" t="s">
        <v>6093</v>
      </c>
      <c r="D7328" t="s">
        <v>7315</v>
      </c>
      <c r="E7328" t="s">
        <v>24804</v>
      </c>
      <c r="F7328">
        <v>48</v>
      </c>
      <c r="G7328">
        <v>2117706</v>
      </c>
      <c r="H7328" t="s">
        <v>24805</v>
      </c>
      <c r="J7328" s="54" t="s">
        <v>6052</v>
      </c>
      <c r="K7328" s="54">
        <v>0</v>
      </c>
      <c r="L7328" s="22" t="s">
        <v>104</v>
      </c>
      <c r="M7328" s="22" t="s">
        <v>372</v>
      </c>
    </row>
    <row r="7329" spans="1:13" x14ac:dyDescent="0.75">
      <c r="A7329" t="s">
        <v>24800</v>
      </c>
      <c r="B7329" t="s">
        <v>371</v>
      </c>
      <c r="C7329" t="s">
        <v>6093</v>
      </c>
      <c r="D7329" t="s">
        <v>7315</v>
      </c>
      <c r="E7329" t="s">
        <v>24801</v>
      </c>
      <c r="F7329">
        <v>29</v>
      </c>
      <c r="G7329">
        <v>2091888</v>
      </c>
      <c r="H7329" t="s">
        <v>24802</v>
      </c>
      <c r="J7329" s="54" t="s">
        <v>6052</v>
      </c>
      <c r="K7329" s="54">
        <v>0</v>
      </c>
      <c r="L7329" s="22" t="s">
        <v>104</v>
      </c>
      <c r="M7329" s="22" t="s">
        <v>372</v>
      </c>
    </row>
    <row r="7330" spans="1:13" x14ac:dyDescent="0.75">
      <c r="A7330" t="s">
        <v>19728</v>
      </c>
      <c r="B7330" t="s">
        <v>371</v>
      </c>
      <c r="C7330" t="s">
        <v>6093</v>
      </c>
      <c r="D7330" t="s">
        <v>7315</v>
      </c>
      <c r="E7330" t="s">
        <v>19729</v>
      </c>
      <c r="F7330">
        <v>26</v>
      </c>
      <c r="G7330">
        <v>2193311</v>
      </c>
      <c r="H7330" t="s">
        <v>19730</v>
      </c>
      <c r="J7330" s="54" t="s">
        <v>6052</v>
      </c>
      <c r="K7330" s="54">
        <v>0</v>
      </c>
      <c r="L7330" s="22" t="s">
        <v>104</v>
      </c>
      <c r="M7330" s="22" t="s">
        <v>372</v>
      </c>
    </row>
    <row r="7331" spans="1:13" x14ac:dyDescent="0.75">
      <c r="A7331" t="s">
        <v>24794</v>
      </c>
      <c r="B7331" t="s">
        <v>371</v>
      </c>
      <c r="C7331" t="s">
        <v>6093</v>
      </c>
      <c r="D7331" t="s">
        <v>7315</v>
      </c>
      <c r="E7331" t="s">
        <v>24795</v>
      </c>
      <c r="F7331">
        <v>25</v>
      </c>
      <c r="G7331">
        <v>2134200</v>
      </c>
      <c r="H7331" t="s">
        <v>24796</v>
      </c>
      <c r="J7331" s="54" t="s">
        <v>6052</v>
      </c>
      <c r="K7331" s="54">
        <v>0</v>
      </c>
      <c r="L7331" s="22" t="s">
        <v>104</v>
      </c>
      <c r="M7331" s="22" t="s">
        <v>372</v>
      </c>
    </row>
    <row r="7332" spans="1:13" x14ac:dyDescent="0.75">
      <c r="A7332" t="s">
        <v>24791</v>
      </c>
      <c r="B7332" t="s">
        <v>371</v>
      </c>
      <c r="C7332" t="s">
        <v>6093</v>
      </c>
      <c r="D7332" t="s">
        <v>7315</v>
      </c>
      <c r="E7332" t="s">
        <v>24792</v>
      </c>
      <c r="F7332">
        <v>34</v>
      </c>
      <c r="G7332">
        <v>2070209</v>
      </c>
      <c r="H7332" t="s">
        <v>24793</v>
      </c>
      <c r="J7332" s="54" t="s">
        <v>6052</v>
      </c>
      <c r="K7332" s="54">
        <v>0</v>
      </c>
      <c r="L7332" s="22" t="s">
        <v>104</v>
      </c>
      <c r="M7332" s="22" t="s">
        <v>372</v>
      </c>
    </row>
    <row r="7333" spans="1:13" x14ac:dyDescent="0.75">
      <c r="A7333" t="s">
        <v>19760</v>
      </c>
      <c r="B7333" t="s">
        <v>371</v>
      </c>
      <c r="C7333" t="s">
        <v>6093</v>
      </c>
      <c r="D7333" t="s">
        <v>7315</v>
      </c>
      <c r="E7333" t="s">
        <v>19761</v>
      </c>
      <c r="F7333">
        <v>21</v>
      </c>
      <c r="G7333">
        <v>2141457</v>
      </c>
      <c r="H7333" t="s">
        <v>19762</v>
      </c>
      <c r="J7333" s="54" t="s">
        <v>6052</v>
      </c>
      <c r="K7333" s="54">
        <v>0</v>
      </c>
      <c r="L7333" s="22" t="s">
        <v>104</v>
      </c>
      <c r="M7333" s="22" t="s">
        <v>372</v>
      </c>
    </row>
    <row r="7334" spans="1:13" x14ac:dyDescent="0.75">
      <c r="A7334" t="s">
        <v>11237</v>
      </c>
      <c r="B7334" t="s">
        <v>371</v>
      </c>
      <c r="C7334" t="s">
        <v>6093</v>
      </c>
      <c r="D7334" t="s">
        <v>7315</v>
      </c>
      <c r="E7334" t="s">
        <v>11238</v>
      </c>
      <c r="F7334">
        <v>121</v>
      </c>
      <c r="G7334">
        <v>2178909</v>
      </c>
      <c r="H7334" t="s">
        <v>11239</v>
      </c>
      <c r="J7334" s="54" t="s">
        <v>6052</v>
      </c>
      <c r="K7334" s="54">
        <v>0</v>
      </c>
      <c r="L7334" s="22" t="s">
        <v>104</v>
      </c>
      <c r="M7334" s="22" t="s">
        <v>372</v>
      </c>
    </row>
    <row r="7335" spans="1:13" x14ac:dyDescent="0.75">
      <c r="A7335" t="s">
        <v>11240</v>
      </c>
      <c r="B7335" t="s">
        <v>371</v>
      </c>
      <c r="C7335" t="s">
        <v>6093</v>
      </c>
      <c r="D7335" t="s">
        <v>7315</v>
      </c>
      <c r="E7335" t="s">
        <v>11241</v>
      </c>
      <c r="F7335">
        <v>122</v>
      </c>
      <c r="G7335">
        <v>2276170</v>
      </c>
      <c r="H7335" t="s">
        <v>11242</v>
      </c>
      <c r="J7335" s="54" t="s">
        <v>6052</v>
      </c>
      <c r="K7335" s="54">
        <v>0</v>
      </c>
      <c r="L7335" s="22" t="s">
        <v>104</v>
      </c>
      <c r="M7335" s="22" t="s">
        <v>372</v>
      </c>
    </row>
    <row r="7336" spans="1:13" x14ac:dyDescent="0.75">
      <c r="A7336" t="s">
        <v>11223</v>
      </c>
      <c r="B7336" t="s">
        <v>371</v>
      </c>
      <c r="C7336" t="s">
        <v>6093</v>
      </c>
      <c r="D7336" t="s">
        <v>7315</v>
      </c>
      <c r="E7336" t="s">
        <v>11224</v>
      </c>
      <c r="F7336">
        <v>125</v>
      </c>
      <c r="G7336">
        <v>2268674</v>
      </c>
      <c r="H7336" t="s">
        <v>11225</v>
      </c>
      <c r="J7336" s="54" t="s">
        <v>6052</v>
      </c>
      <c r="K7336" s="54">
        <v>0</v>
      </c>
      <c r="L7336" s="22" t="s">
        <v>104</v>
      </c>
      <c r="M7336" s="22" t="s">
        <v>372</v>
      </c>
    </row>
    <row r="7337" spans="1:13" x14ac:dyDescent="0.75">
      <c r="A7337" t="s">
        <v>11267</v>
      </c>
      <c r="B7337" t="s">
        <v>371</v>
      </c>
      <c r="C7337" t="s">
        <v>6093</v>
      </c>
      <c r="D7337" t="s">
        <v>7315</v>
      </c>
      <c r="E7337" t="s">
        <v>11268</v>
      </c>
      <c r="F7337">
        <v>112</v>
      </c>
      <c r="G7337">
        <v>2092032</v>
      </c>
      <c r="H7337" t="s">
        <v>11269</v>
      </c>
      <c r="J7337" s="54" t="s">
        <v>6052</v>
      </c>
      <c r="K7337" s="54">
        <v>0</v>
      </c>
      <c r="L7337" s="22" t="s">
        <v>104</v>
      </c>
      <c r="M7337" s="22" t="s">
        <v>372</v>
      </c>
    </row>
    <row r="7338" spans="1:13" x14ac:dyDescent="0.75">
      <c r="A7338" t="s">
        <v>11273</v>
      </c>
      <c r="B7338" t="s">
        <v>371</v>
      </c>
      <c r="C7338" t="s">
        <v>6093</v>
      </c>
      <c r="D7338" t="s">
        <v>7315</v>
      </c>
      <c r="E7338" t="s">
        <v>11274</v>
      </c>
      <c r="F7338">
        <v>62</v>
      </c>
      <c r="G7338">
        <v>2131313</v>
      </c>
      <c r="H7338" t="s">
        <v>11275</v>
      </c>
      <c r="J7338" s="54" t="s">
        <v>6052</v>
      </c>
      <c r="K7338" s="54">
        <v>0</v>
      </c>
      <c r="L7338" s="22" t="s">
        <v>104</v>
      </c>
      <c r="M7338" s="22" t="s">
        <v>372</v>
      </c>
    </row>
    <row r="7339" spans="1:13" x14ac:dyDescent="0.75">
      <c r="A7339" t="s">
        <v>11243</v>
      </c>
      <c r="B7339" t="s">
        <v>371</v>
      </c>
      <c r="C7339" t="s">
        <v>6093</v>
      </c>
      <c r="D7339" t="s">
        <v>7315</v>
      </c>
      <c r="E7339" t="s">
        <v>11244</v>
      </c>
      <c r="F7339">
        <v>171</v>
      </c>
      <c r="G7339">
        <v>2150497</v>
      </c>
      <c r="H7339" t="s">
        <v>11245</v>
      </c>
      <c r="J7339" s="54" t="s">
        <v>6052</v>
      </c>
      <c r="K7339" s="54">
        <v>0</v>
      </c>
      <c r="L7339" s="22" t="s">
        <v>104</v>
      </c>
      <c r="M7339" s="22" t="s">
        <v>372</v>
      </c>
    </row>
    <row r="7340" spans="1:13" x14ac:dyDescent="0.75">
      <c r="A7340" t="s">
        <v>11285</v>
      </c>
      <c r="B7340" t="s">
        <v>371</v>
      </c>
      <c r="C7340" t="s">
        <v>6093</v>
      </c>
      <c r="D7340" t="s">
        <v>7315</v>
      </c>
      <c r="E7340" t="s">
        <v>11286</v>
      </c>
      <c r="F7340">
        <v>61</v>
      </c>
      <c r="G7340">
        <v>2121511</v>
      </c>
      <c r="H7340" t="s">
        <v>11287</v>
      </c>
      <c r="J7340" s="54" t="s">
        <v>6052</v>
      </c>
      <c r="K7340" s="54">
        <v>0</v>
      </c>
      <c r="L7340" s="22" t="s">
        <v>104</v>
      </c>
      <c r="M7340" s="22" t="s">
        <v>372</v>
      </c>
    </row>
    <row r="7341" spans="1:13" x14ac:dyDescent="0.75">
      <c r="A7341" t="s">
        <v>23798</v>
      </c>
      <c r="B7341" t="s">
        <v>371</v>
      </c>
      <c r="C7341" t="s">
        <v>6093</v>
      </c>
      <c r="D7341" t="s">
        <v>7315</v>
      </c>
      <c r="E7341" t="s">
        <v>23799</v>
      </c>
      <c r="F7341">
        <v>159</v>
      </c>
      <c r="G7341">
        <v>2144018</v>
      </c>
      <c r="H7341" t="s">
        <v>23800</v>
      </c>
      <c r="J7341" s="54" t="s">
        <v>6052</v>
      </c>
      <c r="K7341" s="54">
        <v>0</v>
      </c>
      <c r="L7341" s="22" t="s">
        <v>104</v>
      </c>
      <c r="M7341" s="22" t="s">
        <v>372</v>
      </c>
    </row>
    <row r="7342" spans="1:13" x14ac:dyDescent="0.75">
      <c r="A7342" t="s">
        <v>11246</v>
      </c>
      <c r="B7342" t="s">
        <v>371</v>
      </c>
      <c r="C7342" t="s">
        <v>6093</v>
      </c>
      <c r="D7342" t="s">
        <v>7315</v>
      </c>
      <c r="E7342" t="s">
        <v>11247</v>
      </c>
      <c r="F7342">
        <v>48</v>
      </c>
      <c r="G7342">
        <v>2277235</v>
      </c>
      <c r="H7342" t="s">
        <v>11248</v>
      </c>
      <c r="J7342" s="54" t="s">
        <v>6052</v>
      </c>
      <c r="K7342" s="54">
        <v>0</v>
      </c>
      <c r="L7342" s="22" t="s">
        <v>104</v>
      </c>
      <c r="M7342" s="22" t="s">
        <v>372</v>
      </c>
    </row>
    <row r="7343" spans="1:13" x14ac:dyDescent="0.75">
      <c r="A7343" t="s">
        <v>11333</v>
      </c>
      <c r="B7343" t="s">
        <v>371</v>
      </c>
      <c r="C7343" t="s">
        <v>6093</v>
      </c>
      <c r="D7343" t="s">
        <v>7315</v>
      </c>
      <c r="E7343" t="s">
        <v>11334</v>
      </c>
      <c r="F7343">
        <v>120</v>
      </c>
      <c r="G7343">
        <v>2274657</v>
      </c>
      <c r="H7343" t="s">
        <v>11335</v>
      </c>
      <c r="J7343" s="54" t="s">
        <v>6052</v>
      </c>
      <c r="K7343" s="54">
        <v>0</v>
      </c>
      <c r="L7343" s="22" t="s">
        <v>104</v>
      </c>
      <c r="M7343" s="22" t="s">
        <v>372</v>
      </c>
    </row>
    <row r="7344" spans="1:13" x14ac:dyDescent="0.75">
      <c r="A7344" t="s">
        <v>11306</v>
      </c>
      <c r="B7344" t="s">
        <v>371</v>
      </c>
      <c r="C7344" t="s">
        <v>6093</v>
      </c>
      <c r="D7344" t="s">
        <v>7315</v>
      </c>
      <c r="E7344" t="s">
        <v>11307</v>
      </c>
      <c r="F7344">
        <v>121</v>
      </c>
      <c r="G7344">
        <v>2105780</v>
      </c>
      <c r="H7344" t="s">
        <v>11308</v>
      </c>
      <c r="J7344" s="54" t="s">
        <v>6052</v>
      </c>
      <c r="K7344" s="54">
        <v>0</v>
      </c>
      <c r="L7344" s="22" t="s">
        <v>104</v>
      </c>
      <c r="M7344" s="22" t="s">
        <v>372</v>
      </c>
    </row>
    <row r="7345" spans="1:13" x14ac:dyDescent="0.75">
      <c r="A7345" t="s">
        <v>11324</v>
      </c>
      <c r="B7345" t="s">
        <v>371</v>
      </c>
      <c r="C7345" t="s">
        <v>6093</v>
      </c>
      <c r="D7345" t="s">
        <v>7315</v>
      </c>
      <c r="E7345" t="s">
        <v>11325</v>
      </c>
      <c r="F7345">
        <v>158</v>
      </c>
      <c r="G7345">
        <v>2185482</v>
      </c>
      <c r="H7345" t="s">
        <v>11326</v>
      </c>
      <c r="J7345" s="54" t="s">
        <v>6052</v>
      </c>
      <c r="K7345" s="54">
        <v>0</v>
      </c>
      <c r="L7345" s="22" t="s">
        <v>104</v>
      </c>
      <c r="M7345" s="22" t="s">
        <v>372</v>
      </c>
    </row>
    <row r="7346" spans="1:13" x14ac:dyDescent="0.75">
      <c r="A7346" t="s">
        <v>16160</v>
      </c>
      <c r="B7346" t="s">
        <v>371</v>
      </c>
      <c r="C7346" t="s">
        <v>6093</v>
      </c>
      <c r="D7346" t="s">
        <v>7315</v>
      </c>
      <c r="E7346" t="s">
        <v>16161</v>
      </c>
      <c r="F7346">
        <v>22</v>
      </c>
      <c r="G7346">
        <v>2061849</v>
      </c>
      <c r="H7346" t="s">
        <v>16162</v>
      </c>
      <c r="J7346" s="54" t="s">
        <v>6052</v>
      </c>
      <c r="K7346" s="54">
        <v>0</v>
      </c>
      <c r="L7346" s="22" t="s">
        <v>104</v>
      </c>
      <c r="M7346" s="22" t="s">
        <v>372</v>
      </c>
    </row>
    <row r="7347" spans="1:13" x14ac:dyDescent="0.75">
      <c r="A7347" t="s">
        <v>7465</v>
      </c>
      <c r="B7347" t="s">
        <v>371</v>
      </c>
      <c r="C7347" t="s">
        <v>6093</v>
      </c>
      <c r="D7347" t="s">
        <v>7315</v>
      </c>
      <c r="E7347" t="s">
        <v>7466</v>
      </c>
      <c r="F7347">
        <v>81</v>
      </c>
      <c r="G7347">
        <v>2131530</v>
      </c>
      <c r="H7347" t="s">
        <v>7467</v>
      </c>
      <c r="J7347" s="54" t="s">
        <v>6052</v>
      </c>
      <c r="K7347" s="54">
        <v>0</v>
      </c>
      <c r="L7347" s="22" t="s">
        <v>104</v>
      </c>
      <c r="M7347" s="22" t="s">
        <v>372</v>
      </c>
    </row>
    <row r="7348" spans="1:13" x14ac:dyDescent="0.75">
      <c r="A7348" t="s">
        <v>17868</v>
      </c>
      <c r="B7348" t="s">
        <v>371</v>
      </c>
      <c r="C7348" t="s">
        <v>6093</v>
      </c>
      <c r="D7348" t="s">
        <v>7315</v>
      </c>
      <c r="E7348" t="s">
        <v>17836</v>
      </c>
      <c r="F7348">
        <v>7</v>
      </c>
      <c r="G7348">
        <v>2126190</v>
      </c>
      <c r="H7348" t="s">
        <v>17869</v>
      </c>
      <c r="J7348" s="54" t="s">
        <v>6052</v>
      </c>
      <c r="K7348" s="54">
        <v>0</v>
      </c>
      <c r="L7348" s="22" t="s">
        <v>104</v>
      </c>
      <c r="M7348" s="22" t="s">
        <v>372</v>
      </c>
    </row>
    <row r="7349" spans="1:13" x14ac:dyDescent="0.75">
      <c r="A7349" t="s">
        <v>17865</v>
      </c>
      <c r="B7349" t="s">
        <v>371</v>
      </c>
      <c r="C7349" t="s">
        <v>6093</v>
      </c>
      <c r="D7349" t="s">
        <v>7315</v>
      </c>
      <c r="E7349" t="s">
        <v>17866</v>
      </c>
      <c r="F7349">
        <v>18</v>
      </c>
      <c r="G7349">
        <v>2127529</v>
      </c>
      <c r="H7349" t="s">
        <v>17867</v>
      </c>
      <c r="J7349" s="54" t="s">
        <v>6052</v>
      </c>
      <c r="K7349" s="54">
        <v>0</v>
      </c>
      <c r="L7349" s="22" t="s">
        <v>104</v>
      </c>
      <c r="M7349" s="22" t="s">
        <v>372</v>
      </c>
    </row>
    <row r="7350" spans="1:13" x14ac:dyDescent="0.75">
      <c r="A7350" t="s">
        <v>17861</v>
      </c>
      <c r="B7350" t="s">
        <v>371</v>
      </c>
      <c r="C7350" t="s">
        <v>6093</v>
      </c>
      <c r="D7350" t="s">
        <v>7315</v>
      </c>
      <c r="E7350" t="s">
        <v>17833</v>
      </c>
      <c r="F7350">
        <v>159</v>
      </c>
      <c r="G7350">
        <v>2311450</v>
      </c>
      <c r="H7350" t="s">
        <v>17862</v>
      </c>
      <c r="J7350" s="54" t="s">
        <v>6052</v>
      </c>
      <c r="K7350" s="54">
        <v>0</v>
      </c>
      <c r="L7350" s="22" t="s">
        <v>104</v>
      </c>
      <c r="M7350" s="22" t="s">
        <v>372</v>
      </c>
    </row>
    <row r="7351" spans="1:13" x14ac:dyDescent="0.75">
      <c r="A7351" t="s">
        <v>17857</v>
      </c>
      <c r="B7351" t="s">
        <v>371</v>
      </c>
      <c r="C7351" t="s">
        <v>6093</v>
      </c>
      <c r="D7351" t="s">
        <v>7315</v>
      </c>
      <c r="E7351" t="s">
        <v>17830</v>
      </c>
      <c r="F7351">
        <v>12</v>
      </c>
      <c r="G7351">
        <v>2130061</v>
      </c>
      <c r="H7351" t="s">
        <v>17858</v>
      </c>
      <c r="J7351" s="54" t="s">
        <v>6052</v>
      </c>
      <c r="K7351" s="54">
        <v>0</v>
      </c>
      <c r="L7351" s="22" t="s">
        <v>104</v>
      </c>
      <c r="M7351" s="22" t="s">
        <v>372</v>
      </c>
    </row>
    <row r="7352" spans="1:13" x14ac:dyDescent="0.75">
      <c r="A7352" t="s">
        <v>17859</v>
      </c>
      <c r="B7352" t="s">
        <v>371</v>
      </c>
      <c r="C7352" t="s">
        <v>6093</v>
      </c>
      <c r="D7352" t="s">
        <v>7315</v>
      </c>
      <c r="E7352" t="s">
        <v>17827</v>
      </c>
      <c r="F7352">
        <v>17</v>
      </c>
      <c r="G7352">
        <v>2116342</v>
      </c>
      <c r="H7352" t="s">
        <v>17860</v>
      </c>
      <c r="J7352" s="54" t="s">
        <v>6052</v>
      </c>
      <c r="K7352" s="54">
        <v>0</v>
      </c>
      <c r="L7352" s="22" t="s">
        <v>104</v>
      </c>
      <c r="M7352" s="22" t="s">
        <v>372</v>
      </c>
    </row>
    <row r="7353" spans="1:13" x14ac:dyDescent="0.75">
      <c r="A7353" t="s">
        <v>17855</v>
      </c>
      <c r="B7353" t="s">
        <v>371</v>
      </c>
      <c r="C7353" t="s">
        <v>6093</v>
      </c>
      <c r="D7353" t="s">
        <v>7315</v>
      </c>
      <c r="E7353" t="s">
        <v>17824</v>
      </c>
      <c r="F7353">
        <v>12</v>
      </c>
      <c r="G7353">
        <v>2134553</v>
      </c>
      <c r="H7353" t="s">
        <v>17856</v>
      </c>
      <c r="J7353" s="54" t="s">
        <v>6052</v>
      </c>
      <c r="K7353" s="54">
        <v>0</v>
      </c>
      <c r="L7353" s="22" t="s">
        <v>104</v>
      </c>
      <c r="M7353" s="22" t="s">
        <v>372</v>
      </c>
    </row>
    <row r="7354" spans="1:13" x14ac:dyDescent="0.75">
      <c r="A7354" t="s">
        <v>17853</v>
      </c>
      <c r="B7354" t="s">
        <v>371</v>
      </c>
      <c r="C7354" t="s">
        <v>6093</v>
      </c>
      <c r="D7354" t="s">
        <v>7315</v>
      </c>
      <c r="E7354" t="s">
        <v>17821</v>
      </c>
      <c r="F7354">
        <v>14</v>
      </c>
      <c r="G7354">
        <v>2115174</v>
      </c>
      <c r="H7354" t="s">
        <v>17854</v>
      </c>
      <c r="J7354" s="54" t="s">
        <v>6052</v>
      </c>
      <c r="K7354" s="54">
        <v>0</v>
      </c>
      <c r="L7354" s="22" t="s">
        <v>104</v>
      </c>
      <c r="M7354" s="22" t="s">
        <v>372</v>
      </c>
    </row>
    <row r="7355" spans="1:13" x14ac:dyDescent="0.75">
      <c r="A7355" t="s">
        <v>17851</v>
      </c>
      <c r="B7355" t="s">
        <v>371</v>
      </c>
      <c r="C7355" t="s">
        <v>6093</v>
      </c>
      <c r="D7355" t="s">
        <v>7315</v>
      </c>
      <c r="E7355" t="s">
        <v>17815</v>
      </c>
      <c r="F7355">
        <v>11</v>
      </c>
      <c r="G7355">
        <v>2040715</v>
      </c>
      <c r="H7355" t="s">
        <v>17852</v>
      </c>
      <c r="J7355" s="54" t="s">
        <v>6052</v>
      </c>
      <c r="K7355" s="54">
        <v>0</v>
      </c>
      <c r="L7355" s="22" t="s">
        <v>104</v>
      </c>
      <c r="M7355" s="22" t="s">
        <v>372</v>
      </c>
    </row>
    <row r="7356" spans="1:13" x14ac:dyDescent="0.75">
      <c r="A7356" t="s">
        <v>27666</v>
      </c>
      <c r="B7356" t="s">
        <v>8899</v>
      </c>
      <c r="C7356" t="s">
        <v>6093</v>
      </c>
      <c r="D7356" t="s">
        <v>8900</v>
      </c>
      <c r="E7356" t="s">
        <v>27667</v>
      </c>
      <c r="F7356">
        <v>1</v>
      </c>
      <c r="G7356">
        <v>1875632</v>
      </c>
      <c r="H7356" t="s">
        <v>27668</v>
      </c>
      <c r="J7356" s="54" t="s">
        <v>6052</v>
      </c>
      <c r="K7356" s="54">
        <v>0</v>
      </c>
      <c r="L7356" s="22" t="s">
        <v>36804</v>
      </c>
      <c r="M7356" s="22" t="s">
        <v>37326</v>
      </c>
    </row>
    <row r="7357" spans="1:13" x14ac:dyDescent="0.75">
      <c r="A7357" t="s">
        <v>17883</v>
      </c>
      <c r="B7357" t="s">
        <v>371</v>
      </c>
      <c r="C7357" t="s">
        <v>6093</v>
      </c>
      <c r="D7357" t="s">
        <v>7315</v>
      </c>
      <c r="E7357" t="s">
        <v>17884</v>
      </c>
      <c r="F7357">
        <v>13</v>
      </c>
      <c r="G7357">
        <v>2107852</v>
      </c>
      <c r="H7357" t="s">
        <v>17885</v>
      </c>
      <c r="J7357" s="54" t="s">
        <v>6052</v>
      </c>
      <c r="K7357" s="54">
        <v>0</v>
      </c>
      <c r="L7357" s="22" t="s">
        <v>104</v>
      </c>
      <c r="M7357" s="22" t="s">
        <v>372</v>
      </c>
    </row>
    <row r="7358" spans="1:13" x14ac:dyDescent="0.75">
      <c r="A7358" t="s">
        <v>17880</v>
      </c>
      <c r="B7358" t="s">
        <v>371</v>
      </c>
      <c r="C7358" t="s">
        <v>6093</v>
      </c>
      <c r="D7358" t="s">
        <v>7315</v>
      </c>
      <c r="E7358" t="s">
        <v>17842</v>
      </c>
      <c r="F7358">
        <v>16</v>
      </c>
      <c r="G7358">
        <v>2151756</v>
      </c>
      <c r="H7358" t="s">
        <v>17881</v>
      </c>
      <c r="J7358" s="54" t="s">
        <v>6052</v>
      </c>
      <c r="K7358" s="54">
        <v>0</v>
      </c>
      <c r="L7358" s="22" t="s">
        <v>104</v>
      </c>
      <c r="M7358" s="22" t="s">
        <v>372</v>
      </c>
    </row>
    <row r="7359" spans="1:13" x14ac:dyDescent="0.75">
      <c r="A7359" t="s">
        <v>17876</v>
      </c>
      <c r="B7359" t="s">
        <v>371</v>
      </c>
      <c r="C7359" t="s">
        <v>6093</v>
      </c>
      <c r="D7359" t="s">
        <v>7315</v>
      </c>
      <c r="E7359" t="s">
        <v>17839</v>
      </c>
      <c r="F7359">
        <v>24</v>
      </c>
      <c r="G7359">
        <v>2114172</v>
      </c>
      <c r="H7359" t="s">
        <v>17877</v>
      </c>
      <c r="J7359" s="54" t="s">
        <v>6052</v>
      </c>
      <c r="K7359" s="54">
        <v>0</v>
      </c>
      <c r="L7359" s="22" t="s">
        <v>104</v>
      </c>
      <c r="M7359" s="22" t="s">
        <v>372</v>
      </c>
    </row>
    <row r="7360" spans="1:13" x14ac:dyDescent="0.75">
      <c r="A7360" t="s">
        <v>17873</v>
      </c>
      <c r="B7360" t="s">
        <v>371</v>
      </c>
      <c r="C7360" t="s">
        <v>6093</v>
      </c>
      <c r="D7360" t="s">
        <v>7315</v>
      </c>
      <c r="E7360" t="s">
        <v>17874</v>
      </c>
      <c r="F7360">
        <v>7</v>
      </c>
      <c r="G7360">
        <v>2126216</v>
      </c>
      <c r="H7360" t="s">
        <v>17875</v>
      </c>
      <c r="J7360" s="54" t="s">
        <v>6052</v>
      </c>
      <c r="K7360" s="54">
        <v>0</v>
      </c>
      <c r="L7360" s="22" t="s">
        <v>104</v>
      </c>
      <c r="M7360" s="22" t="s">
        <v>372</v>
      </c>
    </row>
    <row r="7361" spans="1:13" x14ac:dyDescent="0.75">
      <c r="A7361" t="s">
        <v>17870</v>
      </c>
      <c r="B7361" t="s">
        <v>371</v>
      </c>
      <c r="C7361" t="s">
        <v>6093</v>
      </c>
      <c r="D7361" t="s">
        <v>7315</v>
      </c>
      <c r="E7361" t="s">
        <v>17871</v>
      </c>
      <c r="F7361">
        <v>49</v>
      </c>
      <c r="G7361">
        <v>2102769</v>
      </c>
      <c r="H7361" t="s">
        <v>17872</v>
      </c>
      <c r="J7361" s="54" t="s">
        <v>6052</v>
      </c>
      <c r="K7361" s="54">
        <v>0</v>
      </c>
      <c r="L7361" s="22" t="s">
        <v>104</v>
      </c>
      <c r="M7361" s="22" t="s">
        <v>372</v>
      </c>
    </row>
    <row r="7362" spans="1:13" x14ac:dyDescent="0.75">
      <c r="A7362" t="s">
        <v>10459</v>
      </c>
      <c r="B7362" t="s">
        <v>371</v>
      </c>
      <c r="C7362" t="s">
        <v>6093</v>
      </c>
      <c r="D7362" t="s">
        <v>7315</v>
      </c>
      <c r="E7362" t="s">
        <v>10460</v>
      </c>
      <c r="F7362">
        <v>79</v>
      </c>
      <c r="G7362">
        <v>2039661</v>
      </c>
      <c r="H7362" t="s">
        <v>10461</v>
      </c>
      <c r="J7362" s="54" t="s">
        <v>6052</v>
      </c>
      <c r="K7362" s="54">
        <v>0</v>
      </c>
      <c r="L7362" s="22" t="s">
        <v>104</v>
      </c>
      <c r="M7362" s="22" t="s">
        <v>372</v>
      </c>
    </row>
    <row r="7363" spans="1:13" x14ac:dyDescent="0.75">
      <c r="A7363" t="s">
        <v>10093</v>
      </c>
      <c r="B7363" t="s">
        <v>371</v>
      </c>
      <c r="C7363" t="s">
        <v>6093</v>
      </c>
      <c r="D7363" t="s">
        <v>7315</v>
      </c>
      <c r="E7363" t="s">
        <v>10094</v>
      </c>
      <c r="F7363">
        <v>12</v>
      </c>
      <c r="G7363">
        <v>2189561</v>
      </c>
      <c r="H7363" t="s">
        <v>10095</v>
      </c>
      <c r="J7363" s="54" t="s">
        <v>6052</v>
      </c>
      <c r="K7363" s="54">
        <v>0</v>
      </c>
      <c r="L7363" s="22" t="s">
        <v>104</v>
      </c>
      <c r="M7363" s="22" t="s">
        <v>372</v>
      </c>
    </row>
    <row r="7364" spans="1:13" x14ac:dyDescent="0.75">
      <c r="A7364" t="s">
        <v>23672</v>
      </c>
      <c r="B7364" t="s">
        <v>371</v>
      </c>
      <c r="C7364" t="s">
        <v>6093</v>
      </c>
      <c r="D7364" t="s">
        <v>7315</v>
      </c>
      <c r="E7364" t="s">
        <v>23673</v>
      </c>
      <c r="F7364">
        <v>88</v>
      </c>
      <c r="G7364">
        <v>2293977</v>
      </c>
      <c r="H7364" t="s">
        <v>23674</v>
      </c>
      <c r="J7364" s="54" t="s">
        <v>6052</v>
      </c>
      <c r="K7364" s="54">
        <v>0</v>
      </c>
      <c r="L7364" s="22" t="s">
        <v>104</v>
      </c>
      <c r="M7364" s="22" t="s">
        <v>372</v>
      </c>
    </row>
    <row r="7365" spans="1:13" x14ac:dyDescent="0.75">
      <c r="A7365" t="s">
        <v>23639</v>
      </c>
      <c r="B7365" t="s">
        <v>371</v>
      </c>
      <c r="C7365" t="s">
        <v>6093</v>
      </c>
      <c r="D7365" t="s">
        <v>7315</v>
      </c>
      <c r="E7365" t="s">
        <v>23640</v>
      </c>
      <c r="F7365">
        <v>22</v>
      </c>
      <c r="G7365">
        <v>2104362</v>
      </c>
      <c r="H7365" t="s">
        <v>23641</v>
      </c>
      <c r="J7365" s="54" t="s">
        <v>6052</v>
      </c>
      <c r="K7365" s="54">
        <v>0</v>
      </c>
      <c r="L7365" s="22" t="s">
        <v>104</v>
      </c>
      <c r="M7365" s="22" t="s">
        <v>372</v>
      </c>
    </row>
    <row r="7366" spans="1:13" x14ac:dyDescent="0.75">
      <c r="A7366" t="s">
        <v>23684</v>
      </c>
      <c r="B7366" t="s">
        <v>371</v>
      </c>
      <c r="C7366" t="s">
        <v>6093</v>
      </c>
      <c r="D7366" t="s">
        <v>7315</v>
      </c>
      <c r="E7366" t="s">
        <v>23685</v>
      </c>
      <c r="F7366">
        <v>22</v>
      </c>
      <c r="G7366">
        <v>2072535</v>
      </c>
      <c r="H7366" t="s">
        <v>23686</v>
      </c>
      <c r="J7366" s="54" t="s">
        <v>6052</v>
      </c>
      <c r="K7366" s="54">
        <v>0</v>
      </c>
      <c r="L7366" s="22" t="s">
        <v>104</v>
      </c>
      <c r="M7366" s="22" t="s">
        <v>372</v>
      </c>
    </row>
    <row r="7367" spans="1:13" x14ac:dyDescent="0.75">
      <c r="A7367" t="s">
        <v>23642</v>
      </c>
      <c r="B7367" t="s">
        <v>371</v>
      </c>
      <c r="C7367" t="s">
        <v>6093</v>
      </c>
      <c r="D7367" t="s">
        <v>7315</v>
      </c>
      <c r="E7367" t="s">
        <v>23643</v>
      </c>
      <c r="F7367">
        <v>15</v>
      </c>
      <c r="G7367">
        <v>2113565</v>
      </c>
      <c r="H7367" t="s">
        <v>23644</v>
      </c>
      <c r="J7367" s="54" t="s">
        <v>6052</v>
      </c>
      <c r="K7367" s="54">
        <v>0</v>
      </c>
      <c r="L7367" s="22" t="s">
        <v>104</v>
      </c>
      <c r="M7367" s="22" t="s">
        <v>372</v>
      </c>
    </row>
    <row r="7368" spans="1:13" x14ac:dyDescent="0.75">
      <c r="A7368" t="s">
        <v>23633</v>
      </c>
      <c r="B7368" t="s">
        <v>371</v>
      </c>
      <c r="C7368" t="s">
        <v>6093</v>
      </c>
      <c r="D7368" t="s">
        <v>7315</v>
      </c>
      <c r="E7368" t="s">
        <v>23634</v>
      </c>
      <c r="F7368">
        <v>28</v>
      </c>
      <c r="G7368">
        <v>2106909</v>
      </c>
      <c r="H7368" t="s">
        <v>23635</v>
      </c>
      <c r="J7368" s="54" t="s">
        <v>6052</v>
      </c>
      <c r="K7368" s="54">
        <v>0</v>
      </c>
      <c r="L7368" s="22" t="s">
        <v>104</v>
      </c>
      <c r="M7368" s="22" t="s">
        <v>372</v>
      </c>
    </row>
    <row r="7369" spans="1:13" x14ac:dyDescent="0.75">
      <c r="A7369" t="s">
        <v>23663</v>
      </c>
      <c r="B7369" t="s">
        <v>371</v>
      </c>
      <c r="C7369" t="s">
        <v>6093</v>
      </c>
      <c r="D7369" t="s">
        <v>7315</v>
      </c>
      <c r="E7369" t="s">
        <v>23664</v>
      </c>
      <c r="F7369">
        <v>26</v>
      </c>
      <c r="G7369">
        <v>2106296</v>
      </c>
      <c r="H7369" t="s">
        <v>23665</v>
      </c>
      <c r="J7369" s="54" t="s">
        <v>6052</v>
      </c>
      <c r="K7369" s="54">
        <v>0</v>
      </c>
      <c r="L7369" s="22" t="s">
        <v>104</v>
      </c>
      <c r="M7369" s="22" t="s">
        <v>372</v>
      </c>
    </row>
    <row r="7370" spans="1:13" x14ac:dyDescent="0.75">
      <c r="A7370" t="s">
        <v>23678</v>
      </c>
      <c r="B7370" t="s">
        <v>371</v>
      </c>
      <c r="C7370" t="s">
        <v>6093</v>
      </c>
      <c r="D7370" t="s">
        <v>7315</v>
      </c>
      <c r="E7370" t="s">
        <v>23679</v>
      </c>
      <c r="F7370">
        <v>26</v>
      </c>
      <c r="G7370">
        <v>2106453</v>
      </c>
      <c r="H7370" t="s">
        <v>23680</v>
      </c>
      <c r="J7370" s="54" t="s">
        <v>6052</v>
      </c>
      <c r="K7370" s="54">
        <v>0</v>
      </c>
      <c r="L7370" s="22" t="s">
        <v>104</v>
      </c>
      <c r="M7370" s="22" t="s">
        <v>372</v>
      </c>
    </row>
    <row r="7371" spans="1:13" x14ac:dyDescent="0.75">
      <c r="A7371" t="s">
        <v>23669</v>
      </c>
      <c r="B7371" t="s">
        <v>371</v>
      </c>
      <c r="C7371" t="s">
        <v>6093</v>
      </c>
      <c r="D7371" t="s">
        <v>7315</v>
      </c>
      <c r="E7371" t="s">
        <v>23670</v>
      </c>
      <c r="F7371">
        <v>24</v>
      </c>
      <c r="G7371">
        <v>2107070</v>
      </c>
      <c r="H7371" t="s">
        <v>23671</v>
      </c>
      <c r="J7371" s="54" t="s">
        <v>6052</v>
      </c>
      <c r="K7371" s="54">
        <v>0</v>
      </c>
      <c r="L7371" s="22" t="s">
        <v>104</v>
      </c>
      <c r="M7371" s="22" t="s">
        <v>372</v>
      </c>
    </row>
    <row r="7372" spans="1:13" x14ac:dyDescent="0.75">
      <c r="A7372" t="s">
        <v>23621</v>
      </c>
      <c r="B7372" t="s">
        <v>371</v>
      </c>
      <c r="C7372" t="s">
        <v>6093</v>
      </c>
      <c r="D7372" t="s">
        <v>7315</v>
      </c>
      <c r="E7372" t="s">
        <v>23622</v>
      </c>
      <c r="F7372">
        <v>20</v>
      </c>
      <c r="G7372">
        <v>2107598</v>
      </c>
      <c r="H7372" t="s">
        <v>23623</v>
      </c>
      <c r="J7372" s="54" t="s">
        <v>6052</v>
      </c>
      <c r="K7372" s="54">
        <v>0</v>
      </c>
      <c r="L7372" s="22" t="s">
        <v>104</v>
      </c>
      <c r="M7372" s="22" t="s">
        <v>372</v>
      </c>
    </row>
    <row r="7373" spans="1:13" x14ac:dyDescent="0.75">
      <c r="A7373" t="s">
        <v>27614</v>
      </c>
      <c r="B7373" t="s">
        <v>7438</v>
      </c>
      <c r="C7373" t="s">
        <v>6093</v>
      </c>
      <c r="D7373" t="s">
        <v>7439</v>
      </c>
      <c r="E7373" t="s">
        <v>27615</v>
      </c>
      <c r="F7373">
        <v>12</v>
      </c>
      <c r="G7373">
        <v>2448053</v>
      </c>
      <c r="H7373" t="s">
        <v>27616</v>
      </c>
      <c r="J7373" s="54" t="s">
        <v>6052</v>
      </c>
      <c r="K7373" s="54">
        <v>0</v>
      </c>
      <c r="L7373" s="22" t="s">
        <v>1563</v>
      </c>
      <c r="M7373" s="22" t="s">
        <v>37328</v>
      </c>
    </row>
    <row r="7374" spans="1:13" x14ac:dyDescent="0.75">
      <c r="A7374" t="s">
        <v>13383</v>
      </c>
      <c r="B7374" t="s">
        <v>8899</v>
      </c>
      <c r="C7374" t="s">
        <v>6093</v>
      </c>
      <c r="D7374" t="s">
        <v>8900</v>
      </c>
      <c r="E7374" t="s">
        <v>13384</v>
      </c>
      <c r="F7374">
        <v>1</v>
      </c>
      <c r="G7374">
        <v>1914862</v>
      </c>
      <c r="H7374" t="s">
        <v>13385</v>
      </c>
      <c r="J7374" s="54" t="s">
        <v>6052</v>
      </c>
      <c r="K7374" s="54">
        <v>0</v>
      </c>
      <c r="L7374" s="22" t="s">
        <v>36804</v>
      </c>
      <c r="M7374" s="22" t="s">
        <v>37326</v>
      </c>
    </row>
    <row r="7375" spans="1:13" x14ac:dyDescent="0.75">
      <c r="A7375" t="s">
        <v>23645</v>
      </c>
      <c r="B7375" t="s">
        <v>371</v>
      </c>
      <c r="C7375" t="s">
        <v>6093</v>
      </c>
      <c r="D7375" t="s">
        <v>7315</v>
      </c>
      <c r="E7375" t="s">
        <v>23646</v>
      </c>
      <c r="F7375">
        <v>21</v>
      </c>
      <c r="G7375">
        <v>2069854</v>
      </c>
      <c r="H7375" t="s">
        <v>23647</v>
      </c>
      <c r="J7375" s="54" t="s">
        <v>6052</v>
      </c>
      <c r="K7375" s="54">
        <v>0</v>
      </c>
      <c r="L7375" s="22" t="s">
        <v>104</v>
      </c>
      <c r="M7375" s="22" t="s">
        <v>372</v>
      </c>
    </row>
    <row r="7376" spans="1:13" x14ac:dyDescent="0.75">
      <c r="A7376" t="s">
        <v>23666</v>
      </c>
      <c r="B7376" t="s">
        <v>371</v>
      </c>
      <c r="C7376" t="s">
        <v>6093</v>
      </c>
      <c r="D7376" t="s">
        <v>7315</v>
      </c>
      <c r="E7376" t="s">
        <v>23667</v>
      </c>
      <c r="F7376">
        <v>28</v>
      </c>
      <c r="G7376">
        <v>2106743</v>
      </c>
      <c r="H7376" t="s">
        <v>23668</v>
      </c>
      <c r="J7376" s="54" t="s">
        <v>6052</v>
      </c>
      <c r="K7376" s="54">
        <v>0</v>
      </c>
      <c r="L7376" s="22" t="s">
        <v>104</v>
      </c>
      <c r="M7376" s="22" t="s">
        <v>372</v>
      </c>
    </row>
    <row r="7377" spans="1:13" x14ac:dyDescent="0.75">
      <c r="A7377" t="s">
        <v>23699</v>
      </c>
      <c r="B7377" t="s">
        <v>371</v>
      </c>
      <c r="C7377" t="s">
        <v>6093</v>
      </c>
      <c r="D7377" t="s">
        <v>7315</v>
      </c>
      <c r="E7377" t="s">
        <v>23700</v>
      </c>
      <c r="F7377">
        <v>23</v>
      </c>
      <c r="G7377">
        <v>2068820</v>
      </c>
      <c r="H7377" t="s">
        <v>23701</v>
      </c>
      <c r="J7377" s="54" t="s">
        <v>6052</v>
      </c>
      <c r="K7377" s="54">
        <v>0</v>
      </c>
      <c r="L7377" s="22" t="s">
        <v>104</v>
      </c>
      <c r="M7377" s="22" t="s">
        <v>372</v>
      </c>
    </row>
    <row r="7378" spans="1:13" x14ac:dyDescent="0.75">
      <c r="A7378" t="s">
        <v>23609</v>
      </c>
      <c r="B7378" t="s">
        <v>371</v>
      </c>
      <c r="C7378" t="s">
        <v>6093</v>
      </c>
      <c r="D7378" t="s">
        <v>7315</v>
      </c>
      <c r="E7378" t="s">
        <v>23610</v>
      </c>
      <c r="F7378">
        <v>24</v>
      </c>
      <c r="G7378">
        <v>2106449</v>
      </c>
      <c r="H7378" t="s">
        <v>23611</v>
      </c>
      <c r="J7378" s="54" t="s">
        <v>6052</v>
      </c>
      <c r="K7378" s="54">
        <v>0</v>
      </c>
      <c r="L7378" s="22" t="s">
        <v>104</v>
      </c>
      <c r="M7378" s="22" t="s">
        <v>372</v>
      </c>
    </row>
    <row r="7379" spans="1:13" x14ac:dyDescent="0.75">
      <c r="A7379" t="s">
        <v>23615</v>
      </c>
      <c r="B7379" t="s">
        <v>371</v>
      </c>
      <c r="C7379" t="s">
        <v>6093</v>
      </c>
      <c r="D7379" t="s">
        <v>7315</v>
      </c>
      <c r="E7379" t="s">
        <v>23616</v>
      </c>
      <c r="F7379">
        <v>21</v>
      </c>
      <c r="G7379">
        <v>2069403</v>
      </c>
      <c r="H7379" t="s">
        <v>23617</v>
      </c>
      <c r="J7379" s="54" t="s">
        <v>6052</v>
      </c>
      <c r="K7379" s="54">
        <v>0</v>
      </c>
      <c r="L7379" s="22" t="s">
        <v>104</v>
      </c>
      <c r="M7379" s="22" t="s">
        <v>372</v>
      </c>
    </row>
    <row r="7380" spans="1:13" x14ac:dyDescent="0.75">
      <c r="A7380" t="s">
        <v>19812</v>
      </c>
      <c r="B7380" t="s">
        <v>371</v>
      </c>
      <c r="C7380" t="s">
        <v>6093</v>
      </c>
      <c r="D7380" t="s">
        <v>7315</v>
      </c>
      <c r="E7380" t="s">
        <v>19813</v>
      </c>
      <c r="F7380">
        <v>76</v>
      </c>
      <c r="G7380">
        <v>2113234</v>
      </c>
      <c r="H7380" t="s">
        <v>19814</v>
      </c>
      <c r="J7380" s="54" t="s">
        <v>6052</v>
      </c>
      <c r="K7380" s="54">
        <v>0</v>
      </c>
      <c r="L7380" s="22" t="s">
        <v>104</v>
      </c>
      <c r="M7380" s="22" t="s">
        <v>372</v>
      </c>
    </row>
    <row r="7381" spans="1:13" x14ac:dyDescent="0.75">
      <c r="A7381" t="s">
        <v>19827</v>
      </c>
      <c r="B7381" t="s">
        <v>371</v>
      </c>
      <c r="C7381" t="s">
        <v>6093</v>
      </c>
      <c r="D7381" t="s">
        <v>7315</v>
      </c>
      <c r="E7381" t="s">
        <v>19828</v>
      </c>
      <c r="F7381">
        <v>33</v>
      </c>
      <c r="G7381">
        <v>2071204</v>
      </c>
      <c r="H7381" t="s">
        <v>19829</v>
      </c>
      <c r="J7381" s="54" t="s">
        <v>6052</v>
      </c>
      <c r="K7381" s="54">
        <v>0</v>
      </c>
      <c r="L7381" s="22" t="s">
        <v>104</v>
      </c>
      <c r="M7381" s="22" t="s">
        <v>372</v>
      </c>
    </row>
    <row r="7382" spans="1:13" x14ac:dyDescent="0.75">
      <c r="A7382" t="s">
        <v>19800</v>
      </c>
      <c r="B7382" t="s">
        <v>371</v>
      </c>
      <c r="C7382" t="s">
        <v>6093</v>
      </c>
      <c r="D7382" t="s">
        <v>7315</v>
      </c>
      <c r="E7382" t="s">
        <v>19801</v>
      </c>
      <c r="F7382">
        <v>20</v>
      </c>
      <c r="G7382">
        <v>2168021</v>
      </c>
      <c r="H7382" t="s">
        <v>19802</v>
      </c>
      <c r="J7382" s="54" t="s">
        <v>6052</v>
      </c>
      <c r="K7382" s="54">
        <v>0</v>
      </c>
      <c r="L7382" s="22" t="s">
        <v>104</v>
      </c>
      <c r="M7382" s="22" t="s">
        <v>372</v>
      </c>
    </row>
    <row r="7383" spans="1:13" x14ac:dyDescent="0.75">
      <c r="A7383" t="s">
        <v>21789</v>
      </c>
      <c r="B7383" t="s">
        <v>371</v>
      </c>
      <c r="C7383" t="s">
        <v>6093</v>
      </c>
      <c r="D7383" t="s">
        <v>7315</v>
      </c>
      <c r="E7383" t="s">
        <v>21790</v>
      </c>
      <c r="F7383">
        <v>252</v>
      </c>
      <c r="G7383">
        <v>2204240</v>
      </c>
      <c r="H7383" t="s">
        <v>21791</v>
      </c>
      <c r="J7383" s="54" t="s">
        <v>6052</v>
      </c>
      <c r="K7383" s="54">
        <v>0</v>
      </c>
      <c r="L7383" s="22" t="s">
        <v>104</v>
      </c>
      <c r="M7383" s="22" t="s">
        <v>372</v>
      </c>
    </row>
    <row r="7384" spans="1:13" x14ac:dyDescent="0.75">
      <c r="A7384" t="s">
        <v>21769</v>
      </c>
      <c r="B7384" t="s">
        <v>371</v>
      </c>
      <c r="C7384" t="s">
        <v>6093</v>
      </c>
      <c r="D7384" t="s">
        <v>7315</v>
      </c>
      <c r="E7384" t="s">
        <v>21770</v>
      </c>
      <c r="F7384">
        <v>79</v>
      </c>
      <c r="G7384">
        <v>2129120</v>
      </c>
      <c r="H7384" t="s">
        <v>21771</v>
      </c>
      <c r="J7384" s="54" t="s">
        <v>6052</v>
      </c>
      <c r="K7384" s="54">
        <v>0</v>
      </c>
      <c r="L7384" s="22" t="s">
        <v>104</v>
      </c>
      <c r="M7384" s="22" t="s">
        <v>372</v>
      </c>
    </row>
    <row r="7385" spans="1:13" x14ac:dyDescent="0.75">
      <c r="A7385" t="s">
        <v>23752</v>
      </c>
      <c r="B7385" t="s">
        <v>371</v>
      </c>
      <c r="C7385" t="s">
        <v>6093</v>
      </c>
      <c r="D7385" t="s">
        <v>7315</v>
      </c>
      <c r="E7385" t="s">
        <v>23753</v>
      </c>
      <c r="F7385">
        <v>245</v>
      </c>
      <c r="G7385">
        <v>2204282</v>
      </c>
      <c r="H7385" t="s">
        <v>23754</v>
      </c>
      <c r="J7385" s="54" t="s">
        <v>6052</v>
      </c>
      <c r="K7385" s="54">
        <v>0</v>
      </c>
      <c r="L7385" s="22" t="s">
        <v>104</v>
      </c>
      <c r="M7385" s="22" t="s">
        <v>372</v>
      </c>
    </row>
    <row r="7386" spans="1:13" x14ac:dyDescent="0.75">
      <c r="A7386" t="s">
        <v>26428</v>
      </c>
      <c r="B7386" t="s">
        <v>371</v>
      </c>
      <c r="C7386" t="s">
        <v>6093</v>
      </c>
      <c r="D7386" t="s">
        <v>7315</v>
      </c>
      <c r="E7386" t="s">
        <v>26429</v>
      </c>
      <c r="F7386">
        <v>35</v>
      </c>
      <c r="G7386">
        <v>2139427</v>
      </c>
      <c r="H7386" t="s">
        <v>26430</v>
      </c>
      <c r="J7386" s="54" t="s">
        <v>6052</v>
      </c>
      <c r="K7386" s="54">
        <v>0</v>
      </c>
      <c r="L7386" s="22" t="s">
        <v>104</v>
      </c>
      <c r="M7386" s="22" t="s">
        <v>372</v>
      </c>
    </row>
    <row r="7387" spans="1:13" x14ac:dyDescent="0.75">
      <c r="A7387" t="s">
        <v>12646</v>
      </c>
      <c r="B7387" t="s">
        <v>371</v>
      </c>
      <c r="C7387" t="s">
        <v>6093</v>
      </c>
      <c r="D7387" t="s">
        <v>7315</v>
      </c>
      <c r="E7387" t="s">
        <v>12647</v>
      </c>
      <c r="F7387">
        <v>82</v>
      </c>
      <c r="G7387">
        <v>2105612</v>
      </c>
      <c r="H7387" t="s">
        <v>12648</v>
      </c>
      <c r="J7387" s="54" t="s">
        <v>6052</v>
      </c>
      <c r="K7387" s="54">
        <v>0</v>
      </c>
      <c r="L7387" s="22" t="s">
        <v>104</v>
      </c>
      <c r="M7387" s="22" t="s">
        <v>372</v>
      </c>
    </row>
    <row r="7388" spans="1:13" x14ac:dyDescent="0.75">
      <c r="A7388" t="s">
        <v>12891</v>
      </c>
      <c r="B7388" t="s">
        <v>371</v>
      </c>
      <c r="C7388" t="s">
        <v>6093</v>
      </c>
      <c r="D7388" t="s">
        <v>7315</v>
      </c>
      <c r="E7388" t="s">
        <v>12892</v>
      </c>
      <c r="F7388">
        <v>92</v>
      </c>
      <c r="G7388">
        <v>2214986</v>
      </c>
      <c r="H7388" t="s">
        <v>12893</v>
      </c>
      <c r="J7388" s="54" t="s">
        <v>6052</v>
      </c>
      <c r="K7388" s="54">
        <v>0</v>
      </c>
      <c r="L7388" s="22" t="s">
        <v>104</v>
      </c>
      <c r="M7388" s="22" t="s">
        <v>372</v>
      </c>
    </row>
    <row r="7389" spans="1:13" x14ac:dyDescent="0.75">
      <c r="A7389" t="s">
        <v>12972</v>
      </c>
      <c r="B7389" t="s">
        <v>371</v>
      </c>
      <c r="C7389" t="s">
        <v>6093</v>
      </c>
      <c r="D7389" t="s">
        <v>7315</v>
      </c>
      <c r="E7389" t="s">
        <v>12973</v>
      </c>
      <c r="F7389">
        <v>89</v>
      </c>
      <c r="G7389">
        <v>2170715</v>
      </c>
      <c r="H7389" t="s">
        <v>12974</v>
      </c>
      <c r="J7389" s="54" t="s">
        <v>6052</v>
      </c>
      <c r="K7389" s="54">
        <v>0</v>
      </c>
      <c r="L7389" s="22" t="s">
        <v>104</v>
      </c>
      <c r="M7389" s="22" t="s">
        <v>372</v>
      </c>
    </row>
    <row r="7390" spans="1:13" x14ac:dyDescent="0.75">
      <c r="A7390" t="s">
        <v>12870</v>
      </c>
      <c r="B7390" t="s">
        <v>371</v>
      </c>
      <c r="C7390" t="s">
        <v>6093</v>
      </c>
      <c r="D7390" t="s">
        <v>7315</v>
      </c>
      <c r="E7390" t="s">
        <v>12871</v>
      </c>
      <c r="F7390">
        <v>85</v>
      </c>
      <c r="G7390">
        <v>2132498</v>
      </c>
      <c r="H7390" t="s">
        <v>12872</v>
      </c>
      <c r="J7390" s="54" t="s">
        <v>6052</v>
      </c>
      <c r="K7390" s="54">
        <v>0</v>
      </c>
      <c r="L7390" s="22" t="s">
        <v>104</v>
      </c>
      <c r="M7390" s="22" t="s">
        <v>372</v>
      </c>
    </row>
    <row r="7391" spans="1:13" x14ac:dyDescent="0.75">
      <c r="A7391" t="s">
        <v>12882</v>
      </c>
      <c r="B7391" t="s">
        <v>371</v>
      </c>
      <c r="C7391" t="s">
        <v>6093</v>
      </c>
      <c r="D7391" t="s">
        <v>7315</v>
      </c>
      <c r="E7391" t="s">
        <v>12883</v>
      </c>
      <c r="F7391">
        <v>110</v>
      </c>
      <c r="G7391">
        <v>2235189</v>
      </c>
      <c r="H7391" t="s">
        <v>12884</v>
      </c>
      <c r="J7391" s="54" t="s">
        <v>6052</v>
      </c>
      <c r="K7391" s="54">
        <v>0</v>
      </c>
      <c r="L7391" s="22" t="s">
        <v>104</v>
      </c>
      <c r="M7391" s="22" t="s">
        <v>372</v>
      </c>
    </row>
    <row r="7392" spans="1:13" x14ac:dyDescent="0.75">
      <c r="A7392" t="s">
        <v>12810</v>
      </c>
      <c r="B7392" t="s">
        <v>371</v>
      </c>
      <c r="C7392" t="s">
        <v>6093</v>
      </c>
      <c r="D7392" t="s">
        <v>7315</v>
      </c>
      <c r="E7392" t="s">
        <v>12811</v>
      </c>
      <c r="F7392">
        <v>63</v>
      </c>
      <c r="G7392">
        <v>2022881</v>
      </c>
      <c r="H7392" t="s">
        <v>12812</v>
      </c>
      <c r="J7392" s="54" t="s">
        <v>6052</v>
      </c>
      <c r="K7392" s="54">
        <v>0</v>
      </c>
      <c r="L7392" s="22" t="s">
        <v>104</v>
      </c>
      <c r="M7392" s="22" t="s">
        <v>372</v>
      </c>
    </row>
    <row r="7393" spans="1:13" x14ac:dyDescent="0.75">
      <c r="A7393" t="s">
        <v>12643</v>
      </c>
      <c r="B7393" t="s">
        <v>371</v>
      </c>
      <c r="C7393" t="s">
        <v>6093</v>
      </c>
      <c r="D7393" t="s">
        <v>7315</v>
      </c>
      <c r="E7393" t="s">
        <v>12644</v>
      </c>
      <c r="F7393">
        <v>80</v>
      </c>
      <c r="G7393">
        <v>2093215</v>
      </c>
      <c r="H7393" t="s">
        <v>12645</v>
      </c>
      <c r="J7393" s="54" t="s">
        <v>6052</v>
      </c>
      <c r="K7393" s="54">
        <v>0</v>
      </c>
      <c r="L7393" s="22" t="s">
        <v>104</v>
      </c>
      <c r="M7393" s="22" t="s">
        <v>372</v>
      </c>
    </row>
    <row r="7394" spans="1:13" x14ac:dyDescent="0.75">
      <c r="A7394" t="s">
        <v>13064</v>
      </c>
      <c r="B7394" t="s">
        <v>371</v>
      </c>
      <c r="C7394" t="s">
        <v>6093</v>
      </c>
      <c r="D7394" t="s">
        <v>7315</v>
      </c>
      <c r="E7394" t="s">
        <v>13065</v>
      </c>
      <c r="F7394">
        <v>104</v>
      </c>
      <c r="G7394">
        <v>2216453</v>
      </c>
      <c r="H7394" t="s">
        <v>13066</v>
      </c>
      <c r="J7394" s="54" t="s">
        <v>6052</v>
      </c>
      <c r="K7394" s="54">
        <v>0</v>
      </c>
      <c r="L7394" s="22" t="s">
        <v>104</v>
      </c>
      <c r="M7394" s="22" t="s">
        <v>372</v>
      </c>
    </row>
    <row r="7395" spans="1:13" x14ac:dyDescent="0.75">
      <c r="A7395" t="s">
        <v>12897</v>
      </c>
      <c r="B7395" t="s">
        <v>371</v>
      </c>
      <c r="C7395" t="s">
        <v>6093</v>
      </c>
      <c r="D7395" t="s">
        <v>7315</v>
      </c>
      <c r="E7395" t="s">
        <v>12898</v>
      </c>
      <c r="F7395">
        <v>82</v>
      </c>
      <c r="G7395">
        <v>2163570</v>
      </c>
      <c r="H7395" t="s">
        <v>12899</v>
      </c>
      <c r="J7395" s="54" t="s">
        <v>6052</v>
      </c>
      <c r="K7395" s="54">
        <v>0</v>
      </c>
      <c r="L7395" s="22" t="s">
        <v>104</v>
      </c>
      <c r="M7395" s="22" t="s">
        <v>372</v>
      </c>
    </row>
    <row r="7396" spans="1:13" x14ac:dyDescent="0.75">
      <c r="A7396" t="s">
        <v>9627</v>
      </c>
      <c r="B7396" t="s">
        <v>371</v>
      </c>
      <c r="C7396" t="s">
        <v>6093</v>
      </c>
      <c r="D7396" t="s">
        <v>7315</v>
      </c>
      <c r="E7396" t="s">
        <v>9628</v>
      </c>
      <c r="F7396">
        <v>117</v>
      </c>
      <c r="G7396">
        <v>2334592</v>
      </c>
      <c r="H7396" t="s">
        <v>9629</v>
      </c>
      <c r="J7396" s="54" t="s">
        <v>6052</v>
      </c>
      <c r="K7396" s="54">
        <v>0</v>
      </c>
      <c r="L7396" s="22" t="s">
        <v>104</v>
      </c>
      <c r="M7396" s="22" t="s">
        <v>372</v>
      </c>
    </row>
    <row r="7397" spans="1:13" x14ac:dyDescent="0.75">
      <c r="A7397" t="s">
        <v>21566</v>
      </c>
      <c r="B7397" t="s">
        <v>371</v>
      </c>
      <c r="C7397" t="s">
        <v>6093</v>
      </c>
      <c r="D7397" t="s">
        <v>7315</v>
      </c>
      <c r="E7397" t="s">
        <v>21567</v>
      </c>
      <c r="F7397">
        <v>35</v>
      </c>
      <c r="G7397">
        <v>2235029</v>
      </c>
      <c r="H7397" t="s">
        <v>21568</v>
      </c>
      <c r="J7397" s="54" t="s">
        <v>6052</v>
      </c>
      <c r="K7397" s="54">
        <v>0</v>
      </c>
      <c r="L7397" s="22" t="s">
        <v>104</v>
      </c>
      <c r="M7397" s="22" t="s">
        <v>372</v>
      </c>
    </row>
    <row r="7398" spans="1:13" x14ac:dyDescent="0.75">
      <c r="A7398" t="s">
        <v>20978</v>
      </c>
      <c r="B7398" t="s">
        <v>371</v>
      </c>
      <c r="C7398" t="s">
        <v>6093</v>
      </c>
      <c r="D7398" t="s">
        <v>7315</v>
      </c>
      <c r="E7398" t="s">
        <v>20979</v>
      </c>
      <c r="F7398">
        <v>84</v>
      </c>
      <c r="G7398">
        <v>2042609</v>
      </c>
      <c r="H7398" t="s">
        <v>20980</v>
      </c>
      <c r="J7398" s="54" t="s">
        <v>6052</v>
      </c>
      <c r="K7398" s="54">
        <v>0</v>
      </c>
      <c r="L7398" s="22" t="s">
        <v>104</v>
      </c>
      <c r="M7398" s="22" t="s">
        <v>372</v>
      </c>
    </row>
    <row r="7399" spans="1:13" x14ac:dyDescent="0.75">
      <c r="A7399" t="s">
        <v>20824</v>
      </c>
      <c r="B7399" t="s">
        <v>371</v>
      </c>
      <c r="C7399" t="s">
        <v>6093</v>
      </c>
      <c r="D7399" t="s">
        <v>7315</v>
      </c>
      <c r="E7399" t="s">
        <v>20825</v>
      </c>
      <c r="F7399">
        <v>38</v>
      </c>
      <c r="G7399">
        <v>2093862</v>
      </c>
      <c r="H7399" t="s">
        <v>20826</v>
      </c>
      <c r="J7399" s="54" t="s">
        <v>6052</v>
      </c>
      <c r="K7399" s="54">
        <v>0</v>
      </c>
      <c r="L7399" s="22" t="s">
        <v>104</v>
      </c>
      <c r="M7399" s="22" t="s">
        <v>372</v>
      </c>
    </row>
    <row r="7400" spans="1:13" x14ac:dyDescent="0.75">
      <c r="A7400" t="s">
        <v>20821</v>
      </c>
      <c r="B7400" t="s">
        <v>371</v>
      </c>
      <c r="C7400" t="s">
        <v>6093</v>
      </c>
      <c r="D7400" t="s">
        <v>7315</v>
      </c>
      <c r="E7400" t="s">
        <v>20822</v>
      </c>
      <c r="F7400">
        <v>109</v>
      </c>
      <c r="G7400">
        <v>2074480</v>
      </c>
      <c r="H7400" t="s">
        <v>20823</v>
      </c>
      <c r="J7400" s="54" t="s">
        <v>6052</v>
      </c>
      <c r="K7400" s="54">
        <v>0</v>
      </c>
      <c r="L7400" s="22" t="s">
        <v>104</v>
      </c>
      <c r="M7400" s="22" t="s">
        <v>372</v>
      </c>
    </row>
    <row r="7401" spans="1:13" x14ac:dyDescent="0.75">
      <c r="A7401" t="s">
        <v>17440</v>
      </c>
      <c r="B7401" t="s">
        <v>371</v>
      </c>
      <c r="C7401" t="s">
        <v>6093</v>
      </c>
      <c r="D7401" t="s">
        <v>7315</v>
      </c>
      <c r="E7401" t="s">
        <v>17441</v>
      </c>
      <c r="F7401">
        <v>1</v>
      </c>
      <c r="G7401">
        <v>2133380</v>
      </c>
      <c r="H7401" t="s">
        <v>17442</v>
      </c>
      <c r="J7401" s="54" t="s">
        <v>6052</v>
      </c>
      <c r="K7401" s="54">
        <v>0</v>
      </c>
      <c r="L7401" s="22" t="s">
        <v>104</v>
      </c>
      <c r="M7401" s="22" t="s">
        <v>372</v>
      </c>
    </row>
    <row r="7402" spans="1:13" x14ac:dyDescent="0.75">
      <c r="A7402" t="s">
        <v>10828</v>
      </c>
      <c r="B7402" t="s">
        <v>371</v>
      </c>
      <c r="C7402" t="s">
        <v>6093</v>
      </c>
      <c r="D7402" t="s">
        <v>7315</v>
      </c>
      <c r="E7402" t="s">
        <v>10829</v>
      </c>
      <c r="F7402">
        <v>2</v>
      </c>
      <c r="G7402">
        <v>2098457</v>
      </c>
      <c r="H7402" t="s">
        <v>10830</v>
      </c>
      <c r="J7402" s="54" t="s">
        <v>6052</v>
      </c>
      <c r="K7402" s="54">
        <v>0</v>
      </c>
      <c r="L7402" s="22" t="s">
        <v>104</v>
      </c>
      <c r="M7402" s="22" t="s">
        <v>372</v>
      </c>
    </row>
    <row r="7403" spans="1:13" x14ac:dyDescent="0.75">
      <c r="A7403" t="s">
        <v>16523</v>
      </c>
      <c r="B7403" t="s">
        <v>371</v>
      </c>
      <c r="C7403" t="s">
        <v>6093</v>
      </c>
      <c r="D7403" t="s">
        <v>7315</v>
      </c>
      <c r="E7403" t="s">
        <v>16524</v>
      </c>
      <c r="F7403">
        <v>29</v>
      </c>
      <c r="G7403">
        <v>2081775</v>
      </c>
      <c r="H7403" t="s">
        <v>16525</v>
      </c>
      <c r="J7403" s="54" t="s">
        <v>6052</v>
      </c>
      <c r="K7403" s="54">
        <v>0</v>
      </c>
      <c r="L7403" s="22" t="s">
        <v>104</v>
      </c>
      <c r="M7403" s="22" t="s">
        <v>372</v>
      </c>
    </row>
    <row r="7404" spans="1:13" x14ac:dyDescent="0.75">
      <c r="A7404" t="s">
        <v>24719</v>
      </c>
      <c r="B7404" t="s">
        <v>371</v>
      </c>
      <c r="C7404" t="s">
        <v>6093</v>
      </c>
      <c r="D7404" t="s">
        <v>7315</v>
      </c>
      <c r="E7404" t="s">
        <v>24720</v>
      </c>
      <c r="F7404">
        <v>3</v>
      </c>
      <c r="G7404">
        <v>2057713</v>
      </c>
      <c r="H7404" t="s">
        <v>24721</v>
      </c>
      <c r="J7404" s="54" t="s">
        <v>6052</v>
      </c>
      <c r="K7404" s="54">
        <v>0</v>
      </c>
      <c r="L7404" s="22" t="s">
        <v>104</v>
      </c>
      <c r="M7404" s="22" t="s">
        <v>372</v>
      </c>
    </row>
    <row r="7405" spans="1:13" x14ac:dyDescent="0.75">
      <c r="A7405" t="s">
        <v>21037</v>
      </c>
      <c r="B7405" t="s">
        <v>371</v>
      </c>
      <c r="C7405" t="s">
        <v>6093</v>
      </c>
      <c r="D7405" t="s">
        <v>7315</v>
      </c>
      <c r="E7405" t="s">
        <v>21038</v>
      </c>
      <c r="F7405">
        <v>20</v>
      </c>
      <c r="G7405">
        <v>1844091</v>
      </c>
      <c r="H7405" t="s">
        <v>21039</v>
      </c>
      <c r="J7405" s="54" t="s">
        <v>6052</v>
      </c>
      <c r="K7405" s="54">
        <v>0</v>
      </c>
      <c r="L7405" s="22" t="s">
        <v>104</v>
      </c>
      <c r="M7405" s="22" t="s">
        <v>372</v>
      </c>
    </row>
    <row r="7406" spans="1:13" x14ac:dyDescent="0.75">
      <c r="A7406" t="s">
        <v>21034</v>
      </c>
      <c r="B7406" t="s">
        <v>371</v>
      </c>
      <c r="C7406" t="s">
        <v>6093</v>
      </c>
      <c r="D7406" t="s">
        <v>7315</v>
      </c>
      <c r="E7406" t="s">
        <v>21035</v>
      </c>
      <c r="F7406">
        <v>41</v>
      </c>
      <c r="G7406">
        <v>1965434</v>
      </c>
      <c r="H7406" t="s">
        <v>21036</v>
      </c>
      <c r="J7406" s="54" t="s">
        <v>6052</v>
      </c>
      <c r="K7406" s="54">
        <v>0</v>
      </c>
      <c r="L7406" s="22" t="s">
        <v>104</v>
      </c>
      <c r="M7406" s="22" t="s">
        <v>372</v>
      </c>
    </row>
    <row r="7407" spans="1:13" x14ac:dyDescent="0.75">
      <c r="A7407" t="s">
        <v>21031</v>
      </c>
      <c r="B7407" t="s">
        <v>371</v>
      </c>
      <c r="C7407" t="s">
        <v>6093</v>
      </c>
      <c r="D7407" t="s">
        <v>7315</v>
      </c>
      <c r="E7407" t="s">
        <v>21032</v>
      </c>
      <c r="F7407">
        <v>56</v>
      </c>
      <c r="G7407">
        <v>2155463</v>
      </c>
      <c r="H7407" t="s">
        <v>21033</v>
      </c>
      <c r="J7407" s="54" t="s">
        <v>6052</v>
      </c>
      <c r="K7407" s="54">
        <v>0</v>
      </c>
      <c r="L7407" s="22" t="s">
        <v>104</v>
      </c>
      <c r="M7407" s="22" t="s">
        <v>372</v>
      </c>
    </row>
    <row r="7408" spans="1:13" x14ac:dyDescent="0.75">
      <c r="A7408" t="s">
        <v>12033</v>
      </c>
      <c r="B7408" t="s">
        <v>371</v>
      </c>
      <c r="C7408" t="s">
        <v>6093</v>
      </c>
      <c r="D7408" t="s">
        <v>7315</v>
      </c>
      <c r="E7408" t="s">
        <v>12034</v>
      </c>
      <c r="F7408">
        <v>117</v>
      </c>
      <c r="G7408">
        <v>2042421</v>
      </c>
      <c r="H7408" t="s">
        <v>12035</v>
      </c>
      <c r="J7408" s="54" t="s">
        <v>6052</v>
      </c>
      <c r="K7408" s="54">
        <v>0</v>
      </c>
      <c r="L7408" s="22" t="s">
        <v>104</v>
      </c>
      <c r="M7408" s="22" t="s">
        <v>372</v>
      </c>
    </row>
    <row r="7409" spans="1:13" x14ac:dyDescent="0.75">
      <c r="A7409" t="s">
        <v>23111</v>
      </c>
      <c r="B7409" t="s">
        <v>371</v>
      </c>
      <c r="C7409" t="s">
        <v>6093</v>
      </c>
      <c r="D7409" t="s">
        <v>7315</v>
      </c>
      <c r="E7409" t="s">
        <v>23112</v>
      </c>
      <c r="F7409">
        <v>39</v>
      </c>
      <c r="G7409">
        <v>2191303</v>
      </c>
      <c r="H7409" t="s">
        <v>23113</v>
      </c>
      <c r="J7409" s="54" t="s">
        <v>6052</v>
      </c>
      <c r="K7409" s="54">
        <v>0</v>
      </c>
      <c r="L7409" s="22" t="s">
        <v>104</v>
      </c>
      <c r="M7409" s="22" t="s">
        <v>372</v>
      </c>
    </row>
    <row r="7410" spans="1:13" x14ac:dyDescent="0.75">
      <c r="A7410" t="s">
        <v>23078</v>
      </c>
      <c r="B7410" t="s">
        <v>371</v>
      </c>
      <c r="C7410" t="s">
        <v>6093</v>
      </c>
      <c r="D7410" t="s">
        <v>7315</v>
      </c>
      <c r="E7410" t="s">
        <v>23079</v>
      </c>
      <c r="F7410">
        <v>44</v>
      </c>
      <c r="G7410">
        <v>2203102</v>
      </c>
      <c r="H7410" t="s">
        <v>23080</v>
      </c>
      <c r="J7410" s="54" t="s">
        <v>6052</v>
      </c>
      <c r="K7410" s="54">
        <v>0</v>
      </c>
      <c r="L7410" s="22" t="s">
        <v>104</v>
      </c>
      <c r="M7410" s="22" t="s">
        <v>372</v>
      </c>
    </row>
    <row r="7411" spans="1:13" x14ac:dyDescent="0.75">
      <c r="A7411" t="s">
        <v>21558</v>
      </c>
      <c r="B7411" t="s">
        <v>371</v>
      </c>
      <c r="C7411" t="s">
        <v>6093</v>
      </c>
      <c r="D7411" t="s">
        <v>7315</v>
      </c>
      <c r="E7411" t="s">
        <v>21559</v>
      </c>
      <c r="F7411">
        <v>35</v>
      </c>
      <c r="G7411">
        <v>2075709</v>
      </c>
      <c r="H7411" t="s">
        <v>21560</v>
      </c>
      <c r="J7411" s="54" t="s">
        <v>6052</v>
      </c>
      <c r="K7411" s="54">
        <v>0</v>
      </c>
      <c r="L7411" s="22" t="s">
        <v>104</v>
      </c>
      <c r="M7411" s="22" t="s">
        <v>372</v>
      </c>
    </row>
    <row r="7412" spans="1:13" x14ac:dyDescent="0.75">
      <c r="A7412" t="s">
        <v>26270</v>
      </c>
      <c r="B7412" t="s">
        <v>371</v>
      </c>
      <c r="C7412" t="s">
        <v>6093</v>
      </c>
      <c r="D7412" t="s">
        <v>7315</v>
      </c>
      <c r="E7412" t="s">
        <v>26271</v>
      </c>
      <c r="F7412">
        <v>28</v>
      </c>
      <c r="G7412">
        <v>2224732</v>
      </c>
      <c r="H7412" t="s">
        <v>26272</v>
      </c>
      <c r="J7412" s="54" t="s">
        <v>6052</v>
      </c>
      <c r="K7412" s="54">
        <v>0</v>
      </c>
      <c r="L7412" s="22" t="s">
        <v>104</v>
      </c>
      <c r="M7412" s="22" t="s">
        <v>372</v>
      </c>
    </row>
    <row r="7413" spans="1:13" x14ac:dyDescent="0.75">
      <c r="A7413" t="s">
        <v>30010</v>
      </c>
      <c r="B7413" t="s">
        <v>371</v>
      </c>
      <c r="C7413" t="s">
        <v>6093</v>
      </c>
      <c r="D7413" t="s">
        <v>7315</v>
      </c>
      <c r="E7413" t="s">
        <v>30011</v>
      </c>
      <c r="F7413">
        <v>72</v>
      </c>
      <c r="G7413">
        <v>2057817</v>
      </c>
      <c r="H7413" t="s">
        <v>30012</v>
      </c>
      <c r="J7413" s="54" t="s">
        <v>6052</v>
      </c>
      <c r="K7413" s="54">
        <v>0</v>
      </c>
      <c r="L7413" s="22" t="s">
        <v>104</v>
      </c>
      <c r="M7413" s="22" t="s">
        <v>372</v>
      </c>
    </row>
    <row r="7414" spans="1:13" x14ac:dyDescent="0.75">
      <c r="A7414" t="s">
        <v>30622</v>
      </c>
      <c r="B7414" t="s">
        <v>371</v>
      </c>
      <c r="C7414" t="s">
        <v>6093</v>
      </c>
      <c r="D7414" t="s">
        <v>7315</v>
      </c>
      <c r="E7414" t="s">
        <v>30623</v>
      </c>
      <c r="F7414">
        <v>113</v>
      </c>
      <c r="G7414">
        <v>1898076</v>
      </c>
      <c r="H7414" t="s">
        <v>30624</v>
      </c>
      <c r="J7414" s="54" t="s">
        <v>6052</v>
      </c>
      <c r="K7414" s="54">
        <v>0</v>
      </c>
      <c r="L7414" s="22" t="s">
        <v>104</v>
      </c>
      <c r="M7414" s="22" t="s">
        <v>372</v>
      </c>
    </row>
    <row r="7415" spans="1:13" x14ac:dyDescent="0.75">
      <c r="A7415" t="s">
        <v>30539</v>
      </c>
      <c r="B7415" t="s">
        <v>371</v>
      </c>
      <c r="C7415" t="s">
        <v>6093</v>
      </c>
      <c r="D7415" t="s">
        <v>7315</v>
      </c>
      <c r="E7415" t="s">
        <v>30540</v>
      </c>
      <c r="F7415">
        <v>75</v>
      </c>
      <c r="G7415">
        <v>2027563</v>
      </c>
      <c r="H7415" t="s">
        <v>30541</v>
      </c>
      <c r="J7415" s="54" t="s">
        <v>6052</v>
      </c>
      <c r="K7415" s="54">
        <v>0</v>
      </c>
      <c r="L7415" s="22" t="s">
        <v>104</v>
      </c>
      <c r="M7415" s="22" t="s">
        <v>372</v>
      </c>
    </row>
    <row r="7416" spans="1:13" x14ac:dyDescent="0.75">
      <c r="A7416" t="s">
        <v>15537</v>
      </c>
      <c r="B7416" t="s">
        <v>371</v>
      </c>
      <c r="C7416" t="s">
        <v>6093</v>
      </c>
      <c r="D7416" t="s">
        <v>7315</v>
      </c>
      <c r="E7416" t="s">
        <v>15538</v>
      </c>
      <c r="F7416">
        <v>85</v>
      </c>
      <c r="G7416">
        <v>2029175</v>
      </c>
      <c r="H7416" t="s">
        <v>15539</v>
      </c>
      <c r="J7416" s="54" t="s">
        <v>6052</v>
      </c>
      <c r="K7416" s="54">
        <v>0</v>
      </c>
      <c r="L7416" s="22" t="s">
        <v>104</v>
      </c>
      <c r="M7416" s="22" t="s">
        <v>372</v>
      </c>
    </row>
    <row r="7417" spans="1:13" x14ac:dyDescent="0.75">
      <c r="A7417" t="s">
        <v>7468</v>
      </c>
      <c r="B7417" t="s">
        <v>7469</v>
      </c>
      <c r="C7417" t="s">
        <v>6093</v>
      </c>
      <c r="D7417" t="s">
        <v>7470</v>
      </c>
      <c r="E7417" t="s">
        <v>7471</v>
      </c>
      <c r="F7417">
        <v>16</v>
      </c>
      <c r="G7417">
        <v>1639920</v>
      </c>
      <c r="H7417" t="s">
        <v>7472</v>
      </c>
      <c r="J7417" s="54" t="s">
        <v>6052</v>
      </c>
      <c r="K7417" s="54">
        <v>0</v>
      </c>
      <c r="L7417" s="22" t="s">
        <v>104</v>
      </c>
      <c r="M7417" s="22" t="s">
        <v>37329</v>
      </c>
    </row>
    <row r="7418" spans="1:13" x14ac:dyDescent="0.75">
      <c r="A7418" t="s">
        <v>30604</v>
      </c>
      <c r="B7418" t="s">
        <v>7469</v>
      </c>
      <c r="C7418" t="s">
        <v>6093</v>
      </c>
      <c r="D7418" t="s">
        <v>7470</v>
      </c>
      <c r="E7418" t="s">
        <v>30605</v>
      </c>
      <c r="F7418">
        <v>144</v>
      </c>
      <c r="G7418">
        <v>1286114</v>
      </c>
      <c r="H7418" t="s">
        <v>30606</v>
      </c>
      <c r="J7418" s="54" t="s">
        <v>6052</v>
      </c>
      <c r="K7418" s="54">
        <v>0</v>
      </c>
      <c r="L7418" s="22" t="s">
        <v>104</v>
      </c>
      <c r="M7418" s="22" t="s">
        <v>37329</v>
      </c>
    </row>
    <row r="7419" spans="1:13" x14ac:dyDescent="0.75">
      <c r="A7419" t="s">
        <v>13109</v>
      </c>
      <c r="B7419" t="s">
        <v>7469</v>
      </c>
      <c r="C7419" t="s">
        <v>6093</v>
      </c>
      <c r="D7419" t="s">
        <v>7470</v>
      </c>
      <c r="E7419" t="s">
        <v>13110</v>
      </c>
      <c r="F7419">
        <v>30</v>
      </c>
      <c r="G7419">
        <v>1720476</v>
      </c>
      <c r="H7419" t="s">
        <v>13111</v>
      </c>
      <c r="J7419" s="54" t="s">
        <v>6052</v>
      </c>
      <c r="K7419" s="54">
        <v>0</v>
      </c>
      <c r="L7419" s="22" t="s">
        <v>104</v>
      </c>
      <c r="M7419" s="22" t="s">
        <v>37329</v>
      </c>
    </row>
    <row r="7420" spans="1:13" x14ac:dyDescent="0.75">
      <c r="A7420" t="s">
        <v>28499</v>
      </c>
      <c r="B7420" t="s">
        <v>7469</v>
      </c>
      <c r="C7420" t="s">
        <v>6093</v>
      </c>
      <c r="D7420" t="s">
        <v>7470</v>
      </c>
      <c r="E7420" t="s">
        <v>28500</v>
      </c>
      <c r="F7420">
        <v>25</v>
      </c>
      <c r="G7420">
        <v>976909</v>
      </c>
      <c r="H7420" t="s">
        <v>28501</v>
      </c>
      <c r="J7420" s="54" t="s">
        <v>6052</v>
      </c>
      <c r="K7420" s="54">
        <v>0</v>
      </c>
      <c r="L7420" s="22" t="s">
        <v>104</v>
      </c>
      <c r="M7420" s="22" t="s">
        <v>37329</v>
      </c>
    </row>
    <row r="7421" spans="1:13" x14ac:dyDescent="0.75">
      <c r="A7421" t="s">
        <v>19948</v>
      </c>
      <c r="B7421" t="s">
        <v>6092</v>
      </c>
      <c r="C7421" t="s">
        <v>6093</v>
      </c>
      <c r="D7421" t="s">
        <v>6094</v>
      </c>
      <c r="E7421">
        <v>310</v>
      </c>
      <c r="F7421">
        <v>1</v>
      </c>
      <c r="G7421">
        <v>2121469</v>
      </c>
      <c r="H7421" t="s">
        <v>19949</v>
      </c>
      <c r="J7421" s="54" t="s">
        <v>6052</v>
      </c>
      <c r="K7421" s="54">
        <v>0</v>
      </c>
      <c r="L7421" s="22" t="s">
        <v>104</v>
      </c>
      <c r="M7421" s="22" t="s">
        <v>37311</v>
      </c>
    </row>
    <row r="7422" spans="1:13" x14ac:dyDescent="0.75">
      <c r="A7422" t="s">
        <v>19950</v>
      </c>
      <c r="B7422" t="s">
        <v>6092</v>
      </c>
      <c r="C7422" t="s">
        <v>6093</v>
      </c>
      <c r="D7422" t="s">
        <v>6094</v>
      </c>
      <c r="E7422">
        <v>475</v>
      </c>
      <c r="F7422">
        <v>1</v>
      </c>
      <c r="G7422">
        <v>2180123</v>
      </c>
      <c r="H7422" t="s">
        <v>19951</v>
      </c>
      <c r="J7422" s="54" t="s">
        <v>6052</v>
      </c>
      <c r="K7422" s="54">
        <v>0</v>
      </c>
      <c r="L7422" s="22" t="s">
        <v>104</v>
      </c>
      <c r="M7422" s="22" t="s">
        <v>37311</v>
      </c>
    </row>
    <row r="7423" spans="1:13" x14ac:dyDescent="0.75">
      <c r="A7423" t="s">
        <v>16602</v>
      </c>
      <c r="B7423" t="s">
        <v>6092</v>
      </c>
      <c r="C7423" t="s">
        <v>6093</v>
      </c>
      <c r="D7423" t="s">
        <v>6094</v>
      </c>
      <c r="E7423">
        <v>521</v>
      </c>
      <c r="F7423">
        <v>1</v>
      </c>
      <c r="G7423">
        <v>2041494</v>
      </c>
      <c r="H7423" t="s">
        <v>16603</v>
      </c>
      <c r="J7423" s="54" t="s">
        <v>6052</v>
      </c>
      <c r="K7423" s="54">
        <v>0</v>
      </c>
      <c r="L7423" s="22" t="s">
        <v>104</v>
      </c>
      <c r="M7423" s="22" t="s">
        <v>37311</v>
      </c>
    </row>
    <row r="7424" spans="1:13" x14ac:dyDescent="0.75">
      <c r="A7424" t="s">
        <v>19952</v>
      </c>
      <c r="B7424" t="s">
        <v>6092</v>
      </c>
      <c r="C7424" t="s">
        <v>6093</v>
      </c>
      <c r="D7424" t="s">
        <v>6094</v>
      </c>
      <c r="E7424">
        <v>521</v>
      </c>
      <c r="F7424">
        <v>1</v>
      </c>
      <c r="G7424">
        <v>2141347</v>
      </c>
      <c r="H7424" t="s">
        <v>19953</v>
      </c>
      <c r="J7424" s="54" t="s">
        <v>6052</v>
      </c>
      <c r="K7424" s="54">
        <v>0</v>
      </c>
      <c r="L7424" s="22" t="s">
        <v>104</v>
      </c>
      <c r="M7424" s="22" t="s">
        <v>37311</v>
      </c>
    </row>
    <row r="7425" spans="1:13" x14ac:dyDescent="0.75">
      <c r="A7425" t="s">
        <v>19954</v>
      </c>
      <c r="B7425" t="s">
        <v>6092</v>
      </c>
      <c r="C7425" t="s">
        <v>6093</v>
      </c>
      <c r="D7425" t="s">
        <v>6094</v>
      </c>
      <c r="E7425">
        <v>563</v>
      </c>
      <c r="F7425">
        <v>1</v>
      </c>
      <c r="G7425">
        <v>2140016</v>
      </c>
      <c r="H7425" t="s">
        <v>19955</v>
      </c>
      <c r="J7425" s="54" t="s">
        <v>6052</v>
      </c>
      <c r="K7425" s="54">
        <v>0</v>
      </c>
      <c r="L7425" s="22" t="s">
        <v>104</v>
      </c>
      <c r="M7425" s="22" t="s">
        <v>37311</v>
      </c>
    </row>
    <row r="7426" spans="1:13" x14ac:dyDescent="0.75">
      <c r="A7426" t="s">
        <v>27898</v>
      </c>
      <c r="B7426" t="s">
        <v>6092</v>
      </c>
      <c r="C7426" t="s">
        <v>6093</v>
      </c>
      <c r="D7426" t="s">
        <v>6094</v>
      </c>
      <c r="E7426">
        <v>947</v>
      </c>
      <c r="F7426">
        <v>1</v>
      </c>
      <c r="G7426">
        <v>2109624</v>
      </c>
      <c r="H7426" t="s">
        <v>27899</v>
      </c>
      <c r="J7426" s="54" t="s">
        <v>6052</v>
      </c>
      <c r="K7426" s="54">
        <v>0</v>
      </c>
      <c r="L7426" s="22" t="s">
        <v>104</v>
      </c>
      <c r="M7426" s="22" t="s">
        <v>37311</v>
      </c>
    </row>
    <row r="7427" spans="1:13" x14ac:dyDescent="0.75">
      <c r="A7427" t="s">
        <v>6331</v>
      </c>
      <c r="B7427" t="s">
        <v>6092</v>
      </c>
      <c r="C7427" t="s">
        <v>6093</v>
      </c>
      <c r="D7427" t="s">
        <v>6094</v>
      </c>
      <c r="E7427">
        <v>70585</v>
      </c>
      <c r="F7427">
        <v>1</v>
      </c>
      <c r="G7427">
        <v>2184682</v>
      </c>
      <c r="H7427" t="s">
        <v>6332</v>
      </c>
      <c r="J7427" s="54" t="s">
        <v>6052</v>
      </c>
      <c r="K7427" s="54">
        <v>0</v>
      </c>
      <c r="L7427" s="22" t="s">
        <v>104</v>
      </c>
      <c r="M7427" s="22" t="s">
        <v>37311</v>
      </c>
    </row>
    <row r="7428" spans="1:13" x14ac:dyDescent="0.75">
      <c r="A7428" t="s">
        <v>22153</v>
      </c>
      <c r="B7428" t="s">
        <v>6092</v>
      </c>
      <c r="C7428" t="s">
        <v>6093</v>
      </c>
      <c r="D7428" t="s">
        <v>6094</v>
      </c>
      <c r="E7428" t="s">
        <v>22154</v>
      </c>
      <c r="F7428">
        <v>1</v>
      </c>
      <c r="G7428">
        <v>2159119</v>
      </c>
      <c r="H7428" t="s">
        <v>22155</v>
      </c>
      <c r="J7428" s="54" t="s">
        <v>6052</v>
      </c>
      <c r="K7428" s="54">
        <v>0</v>
      </c>
      <c r="L7428" s="22" t="s">
        <v>104</v>
      </c>
      <c r="M7428" s="22" t="s">
        <v>37311</v>
      </c>
    </row>
    <row r="7429" spans="1:13" x14ac:dyDescent="0.75">
      <c r="A7429" t="s">
        <v>28070</v>
      </c>
      <c r="B7429" t="s">
        <v>6092</v>
      </c>
      <c r="C7429" t="s">
        <v>6093</v>
      </c>
      <c r="D7429" t="s">
        <v>6094</v>
      </c>
      <c r="E7429" t="s">
        <v>28071</v>
      </c>
      <c r="F7429">
        <v>1</v>
      </c>
      <c r="G7429">
        <v>2202359</v>
      </c>
      <c r="H7429" t="s">
        <v>28072</v>
      </c>
      <c r="J7429" s="54" t="s">
        <v>6052</v>
      </c>
      <c r="K7429" s="54">
        <v>0</v>
      </c>
      <c r="L7429" s="22" t="s">
        <v>104</v>
      </c>
      <c r="M7429" s="22" t="s">
        <v>37311</v>
      </c>
    </row>
    <row r="7430" spans="1:13" x14ac:dyDescent="0.75">
      <c r="A7430" t="s">
        <v>8273</v>
      </c>
      <c r="B7430" t="s">
        <v>6092</v>
      </c>
      <c r="C7430" t="s">
        <v>6093</v>
      </c>
      <c r="D7430" t="s">
        <v>6094</v>
      </c>
      <c r="E7430" t="s">
        <v>8274</v>
      </c>
      <c r="F7430">
        <v>9</v>
      </c>
      <c r="G7430">
        <v>2072517</v>
      </c>
      <c r="H7430" t="s">
        <v>8275</v>
      </c>
      <c r="J7430" s="54" t="s">
        <v>6052</v>
      </c>
      <c r="K7430" s="54">
        <v>0</v>
      </c>
      <c r="L7430" s="22" t="s">
        <v>104</v>
      </c>
      <c r="M7430" s="22" t="s">
        <v>37311</v>
      </c>
    </row>
    <row r="7431" spans="1:13" x14ac:dyDescent="0.75">
      <c r="A7431" t="s">
        <v>8258</v>
      </c>
      <c r="B7431" t="s">
        <v>6092</v>
      </c>
      <c r="C7431" t="s">
        <v>6093</v>
      </c>
      <c r="D7431" t="s">
        <v>6094</v>
      </c>
      <c r="E7431" t="s">
        <v>8259</v>
      </c>
      <c r="F7431">
        <v>7</v>
      </c>
      <c r="G7431">
        <v>2116267</v>
      </c>
      <c r="H7431" t="s">
        <v>8260</v>
      </c>
      <c r="J7431" s="54" t="s">
        <v>6052</v>
      </c>
      <c r="K7431" s="54">
        <v>0</v>
      </c>
      <c r="L7431" s="22" t="s">
        <v>104</v>
      </c>
      <c r="M7431" s="22" t="s">
        <v>37311</v>
      </c>
    </row>
    <row r="7432" spans="1:13" x14ac:dyDescent="0.75">
      <c r="A7432" t="s">
        <v>27753</v>
      </c>
      <c r="B7432" t="s">
        <v>6092</v>
      </c>
      <c r="C7432" t="s">
        <v>6093</v>
      </c>
      <c r="D7432" t="s">
        <v>6094</v>
      </c>
      <c r="E7432" t="s">
        <v>27754</v>
      </c>
      <c r="F7432">
        <v>1</v>
      </c>
      <c r="G7432">
        <v>2157682</v>
      </c>
      <c r="H7432" t="s">
        <v>27755</v>
      </c>
      <c r="J7432" s="54" t="s">
        <v>6052</v>
      </c>
      <c r="K7432" s="54">
        <v>0</v>
      </c>
      <c r="L7432" s="22" t="s">
        <v>104</v>
      </c>
      <c r="M7432" s="22" t="s">
        <v>37311</v>
      </c>
    </row>
    <row r="7433" spans="1:13" x14ac:dyDescent="0.75">
      <c r="A7433" t="s">
        <v>27756</v>
      </c>
      <c r="B7433" t="s">
        <v>6092</v>
      </c>
      <c r="C7433" t="s">
        <v>6093</v>
      </c>
      <c r="D7433" t="s">
        <v>6094</v>
      </c>
      <c r="E7433" t="s">
        <v>27757</v>
      </c>
      <c r="F7433">
        <v>1</v>
      </c>
      <c r="G7433">
        <v>2200529</v>
      </c>
      <c r="H7433" t="s">
        <v>27758</v>
      </c>
      <c r="J7433" s="54" t="s">
        <v>6052</v>
      </c>
      <c r="K7433" s="54">
        <v>0</v>
      </c>
      <c r="L7433" s="22" t="s">
        <v>104</v>
      </c>
      <c r="M7433" s="22" t="s">
        <v>37311</v>
      </c>
    </row>
    <row r="7434" spans="1:13" x14ac:dyDescent="0.75">
      <c r="A7434" t="s">
        <v>8492</v>
      </c>
      <c r="B7434" t="s">
        <v>6092</v>
      </c>
      <c r="C7434" t="s">
        <v>6093</v>
      </c>
      <c r="D7434" t="s">
        <v>6094</v>
      </c>
      <c r="E7434" t="s">
        <v>8493</v>
      </c>
      <c r="F7434">
        <v>8</v>
      </c>
      <c r="G7434">
        <v>2084867</v>
      </c>
      <c r="H7434" t="s">
        <v>8494</v>
      </c>
      <c r="J7434" s="54" t="s">
        <v>6052</v>
      </c>
      <c r="K7434" s="54">
        <v>0</v>
      </c>
      <c r="L7434" s="22" t="s">
        <v>104</v>
      </c>
      <c r="M7434" s="22" t="s">
        <v>37311</v>
      </c>
    </row>
    <row r="7435" spans="1:13" x14ac:dyDescent="0.75">
      <c r="A7435" t="s">
        <v>6652</v>
      </c>
      <c r="B7435" t="s">
        <v>6092</v>
      </c>
      <c r="C7435" t="s">
        <v>6093</v>
      </c>
      <c r="D7435" t="s">
        <v>6094</v>
      </c>
      <c r="E7435" t="s">
        <v>6653</v>
      </c>
      <c r="F7435">
        <v>1</v>
      </c>
      <c r="G7435">
        <v>2240045</v>
      </c>
      <c r="H7435" t="s">
        <v>6654</v>
      </c>
      <c r="J7435" s="54" t="s">
        <v>6052</v>
      </c>
      <c r="K7435" s="54">
        <v>0</v>
      </c>
      <c r="L7435" s="22" t="s">
        <v>104</v>
      </c>
      <c r="M7435" s="22" t="s">
        <v>37311</v>
      </c>
    </row>
    <row r="7436" spans="1:13" x14ac:dyDescent="0.75">
      <c r="A7436" t="s">
        <v>18417</v>
      </c>
      <c r="B7436" t="s">
        <v>6092</v>
      </c>
      <c r="C7436" t="s">
        <v>6093</v>
      </c>
      <c r="D7436" t="s">
        <v>6094</v>
      </c>
      <c r="E7436" t="s">
        <v>18418</v>
      </c>
      <c r="F7436">
        <v>1</v>
      </c>
      <c r="G7436">
        <v>2219840</v>
      </c>
      <c r="H7436" t="s">
        <v>18419</v>
      </c>
      <c r="J7436" s="54" t="s">
        <v>6052</v>
      </c>
      <c r="K7436" s="54">
        <v>0</v>
      </c>
      <c r="L7436" s="22" t="s">
        <v>104</v>
      </c>
      <c r="M7436" s="22" t="s">
        <v>37311</v>
      </c>
    </row>
    <row r="7437" spans="1:13" x14ac:dyDescent="0.75">
      <c r="A7437" t="s">
        <v>7337</v>
      </c>
      <c r="B7437" t="s">
        <v>6092</v>
      </c>
      <c r="C7437" t="s">
        <v>6093</v>
      </c>
      <c r="D7437" t="s">
        <v>6094</v>
      </c>
      <c r="E7437" t="s">
        <v>7338</v>
      </c>
      <c r="F7437">
        <v>1</v>
      </c>
      <c r="G7437">
        <v>2129934</v>
      </c>
      <c r="H7437" t="s">
        <v>7339</v>
      </c>
      <c r="J7437" s="54" t="s">
        <v>6052</v>
      </c>
      <c r="K7437" s="54">
        <v>0</v>
      </c>
      <c r="L7437" s="22" t="s">
        <v>104</v>
      </c>
      <c r="M7437" s="22" t="s">
        <v>37311</v>
      </c>
    </row>
    <row r="7438" spans="1:13" x14ac:dyDescent="0.75">
      <c r="A7438" t="s">
        <v>6649</v>
      </c>
      <c r="B7438" t="s">
        <v>6092</v>
      </c>
      <c r="C7438" t="s">
        <v>6093</v>
      </c>
      <c r="D7438" t="s">
        <v>6094</v>
      </c>
      <c r="E7438" t="s">
        <v>6650</v>
      </c>
      <c r="F7438">
        <v>1</v>
      </c>
      <c r="G7438">
        <v>2130580</v>
      </c>
      <c r="H7438" t="s">
        <v>6651</v>
      </c>
      <c r="J7438" s="54" t="s">
        <v>6052</v>
      </c>
      <c r="K7438" s="54">
        <v>0</v>
      </c>
      <c r="L7438" s="22" t="s">
        <v>104</v>
      </c>
      <c r="M7438" s="22" t="s">
        <v>37311</v>
      </c>
    </row>
    <row r="7439" spans="1:13" x14ac:dyDescent="0.75">
      <c r="A7439" t="s">
        <v>6497</v>
      </c>
      <c r="B7439" t="s">
        <v>6092</v>
      </c>
      <c r="C7439" t="s">
        <v>6093</v>
      </c>
      <c r="D7439" t="s">
        <v>6094</v>
      </c>
      <c r="E7439" t="s">
        <v>6498</v>
      </c>
      <c r="F7439">
        <v>1</v>
      </c>
      <c r="G7439">
        <v>2221315</v>
      </c>
      <c r="H7439" t="s">
        <v>6499</v>
      </c>
      <c r="J7439" s="54" t="s">
        <v>6052</v>
      </c>
      <c r="K7439" s="54">
        <v>0</v>
      </c>
      <c r="L7439" s="22" t="s">
        <v>104</v>
      </c>
      <c r="M7439" s="22" t="s">
        <v>37311</v>
      </c>
    </row>
    <row r="7440" spans="1:13" x14ac:dyDescent="0.75">
      <c r="A7440" t="s">
        <v>14255</v>
      </c>
      <c r="B7440" t="s">
        <v>6092</v>
      </c>
      <c r="C7440" t="s">
        <v>6093</v>
      </c>
      <c r="D7440" t="s">
        <v>6094</v>
      </c>
      <c r="E7440" t="s">
        <v>14256</v>
      </c>
      <c r="F7440">
        <v>1</v>
      </c>
      <c r="G7440">
        <v>2125517</v>
      </c>
      <c r="H7440" t="s">
        <v>14257</v>
      </c>
      <c r="J7440" s="54" t="s">
        <v>6052</v>
      </c>
      <c r="K7440" s="54">
        <v>0</v>
      </c>
      <c r="L7440" s="22" t="s">
        <v>104</v>
      </c>
      <c r="M7440" s="22" t="s">
        <v>37311</v>
      </c>
    </row>
    <row r="7441" spans="1:13" x14ac:dyDescent="0.75">
      <c r="A7441" t="s">
        <v>20502</v>
      </c>
      <c r="B7441" t="s">
        <v>6092</v>
      </c>
      <c r="C7441" t="s">
        <v>6093</v>
      </c>
      <c r="D7441" t="s">
        <v>6094</v>
      </c>
      <c r="E7441" t="s">
        <v>20503</v>
      </c>
      <c r="F7441">
        <v>1</v>
      </c>
      <c r="G7441">
        <v>2134668</v>
      </c>
      <c r="H7441" t="s">
        <v>20504</v>
      </c>
      <c r="J7441" s="54" t="s">
        <v>6052</v>
      </c>
      <c r="K7441" s="54">
        <v>0</v>
      </c>
      <c r="L7441" s="22" t="s">
        <v>104</v>
      </c>
      <c r="M7441" s="22" t="s">
        <v>37311</v>
      </c>
    </row>
    <row r="7442" spans="1:13" x14ac:dyDescent="0.75">
      <c r="A7442" t="s">
        <v>6360</v>
      </c>
      <c r="B7442" t="s">
        <v>6092</v>
      </c>
      <c r="C7442" t="s">
        <v>6093</v>
      </c>
      <c r="D7442" t="s">
        <v>6094</v>
      </c>
      <c r="E7442" t="s">
        <v>6361</v>
      </c>
      <c r="F7442">
        <v>1</v>
      </c>
      <c r="G7442">
        <v>2209198</v>
      </c>
      <c r="H7442" t="s">
        <v>6362</v>
      </c>
      <c r="J7442" s="54" t="s">
        <v>6052</v>
      </c>
      <c r="K7442" s="54">
        <v>0</v>
      </c>
      <c r="L7442" s="22" t="s">
        <v>104</v>
      </c>
      <c r="M7442" s="22" t="s">
        <v>37311</v>
      </c>
    </row>
    <row r="7443" spans="1:13" x14ac:dyDescent="0.75">
      <c r="A7443" t="s">
        <v>22386</v>
      </c>
      <c r="B7443" t="s">
        <v>6092</v>
      </c>
      <c r="C7443" t="s">
        <v>6093</v>
      </c>
      <c r="D7443" t="s">
        <v>6094</v>
      </c>
      <c r="E7443" t="s">
        <v>22387</v>
      </c>
      <c r="F7443">
        <v>1</v>
      </c>
      <c r="G7443">
        <v>2062088</v>
      </c>
      <c r="H7443" t="s">
        <v>22388</v>
      </c>
      <c r="J7443" s="54" t="s">
        <v>6052</v>
      </c>
      <c r="K7443" s="54">
        <v>0</v>
      </c>
      <c r="L7443" s="22" t="s">
        <v>104</v>
      </c>
      <c r="M7443" s="22" t="s">
        <v>37311</v>
      </c>
    </row>
    <row r="7444" spans="1:13" x14ac:dyDescent="0.75">
      <c r="A7444" t="s">
        <v>6276</v>
      </c>
      <c r="B7444" t="s">
        <v>6092</v>
      </c>
      <c r="C7444" t="s">
        <v>6093</v>
      </c>
      <c r="D7444" t="s">
        <v>6094</v>
      </c>
      <c r="E7444" t="s">
        <v>6277</v>
      </c>
      <c r="F7444">
        <v>1</v>
      </c>
      <c r="G7444">
        <v>2046116</v>
      </c>
      <c r="H7444" t="s">
        <v>6278</v>
      </c>
      <c r="J7444" s="54" t="s">
        <v>6052</v>
      </c>
      <c r="K7444" s="54">
        <v>0</v>
      </c>
      <c r="L7444" s="22" t="s">
        <v>104</v>
      </c>
      <c r="M7444" s="22" t="s">
        <v>37311</v>
      </c>
    </row>
    <row r="7445" spans="1:13" x14ac:dyDescent="0.75">
      <c r="A7445" t="s">
        <v>8498</v>
      </c>
      <c r="B7445" t="s">
        <v>6092</v>
      </c>
      <c r="C7445" t="s">
        <v>6093</v>
      </c>
      <c r="D7445" t="s">
        <v>6094</v>
      </c>
      <c r="E7445" t="s">
        <v>8499</v>
      </c>
      <c r="F7445">
        <v>8</v>
      </c>
      <c r="G7445">
        <v>2087621</v>
      </c>
      <c r="H7445" t="s">
        <v>8500</v>
      </c>
      <c r="J7445" s="54" t="s">
        <v>6052</v>
      </c>
      <c r="K7445" s="54">
        <v>0</v>
      </c>
      <c r="L7445" s="22" t="s">
        <v>104</v>
      </c>
      <c r="M7445" s="22" t="s">
        <v>37311</v>
      </c>
    </row>
    <row r="7446" spans="1:13" x14ac:dyDescent="0.75">
      <c r="A7446" t="s">
        <v>21707</v>
      </c>
      <c r="B7446" t="s">
        <v>6092</v>
      </c>
      <c r="C7446" t="s">
        <v>6093</v>
      </c>
      <c r="D7446" t="s">
        <v>6094</v>
      </c>
      <c r="E7446" t="s">
        <v>21708</v>
      </c>
      <c r="F7446">
        <v>1</v>
      </c>
      <c r="G7446">
        <v>2116633</v>
      </c>
      <c r="H7446" t="s">
        <v>21709</v>
      </c>
      <c r="J7446" s="54" t="s">
        <v>6052</v>
      </c>
      <c r="K7446" s="54">
        <v>0</v>
      </c>
      <c r="L7446" s="22" t="s">
        <v>104</v>
      </c>
      <c r="M7446" s="22" t="s">
        <v>37311</v>
      </c>
    </row>
    <row r="7447" spans="1:13" x14ac:dyDescent="0.75">
      <c r="A7447" t="s">
        <v>6357</v>
      </c>
      <c r="B7447" t="s">
        <v>6092</v>
      </c>
      <c r="C7447" t="s">
        <v>6093</v>
      </c>
      <c r="D7447" t="s">
        <v>6094</v>
      </c>
      <c r="E7447" t="s">
        <v>6358</v>
      </c>
      <c r="F7447">
        <v>1</v>
      </c>
      <c r="G7447">
        <v>2078953</v>
      </c>
      <c r="H7447" t="s">
        <v>6359</v>
      </c>
      <c r="J7447" s="54" t="s">
        <v>6052</v>
      </c>
      <c r="K7447" s="54">
        <v>0</v>
      </c>
      <c r="L7447" s="22" t="s">
        <v>104</v>
      </c>
      <c r="M7447" s="22" t="s">
        <v>37311</v>
      </c>
    </row>
    <row r="7448" spans="1:13" x14ac:dyDescent="0.75">
      <c r="A7448" t="s">
        <v>8495</v>
      </c>
      <c r="B7448" t="s">
        <v>6092</v>
      </c>
      <c r="C7448" t="s">
        <v>6093</v>
      </c>
      <c r="D7448" t="s">
        <v>6094</v>
      </c>
      <c r="E7448" t="s">
        <v>8496</v>
      </c>
      <c r="F7448">
        <v>8</v>
      </c>
      <c r="G7448">
        <v>2049637</v>
      </c>
      <c r="H7448" t="s">
        <v>8497</v>
      </c>
      <c r="J7448" s="54" t="s">
        <v>6052</v>
      </c>
      <c r="K7448" s="54">
        <v>0</v>
      </c>
      <c r="L7448" s="22" t="s">
        <v>104</v>
      </c>
      <c r="M7448" s="22" t="s">
        <v>37311</v>
      </c>
    </row>
    <row r="7449" spans="1:13" x14ac:dyDescent="0.75">
      <c r="A7449" t="s">
        <v>8699</v>
      </c>
      <c r="B7449" t="s">
        <v>6092</v>
      </c>
      <c r="C7449" t="s">
        <v>6093</v>
      </c>
      <c r="D7449" t="s">
        <v>6094</v>
      </c>
      <c r="E7449" t="s">
        <v>8700</v>
      </c>
      <c r="F7449">
        <v>9</v>
      </c>
      <c r="G7449">
        <v>2135761</v>
      </c>
      <c r="H7449" t="s">
        <v>8701</v>
      </c>
      <c r="J7449" s="54" t="s">
        <v>6052</v>
      </c>
      <c r="K7449" s="54">
        <v>0</v>
      </c>
      <c r="L7449" s="22" t="s">
        <v>104</v>
      </c>
      <c r="M7449" s="22" t="s">
        <v>37311</v>
      </c>
    </row>
    <row r="7450" spans="1:13" x14ac:dyDescent="0.75">
      <c r="A7450" t="s">
        <v>8501</v>
      </c>
      <c r="B7450" t="s">
        <v>6092</v>
      </c>
      <c r="C7450" t="s">
        <v>6093</v>
      </c>
      <c r="D7450" t="s">
        <v>6094</v>
      </c>
      <c r="E7450" t="s">
        <v>8502</v>
      </c>
      <c r="F7450">
        <v>7</v>
      </c>
      <c r="G7450">
        <v>2107559</v>
      </c>
      <c r="H7450" t="s">
        <v>8503</v>
      </c>
      <c r="J7450" s="54" t="s">
        <v>6052</v>
      </c>
      <c r="K7450" s="54">
        <v>0</v>
      </c>
      <c r="L7450" s="22" t="s">
        <v>104</v>
      </c>
      <c r="M7450" s="22" t="s">
        <v>37311</v>
      </c>
    </row>
    <row r="7451" spans="1:13" x14ac:dyDescent="0.75">
      <c r="A7451" t="s">
        <v>8276</v>
      </c>
      <c r="B7451" t="s">
        <v>6092</v>
      </c>
      <c r="C7451" t="s">
        <v>6093</v>
      </c>
      <c r="D7451" t="s">
        <v>6094</v>
      </c>
      <c r="E7451" t="s">
        <v>8277</v>
      </c>
      <c r="F7451">
        <v>8</v>
      </c>
      <c r="G7451">
        <v>2035787</v>
      </c>
      <c r="H7451" t="s">
        <v>8278</v>
      </c>
      <c r="J7451" s="54" t="s">
        <v>6052</v>
      </c>
      <c r="K7451" s="54">
        <v>0</v>
      </c>
      <c r="L7451" s="22" t="s">
        <v>104</v>
      </c>
      <c r="M7451" s="22" t="s">
        <v>37311</v>
      </c>
    </row>
    <row r="7452" spans="1:13" x14ac:dyDescent="0.75">
      <c r="A7452" t="s">
        <v>8261</v>
      </c>
      <c r="B7452" t="s">
        <v>6092</v>
      </c>
      <c r="C7452" t="s">
        <v>6093</v>
      </c>
      <c r="D7452" t="s">
        <v>6094</v>
      </c>
      <c r="E7452" t="s">
        <v>8262</v>
      </c>
      <c r="F7452">
        <v>6</v>
      </c>
      <c r="G7452">
        <v>2127739</v>
      </c>
      <c r="H7452" t="s">
        <v>8263</v>
      </c>
      <c r="J7452" s="54" t="s">
        <v>6052</v>
      </c>
      <c r="K7452" s="54">
        <v>0</v>
      </c>
      <c r="L7452" s="22" t="s">
        <v>104</v>
      </c>
      <c r="M7452" s="22" t="s">
        <v>37311</v>
      </c>
    </row>
    <row r="7453" spans="1:13" x14ac:dyDescent="0.75">
      <c r="A7453" t="s">
        <v>8474</v>
      </c>
      <c r="B7453" t="s">
        <v>6092</v>
      </c>
      <c r="C7453" t="s">
        <v>6093</v>
      </c>
      <c r="D7453" t="s">
        <v>6094</v>
      </c>
      <c r="E7453" t="s">
        <v>8475</v>
      </c>
      <c r="F7453">
        <v>8</v>
      </c>
      <c r="G7453">
        <v>2046314</v>
      </c>
      <c r="H7453" t="s">
        <v>8476</v>
      </c>
      <c r="J7453" s="54" t="s">
        <v>6052</v>
      </c>
      <c r="K7453" s="54">
        <v>0</v>
      </c>
      <c r="L7453" s="22" t="s">
        <v>104</v>
      </c>
      <c r="M7453" s="22" t="s">
        <v>37311</v>
      </c>
    </row>
    <row r="7454" spans="1:13" x14ac:dyDescent="0.75">
      <c r="A7454" t="s">
        <v>8264</v>
      </c>
      <c r="B7454" t="s">
        <v>6092</v>
      </c>
      <c r="C7454" t="s">
        <v>6093</v>
      </c>
      <c r="D7454" t="s">
        <v>6094</v>
      </c>
      <c r="E7454" t="s">
        <v>8265</v>
      </c>
      <c r="F7454">
        <v>7</v>
      </c>
      <c r="G7454">
        <v>2147028</v>
      </c>
      <c r="H7454" t="s">
        <v>8266</v>
      </c>
      <c r="J7454" s="54" t="s">
        <v>6052</v>
      </c>
      <c r="K7454" s="54">
        <v>0</v>
      </c>
      <c r="L7454" s="22" t="s">
        <v>104</v>
      </c>
      <c r="M7454" s="22" t="s">
        <v>37311</v>
      </c>
    </row>
    <row r="7455" spans="1:13" x14ac:dyDescent="0.75">
      <c r="A7455" t="s">
        <v>8711</v>
      </c>
      <c r="B7455" t="s">
        <v>6092</v>
      </c>
      <c r="C7455" t="s">
        <v>6093</v>
      </c>
      <c r="D7455" t="s">
        <v>6094</v>
      </c>
      <c r="E7455" t="s">
        <v>8712</v>
      </c>
      <c r="F7455">
        <v>6</v>
      </c>
      <c r="G7455">
        <v>2037743</v>
      </c>
      <c r="H7455" t="s">
        <v>8713</v>
      </c>
      <c r="J7455" s="54" t="s">
        <v>6052</v>
      </c>
      <c r="K7455" s="54">
        <v>0</v>
      </c>
      <c r="L7455" s="22" t="s">
        <v>104</v>
      </c>
      <c r="M7455" s="22" t="s">
        <v>37311</v>
      </c>
    </row>
    <row r="7456" spans="1:13" x14ac:dyDescent="0.75">
      <c r="A7456" t="s">
        <v>8477</v>
      </c>
      <c r="B7456" t="s">
        <v>6092</v>
      </c>
      <c r="C7456" t="s">
        <v>6093</v>
      </c>
      <c r="D7456" t="s">
        <v>6094</v>
      </c>
      <c r="E7456" t="s">
        <v>8478</v>
      </c>
      <c r="F7456">
        <v>8</v>
      </c>
      <c r="G7456">
        <v>2165361</v>
      </c>
      <c r="H7456" t="s">
        <v>8479</v>
      </c>
      <c r="J7456" s="54" t="s">
        <v>6052</v>
      </c>
      <c r="K7456" s="54">
        <v>0</v>
      </c>
      <c r="L7456" s="22" t="s">
        <v>104</v>
      </c>
      <c r="M7456" s="22" t="s">
        <v>37311</v>
      </c>
    </row>
    <row r="7457" spans="1:13" x14ac:dyDescent="0.75">
      <c r="A7457" t="s">
        <v>17050</v>
      </c>
      <c r="B7457" t="s">
        <v>7438</v>
      </c>
      <c r="C7457" t="s">
        <v>6093</v>
      </c>
      <c r="D7457" t="s">
        <v>7439</v>
      </c>
      <c r="E7457" t="s">
        <v>17051</v>
      </c>
      <c r="F7457">
        <v>1</v>
      </c>
      <c r="G7457">
        <v>2095031</v>
      </c>
      <c r="H7457" t="s">
        <v>17052</v>
      </c>
      <c r="J7457" s="54" t="s">
        <v>6052</v>
      </c>
      <c r="K7457" s="54">
        <v>0</v>
      </c>
      <c r="L7457" s="22" t="s">
        <v>1563</v>
      </c>
      <c r="M7457" s="22" t="s">
        <v>37328</v>
      </c>
    </row>
    <row r="7458" spans="1:13" x14ac:dyDescent="0.75">
      <c r="A7458" t="s">
        <v>8279</v>
      </c>
      <c r="B7458" t="s">
        <v>6092</v>
      </c>
      <c r="C7458" t="s">
        <v>6093</v>
      </c>
      <c r="D7458" t="s">
        <v>6094</v>
      </c>
      <c r="E7458" t="s">
        <v>8280</v>
      </c>
      <c r="F7458">
        <v>7</v>
      </c>
      <c r="G7458">
        <v>2016753</v>
      </c>
      <c r="H7458" t="s">
        <v>8281</v>
      </c>
      <c r="J7458" s="54" t="s">
        <v>6052</v>
      </c>
      <c r="K7458" s="54">
        <v>0</v>
      </c>
      <c r="L7458" s="22" t="s">
        <v>104</v>
      </c>
      <c r="M7458" s="22" t="s">
        <v>37311</v>
      </c>
    </row>
    <row r="7459" spans="1:13" x14ac:dyDescent="0.75">
      <c r="A7459" t="s">
        <v>8480</v>
      </c>
      <c r="B7459" t="s">
        <v>6092</v>
      </c>
      <c r="C7459" t="s">
        <v>6093</v>
      </c>
      <c r="D7459" t="s">
        <v>6094</v>
      </c>
      <c r="E7459" t="s">
        <v>8481</v>
      </c>
      <c r="F7459">
        <v>8</v>
      </c>
      <c r="G7459">
        <v>2094269</v>
      </c>
      <c r="H7459" t="s">
        <v>8482</v>
      </c>
      <c r="J7459" s="54" t="s">
        <v>6052</v>
      </c>
      <c r="K7459" s="54">
        <v>0</v>
      </c>
      <c r="L7459" s="22" t="s">
        <v>104</v>
      </c>
      <c r="M7459" s="22" t="s">
        <v>37311</v>
      </c>
    </row>
    <row r="7460" spans="1:13" x14ac:dyDescent="0.75">
      <c r="A7460" t="s">
        <v>8708</v>
      </c>
      <c r="B7460" t="s">
        <v>6092</v>
      </c>
      <c r="C7460" t="s">
        <v>6093</v>
      </c>
      <c r="D7460" t="s">
        <v>6094</v>
      </c>
      <c r="E7460" t="s">
        <v>8709</v>
      </c>
      <c r="F7460">
        <v>7</v>
      </c>
      <c r="G7460">
        <v>2137965</v>
      </c>
      <c r="H7460" t="s">
        <v>8710</v>
      </c>
      <c r="J7460" s="54" t="s">
        <v>6052</v>
      </c>
      <c r="K7460" s="54">
        <v>0</v>
      </c>
      <c r="L7460" s="22" t="s">
        <v>104</v>
      </c>
      <c r="M7460" s="22" t="s">
        <v>37311</v>
      </c>
    </row>
    <row r="7461" spans="1:13" x14ac:dyDescent="0.75">
      <c r="A7461" t="s">
        <v>7737</v>
      </c>
      <c r="B7461" t="s">
        <v>6092</v>
      </c>
      <c r="C7461" t="s">
        <v>6093</v>
      </c>
      <c r="D7461" t="s">
        <v>6094</v>
      </c>
      <c r="E7461" t="s">
        <v>7738</v>
      </c>
      <c r="F7461">
        <v>6</v>
      </c>
      <c r="G7461">
        <v>2090801</v>
      </c>
      <c r="H7461" t="s">
        <v>7739</v>
      </c>
      <c r="J7461" s="54" t="s">
        <v>6052</v>
      </c>
      <c r="K7461" s="54">
        <v>0</v>
      </c>
      <c r="L7461" s="22" t="s">
        <v>104</v>
      </c>
      <c r="M7461" s="22" t="s">
        <v>37311</v>
      </c>
    </row>
    <row r="7462" spans="1:13" x14ac:dyDescent="0.75">
      <c r="A7462" t="s">
        <v>8483</v>
      </c>
      <c r="B7462" t="s">
        <v>6092</v>
      </c>
      <c r="C7462" t="s">
        <v>6093</v>
      </c>
      <c r="D7462" t="s">
        <v>6094</v>
      </c>
      <c r="E7462" t="s">
        <v>8484</v>
      </c>
      <c r="F7462">
        <v>7</v>
      </c>
      <c r="G7462">
        <v>2122377</v>
      </c>
      <c r="H7462" t="s">
        <v>8485</v>
      </c>
      <c r="J7462" s="54" t="s">
        <v>6052</v>
      </c>
      <c r="K7462" s="54">
        <v>0</v>
      </c>
      <c r="L7462" s="22" t="s">
        <v>104</v>
      </c>
      <c r="M7462" s="22" t="s">
        <v>37311</v>
      </c>
    </row>
    <row r="7463" spans="1:13" x14ac:dyDescent="0.75">
      <c r="A7463" t="s">
        <v>7734</v>
      </c>
      <c r="B7463" t="s">
        <v>6092</v>
      </c>
      <c r="C7463" t="s">
        <v>6093</v>
      </c>
      <c r="D7463" t="s">
        <v>6094</v>
      </c>
      <c r="E7463" t="s">
        <v>7735</v>
      </c>
      <c r="F7463">
        <v>8</v>
      </c>
      <c r="G7463">
        <v>2177227</v>
      </c>
      <c r="H7463" t="s">
        <v>7736</v>
      </c>
      <c r="J7463" s="54" t="s">
        <v>6052</v>
      </c>
      <c r="K7463" s="54">
        <v>0</v>
      </c>
      <c r="L7463" s="22" t="s">
        <v>104</v>
      </c>
      <c r="M7463" s="22" t="s">
        <v>37311</v>
      </c>
    </row>
    <row r="7464" spans="1:13" x14ac:dyDescent="0.75">
      <c r="A7464" t="s">
        <v>8267</v>
      </c>
      <c r="B7464" t="s">
        <v>6092</v>
      </c>
      <c r="C7464" t="s">
        <v>6093</v>
      </c>
      <c r="D7464" t="s">
        <v>6094</v>
      </c>
      <c r="E7464" t="s">
        <v>8268</v>
      </c>
      <c r="F7464">
        <v>7</v>
      </c>
      <c r="G7464">
        <v>2140615</v>
      </c>
      <c r="H7464" t="s">
        <v>8269</v>
      </c>
      <c r="J7464" s="54" t="s">
        <v>6052</v>
      </c>
      <c r="K7464" s="54">
        <v>0</v>
      </c>
      <c r="L7464" s="22" t="s">
        <v>104</v>
      </c>
      <c r="M7464" s="22" t="s">
        <v>37311</v>
      </c>
    </row>
    <row r="7465" spans="1:13" x14ac:dyDescent="0.75">
      <c r="A7465" t="s">
        <v>8486</v>
      </c>
      <c r="B7465" t="s">
        <v>6092</v>
      </c>
      <c r="C7465" t="s">
        <v>6093</v>
      </c>
      <c r="D7465" t="s">
        <v>6094</v>
      </c>
      <c r="E7465" t="s">
        <v>8487</v>
      </c>
      <c r="F7465">
        <v>7</v>
      </c>
      <c r="G7465">
        <v>2047242</v>
      </c>
      <c r="H7465" t="s">
        <v>8488</v>
      </c>
      <c r="J7465" s="54" t="s">
        <v>6052</v>
      </c>
      <c r="K7465" s="54">
        <v>0</v>
      </c>
      <c r="L7465" s="22" t="s">
        <v>104</v>
      </c>
      <c r="M7465" s="22" t="s">
        <v>37311</v>
      </c>
    </row>
    <row r="7466" spans="1:13" x14ac:dyDescent="0.75">
      <c r="A7466" t="s">
        <v>7731</v>
      </c>
      <c r="B7466" t="s">
        <v>6092</v>
      </c>
      <c r="C7466" t="s">
        <v>6093</v>
      </c>
      <c r="D7466" t="s">
        <v>6094</v>
      </c>
      <c r="E7466" t="s">
        <v>7732</v>
      </c>
      <c r="F7466">
        <v>6</v>
      </c>
      <c r="G7466">
        <v>2086317</v>
      </c>
      <c r="H7466" t="s">
        <v>7733</v>
      </c>
      <c r="J7466" s="54" t="s">
        <v>6052</v>
      </c>
      <c r="K7466" s="54">
        <v>0</v>
      </c>
      <c r="L7466" s="22" t="s">
        <v>104</v>
      </c>
      <c r="M7466" s="22" t="s">
        <v>37311</v>
      </c>
    </row>
    <row r="7467" spans="1:13" x14ac:dyDescent="0.75">
      <c r="A7467" t="s">
        <v>8489</v>
      </c>
      <c r="B7467" t="s">
        <v>6092</v>
      </c>
      <c r="C7467" t="s">
        <v>6093</v>
      </c>
      <c r="D7467" t="s">
        <v>6094</v>
      </c>
      <c r="E7467" t="s">
        <v>8490</v>
      </c>
      <c r="F7467">
        <v>4</v>
      </c>
      <c r="G7467">
        <v>2093149</v>
      </c>
      <c r="H7467" t="s">
        <v>8491</v>
      </c>
      <c r="J7467" s="54" t="s">
        <v>6052</v>
      </c>
      <c r="K7467" s="54">
        <v>0</v>
      </c>
      <c r="L7467" s="22" t="s">
        <v>104</v>
      </c>
      <c r="M7467" s="22" t="s">
        <v>37311</v>
      </c>
    </row>
    <row r="7468" spans="1:13" x14ac:dyDescent="0.75">
      <c r="A7468" t="s">
        <v>8705</v>
      </c>
      <c r="B7468" t="s">
        <v>6092</v>
      </c>
      <c r="C7468" t="s">
        <v>6093</v>
      </c>
      <c r="D7468" t="s">
        <v>6094</v>
      </c>
      <c r="E7468" t="s">
        <v>8706</v>
      </c>
      <c r="F7468">
        <v>8</v>
      </c>
      <c r="G7468">
        <v>2100907</v>
      </c>
      <c r="H7468" t="s">
        <v>8707</v>
      </c>
      <c r="J7468" s="54" t="s">
        <v>6052</v>
      </c>
      <c r="K7468" s="54">
        <v>0</v>
      </c>
      <c r="L7468" s="22" t="s">
        <v>104</v>
      </c>
      <c r="M7468" s="22" t="s">
        <v>37311</v>
      </c>
    </row>
    <row r="7469" spans="1:13" x14ac:dyDescent="0.75">
      <c r="A7469" t="s">
        <v>8270</v>
      </c>
      <c r="B7469" t="s">
        <v>6092</v>
      </c>
      <c r="C7469" t="s">
        <v>6093</v>
      </c>
      <c r="D7469" t="s">
        <v>6094</v>
      </c>
      <c r="E7469" t="s">
        <v>8271</v>
      </c>
      <c r="F7469">
        <v>7</v>
      </c>
      <c r="G7469">
        <v>2128321</v>
      </c>
      <c r="H7469" t="s">
        <v>8272</v>
      </c>
      <c r="J7469" s="54" t="s">
        <v>6052</v>
      </c>
      <c r="K7469" s="54">
        <v>0</v>
      </c>
      <c r="L7469" s="22" t="s">
        <v>104</v>
      </c>
      <c r="M7469" s="22" t="s">
        <v>37311</v>
      </c>
    </row>
    <row r="7470" spans="1:13" x14ac:dyDescent="0.75">
      <c r="A7470" t="s">
        <v>8872</v>
      </c>
      <c r="B7470" t="s">
        <v>6092</v>
      </c>
      <c r="C7470" t="s">
        <v>6093</v>
      </c>
      <c r="D7470" t="s">
        <v>6094</v>
      </c>
      <c r="E7470" t="s">
        <v>8873</v>
      </c>
      <c r="F7470">
        <v>1</v>
      </c>
      <c r="G7470">
        <v>2064154</v>
      </c>
      <c r="H7470" t="s">
        <v>8874</v>
      </c>
      <c r="J7470" s="54" t="s">
        <v>6052</v>
      </c>
      <c r="K7470" s="54">
        <v>0</v>
      </c>
      <c r="L7470" s="22" t="s">
        <v>104</v>
      </c>
      <c r="M7470" s="22" t="s">
        <v>37311</v>
      </c>
    </row>
    <row r="7471" spans="1:13" x14ac:dyDescent="0.75">
      <c r="A7471" t="s">
        <v>6348</v>
      </c>
      <c r="B7471" t="s">
        <v>6092</v>
      </c>
      <c r="C7471" t="s">
        <v>6093</v>
      </c>
      <c r="D7471" t="s">
        <v>6094</v>
      </c>
      <c r="E7471" t="s">
        <v>6349</v>
      </c>
      <c r="F7471">
        <v>1</v>
      </c>
      <c r="G7471">
        <v>2245615</v>
      </c>
      <c r="H7471" t="s">
        <v>6350</v>
      </c>
      <c r="J7471" s="54" t="s">
        <v>6052</v>
      </c>
      <c r="K7471" s="54">
        <v>0</v>
      </c>
      <c r="L7471" s="22" t="s">
        <v>104</v>
      </c>
      <c r="M7471" s="22" t="s">
        <v>37311</v>
      </c>
    </row>
    <row r="7472" spans="1:13" x14ac:dyDescent="0.75">
      <c r="A7472" t="s">
        <v>16361</v>
      </c>
      <c r="B7472" t="s">
        <v>6092</v>
      </c>
      <c r="C7472" t="s">
        <v>6093</v>
      </c>
      <c r="D7472" t="s">
        <v>6094</v>
      </c>
      <c r="E7472" t="s">
        <v>16362</v>
      </c>
      <c r="F7472">
        <v>1</v>
      </c>
      <c r="G7472">
        <v>2058492</v>
      </c>
      <c r="H7472" t="s">
        <v>16363</v>
      </c>
      <c r="J7472" s="54" t="s">
        <v>6052</v>
      </c>
      <c r="K7472" s="54">
        <v>0</v>
      </c>
      <c r="L7472" s="22" t="s">
        <v>104</v>
      </c>
      <c r="M7472" s="22" t="s">
        <v>37311</v>
      </c>
    </row>
    <row r="7473" spans="1:13" x14ac:dyDescent="0.75">
      <c r="A7473" t="s">
        <v>7701</v>
      </c>
      <c r="B7473" t="s">
        <v>6092</v>
      </c>
      <c r="C7473" t="s">
        <v>6093</v>
      </c>
      <c r="D7473" t="s">
        <v>6094</v>
      </c>
      <c r="E7473" t="s">
        <v>7702</v>
      </c>
      <c r="F7473">
        <v>1</v>
      </c>
      <c r="G7473">
        <v>2142122</v>
      </c>
      <c r="H7473" t="s">
        <v>7703</v>
      </c>
      <c r="J7473" s="54" t="s">
        <v>6052</v>
      </c>
      <c r="K7473" s="54">
        <v>0</v>
      </c>
      <c r="L7473" s="22" t="s">
        <v>104</v>
      </c>
      <c r="M7473" s="22" t="s">
        <v>37311</v>
      </c>
    </row>
    <row r="7474" spans="1:13" x14ac:dyDescent="0.75">
      <c r="A7474" t="s">
        <v>7695</v>
      </c>
      <c r="B7474" t="s">
        <v>6092</v>
      </c>
      <c r="C7474" t="s">
        <v>6093</v>
      </c>
      <c r="D7474" t="s">
        <v>6094</v>
      </c>
      <c r="E7474" t="s">
        <v>7696</v>
      </c>
      <c r="F7474">
        <v>1</v>
      </c>
      <c r="G7474">
        <v>2093317</v>
      </c>
      <c r="H7474" t="s">
        <v>7697</v>
      </c>
      <c r="J7474" s="54" t="s">
        <v>6052</v>
      </c>
      <c r="K7474" s="54">
        <v>0</v>
      </c>
      <c r="L7474" s="22" t="s">
        <v>104</v>
      </c>
      <c r="M7474" s="22" t="s">
        <v>37311</v>
      </c>
    </row>
    <row r="7475" spans="1:13" x14ac:dyDescent="0.75">
      <c r="A7475" t="s">
        <v>6333</v>
      </c>
      <c r="B7475" t="s">
        <v>6092</v>
      </c>
      <c r="C7475" t="s">
        <v>6093</v>
      </c>
      <c r="D7475" t="s">
        <v>6094</v>
      </c>
      <c r="E7475" t="s">
        <v>6334</v>
      </c>
      <c r="F7475">
        <v>1</v>
      </c>
      <c r="G7475">
        <v>2120234</v>
      </c>
      <c r="H7475" t="s">
        <v>6335</v>
      </c>
      <c r="J7475" s="54" t="s">
        <v>6052</v>
      </c>
      <c r="K7475" s="54">
        <v>0</v>
      </c>
      <c r="L7475" s="22" t="s">
        <v>104</v>
      </c>
      <c r="M7475" s="22" t="s">
        <v>37311</v>
      </c>
    </row>
    <row r="7476" spans="1:13" x14ac:dyDescent="0.75">
      <c r="A7476" t="s">
        <v>13934</v>
      </c>
      <c r="B7476" t="s">
        <v>6092</v>
      </c>
      <c r="C7476" t="s">
        <v>6093</v>
      </c>
      <c r="D7476" t="s">
        <v>6094</v>
      </c>
      <c r="E7476" t="s">
        <v>13935</v>
      </c>
      <c r="F7476">
        <v>1</v>
      </c>
      <c r="G7476">
        <v>2148476</v>
      </c>
      <c r="H7476" t="s">
        <v>13936</v>
      </c>
      <c r="J7476" s="54" t="s">
        <v>6052</v>
      </c>
      <c r="K7476" s="54">
        <v>0</v>
      </c>
      <c r="L7476" s="22" t="s">
        <v>104</v>
      </c>
      <c r="M7476" s="22" t="s">
        <v>37311</v>
      </c>
    </row>
    <row r="7477" spans="1:13" x14ac:dyDescent="0.75">
      <c r="A7477" t="s">
        <v>22389</v>
      </c>
      <c r="B7477" t="s">
        <v>6092</v>
      </c>
      <c r="C7477" t="s">
        <v>6093</v>
      </c>
      <c r="D7477" t="s">
        <v>6094</v>
      </c>
      <c r="E7477" t="s">
        <v>22390</v>
      </c>
      <c r="F7477">
        <v>1</v>
      </c>
      <c r="G7477">
        <v>2003723</v>
      </c>
      <c r="H7477" t="s">
        <v>22391</v>
      </c>
      <c r="J7477" s="54" t="s">
        <v>6052</v>
      </c>
      <c r="K7477" s="54">
        <v>0</v>
      </c>
      <c r="L7477" s="22" t="s">
        <v>104</v>
      </c>
      <c r="M7477" s="22" t="s">
        <v>37311</v>
      </c>
    </row>
    <row r="7478" spans="1:13" x14ac:dyDescent="0.75">
      <c r="A7478" t="s">
        <v>15319</v>
      </c>
      <c r="B7478" t="s">
        <v>6092</v>
      </c>
      <c r="C7478" t="s">
        <v>6093</v>
      </c>
      <c r="D7478" t="s">
        <v>6094</v>
      </c>
      <c r="E7478" t="s">
        <v>15320</v>
      </c>
      <c r="F7478">
        <v>1</v>
      </c>
      <c r="G7478">
        <v>2169584</v>
      </c>
      <c r="H7478" t="s">
        <v>15321</v>
      </c>
      <c r="J7478" s="54" t="s">
        <v>6052</v>
      </c>
      <c r="K7478" s="54">
        <v>0</v>
      </c>
      <c r="L7478" s="22" t="s">
        <v>104</v>
      </c>
      <c r="M7478" s="22" t="s">
        <v>37311</v>
      </c>
    </row>
    <row r="7479" spans="1:13" x14ac:dyDescent="0.75">
      <c r="A7479" t="s">
        <v>27720</v>
      </c>
      <c r="B7479" t="s">
        <v>6092</v>
      </c>
      <c r="C7479" t="s">
        <v>6093</v>
      </c>
      <c r="D7479" t="s">
        <v>6094</v>
      </c>
      <c r="E7479" t="s">
        <v>27721</v>
      </c>
      <c r="F7479">
        <v>1</v>
      </c>
      <c r="G7479">
        <v>2093242</v>
      </c>
      <c r="H7479" t="s">
        <v>27722</v>
      </c>
      <c r="J7479" s="54" t="s">
        <v>6052</v>
      </c>
      <c r="K7479" s="54">
        <v>0</v>
      </c>
      <c r="L7479" s="22" t="s">
        <v>104</v>
      </c>
      <c r="M7479" s="22" t="s">
        <v>37311</v>
      </c>
    </row>
    <row r="7480" spans="1:13" x14ac:dyDescent="0.75">
      <c r="A7480" t="s">
        <v>27705</v>
      </c>
      <c r="B7480" t="s">
        <v>6092</v>
      </c>
      <c r="C7480" t="s">
        <v>6093</v>
      </c>
      <c r="D7480" t="s">
        <v>6094</v>
      </c>
      <c r="E7480" t="s">
        <v>27706</v>
      </c>
      <c r="F7480">
        <v>1</v>
      </c>
      <c r="G7480">
        <v>2039982</v>
      </c>
      <c r="H7480" t="s">
        <v>27707</v>
      </c>
      <c r="J7480" s="54" t="s">
        <v>6052</v>
      </c>
      <c r="K7480" s="54">
        <v>0</v>
      </c>
      <c r="L7480" s="22" t="s">
        <v>104</v>
      </c>
      <c r="M7480" s="22" t="s">
        <v>37311</v>
      </c>
    </row>
    <row r="7481" spans="1:13" x14ac:dyDescent="0.75">
      <c r="A7481" t="s">
        <v>11726</v>
      </c>
      <c r="B7481" t="s">
        <v>6092</v>
      </c>
      <c r="C7481" t="s">
        <v>6093</v>
      </c>
      <c r="D7481" t="s">
        <v>6094</v>
      </c>
      <c r="E7481" t="s">
        <v>11727</v>
      </c>
      <c r="F7481">
        <v>1</v>
      </c>
      <c r="G7481">
        <v>2110968</v>
      </c>
      <c r="H7481" t="s">
        <v>11728</v>
      </c>
      <c r="J7481" s="54" t="s">
        <v>6052</v>
      </c>
      <c r="K7481" s="54">
        <v>0</v>
      </c>
      <c r="L7481" s="22" t="s">
        <v>104</v>
      </c>
      <c r="M7481" s="22" t="s">
        <v>37311</v>
      </c>
    </row>
    <row r="7482" spans="1:13" x14ac:dyDescent="0.75">
      <c r="A7482" t="s">
        <v>8504</v>
      </c>
      <c r="B7482" t="s">
        <v>6092</v>
      </c>
      <c r="C7482" t="s">
        <v>6093</v>
      </c>
      <c r="D7482" t="s">
        <v>6094</v>
      </c>
      <c r="E7482" t="s">
        <v>8505</v>
      </c>
      <c r="F7482">
        <v>9</v>
      </c>
      <c r="G7482">
        <v>2056675</v>
      </c>
      <c r="H7482" t="s">
        <v>8506</v>
      </c>
      <c r="J7482" s="54" t="s">
        <v>6052</v>
      </c>
      <c r="K7482" s="54">
        <v>0</v>
      </c>
      <c r="L7482" s="22" t="s">
        <v>104</v>
      </c>
      <c r="M7482" s="22" t="s">
        <v>37311</v>
      </c>
    </row>
    <row r="7483" spans="1:13" x14ac:dyDescent="0.75">
      <c r="A7483" t="s">
        <v>22392</v>
      </c>
      <c r="B7483" t="s">
        <v>6092</v>
      </c>
      <c r="C7483" t="s">
        <v>6093</v>
      </c>
      <c r="D7483" t="s">
        <v>6094</v>
      </c>
      <c r="E7483" t="s">
        <v>22393</v>
      </c>
      <c r="F7483">
        <v>1</v>
      </c>
      <c r="G7483">
        <v>2062504</v>
      </c>
      <c r="H7483" t="s">
        <v>22394</v>
      </c>
      <c r="J7483" s="54" t="s">
        <v>6052</v>
      </c>
      <c r="K7483" s="54">
        <v>0</v>
      </c>
      <c r="L7483" s="22" t="s">
        <v>104</v>
      </c>
      <c r="M7483" s="22" t="s">
        <v>37311</v>
      </c>
    </row>
    <row r="7484" spans="1:13" x14ac:dyDescent="0.75">
      <c r="A7484" t="s">
        <v>10725</v>
      </c>
      <c r="B7484" t="s">
        <v>6092</v>
      </c>
      <c r="C7484" t="s">
        <v>6093</v>
      </c>
      <c r="D7484" t="s">
        <v>6094</v>
      </c>
      <c r="E7484" t="s">
        <v>10726</v>
      </c>
      <c r="F7484">
        <v>1</v>
      </c>
      <c r="G7484">
        <v>2287774</v>
      </c>
      <c r="H7484" t="s">
        <v>10727</v>
      </c>
      <c r="J7484" s="54" t="s">
        <v>6052</v>
      </c>
      <c r="K7484" s="54">
        <v>0</v>
      </c>
      <c r="L7484" s="22" t="s">
        <v>104</v>
      </c>
      <c r="M7484" s="22" t="s">
        <v>37311</v>
      </c>
    </row>
    <row r="7485" spans="1:13" x14ac:dyDescent="0.75">
      <c r="A7485" t="s">
        <v>7698</v>
      </c>
      <c r="B7485" t="s">
        <v>6092</v>
      </c>
      <c r="C7485" t="s">
        <v>6093</v>
      </c>
      <c r="D7485" t="s">
        <v>6094</v>
      </c>
      <c r="E7485" t="s">
        <v>7699</v>
      </c>
      <c r="F7485">
        <v>1</v>
      </c>
      <c r="G7485">
        <v>2036867</v>
      </c>
      <c r="H7485" t="s">
        <v>7700</v>
      </c>
      <c r="J7485" s="54" t="s">
        <v>6052</v>
      </c>
      <c r="K7485" s="54">
        <v>0</v>
      </c>
      <c r="L7485" s="22" t="s">
        <v>104</v>
      </c>
      <c r="M7485" s="22" t="s">
        <v>37311</v>
      </c>
    </row>
    <row r="7486" spans="1:13" x14ac:dyDescent="0.75">
      <c r="A7486" t="s">
        <v>6336</v>
      </c>
      <c r="B7486" t="s">
        <v>6092</v>
      </c>
      <c r="C7486" t="s">
        <v>6093</v>
      </c>
      <c r="D7486" t="s">
        <v>6094</v>
      </c>
      <c r="E7486" t="s">
        <v>6337</v>
      </c>
      <c r="F7486">
        <v>1</v>
      </c>
      <c r="G7486">
        <v>2111882</v>
      </c>
      <c r="H7486" t="s">
        <v>6338</v>
      </c>
      <c r="J7486" s="54" t="s">
        <v>6052</v>
      </c>
      <c r="K7486" s="54">
        <v>0</v>
      </c>
      <c r="L7486" s="22" t="s">
        <v>104</v>
      </c>
      <c r="M7486" s="22" t="s">
        <v>37311</v>
      </c>
    </row>
    <row r="7487" spans="1:13" x14ac:dyDescent="0.75">
      <c r="A7487" t="s">
        <v>9272</v>
      </c>
      <c r="B7487" t="s">
        <v>6092</v>
      </c>
      <c r="C7487" t="s">
        <v>6093</v>
      </c>
      <c r="D7487" t="s">
        <v>6094</v>
      </c>
      <c r="E7487" t="s">
        <v>9273</v>
      </c>
      <c r="F7487">
        <v>2</v>
      </c>
      <c r="G7487">
        <v>2076531</v>
      </c>
      <c r="H7487" t="s">
        <v>9274</v>
      </c>
      <c r="J7487" s="54" t="s">
        <v>6052</v>
      </c>
      <c r="K7487" s="54">
        <v>0</v>
      </c>
      <c r="L7487" s="22" t="s">
        <v>104</v>
      </c>
      <c r="M7487" s="22" t="s">
        <v>37311</v>
      </c>
    </row>
    <row r="7488" spans="1:13" x14ac:dyDescent="0.75">
      <c r="A7488" t="s">
        <v>9023</v>
      </c>
      <c r="B7488" t="s">
        <v>6092</v>
      </c>
      <c r="C7488" t="s">
        <v>6093</v>
      </c>
      <c r="D7488" t="s">
        <v>6094</v>
      </c>
      <c r="E7488" t="s">
        <v>9024</v>
      </c>
      <c r="F7488">
        <v>5</v>
      </c>
      <c r="G7488">
        <v>2052382</v>
      </c>
      <c r="H7488" t="s">
        <v>9025</v>
      </c>
      <c r="J7488" s="54" t="s">
        <v>6052</v>
      </c>
      <c r="K7488" s="54">
        <v>0</v>
      </c>
      <c r="L7488" s="22" t="s">
        <v>104</v>
      </c>
      <c r="M7488" s="22" t="s">
        <v>37311</v>
      </c>
    </row>
    <row r="7489" spans="1:13" x14ac:dyDescent="0.75">
      <c r="A7489" t="s">
        <v>11349</v>
      </c>
      <c r="B7489" t="s">
        <v>6092</v>
      </c>
      <c r="C7489" t="s">
        <v>6093</v>
      </c>
      <c r="D7489" t="s">
        <v>6094</v>
      </c>
      <c r="E7489" t="s">
        <v>11350</v>
      </c>
      <c r="F7489">
        <v>1</v>
      </c>
      <c r="G7489">
        <v>2147252</v>
      </c>
      <c r="H7489" t="s">
        <v>11351</v>
      </c>
      <c r="J7489" s="54" t="s">
        <v>6052</v>
      </c>
      <c r="K7489" s="54">
        <v>0</v>
      </c>
      <c r="L7489" s="22" t="s">
        <v>104</v>
      </c>
      <c r="M7489" s="22" t="s">
        <v>37311</v>
      </c>
    </row>
    <row r="7490" spans="1:13" x14ac:dyDescent="0.75">
      <c r="A7490" t="s">
        <v>6097</v>
      </c>
      <c r="B7490" t="s">
        <v>6092</v>
      </c>
      <c r="C7490" t="s">
        <v>6093</v>
      </c>
      <c r="D7490" t="s">
        <v>6094</v>
      </c>
      <c r="E7490" t="s">
        <v>6098</v>
      </c>
      <c r="F7490">
        <v>1</v>
      </c>
      <c r="G7490">
        <v>2038615</v>
      </c>
      <c r="H7490" t="s">
        <v>6099</v>
      </c>
      <c r="J7490" s="54" t="s">
        <v>6052</v>
      </c>
      <c r="K7490" s="54">
        <v>0</v>
      </c>
      <c r="L7490" s="22" t="s">
        <v>104</v>
      </c>
      <c r="M7490" s="22" t="s">
        <v>37311</v>
      </c>
    </row>
    <row r="7491" spans="1:13" x14ac:dyDescent="0.75">
      <c r="A7491" t="s">
        <v>23422</v>
      </c>
      <c r="B7491" t="s">
        <v>6092</v>
      </c>
      <c r="C7491" t="s">
        <v>6093</v>
      </c>
      <c r="D7491" t="s">
        <v>6094</v>
      </c>
      <c r="E7491" t="s">
        <v>23423</v>
      </c>
      <c r="F7491">
        <v>1</v>
      </c>
      <c r="G7491">
        <v>2151943</v>
      </c>
      <c r="H7491" t="s">
        <v>23424</v>
      </c>
      <c r="J7491" s="54" t="s">
        <v>6052</v>
      </c>
      <c r="K7491" s="54">
        <v>0</v>
      </c>
      <c r="L7491" s="22" t="s">
        <v>104</v>
      </c>
      <c r="M7491" s="22" t="s">
        <v>37311</v>
      </c>
    </row>
    <row r="7492" spans="1:13" x14ac:dyDescent="0.75">
      <c r="A7492" t="s">
        <v>7704</v>
      </c>
      <c r="B7492" t="s">
        <v>6092</v>
      </c>
      <c r="C7492" t="s">
        <v>6093</v>
      </c>
      <c r="D7492" t="s">
        <v>6094</v>
      </c>
      <c r="E7492" t="s">
        <v>7705</v>
      </c>
      <c r="F7492">
        <v>1</v>
      </c>
      <c r="G7492">
        <v>2024476</v>
      </c>
      <c r="H7492" t="s">
        <v>7706</v>
      </c>
      <c r="J7492" s="54" t="s">
        <v>6052</v>
      </c>
      <c r="K7492" s="54">
        <v>0</v>
      </c>
      <c r="L7492" s="22" t="s">
        <v>104</v>
      </c>
      <c r="M7492" s="22" t="s">
        <v>37311</v>
      </c>
    </row>
    <row r="7493" spans="1:13" x14ac:dyDescent="0.75">
      <c r="A7493" t="s">
        <v>7707</v>
      </c>
      <c r="B7493" t="s">
        <v>6092</v>
      </c>
      <c r="C7493" t="s">
        <v>6093</v>
      </c>
      <c r="D7493" t="s">
        <v>6094</v>
      </c>
      <c r="E7493" t="s">
        <v>7708</v>
      </c>
      <c r="F7493">
        <v>1</v>
      </c>
      <c r="G7493">
        <v>2037254</v>
      </c>
      <c r="H7493" t="s">
        <v>7709</v>
      </c>
      <c r="J7493" s="54" t="s">
        <v>6052</v>
      </c>
      <c r="K7493" s="54">
        <v>0</v>
      </c>
      <c r="L7493" s="22" t="s">
        <v>104</v>
      </c>
      <c r="M7493" s="22" t="s">
        <v>37311</v>
      </c>
    </row>
    <row r="7494" spans="1:13" x14ac:dyDescent="0.75">
      <c r="A7494" t="s">
        <v>7710</v>
      </c>
      <c r="B7494" t="s">
        <v>6092</v>
      </c>
      <c r="C7494" t="s">
        <v>6093</v>
      </c>
      <c r="D7494" t="s">
        <v>6094</v>
      </c>
      <c r="E7494" t="s">
        <v>7711</v>
      </c>
      <c r="F7494">
        <v>1</v>
      </c>
      <c r="G7494">
        <v>2026239</v>
      </c>
      <c r="H7494" t="s">
        <v>7712</v>
      </c>
      <c r="J7494" s="54" t="s">
        <v>6052</v>
      </c>
      <c r="K7494" s="54">
        <v>0</v>
      </c>
      <c r="L7494" s="22" t="s">
        <v>104</v>
      </c>
      <c r="M7494" s="22" t="s">
        <v>37311</v>
      </c>
    </row>
    <row r="7495" spans="1:13" x14ac:dyDescent="0.75">
      <c r="A7495" t="s">
        <v>7713</v>
      </c>
      <c r="B7495" t="s">
        <v>6092</v>
      </c>
      <c r="C7495" t="s">
        <v>6093</v>
      </c>
      <c r="D7495" t="s">
        <v>6094</v>
      </c>
      <c r="E7495" t="s">
        <v>7714</v>
      </c>
      <c r="F7495">
        <v>1</v>
      </c>
      <c r="G7495">
        <v>2026505</v>
      </c>
      <c r="H7495" t="s">
        <v>7715</v>
      </c>
      <c r="J7495" s="54" t="s">
        <v>6052</v>
      </c>
      <c r="K7495" s="54">
        <v>0</v>
      </c>
      <c r="L7495" s="22" t="s">
        <v>104</v>
      </c>
      <c r="M7495" s="22" t="s">
        <v>37311</v>
      </c>
    </row>
    <row r="7496" spans="1:13" x14ac:dyDescent="0.75">
      <c r="A7496" t="s">
        <v>13150</v>
      </c>
      <c r="B7496" t="s">
        <v>6092</v>
      </c>
      <c r="C7496" t="s">
        <v>6093</v>
      </c>
      <c r="D7496" t="s">
        <v>6094</v>
      </c>
      <c r="E7496" t="s">
        <v>13151</v>
      </c>
      <c r="F7496">
        <v>1</v>
      </c>
      <c r="G7496">
        <v>2206644</v>
      </c>
      <c r="H7496" t="s">
        <v>13152</v>
      </c>
      <c r="J7496" s="54" t="s">
        <v>6052</v>
      </c>
      <c r="K7496" s="54">
        <v>0</v>
      </c>
      <c r="L7496" s="22" t="s">
        <v>104</v>
      </c>
      <c r="M7496" s="22" t="s">
        <v>37311</v>
      </c>
    </row>
    <row r="7497" spans="1:13" x14ac:dyDescent="0.75">
      <c r="A7497" t="s">
        <v>13153</v>
      </c>
      <c r="B7497" t="s">
        <v>6092</v>
      </c>
      <c r="C7497" t="s">
        <v>6093</v>
      </c>
      <c r="D7497" t="s">
        <v>6094</v>
      </c>
      <c r="E7497" t="s">
        <v>13154</v>
      </c>
      <c r="F7497">
        <v>1</v>
      </c>
      <c r="G7497">
        <v>2071812</v>
      </c>
      <c r="H7497" t="s">
        <v>13155</v>
      </c>
      <c r="J7497" s="54" t="s">
        <v>6052</v>
      </c>
      <c r="K7497" s="54">
        <v>0</v>
      </c>
      <c r="L7497" s="22" t="s">
        <v>104</v>
      </c>
      <c r="M7497" s="22" t="s">
        <v>37311</v>
      </c>
    </row>
    <row r="7498" spans="1:13" x14ac:dyDescent="0.75">
      <c r="A7498" t="s">
        <v>13156</v>
      </c>
      <c r="B7498" t="s">
        <v>6092</v>
      </c>
      <c r="C7498" t="s">
        <v>6093</v>
      </c>
      <c r="D7498" t="s">
        <v>6094</v>
      </c>
      <c r="E7498" t="s">
        <v>13157</v>
      </c>
      <c r="F7498">
        <v>1</v>
      </c>
      <c r="G7498">
        <v>2073113</v>
      </c>
      <c r="H7498" t="s">
        <v>13158</v>
      </c>
      <c r="J7498" s="54" t="s">
        <v>6052</v>
      </c>
      <c r="K7498" s="54">
        <v>0</v>
      </c>
      <c r="L7498" s="22" t="s">
        <v>104</v>
      </c>
      <c r="M7498" s="22" t="s">
        <v>37311</v>
      </c>
    </row>
    <row r="7499" spans="1:13" x14ac:dyDescent="0.75">
      <c r="A7499" t="s">
        <v>15341</v>
      </c>
      <c r="B7499" t="s">
        <v>6092</v>
      </c>
      <c r="C7499" t="s">
        <v>6093</v>
      </c>
      <c r="D7499" t="s">
        <v>6094</v>
      </c>
      <c r="E7499" t="s">
        <v>15342</v>
      </c>
      <c r="F7499">
        <v>1</v>
      </c>
      <c r="G7499">
        <v>2057144</v>
      </c>
      <c r="H7499" t="s">
        <v>15343</v>
      </c>
      <c r="J7499" s="54" t="s">
        <v>6052</v>
      </c>
      <c r="K7499" s="54">
        <v>0</v>
      </c>
      <c r="L7499" s="22" t="s">
        <v>104</v>
      </c>
      <c r="M7499" s="22" t="s">
        <v>37311</v>
      </c>
    </row>
    <row r="7500" spans="1:13" x14ac:dyDescent="0.75">
      <c r="A7500" t="s">
        <v>7716</v>
      </c>
      <c r="B7500" t="s">
        <v>6092</v>
      </c>
      <c r="C7500" t="s">
        <v>6093</v>
      </c>
      <c r="D7500" t="s">
        <v>6094</v>
      </c>
      <c r="E7500" t="s">
        <v>7717</v>
      </c>
      <c r="F7500">
        <v>1</v>
      </c>
      <c r="G7500">
        <v>2131190</v>
      </c>
      <c r="H7500" t="s">
        <v>7718</v>
      </c>
      <c r="J7500" s="54" t="s">
        <v>6052</v>
      </c>
      <c r="K7500" s="54">
        <v>0</v>
      </c>
      <c r="L7500" s="22" t="s">
        <v>104</v>
      </c>
      <c r="M7500" s="22" t="s">
        <v>37311</v>
      </c>
    </row>
    <row r="7501" spans="1:13" x14ac:dyDescent="0.75">
      <c r="A7501" t="s">
        <v>7719</v>
      </c>
      <c r="B7501" t="s">
        <v>6092</v>
      </c>
      <c r="C7501" t="s">
        <v>6093</v>
      </c>
      <c r="D7501" t="s">
        <v>6094</v>
      </c>
      <c r="E7501" t="s">
        <v>7720</v>
      </c>
      <c r="F7501">
        <v>1</v>
      </c>
      <c r="G7501">
        <v>2133496</v>
      </c>
      <c r="H7501" t="s">
        <v>7721</v>
      </c>
      <c r="J7501" s="54" t="s">
        <v>6052</v>
      </c>
      <c r="K7501" s="54">
        <v>0</v>
      </c>
      <c r="L7501" s="22" t="s">
        <v>104</v>
      </c>
      <c r="M7501" s="22" t="s">
        <v>37311</v>
      </c>
    </row>
    <row r="7502" spans="1:13" x14ac:dyDescent="0.75">
      <c r="A7502" t="s">
        <v>8471</v>
      </c>
      <c r="B7502" t="s">
        <v>6092</v>
      </c>
      <c r="C7502" t="s">
        <v>6093</v>
      </c>
      <c r="D7502" t="s">
        <v>6094</v>
      </c>
      <c r="E7502" t="s">
        <v>8472</v>
      </c>
      <c r="F7502">
        <v>1</v>
      </c>
      <c r="G7502">
        <v>2150813</v>
      </c>
      <c r="H7502" t="s">
        <v>8473</v>
      </c>
      <c r="J7502" s="54" t="s">
        <v>6052</v>
      </c>
      <c r="K7502" s="54">
        <v>0</v>
      </c>
      <c r="L7502" s="22" t="s">
        <v>104</v>
      </c>
      <c r="M7502" s="22" t="s">
        <v>37311</v>
      </c>
    </row>
    <row r="7503" spans="1:13" x14ac:dyDescent="0.75">
      <c r="A7503" t="s">
        <v>8525</v>
      </c>
      <c r="B7503" t="s">
        <v>6092</v>
      </c>
      <c r="C7503" t="s">
        <v>6093</v>
      </c>
      <c r="D7503" t="s">
        <v>6094</v>
      </c>
      <c r="E7503" t="s">
        <v>8526</v>
      </c>
      <c r="F7503">
        <v>9</v>
      </c>
      <c r="G7503">
        <v>2156372</v>
      </c>
      <c r="H7503" t="s">
        <v>8527</v>
      </c>
      <c r="J7503" s="54" t="s">
        <v>6052</v>
      </c>
      <c r="K7503" s="54">
        <v>0</v>
      </c>
      <c r="L7503" s="22" t="s">
        <v>104</v>
      </c>
      <c r="M7503" s="22" t="s">
        <v>37311</v>
      </c>
    </row>
    <row r="7504" spans="1:13" x14ac:dyDescent="0.75">
      <c r="A7504" t="s">
        <v>6339</v>
      </c>
      <c r="B7504" t="s">
        <v>6092</v>
      </c>
      <c r="C7504" t="s">
        <v>6093</v>
      </c>
      <c r="D7504" t="s">
        <v>6094</v>
      </c>
      <c r="E7504" t="s">
        <v>6340</v>
      </c>
      <c r="F7504">
        <v>1</v>
      </c>
      <c r="G7504">
        <v>2112148</v>
      </c>
      <c r="H7504" t="s">
        <v>6341</v>
      </c>
      <c r="J7504" s="54" t="s">
        <v>6052</v>
      </c>
      <c r="K7504" s="54">
        <v>0</v>
      </c>
      <c r="L7504" s="22" t="s">
        <v>104</v>
      </c>
      <c r="M7504" s="22" t="s">
        <v>37311</v>
      </c>
    </row>
    <row r="7505" spans="1:13" x14ac:dyDescent="0.75">
      <c r="A7505" t="s">
        <v>7629</v>
      </c>
      <c r="B7505" t="s">
        <v>6092</v>
      </c>
      <c r="C7505" t="s">
        <v>6093</v>
      </c>
      <c r="D7505" t="s">
        <v>6094</v>
      </c>
      <c r="E7505" t="s">
        <v>7630</v>
      </c>
      <c r="F7505">
        <v>1</v>
      </c>
      <c r="G7505">
        <v>2088772</v>
      </c>
      <c r="H7505" t="s">
        <v>7631</v>
      </c>
      <c r="J7505" s="54" t="s">
        <v>6052</v>
      </c>
      <c r="K7505" s="54">
        <v>0</v>
      </c>
      <c r="L7505" s="22" t="s">
        <v>104</v>
      </c>
      <c r="M7505" s="22" t="s">
        <v>37311</v>
      </c>
    </row>
    <row r="7506" spans="1:13" x14ac:dyDescent="0.75">
      <c r="A7506" t="s">
        <v>8639</v>
      </c>
      <c r="B7506" t="s">
        <v>6092</v>
      </c>
      <c r="C7506" t="s">
        <v>6093</v>
      </c>
      <c r="D7506" t="s">
        <v>6094</v>
      </c>
      <c r="E7506" t="s">
        <v>8640</v>
      </c>
      <c r="F7506">
        <v>1</v>
      </c>
      <c r="G7506">
        <v>2162245</v>
      </c>
      <c r="H7506" t="s">
        <v>8641</v>
      </c>
      <c r="J7506" s="54" t="s">
        <v>6052</v>
      </c>
      <c r="K7506" s="54">
        <v>0</v>
      </c>
      <c r="L7506" s="22" t="s">
        <v>104</v>
      </c>
      <c r="M7506" s="22" t="s">
        <v>37311</v>
      </c>
    </row>
    <row r="7507" spans="1:13" x14ac:dyDescent="0.75">
      <c r="A7507" t="s">
        <v>8663</v>
      </c>
      <c r="B7507" t="s">
        <v>6092</v>
      </c>
      <c r="C7507" t="s">
        <v>6093</v>
      </c>
      <c r="D7507" t="s">
        <v>6094</v>
      </c>
      <c r="E7507" t="s">
        <v>8640</v>
      </c>
      <c r="F7507">
        <v>1</v>
      </c>
      <c r="G7507">
        <v>2163340</v>
      </c>
      <c r="H7507" t="s">
        <v>8664</v>
      </c>
      <c r="J7507" s="54" t="s">
        <v>6052</v>
      </c>
      <c r="K7507" s="54">
        <v>0</v>
      </c>
      <c r="L7507" s="22" t="s">
        <v>104</v>
      </c>
      <c r="M7507" s="22" t="s">
        <v>37311</v>
      </c>
    </row>
    <row r="7508" spans="1:13" x14ac:dyDescent="0.75">
      <c r="A7508" t="s">
        <v>6091</v>
      </c>
      <c r="B7508" t="s">
        <v>6092</v>
      </c>
      <c r="C7508" t="s">
        <v>6093</v>
      </c>
      <c r="D7508" t="s">
        <v>6094</v>
      </c>
      <c r="E7508" t="s">
        <v>6095</v>
      </c>
      <c r="F7508">
        <v>1</v>
      </c>
      <c r="G7508">
        <v>2160842</v>
      </c>
      <c r="H7508" t="s">
        <v>6096</v>
      </c>
      <c r="J7508" s="54" t="s">
        <v>6052</v>
      </c>
      <c r="K7508" s="54">
        <v>0</v>
      </c>
      <c r="L7508" s="22" t="s">
        <v>104</v>
      </c>
      <c r="M7508" s="22" t="s">
        <v>37311</v>
      </c>
    </row>
    <row r="7509" spans="1:13" x14ac:dyDescent="0.75">
      <c r="A7509" t="s">
        <v>22327</v>
      </c>
      <c r="B7509" t="s">
        <v>6092</v>
      </c>
      <c r="C7509" t="s">
        <v>6093</v>
      </c>
      <c r="D7509" t="s">
        <v>6094</v>
      </c>
      <c r="E7509" t="s">
        <v>22328</v>
      </c>
      <c r="F7509">
        <v>1</v>
      </c>
      <c r="G7509">
        <v>2084495</v>
      </c>
      <c r="H7509" t="s">
        <v>22329</v>
      </c>
      <c r="J7509" s="54" t="s">
        <v>6052</v>
      </c>
      <c r="K7509" s="54">
        <v>0</v>
      </c>
      <c r="L7509" s="22" t="s">
        <v>104</v>
      </c>
      <c r="M7509" s="22" t="s">
        <v>37311</v>
      </c>
    </row>
    <row r="7510" spans="1:13" x14ac:dyDescent="0.75">
      <c r="A7510" t="s">
        <v>22309</v>
      </c>
      <c r="B7510" t="s">
        <v>6092</v>
      </c>
      <c r="C7510" t="s">
        <v>6093</v>
      </c>
      <c r="D7510" t="s">
        <v>6094</v>
      </c>
      <c r="E7510" t="s">
        <v>22310</v>
      </c>
      <c r="F7510">
        <v>1</v>
      </c>
      <c r="G7510">
        <v>2000117</v>
      </c>
      <c r="H7510" t="s">
        <v>22311</v>
      </c>
      <c r="J7510" s="54" t="s">
        <v>6052</v>
      </c>
      <c r="K7510" s="54">
        <v>0</v>
      </c>
      <c r="L7510" s="22" t="s">
        <v>104</v>
      </c>
      <c r="M7510" s="22" t="s">
        <v>37311</v>
      </c>
    </row>
    <row r="7511" spans="1:13" x14ac:dyDescent="0.75">
      <c r="A7511" t="s">
        <v>22306</v>
      </c>
      <c r="B7511" t="s">
        <v>6092</v>
      </c>
      <c r="C7511" t="s">
        <v>6093</v>
      </c>
      <c r="D7511" t="s">
        <v>6094</v>
      </c>
      <c r="E7511" t="s">
        <v>22307</v>
      </c>
      <c r="F7511">
        <v>1</v>
      </c>
      <c r="G7511">
        <v>2118571</v>
      </c>
      <c r="H7511" t="s">
        <v>22308</v>
      </c>
      <c r="J7511" s="54" t="s">
        <v>6052</v>
      </c>
      <c r="K7511" s="54">
        <v>0</v>
      </c>
      <c r="L7511" s="22" t="s">
        <v>104</v>
      </c>
      <c r="M7511" s="22" t="s">
        <v>37311</v>
      </c>
    </row>
    <row r="7512" spans="1:13" x14ac:dyDescent="0.75">
      <c r="A7512" t="s">
        <v>22339</v>
      </c>
      <c r="B7512" t="s">
        <v>6092</v>
      </c>
      <c r="C7512" t="s">
        <v>6093</v>
      </c>
      <c r="D7512" t="s">
        <v>6094</v>
      </c>
      <c r="E7512" t="s">
        <v>22340</v>
      </c>
      <c r="F7512">
        <v>1</v>
      </c>
      <c r="G7512">
        <v>2139846</v>
      </c>
      <c r="H7512" t="s">
        <v>22341</v>
      </c>
      <c r="J7512" s="54" t="s">
        <v>6052</v>
      </c>
      <c r="K7512" s="54">
        <v>0</v>
      </c>
      <c r="L7512" s="22" t="s">
        <v>104</v>
      </c>
      <c r="M7512" s="22" t="s">
        <v>37311</v>
      </c>
    </row>
    <row r="7513" spans="1:13" x14ac:dyDescent="0.75">
      <c r="A7513" t="s">
        <v>22324</v>
      </c>
      <c r="B7513" t="s">
        <v>6092</v>
      </c>
      <c r="C7513" t="s">
        <v>6093</v>
      </c>
      <c r="D7513" t="s">
        <v>6094</v>
      </c>
      <c r="E7513" t="s">
        <v>22325</v>
      </c>
      <c r="F7513">
        <v>1</v>
      </c>
      <c r="G7513">
        <v>2075570</v>
      </c>
      <c r="H7513" t="s">
        <v>22326</v>
      </c>
      <c r="J7513" s="54" t="s">
        <v>6052</v>
      </c>
      <c r="K7513" s="54">
        <v>0</v>
      </c>
      <c r="L7513" s="22" t="s">
        <v>104</v>
      </c>
      <c r="M7513" s="22" t="s">
        <v>37311</v>
      </c>
    </row>
    <row r="7514" spans="1:13" x14ac:dyDescent="0.75">
      <c r="A7514" t="s">
        <v>22321</v>
      </c>
      <c r="B7514" t="s">
        <v>6092</v>
      </c>
      <c r="C7514" t="s">
        <v>6093</v>
      </c>
      <c r="D7514" t="s">
        <v>6094</v>
      </c>
      <c r="E7514" t="s">
        <v>22322</v>
      </c>
      <c r="F7514">
        <v>1</v>
      </c>
      <c r="G7514">
        <v>2052119</v>
      </c>
      <c r="H7514" t="s">
        <v>22323</v>
      </c>
      <c r="J7514" s="54" t="s">
        <v>6052</v>
      </c>
      <c r="K7514" s="54">
        <v>0</v>
      </c>
      <c r="L7514" s="22" t="s">
        <v>104</v>
      </c>
      <c r="M7514" s="22" t="s">
        <v>37311</v>
      </c>
    </row>
    <row r="7515" spans="1:13" x14ac:dyDescent="0.75">
      <c r="A7515" t="s">
        <v>22318</v>
      </c>
      <c r="B7515" t="s">
        <v>6092</v>
      </c>
      <c r="C7515" t="s">
        <v>6093</v>
      </c>
      <c r="D7515" t="s">
        <v>6094</v>
      </c>
      <c r="E7515" t="s">
        <v>22319</v>
      </c>
      <c r="F7515">
        <v>1</v>
      </c>
      <c r="G7515">
        <v>2050463</v>
      </c>
      <c r="H7515" t="s">
        <v>22320</v>
      </c>
      <c r="J7515" s="54" t="s">
        <v>6052</v>
      </c>
      <c r="K7515" s="54">
        <v>0</v>
      </c>
      <c r="L7515" s="22" t="s">
        <v>104</v>
      </c>
      <c r="M7515" s="22" t="s">
        <v>37311</v>
      </c>
    </row>
    <row r="7516" spans="1:13" x14ac:dyDescent="0.75">
      <c r="A7516" t="s">
        <v>22342</v>
      </c>
      <c r="B7516" t="s">
        <v>6092</v>
      </c>
      <c r="C7516" t="s">
        <v>6093</v>
      </c>
      <c r="D7516" t="s">
        <v>6094</v>
      </c>
      <c r="E7516" t="s">
        <v>22343</v>
      </c>
      <c r="F7516">
        <v>1</v>
      </c>
      <c r="G7516">
        <v>2071654</v>
      </c>
      <c r="H7516" t="s">
        <v>22344</v>
      </c>
      <c r="J7516" s="54" t="s">
        <v>6052</v>
      </c>
      <c r="K7516" s="54">
        <v>0</v>
      </c>
      <c r="L7516" s="22" t="s">
        <v>104</v>
      </c>
      <c r="M7516" s="22" t="s">
        <v>37311</v>
      </c>
    </row>
    <row r="7517" spans="1:13" x14ac:dyDescent="0.75">
      <c r="A7517" t="s">
        <v>22315</v>
      </c>
      <c r="B7517" t="s">
        <v>6092</v>
      </c>
      <c r="C7517" t="s">
        <v>6093</v>
      </c>
      <c r="D7517" t="s">
        <v>6094</v>
      </c>
      <c r="E7517" t="s">
        <v>22316</v>
      </c>
      <c r="F7517">
        <v>1</v>
      </c>
      <c r="G7517">
        <v>2098679</v>
      </c>
      <c r="H7517" t="s">
        <v>22317</v>
      </c>
      <c r="J7517" s="54" t="s">
        <v>6052</v>
      </c>
      <c r="K7517" s="54">
        <v>0</v>
      </c>
      <c r="L7517" s="22" t="s">
        <v>104</v>
      </c>
      <c r="M7517" s="22" t="s">
        <v>37311</v>
      </c>
    </row>
    <row r="7518" spans="1:13" x14ac:dyDescent="0.75">
      <c r="A7518" t="s">
        <v>22312</v>
      </c>
      <c r="B7518" t="s">
        <v>6092</v>
      </c>
      <c r="C7518" t="s">
        <v>6093</v>
      </c>
      <c r="D7518" t="s">
        <v>6094</v>
      </c>
      <c r="E7518" t="s">
        <v>22313</v>
      </c>
      <c r="F7518">
        <v>1</v>
      </c>
      <c r="G7518">
        <v>2001615</v>
      </c>
      <c r="H7518" t="s">
        <v>22314</v>
      </c>
      <c r="J7518" s="54" t="s">
        <v>6052</v>
      </c>
      <c r="K7518" s="54">
        <v>0</v>
      </c>
      <c r="L7518" s="22" t="s">
        <v>104</v>
      </c>
      <c r="M7518" s="22" t="s">
        <v>37311</v>
      </c>
    </row>
    <row r="7519" spans="1:13" x14ac:dyDescent="0.75">
      <c r="A7519" t="s">
        <v>22333</v>
      </c>
      <c r="B7519" t="s">
        <v>6092</v>
      </c>
      <c r="C7519" t="s">
        <v>6093</v>
      </c>
      <c r="D7519" t="s">
        <v>6094</v>
      </c>
      <c r="E7519" t="s">
        <v>22334</v>
      </c>
      <c r="F7519">
        <v>1</v>
      </c>
      <c r="G7519">
        <v>2150845</v>
      </c>
      <c r="H7519" t="s">
        <v>22335</v>
      </c>
      <c r="J7519" s="54" t="s">
        <v>6052</v>
      </c>
      <c r="K7519" s="54">
        <v>0</v>
      </c>
      <c r="L7519" s="22" t="s">
        <v>104</v>
      </c>
      <c r="M7519" s="22" t="s">
        <v>37311</v>
      </c>
    </row>
    <row r="7520" spans="1:13" x14ac:dyDescent="0.75">
      <c r="A7520" t="s">
        <v>22330</v>
      </c>
      <c r="B7520" t="s">
        <v>6092</v>
      </c>
      <c r="C7520" t="s">
        <v>6093</v>
      </c>
      <c r="D7520" t="s">
        <v>6094</v>
      </c>
      <c r="E7520" t="s">
        <v>22331</v>
      </c>
      <c r="F7520">
        <v>1</v>
      </c>
      <c r="G7520">
        <v>2108520</v>
      </c>
      <c r="H7520" t="s">
        <v>22332</v>
      </c>
      <c r="J7520" s="54" t="s">
        <v>6052</v>
      </c>
      <c r="K7520" s="54">
        <v>0</v>
      </c>
      <c r="L7520" s="22" t="s">
        <v>104</v>
      </c>
      <c r="M7520" s="22" t="s">
        <v>37311</v>
      </c>
    </row>
    <row r="7521" spans="1:13" x14ac:dyDescent="0.75">
      <c r="A7521" t="s">
        <v>22336</v>
      </c>
      <c r="B7521" t="s">
        <v>6092</v>
      </c>
      <c r="C7521" t="s">
        <v>6093</v>
      </c>
      <c r="D7521" t="s">
        <v>6094</v>
      </c>
      <c r="E7521" t="s">
        <v>22337</v>
      </c>
      <c r="F7521">
        <v>1</v>
      </c>
      <c r="G7521">
        <v>2103577</v>
      </c>
      <c r="H7521" t="s">
        <v>22338</v>
      </c>
      <c r="J7521" s="54" t="s">
        <v>6052</v>
      </c>
      <c r="K7521" s="54">
        <v>0</v>
      </c>
      <c r="L7521" s="22" t="s">
        <v>104</v>
      </c>
      <c r="M7521" s="22" t="s">
        <v>37311</v>
      </c>
    </row>
    <row r="7522" spans="1:13" x14ac:dyDescent="0.75">
      <c r="A7522" t="s">
        <v>18545</v>
      </c>
      <c r="B7522" t="s">
        <v>7904</v>
      </c>
      <c r="C7522" t="s">
        <v>6093</v>
      </c>
      <c r="D7522" t="s">
        <v>7905</v>
      </c>
      <c r="E7522">
        <v>79</v>
      </c>
      <c r="F7522">
        <v>146</v>
      </c>
      <c r="G7522">
        <v>2242510</v>
      </c>
      <c r="H7522" t="s">
        <v>18546</v>
      </c>
      <c r="J7522" s="54" t="s">
        <v>6052</v>
      </c>
      <c r="K7522" s="54">
        <v>0</v>
      </c>
      <c r="L7522" s="22" t="s">
        <v>104</v>
      </c>
      <c r="M7522" s="22" t="s">
        <v>37310</v>
      </c>
    </row>
    <row r="7523" spans="1:13" x14ac:dyDescent="0.75">
      <c r="A7523" t="s">
        <v>18535</v>
      </c>
      <c r="B7523" t="s">
        <v>7904</v>
      </c>
      <c r="C7523" t="s">
        <v>6093</v>
      </c>
      <c r="D7523" t="s">
        <v>7905</v>
      </c>
      <c r="E7523">
        <v>339</v>
      </c>
      <c r="F7523">
        <v>165</v>
      </c>
      <c r="G7523">
        <v>2191367</v>
      </c>
      <c r="H7523" t="s">
        <v>18536</v>
      </c>
      <c r="J7523" s="54" t="s">
        <v>6052</v>
      </c>
      <c r="K7523" s="54">
        <v>0</v>
      </c>
      <c r="L7523" s="22" t="s">
        <v>104</v>
      </c>
      <c r="M7523" s="22" t="s">
        <v>37310</v>
      </c>
    </row>
    <row r="7524" spans="1:13" x14ac:dyDescent="0.75">
      <c r="A7524" t="s">
        <v>11794</v>
      </c>
      <c r="B7524" t="s">
        <v>11795</v>
      </c>
      <c r="C7524" t="s">
        <v>6093</v>
      </c>
      <c r="D7524" t="s">
        <v>11796</v>
      </c>
      <c r="E7524" t="s">
        <v>11797</v>
      </c>
      <c r="F7524">
        <v>1</v>
      </c>
      <c r="G7524">
        <v>1787436</v>
      </c>
      <c r="H7524" t="s">
        <v>11798</v>
      </c>
      <c r="J7524" s="54" t="s">
        <v>6052</v>
      </c>
      <c r="K7524" s="54">
        <v>0</v>
      </c>
      <c r="L7524" s="22" t="s">
        <v>1563</v>
      </c>
      <c r="M7524" s="22" t="s">
        <v>37314</v>
      </c>
    </row>
    <row r="7525" spans="1:13" x14ac:dyDescent="0.75">
      <c r="A7525" t="s">
        <v>18770</v>
      </c>
      <c r="B7525" t="s">
        <v>7438</v>
      </c>
      <c r="C7525" t="s">
        <v>6093</v>
      </c>
      <c r="D7525" t="s">
        <v>7439</v>
      </c>
      <c r="E7525" t="s">
        <v>18771</v>
      </c>
      <c r="F7525">
        <v>1</v>
      </c>
      <c r="G7525">
        <v>2201113</v>
      </c>
      <c r="H7525" t="s">
        <v>18772</v>
      </c>
      <c r="J7525" s="54" t="s">
        <v>6052</v>
      </c>
      <c r="K7525" s="54">
        <v>0</v>
      </c>
      <c r="L7525" s="22" t="s">
        <v>1563</v>
      </c>
      <c r="M7525" s="22" t="s">
        <v>37328</v>
      </c>
    </row>
    <row r="7526" spans="1:13" x14ac:dyDescent="0.75">
      <c r="A7526" t="s">
        <v>14405</v>
      </c>
      <c r="B7526" t="s">
        <v>7438</v>
      </c>
      <c r="C7526" t="s">
        <v>6093</v>
      </c>
      <c r="D7526" t="s">
        <v>7439</v>
      </c>
      <c r="E7526" t="s">
        <v>14406</v>
      </c>
      <c r="F7526">
        <v>1</v>
      </c>
      <c r="G7526">
        <v>1841963</v>
      </c>
      <c r="H7526" t="s">
        <v>14407</v>
      </c>
      <c r="J7526" s="54" t="s">
        <v>6052</v>
      </c>
      <c r="K7526" s="54">
        <v>0</v>
      </c>
      <c r="L7526" s="22" t="s">
        <v>1563</v>
      </c>
      <c r="M7526" s="22" t="s">
        <v>37328</v>
      </c>
    </row>
    <row r="7527" spans="1:13" x14ac:dyDescent="0.75">
      <c r="A7527" t="s">
        <v>14408</v>
      </c>
      <c r="B7527" t="s">
        <v>7438</v>
      </c>
      <c r="C7527" t="s">
        <v>6093</v>
      </c>
      <c r="D7527" t="s">
        <v>7439</v>
      </c>
      <c r="E7527" t="s">
        <v>14409</v>
      </c>
      <c r="F7527">
        <v>1</v>
      </c>
      <c r="G7527">
        <v>1842081</v>
      </c>
      <c r="H7527" t="s">
        <v>14410</v>
      </c>
      <c r="J7527" s="54" t="s">
        <v>6052</v>
      </c>
      <c r="K7527" s="54">
        <v>0</v>
      </c>
      <c r="L7527" s="22" t="s">
        <v>1563</v>
      </c>
      <c r="M7527" s="22" t="s">
        <v>37328</v>
      </c>
    </row>
    <row r="7528" spans="1:13" x14ac:dyDescent="0.75">
      <c r="A7528" t="s">
        <v>18537</v>
      </c>
      <c r="B7528" t="s">
        <v>7904</v>
      </c>
      <c r="C7528" t="s">
        <v>6093</v>
      </c>
      <c r="D7528" t="s">
        <v>7905</v>
      </c>
      <c r="E7528">
        <v>477</v>
      </c>
      <c r="F7528">
        <v>129</v>
      </c>
      <c r="G7528">
        <v>2166343</v>
      </c>
      <c r="H7528" t="s">
        <v>18538</v>
      </c>
      <c r="J7528" s="54" t="s">
        <v>6052</v>
      </c>
      <c r="K7528" s="54">
        <v>0</v>
      </c>
      <c r="L7528" s="22" t="s">
        <v>104</v>
      </c>
      <c r="M7528" s="22" t="s">
        <v>37310</v>
      </c>
    </row>
    <row r="7529" spans="1:13" x14ac:dyDescent="0.75">
      <c r="A7529" t="s">
        <v>18507</v>
      </c>
      <c r="B7529" t="s">
        <v>7904</v>
      </c>
      <c r="C7529" t="s">
        <v>6093</v>
      </c>
      <c r="D7529" t="s">
        <v>7905</v>
      </c>
      <c r="E7529">
        <v>636</v>
      </c>
      <c r="F7529">
        <v>156</v>
      </c>
      <c r="G7529">
        <v>2170009</v>
      </c>
      <c r="H7529" t="s">
        <v>18508</v>
      </c>
      <c r="J7529" s="54" t="s">
        <v>6052</v>
      </c>
      <c r="K7529" s="54">
        <v>0</v>
      </c>
      <c r="L7529" s="22" t="s">
        <v>104</v>
      </c>
      <c r="M7529" s="22" t="s">
        <v>37310</v>
      </c>
    </row>
    <row r="7530" spans="1:13" x14ac:dyDescent="0.75">
      <c r="A7530" t="s">
        <v>14402</v>
      </c>
      <c r="B7530" t="s">
        <v>7438</v>
      </c>
      <c r="C7530" t="s">
        <v>6093</v>
      </c>
      <c r="D7530" t="s">
        <v>7439</v>
      </c>
      <c r="E7530" t="s">
        <v>14403</v>
      </c>
      <c r="F7530">
        <v>1</v>
      </c>
      <c r="G7530">
        <v>1849989</v>
      </c>
      <c r="H7530" t="s">
        <v>14404</v>
      </c>
      <c r="J7530" s="54" t="s">
        <v>6052</v>
      </c>
      <c r="K7530" s="54">
        <v>0</v>
      </c>
      <c r="L7530" s="22" t="s">
        <v>1563</v>
      </c>
      <c r="M7530" s="22" t="s">
        <v>37328</v>
      </c>
    </row>
    <row r="7531" spans="1:13" x14ac:dyDescent="0.75">
      <c r="A7531" t="s">
        <v>18523</v>
      </c>
      <c r="B7531" t="s">
        <v>7904</v>
      </c>
      <c r="C7531" t="s">
        <v>6093</v>
      </c>
      <c r="D7531" t="s">
        <v>7905</v>
      </c>
      <c r="E7531">
        <v>716</v>
      </c>
      <c r="F7531">
        <v>127</v>
      </c>
      <c r="G7531">
        <v>2151547</v>
      </c>
      <c r="H7531" t="s">
        <v>18524</v>
      </c>
      <c r="J7531" s="54" t="s">
        <v>6052</v>
      </c>
      <c r="K7531" s="54">
        <v>0</v>
      </c>
      <c r="L7531" s="22" t="s">
        <v>104</v>
      </c>
      <c r="M7531" s="22" t="s">
        <v>37310</v>
      </c>
    </row>
    <row r="7532" spans="1:13" x14ac:dyDescent="0.75">
      <c r="A7532" t="s">
        <v>18527</v>
      </c>
      <c r="B7532" t="s">
        <v>7904</v>
      </c>
      <c r="C7532" t="s">
        <v>6093</v>
      </c>
      <c r="D7532" t="s">
        <v>7905</v>
      </c>
      <c r="E7532">
        <v>812</v>
      </c>
      <c r="F7532">
        <v>132</v>
      </c>
      <c r="G7532">
        <v>2166147</v>
      </c>
      <c r="H7532" t="s">
        <v>18528</v>
      </c>
      <c r="J7532" s="54" t="s">
        <v>6052</v>
      </c>
      <c r="K7532" s="54">
        <v>0</v>
      </c>
      <c r="L7532" s="22" t="s">
        <v>104</v>
      </c>
      <c r="M7532" s="22" t="s">
        <v>37310</v>
      </c>
    </row>
    <row r="7533" spans="1:13" x14ac:dyDescent="0.75">
      <c r="A7533" t="s">
        <v>18533</v>
      </c>
      <c r="B7533" t="s">
        <v>7904</v>
      </c>
      <c r="C7533" t="s">
        <v>6093</v>
      </c>
      <c r="D7533" t="s">
        <v>7905</v>
      </c>
      <c r="E7533">
        <v>1013</v>
      </c>
      <c r="F7533">
        <v>180</v>
      </c>
      <c r="G7533">
        <v>2203151</v>
      </c>
      <c r="H7533" t="s">
        <v>18534</v>
      </c>
      <c r="J7533" s="54" t="s">
        <v>6052</v>
      </c>
      <c r="K7533" s="54">
        <v>0</v>
      </c>
      <c r="L7533" s="22" t="s">
        <v>104</v>
      </c>
      <c r="M7533" s="22" t="s">
        <v>37310</v>
      </c>
    </row>
    <row r="7534" spans="1:13" x14ac:dyDescent="0.75">
      <c r="A7534" t="s">
        <v>18521</v>
      </c>
      <c r="B7534" t="s">
        <v>7904</v>
      </c>
      <c r="C7534" t="s">
        <v>6093</v>
      </c>
      <c r="D7534" t="s">
        <v>7905</v>
      </c>
      <c r="E7534">
        <v>1055</v>
      </c>
      <c r="F7534">
        <v>186</v>
      </c>
      <c r="G7534">
        <v>2223952</v>
      </c>
      <c r="H7534" t="s">
        <v>18522</v>
      </c>
      <c r="J7534" s="54" t="s">
        <v>6052</v>
      </c>
      <c r="K7534" s="54">
        <v>0</v>
      </c>
      <c r="L7534" s="22" t="s">
        <v>104</v>
      </c>
      <c r="M7534" s="22" t="s">
        <v>37310</v>
      </c>
    </row>
    <row r="7535" spans="1:13" x14ac:dyDescent="0.75">
      <c r="A7535" t="s">
        <v>18495</v>
      </c>
      <c r="B7535" t="s">
        <v>7904</v>
      </c>
      <c r="C7535" t="s">
        <v>6093</v>
      </c>
      <c r="D7535" t="s">
        <v>7905</v>
      </c>
      <c r="E7535">
        <v>1290</v>
      </c>
      <c r="F7535">
        <v>180</v>
      </c>
      <c r="G7535">
        <v>2223934</v>
      </c>
      <c r="H7535" t="s">
        <v>18496</v>
      </c>
      <c r="J7535" s="54" t="s">
        <v>6052</v>
      </c>
      <c r="K7535" s="54">
        <v>0</v>
      </c>
      <c r="L7535" s="22" t="s">
        <v>104</v>
      </c>
      <c r="M7535" s="22" t="s">
        <v>37310</v>
      </c>
    </row>
    <row r="7536" spans="1:13" x14ac:dyDescent="0.75">
      <c r="A7536" t="s">
        <v>10086</v>
      </c>
      <c r="B7536" t="s">
        <v>7904</v>
      </c>
      <c r="C7536" t="s">
        <v>6093</v>
      </c>
      <c r="D7536" t="s">
        <v>7905</v>
      </c>
      <c r="E7536">
        <v>1321</v>
      </c>
      <c r="F7536">
        <v>103</v>
      </c>
      <c r="G7536">
        <v>2146559</v>
      </c>
      <c r="H7536" t="s">
        <v>10087</v>
      </c>
      <c r="J7536" s="54" t="s">
        <v>6052</v>
      </c>
      <c r="K7536" s="54">
        <v>0</v>
      </c>
      <c r="L7536" s="22" t="s">
        <v>104</v>
      </c>
      <c r="M7536" s="22" t="s">
        <v>37310</v>
      </c>
    </row>
    <row r="7537" spans="1:13" x14ac:dyDescent="0.75">
      <c r="A7537" t="s">
        <v>18541</v>
      </c>
      <c r="B7537" t="s">
        <v>7904</v>
      </c>
      <c r="C7537" t="s">
        <v>6093</v>
      </c>
      <c r="D7537" t="s">
        <v>7905</v>
      </c>
      <c r="E7537">
        <v>1343</v>
      </c>
      <c r="F7537">
        <v>126</v>
      </c>
      <c r="G7537">
        <v>2235405</v>
      </c>
      <c r="H7537" t="s">
        <v>18542</v>
      </c>
      <c r="J7537" s="54" t="s">
        <v>6052</v>
      </c>
      <c r="K7537" s="54">
        <v>0</v>
      </c>
      <c r="L7537" s="22" t="s">
        <v>104</v>
      </c>
      <c r="M7537" s="22" t="s">
        <v>37310</v>
      </c>
    </row>
    <row r="7538" spans="1:13" x14ac:dyDescent="0.75">
      <c r="A7538" t="s">
        <v>18519</v>
      </c>
      <c r="B7538" t="s">
        <v>7904</v>
      </c>
      <c r="C7538" t="s">
        <v>6093</v>
      </c>
      <c r="D7538" t="s">
        <v>7905</v>
      </c>
      <c r="E7538">
        <v>1449</v>
      </c>
      <c r="F7538">
        <v>137</v>
      </c>
      <c r="G7538">
        <v>2202836</v>
      </c>
      <c r="H7538" t="s">
        <v>18520</v>
      </c>
      <c r="J7538" s="54" t="s">
        <v>6052</v>
      </c>
      <c r="K7538" s="54">
        <v>0</v>
      </c>
      <c r="L7538" s="22" t="s">
        <v>104</v>
      </c>
      <c r="M7538" s="22" t="s">
        <v>37310</v>
      </c>
    </row>
    <row r="7539" spans="1:13" x14ac:dyDescent="0.75">
      <c r="A7539" t="s">
        <v>18517</v>
      </c>
      <c r="B7539" t="s">
        <v>7904</v>
      </c>
      <c r="C7539" t="s">
        <v>6093</v>
      </c>
      <c r="D7539" t="s">
        <v>7905</v>
      </c>
      <c r="E7539">
        <v>1559</v>
      </c>
      <c r="F7539">
        <v>154</v>
      </c>
      <c r="G7539">
        <v>2223190</v>
      </c>
      <c r="H7539" t="s">
        <v>18518</v>
      </c>
      <c r="J7539" s="54" t="s">
        <v>6052</v>
      </c>
      <c r="K7539" s="54">
        <v>0</v>
      </c>
      <c r="L7539" s="22" t="s">
        <v>104</v>
      </c>
      <c r="M7539" s="22" t="s">
        <v>37310</v>
      </c>
    </row>
    <row r="7540" spans="1:13" x14ac:dyDescent="0.75">
      <c r="A7540" t="s">
        <v>18493</v>
      </c>
      <c r="B7540" t="s">
        <v>7904</v>
      </c>
      <c r="C7540" t="s">
        <v>6093</v>
      </c>
      <c r="D7540" t="s">
        <v>7905</v>
      </c>
      <c r="E7540">
        <v>1969</v>
      </c>
      <c r="F7540">
        <v>157</v>
      </c>
      <c r="G7540">
        <v>2181076</v>
      </c>
      <c r="H7540" t="s">
        <v>18494</v>
      </c>
      <c r="J7540" s="54" t="s">
        <v>6052</v>
      </c>
      <c r="K7540" s="54">
        <v>0</v>
      </c>
      <c r="L7540" s="22" t="s">
        <v>104</v>
      </c>
      <c r="M7540" s="22" t="s">
        <v>37310</v>
      </c>
    </row>
    <row r="7541" spans="1:13" x14ac:dyDescent="0.75">
      <c r="A7541" t="s">
        <v>18491</v>
      </c>
      <c r="B7541" t="s">
        <v>7904</v>
      </c>
      <c r="C7541" t="s">
        <v>6093</v>
      </c>
      <c r="D7541" t="s">
        <v>7905</v>
      </c>
      <c r="E7541">
        <v>2100</v>
      </c>
      <c r="F7541">
        <v>127</v>
      </c>
      <c r="G7541">
        <v>2142160</v>
      </c>
      <c r="H7541" t="s">
        <v>18492</v>
      </c>
      <c r="J7541" s="54" t="s">
        <v>6052</v>
      </c>
      <c r="K7541" s="54">
        <v>0</v>
      </c>
      <c r="L7541" s="22" t="s">
        <v>104</v>
      </c>
      <c r="M7541" s="22" t="s">
        <v>37310</v>
      </c>
    </row>
    <row r="7542" spans="1:13" x14ac:dyDescent="0.75">
      <c r="A7542" t="s">
        <v>18539</v>
      </c>
      <c r="B7542" t="s">
        <v>7904</v>
      </c>
      <c r="C7542" t="s">
        <v>6093</v>
      </c>
      <c r="D7542" t="s">
        <v>7905</v>
      </c>
      <c r="E7542">
        <v>2106</v>
      </c>
      <c r="F7542">
        <v>164</v>
      </c>
      <c r="G7542">
        <v>2176032</v>
      </c>
      <c r="H7542" t="s">
        <v>18540</v>
      </c>
      <c r="J7542" s="54" t="s">
        <v>6052</v>
      </c>
      <c r="K7542" s="54">
        <v>0</v>
      </c>
      <c r="L7542" s="22" t="s">
        <v>104</v>
      </c>
      <c r="M7542" s="22" t="s">
        <v>37310</v>
      </c>
    </row>
    <row r="7543" spans="1:13" x14ac:dyDescent="0.75">
      <c r="A7543" t="s">
        <v>18531</v>
      </c>
      <c r="B7543" t="s">
        <v>7904</v>
      </c>
      <c r="C7543" t="s">
        <v>6093</v>
      </c>
      <c r="D7543" t="s">
        <v>7905</v>
      </c>
      <c r="E7543">
        <v>2154</v>
      </c>
      <c r="F7543">
        <v>159</v>
      </c>
      <c r="G7543">
        <v>2236823</v>
      </c>
      <c r="H7543" t="s">
        <v>18532</v>
      </c>
      <c r="J7543" s="54" t="s">
        <v>6052</v>
      </c>
      <c r="K7543" s="54">
        <v>0</v>
      </c>
      <c r="L7543" s="22" t="s">
        <v>104</v>
      </c>
      <c r="M7543" s="22" t="s">
        <v>37310</v>
      </c>
    </row>
    <row r="7544" spans="1:13" x14ac:dyDescent="0.75">
      <c r="A7544" t="s">
        <v>18489</v>
      </c>
      <c r="B7544" t="s">
        <v>7904</v>
      </c>
      <c r="C7544" t="s">
        <v>6093</v>
      </c>
      <c r="D7544" t="s">
        <v>7905</v>
      </c>
      <c r="E7544">
        <v>2741</v>
      </c>
      <c r="F7544">
        <v>180</v>
      </c>
      <c r="G7544">
        <v>2185544</v>
      </c>
      <c r="H7544" t="s">
        <v>18490</v>
      </c>
      <c r="J7544" s="54" t="s">
        <v>6052</v>
      </c>
      <c r="K7544" s="54">
        <v>0</v>
      </c>
      <c r="L7544" s="22" t="s">
        <v>104</v>
      </c>
      <c r="M7544" s="22" t="s">
        <v>37310</v>
      </c>
    </row>
    <row r="7545" spans="1:13" x14ac:dyDescent="0.75">
      <c r="A7545" t="s">
        <v>18525</v>
      </c>
      <c r="B7545" t="s">
        <v>7904</v>
      </c>
      <c r="C7545" t="s">
        <v>6093</v>
      </c>
      <c r="D7545" t="s">
        <v>7905</v>
      </c>
      <c r="E7545">
        <v>2877</v>
      </c>
      <c r="F7545">
        <v>150</v>
      </c>
      <c r="G7545">
        <v>2148316</v>
      </c>
      <c r="H7545" t="s">
        <v>18526</v>
      </c>
      <c r="J7545" s="54" t="s">
        <v>6052</v>
      </c>
      <c r="K7545" s="54">
        <v>0</v>
      </c>
      <c r="L7545" s="22" t="s">
        <v>104</v>
      </c>
      <c r="M7545" s="22" t="s">
        <v>37310</v>
      </c>
    </row>
    <row r="7546" spans="1:13" x14ac:dyDescent="0.75">
      <c r="A7546" t="s">
        <v>18529</v>
      </c>
      <c r="B7546" t="s">
        <v>7904</v>
      </c>
      <c r="C7546" t="s">
        <v>6093</v>
      </c>
      <c r="D7546" t="s">
        <v>7905</v>
      </c>
      <c r="E7546">
        <v>3167</v>
      </c>
      <c r="F7546">
        <v>141</v>
      </c>
      <c r="G7546">
        <v>2164398</v>
      </c>
      <c r="H7546" t="s">
        <v>18530</v>
      </c>
      <c r="J7546" s="54" t="s">
        <v>6052</v>
      </c>
      <c r="K7546" s="54">
        <v>0</v>
      </c>
      <c r="L7546" s="22" t="s">
        <v>104</v>
      </c>
      <c r="M7546" s="22" t="s">
        <v>37310</v>
      </c>
    </row>
    <row r="7547" spans="1:13" x14ac:dyDescent="0.75">
      <c r="A7547" t="s">
        <v>18505</v>
      </c>
      <c r="B7547" t="s">
        <v>7904</v>
      </c>
      <c r="C7547" t="s">
        <v>6093</v>
      </c>
      <c r="D7547" t="s">
        <v>7905</v>
      </c>
      <c r="E7547">
        <v>3506</v>
      </c>
      <c r="F7547">
        <v>132</v>
      </c>
      <c r="G7547">
        <v>2122470</v>
      </c>
      <c r="H7547" t="s">
        <v>18506</v>
      </c>
      <c r="J7547" s="54" t="s">
        <v>6052</v>
      </c>
      <c r="K7547" s="54">
        <v>0</v>
      </c>
      <c r="L7547" s="22" t="s">
        <v>104</v>
      </c>
      <c r="M7547" s="22" t="s">
        <v>37310</v>
      </c>
    </row>
    <row r="7548" spans="1:13" x14ac:dyDescent="0.75">
      <c r="A7548" t="s">
        <v>18543</v>
      </c>
      <c r="B7548" t="s">
        <v>7904</v>
      </c>
      <c r="C7548" t="s">
        <v>6093</v>
      </c>
      <c r="D7548" t="s">
        <v>7905</v>
      </c>
      <c r="E7548">
        <v>3613</v>
      </c>
      <c r="F7548">
        <v>161</v>
      </c>
      <c r="G7548">
        <v>2216593</v>
      </c>
      <c r="H7548" t="s">
        <v>18544</v>
      </c>
      <c r="J7548" s="54" t="s">
        <v>6052</v>
      </c>
      <c r="K7548" s="54">
        <v>0</v>
      </c>
      <c r="L7548" s="22" t="s">
        <v>104</v>
      </c>
      <c r="M7548" s="22" t="s">
        <v>37310</v>
      </c>
    </row>
    <row r="7549" spans="1:13" x14ac:dyDescent="0.75">
      <c r="A7549" t="s">
        <v>18515</v>
      </c>
      <c r="B7549" t="s">
        <v>7904</v>
      </c>
      <c r="C7549" t="s">
        <v>6093</v>
      </c>
      <c r="D7549" t="s">
        <v>7905</v>
      </c>
      <c r="E7549">
        <v>3764</v>
      </c>
      <c r="F7549">
        <v>127</v>
      </c>
      <c r="G7549">
        <v>2165968</v>
      </c>
      <c r="H7549" t="s">
        <v>18516</v>
      </c>
      <c r="J7549" s="54" t="s">
        <v>6052</v>
      </c>
      <c r="K7549" s="54">
        <v>0</v>
      </c>
      <c r="L7549" s="22" t="s">
        <v>104</v>
      </c>
      <c r="M7549" s="22" t="s">
        <v>37310</v>
      </c>
    </row>
    <row r="7550" spans="1:13" x14ac:dyDescent="0.75">
      <c r="A7550" t="s">
        <v>18499</v>
      </c>
      <c r="B7550" t="s">
        <v>7904</v>
      </c>
      <c r="C7550" t="s">
        <v>6093</v>
      </c>
      <c r="D7550" t="s">
        <v>7905</v>
      </c>
      <c r="E7550">
        <v>3874</v>
      </c>
      <c r="F7550">
        <v>177</v>
      </c>
      <c r="G7550">
        <v>2200073</v>
      </c>
      <c r="H7550" t="s">
        <v>18500</v>
      </c>
      <c r="J7550" s="54" t="s">
        <v>6052</v>
      </c>
      <c r="K7550" s="54">
        <v>0</v>
      </c>
      <c r="L7550" s="22" t="s">
        <v>104</v>
      </c>
      <c r="M7550" s="22" t="s">
        <v>37310</v>
      </c>
    </row>
    <row r="7551" spans="1:13" x14ac:dyDescent="0.75">
      <c r="A7551" t="s">
        <v>18513</v>
      </c>
      <c r="B7551" t="s">
        <v>7904</v>
      </c>
      <c r="C7551" t="s">
        <v>6093</v>
      </c>
      <c r="D7551" t="s">
        <v>7905</v>
      </c>
      <c r="E7551">
        <v>4155</v>
      </c>
      <c r="F7551">
        <v>168</v>
      </c>
      <c r="G7551">
        <v>2206628</v>
      </c>
      <c r="H7551" t="s">
        <v>18514</v>
      </c>
      <c r="J7551" s="54" t="s">
        <v>6052</v>
      </c>
      <c r="K7551" s="54">
        <v>0</v>
      </c>
      <c r="L7551" s="22" t="s">
        <v>104</v>
      </c>
      <c r="M7551" s="22" t="s">
        <v>37310</v>
      </c>
    </row>
    <row r="7552" spans="1:13" x14ac:dyDescent="0.75">
      <c r="A7552" t="s">
        <v>18511</v>
      </c>
      <c r="B7552" t="s">
        <v>7904</v>
      </c>
      <c r="C7552" t="s">
        <v>6093</v>
      </c>
      <c r="D7552" t="s">
        <v>7905</v>
      </c>
      <c r="E7552">
        <v>4272</v>
      </c>
      <c r="F7552">
        <v>149</v>
      </c>
      <c r="G7552">
        <v>2178723</v>
      </c>
      <c r="H7552" t="s">
        <v>18512</v>
      </c>
      <c r="J7552" s="54" t="s">
        <v>6052</v>
      </c>
      <c r="K7552" s="54">
        <v>0</v>
      </c>
      <c r="L7552" s="22" t="s">
        <v>104</v>
      </c>
      <c r="M7552" s="22" t="s">
        <v>37310</v>
      </c>
    </row>
    <row r="7553" spans="1:13" x14ac:dyDescent="0.75">
      <c r="A7553" t="s">
        <v>18497</v>
      </c>
      <c r="B7553" t="s">
        <v>7904</v>
      </c>
      <c r="C7553" t="s">
        <v>6093</v>
      </c>
      <c r="D7553" t="s">
        <v>7905</v>
      </c>
      <c r="E7553">
        <v>4477</v>
      </c>
      <c r="F7553">
        <v>179</v>
      </c>
      <c r="G7553">
        <v>2174914</v>
      </c>
      <c r="H7553" t="s">
        <v>18498</v>
      </c>
      <c r="J7553" s="54" t="s">
        <v>6052</v>
      </c>
      <c r="K7553" s="54">
        <v>0</v>
      </c>
      <c r="L7553" s="22" t="s">
        <v>104</v>
      </c>
      <c r="M7553" s="22" t="s">
        <v>37310</v>
      </c>
    </row>
    <row r="7554" spans="1:13" x14ac:dyDescent="0.75">
      <c r="A7554" t="s">
        <v>10088</v>
      </c>
      <c r="B7554" t="s">
        <v>7904</v>
      </c>
      <c r="C7554" t="s">
        <v>6093</v>
      </c>
      <c r="D7554" t="s">
        <v>7905</v>
      </c>
      <c r="E7554">
        <v>5247</v>
      </c>
      <c r="F7554">
        <v>122</v>
      </c>
      <c r="G7554">
        <v>2122333</v>
      </c>
      <c r="H7554" t="s">
        <v>10089</v>
      </c>
      <c r="J7554" s="54" t="s">
        <v>6052</v>
      </c>
      <c r="K7554" s="54">
        <v>0</v>
      </c>
      <c r="L7554" s="22" t="s">
        <v>104</v>
      </c>
      <c r="M7554" s="22" t="s">
        <v>37310</v>
      </c>
    </row>
    <row r="7555" spans="1:13" x14ac:dyDescent="0.75">
      <c r="A7555" t="s">
        <v>14231</v>
      </c>
      <c r="B7555" t="s">
        <v>7904</v>
      </c>
      <c r="C7555" t="s">
        <v>6093</v>
      </c>
      <c r="D7555" t="s">
        <v>7905</v>
      </c>
      <c r="E7555">
        <v>5305</v>
      </c>
      <c r="F7555">
        <v>112</v>
      </c>
      <c r="G7555">
        <v>2158137</v>
      </c>
      <c r="H7555" t="s">
        <v>14232</v>
      </c>
      <c r="J7555" s="54" t="s">
        <v>6052</v>
      </c>
      <c r="K7555" s="54">
        <v>0</v>
      </c>
      <c r="L7555" s="22" t="s">
        <v>104</v>
      </c>
      <c r="M7555" s="22" t="s">
        <v>37310</v>
      </c>
    </row>
    <row r="7556" spans="1:13" x14ac:dyDescent="0.75">
      <c r="A7556" t="s">
        <v>18501</v>
      </c>
      <c r="B7556" t="s">
        <v>7904</v>
      </c>
      <c r="C7556" t="s">
        <v>6093</v>
      </c>
      <c r="D7556" t="s">
        <v>7905</v>
      </c>
      <c r="E7556">
        <v>6178</v>
      </c>
      <c r="F7556">
        <v>162</v>
      </c>
      <c r="G7556">
        <v>2188265</v>
      </c>
      <c r="H7556" t="s">
        <v>18502</v>
      </c>
      <c r="J7556" s="54" t="s">
        <v>6052</v>
      </c>
      <c r="K7556" s="54">
        <v>0</v>
      </c>
      <c r="L7556" s="22" t="s">
        <v>104</v>
      </c>
      <c r="M7556" s="22" t="s">
        <v>37310</v>
      </c>
    </row>
    <row r="7557" spans="1:13" x14ac:dyDescent="0.75">
      <c r="A7557" t="s">
        <v>18509</v>
      </c>
      <c r="B7557" t="s">
        <v>7904</v>
      </c>
      <c r="C7557" t="s">
        <v>6093</v>
      </c>
      <c r="D7557" t="s">
        <v>7905</v>
      </c>
      <c r="E7557">
        <v>10824</v>
      </c>
      <c r="F7557">
        <v>180</v>
      </c>
      <c r="G7557">
        <v>2184824</v>
      </c>
      <c r="H7557" t="s">
        <v>18510</v>
      </c>
      <c r="J7557" s="54" t="s">
        <v>6052</v>
      </c>
      <c r="K7557" s="54">
        <v>0</v>
      </c>
      <c r="L7557" s="22" t="s">
        <v>104</v>
      </c>
      <c r="M7557" s="22" t="s">
        <v>37310</v>
      </c>
    </row>
    <row r="7558" spans="1:13" x14ac:dyDescent="0.75">
      <c r="A7558" t="s">
        <v>10084</v>
      </c>
      <c r="B7558" t="s">
        <v>7904</v>
      </c>
      <c r="C7558" t="s">
        <v>6093</v>
      </c>
      <c r="D7558" t="s">
        <v>7905</v>
      </c>
      <c r="E7558">
        <v>22725</v>
      </c>
      <c r="F7558">
        <v>117</v>
      </c>
      <c r="G7558">
        <v>2230983</v>
      </c>
      <c r="H7558" t="s">
        <v>10085</v>
      </c>
      <c r="J7558" s="54" t="s">
        <v>6052</v>
      </c>
      <c r="K7558" s="54">
        <v>0</v>
      </c>
      <c r="L7558" s="22" t="s">
        <v>104</v>
      </c>
      <c r="M7558" s="22" t="s">
        <v>37310</v>
      </c>
    </row>
    <row r="7559" spans="1:13" x14ac:dyDescent="0.75">
      <c r="A7559" t="s">
        <v>19930</v>
      </c>
      <c r="B7559" t="s">
        <v>7904</v>
      </c>
      <c r="C7559" t="s">
        <v>6093</v>
      </c>
      <c r="D7559" t="s">
        <v>7905</v>
      </c>
      <c r="E7559" t="s">
        <v>19931</v>
      </c>
      <c r="F7559">
        <v>174</v>
      </c>
      <c r="G7559">
        <v>2159568</v>
      </c>
      <c r="H7559" t="s">
        <v>19932</v>
      </c>
      <c r="J7559" s="54" t="s">
        <v>6052</v>
      </c>
      <c r="K7559" s="54">
        <v>0</v>
      </c>
      <c r="L7559" s="22" t="s">
        <v>104</v>
      </c>
      <c r="M7559" s="22" t="s">
        <v>37310</v>
      </c>
    </row>
    <row r="7560" spans="1:13" x14ac:dyDescent="0.75">
      <c r="A7560" t="s">
        <v>19927</v>
      </c>
      <c r="B7560" t="s">
        <v>7904</v>
      </c>
      <c r="C7560" t="s">
        <v>6093</v>
      </c>
      <c r="D7560" t="s">
        <v>7905</v>
      </c>
      <c r="E7560" t="s">
        <v>19928</v>
      </c>
      <c r="F7560">
        <v>178</v>
      </c>
      <c r="G7560">
        <v>2114099</v>
      </c>
      <c r="H7560" t="s">
        <v>19929</v>
      </c>
      <c r="J7560" s="54" t="s">
        <v>6052</v>
      </c>
      <c r="K7560" s="54">
        <v>0</v>
      </c>
      <c r="L7560" s="22" t="s">
        <v>104</v>
      </c>
      <c r="M7560" s="22" t="s">
        <v>37310</v>
      </c>
    </row>
    <row r="7561" spans="1:13" x14ac:dyDescent="0.75">
      <c r="A7561" t="s">
        <v>19924</v>
      </c>
      <c r="B7561" t="s">
        <v>7904</v>
      </c>
      <c r="C7561" t="s">
        <v>6093</v>
      </c>
      <c r="D7561" t="s">
        <v>7905</v>
      </c>
      <c r="E7561" t="s">
        <v>19925</v>
      </c>
      <c r="F7561">
        <v>149</v>
      </c>
      <c r="G7561">
        <v>2183820</v>
      </c>
      <c r="H7561" t="s">
        <v>19926</v>
      </c>
      <c r="J7561" s="54" t="s">
        <v>6052</v>
      </c>
      <c r="K7561" s="54">
        <v>0</v>
      </c>
      <c r="L7561" s="22" t="s">
        <v>104</v>
      </c>
      <c r="M7561" s="22" t="s">
        <v>37310</v>
      </c>
    </row>
    <row r="7562" spans="1:13" x14ac:dyDescent="0.75">
      <c r="A7562" t="s">
        <v>19921</v>
      </c>
      <c r="B7562" t="s">
        <v>7904</v>
      </c>
      <c r="C7562" t="s">
        <v>6093</v>
      </c>
      <c r="D7562" t="s">
        <v>7905</v>
      </c>
      <c r="E7562" t="s">
        <v>19922</v>
      </c>
      <c r="F7562">
        <v>165</v>
      </c>
      <c r="G7562">
        <v>2217067</v>
      </c>
      <c r="H7562" t="s">
        <v>19923</v>
      </c>
      <c r="J7562" s="54" t="s">
        <v>6052</v>
      </c>
      <c r="K7562" s="54">
        <v>0</v>
      </c>
      <c r="L7562" s="22" t="s">
        <v>104</v>
      </c>
      <c r="M7562" s="22" t="s">
        <v>37310</v>
      </c>
    </row>
    <row r="7563" spans="1:13" x14ac:dyDescent="0.75">
      <c r="A7563" t="s">
        <v>19918</v>
      </c>
      <c r="B7563" t="s">
        <v>7904</v>
      </c>
      <c r="C7563" t="s">
        <v>6093</v>
      </c>
      <c r="D7563" t="s">
        <v>7905</v>
      </c>
      <c r="E7563" t="s">
        <v>19919</v>
      </c>
      <c r="F7563">
        <v>182</v>
      </c>
      <c r="G7563">
        <v>2280495</v>
      </c>
      <c r="H7563" t="s">
        <v>19920</v>
      </c>
      <c r="J7563" s="54" t="s">
        <v>6052</v>
      </c>
      <c r="K7563" s="54">
        <v>0</v>
      </c>
      <c r="L7563" s="22" t="s">
        <v>104</v>
      </c>
      <c r="M7563" s="22" t="s">
        <v>37310</v>
      </c>
    </row>
    <row r="7564" spans="1:13" x14ac:dyDescent="0.75">
      <c r="A7564" t="s">
        <v>8540</v>
      </c>
      <c r="B7564" t="s">
        <v>7904</v>
      </c>
      <c r="C7564" t="s">
        <v>6093</v>
      </c>
      <c r="D7564" t="s">
        <v>7905</v>
      </c>
      <c r="E7564" t="s">
        <v>8541</v>
      </c>
      <c r="F7564">
        <v>253</v>
      </c>
      <c r="G7564">
        <v>2085749</v>
      </c>
      <c r="H7564" t="s">
        <v>8542</v>
      </c>
      <c r="J7564" s="54" t="s">
        <v>6052</v>
      </c>
      <c r="K7564" s="54">
        <v>0</v>
      </c>
      <c r="L7564" s="22" t="s">
        <v>104</v>
      </c>
      <c r="M7564" s="22" t="s">
        <v>37310</v>
      </c>
    </row>
    <row r="7565" spans="1:13" x14ac:dyDescent="0.75">
      <c r="A7565" t="s">
        <v>16857</v>
      </c>
      <c r="B7565" t="s">
        <v>7904</v>
      </c>
      <c r="C7565" t="s">
        <v>6093</v>
      </c>
      <c r="D7565" t="s">
        <v>7905</v>
      </c>
      <c r="E7565" t="s">
        <v>16858</v>
      </c>
      <c r="F7565">
        <v>138</v>
      </c>
      <c r="G7565">
        <v>2224110</v>
      </c>
      <c r="H7565" t="s">
        <v>16859</v>
      </c>
      <c r="J7565" s="54" t="s">
        <v>6052</v>
      </c>
      <c r="K7565" s="54">
        <v>0</v>
      </c>
      <c r="L7565" s="22" t="s">
        <v>104</v>
      </c>
      <c r="M7565" s="22" t="s">
        <v>37310</v>
      </c>
    </row>
    <row r="7566" spans="1:13" x14ac:dyDescent="0.75">
      <c r="A7566" t="s">
        <v>16854</v>
      </c>
      <c r="B7566" t="s">
        <v>7904</v>
      </c>
      <c r="C7566" t="s">
        <v>6093</v>
      </c>
      <c r="D7566" t="s">
        <v>7905</v>
      </c>
      <c r="E7566" t="s">
        <v>16855</v>
      </c>
      <c r="F7566">
        <v>95</v>
      </c>
      <c r="G7566">
        <v>2207179</v>
      </c>
      <c r="H7566" t="s">
        <v>16856</v>
      </c>
      <c r="J7566" s="54" t="s">
        <v>6052</v>
      </c>
      <c r="K7566" s="54">
        <v>0</v>
      </c>
      <c r="L7566" s="22" t="s">
        <v>104</v>
      </c>
      <c r="M7566" s="22" t="s">
        <v>37310</v>
      </c>
    </row>
    <row r="7567" spans="1:13" x14ac:dyDescent="0.75">
      <c r="A7567" t="s">
        <v>16881</v>
      </c>
      <c r="B7567" t="s">
        <v>7904</v>
      </c>
      <c r="C7567" t="s">
        <v>6093</v>
      </c>
      <c r="D7567" t="s">
        <v>7905</v>
      </c>
      <c r="E7567" t="s">
        <v>16882</v>
      </c>
      <c r="F7567">
        <v>104</v>
      </c>
      <c r="G7567">
        <v>2268655</v>
      </c>
      <c r="H7567" t="s">
        <v>16883</v>
      </c>
      <c r="J7567" s="54" t="s">
        <v>6052</v>
      </c>
      <c r="K7567" s="54">
        <v>0</v>
      </c>
      <c r="L7567" s="22" t="s">
        <v>104</v>
      </c>
      <c r="M7567" s="22" t="s">
        <v>37310</v>
      </c>
    </row>
    <row r="7568" spans="1:13" x14ac:dyDescent="0.75">
      <c r="A7568" t="s">
        <v>16884</v>
      </c>
      <c r="B7568" t="s">
        <v>7904</v>
      </c>
      <c r="C7568" t="s">
        <v>6093</v>
      </c>
      <c r="D7568" t="s">
        <v>7905</v>
      </c>
      <c r="E7568" t="s">
        <v>16885</v>
      </c>
      <c r="F7568">
        <v>113</v>
      </c>
      <c r="G7568">
        <v>2215472</v>
      </c>
      <c r="H7568" t="s">
        <v>16886</v>
      </c>
      <c r="J7568" s="54" t="s">
        <v>6052</v>
      </c>
      <c r="K7568" s="54">
        <v>0</v>
      </c>
      <c r="L7568" s="22" t="s">
        <v>104</v>
      </c>
      <c r="M7568" s="22" t="s">
        <v>37310</v>
      </c>
    </row>
    <row r="7569" spans="1:13" x14ac:dyDescent="0.75">
      <c r="A7569" t="s">
        <v>16851</v>
      </c>
      <c r="B7569" t="s">
        <v>7904</v>
      </c>
      <c r="C7569" t="s">
        <v>6093</v>
      </c>
      <c r="D7569" t="s">
        <v>7905</v>
      </c>
      <c r="E7569" t="s">
        <v>16852</v>
      </c>
      <c r="F7569">
        <v>102</v>
      </c>
      <c r="G7569">
        <v>2266949</v>
      </c>
      <c r="H7569" t="s">
        <v>16853</v>
      </c>
      <c r="J7569" s="54" t="s">
        <v>6052</v>
      </c>
      <c r="K7569" s="54">
        <v>0</v>
      </c>
      <c r="L7569" s="22" t="s">
        <v>104</v>
      </c>
      <c r="M7569" s="22" t="s">
        <v>37310</v>
      </c>
    </row>
    <row r="7570" spans="1:13" x14ac:dyDescent="0.75">
      <c r="A7570" t="s">
        <v>16878</v>
      </c>
      <c r="B7570" t="s">
        <v>7904</v>
      </c>
      <c r="C7570" t="s">
        <v>6093</v>
      </c>
      <c r="D7570" t="s">
        <v>7905</v>
      </c>
      <c r="E7570" t="s">
        <v>16879</v>
      </c>
      <c r="F7570">
        <v>133</v>
      </c>
      <c r="G7570">
        <v>2233013</v>
      </c>
      <c r="H7570" t="s">
        <v>16880</v>
      </c>
      <c r="J7570" s="54" t="s">
        <v>6052</v>
      </c>
      <c r="K7570" s="54">
        <v>0</v>
      </c>
      <c r="L7570" s="22" t="s">
        <v>104</v>
      </c>
      <c r="M7570" s="22" t="s">
        <v>37310</v>
      </c>
    </row>
    <row r="7571" spans="1:13" x14ac:dyDescent="0.75">
      <c r="A7571" t="s">
        <v>16848</v>
      </c>
      <c r="B7571" t="s">
        <v>7904</v>
      </c>
      <c r="C7571" t="s">
        <v>6093</v>
      </c>
      <c r="D7571" t="s">
        <v>7905</v>
      </c>
      <c r="E7571" t="s">
        <v>16849</v>
      </c>
      <c r="F7571">
        <v>112</v>
      </c>
      <c r="G7571">
        <v>2226571</v>
      </c>
      <c r="H7571" t="s">
        <v>16850</v>
      </c>
      <c r="J7571" s="54" t="s">
        <v>6052</v>
      </c>
      <c r="K7571" s="54">
        <v>0</v>
      </c>
      <c r="L7571" s="22" t="s">
        <v>104</v>
      </c>
      <c r="M7571" s="22" t="s">
        <v>37310</v>
      </c>
    </row>
    <row r="7572" spans="1:13" x14ac:dyDescent="0.75">
      <c r="A7572" t="s">
        <v>16845</v>
      </c>
      <c r="B7572" t="s">
        <v>7904</v>
      </c>
      <c r="C7572" t="s">
        <v>6093</v>
      </c>
      <c r="D7572" t="s">
        <v>7905</v>
      </c>
      <c r="E7572" t="s">
        <v>16846</v>
      </c>
      <c r="F7572">
        <v>88</v>
      </c>
      <c r="G7572">
        <v>2239213</v>
      </c>
      <c r="H7572" t="s">
        <v>16847</v>
      </c>
      <c r="J7572" s="54" t="s">
        <v>6052</v>
      </c>
      <c r="K7572" s="54">
        <v>0</v>
      </c>
      <c r="L7572" s="22" t="s">
        <v>104</v>
      </c>
      <c r="M7572" s="22" t="s">
        <v>37310</v>
      </c>
    </row>
    <row r="7573" spans="1:13" x14ac:dyDescent="0.75">
      <c r="A7573" t="s">
        <v>16875</v>
      </c>
      <c r="B7573" t="s">
        <v>7904</v>
      </c>
      <c r="C7573" t="s">
        <v>6093</v>
      </c>
      <c r="D7573" t="s">
        <v>7905</v>
      </c>
      <c r="E7573" t="s">
        <v>16876</v>
      </c>
      <c r="F7573">
        <v>94</v>
      </c>
      <c r="G7573">
        <v>2243766</v>
      </c>
      <c r="H7573" t="s">
        <v>16877</v>
      </c>
      <c r="J7573" s="54" t="s">
        <v>6052</v>
      </c>
      <c r="K7573" s="54">
        <v>0</v>
      </c>
      <c r="L7573" s="22" t="s">
        <v>104</v>
      </c>
      <c r="M7573" s="22" t="s">
        <v>37310</v>
      </c>
    </row>
    <row r="7574" spans="1:13" x14ac:dyDescent="0.75">
      <c r="A7574" t="s">
        <v>16842</v>
      </c>
      <c r="B7574" t="s">
        <v>7904</v>
      </c>
      <c r="C7574" t="s">
        <v>6093</v>
      </c>
      <c r="D7574" t="s">
        <v>7905</v>
      </c>
      <c r="E7574" t="s">
        <v>16843</v>
      </c>
      <c r="F7574">
        <v>87</v>
      </c>
      <c r="G7574">
        <v>2227985</v>
      </c>
      <c r="H7574" t="s">
        <v>16844</v>
      </c>
      <c r="J7574" s="54" t="s">
        <v>6052</v>
      </c>
      <c r="K7574" s="54">
        <v>0</v>
      </c>
      <c r="L7574" s="22" t="s">
        <v>104</v>
      </c>
      <c r="M7574" s="22" t="s">
        <v>37310</v>
      </c>
    </row>
    <row r="7575" spans="1:13" x14ac:dyDescent="0.75">
      <c r="A7575" t="s">
        <v>16872</v>
      </c>
      <c r="B7575" t="s">
        <v>7904</v>
      </c>
      <c r="C7575" t="s">
        <v>6093</v>
      </c>
      <c r="D7575" t="s">
        <v>7905</v>
      </c>
      <c r="E7575" t="s">
        <v>16873</v>
      </c>
      <c r="F7575">
        <v>92</v>
      </c>
      <c r="G7575">
        <v>2237789</v>
      </c>
      <c r="H7575" t="s">
        <v>16874</v>
      </c>
      <c r="J7575" s="54" t="s">
        <v>6052</v>
      </c>
      <c r="K7575" s="54">
        <v>0</v>
      </c>
      <c r="L7575" s="22" t="s">
        <v>104</v>
      </c>
      <c r="M7575" s="22" t="s">
        <v>37310</v>
      </c>
    </row>
    <row r="7576" spans="1:13" x14ac:dyDescent="0.75">
      <c r="A7576" t="s">
        <v>16869</v>
      </c>
      <c r="B7576" t="s">
        <v>7904</v>
      </c>
      <c r="C7576" t="s">
        <v>6093</v>
      </c>
      <c r="D7576" t="s">
        <v>7905</v>
      </c>
      <c r="E7576" t="s">
        <v>16870</v>
      </c>
      <c r="F7576">
        <v>175</v>
      </c>
      <c r="G7576">
        <v>2231296</v>
      </c>
      <c r="H7576" t="s">
        <v>16871</v>
      </c>
      <c r="J7576" s="54" t="s">
        <v>6052</v>
      </c>
      <c r="K7576" s="54">
        <v>0</v>
      </c>
      <c r="L7576" s="22" t="s">
        <v>104</v>
      </c>
      <c r="M7576" s="22" t="s">
        <v>37310</v>
      </c>
    </row>
    <row r="7577" spans="1:13" x14ac:dyDescent="0.75">
      <c r="A7577" t="s">
        <v>16827</v>
      </c>
      <c r="B7577" t="s">
        <v>7904</v>
      </c>
      <c r="C7577" t="s">
        <v>6093</v>
      </c>
      <c r="D7577" t="s">
        <v>7905</v>
      </c>
      <c r="E7577" t="s">
        <v>16828</v>
      </c>
      <c r="F7577">
        <v>116</v>
      </c>
      <c r="G7577">
        <v>2202040</v>
      </c>
      <c r="H7577" t="s">
        <v>16829</v>
      </c>
      <c r="J7577" s="54" t="s">
        <v>6052</v>
      </c>
      <c r="K7577" s="54">
        <v>0</v>
      </c>
      <c r="L7577" s="22" t="s">
        <v>104</v>
      </c>
      <c r="M7577" s="22" t="s">
        <v>37310</v>
      </c>
    </row>
    <row r="7578" spans="1:13" x14ac:dyDescent="0.75">
      <c r="A7578" t="s">
        <v>16833</v>
      </c>
      <c r="B7578" t="s">
        <v>7904</v>
      </c>
      <c r="C7578" t="s">
        <v>6093</v>
      </c>
      <c r="D7578" t="s">
        <v>7905</v>
      </c>
      <c r="E7578" t="s">
        <v>16834</v>
      </c>
      <c r="F7578">
        <v>118</v>
      </c>
      <c r="G7578">
        <v>2226387</v>
      </c>
      <c r="H7578" t="s">
        <v>16835</v>
      </c>
      <c r="J7578" s="54" t="s">
        <v>6052</v>
      </c>
      <c r="K7578" s="54">
        <v>0</v>
      </c>
      <c r="L7578" s="22" t="s">
        <v>104</v>
      </c>
      <c r="M7578" s="22" t="s">
        <v>37310</v>
      </c>
    </row>
    <row r="7579" spans="1:13" x14ac:dyDescent="0.75">
      <c r="A7579" t="s">
        <v>16836</v>
      </c>
      <c r="B7579" t="s">
        <v>7904</v>
      </c>
      <c r="C7579" t="s">
        <v>6093</v>
      </c>
      <c r="D7579" t="s">
        <v>7905</v>
      </c>
      <c r="E7579" t="s">
        <v>16837</v>
      </c>
      <c r="F7579">
        <v>92</v>
      </c>
      <c r="G7579">
        <v>2235280</v>
      </c>
      <c r="H7579" t="s">
        <v>16838</v>
      </c>
      <c r="J7579" s="54" t="s">
        <v>6052</v>
      </c>
      <c r="K7579" s="54">
        <v>0</v>
      </c>
      <c r="L7579" s="22" t="s">
        <v>104</v>
      </c>
      <c r="M7579" s="22" t="s">
        <v>37310</v>
      </c>
    </row>
    <row r="7580" spans="1:13" x14ac:dyDescent="0.75">
      <c r="A7580" t="s">
        <v>16830</v>
      </c>
      <c r="B7580" t="s">
        <v>7904</v>
      </c>
      <c r="C7580" t="s">
        <v>6093</v>
      </c>
      <c r="D7580" t="s">
        <v>7905</v>
      </c>
      <c r="E7580" t="s">
        <v>16831</v>
      </c>
      <c r="F7580">
        <v>126</v>
      </c>
      <c r="G7580">
        <v>2259794</v>
      </c>
      <c r="H7580" t="s">
        <v>16832</v>
      </c>
      <c r="J7580" s="54" t="s">
        <v>6052</v>
      </c>
      <c r="K7580" s="54">
        <v>0</v>
      </c>
      <c r="L7580" s="22" t="s">
        <v>104</v>
      </c>
      <c r="M7580" s="22" t="s">
        <v>37310</v>
      </c>
    </row>
    <row r="7581" spans="1:13" x14ac:dyDescent="0.75">
      <c r="A7581" t="s">
        <v>16860</v>
      </c>
      <c r="B7581" t="s">
        <v>7904</v>
      </c>
      <c r="C7581" t="s">
        <v>6093</v>
      </c>
      <c r="D7581" t="s">
        <v>7905</v>
      </c>
      <c r="E7581" t="s">
        <v>16861</v>
      </c>
      <c r="F7581">
        <v>124</v>
      </c>
      <c r="G7581">
        <v>2235877</v>
      </c>
      <c r="H7581" t="s">
        <v>16862</v>
      </c>
      <c r="J7581" s="54" t="s">
        <v>6052</v>
      </c>
      <c r="K7581" s="54">
        <v>0</v>
      </c>
      <c r="L7581" s="22" t="s">
        <v>104</v>
      </c>
      <c r="M7581" s="22" t="s">
        <v>37310</v>
      </c>
    </row>
    <row r="7582" spans="1:13" x14ac:dyDescent="0.75">
      <c r="A7582" t="s">
        <v>16839</v>
      </c>
      <c r="B7582" t="s">
        <v>7904</v>
      </c>
      <c r="C7582" t="s">
        <v>6093</v>
      </c>
      <c r="D7582" t="s">
        <v>7905</v>
      </c>
      <c r="E7582" t="s">
        <v>16840</v>
      </c>
      <c r="F7582">
        <v>98</v>
      </c>
      <c r="G7582">
        <v>2199514</v>
      </c>
      <c r="H7582" t="s">
        <v>16841</v>
      </c>
      <c r="J7582" s="54" t="s">
        <v>6052</v>
      </c>
      <c r="K7582" s="54">
        <v>0</v>
      </c>
      <c r="L7582" s="22" t="s">
        <v>104</v>
      </c>
      <c r="M7582" s="22" t="s">
        <v>37310</v>
      </c>
    </row>
    <row r="7583" spans="1:13" x14ac:dyDescent="0.75">
      <c r="A7583" t="s">
        <v>16863</v>
      </c>
      <c r="B7583" t="s">
        <v>7904</v>
      </c>
      <c r="C7583" t="s">
        <v>6093</v>
      </c>
      <c r="D7583" t="s">
        <v>7905</v>
      </c>
      <c r="E7583" t="s">
        <v>16864</v>
      </c>
      <c r="F7583">
        <v>98</v>
      </c>
      <c r="G7583">
        <v>2229217</v>
      </c>
      <c r="H7583" t="s">
        <v>16865</v>
      </c>
      <c r="J7583" s="54" t="s">
        <v>6052</v>
      </c>
      <c r="K7583" s="54">
        <v>0</v>
      </c>
      <c r="L7583" s="22" t="s">
        <v>104</v>
      </c>
      <c r="M7583" s="22" t="s">
        <v>37310</v>
      </c>
    </row>
    <row r="7584" spans="1:13" x14ac:dyDescent="0.75">
      <c r="A7584" t="s">
        <v>16866</v>
      </c>
      <c r="B7584" t="s">
        <v>7904</v>
      </c>
      <c r="C7584" t="s">
        <v>6093</v>
      </c>
      <c r="D7584" t="s">
        <v>7905</v>
      </c>
      <c r="E7584" t="s">
        <v>16867</v>
      </c>
      <c r="F7584">
        <v>186</v>
      </c>
      <c r="G7584">
        <v>2209430</v>
      </c>
      <c r="H7584" t="s">
        <v>16868</v>
      </c>
      <c r="J7584" s="54" t="s">
        <v>6052</v>
      </c>
      <c r="K7584" s="54">
        <v>0</v>
      </c>
      <c r="L7584" s="22" t="s">
        <v>104</v>
      </c>
      <c r="M7584" s="22" t="s">
        <v>37310</v>
      </c>
    </row>
    <row r="7585" spans="1:13" x14ac:dyDescent="0.75">
      <c r="A7585" t="s">
        <v>18174</v>
      </c>
      <c r="B7585" t="s">
        <v>7904</v>
      </c>
      <c r="C7585" t="s">
        <v>6093</v>
      </c>
      <c r="D7585" t="s">
        <v>7905</v>
      </c>
      <c r="E7585" t="s">
        <v>18175</v>
      </c>
      <c r="F7585">
        <v>77</v>
      </c>
      <c r="G7585">
        <v>2152464</v>
      </c>
      <c r="H7585" t="s">
        <v>18176</v>
      </c>
      <c r="J7585" s="54" t="s">
        <v>6052</v>
      </c>
      <c r="K7585" s="54">
        <v>0</v>
      </c>
      <c r="L7585" s="22" t="s">
        <v>104</v>
      </c>
      <c r="M7585" s="22" t="s">
        <v>37310</v>
      </c>
    </row>
    <row r="7586" spans="1:13" x14ac:dyDescent="0.75">
      <c r="A7586" t="s">
        <v>13461</v>
      </c>
      <c r="B7586" t="s">
        <v>7904</v>
      </c>
      <c r="C7586" t="s">
        <v>6093</v>
      </c>
      <c r="D7586" t="s">
        <v>7905</v>
      </c>
      <c r="E7586" t="s">
        <v>13462</v>
      </c>
      <c r="F7586">
        <v>111</v>
      </c>
      <c r="G7586">
        <v>2172620</v>
      </c>
      <c r="H7586" t="s">
        <v>13463</v>
      </c>
      <c r="J7586" s="54" t="s">
        <v>6052</v>
      </c>
      <c r="K7586" s="54">
        <v>0</v>
      </c>
      <c r="L7586" s="22" t="s">
        <v>104</v>
      </c>
      <c r="M7586" s="22" t="s">
        <v>37310</v>
      </c>
    </row>
    <row r="7587" spans="1:13" x14ac:dyDescent="0.75">
      <c r="A7587" t="s">
        <v>21350</v>
      </c>
      <c r="B7587" t="s">
        <v>7904</v>
      </c>
      <c r="C7587" t="s">
        <v>6093</v>
      </c>
      <c r="D7587" t="s">
        <v>7905</v>
      </c>
      <c r="E7587" t="s">
        <v>21351</v>
      </c>
      <c r="F7587">
        <v>111</v>
      </c>
      <c r="G7587">
        <v>2189384</v>
      </c>
      <c r="H7587" t="s">
        <v>21352</v>
      </c>
      <c r="J7587" s="54" t="s">
        <v>6052</v>
      </c>
      <c r="K7587" s="54">
        <v>0</v>
      </c>
      <c r="L7587" s="22" t="s">
        <v>104</v>
      </c>
      <c r="M7587" s="22" t="s">
        <v>37310</v>
      </c>
    </row>
    <row r="7588" spans="1:13" x14ac:dyDescent="0.75">
      <c r="A7588" t="s">
        <v>21347</v>
      </c>
      <c r="B7588" t="s">
        <v>7904</v>
      </c>
      <c r="C7588" t="s">
        <v>6093</v>
      </c>
      <c r="D7588" t="s">
        <v>7905</v>
      </c>
      <c r="E7588" t="s">
        <v>21348</v>
      </c>
      <c r="F7588">
        <v>107</v>
      </c>
      <c r="G7588">
        <v>2150757</v>
      </c>
      <c r="H7588" t="s">
        <v>21349</v>
      </c>
      <c r="J7588" s="54" t="s">
        <v>6052</v>
      </c>
      <c r="K7588" s="54">
        <v>0</v>
      </c>
      <c r="L7588" s="22" t="s">
        <v>104</v>
      </c>
      <c r="M7588" s="22" t="s">
        <v>37310</v>
      </c>
    </row>
    <row r="7589" spans="1:13" x14ac:dyDescent="0.75">
      <c r="A7589" t="s">
        <v>18168</v>
      </c>
      <c r="B7589" t="s">
        <v>7904</v>
      </c>
      <c r="C7589" t="s">
        <v>6093</v>
      </c>
      <c r="D7589" t="s">
        <v>7905</v>
      </c>
      <c r="E7589" t="s">
        <v>18169</v>
      </c>
      <c r="F7589">
        <v>85</v>
      </c>
      <c r="G7589">
        <v>2211663</v>
      </c>
      <c r="H7589" t="s">
        <v>18170</v>
      </c>
      <c r="J7589" s="54" t="s">
        <v>6052</v>
      </c>
      <c r="K7589" s="54">
        <v>0</v>
      </c>
      <c r="L7589" s="22" t="s">
        <v>104</v>
      </c>
      <c r="M7589" s="22" t="s">
        <v>37310</v>
      </c>
    </row>
    <row r="7590" spans="1:13" x14ac:dyDescent="0.75">
      <c r="A7590" t="s">
        <v>21345</v>
      </c>
      <c r="B7590" t="s">
        <v>7904</v>
      </c>
      <c r="C7590" t="s">
        <v>6093</v>
      </c>
      <c r="D7590" t="s">
        <v>7905</v>
      </c>
      <c r="E7590" t="s">
        <v>18169</v>
      </c>
      <c r="F7590">
        <v>109</v>
      </c>
      <c r="G7590">
        <v>2182617</v>
      </c>
      <c r="H7590" t="s">
        <v>21346</v>
      </c>
      <c r="J7590" s="54" t="s">
        <v>6052</v>
      </c>
      <c r="K7590" s="54">
        <v>0</v>
      </c>
      <c r="L7590" s="22" t="s">
        <v>104</v>
      </c>
      <c r="M7590" s="22" t="s">
        <v>37310</v>
      </c>
    </row>
    <row r="7591" spans="1:13" x14ac:dyDescent="0.75">
      <c r="A7591" t="s">
        <v>21353</v>
      </c>
      <c r="B7591" t="s">
        <v>7904</v>
      </c>
      <c r="C7591" t="s">
        <v>6093</v>
      </c>
      <c r="D7591" t="s">
        <v>7905</v>
      </c>
      <c r="E7591" t="s">
        <v>21354</v>
      </c>
      <c r="F7591">
        <v>103</v>
      </c>
      <c r="G7591">
        <v>2077325</v>
      </c>
      <c r="H7591" t="s">
        <v>21355</v>
      </c>
      <c r="J7591" s="54" t="s">
        <v>6052</v>
      </c>
      <c r="K7591" s="54">
        <v>0</v>
      </c>
      <c r="L7591" s="22" t="s">
        <v>104</v>
      </c>
      <c r="M7591" s="22" t="s">
        <v>37310</v>
      </c>
    </row>
    <row r="7592" spans="1:13" x14ac:dyDescent="0.75">
      <c r="A7592" t="s">
        <v>21359</v>
      </c>
      <c r="B7592" t="s">
        <v>7904</v>
      </c>
      <c r="C7592" t="s">
        <v>6093</v>
      </c>
      <c r="D7592" t="s">
        <v>7905</v>
      </c>
      <c r="E7592" t="s">
        <v>21360</v>
      </c>
      <c r="F7592">
        <v>108</v>
      </c>
      <c r="G7592">
        <v>2151699</v>
      </c>
      <c r="H7592" t="s">
        <v>21361</v>
      </c>
      <c r="J7592" s="54" t="s">
        <v>6052</v>
      </c>
      <c r="K7592" s="54">
        <v>0</v>
      </c>
      <c r="L7592" s="22" t="s">
        <v>104</v>
      </c>
      <c r="M7592" s="22" t="s">
        <v>37310</v>
      </c>
    </row>
    <row r="7593" spans="1:13" x14ac:dyDescent="0.75">
      <c r="A7593" t="s">
        <v>18171</v>
      </c>
      <c r="B7593" t="s">
        <v>7904</v>
      </c>
      <c r="C7593" t="s">
        <v>6093</v>
      </c>
      <c r="D7593" t="s">
        <v>7905</v>
      </c>
      <c r="E7593" t="s">
        <v>18172</v>
      </c>
      <c r="F7593">
        <v>77</v>
      </c>
      <c r="G7593">
        <v>2112424</v>
      </c>
      <c r="H7593" t="s">
        <v>18173</v>
      </c>
      <c r="J7593" s="54" t="s">
        <v>6052</v>
      </c>
      <c r="K7593" s="54">
        <v>0</v>
      </c>
      <c r="L7593" s="22" t="s">
        <v>104</v>
      </c>
      <c r="M7593" s="22" t="s">
        <v>37310</v>
      </c>
    </row>
    <row r="7594" spans="1:13" x14ac:dyDescent="0.75">
      <c r="A7594" t="s">
        <v>18165</v>
      </c>
      <c r="B7594" t="s">
        <v>7904</v>
      </c>
      <c r="C7594" t="s">
        <v>6093</v>
      </c>
      <c r="D7594" t="s">
        <v>7905</v>
      </c>
      <c r="E7594" t="s">
        <v>18166</v>
      </c>
      <c r="F7594">
        <v>79</v>
      </c>
      <c r="G7594">
        <v>2137952</v>
      </c>
      <c r="H7594" t="s">
        <v>18167</v>
      </c>
      <c r="J7594" s="54" t="s">
        <v>6052</v>
      </c>
      <c r="K7594" s="54">
        <v>0</v>
      </c>
      <c r="L7594" s="22" t="s">
        <v>104</v>
      </c>
      <c r="M7594" s="22" t="s">
        <v>37310</v>
      </c>
    </row>
    <row r="7595" spans="1:13" x14ac:dyDescent="0.75">
      <c r="A7595" t="s">
        <v>13360</v>
      </c>
      <c r="B7595" t="s">
        <v>7904</v>
      </c>
      <c r="C7595" t="s">
        <v>6093</v>
      </c>
      <c r="D7595" t="s">
        <v>7905</v>
      </c>
      <c r="E7595" t="s">
        <v>13361</v>
      </c>
      <c r="F7595">
        <v>116</v>
      </c>
      <c r="G7595">
        <v>2115191</v>
      </c>
      <c r="H7595" t="s">
        <v>13362</v>
      </c>
      <c r="J7595" s="54" t="s">
        <v>6052</v>
      </c>
      <c r="K7595" s="54">
        <v>0</v>
      </c>
      <c r="L7595" s="22" t="s">
        <v>104</v>
      </c>
      <c r="M7595" s="22" t="s">
        <v>37310</v>
      </c>
    </row>
    <row r="7596" spans="1:13" x14ac:dyDescent="0.75">
      <c r="A7596" t="s">
        <v>13363</v>
      </c>
      <c r="B7596" t="s">
        <v>7904</v>
      </c>
      <c r="C7596" t="s">
        <v>6093</v>
      </c>
      <c r="D7596" t="s">
        <v>7905</v>
      </c>
      <c r="E7596" t="s">
        <v>13364</v>
      </c>
      <c r="F7596">
        <v>106</v>
      </c>
      <c r="G7596">
        <v>2177524</v>
      </c>
      <c r="H7596" t="s">
        <v>13365</v>
      </c>
      <c r="J7596" s="54" t="s">
        <v>6052</v>
      </c>
      <c r="K7596" s="54">
        <v>0</v>
      </c>
      <c r="L7596" s="22" t="s">
        <v>104</v>
      </c>
      <c r="M7596" s="22" t="s">
        <v>37310</v>
      </c>
    </row>
    <row r="7597" spans="1:13" x14ac:dyDescent="0.75">
      <c r="A7597" t="s">
        <v>18159</v>
      </c>
      <c r="B7597" t="s">
        <v>7904</v>
      </c>
      <c r="C7597" t="s">
        <v>6093</v>
      </c>
      <c r="D7597" t="s">
        <v>7905</v>
      </c>
      <c r="E7597" t="s">
        <v>18160</v>
      </c>
      <c r="F7597">
        <v>84</v>
      </c>
      <c r="G7597">
        <v>2248710</v>
      </c>
      <c r="H7597" t="s">
        <v>18161</v>
      </c>
      <c r="J7597" s="54" t="s">
        <v>6052</v>
      </c>
      <c r="K7597" s="54">
        <v>0</v>
      </c>
      <c r="L7597" s="22" t="s">
        <v>104</v>
      </c>
      <c r="M7597" s="22" t="s">
        <v>37310</v>
      </c>
    </row>
    <row r="7598" spans="1:13" x14ac:dyDescent="0.75">
      <c r="A7598" t="s">
        <v>18162</v>
      </c>
      <c r="B7598" t="s">
        <v>7904</v>
      </c>
      <c r="C7598" t="s">
        <v>6093</v>
      </c>
      <c r="D7598" t="s">
        <v>7905</v>
      </c>
      <c r="E7598" t="s">
        <v>18163</v>
      </c>
      <c r="F7598">
        <v>57</v>
      </c>
      <c r="G7598">
        <v>2165344</v>
      </c>
      <c r="H7598" t="s">
        <v>18164</v>
      </c>
      <c r="J7598" s="54" t="s">
        <v>6052</v>
      </c>
      <c r="K7598" s="54">
        <v>0</v>
      </c>
      <c r="L7598" s="22" t="s">
        <v>104</v>
      </c>
      <c r="M7598" s="22" t="s">
        <v>37310</v>
      </c>
    </row>
    <row r="7599" spans="1:13" x14ac:dyDescent="0.75">
      <c r="A7599" t="s">
        <v>18156</v>
      </c>
      <c r="B7599" t="s">
        <v>7904</v>
      </c>
      <c r="C7599" t="s">
        <v>6093</v>
      </c>
      <c r="D7599" t="s">
        <v>7905</v>
      </c>
      <c r="E7599" t="s">
        <v>18157</v>
      </c>
      <c r="F7599">
        <v>95</v>
      </c>
      <c r="G7599">
        <v>2175673</v>
      </c>
      <c r="H7599" t="s">
        <v>18158</v>
      </c>
      <c r="J7599" s="54" t="s">
        <v>6052</v>
      </c>
      <c r="K7599" s="54">
        <v>0</v>
      </c>
      <c r="L7599" s="22" t="s">
        <v>104</v>
      </c>
      <c r="M7599" s="22" t="s">
        <v>37310</v>
      </c>
    </row>
    <row r="7600" spans="1:13" x14ac:dyDescent="0.75">
      <c r="A7600" t="s">
        <v>18153</v>
      </c>
      <c r="B7600" t="s">
        <v>7904</v>
      </c>
      <c r="C7600" t="s">
        <v>6093</v>
      </c>
      <c r="D7600" t="s">
        <v>7905</v>
      </c>
      <c r="E7600" t="s">
        <v>18154</v>
      </c>
      <c r="F7600">
        <v>84</v>
      </c>
      <c r="G7600">
        <v>2195012</v>
      </c>
      <c r="H7600" t="s">
        <v>18155</v>
      </c>
      <c r="J7600" s="54" t="s">
        <v>6052</v>
      </c>
      <c r="K7600" s="54">
        <v>0</v>
      </c>
      <c r="L7600" s="22" t="s">
        <v>104</v>
      </c>
      <c r="M7600" s="22" t="s">
        <v>37310</v>
      </c>
    </row>
    <row r="7601" spans="1:13" x14ac:dyDescent="0.75">
      <c r="A7601" t="s">
        <v>18150</v>
      </c>
      <c r="B7601" t="s">
        <v>7904</v>
      </c>
      <c r="C7601" t="s">
        <v>6093</v>
      </c>
      <c r="D7601" t="s">
        <v>7905</v>
      </c>
      <c r="E7601" t="s">
        <v>18151</v>
      </c>
      <c r="F7601">
        <v>84</v>
      </c>
      <c r="G7601">
        <v>2169238</v>
      </c>
      <c r="H7601" t="s">
        <v>18152</v>
      </c>
      <c r="J7601" s="54" t="s">
        <v>6052</v>
      </c>
      <c r="K7601" s="54">
        <v>0</v>
      </c>
      <c r="L7601" s="22" t="s">
        <v>104</v>
      </c>
      <c r="M7601" s="22" t="s">
        <v>37310</v>
      </c>
    </row>
    <row r="7602" spans="1:13" x14ac:dyDescent="0.75">
      <c r="A7602" t="s">
        <v>18147</v>
      </c>
      <c r="B7602" t="s">
        <v>7904</v>
      </c>
      <c r="C7602" t="s">
        <v>6093</v>
      </c>
      <c r="D7602" t="s">
        <v>7905</v>
      </c>
      <c r="E7602" t="s">
        <v>18148</v>
      </c>
      <c r="F7602">
        <v>79</v>
      </c>
      <c r="G7602">
        <v>2128633</v>
      </c>
      <c r="H7602" t="s">
        <v>18149</v>
      </c>
      <c r="J7602" s="54" t="s">
        <v>6052</v>
      </c>
      <c r="K7602" s="54">
        <v>0</v>
      </c>
      <c r="L7602" s="22" t="s">
        <v>104</v>
      </c>
      <c r="M7602" s="22" t="s">
        <v>37310</v>
      </c>
    </row>
    <row r="7603" spans="1:13" x14ac:dyDescent="0.75">
      <c r="A7603" t="s">
        <v>18141</v>
      </c>
      <c r="B7603" t="s">
        <v>7904</v>
      </c>
      <c r="C7603" t="s">
        <v>6093</v>
      </c>
      <c r="D7603" t="s">
        <v>7905</v>
      </c>
      <c r="E7603" t="s">
        <v>18142</v>
      </c>
      <c r="F7603">
        <v>81</v>
      </c>
      <c r="G7603">
        <v>2119718</v>
      </c>
      <c r="H7603" t="s">
        <v>18143</v>
      </c>
      <c r="J7603" s="54" t="s">
        <v>6052</v>
      </c>
      <c r="K7603" s="54">
        <v>0</v>
      </c>
      <c r="L7603" s="22" t="s">
        <v>104</v>
      </c>
      <c r="M7603" s="22" t="s">
        <v>37310</v>
      </c>
    </row>
    <row r="7604" spans="1:13" x14ac:dyDescent="0.75">
      <c r="A7604" t="s">
        <v>18144</v>
      </c>
      <c r="B7604" t="s">
        <v>7904</v>
      </c>
      <c r="C7604" t="s">
        <v>6093</v>
      </c>
      <c r="D7604" t="s">
        <v>7905</v>
      </c>
      <c r="E7604" t="s">
        <v>18145</v>
      </c>
      <c r="F7604">
        <v>61</v>
      </c>
      <c r="G7604">
        <v>2171385</v>
      </c>
      <c r="H7604" t="s">
        <v>18146</v>
      </c>
      <c r="J7604" s="54" t="s">
        <v>6052</v>
      </c>
      <c r="K7604" s="54">
        <v>0</v>
      </c>
      <c r="L7604" s="22" t="s">
        <v>104</v>
      </c>
      <c r="M7604" s="22" t="s">
        <v>37310</v>
      </c>
    </row>
    <row r="7605" spans="1:13" x14ac:dyDescent="0.75">
      <c r="A7605" t="s">
        <v>18138</v>
      </c>
      <c r="B7605" t="s">
        <v>7904</v>
      </c>
      <c r="C7605" t="s">
        <v>6093</v>
      </c>
      <c r="D7605" t="s">
        <v>7905</v>
      </c>
      <c r="E7605" t="s">
        <v>18139</v>
      </c>
      <c r="F7605">
        <v>73</v>
      </c>
      <c r="G7605">
        <v>2189998</v>
      </c>
      <c r="H7605" t="s">
        <v>18140</v>
      </c>
      <c r="J7605" s="54" t="s">
        <v>6052</v>
      </c>
      <c r="K7605" s="54">
        <v>0</v>
      </c>
      <c r="L7605" s="22" t="s">
        <v>104</v>
      </c>
      <c r="M7605" s="22" t="s">
        <v>37310</v>
      </c>
    </row>
    <row r="7606" spans="1:13" x14ac:dyDescent="0.75">
      <c r="A7606" t="s">
        <v>18135</v>
      </c>
      <c r="B7606" t="s">
        <v>7904</v>
      </c>
      <c r="C7606" t="s">
        <v>6093</v>
      </c>
      <c r="D7606" t="s">
        <v>7905</v>
      </c>
      <c r="E7606" t="s">
        <v>18136</v>
      </c>
      <c r="F7606">
        <v>79</v>
      </c>
      <c r="G7606">
        <v>2175171</v>
      </c>
      <c r="H7606" t="s">
        <v>18137</v>
      </c>
      <c r="J7606" s="54" t="s">
        <v>6052</v>
      </c>
      <c r="K7606" s="54">
        <v>0</v>
      </c>
      <c r="L7606" s="22" t="s">
        <v>104</v>
      </c>
      <c r="M7606" s="22" t="s">
        <v>37310</v>
      </c>
    </row>
    <row r="7607" spans="1:13" x14ac:dyDescent="0.75">
      <c r="A7607" t="s">
        <v>14233</v>
      </c>
      <c r="B7607" t="s">
        <v>7904</v>
      </c>
      <c r="C7607" t="s">
        <v>6093</v>
      </c>
      <c r="D7607" t="s">
        <v>7905</v>
      </c>
      <c r="E7607" t="s">
        <v>14234</v>
      </c>
      <c r="F7607">
        <v>88</v>
      </c>
      <c r="G7607">
        <v>2139475</v>
      </c>
      <c r="H7607" t="s">
        <v>14235</v>
      </c>
      <c r="J7607" s="54" t="s">
        <v>6052</v>
      </c>
      <c r="K7607" s="54">
        <v>0</v>
      </c>
      <c r="L7607" s="22" t="s">
        <v>104</v>
      </c>
      <c r="M7607" s="22" t="s">
        <v>37310</v>
      </c>
    </row>
    <row r="7608" spans="1:13" x14ac:dyDescent="0.75">
      <c r="A7608" t="s">
        <v>15849</v>
      </c>
      <c r="B7608" t="s">
        <v>7904</v>
      </c>
      <c r="C7608" t="s">
        <v>6093</v>
      </c>
      <c r="D7608" t="s">
        <v>7905</v>
      </c>
      <c r="E7608" t="s">
        <v>15850</v>
      </c>
      <c r="F7608">
        <v>158</v>
      </c>
      <c r="G7608">
        <v>2179576</v>
      </c>
      <c r="H7608" t="s">
        <v>15851</v>
      </c>
      <c r="J7608" s="54" t="s">
        <v>6052</v>
      </c>
      <c r="K7608" s="54">
        <v>0</v>
      </c>
      <c r="L7608" s="22" t="s">
        <v>104</v>
      </c>
      <c r="M7608" s="22" t="s">
        <v>37310</v>
      </c>
    </row>
    <row r="7609" spans="1:13" x14ac:dyDescent="0.75">
      <c r="A7609" t="s">
        <v>7903</v>
      </c>
      <c r="B7609" t="s">
        <v>7904</v>
      </c>
      <c r="C7609" t="s">
        <v>6093</v>
      </c>
      <c r="D7609" t="s">
        <v>7905</v>
      </c>
      <c r="E7609" t="s">
        <v>7906</v>
      </c>
      <c r="F7609">
        <v>2</v>
      </c>
      <c r="G7609">
        <v>2195458</v>
      </c>
      <c r="H7609" t="s">
        <v>7907</v>
      </c>
      <c r="J7609" s="54" t="s">
        <v>6052</v>
      </c>
      <c r="K7609" s="54">
        <v>0</v>
      </c>
      <c r="L7609" s="22" t="s">
        <v>104</v>
      </c>
      <c r="M7609" s="22" t="s">
        <v>37310</v>
      </c>
    </row>
    <row r="7610" spans="1:13" x14ac:dyDescent="0.75">
      <c r="A7610" t="s">
        <v>18547</v>
      </c>
      <c r="B7610" t="s">
        <v>7904</v>
      </c>
      <c r="C7610" t="s">
        <v>6093</v>
      </c>
      <c r="D7610" t="s">
        <v>7905</v>
      </c>
      <c r="E7610" t="s">
        <v>18548</v>
      </c>
      <c r="F7610">
        <v>187</v>
      </c>
      <c r="G7610">
        <v>2224706</v>
      </c>
      <c r="H7610" t="s">
        <v>18549</v>
      </c>
      <c r="J7610" s="54" t="s">
        <v>6052</v>
      </c>
      <c r="K7610" s="54">
        <v>0</v>
      </c>
      <c r="L7610" s="22" t="s">
        <v>104</v>
      </c>
      <c r="M7610" s="22" t="s">
        <v>37310</v>
      </c>
    </row>
    <row r="7611" spans="1:13" x14ac:dyDescent="0.75">
      <c r="A7611" t="s">
        <v>8556</v>
      </c>
      <c r="B7611" t="s">
        <v>7904</v>
      </c>
      <c r="C7611" t="s">
        <v>6093</v>
      </c>
      <c r="D7611" t="s">
        <v>7905</v>
      </c>
      <c r="E7611" t="s">
        <v>8557</v>
      </c>
      <c r="F7611">
        <v>109</v>
      </c>
      <c r="G7611">
        <v>2078115</v>
      </c>
      <c r="H7611" t="s">
        <v>8558</v>
      </c>
      <c r="J7611" s="54" t="s">
        <v>6052</v>
      </c>
      <c r="K7611" s="54">
        <v>0</v>
      </c>
      <c r="L7611" s="22" t="s">
        <v>104</v>
      </c>
      <c r="M7611" s="22" t="s">
        <v>37310</v>
      </c>
    </row>
    <row r="7612" spans="1:13" x14ac:dyDescent="0.75">
      <c r="A7612" t="s">
        <v>21356</v>
      </c>
      <c r="B7612" t="s">
        <v>7904</v>
      </c>
      <c r="C7612" t="s">
        <v>6093</v>
      </c>
      <c r="D7612" t="s">
        <v>7905</v>
      </c>
      <c r="E7612" t="s">
        <v>21357</v>
      </c>
      <c r="F7612">
        <v>121</v>
      </c>
      <c r="G7612">
        <v>2166845</v>
      </c>
      <c r="H7612" t="s">
        <v>21358</v>
      </c>
      <c r="J7612" s="54" t="s">
        <v>6052</v>
      </c>
      <c r="K7612" s="54">
        <v>0</v>
      </c>
      <c r="L7612" s="22" t="s">
        <v>104</v>
      </c>
      <c r="M7612" s="22" t="s">
        <v>37310</v>
      </c>
    </row>
    <row r="7613" spans="1:13" x14ac:dyDescent="0.75">
      <c r="A7613" t="s">
        <v>21362</v>
      </c>
      <c r="B7613" t="s">
        <v>7904</v>
      </c>
      <c r="C7613" t="s">
        <v>6093</v>
      </c>
      <c r="D7613" t="s">
        <v>7905</v>
      </c>
      <c r="E7613" t="s">
        <v>21363</v>
      </c>
      <c r="F7613">
        <v>121</v>
      </c>
      <c r="G7613">
        <v>2187633</v>
      </c>
      <c r="H7613" t="s">
        <v>21364</v>
      </c>
      <c r="J7613" s="54" t="s">
        <v>6052</v>
      </c>
      <c r="K7613" s="54">
        <v>0</v>
      </c>
      <c r="L7613" s="22" t="s">
        <v>104</v>
      </c>
      <c r="M7613" s="22" t="s">
        <v>37310</v>
      </c>
    </row>
    <row r="7614" spans="1:13" x14ac:dyDescent="0.75">
      <c r="A7614" t="s">
        <v>11355</v>
      </c>
      <c r="B7614" t="s">
        <v>7904</v>
      </c>
      <c r="C7614" t="s">
        <v>6093</v>
      </c>
      <c r="D7614" t="s">
        <v>7905</v>
      </c>
      <c r="E7614" t="s">
        <v>11356</v>
      </c>
      <c r="F7614">
        <v>62</v>
      </c>
      <c r="G7614">
        <v>2322506</v>
      </c>
      <c r="H7614" t="s">
        <v>11357</v>
      </c>
      <c r="J7614" s="54" t="s">
        <v>6052</v>
      </c>
      <c r="K7614" s="54">
        <v>0</v>
      </c>
      <c r="L7614" s="22" t="s">
        <v>104</v>
      </c>
      <c r="M7614" s="22" t="s">
        <v>37310</v>
      </c>
    </row>
    <row r="7615" spans="1:13" x14ac:dyDescent="0.75">
      <c r="A7615" t="s">
        <v>11352</v>
      </c>
      <c r="B7615" t="s">
        <v>7904</v>
      </c>
      <c r="C7615" t="s">
        <v>6093</v>
      </c>
      <c r="D7615" t="s">
        <v>7905</v>
      </c>
      <c r="E7615" t="s">
        <v>11353</v>
      </c>
      <c r="F7615">
        <v>79</v>
      </c>
      <c r="G7615">
        <v>2208057</v>
      </c>
      <c r="H7615" t="s">
        <v>11354</v>
      </c>
      <c r="J7615" s="54" t="s">
        <v>6052</v>
      </c>
      <c r="K7615" s="54">
        <v>0</v>
      </c>
      <c r="L7615" s="22" t="s">
        <v>104</v>
      </c>
      <c r="M7615" s="22" t="s">
        <v>37310</v>
      </c>
    </row>
    <row r="7616" spans="1:13" x14ac:dyDescent="0.75">
      <c r="A7616" t="s">
        <v>11400</v>
      </c>
      <c r="B7616" t="s">
        <v>7904</v>
      </c>
      <c r="C7616" t="s">
        <v>6093</v>
      </c>
      <c r="D7616" t="s">
        <v>7905</v>
      </c>
      <c r="E7616" t="s">
        <v>11401</v>
      </c>
      <c r="F7616">
        <v>92</v>
      </c>
      <c r="G7616">
        <v>2166568</v>
      </c>
      <c r="H7616" t="s">
        <v>11402</v>
      </c>
      <c r="J7616" s="54" t="s">
        <v>6052</v>
      </c>
      <c r="K7616" s="54">
        <v>0</v>
      </c>
      <c r="L7616" s="22" t="s">
        <v>104</v>
      </c>
      <c r="M7616" s="22" t="s">
        <v>37310</v>
      </c>
    </row>
    <row r="7617" spans="1:13" x14ac:dyDescent="0.75">
      <c r="A7617" t="s">
        <v>11394</v>
      </c>
      <c r="B7617" t="s">
        <v>7904</v>
      </c>
      <c r="C7617" t="s">
        <v>6093</v>
      </c>
      <c r="D7617" t="s">
        <v>7905</v>
      </c>
      <c r="E7617" t="s">
        <v>11395</v>
      </c>
      <c r="F7617">
        <v>103</v>
      </c>
      <c r="G7617">
        <v>2192562</v>
      </c>
      <c r="H7617" t="s">
        <v>11396</v>
      </c>
      <c r="J7617" s="54" t="s">
        <v>6052</v>
      </c>
      <c r="K7617" s="54">
        <v>0</v>
      </c>
      <c r="L7617" s="22" t="s">
        <v>104</v>
      </c>
      <c r="M7617" s="22" t="s">
        <v>37310</v>
      </c>
    </row>
    <row r="7618" spans="1:13" x14ac:dyDescent="0.75">
      <c r="A7618" t="s">
        <v>11578</v>
      </c>
      <c r="B7618" t="s">
        <v>7904</v>
      </c>
      <c r="C7618" t="s">
        <v>6093</v>
      </c>
      <c r="D7618" t="s">
        <v>7905</v>
      </c>
      <c r="E7618" t="s">
        <v>11579</v>
      </c>
      <c r="F7618">
        <v>80</v>
      </c>
      <c r="G7618">
        <v>2229425</v>
      </c>
      <c r="H7618" t="s">
        <v>11580</v>
      </c>
      <c r="J7618" s="54" t="s">
        <v>6052</v>
      </c>
      <c r="K7618" s="54">
        <v>0</v>
      </c>
      <c r="L7618" s="22" t="s">
        <v>104</v>
      </c>
      <c r="M7618" s="22" t="s">
        <v>37310</v>
      </c>
    </row>
    <row r="7619" spans="1:13" x14ac:dyDescent="0.75">
      <c r="A7619" t="s">
        <v>11575</v>
      </c>
      <c r="B7619" t="s">
        <v>7904</v>
      </c>
      <c r="C7619" t="s">
        <v>6093</v>
      </c>
      <c r="D7619" t="s">
        <v>7905</v>
      </c>
      <c r="E7619" t="s">
        <v>11576</v>
      </c>
      <c r="F7619">
        <v>98</v>
      </c>
      <c r="G7619">
        <v>2162506</v>
      </c>
      <c r="H7619" t="s">
        <v>11577</v>
      </c>
      <c r="J7619" s="54" t="s">
        <v>6052</v>
      </c>
      <c r="K7619" s="54">
        <v>0</v>
      </c>
      <c r="L7619" s="22" t="s">
        <v>104</v>
      </c>
      <c r="M7619" s="22" t="s">
        <v>37310</v>
      </c>
    </row>
    <row r="7620" spans="1:13" x14ac:dyDescent="0.75">
      <c r="A7620" t="s">
        <v>15867</v>
      </c>
      <c r="B7620" t="s">
        <v>7904</v>
      </c>
      <c r="C7620" t="s">
        <v>6093</v>
      </c>
      <c r="D7620" t="s">
        <v>7905</v>
      </c>
      <c r="E7620" t="s">
        <v>15868</v>
      </c>
      <c r="F7620">
        <v>150</v>
      </c>
      <c r="G7620">
        <v>2240983</v>
      </c>
      <c r="H7620" t="s">
        <v>15869</v>
      </c>
      <c r="J7620" s="54" t="s">
        <v>6052</v>
      </c>
      <c r="K7620" s="54">
        <v>0</v>
      </c>
      <c r="L7620" s="22" t="s">
        <v>104</v>
      </c>
      <c r="M7620" s="22" t="s">
        <v>37310</v>
      </c>
    </row>
    <row r="7621" spans="1:13" x14ac:dyDescent="0.75">
      <c r="A7621" t="s">
        <v>15846</v>
      </c>
      <c r="B7621" t="s">
        <v>7904</v>
      </c>
      <c r="C7621" t="s">
        <v>6093</v>
      </c>
      <c r="D7621" t="s">
        <v>7905</v>
      </c>
      <c r="E7621" t="s">
        <v>15847</v>
      </c>
      <c r="F7621">
        <v>153</v>
      </c>
      <c r="G7621">
        <v>2213215</v>
      </c>
      <c r="H7621" t="s">
        <v>15848</v>
      </c>
      <c r="J7621" s="54" t="s">
        <v>6052</v>
      </c>
      <c r="K7621" s="54">
        <v>0</v>
      </c>
      <c r="L7621" s="22" t="s">
        <v>104</v>
      </c>
      <c r="M7621" s="22" t="s">
        <v>37310</v>
      </c>
    </row>
    <row r="7622" spans="1:13" x14ac:dyDescent="0.75">
      <c r="A7622" t="s">
        <v>15843</v>
      </c>
      <c r="B7622" t="s">
        <v>7904</v>
      </c>
      <c r="C7622" t="s">
        <v>6093</v>
      </c>
      <c r="D7622" t="s">
        <v>7905</v>
      </c>
      <c r="E7622" t="s">
        <v>15844</v>
      </c>
      <c r="F7622">
        <v>157</v>
      </c>
      <c r="G7622">
        <v>2365106</v>
      </c>
      <c r="H7622" t="s">
        <v>15845</v>
      </c>
      <c r="J7622" s="54" t="s">
        <v>6052</v>
      </c>
      <c r="K7622" s="54">
        <v>0</v>
      </c>
      <c r="L7622" s="22" t="s">
        <v>104</v>
      </c>
      <c r="M7622" s="22" t="s">
        <v>37310</v>
      </c>
    </row>
    <row r="7623" spans="1:13" x14ac:dyDescent="0.75">
      <c r="A7623" t="s">
        <v>15852</v>
      </c>
      <c r="B7623" t="s">
        <v>7904</v>
      </c>
      <c r="C7623" t="s">
        <v>6093</v>
      </c>
      <c r="D7623" t="s">
        <v>7905</v>
      </c>
      <c r="E7623" t="s">
        <v>15853</v>
      </c>
      <c r="F7623">
        <v>155</v>
      </c>
      <c r="G7623">
        <v>2222692</v>
      </c>
      <c r="H7623" t="s">
        <v>15854</v>
      </c>
      <c r="J7623" s="54" t="s">
        <v>6052</v>
      </c>
      <c r="K7623" s="54">
        <v>0</v>
      </c>
      <c r="L7623" s="22" t="s">
        <v>104</v>
      </c>
      <c r="M7623" s="22" t="s">
        <v>37310</v>
      </c>
    </row>
    <row r="7624" spans="1:13" x14ac:dyDescent="0.75">
      <c r="A7624" t="s">
        <v>21964</v>
      </c>
      <c r="B7624" t="s">
        <v>7904</v>
      </c>
      <c r="C7624" t="s">
        <v>6093</v>
      </c>
      <c r="D7624" t="s">
        <v>7905</v>
      </c>
      <c r="E7624" t="s">
        <v>21965</v>
      </c>
      <c r="F7624">
        <v>150</v>
      </c>
      <c r="G7624">
        <v>2184713</v>
      </c>
      <c r="H7624" t="s">
        <v>21966</v>
      </c>
      <c r="J7624" s="54" t="s">
        <v>6052</v>
      </c>
      <c r="K7624" s="54">
        <v>0</v>
      </c>
      <c r="L7624" s="22" t="s">
        <v>104</v>
      </c>
      <c r="M7624" s="22" t="s">
        <v>37310</v>
      </c>
    </row>
    <row r="7625" spans="1:13" x14ac:dyDescent="0.75">
      <c r="A7625" t="s">
        <v>11358</v>
      </c>
      <c r="B7625" t="s">
        <v>7904</v>
      </c>
      <c r="C7625" t="s">
        <v>6093</v>
      </c>
      <c r="D7625" t="s">
        <v>7905</v>
      </c>
      <c r="E7625" t="s">
        <v>11359</v>
      </c>
      <c r="F7625">
        <v>119</v>
      </c>
      <c r="G7625">
        <v>2174085</v>
      </c>
      <c r="H7625" t="s">
        <v>11360</v>
      </c>
      <c r="J7625" s="54" t="s">
        <v>6052</v>
      </c>
      <c r="K7625" s="54">
        <v>0</v>
      </c>
      <c r="L7625" s="22" t="s">
        <v>104</v>
      </c>
      <c r="M7625" s="22" t="s">
        <v>37310</v>
      </c>
    </row>
    <row r="7626" spans="1:13" x14ac:dyDescent="0.75">
      <c r="A7626" t="s">
        <v>11573</v>
      </c>
      <c r="B7626" t="s">
        <v>7904</v>
      </c>
      <c r="C7626" t="s">
        <v>6093</v>
      </c>
      <c r="D7626" t="s">
        <v>7905</v>
      </c>
      <c r="E7626" t="s">
        <v>11359</v>
      </c>
      <c r="F7626">
        <v>76</v>
      </c>
      <c r="G7626">
        <v>2091536</v>
      </c>
      <c r="H7626" t="s">
        <v>11574</v>
      </c>
      <c r="J7626" s="54" t="s">
        <v>6052</v>
      </c>
      <c r="K7626" s="54">
        <v>0</v>
      </c>
      <c r="L7626" s="22" t="s">
        <v>104</v>
      </c>
      <c r="M7626" s="22" t="s">
        <v>37310</v>
      </c>
    </row>
    <row r="7627" spans="1:13" x14ac:dyDescent="0.75">
      <c r="A7627" t="s">
        <v>19824</v>
      </c>
      <c r="B7627" t="s">
        <v>16674</v>
      </c>
      <c r="C7627" t="s">
        <v>6093</v>
      </c>
      <c r="D7627" t="s">
        <v>16675</v>
      </c>
      <c r="E7627" t="s">
        <v>19825</v>
      </c>
      <c r="F7627">
        <v>14</v>
      </c>
      <c r="G7627">
        <v>2157038</v>
      </c>
      <c r="H7627" t="s">
        <v>19826</v>
      </c>
      <c r="J7627" s="54" t="s">
        <v>6052</v>
      </c>
      <c r="K7627" s="54">
        <v>0</v>
      </c>
      <c r="L7627" s="22" t="s">
        <v>104</v>
      </c>
      <c r="M7627" s="22" t="s">
        <v>37320</v>
      </c>
    </row>
    <row r="7628" spans="1:13" x14ac:dyDescent="0.75">
      <c r="A7628" t="s">
        <v>20152</v>
      </c>
      <c r="B7628" t="s">
        <v>16674</v>
      </c>
      <c r="C7628" t="s">
        <v>6093</v>
      </c>
      <c r="D7628" t="s">
        <v>16675</v>
      </c>
      <c r="E7628" t="s">
        <v>20153</v>
      </c>
      <c r="F7628">
        <v>48</v>
      </c>
      <c r="G7628">
        <v>2145322</v>
      </c>
      <c r="H7628" t="s">
        <v>20154</v>
      </c>
      <c r="J7628" s="54" t="s">
        <v>6052</v>
      </c>
      <c r="K7628" s="54">
        <v>0</v>
      </c>
      <c r="L7628" s="22" t="s">
        <v>104</v>
      </c>
      <c r="M7628" s="22" t="s">
        <v>37320</v>
      </c>
    </row>
    <row r="7629" spans="1:13" x14ac:dyDescent="0.75">
      <c r="A7629" t="s">
        <v>29307</v>
      </c>
      <c r="B7629" t="s">
        <v>16674</v>
      </c>
      <c r="C7629" t="s">
        <v>6093</v>
      </c>
      <c r="D7629" t="s">
        <v>16675</v>
      </c>
      <c r="E7629" t="s">
        <v>29308</v>
      </c>
      <c r="F7629">
        <v>2</v>
      </c>
      <c r="G7629">
        <v>2158965</v>
      </c>
      <c r="H7629" t="s">
        <v>29309</v>
      </c>
      <c r="J7629" s="54" t="s">
        <v>6052</v>
      </c>
      <c r="K7629" s="54">
        <v>0</v>
      </c>
      <c r="L7629" s="22" t="s">
        <v>104</v>
      </c>
      <c r="M7629" s="22" t="s">
        <v>37320</v>
      </c>
    </row>
    <row r="7630" spans="1:13" x14ac:dyDescent="0.75">
      <c r="A7630" t="s">
        <v>16673</v>
      </c>
      <c r="B7630" t="s">
        <v>16674</v>
      </c>
      <c r="C7630" t="s">
        <v>6093</v>
      </c>
      <c r="D7630" t="s">
        <v>16675</v>
      </c>
      <c r="E7630" t="s">
        <v>16676</v>
      </c>
      <c r="F7630">
        <v>4</v>
      </c>
      <c r="G7630">
        <v>2160087</v>
      </c>
      <c r="H7630" t="s">
        <v>16677</v>
      </c>
      <c r="J7630" s="54" t="s">
        <v>6052</v>
      </c>
      <c r="K7630" s="54">
        <v>0</v>
      </c>
      <c r="L7630" s="22" t="s">
        <v>104</v>
      </c>
      <c r="M7630" s="22" t="s">
        <v>37320</v>
      </c>
    </row>
    <row r="7631" spans="1:13" x14ac:dyDescent="0.75">
      <c r="A7631" t="s">
        <v>28522</v>
      </c>
      <c r="B7631" t="s">
        <v>16674</v>
      </c>
      <c r="C7631" t="s">
        <v>6093</v>
      </c>
      <c r="D7631" t="s">
        <v>16675</v>
      </c>
      <c r="E7631" t="s">
        <v>28523</v>
      </c>
      <c r="F7631">
        <v>197</v>
      </c>
      <c r="G7631">
        <v>1039311</v>
      </c>
      <c r="H7631" t="s">
        <v>28524</v>
      </c>
      <c r="J7631" s="54" t="s">
        <v>6052</v>
      </c>
      <c r="K7631" s="54">
        <v>0</v>
      </c>
      <c r="L7631" s="22" t="s">
        <v>104</v>
      </c>
      <c r="M7631" s="22" t="s">
        <v>37320</v>
      </c>
    </row>
    <row r="7632" spans="1:13" x14ac:dyDescent="0.75">
      <c r="A7632" t="s">
        <v>20160</v>
      </c>
      <c r="B7632" t="s">
        <v>7967</v>
      </c>
      <c r="C7632" t="s">
        <v>6093</v>
      </c>
      <c r="D7632" t="s">
        <v>6163</v>
      </c>
      <c r="E7632">
        <v>11.1</v>
      </c>
      <c r="F7632">
        <v>35</v>
      </c>
      <c r="G7632">
        <v>2198129</v>
      </c>
      <c r="H7632" t="s">
        <v>20161</v>
      </c>
      <c r="J7632" s="54" t="s">
        <v>6052</v>
      </c>
      <c r="K7632" s="54">
        <v>0</v>
      </c>
      <c r="L7632" s="22" t="s">
        <v>104</v>
      </c>
      <c r="M7632" s="22" t="s">
        <v>37306</v>
      </c>
    </row>
    <row r="7633" spans="1:13" x14ac:dyDescent="0.75">
      <c r="A7633" t="s">
        <v>20158</v>
      </c>
      <c r="B7633" t="s">
        <v>7967</v>
      </c>
      <c r="C7633" t="s">
        <v>6093</v>
      </c>
      <c r="D7633" t="s">
        <v>6163</v>
      </c>
      <c r="E7633">
        <v>21.1</v>
      </c>
      <c r="F7633">
        <v>34</v>
      </c>
      <c r="G7633">
        <v>2114671</v>
      </c>
      <c r="H7633" t="s">
        <v>20159</v>
      </c>
      <c r="J7633" s="54" t="s">
        <v>6052</v>
      </c>
      <c r="K7633" s="54">
        <v>0</v>
      </c>
      <c r="L7633" s="22" t="s">
        <v>104</v>
      </c>
      <c r="M7633" s="22" t="s">
        <v>37306</v>
      </c>
    </row>
    <row r="7634" spans="1:13" x14ac:dyDescent="0.75">
      <c r="A7634" t="s">
        <v>24779</v>
      </c>
      <c r="B7634" t="s">
        <v>7967</v>
      </c>
      <c r="C7634" t="s">
        <v>6093</v>
      </c>
      <c r="D7634" t="s">
        <v>6163</v>
      </c>
      <c r="E7634" t="s">
        <v>24780</v>
      </c>
      <c r="F7634">
        <v>35</v>
      </c>
      <c r="G7634">
        <v>2182553</v>
      </c>
      <c r="H7634" t="s">
        <v>24781</v>
      </c>
      <c r="J7634" s="54" t="s">
        <v>6052</v>
      </c>
      <c r="K7634" s="54">
        <v>0</v>
      </c>
      <c r="L7634" s="22" t="s">
        <v>104</v>
      </c>
      <c r="M7634" s="22" t="s">
        <v>37306</v>
      </c>
    </row>
    <row r="7635" spans="1:13" x14ac:dyDescent="0.75">
      <c r="A7635" t="s">
        <v>19789</v>
      </c>
      <c r="B7635" t="s">
        <v>7967</v>
      </c>
      <c r="C7635" t="s">
        <v>6093</v>
      </c>
      <c r="D7635" t="s">
        <v>6163</v>
      </c>
      <c r="E7635" t="s">
        <v>19790</v>
      </c>
      <c r="F7635">
        <v>24</v>
      </c>
      <c r="G7635">
        <v>2108549</v>
      </c>
      <c r="H7635" t="s">
        <v>19791</v>
      </c>
      <c r="J7635" s="54" t="s">
        <v>6052</v>
      </c>
      <c r="K7635" s="54">
        <v>0</v>
      </c>
      <c r="L7635" s="22" t="s">
        <v>104</v>
      </c>
      <c r="M7635" s="22" t="s">
        <v>37306</v>
      </c>
    </row>
    <row r="7636" spans="1:13" x14ac:dyDescent="0.75">
      <c r="A7636" t="s">
        <v>24785</v>
      </c>
      <c r="B7636" t="s">
        <v>7967</v>
      </c>
      <c r="C7636" t="s">
        <v>6093</v>
      </c>
      <c r="D7636" t="s">
        <v>6163</v>
      </c>
      <c r="E7636" t="s">
        <v>24786</v>
      </c>
      <c r="F7636">
        <v>24</v>
      </c>
      <c r="G7636">
        <v>2156556</v>
      </c>
      <c r="H7636" t="s">
        <v>24787</v>
      </c>
      <c r="J7636" s="54" t="s">
        <v>6052</v>
      </c>
      <c r="K7636" s="54">
        <v>0</v>
      </c>
      <c r="L7636" s="22" t="s">
        <v>104</v>
      </c>
      <c r="M7636" s="22" t="s">
        <v>37306</v>
      </c>
    </row>
    <row r="7637" spans="1:13" x14ac:dyDescent="0.75">
      <c r="A7637" t="s">
        <v>24788</v>
      </c>
      <c r="B7637" t="s">
        <v>7967</v>
      </c>
      <c r="C7637" t="s">
        <v>6093</v>
      </c>
      <c r="D7637" t="s">
        <v>6163</v>
      </c>
      <c r="E7637" t="s">
        <v>24789</v>
      </c>
      <c r="F7637">
        <v>19</v>
      </c>
      <c r="G7637">
        <v>2158320</v>
      </c>
      <c r="H7637" t="s">
        <v>24790</v>
      </c>
      <c r="J7637" s="54" t="s">
        <v>6052</v>
      </c>
      <c r="K7637" s="54">
        <v>0</v>
      </c>
      <c r="L7637" s="22" t="s">
        <v>104</v>
      </c>
      <c r="M7637" s="22" t="s">
        <v>37306</v>
      </c>
    </row>
    <row r="7638" spans="1:13" x14ac:dyDescent="0.75">
      <c r="A7638" t="s">
        <v>24782</v>
      </c>
      <c r="B7638" t="s">
        <v>7967</v>
      </c>
      <c r="C7638" t="s">
        <v>6093</v>
      </c>
      <c r="D7638" t="s">
        <v>6163</v>
      </c>
      <c r="E7638" t="s">
        <v>24783</v>
      </c>
      <c r="F7638">
        <v>16</v>
      </c>
      <c r="G7638">
        <v>2154846</v>
      </c>
      <c r="H7638" t="s">
        <v>24784</v>
      </c>
      <c r="J7638" s="54" t="s">
        <v>6052</v>
      </c>
      <c r="K7638" s="54">
        <v>0</v>
      </c>
      <c r="L7638" s="22" t="s">
        <v>104</v>
      </c>
      <c r="M7638" s="22" t="s">
        <v>37306</v>
      </c>
    </row>
    <row r="7639" spans="1:13" x14ac:dyDescent="0.75">
      <c r="A7639" t="s">
        <v>12291</v>
      </c>
      <c r="B7639" t="s">
        <v>7967</v>
      </c>
      <c r="C7639" t="s">
        <v>6093</v>
      </c>
      <c r="D7639" t="s">
        <v>6163</v>
      </c>
      <c r="E7639" t="s">
        <v>12292</v>
      </c>
      <c r="F7639">
        <v>4</v>
      </c>
      <c r="G7639">
        <v>2177169</v>
      </c>
      <c r="H7639" t="s">
        <v>12293</v>
      </c>
      <c r="J7639" s="54" t="s">
        <v>6052</v>
      </c>
      <c r="K7639" s="54">
        <v>0</v>
      </c>
      <c r="L7639" s="22" t="s">
        <v>104</v>
      </c>
      <c r="M7639" s="22" t="s">
        <v>37306</v>
      </c>
    </row>
    <row r="7640" spans="1:13" x14ac:dyDescent="0.75">
      <c r="A7640" t="s">
        <v>13492</v>
      </c>
      <c r="B7640" t="s">
        <v>7967</v>
      </c>
      <c r="C7640" t="s">
        <v>6093</v>
      </c>
      <c r="D7640" t="s">
        <v>6163</v>
      </c>
      <c r="E7640" t="s">
        <v>13493</v>
      </c>
      <c r="F7640">
        <v>11</v>
      </c>
      <c r="G7640">
        <v>2195835</v>
      </c>
      <c r="H7640" t="s">
        <v>13494</v>
      </c>
      <c r="J7640" s="54" t="s">
        <v>6052</v>
      </c>
      <c r="K7640" s="54">
        <v>0</v>
      </c>
      <c r="L7640" s="22" t="s">
        <v>104</v>
      </c>
      <c r="M7640" s="22" t="s">
        <v>37306</v>
      </c>
    </row>
    <row r="7641" spans="1:13" x14ac:dyDescent="0.75">
      <c r="A7641" t="s">
        <v>11279</v>
      </c>
      <c r="B7641" t="s">
        <v>7967</v>
      </c>
      <c r="C7641" t="s">
        <v>6093</v>
      </c>
      <c r="D7641" t="s">
        <v>6163</v>
      </c>
      <c r="E7641" t="s">
        <v>11280</v>
      </c>
      <c r="F7641">
        <v>33</v>
      </c>
      <c r="G7641">
        <v>2095754</v>
      </c>
      <c r="H7641" t="s">
        <v>11281</v>
      </c>
      <c r="J7641" s="54" t="s">
        <v>6052</v>
      </c>
      <c r="K7641" s="54">
        <v>0</v>
      </c>
      <c r="L7641" s="22" t="s">
        <v>104</v>
      </c>
      <c r="M7641" s="22" t="s">
        <v>37306</v>
      </c>
    </row>
    <row r="7642" spans="1:13" x14ac:dyDescent="0.75">
      <c r="A7642" t="s">
        <v>8881</v>
      </c>
      <c r="B7642" t="s">
        <v>7967</v>
      </c>
      <c r="C7642" t="s">
        <v>6093</v>
      </c>
      <c r="D7642" t="s">
        <v>6163</v>
      </c>
      <c r="E7642" t="s">
        <v>8882</v>
      </c>
      <c r="F7642">
        <v>1</v>
      </c>
      <c r="G7642">
        <v>2138805</v>
      </c>
      <c r="H7642" t="s">
        <v>8883</v>
      </c>
      <c r="J7642" s="54" t="s">
        <v>6052</v>
      </c>
      <c r="K7642" s="54">
        <v>0</v>
      </c>
      <c r="L7642" s="22" t="s">
        <v>104</v>
      </c>
      <c r="M7642" s="22" t="s">
        <v>37306</v>
      </c>
    </row>
    <row r="7643" spans="1:13" x14ac:dyDescent="0.75">
      <c r="A7643" t="s">
        <v>13495</v>
      </c>
      <c r="B7643" t="s">
        <v>7967</v>
      </c>
      <c r="C7643" t="s">
        <v>6093</v>
      </c>
      <c r="D7643" t="s">
        <v>6163</v>
      </c>
      <c r="E7643" t="s">
        <v>13496</v>
      </c>
      <c r="F7643">
        <v>13</v>
      </c>
      <c r="G7643">
        <v>2255022</v>
      </c>
      <c r="H7643" t="s">
        <v>13497</v>
      </c>
      <c r="J7643" s="54" t="s">
        <v>6052</v>
      </c>
      <c r="K7643" s="54">
        <v>0</v>
      </c>
      <c r="L7643" s="22" t="s">
        <v>104</v>
      </c>
      <c r="M7643" s="22" t="s">
        <v>37306</v>
      </c>
    </row>
    <row r="7644" spans="1:13" x14ac:dyDescent="0.75">
      <c r="A7644" t="s">
        <v>24674</v>
      </c>
      <c r="B7644" t="s">
        <v>7967</v>
      </c>
      <c r="C7644" t="s">
        <v>6093</v>
      </c>
      <c r="D7644" t="s">
        <v>6163</v>
      </c>
      <c r="E7644" t="s">
        <v>24675</v>
      </c>
      <c r="F7644">
        <v>29</v>
      </c>
      <c r="G7644">
        <v>2141896</v>
      </c>
      <c r="H7644" t="s">
        <v>24676</v>
      </c>
      <c r="J7644" s="54" t="s">
        <v>6052</v>
      </c>
      <c r="K7644" s="54">
        <v>0</v>
      </c>
      <c r="L7644" s="22" t="s">
        <v>104</v>
      </c>
      <c r="M7644" s="22" t="s">
        <v>37306</v>
      </c>
    </row>
    <row r="7645" spans="1:13" x14ac:dyDescent="0.75">
      <c r="A7645" t="s">
        <v>24592</v>
      </c>
      <c r="B7645" t="s">
        <v>7967</v>
      </c>
      <c r="C7645" t="s">
        <v>6093</v>
      </c>
      <c r="D7645" t="s">
        <v>6163</v>
      </c>
      <c r="E7645" t="s">
        <v>24593</v>
      </c>
      <c r="F7645">
        <v>33</v>
      </c>
      <c r="G7645">
        <v>2175338</v>
      </c>
      <c r="H7645" t="s">
        <v>24594</v>
      </c>
      <c r="J7645" s="54" t="s">
        <v>6052</v>
      </c>
      <c r="K7645" s="54">
        <v>0</v>
      </c>
      <c r="L7645" s="22" t="s">
        <v>104</v>
      </c>
      <c r="M7645" s="22" t="s">
        <v>37306</v>
      </c>
    </row>
    <row r="7646" spans="1:13" x14ac:dyDescent="0.75">
      <c r="A7646" t="s">
        <v>24649</v>
      </c>
      <c r="B7646" t="s">
        <v>7967</v>
      </c>
      <c r="C7646" t="s">
        <v>6093</v>
      </c>
      <c r="D7646" t="s">
        <v>6163</v>
      </c>
      <c r="E7646" t="s">
        <v>24650</v>
      </c>
      <c r="F7646">
        <v>11</v>
      </c>
      <c r="G7646">
        <v>2109242</v>
      </c>
      <c r="H7646" t="s">
        <v>24651</v>
      </c>
      <c r="J7646" s="54" t="s">
        <v>6052</v>
      </c>
      <c r="K7646" s="54">
        <v>0</v>
      </c>
      <c r="L7646" s="22" t="s">
        <v>104</v>
      </c>
      <c r="M7646" s="22" t="s">
        <v>37306</v>
      </c>
    </row>
    <row r="7647" spans="1:13" x14ac:dyDescent="0.75">
      <c r="A7647" t="s">
        <v>28725</v>
      </c>
      <c r="B7647" t="s">
        <v>7967</v>
      </c>
      <c r="C7647" t="s">
        <v>6093</v>
      </c>
      <c r="D7647" t="s">
        <v>6163</v>
      </c>
      <c r="E7647" t="s">
        <v>28726</v>
      </c>
      <c r="F7647">
        <v>33</v>
      </c>
      <c r="G7647">
        <v>2320709</v>
      </c>
      <c r="H7647" t="s">
        <v>28727</v>
      </c>
      <c r="J7647" s="54" t="s">
        <v>6052</v>
      </c>
      <c r="K7647" s="54">
        <v>0</v>
      </c>
      <c r="L7647" s="22" t="s">
        <v>104</v>
      </c>
      <c r="M7647" s="22" t="s">
        <v>37306</v>
      </c>
    </row>
    <row r="7648" spans="1:13" x14ac:dyDescent="0.75">
      <c r="A7648" t="s">
        <v>28728</v>
      </c>
      <c r="B7648" t="s">
        <v>7967</v>
      </c>
      <c r="C7648" t="s">
        <v>6093</v>
      </c>
      <c r="D7648" t="s">
        <v>6163</v>
      </c>
      <c r="E7648" t="s">
        <v>28729</v>
      </c>
      <c r="F7648">
        <v>34</v>
      </c>
      <c r="G7648">
        <v>2365112</v>
      </c>
      <c r="H7648" t="s">
        <v>28730</v>
      </c>
      <c r="J7648" s="54" t="s">
        <v>6052</v>
      </c>
      <c r="K7648" s="54">
        <v>0</v>
      </c>
      <c r="L7648" s="22" t="s">
        <v>104</v>
      </c>
      <c r="M7648" s="22" t="s">
        <v>37306</v>
      </c>
    </row>
    <row r="7649" spans="1:13" x14ac:dyDescent="0.75">
      <c r="A7649" t="s">
        <v>13501</v>
      </c>
      <c r="B7649" t="s">
        <v>7967</v>
      </c>
      <c r="C7649" t="s">
        <v>6093</v>
      </c>
      <c r="D7649" t="s">
        <v>6163</v>
      </c>
      <c r="E7649" t="s">
        <v>13502</v>
      </c>
      <c r="F7649">
        <v>2</v>
      </c>
      <c r="G7649">
        <v>2326348</v>
      </c>
      <c r="H7649" t="s">
        <v>13503</v>
      </c>
      <c r="J7649" s="54" t="s">
        <v>6052</v>
      </c>
      <c r="K7649" s="54">
        <v>0</v>
      </c>
      <c r="L7649" s="22" t="s">
        <v>104</v>
      </c>
      <c r="M7649" s="22" t="s">
        <v>37306</v>
      </c>
    </row>
    <row r="7650" spans="1:13" x14ac:dyDescent="0.75">
      <c r="A7650" t="s">
        <v>13498</v>
      </c>
      <c r="B7650" t="s">
        <v>7967</v>
      </c>
      <c r="C7650" t="s">
        <v>6093</v>
      </c>
      <c r="D7650" t="s">
        <v>6163</v>
      </c>
      <c r="E7650" t="s">
        <v>13499</v>
      </c>
      <c r="F7650">
        <v>1</v>
      </c>
      <c r="G7650">
        <v>2108274</v>
      </c>
      <c r="H7650" t="s">
        <v>13500</v>
      </c>
      <c r="J7650" s="54" t="s">
        <v>6052</v>
      </c>
      <c r="K7650" s="54">
        <v>0</v>
      </c>
      <c r="L7650" s="22" t="s">
        <v>104</v>
      </c>
      <c r="M7650" s="22" t="s">
        <v>37306</v>
      </c>
    </row>
    <row r="7651" spans="1:13" x14ac:dyDescent="0.75">
      <c r="A7651" t="s">
        <v>27224</v>
      </c>
      <c r="B7651" t="s">
        <v>7967</v>
      </c>
      <c r="C7651" t="s">
        <v>6093</v>
      </c>
      <c r="D7651" t="s">
        <v>6163</v>
      </c>
      <c r="E7651" t="s">
        <v>27225</v>
      </c>
      <c r="F7651">
        <v>26</v>
      </c>
      <c r="G7651">
        <v>2162983</v>
      </c>
      <c r="H7651" t="s">
        <v>27226</v>
      </c>
      <c r="J7651" s="54" t="s">
        <v>6052</v>
      </c>
      <c r="K7651" s="54">
        <v>0</v>
      </c>
      <c r="L7651" s="22" t="s">
        <v>104</v>
      </c>
      <c r="M7651" s="22" t="s">
        <v>37306</v>
      </c>
    </row>
    <row r="7652" spans="1:13" x14ac:dyDescent="0.75">
      <c r="A7652" t="s">
        <v>16573</v>
      </c>
      <c r="B7652" t="s">
        <v>7967</v>
      </c>
      <c r="C7652" t="s">
        <v>6093</v>
      </c>
      <c r="D7652" t="s">
        <v>6163</v>
      </c>
      <c r="E7652" t="s">
        <v>16571</v>
      </c>
      <c r="F7652">
        <v>26</v>
      </c>
      <c r="G7652">
        <v>2112364</v>
      </c>
      <c r="H7652" t="s">
        <v>16574</v>
      </c>
      <c r="J7652" s="54" t="s">
        <v>6052</v>
      </c>
      <c r="K7652" s="54">
        <v>0</v>
      </c>
      <c r="L7652" s="22" t="s">
        <v>104</v>
      </c>
      <c r="M7652" s="22" t="s">
        <v>37306</v>
      </c>
    </row>
    <row r="7653" spans="1:13" x14ac:dyDescent="0.75">
      <c r="A7653" t="s">
        <v>17849</v>
      </c>
      <c r="B7653" t="s">
        <v>7967</v>
      </c>
      <c r="C7653" t="s">
        <v>6093</v>
      </c>
      <c r="D7653" t="s">
        <v>6163</v>
      </c>
      <c r="E7653" t="s">
        <v>17773</v>
      </c>
      <c r="F7653">
        <v>25</v>
      </c>
      <c r="G7653">
        <v>2065453</v>
      </c>
      <c r="H7653" t="s">
        <v>17850</v>
      </c>
      <c r="J7653" s="54" t="s">
        <v>6052</v>
      </c>
      <c r="K7653" s="54">
        <v>0</v>
      </c>
      <c r="L7653" s="22" t="s">
        <v>104</v>
      </c>
      <c r="M7653" s="22" t="s">
        <v>37306</v>
      </c>
    </row>
    <row r="7654" spans="1:13" x14ac:dyDescent="0.75">
      <c r="A7654" t="s">
        <v>17835</v>
      </c>
      <c r="B7654" t="s">
        <v>7967</v>
      </c>
      <c r="C7654" t="s">
        <v>6093</v>
      </c>
      <c r="D7654" t="s">
        <v>6163</v>
      </c>
      <c r="E7654" t="s">
        <v>17836</v>
      </c>
      <c r="F7654">
        <v>15</v>
      </c>
      <c r="G7654">
        <v>2109985</v>
      </c>
      <c r="H7654" t="s">
        <v>17837</v>
      </c>
      <c r="J7654" s="54" t="s">
        <v>6052</v>
      </c>
      <c r="K7654" s="54">
        <v>0</v>
      </c>
      <c r="L7654" s="22" t="s">
        <v>104</v>
      </c>
      <c r="M7654" s="22" t="s">
        <v>37306</v>
      </c>
    </row>
    <row r="7655" spans="1:13" x14ac:dyDescent="0.75">
      <c r="A7655" t="s">
        <v>17832</v>
      </c>
      <c r="B7655" t="s">
        <v>7967</v>
      </c>
      <c r="C7655" t="s">
        <v>6093</v>
      </c>
      <c r="D7655" t="s">
        <v>6163</v>
      </c>
      <c r="E7655" t="s">
        <v>17833</v>
      </c>
      <c r="F7655">
        <v>22</v>
      </c>
      <c r="G7655">
        <v>2147103</v>
      </c>
      <c r="H7655" t="s">
        <v>17834</v>
      </c>
      <c r="J7655" s="54" t="s">
        <v>6052</v>
      </c>
      <c r="K7655" s="54">
        <v>0</v>
      </c>
      <c r="L7655" s="22" t="s">
        <v>104</v>
      </c>
      <c r="M7655" s="22" t="s">
        <v>37306</v>
      </c>
    </row>
    <row r="7656" spans="1:13" x14ac:dyDescent="0.75">
      <c r="A7656" t="s">
        <v>17829</v>
      </c>
      <c r="B7656" t="s">
        <v>7967</v>
      </c>
      <c r="C7656" t="s">
        <v>6093</v>
      </c>
      <c r="D7656" t="s">
        <v>6163</v>
      </c>
      <c r="E7656" t="s">
        <v>17830</v>
      </c>
      <c r="F7656">
        <v>35</v>
      </c>
      <c r="G7656">
        <v>2094279</v>
      </c>
      <c r="H7656" t="s">
        <v>17831</v>
      </c>
      <c r="J7656" s="54" t="s">
        <v>6052</v>
      </c>
      <c r="K7656" s="54">
        <v>0</v>
      </c>
      <c r="L7656" s="22" t="s">
        <v>104</v>
      </c>
      <c r="M7656" s="22" t="s">
        <v>37306</v>
      </c>
    </row>
    <row r="7657" spans="1:13" x14ac:dyDescent="0.75">
      <c r="A7657" t="s">
        <v>17826</v>
      </c>
      <c r="B7657" t="s">
        <v>7967</v>
      </c>
      <c r="C7657" t="s">
        <v>6093</v>
      </c>
      <c r="D7657" t="s">
        <v>6163</v>
      </c>
      <c r="E7657" t="s">
        <v>17827</v>
      </c>
      <c r="F7657">
        <v>21</v>
      </c>
      <c r="G7657">
        <v>2136037</v>
      </c>
      <c r="H7657" t="s">
        <v>17828</v>
      </c>
      <c r="J7657" s="54" t="s">
        <v>6052</v>
      </c>
      <c r="K7657" s="54">
        <v>0</v>
      </c>
      <c r="L7657" s="22" t="s">
        <v>104</v>
      </c>
      <c r="M7657" s="22" t="s">
        <v>37306</v>
      </c>
    </row>
    <row r="7658" spans="1:13" x14ac:dyDescent="0.75">
      <c r="A7658" t="s">
        <v>17823</v>
      </c>
      <c r="B7658" t="s">
        <v>7967</v>
      </c>
      <c r="C7658" t="s">
        <v>6093</v>
      </c>
      <c r="D7658" t="s">
        <v>6163</v>
      </c>
      <c r="E7658" t="s">
        <v>17824</v>
      </c>
      <c r="F7658">
        <v>11</v>
      </c>
      <c r="G7658">
        <v>2135594</v>
      </c>
      <c r="H7658" t="s">
        <v>17825</v>
      </c>
      <c r="J7658" s="54" t="s">
        <v>6052</v>
      </c>
      <c r="K7658" s="54">
        <v>0</v>
      </c>
      <c r="L7658" s="22" t="s">
        <v>104</v>
      </c>
      <c r="M7658" s="22" t="s">
        <v>37306</v>
      </c>
    </row>
    <row r="7659" spans="1:13" x14ac:dyDescent="0.75">
      <c r="A7659" t="s">
        <v>17820</v>
      </c>
      <c r="B7659" t="s">
        <v>7967</v>
      </c>
      <c r="C7659" t="s">
        <v>6093</v>
      </c>
      <c r="D7659" t="s">
        <v>6163</v>
      </c>
      <c r="E7659" t="s">
        <v>17821</v>
      </c>
      <c r="F7659">
        <v>32</v>
      </c>
      <c r="G7659">
        <v>2088645</v>
      </c>
      <c r="H7659" t="s">
        <v>17822</v>
      </c>
      <c r="J7659" s="54" t="s">
        <v>6052</v>
      </c>
      <c r="K7659" s="54">
        <v>0</v>
      </c>
      <c r="L7659" s="22" t="s">
        <v>104</v>
      </c>
      <c r="M7659" s="22" t="s">
        <v>37306</v>
      </c>
    </row>
    <row r="7660" spans="1:13" x14ac:dyDescent="0.75">
      <c r="A7660" t="s">
        <v>17814</v>
      </c>
      <c r="B7660" t="s">
        <v>7967</v>
      </c>
      <c r="C7660" t="s">
        <v>6093</v>
      </c>
      <c r="D7660" t="s">
        <v>6163</v>
      </c>
      <c r="E7660" t="s">
        <v>17815</v>
      </c>
      <c r="F7660">
        <v>35</v>
      </c>
      <c r="G7660">
        <v>2095073</v>
      </c>
      <c r="H7660" t="s">
        <v>17816</v>
      </c>
      <c r="J7660" s="54" t="s">
        <v>6052</v>
      </c>
      <c r="K7660" s="54">
        <v>0</v>
      </c>
      <c r="L7660" s="22" t="s">
        <v>104</v>
      </c>
      <c r="M7660" s="22" t="s">
        <v>37306</v>
      </c>
    </row>
    <row r="7661" spans="1:13" x14ac:dyDescent="0.75">
      <c r="A7661" t="s">
        <v>17817</v>
      </c>
      <c r="B7661" t="s">
        <v>7967</v>
      </c>
      <c r="C7661" t="s">
        <v>6093</v>
      </c>
      <c r="D7661" t="s">
        <v>6163</v>
      </c>
      <c r="E7661" t="s">
        <v>17818</v>
      </c>
      <c r="F7661">
        <v>19</v>
      </c>
      <c r="G7661">
        <v>2134979</v>
      </c>
      <c r="H7661" t="s">
        <v>17819</v>
      </c>
      <c r="J7661" s="54" t="s">
        <v>6052</v>
      </c>
      <c r="K7661" s="54">
        <v>0</v>
      </c>
      <c r="L7661" s="22" t="s">
        <v>104</v>
      </c>
      <c r="M7661" s="22" t="s">
        <v>37306</v>
      </c>
    </row>
    <row r="7662" spans="1:13" x14ac:dyDescent="0.75">
      <c r="A7662" t="s">
        <v>17847</v>
      </c>
      <c r="B7662" t="s">
        <v>7967</v>
      </c>
      <c r="C7662" t="s">
        <v>6093</v>
      </c>
      <c r="D7662" t="s">
        <v>6163</v>
      </c>
      <c r="E7662" t="s">
        <v>17776</v>
      </c>
      <c r="F7662">
        <v>26</v>
      </c>
      <c r="G7662">
        <v>2066814</v>
      </c>
      <c r="H7662" t="s">
        <v>17848</v>
      </c>
      <c r="J7662" s="54" t="s">
        <v>6052</v>
      </c>
      <c r="K7662" s="54">
        <v>0</v>
      </c>
      <c r="L7662" s="22" t="s">
        <v>104</v>
      </c>
      <c r="M7662" s="22" t="s">
        <v>37306</v>
      </c>
    </row>
    <row r="7663" spans="1:13" x14ac:dyDescent="0.75">
      <c r="A7663" t="s">
        <v>17808</v>
      </c>
      <c r="B7663" t="s">
        <v>7967</v>
      </c>
      <c r="C7663" t="s">
        <v>6093</v>
      </c>
      <c r="D7663" t="s">
        <v>6163</v>
      </c>
      <c r="E7663" t="s">
        <v>17809</v>
      </c>
      <c r="F7663">
        <v>18</v>
      </c>
      <c r="G7663">
        <v>2134050</v>
      </c>
      <c r="H7663" t="s">
        <v>17810</v>
      </c>
      <c r="J7663" s="54" t="s">
        <v>6052</v>
      </c>
      <c r="K7663" s="54">
        <v>0</v>
      </c>
      <c r="L7663" s="22" t="s">
        <v>104</v>
      </c>
      <c r="M7663" s="22" t="s">
        <v>37306</v>
      </c>
    </row>
    <row r="7664" spans="1:13" x14ac:dyDescent="0.75">
      <c r="A7664" t="s">
        <v>17811</v>
      </c>
      <c r="B7664" t="s">
        <v>7967</v>
      </c>
      <c r="C7664" t="s">
        <v>6093</v>
      </c>
      <c r="D7664" t="s">
        <v>6163</v>
      </c>
      <c r="E7664" t="s">
        <v>17812</v>
      </c>
      <c r="F7664">
        <v>13</v>
      </c>
      <c r="G7664">
        <v>2134163</v>
      </c>
      <c r="H7664" t="s">
        <v>17813</v>
      </c>
      <c r="J7664" s="54" t="s">
        <v>6052</v>
      </c>
      <c r="K7664" s="54">
        <v>0</v>
      </c>
      <c r="L7664" s="22" t="s">
        <v>104</v>
      </c>
      <c r="M7664" s="22" t="s">
        <v>37306</v>
      </c>
    </row>
    <row r="7665" spans="1:13" x14ac:dyDescent="0.75">
      <c r="A7665" t="s">
        <v>17805</v>
      </c>
      <c r="B7665" t="s">
        <v>7967</v>
      </c>
      <c r="C7665" t="s">
        <v>6093</v>
      </c>
      <c r="D7665" t="s">
        <v>6163</v>
      </c>
      <c r="E7665" t="s">
        <v>17806</v>
      </c>
      <c r="F7665">
        <v>22</v>
      </c>
      <c r="G7665">
        <v>2163566</v>
      </c>
      <c r="H7665" t="s">
        <v>17807</v>
      </c>
      <c r="J7665" s="54" t="s">
        <v>6052</v>
      </c>
      <c r="K7665" s="54">
        <v>0</v>
      </c>
      <c r="L7665" s="22" t="s">
        <v>104</v>
      </c>
      <c r="M7665" s="22" t="s">
        <v>37306</v>
      </c>
    </row>
    <row r="7666" spans="1:13" x14ac:dyDescent="0.75">
      <c r="A7666" t="s">
        <v>17799</v>
      </c>
      <c r="B7666" t="s">
        <v>7967</v>
      </c>
      <c r="C7666" t="s">
        <v>6093</v>
      </c>
      <c r="D7666" t="s">
        <v>6163</v>
      </c>
      <c r="E7666" t="s">
        <v>17800</v>
      </c>
      <c r="F7666">
        <v>11</v>
      </c>
      <c r="G7666">
        <v>2137542</v>
      </c>
      <c r="H7666" t="s">
        <v>17801</v>
      </c>
      <c r="J7666" s="54" t="s">
        <v>6052</v>
      </c>
      <c r="K7666" s="54">
        <v>0</v>
      </c>
      <c r="L7666" s="22" t="s">
        <v>104</v>
      </c>
      <c r="M7666" s="22" t="s">
        <v>37306</v>
      </c>
    </row>
    <row r="7667" spans="1:13" x14ac:dyDescent="0.75">
      <c r="A7667" t="s">
        <v>17802</v>
      </c>
      <c r="B7667" t="s">
        <v>7967</v>
      </c>
      <c r="C7667" t="s">
        <v>6093</v>
      </c>
      <c r="D7667" t="s">
        <v>6163</v>
      </c>
      <c r="E7667" t="s">
        <v>17803</v>
      </c>
      <c r="F7667">
        <v>14</v>
      </c>
      <c r="G7667">
        <v>2135103</v>
      </c>
      <c r="H7667" t="s">
        <v>17804</v>
      </c>
      <c r="J7667" s="54" t="s">
        <v>6052</v>
      </c>
      <c r="K7667" s="54">
        <v>0</v>
      </c>
      <c r="L7667" s="22" t="s">
        <v>104</v>
      </c>
      <c r="M7667" s="22" t="s">
        <v>37306</v>
      </c>
    </row>
    <row r="7668" spans="1:13" x14ac:dyDescent="0.75">
      <c r="A7668" t="s">
        <v>17793</v>
      </c>
      <c r="B7668" t="s">
        <v>7967</v>
      </c>
      <c r="C7668" t="s">
        <v>6093</v>
      </c>
      <c r="D7668" t="s">
        <v>6163</v>
      </c>
      <c r="E7668" t="s">
        <v>17794</v>
      </c>
      <c r="F7668">
        <v>34</v>
      </c>
      <c r="G7668">
        <v>2094880</v>
      </c>
      <c r="H7668" t="s">
        <v>17795</v>
      </c>
      <c r="J7668" s="54" t="s">
        <v>6052</v>
      </c>
      <c r="K7668" s="54">
        <v>0</v>
      </c>
      <c r="L7668" s="22" t="s">
        <v>104</v>
      </c>
      <c r="M7668" s="22" t="s">
        <v>37306</v>
      </c>
    </row>
    <row r="7669" spans="1:13" x14ac:dyDescent="0.75">
      <c r="A7669" t="s">
        <v>17796</v>
      </c>
      <c r="B7669" t="s">
        <v>7967</v>
      </c>
      <c r="C7669" t="s">
        <v>6093</v>
      </c>
      <c r="D7669" t="s">
        <v>6163</v>
      </c>
      <c r="E7669" t="s">
        <v>17797</v>
      </c>
      <c r="F7669">
        <v>17</v>
      </c>
      <c r="G7669">
        <v>2134102</v>
      </c>
      <c r="H7669" t="s">
        <v>17798</v>
      </c>
      <c r="J7669" s="54" t="s">
        <v>6052</v>
      </c>
      <c r="K7669" s="54">
        <v>0</v>
      </c>
      <c r="L7669" s="22" t="s">
        <v>104</v>
      </c>
      <c r="M7669" s="22" t="s">
        <v>37306</v>
      </c>
    </row>
    <row r="7670" spans="1:13" x14ac:dyDescent="0.75">
      <c r="A7670" t="s">
        <v>17788</v>
      </c>
      <c r="B7670" t="s">
        <v>7967</v>
      </c>
      <c r="C7670" t="s">
        <v>6093</v>
      </c>
      <c r="D7670" t="s">
        <v>6163</v>
      </c>
      <c r="E7670" t="s">
        <v>17789</v>
      </c>
      <c r="F7670">
        <v>35</v>
      </c>
      <c r="G7670">
        <v>2091603</v>
      </c>
      <c r="H7670" t="s">
        <v>17790</v>
      </c>
      <c r="J7670" s="54" t="s">
        <v>6052</v>
      </c>
      <c r="K7670" s="54">
        <v>0</v>
      </c>
      <c r="L7670" s="22" t="s">
        <v>104</v>
      </c>
      <c r="M7670" s="22" t="s">
        <v>37306</v>
      </c>
    </row>
    <row r="7671" spans="1:13" x14ac:dyDescent="0.75">
      <c r="A7671" t="s">
        <v>17785</v>
      </c>
      <c r="B7671" t="s">
        <v>7967</v>
      </c>
      <c r="C7671" t="s">
        <v>6093</v>
      </c>
      <c r="D7671" t="s">
        <v>6163</v>
      </c>
      <c r="E7671" t="s">
        <v>17786</v>
      </c>
      <c r="F7671">
        <v>32</v>
      </c>
      <c r="G7671">
        <v>2089069</v>
      </c>
      <c r="H7671" t="s">
        <v>17787</v>
      </c>
      <c r="J7671" s="54" t="s">
        <v>6052</v>
      </c>
      <c r="K7671" s="54">
        <v>0</v>
      </c>
      <c r="L7671" s="22" t="s">
        <v>104</v>
      </c>
      <c r="M7671" s="22" t="s">
        <v>37306</v>
      </c>
    </row>
    <row r="7672" spans="1:13" x14ac:dyDescent="0.75">
      <c r="A7672" t="s">
        <v>17782</v>
      </c>
      <c r="B7672" t="s">
        <v>7967</v>
      </c>
      <c r="C7672" t="s">
        <v>6093</v>
      </c>
      <c r="D7672" t="s">
        <v>6163</v>
      </c>
      <c r="E7672" t="s">
        <v>17783</v>
      </c>
      <c r="F7672">
        <v>14</v>
      </c>
      <c r="G7672">
        <v>2159533</v>
      </c>
      <c r="H7672" t="s">
        <v>17784</v>
      </c>
      <c r="J7672" s="54" t="s">
        <v>6052</v>
      </c>
      <c r="K7672" s="54">
        <v>0</v>
      </c>
      <c r="L7672" s="22" t="s">
        <v>104</v>
      </c>
      <c r="M7672" s="22" t="s">
        <v>37306</v>
      </c>
    </row>
    <row r="7673" spans="1:13" x14ac:dyDescent="0.75">
      <c r="A7673" t="s">
        <v>17844</v>
      </c>
      <c r="B7673" t="s">
        <v>7967</v>
      </c>
      <c r="C7673" t="s">
        <v>6093</v>
      </c>
      <c r="D7673" t="s">
        <v>6163</v>
      </c>
      <c r="E7673" t="s">
        <v>17845</v>
      </c>
      <c r="F7673">
        <v>27</v>
      </c>
      <c r="G7673">
        <v>2345253</v>
      </c>
      <c r="H7673" t="s">
        <v>17846</v>
      </c>
      <c r="J7673" s="54" t="s">
        <v>6052</v>
      </c>
      <c r="K7673" s="54">
        <v>0</v>
      </c>
      <c r="L7673" s="22" t="s">
        <v>104</v>
      </c>
      <c r="M7673" s="22" t="s">
        <v>37306</v>
      </c>
    </row>
    <row r="7674" spans="1:13" x14ac:dyDescent="0.75">
      <c r="A7674" t="s">
        <v>17841</v>
      </c>
      <c r="B7674" t="s">
        <v>7967</v>
      </c>
      <c r="C7674" t="s">
        <v>6093</v>
      </c>
      <c r="D7674" t="s">
        <v>6163</v>
      </c>
      <c r="E7674" t="s">
        <v>17842</v>
      </c>
      <c r="F7674">
        <v>22</v>
      </c>
      <c r="G7674">
        <v>2343979</v>
      </c>
      <c r="H7674" t="s">
        <v>17843</v>
      </c>
      <c r="J7674" s="54" t="s">
        <v>6052</v>
      </c>
      <c r="K7674" s="54">
        <v>0</v>
      </c>
      <c r="L7674" s="22" t="s">
        <v>104</v>
      </c>
      <c r="M7674" s="22" t="s">
        <v>37306</v>
      </c>
    </row>
    <row r="7675" spans="1:13" x14ac:dyDescent="0.75">
      <c r="A7675" t="s">
        <v>17838</v>
      </c>
      <c r="B7675" t="s">
        <v>7967</v>
      </c>
      <c r="C7675" t="s">
        <v>6093</v>
      </c>
      <c r="D7675" t="s">
        <v>6163</v>
      </c>
      <c r="E7675" t="s">
        <v>17839</v>
      </c>
      <c r="F7675">
        <v>22</v>
      </c>
      <c r="G7675">
        <v>2113391</v>
      </c>
      <c r="H7675" t="s">
        <v>17840</v>
      </c>
      <c r="J7675" s="54" t="s">
        <v>6052</v>
      </c>
      <c r="K7675" s="54">
        <v>0</v>
      </c>
      <c r="L7675" s="22" t="s">
        <v>104</v>
      </c>
      <c r="M7675" s="22" t="s">
        <v>37306</v>
      </c>
    </row>
    <row r="7676" spans="1:13" x14ac:dyDescent="0.75">
      <c r="A7676" t="s">
        <v>8519</v>
      </c>
      <c r="B7676" t="s">
        <v>7967</v>
      </c>
      <c r="C7676" t="s">
        <v>6093</v>
      </c>
      <c r="D7676" t="s">
        <v>6163</v>
      </c>
      <c r="E7676" t="s">
        <v>8520</v>
      </c>
      <c r="F7676">
        <v>1</v>
      </c>
      <c r="G7676">
        <v>2217184</v>
      </c>
      <c r="H7676" t="s">
        <v>8521</v>
      </c>
      <c r="J7676" s="54" t="s">
        <v>6052</v>
      </c>
      <c r="K7676" s="54">
        <v>0</v>
      </c>
      <c r="L7676" s="22" t="s">
        <v>104</v>
      </c>
      <c r="M7676" s="22" t="s">
        <v>37306</v>
      </c>
    </row>
    <row r="7677" spans="1:13" x14ac:dyDescent="0.75">
      <c r="A7677" t="s">
        <v>23636</v>
      </c>
      <c r="B7677" t="s">
        <v>7967</v>
      </c>
      <c r="C7677" t="s">
        <v>6093</v>
      </c>
      <c r="D7677" t="s">
        <v>6163</v>
      </c>
      <c r="E7677" t="s">
        <v>23637</v>
      </c>
      <c r="F7677">
        <v>26</v>
      </c>
      <c r="G7677">
        <v>2130083</v>
      </c>
      <c r="H7677" t="s">
        <v>23638</v>
      </c>
      <c r="J7677" s="54" t="s">
        <v>6052</v>
      </c>
      <c r="K7677" s="54">
        <v>0</v>
      </c>
      <c r="L7677" s="22" t="s">
        <v>104</v>
      </c>
      <c r="M7677" s="22" t="s">
        <v>37306</v>
      </c>
    </row>
    <row r="7678" spans="1:13" x14ac:dyDescent="0.75">
      <c r="A7678" t="s">
        <v>23702</v>
      </c>
      <c r="B7678" t="s">
        <v>7967</v>
      </c>
      <c r="C7678" t="s">
        <v>6093</v>
      </c>
      <c r="D7678" t="s">
        <v>6163</v>
      </c>
      <c r="E7678" t="s">
        <v>23703</v>
      </c>
      <c r="F7678">
        <v>34</v>
      </c>
      <c r="G7678">
        <v>2137598</v>
      </c>
      <c r="H7678" t="s">
        <v>23704</v>
      </c>
      <c r="J7678" s="54" t="s">
        <v>6052</v>
      </c>
      <c r="K7678" s="54">
        <v>0</v>
      </c>
      <c r="L7678" s="22" t="s">
        <v>104</v>
      </c>
      <c r="M7678" s="22" t="s">
        <v>37306</v>
      </c>
    </row>
    <row r="7679" spans="1:13" x14ac:dyDescent="0.75">
      <c r="A7679" t="s">
        <v>28670</v>
      </c>
      <c r="B7679" t="s">
        <v>7967</v>
      </c>
      <c r="C7679" t="s">
        <v>6093</v>
      </c>
      <c r="D7679" t="s">
        <v>6163</v>
      </c>
      <c r="E7679" t="s">
        <v>28671</v>
      </c>
      <c r="F7679">
        <v>26</v>
      </c>
      <c r="G7679">
        <v>2174336</v>
      </c>
      <c r="H7679" t="s">
        <v>28672</v>
      </c>
      <c r="J7679" s="54" t="s">
        <v>6052</v>
      </c>
      <c r="K7679" s="54">
        <v>0</v>
      </c>
      <c r="L7679" s="22" t="s">
        <v>104</v>
      </c>
      <c r="M7679" s="22" t="s">
        <v>37306</v>
      </c>
    </row>
    <row r="7680" spans="1:13" x14ac:dyDescent="0.75">
      <c r="A7680" t="s">
        <v>28710</v>
      </c>
      <c r="B7680" t="s">
        <v>7967</v>
      </c>
      <c r="C7680" t="s">
        <v>6093</v>
      </c>
      <c r="D7680" t="s">
        <v>6163</v>
      </c>
      <c r="E7680" t="s">
        <v>28671</v>
      </c>
      <c r="F7680">
        <v>26</v>
      </c>
      <c r="G7680">
        <v>2174336</v>
      </c>
      <c r="H7680" t="s">
        <v>28711</v>
      </c>
      <c r="J7680" s="54" t="s">
        <v>6052</v>
      </c>
      <c r="K7680" s="54">
        <v>0</v>
      </c>
      <c r="L7680" s="22" t="s">
        <v>104</v>
      </c>
      <c r="M7680" s="22" t="s">
        <v>37306</v>
      </c>
    </row>
    <row r="7681" spans="1:13" x14ac:dyDescent="0.75">
      <c r="A7681" t="s">
        <v>28673</v>
      </c>
      <c r="B7681" t="s">
        <v>7967</v>
      </c>
      <c r="C7681" t="s">
        <v>6093</v>
      </c>
      <c r="D7681" t="s">
        <v>6163</v>
      </c>
      <c r="E7681" t="s">
        <v>28674</v>
      </c>
      <c r="F7681">
        <v>20</v>
      </c>
      <c r="G7681">
        <v>2288276</v>
      </c>
      <c r="H7681" t="s">
        <v>28675</v>
      </c>
      <c r="J7681" s="54" t="s">
        <v>6052</v>
      </c>
      <c r="K7681" s="54">
        <v>0</v>
      </c>
      <c r="L7681" s="22" t="s">
        <v>104</v>
      </c>
      <c r="M7681" s="22" t="s">
        <v>37306</v>
      </c>
    </row>
    <row r="7682" spans="1:13" x14ac:dyDescent="0.75">
      <c r="A7682" t="s">
        <v>28679</v>
      </c>
      <c r="B7682" t="s">
        <v>7967</v>
      </c>
      <c r="C7682" t="s">
        <v>6093</v>
      </c>
      <c r="D7682" t="s">
        <v>6163</v>
      </c>
      <c r="E7682" t="s">
        <v>28680</v>
      </c>
      <c r="F7682">
        <v>15</v>
      </c>
      <c r="G7682">
        <v>2220027</v>
      </c>
      <c r="H7682" t="s">
        <v>28681</v>
      </c>
      <c r="J7682" s="54" t="s">
        <v>6052</v>
      </c>
      <c r="K7682" s="54">
        <v>0</v>
      </c>
      <c r="L7682" s="22" t="s">
        <v>104</v>
      </c>
      <c r="M7682" s="22" t="s">
        <v>37306</v>
      </c>
    </row>
    <row r="7683" spans="1:13" x14ac:dyDescent="0.75">
      <c r="A7683" t="s">
        <v>28682</v>
      </c>
      <c r="B7683" t="s">
        <v>7967</v>
      </c>
      <c r="C7683" t="s">
        <v>6093</v>
      </c>
      <c r="D7683" t="s">
        <v>6163</v>
      </c>
      <c r="E7683" t="s">
        <v>28680</v>
      </c>
      <c r="F7683">
        <v>35</v>
      </c>
      <c r="G7683">
        <v>2264732</v>
      </c>
      <c r="H7683" t="s">
        <v>28683</v>
      </c>
      <c r="J7683" s="54" t="s">
        <v>6052</v>
      </c>
      <c r="K7683" s="54">
        <v>0</v>
      </c>
      <c r="L7683" s="22" t="s">
        <v>104</v>
      </c>
      <c r="M7683" s="22" t="s">
        <v>37306</v>
      </c>
    </row>
    <row r="7684" spans="1:13" x14ac:dyDescent="0.75">
      <c r="A7684" t="s">
        <v>28684</v>
      </c>
      <c r="B7684" t="s">
        <v>7967</v>
      </c>
      <c r="C7684" t="s">
        <v>6093</v>
      </c>
      <c r="D7684" t="s">
        <v>6163</v>
      </c>
      <c r="E7684" t="s">
        <v>28680</v>
      </c>
      <c r="F7684">
        <v>22</v>
      </c>
      <c r="G7684">
        <v>2185075</v>
      </c>
      <c r="H7684" t="s">
        <v>28685</v>
      </c>
      <c r="J7684" s="54" t="s">
        <v>6052</v>
      </c>
      <c r="K7684" s="54">
        <v>0</v>
      </c>
      <c r="L7684" s="22" t="s">
        <v>104</v>
      </c>
      <c r="M7684" s="22" t="s">
        <v>37306</v>
      </c>
    </row>
    <row r="7685" spans="1:13" x14ac:dyDescent="0.75">
      <c r="A7685" t="s">
        <v>28686</v>
      </c>
      <c r="B7685" t="s">
        <v>7967</v>
      </c>
      <c r="C7685" t="s">
        <v>6093</v>
      </c>
      <c r="D7685" t="s">
        <v>6163</v>
      </c>
      <c r="E7685" t="s">
        <v>28680</v>
      </c>
      <c r="F7685">
        <v>22</v>
      </c>
      <c r="G7685">
        <v>2184790</v>
      </c>
      <c r="H7685" t="s">
        <v>28687</v>
      </c>
      <c r="J7685" s="54" t="s">
        <v>6052</v>
      </c>
      <c r="K7685" s="54">
        <v>0</v>
      </c>
      <c r="L7685" s="22" t="s">
        <v>104</v>
      </c>
      <c r="M7685" s="22" t="s">
        <v>37306</v>
      </c>
    </row>
    <row r="7686" spans="1:13" x14ac:dyDescent="0.75">
      <c r="A7686" t="s">
        <v>28688</v>
      </c>
      <c r="B7686" t="s">
        <v>7967</v>
      </c>
      <c r="C7686" t="s">
        <v>6093</v>
      </c>
      <c r="D7686" t="s">
        <v>6163</v>
      </c>
      <c r="E7686" t="s">
        <v>28680</v>
      </c>
      <c r="F7686">
        <v>23</v>
      </c>
      <c r="G7686">
        <v>2318966</v>
      </c>
      <c r="H7686" t="s">
        <v>28689</v>
      </c>
      <c r="J7686" s="54" t="s">
        <v>6052</v>
      </c>
      <c r="K7686" s="54">
        <v>0</v>
      </c>
      <c r="L7686" s="22" t="s">
        <v>104</v>
      </c>
      <c r="M7686" s="22" t="s">
        <v>37306</v>
      </c>
    </row>
    <row r="7687" spans="1:13" x14ac:dyDescent="0.75">
      <c r="A7687" t="s">
        <v>28693</v>
      </c>
      <c r="B7687" t="s">
        <v>7967</v>
      </c>
      <c r="C7687" t="s">
        <v>6093</v>
      </c>
      <c r="D7687" t="s">
        <v>6163</v>
      </c>
      <c r="E7687" t="s">
        <v>28680</v>
      </c>
      <c r="F7687">
        <v>30</v>
      </c>
      <c r="G7687">
        <v>2285677</v>
      </c>
      <c r="H7687" t="s">
        <v>28694</v>
      </c>
      <c r="J7687" s="54" t="s">
        <v>6052</v>
      </c>
      <c r="K7687" s="54">
        <v>0</v>
      </c>
      <c r="L7687" s="22" t="s">
        <v>104</v>
      </c>
      <c r="M7687" s="22" t="s">
        <v>37306</v>
      </c>
    </row>
    <row r="7688" spans="1:13" x14ac:dyDescent="0.75">
      <c r="A7688" t="s">
        <v>28714</v>
      </c>
      <c r="B7688" t="s">
        <v>7967</v>
      </c>
      <c r="C7688" t="s">
        <v>6093</v>
      </c>
      <c r="D7688" t="s">
        <v>6163</v>
      </c>
      <c r="E7688" t="s">
        <v>28680</v>
      </c>
      <c r="F7688">
        <v>15</v>
      </c>
      <c r="G7688">
        <v>2220027</v>
      </c>
      <c r="H7688" t="s">
        <v>28715</v>
      </c>
      <c r="J7688" s="54" t="s">
        <v>6052</v>
      </c>
      <c r="K7688" s="54">
        <v>0</v>
      </c>
      <c r="L7688" s="22" t="s">
        <v>104</v>
      </c>
      <c r="M7688" s="22" t="s">
        <v>37306</v>
      </c>
    </row>
    <row r="7689" spans="1:13" x14ac:dyDescent="0.75">
      <c r="A7689" t="s">
        <v>28690</v>
      </c>
      <c r="B7689" t="s">
        <v>7967</v>
      </c>
      <c r="C7689" t="s">
        <v>6093</v>
      </c>
      <c r="D7689" t="s">
        <v>6163</v>
      </c>
      <c r="E7689" t="s">
        <v>28691</v>
      </c>
      <c r="F7689">
        <v>5</v>
      </c>
      <c r="G7689">
        <v>2170832</v>
      </c>
      <c r="H7689" t="s">
        <v>28692</v>
      </c>
      <c r="J7689" s="54" t="s">
        <v>6052</v>
      </c>
      <c r="K7689" s="54">
        <v>0</v>
      </c>
      <c r="L7689" s="22" t="s">
        <v>104</v>
      </c>
      <c r="M7689" s="22" t="s">
        <v>37306</v>
      </c>
    </row>
    <row r="7690" spans="1:13" x14ac:dyDescent="0.75">
      <c r="A7690" t="s">
        <v>28707</v>
      </c>
      <c r="B7690" t="s">
        <v>11795</v>
      </c>
      <c r="C7690" t="s">
        <v>6093</v>
      </c>
      <c r="D7690" t="s">
        <v>11796</v>
      </c>
      <c r="E7690" t="s">
        <v>28708</v>
      </c>
      <c r="F7690">
        <v>1</v>
      </c>
      <c r="G7690">
        <v>1860069</v>
      </c>
      <c r="H7690" t="s">
        <v>28709</v>
      </c>
      <c r="J7690" s="54" t="s">
        <v>6052</v>
      </c>
      <c r="K7690" s="54">
        <v>0</v>
      </c>
      <c r="L7690" s="22" t="s">
        <v>1563</v>
      </c>
      <c r="M7690" s="22" t="s">
        <v>37314</v>
      </c>
    </row>
    <row r="7691" spans="1:13" x14ac:dyDescent="0.75">
      <c r="A7691" t="s">
        <v>28695</v>
      </c>
      <c r="B7691" t="s">
        <v>7967</v>
      </c>
      <c r="C7691" t="s">
        <v>6093</v>
      </c>
      <c r="D7691" t="s">
        <v>6163</v>
      </c>
      <c r="E7691" t="s">
        <v>28696</v>
      </c>
      <c r="F7691">
        <v>27</v>
      </c>
      <c r="G7691">
        <v>2200590</v>
      </c>
      <c r="H7691" t="s">
        <v>28697</v>
      </c>
      <c r="J7691" s="54" t="s">
        <v>6052</v>
      </c>
      <c r="K7691" s="54">
        <v>0</v>
      </c>
      <c r="L7691" s="22" t="s">
        <v>104</v>
      </c>
      <c r="M7691" s="22" t="s">
        <v>37306</v>
      </c>
    </row>
    <row r="7692" spans="1:13" x14ac:dyDescent="0.75">
      <c r="A7692" t="s">
        <v>28676</v>
      </c>
      <c r="B7692" t="s">
        <v>7967</v>
      </c>
      <c r="C7692" t="s">
        <v>6093</v>
      </c>
      <c r="D7692" t="s">
        <v>6163</v>
      </c>
      <c r="E7692" t="s">
        <v>28677</v>
      </c>
      <c r="F7692">
        <v>16</v>
      </c>
      <c r="G7692">
        <v>2190275</v>
      </c>
      <c r="H7692" t="s">
        <v>28678</v>
      </c>
      <c r="J7692" s="54" t="s">
        <v>6052</v>
      </c>
      <c r="K7692" s="54">
        <v>0</v>
      </c>
      <c r="L7692" s="22" t="s">
        <v>104</v>
      </c>
      <c r="M7692" s="22" t="s">
        <v>37306</v>
      </c>
    </row>
    <row r="7693" spans="1:13" x14ac:dyDescent="0.75">
      <c r="A7693" t="s">
        <v>28703</v>
      </c>
      <c r="B7693" t="s">
        <v>7967</v>
      </c>
      <c r="C7693" t="s">
        <v>6093</v>
      </c>
      <c r="D7693" t="s">
        <v>6163</v>
      </c>
      <c r="E7693" t="s">
        <v>28677</v>
      </c>
      <c r="F7693">
        <v>30</v>
      </c>
      <c r="G7693">
        <v>2214583</v>
      </c>
      <c r="H7693" t="s">
        <v>28704</v>
      </c>
      <c r="J7693" s="54" t="s">
        <v>6052</v>
      </c>
      <c r="K7693" s="54">
        <v>0</v>
      </c>
      <c r="L7693" s="22" t="s">
        <v>104</v>
      </c>
      <c r="M7693" s="22" t="s">
        <v>37306</v>
      </c>
    </row>
    <row r="7694" spans="1:13" x14ac:dyDescent="0.75">
      <c r="A7694" t="s">
        <v>28712</v>
      </c>
      <c r="B7694" t="s">
        <v>7967</v>
      </c>
      <c r="C7694" t="s">
        <v>6093</v>
      </c>
      <c r="D7694" t="s">
        <v>6163</v>
      </c>
      <c r="E7694" t="s">
        <v>28677</v>
      </c>
      <c r="F7694">
        <v>16</v>
      </c>
      <c r="G7694">
        <v>2190275</v>
      </c>
      <c r="H7694" t="s">
        <v>28713</v>
      </c>
      <c r="J7694" s="54" t="s">
        <v>6052</v>
      </c>
      <c r="K7694" s="54">
        <v>0</v>
      </c>
      <c r="L7694" s="22" t="s">
        <v>104</v>
      </c>
      <c r="M7694" s="22" t="s">
        <v>37306</v>
      </c>
    </row>
    <row r="7695" spans="1:13" x14ac:dyDescent="0.75">
      <c r="A7695" t="s">
        <v>24372</v>
      </c>
      <c r="B7695" t="s">
        <v>7967</v>
      </c>
      <c r="C7695" t="s">
        <v>6093</v>
      </c>
      <c r="D7695" t="s">
        <v>6163</v>
      </c>
      <c r="E7695" t="s">
        <v>24373</v>
      </c>
      <c r="F7695">
        <v>34</v>
      </c>
      <c r="G7695">
        <v>2170019</v>
      </c>
      <c r="H7695" t="s">
        <v>24374</v>
      </c>
      <c r="J7695" s="54" t="s">
        <v>6052</v>
      </c>
      <c r="K7695" s="54">
        <v>0</v>
      </c>
      <c r="L7695" s="22" t="s">
        <v>104</v>
      </c>
      <c r="M7695" s="22" t="s">
        <v>37306</v>
      </c>
    </row>
    <row r="7696" spans="1:13" x14ac:dyDescent="0.75">
      <c r="A7696" t="s">
        <v>19757</v>
      </c>
      <c r="B7696" t="s">
        <v>7967</v>
      </c>
      <c r="C7696" t="s">
        <v>6093</v>
      </c>
      <c r="D7696" t="s">
        <v>6163</v>
      </c>
      <c r="E7696" t="s">
        <v>19758</v>
      </c>
      <c r="F7696">
        <v>34</v>
      </c>
      <c r="G7696">
        <v>2211514</v>
      </c>
      <c r="H7696" t="s">
        <v>19759</v>
      </c>
      <c r="J7696" s="54" t="s">
        <v>6052</v>
      </c>
      <c r="K7696" s="54">
        <v>0</v>
      </c>
      <c r="L7696" s="22" t="s">
        <v>104</v>
      </c>
      <c r="M7696" s="22" t="s">
        <v>37306</v>
      </c>
    </row>
    <row r="7697" spans="1:13" x14ac:dyDescent="0.75">
      <c r="A7697" t="s">
        <v>18809</v>
      </c>
      <c r="B7697" t="s">
        <v>7967</v>
      </c>
      <c r="C7697" t="s">
        <v>6093</v>
      </c>
      <c r="D7697" t="s">
        <v>6163</v>
      </c>
      <c r="E7697" t="s">
        <v>18810</v>
      </c>
      <c r="F7697">
        <v>4</v>
      </c>
      <c r="G7697">
        <v>2343299</v>
      </c>
      <c r="H7697" t="s">
        <v>18811</v>
      </c>
      <c r="J7697" s="54" t="s">
        <v>6052</v>
      </c>
      <c r="K7697" s="54">
        <v>0</v>
      </c>
      <c r="L7697" s="22" t="s">
        <v>104</v>
      </c>
      <c r="M7697" s="22" t="s">
        <v>37306</v>
      </c>
    </row>
    <row r="7698" spans="1:13" x14ac:dyDescent="0.75">
      <c r="A7698" t="s">
        <v>21755</v>
      </c>
      <c r="B7698" t="s">
        <v>7967</v>
      </c>
      <c r="C7698" t="s">
        <v>6093</v>
      </c>
      <c r="D7698" t="s">
        <v>6163</v>
      </c>
      <c r="E7698" t="s">
        <v>21756</v>
      </c>
      <c r="F7698">
        <v>26</v>
      </c>
      <c r="G7698">
        <v>2151131</v>
      </c>
      <c r="H7698" t="s">
        <v>21757</v>
      </c>
      <c r="J7698" s="54" t="s">
        <v>6052</v>
      </c>
      <c r="K7698" s="54">
        <v>0</v>
      </c>
      <c r="L7698" s="22" t="s">
        <v>104</v>
      </c>
      <c r="M7698" s="22" t="s">
        <v>37306</v>
      </c>
    </row>
    <row r="7699" spans="1:13" x14ac:dyDescent="0.75">
      <c r="A7699" t="s">
        <v>21758</v>
      </c>
      <c r="B7699" t="s">
        <v>7967</v>
      </c>
      <c r="C7699" t="s">
        <v>6093</v>
      </c>
      <c r="D7699" t="s">
        <v>6163</v>
      </c>
      <c r="E7699" t="s">
        <v>21759</v>
      </c>
      <c r="F7699">
        <v>25</v>
      </c>
      <c r="G7699">
        <v>2152518</v>
      </c>
      <c r="H7699" t="s">
        <v>21760</v>
      </c>
      <c r="J7699" s="54" t="s">
        <v>6052</v>
      </c>
      <c r="K7699" s="54">
        <v>0</v>
      </c>
      <c r="L7699" s="22" t="s">
        <v>104</v>
      </c>
      <c r="M7699" s="22" t="s">
        <v>37306</v>
      </c>
    </row>
    <row r="7700" spans="1:13" x14ac:dyDescent="0.75">
      <c r="A7700" t="s">
        <v>14603</v>
      </c>
      <c r="B7700" t="s">
        <v>7967</v>
      </c>
      <c r="C7700" t="s">
        <v>6093</v>
      </c>
      <c r="D7700" t="s">
        <v>6163</v>
      </c>
      <c r="E7700" t="s">
        <v>14604</v>
      </c>
      <c r="F7700">
        <v>19</v>
      </c>
      <c r="G7700">
        <v>2206463</v>
      </c>
      <c r="H7700" t="s">
        <v>14605</v>
      </c>
      <c r="J7700" s="54" t="s">
        <v>6052</v>
      </c>
      <c r="K7700" s="54">
        <v>0</v>
      </c>
      <c r="L7700" s="22" t="s">
        <v>104</v>
      </c>
      <c r="M7700" s="22" t="s">
        <v>37306</v>
      </c>
    </row>
    <row r="7701" spans="1:13" x14ac:dyDescent="0.75">
      <c r="A7701" t="s">
        <v>20029</v>
      </c>
      <c r="B7701" t="s">
        <v>7967</v>
      </c>
      <c r="C7701" t="s">
        <v>6093</v>
      </c>
      <c r="D7701" t="s">
        <v>6163</v>
      </c>
      <c r="E7701" t="s">
        <v>20030</v>
      </c>
      <c r="F7701">
        <v>1</v>
      </c>
      <c r="G7701">
        <v>2318817</v>
      </c>
      <c r="H7701" t="s">
        <v>20031</v>
      </c>
      <c r="J7701" s="54" t="s">
        <v>6052</v>
      </c>
      <c r="K7701" s="54">
        <v>0</v>
      </c>
      <c r="L7701" s="22" t="s">
        <v>104</v>
      </c>
      <c r="M7701" s="22" t="s">
        <v>37306</v>
      </c>
    </row>
    <row r="7702" spans="1:13" x14ac:dyDescent="0.75">
      <c r="A7702" t="s">
        <v>13434</v>
      </c>
      <c r="B7702" t="s">
        <v>7967</v>
      </c>
      <c r="C7702" t="s">
        <v>6093</v>
      </c>
      <c r="D7702" t="s">
        <v>6163</v>
      </c>
      <c r="E7702" t="s">
        <v>13435</v>
      </c>
      <c r="F7702">
        <v>3</v>
      </c>
      <c r="G7702">
        <v>2435494</v>
      </c>
      <c r="H7702" t="s">
        <v>13436</v>
      </c>
      <c r="J7702" s="54" t="s">
        <v>6052</v>
      </c>
      <c r="K7702" s="54">
        <v>0</v>
      </c>
      <c r="L7702" s="22" t="s">
        <v>104</v>
      </c>
      <c r="M7702" s="22" t="s">
        <v>37306</v>
      </c>
    </row>
    <row r="7703" spans="1:13" x14ac:dyDescent="0.75">
      <c r="A7703" t="s">
        <v>13413</v>
      </c>
      <c r="B7703" t="s">
        <v>7967</v>
      </c>
      <c r="C7703" t="s">
        <v>6093</v>
      </c>
      <c r="D7703" t="s">
        <v>6163</v>
      </c>
      <c r="E7703" t="s">
        <v>13414</v>
      </c>
      <c r="F7703">
        <v>2</v>
      </c>
      <c r="G7703">
        <v>2311542</v>
      </c>
      <c r="H7703" t="s">
        <v>13415</v>
      </c>
      <c r="J7703" s="54" t="s">
        <v>6052</v>
      </c>
      <c r="K7703" s="54">
        <v>0</v>
      </c>
      <c r="L7703" s="22" t="s">
        <v>104</v>
      </c>
      <c r="M7703" s="22" t="s">
        <v>37306</v>
      </c>
    </row>
    <row r="7704" spans="1:13" x14ac:dyDescent="0.75">
      <c r="A7704" t="s">
        <v>13437</v>
      </c>
      <c r="B7704" t="s">
        <v>7967</v>
      </c>
      <c r="C7704" t="s">
        <v>6093</v>
      </c>
      <c r="D7704" t="s">
        <v>6163</v>
      </c>
      <c r="E7704" t="s">
        <v>13438</v>
      </c>
      <c r="F7704">
        <v>1</v>
      </c>
      <c r="G7704">
        <v>2259318</v>
      </c>
      <c r="H7704" t="s">
        <v>13439</v>
      </c>
      <c r="J7704" s="54" t="s">
        <v>6052</v>
      </c>
      <c r="K7704" s="54">
        <v>0</v>
      </c>
      <c r="L7704" s="22" t="s">
        <v>104</v>
      </c>
      <c r="M7704" s="22" t="s">
        <v>37306</v>
      </c>
    </row>
    <row r="7705" spans="1:13" x14ac:dyDescent="0.75">
      <c r="A7705" t="s">
        <v>18458</v>
      </c>
      <c r="B7705" t="s">
        <v>7967</v>
      </c>
      <c r="C7705" t="s">
        <v>6093</v>
      </c>
      <c r="D7705" t="s">
        <v>6163</v>
      </c>
      <c r="E7705" t="s">
        <v>18459</v>
      </c>
      <c r="F7705">
        <v>1</v>
      </c>
      <c r="G7705">
        <v>1999501</v>
      </c>
      <c r="H7705" t="s">
        <v>18460</v>
      </c>
      <c r="J7705" s="54" t="s">
        <v>6052</v>
      </c>
      <c r="K7705" s="54">
        <v>0</v>
      </c>
      <c r="L7705" s="22" t="s">
        <v>104</v>
      </c>
      <c r="M7705" s="22" t="s">
        <v>37306</v>
      </c>
    </row>
    <row r="7706" spans="1:13" x14ac:dyDescent="0.75">
      <c r="A7706" t="s">
        <v>15107</v>
      </c>
      <c r="B7706" t="s">
        <v>7967</v>
      </c>
      <c r="C7706" t="s">
        <v>6093</v>
      </c>
      <c r="D7706" t="s">
        <v>6163</v>
      </c>
      <c r="E7706" t="s">
        <v>15108</v>
      </c>
      <c r="F7706">
        <v>30</v>
      </c>
      <c r="G7706">
        <v>2437080</v>
      </c>
      <c r="H7706" t="s">
        <v>15109</v>
      </c>
      <c r="J7706" s="54" t="s">
        <v>6052</v>
      </c>
      <c r="K7706" s="54">
        <v>0</v>
      </c>
      <c r="L7706" s="22" t="s">
        <v>104</v>
      </c>
      <c r="M7706" s="22" t="s">
        <v>37306</v>
      </c>
    </row>
    <row r="7707" spans="1:13" x14ac:dyDescent="0.75">
      <c r="A7707" t="s">
        <v>9630</v>
      </c>
      <c r="B7707" t="s">
        <v>7967</v>
      </c>
      <c r="C7707" t="s">
        <v>6093</v>
      </c>
      <c r="D7707" t="s">
        <v>6163</v>
      </c>
      <c r="E7707" t="s">
        <v>9631</v>
      </c>
      <c r="F7707">
        <v>1</v>
      </c>
      <c r="G7707">
        <v>2100988</v>
      </c>
      <c r="H7707" t="s">
        <v>9632</v>
      </c>
      <c r="J7707" s="54" t="s">
        <v>6052</v>
      </c>
      <c r="K7707" s="54">
        <v>0</v>
      </c>
      <c r="L7707" s="22" t="s">
        <v>104</v>
      </c>
      <c r="M7707" s="22" t="s">
        <v>37306</v>
      </c>
    </row>
    <row r="7708" spans="1:13" x14ac:dyDescent="0.75">
      <c r="A7708" t="s">
        <v>17926</v>
      </c>
      <c r="B7708" t="s">
        <v>7967</v>
      </c>
      <c r="C7708" t="s">
        <v>6093</v>
      </c>
      <c r="D7708" t="s">
        <v>6163</v>
      </c>
      <c r="E7708" t="s">
        <v>17927</v>
      </c>
      <c r="F7708">
        <v>1</v>
      </c>
      <c r="G7708">
        <v>2193178</v>
      </c>
      <c r="H7708" t="s">
        <v>17928</v>
      </c>
      <c r="J7708" s="54" t="s">
        <v>6052</v>
      </c>
      <c r="K7708" s="54">
        <v>0</v>
      </c>
      <c r="L7708" s="22" t="s">
        <v>104</v>
      </c>
      <c r="M7708" s="22" t="s">
        <v>37306</v>
      </c>
    </row>
    <row r="7709" spans="1:13" x14ac:dyDescent="0.75">
      <c r="A7709" t="s">
        <v>17929</v>
      </c>
      <c r="B7709" t="s">
        <v>7967</v>
      </c>
      <c r="C7709" t="s">
        <v>6093</v>
      </c>
      <c r="D7709" t="s">
        <v>6163</v>
      </c>
      <c r="E7709" t="s">
        <v>17930</v>
      </c>
      <c r="F7709">
        <v>2</v>
      </c>
      <c r="G7709">
        <v>2442990</v>
      </c>
      <c r="H7709" t="s">
        <v>17931</v>
      </c>
      <c r="J7709" s="54" t="s">
        <v>6052</v>
      </c>
      <c r="K7709" s="54">
        <v>0</v>
      </c>
      <c r="L7709" s="22" t="s">
        <v>104</v>
      </c>
      <c r="M7709" s="22" t="s">
        <v>37306</v>
      </c>
    </row>
    <row r="7710" spans="1:13" x14ac:dyDescent="0.75">
      <c r="A7710" t="s">
        <v>17932</v>
      </c>
      <c r="B7710" t="s">
        <v>7967</v>
      </c>
      <c r="C7710" t="s">
        <v>6093</v>
      </c>
      <c r="D7710" t="s">
        <v>6163</v>
      </c>
      <c r="E7710" t="s">
        <v>17933</v>
      </c>
      <c r="F7710">
        <v>1</v>
      </c>
      <c r="G7710">
        <v>2193173</v>
      </c>
      <c r="H7710" t="s">
        <v>17934</v>
      </c>
      <c r="J7710" s="54" t="s">
        <v>6052</v>
      </c>
      <c r="K7710" s="54">
        <v>0</v>
      </c>
      <c r="L7710" s="22" t="s">
        <v>104</v>
      </c>
      <c r="M7710" s="22" t="s">
        <v>37306</v>
      </c>
    </row>
    <row r="7711" spans="1:13" x14ac:dyDescent="0.75">
      <c r="A7711" t="s">
        <v>21682</v>
      </c>
      <c r="B7711" t="s">
        <v>7967</v>
      </c>
      <c r="C7711" t="s">
        <v>6093</v>
      </c>
      <c r="D7711" t="s">
        <v>6163</v>
      </c>
      <c r="E7711" t="s">
        <v>21683</v>
      </c>
      <c r="F7711">
        <v>34</v>
      </c>
      <c r="G7711">
        <v>2166453</v>
      </c>
      <c r="H7711" t="s">
        <v>21684</v>
      </c>
      <c r="J7711" s="54" t="s">
        <v>6052</v>
      </c>
      <c r="K7711" s="54">
        <v>0</v>
      </c>
      <c r="L7711" s="22" t="s">
        <v>104</v>
      </c>
      <c r="M7711" s="22" t="s">
        <v>37306</v>
      </c>
    </row>
    <row r="7712" spans="1:13" x14ac:dyDescent="0.75">
      <c r="A7712" t="s">
        <v>11813</v>
      </c>
      <c r="B7712" t="s">
        <v>7967</v>
      </c>
      <c r="C7712" t="s">
        <v>6093</v>
      </c>
      <c r="D7712" t="s">
        <v>6163</v>
      </c>
      <c r="E7712" t="s">
        <v>11814</v>
      </c>
      <c r="F7712">
        <v>1</v>
      </c>
      <c r="G7712">
        <v>2191044</v>
      </c>
      <c r="H7712" t="s">
        <v>11815</v>
      </c>
      <c r="J7712" s="54" t="s">
        <v>6052</v>
      </c>
      <c r="K7712" s="54">
        <v>0</v>
      </c>
      <c r="L7712" s="22" t="s">
        <v>104</v>
      </c>
      <c r="M7712" s="22" t="s">
        <v>37306</v>
      </c>
    </row>
    <row r="7713" spans="1:13" x14ac:dyDescent="0.75">
      <c r="A7713" t="s">
        <v>8516</v>
      </c>
      <c r="B7713" t="s">
        <v>7967</v>
      </c>
      <c r="C7713" t="s">
        <v>6093</v>
      </c>
      <c r="D7713" t="s">
        <v>6163</v>
      </c>
      <c r="E7713" t="s">
        <v>8517</v>
      </c>
      <c r="F7713">
        <v>1</v>
      </c>
      <c r="G7713">
        <v>2210574</v>
      </c>
      <c r="H7713" t="s">
        <v>8518</v>
      </c>
      <c r="J7713" s="54" t="s">
        <v>6052</v>
      </c>
      <c r="K7713" s="54">
        <v>0</v>
      </c>
      <c r="L7713" s="22" t="s">
        <v>104</v>
      </c>
      <c r="M7713" s="22" t="s">
        <v>37306</v>
      </c>
    </row>
    <row r="7714" spans="1:13" x14ac:dyDescent="0.75">
      <c r="A7714" t="s">
        <v>10831</v>
      </c>
      <c r="B7714" t="s">
        <v>7967</v>
      </c>
      <c r="C7714" t="s">
        <v>6093</v>
      </c>
      <c r="D7714" t="s">
        <v>6163</v>
      </c>
      <c r="E7714" t="s">
        <v>10832</v>
      </c>
      <c r="F7714">
        <v>21</v>
      </c>
      <c r="G7714">
        <v>2293898</v>
      </c>
      <c r="H7714" t="s">
        <v>10833</v>
      </c>
      <c r="J7714" s="54" t="s">
        <v>6052</v>
      </c>
      <c r="K7714" s="54">
        <v>0</v>
      </c>
      <c r="L7714" s="22" t="s">
        <v>104</v>
      </c>
      <c r="M7714" s="22" t="s">
        <v>37306</v>
      </c>
    </row>
    <row r="7715" spans="1:13" x14ac:dyDescent="0.75">
      <c r="A7715" t="s">
        <v>17306</v>
      </c>
      <c r="B7715" t="s">
        <v>7967</v>
      </c>
      <c r="C7715" t="s">
        <v>6093</v>
      </c>
      <c r="D7715" t="s">
        <v>6163</v>
      </c>
      <c r="E7715" t="s">
        <v>17307</v>
      </c>
      <c r="F7715">
        <v>2</v>
      </c>
      <c r="G7715">
        <v>2426257</v>
      </c>
      <c r="H7715" t="s">
        <v>17308</v>
      </c>
      <c r="J7715" s="54" t="s">
        <v>6052</v>
      </c>
      <c r="K7715" s="54">
        <v>0</v>
      </c>
      <c r="L7715" s="22" t="s">
        <v>104</v>
      </c>
      <c r="M7715" s="22" t="s">
        <v>37306</v>
      </c>
    </row>
    <row r="7716" spans="1:13" x14ac:dyDescent="0.75">
      <c r="A7716" t="s">
        <v>26657</v>
      </c>
      <c r="B7716" t="s">
        <v>7967</v>
      </c>
      <c r="C7716" t="s">
        <v>6093</v>
      </c>
      <c r="D7716" t="s">
        <v>6163</v>
      </c>
      <c r="E7716" t="s">
        <v>26658</v>
      </c>
      <c r="F7716">
        <v>1</v>
      </c>
      <c r="G7716">
        <v>2195702</v>
      </c>
      <c r="H7716" t="s">
        <v>26659</v>
      </c>
      <c r="J7716" s="54" t="s">
        <v>6052</v>
      </c>
      <c r="K7716" s="54">
        <v>0</v>
      </c>
      <c r="L7716" s="22" t="s">
        <v>104</v>
      </c>
      <c r="M7716" s="22" t="s">
        <v>37306</v>
      </c>
    </row>
    <row r="7717" spans="1:13" x14ac:dyDescent="0.75">
      <c r="A7717" t="s">
        <v>7966</v>
      </c>
      <c r="B7717" t="s">
        <v>7967</v>
      </c>
      <c r="C7717" t="s">
        <v>6093</v>
      </c>
      <c r="D7717" t="s">
        <v>6163</v>
      </c>
      <c r="E7717" t="s">
        <v>7968</v>
      </c>
      <c r="F7717">
        <v>6</v>
      </c>
      <c r="G7717">
        <v>2325981</v>
      </c>
      <c r="H7717" t="s">
        <v>7969</v>
      </c>
      <c r="J7717" s="54" t="s">
        <v>6052</v>
      </c>
      <c r="K7717" s="54">
        <v>0</v>
      </c>
      <c r="L7717" s="22" t="s">
        <v>104</v>
      </c>
      <c r="M7717" s="22" t="s">
        <v>37306</v>
      </c>
    </row>
    <row r="7718" spans="1:13" x14ac:dyDescent="0.75">
      <c r="A7718" t="s">
        <v>29316</v>
      </c>
      <c r="B7718" t="s">
        <v>7967</v>
      </c>
      <c r="C7718" t="s">
        <v>6093</v>
      </c>
      <c r="D7718" t="s">
        <v>6163</v>
      </c>
      <c r="E7718" t="s">
        <v>29317</v>
      </c>
      <c r="F7718">
        <v>5</v>
      </c>
      <c r="G7718">
        <v>2221767</v>
      </c>
      <c r="H7718" t="s">
        <v>29318</v>
      </c>
      <c r="J7718" s="54" t="s">
        <v>6052</v>
      </c>
      <c r="K7718" s="54">
        <v>0</v>
      </c>
      <c r="L7718" s="22" t="s">
        <v>104</v>
      </c>
      <c r="M7718" s="22" t="s">
        <v>37306</v>
      </c>
    </row>
    <row r="7719" spans="1:13" x14ac:dyDescent="0.75">
      <c r="A7719" t="s">
        <v>28197</v>
      </c>
      <c r="B7719" t="s">
        <v>7967</v>
      </c>
      <c r="C7719" t="s">
        <v>6093</v>
      </c>
      <c r="D7719" t="s">
        <v>6163</v>
      </c>
      <c r="E7719" t="s">
        <v>28198</v>
      </c>
      <c r="F7719">
        <v>28</v>
      </c>
      <c r="G7719">
        <v>2252077</v>
      </c>
      <c r="H7719" t="s">
        <v>28199</v>
      </c>
      <c r="J7719" s="54" t="s">
        <v>6052</v>
      </c>
      <c r="K7719" s="54">
        <v>0</v>
      </c>
      <c r="L7719" s="22" t="s">
        <v>104</v>
      </c>
      <c r="M7719" s="22" t="s">
        <v>37306</v>
      </c>
    </row>
    <row r="7720" spans="1:13" x14ac:dyDescent="0.75">
      <c r="A7720" t="s">
        <v>10663</v>
      </c>
      <c r="B7720" t="s">
        <v>7967</v>
      </c>
      <c r="C7720" t="s">
        <v>6093</v>
      </c>
      <c r="D7720" t="s">
        <v>6163</v>
      </c>
      <c r="E7720" t="s">
        <v>10664</v>
      </c>
      <c r="F7720">
        <v>1</v>
      </c>
      <c r="G7720">
        <v>2188923</v>
      </c>
      <c r="H7720" t="s">
        <v>10665</v>
      </c>
      <c r="J7720" s="54" t="s">
        <v>6052</v>
      </c>
      <c r="K7720" s="54">
        <v>0</v>
      </c>
      <c r="L7720" s="22" t="s">
        <v>104</v>
      </c>
      <c r="M7720" s="22" t="s">
        <v>37306</v>
      </c>
    </row>
    <row r="7721" spans="1:13" x14ac:dyDescent="0.75">
      <c r="A7721" t="s">
        <v>27681</v>
      </c>
      <c r="B7721" t="s">
        <v>7967</v>
      </c>
      <c r="C7721" t="s">
        <v>6093</v>
      </c>
      <c r="D7721" t="s">
        <v>6163</v>
      </c>
      <c r="E7721" t="s">
        <v>27682</v>
      </c>
      <c r="F7721">
        <v>1</v>
      </c>
      <c r="G7721">
        <v>2184782</v>
      </c>
      <c r="H7721" t="s">
        <v>27683</v>
      </c>
      <c r="J7721" s="54" t="s">
        <v>6052</v>
      </c>
      <c r="K7721" s="54">
        <v>0</v>
      </c>
      <c r="L7721" s="22" t="s">
        <v>104</v>
      </c>
      <c r="M7721" s="22" t="s">
        <v>37306</v>
      </c>
    </row>
    <row r="7722" spans="1:13" x14ac:dyDescent="0.75">
      <c r="A7722" t="s">
        <v>27930</v>
      </c>
      <c r="B7722" t="s">
        <v>7967</v>
      </c>
      <c r="C7722" t="s">
        <v>6093</v>
      </c>
      <c r="D7722" t="s">
        <v>6163</v>
      </c>
      <c r="E7722" t="s">
        <v>27931</v>
      </c>
      <c r="F7722">
        <v>1</v>
      </c>
      <c r="G7722">
        <v>2206150</v>
      </c>
      <c r="H7722" t="s">
        <v>27932</v>
      </c>
      <c r="J7722" s="54" t="s">
        <v>6052</v>
      </c>
      <c r="K7722" s="54">
        <v>0</v>
      </c>
      <c r="L7722" s="22" t="s">
        <v>104</v>
      </c>
      <c r="M7722" s="22" t="s">
        <v>37306</v>
      </c>
    </row>
    <row r="7723" spans="1:13" x14ac:dyDescent="0.75">
      <c r="A7723" t="s">
        <v>23039</v>
      </c>
      <c r="B7723" t="s">
        <v>7967</v>
      </c>
      <c r="C7723" t="s">
        <v>6093</v>
      </c>
      <c r="D7723" t="s">
        <v>6163</v>
      </c>
      <c r="E7723" t="s">
        <v>23040</v>
      </c>
      <c r="F7723">
        <v>32</v>
      </c>
      <c r="G7723">
        <v>2200669</v>
      </c>
      <c r="H7723" t="s">
        <v>23041</v>
      </c>
      <c r="J7723" s="54" t="s">
        <v>6052</v>
      </c>
      <c r="K7723" s="54">
        <v>0</v>
      </c>
      <c r="L7723" s="22" t="s">
        <v>104</v>
      </c>
      <c r="M7723" s="22" t="s">
        <v>37306</v>
      </c>
    </row>
    <row r="7724" spans="1:13" x14ac:dyDescent="0.75">
      <c r="A7724" t="s">
        <v>23042</v>
      </c>
      <c r="B7724" t="s">
        <v>7967</v>
      </c>
      <c r="C7724" t="s">
        <v>6093</v>
      </c>
      <c r="D7724" t="s">
        <v>6163</v>
      </c>
      <c r="E7724" t="s">
        <v>23043</v>
      </c>
      <c r="F7724">
        <v>34</v>
      </c>
      <c r="G7724">
        <v>2345487</v>
      </c>
      <c r="H7724" t="s">
        <v>23044</v>
      </c>
      <c r="J7724" s="54" t="s">
        <v>6052</v>
      </c>
      <c r="K7724" s="54">
        <v>0</v>
      </c>
      <c r="L7724" s="22" t="s">
        <v>104</v>
      </c>
      <c r="M7724" s="22" t="s">
        <v>37306</v>
      </c>
    </row>
    <row r="7725" spans="1:13" x14ac:dyDescent="0.75">
      <c r="A7725" t="s">
        <v>22993</v>
      </c>
      <c r="B7725" t="s">
        <v>7967</v>
      </c>
      <c r="C7725" t="s">
        <v>6093</v>
      </c>
      <c r="D7725" t="s">
        <v>6163</v>
      </c>
      <c r="E7725" t="s">
        <v>22994</v>
      </c>
      <c r="F7725">
        <v>2</v>
      </c>
      <c r="G7725">
        <v>2261408</v>
      </c>
      <c r="H7725" t="s">
        <v>22995</v>
      </c>
      <c r="J7725" s="54" t="s">
        <v>6052</v>
      </c>
      <c r="K7725" s="54">
        <v>0</v>
      </c>
      <c r="L7725" s="22" t="s">
        <v>104</v>
      </c>
      <c r="M7725" s="22" t="s">
        <v>37306</v>
      </c>
    </row>
    <row r="7726" spans="1:13" x14ac:dyDescent="0.75">
      <c r="A7726" t="s">
        <v>26276</v>
      </c>
      <c r="B7726" t="s">
        <v>7967</v>
      </c>
      <c r="C7726" t="s">
        <v>6093</v>
      </c>
      <c r="D7726" t="s">
        <v>6163</v>
      </c>
      <c r="E7726" t="s">
        <v>26277</v>
      </c>
      <c r="F7726">
        <v>20</v>
      </c>
      <c r="G7726">
        <v>2392142</v>
      </c>
      <c r="H7726" t="s">
        <v>26278</v>
      </c>
      <c r="J7726" s="54" t="s">
        <v>6052</v>
      </c>
      <c r="K7726" s="54">
        <v>0</v>
      </c>
      <c r="L7726" s="22" t="s">
        <v>104</v>
      </c>
      <c r="M7726" s="22" t="s">
        <v>37306</v>
      </c>
    </row>
    <row r="7727" spans="1:13" x14ac:dyDescent="0.75">
      <c r="A7727" t="s">
        <v>26279</v>
      </c>
      <c r="B7727" t="s">
        <v>7967</v>
      </c>
      <c r="C7727" t="s">
        <v>6093</v>
      </c>
      <c r="D7727" t="s">
        <v>6163</v>
      </c>
      <c r="E7727" t="s">
        <v>26280</v>
      </c>
      <c r="F7727">
        <v>34</v>
      </c>
      <c r="G7727">
        <v>2090545</v>
      </c>
      <c r="H7727" t="s">
        <v>26281</v>
      </c>
      <c r="J7727" s="54" t="s">
        <v>6052</v>
      </c>
      <c r="K7727" s="54">
        <v>0</v>
      </c>
      <c r="L7727" s="22" t="s">
        <v>104</v>
      </c>
      <c r="M7727" s="22" t="s">
        <v>37306</v>
      </c>
    </row>
    <row r="7728" spans="1:13" x14ac:dyDescent="0.75">
      <c r="A7728" t="s">
        <v>10825</v>
      </c>
      <c r="B7728" t="s">
        <v>7967</v>
      </c>
      <c r="C7728" t="s">
        <v>6093</v>
      </c>
      <c r="D7728" t="s">
        <v>6163</v>
      </c>
      <c r="E7728" t="s">
        <v>10826</v>
      </c>
      <c r="F7728">
        <v>23</v>
      </c>
      <c r="G7728">
        <v>2164807</v>
      </c>
      <c r="H7728" t="s">
        <v>10827</v>
      </c>
      <c r="J7728" s="54" t="s">
        <v>6052</v>
      </c>
      <c r="K7728" s="54">
        <v>0</v>
      </c>
      <c r="L7728" s="22" t="s">
        <v>104</v>
      </c>
      <c r="M7728" s="22" t="s">
        <v>37306</v>
      </c>
    </row>
    <row r="7729" spans="1:13" x14ac:dyDescent="0.75">
      <c r="A7729" t="s">
        <v>14320</v>
      </c>
      <c r="B7729" t="s">
        <v>7967</v>
      </c>
      <c r="C7729" t="s">
        <v>6093</v>
      </c>
      <c r="D7729" t="s">
        <v>6163</v>
      </c>
      <c r="E7729" t="s">
        <v>14321</v>
      </c>
      <c r="F7729">
        <v>28</v>
      </c>
      <c r="G7729">
        <v>2377669</v>
      </c>
      <c r="H7729" t="s">
        <v>14322</v>
      </c>
      <c r="J7729" s="54" t="s">
        <v>6052</v>
      </c>
      <c r="K7729" s="54">
        <v>0</v>
      </c>
      <c r="L7729" s="22" t="s">
        <v>104</v>
      </c>
      <c r="M7729" s="22" t="s">
        <v>37306</v>
      </c>
    </row>
    <row r="7730" spans="1:13" x14ac:dyDescent="0.75">
      <c r="A7730" t="s">
        <v>26183</v>
      </c>
      <c r="B7730" t="s">
        <v>7967</v>
      </c>
      <c r="C7730" t="s">
        <v>6093</v>
      </c>
      <c r="D7730" t="s">
        <v>6163</v>
      </c>
      <c r="E7730" t="s">
        <v>26184</v>
      </c>
      <c r="F7730">
        <v>33</v>
      </c>
      <c r="G7730">
        <v>2156728</v>
      </c>
      <c r="H7730" t="s">
        <v>26185</v>
      </c>
      <c r="J7730" s="54" t="s">
        <v>6052</v>
      </c>
      <c r="K7730" s="54">
        <v>0</v>
      </c>
      <c r="L7730" s="22" t="s">
        <v>104</v>
      </c>
      <c r="M7730" s="22" t="s">
        <v>37306</v>
      </c>
    </row>
    <row r="7731" spans="1:13" x14ac:dyDescent="0.75">
      <c r="A7731" t="s">
        <v>26198</v>
      </c>
      <c r="B7731" t="s">
        <v>7967</v>
      </c>
      <c r="C7731" t="s">
        <v>6093</v>
      </c>
      <c r="D7731" t="s">
        <v>6163</v>
      </c>
      <c r="E7731" t="s">
        <v>26199</v>
      </c>
      <c r="F7731">
        <v>33</v>
      </c>
      <c r="G7731">
        <v>2123229</v>
      </c>
      <c r="H7731" t="s">
        <v>26200</v>
      </c>
      <c r="J7731" s="54" t="s">
        <v>6052</v>
      </c>
      <c r="K7731" s="54">
        <v>0</v>
      </c>
      <c r="L7731" s="22" t="s">
        <v>104</v>
      </c>
      <c r="M7731" s="22" t="s">
        <v>37306</v>
      </c>
    </row>
    <row r="7732" spans="1:13" x14ac:dyDescent="0.75">
      <c r="A7732" t="s">
        <v>11347</v>
      </c>
      <c r="B7732" t="s">
        <v>6272</v>
      </c>
      <c r="C7732" t="s">
        <v>6093</v>
      </c>
      <c r="D7732" t="s">
        <v>6273</v>
      </c>
      <c r="E7732">
        <v>2908</v>
      </c>
      <c r="F7732">
        <v>2</v>
      </c>
      <c r="G7732">
        <v>2308610</v>
      </c>
      <c r="H7732" t="s">
        <v>11348</v>
      </c>
      <c r="J7732" s="54" t="s">
        <v>6052</v>
      </c>
      <c r="K7732" s="54">
        <v>0</v>
      </c>
      <c r="L7732" s="22" t="s">
        <v>104</v>
      </c>
      <c r="M7732" s="22" t="s">
        <v>37313</v>
      </c>
    </row>
    <row r="7733" spans="1:13" x14ac:dyDescent="0.75">
      <c r="A7733" t="s">
        <v>21561</v>
      </c>
      <c r="B7733" t="s">
        <v>6272</v>
      </c>
      <c r="C7733" t="s">
        <v>6093</v>
      </c>
      <c r="D7733" t="s">
        <v>6273</v>
      </c>
      <c r="E7733">
        <v>10556</v>
      </c>
      <c r="F7733">
        <v>11</v>
      </c>
      <c r="G7733">
        <v>2280325</v>
      </c>
      <c r="H7733" t="s">
        <v>21562</v>
      </c>
      <c r="J7733" s="54" t="s">
        <v>6052</v>
      </c>
      <c r="K7733" s="54">
        <v>0</v>
      </c>
      <c r="L7733" s="22" t="s">
        <v>104</v>
      </c>
      <c r="M7733" s="22" t="s">
        <v>37313</v>
      </c>
    </row>
    <row r="7734" spans="1:13" x14ac:dyDescent="0.75">
      <c r="A7734" t="s">
        <v>24369</v>
      </c>
      <c r="B7734" t="s">
        <v>6272</v>
      </c>
      <c r="C7734" t="s">
        <v>6093</v>
      </c>
      <c r="D7734" t="s">
        <v>6273</v>
      </c>
      <c r="E7734" t="s">
        <v>24370</v>
      </c>
      <c r="F7734">
        <v>62</v>
      </c>
      <c r="G7734">
        <v>2361760</v>
      </c>
      <c r="H7734" t="s">
        <v>24371</v>
      </c>
      <c r="J7734" s="54" t="s">
        <v>6052</v>
      </c>
      <c r="K7734" s="54">
        <v>0</v>
      </c>
      <c r="L7734" s="22" t="s">
        <v>104</v>
      </c>
      <c r="M7734" s="22" t="s">
        <v>37313</v>
      </c>
    </row>
    <row r="7735" spans="1:13" x14ac:dyDescent="0.75">
      <c r="A7735" t="s">
        <v>11255</v>
      </c>
      <c r="B7735" t="s">
        <v>6272</v>
      </c>
      <c r="C7735" t="s">
        <v>6093</v>
      </c>
      <c r="D7735" t="s">
        <v>6273</v>
      </c>
      <c r="E7735" t="s">
        <v>11256</v>
      </c>
      <c r="F7735">
        <v>68</v>
      </c>
      <c r="G7735">
        <v>2357426</v>
      </c>
      <c r="H7735" t="s">
        <v>11257</v>
      </c>
      <c r="J7735" s="54" t="s">
        <v>6052</v>
      </c>
      <c r="K7735" s="54">
        <v>0</v>
      </c>
      <c r="L7735" s="22" t="s">
        <v>104</v>
      </c>
      <c r="M7735" s="22" t="s">
        <v>37313</v>
      </c>
    </row>
    <row r="7736" spans="1:13" x14ac:dyDescent="0.75">
      <c r="A7736" t="s">
        <v>11288</v>
      </c>
      <c r="B7736" t="s">
        <v>6272</v>
      </c>
      <c r="C7736" t="s">
        <v>6093</v>
      </c>
      <c r="D7736" t="s">
        <v>6273</v>
      </c>
      <c r="E7736" t="s">
        <v>11289</v>
      </c>
      <c r="F7736">
        <v>31</v>
      </c>
      <c r="G7736">
        <v>2433951</v>
      </c>
      <c r="H7736" t="s">
        <v>11290</v>
      </c>
      <c r="J7736" s="54" t="s">
        <v>6052</v>
      </c>
      <c r="K7736" s="54">
        <v>0</v>
      </c>
      <c r="L7736" s="22" t="s">
        <v>104</v>
      </c>
      <c r="M7736" s="22" t="s">
        <v>37313</v>
      </c>
    </row>
    <row r="7737" spans="1:13" x14ac:dyDescent="0.75">
      <c r="A7737" t="s">
        <v>11309</v>
      </c>
      <c r="B7737" t="s">
        <v>6272</v>
      </c>
      <c r="C7737" t="s">
        <v>6093</v>
      </c>
      <c r="D7737" t="s">
        <v>6273</v>
      </c>
      <c r="E7737" t="s">
        <v>11310</v>
      </c>
      <c r="F7737">
        <v>61</v>
      </c>
      <c r="G7737">
        <v>2336029</v>
      </c>
      <c r="H7737" t="s">
        <v>11311</v>
      </c>
      <c r="J7737" s="54" t="s">
        <v>6052</v>
      </c>
      <c r="K7737" s="54">
        <v>0</v>
      </c>
      <c r="L7737" s="22" t="s">
        <v>104</v>
      </c>
      <c r="M7737" s="22" t="s">
        <v>37313</v>
      </c>
    </row>
    <row r="7738" spans="1:13" x14ac:dyDescent="0.75">
      <c r="A7738" t="s">
        <v>24366</v>
      </c>
      <c r="B7738" t="s">
        <v>6272</v>
      </c>
      <c r="C7738" t="s">
        <v>6093</v>
      </c>
      <c r="D7738" t="s">
        <v>6273</v>
      </c>
      <c r="E7738" t="s">
        <v>24367</v>
      </c>
      <c r="F7738">
        <v>19</v>
      </c>
      <c r="G7738">
        <v>2494351</v>
      </c>
      <c r="H7738" t="s">
        <v>24368</v>
      </c>
      <c r="J7738" s="54" t="s">
        <v>6052</v>
      </c>
      <c r="K7738" s="54">
        <v>0</v>
      </c>
      <c r="L7738" s="22" t="s">
        <v>104</v>
      </c>
      <c r="M7738" s="22" t="s">
        <v>37313</v>
      </c>
    </row>
    <row r="7739" spans="1:13" x14ac:dyDescent="0.75">
      <c r="A7739" t="s">
        <v>24360</v>
      </c>
      <c r="B7739" t="s">
        <v>6272</v>
      </c>
      <c r="C7739" t="s">
        <v>6093</v>
      </c>
      <c r="D7739" t="s">
        <v>6273</v>
      </c>
      <c r="E7739" t="s">
        <v>24361</v>
      </c>
      <c r="F7739">
        <v>16</v>
      </c>
      <c r="G7739">
        <v>2324343</v>
      </c>
      <c r="H7739" t="s">
        <v>24362</v>
      </c>
      <c r="J7739" s="54" t="s">
        <v>6052</v>
      </c>
      <c r="K7739" s="54">
        <v>0</v>
      </c>
      <c r="L7739" s="22" t="s">
        <v>104</v>
      </c>
      <c r="M7739" s="22" t="s">
        <v>37313</v>
      </c>
    </row>
    <row r="7740" spans="1:13" x14ac:dyDescent="0.75">
      <c r="A7740" t="s">
        <v>24363</v>
      </c>
      <c r="B7740" t="s">
        <v>6272</v>
      </c>
      <c r="C7740" t="s">
        <v>6093</v>
      </c>
      <c r="D7740" t="s">
        <v>6273</v>
      </c>
      <c r="E7740" t="s">
        <v>24364</v>
      </c>
      <c r="F7740">
        <v>7</v>
      </c>
      <c r="G7740">
        <v>2330966</v>
      </c>
      <c r="H7740" t="s">
        <v>24365</v>
      </c>
      <c r="J7740" s="54" t="s">
        <v>6052</v>
      </c>
      <c r="K7740" s="54">
        <v>0</v>
      </c>
      <c r="L7740" s="22" t="s">
        <v>104</v>
      </c>
      <c r="M7740" s="22" t="s">
        <v>37313</v>
      </c>
    </row>
    <row r="7741" spans="1:13" x14ac:dyDescent="0.75">
      <c r="A7741" t="s">
        <v>24357</v>
      </c>
      <c r="B7741" t="s">
        <v>6272</v>
      </c>
      <c r="C7741" t="s">
        <v>6093</v>
      </c>
      <c r="D7741" t="s">
        <v>6273</v>
      </c>
      <c r="E7741" t="s">
        <v>24358</v>
      </c>
      <c r="F7741">
        <v>28</v>
      </c>
      <c r="G7741">
        <v>2363397</v>
      </c>
      <c r="H7741" t="s">
        <v>24359</v>
      </c>
      <c r="J7741" s="54" t="s">
        <v>6052</v>
      </c>
      <c r="K7741" s="54">
        <v>0</v>
      </c>
      <c r="L7741" s="22" t="s">
        <v>104</v>
      </c>
      <c r="M7741" s="22" t="s">
        <v>37313</v>
      </c>
    </row>
    <row r="7742" spans="1:13" x14ac:dyDescent="0.75">
      <c r="A7742" t="s">
        <v>24351</v>
      </c>
      <c r="B7742" t="s">
        <v>6272</v>
      </c>
      <c r="C7742" t="s">
        <v>6093</v>
      </c>
      <c r="D7742" t="s">
        <v>6273</v>
      </c>
      <c r="E7742" t="s">
        <v>24352</v>
      </c>
      <c r="F7742">
        <v>13</v>
      </c>
      <c r="G7742">
        <v>2348921</v>
      </c>
      <c r="H7742" t="s">
        <v>24353</v>
      </c>
      <c r="J7742" s="54" t="s">
        <v>6052</v>
      </c>
      <c r="K7742" s="54">
        <v>0</v>
      </c>
      <c r="L7742" s="22" t="s">
        <v>104</v>
      </c>
      <c r="M7742" s="22" t="s">
        <v>37313</v>
      </c>
    </row>
    <row r="7743" spans="1:13" x14ac:dyDescent="0.75">
      <c r="A7743" t="s">
        <v>24354</v>
      </c>
      <c r="B7743" t="s">
        <v>6272</v>
      </c>
      <c r="C7743" t="s">
        <v>6093</v>
      </c>
      <c r="D7743" t="s">
        <v>6273</v>
      </c>
      <c r="E7743" t="s">
        <v>24355</v>
      </c>
      <c r="F7743">
        <v>12</v>
      </c>
      <c r="G7743">
        <v>2328986</v>
      </c>
      <c r="H7743" t="s">
        <v>24356</v>
      </c>
      <c r="J7743" s="54" t="s">
        <v>6052</v>
      </c>
      <c r="K7743" s="54">
        <v>0</v>
      </c>
      <c r="L7743" s="22" t="s">
        <v>104</v>
      </c>
      <c r="M7743" s="22" t="s">
        <v>37313</v>
      </c>
    </row>
    <row r="7744" spans="1:13" x14ac:dyDescent="0.75">
      <c r="A7744" t="s">
        <v>24345</v>
      </c>
      <c r="B7744" t="s">
        <v>6272</v>
      </c>
      <c r="C7744" t="s">
        <v>6093</v>
      </c>
      <c r="D7744" t="s">
        <v>6273</v>
      </c>
      <c r="E7744" t="s">
        <v>24346</v>
      </c>
      <c r="F7744">
        <v>16</v>
      </c>
      <c r="G7744">
        <v>2307542</v>
      </c>
      <c r="H7744" t="s">
        <v>24347</v>
      </c>
      <c r="J7744" s="54" t="s">
        <v>6052</v>
      </c>
      <c r="K7744" s="54">
        <v>0</v>
      </c>
      <c r="L7744" s="22" t="s">
        <v>104</v>
      </c>
      <c r="M7744" s="22" t="s">
        <v>37313</v>
      </c>
    </row>
    <row r="7745" spans="1:13" x14ac:dyDescent="0.75">
      <c r="A7745" t="s">
        <v>24348</v>
      </c>
      <c r="B7745" t="s">
        <v>6272</v>
      </c>
      <c r="C7745" t="s">
        <v>6093</v>
      </c>
      <c r="D7745" t="s">
        <v>6273</v>
      </c>
      <c r="E7745" t="s">
        <v>24349</v>
      </c>
      <c r="F7745">
        <v>10</v>
      </c>
      <c r="G7745">
        <v>2357343</v>
      </c>
      <c r="H7745" t="s">
        <v>24350</v>
      </c>
      <c r="J7745" s="54" t="s">
        <v>6052</v>
      </c>
      <c r="K7745" s="54">
        <v>0</v>
      </c>
      <c r="L7745" s="22" t="s">
        <v>104</v>
      </c>
      <c r="M7745" s="22" t="s">
        <v>37313</v>
      </c>
    </row>
    <row r="7746" spans="1:13" x14ac:dyDescent="0.75">
      <c r="A7746" t="s">
        <v>24686</v>
      </c>
      <c r="B7746" t="s">
        <v>6272</v>
      </c>
      <c r="C7746" t="s">
        <v>6093</v>
      </c>
      <c r="D7746" t="s">
        <v>6273</v>
      </c>
      <c r="E7746" t="s">
        <v>24687</v>
      </c>
      <c r="F7746">
        <v>15</v>
      </c>
      <c r="G7746">
        <v>2407738</v>
      </c>
      <c r="H7746" t="s">
        <v>24688</v>
      </c>
      <c r="J7746" s="54" t="s">
        <v>6052</v>
      </c>
      <c r="K7746" s="54">
        <v>0</v>
      </c>
      <c r="L7746" s="22" t="s">
        <v>104</v>
      </c>
      <c r="M7746" s="22" t="s">
        <v>37313</v>
      </c>
    </row>
    <row r="7747" spans="1:13" x14ac:dyDescent="0.75">
      <c r="A7747" t="s">
        <v>8757</v>
      </c>
      <c r="B7747" t="s">
        <v>6272</v>
      </c>
      <c r="C7747" t="s">
        <v>6093</v>
      </c>
      <c r="D7747" t="s">
        <v>6273</v>
      </c>
      <c r="E7747" t="s">
        <v>8758</v>
      </c>
      <c r="F7747">
        <v>19</v>
      </c>
      <c r="G7747">
        <v>2331493</v>
      </c>
      <c r="H7747" t="s">
        <v>8759</v>
      </c>
      <c r="J7747" s="54" t="s">
        <v>6052</v>
      </c>
      <c r="K7747" s="54">
        <v>0</v>
      </c>
      <c r="L7747" s="22" t="s">
        <v>104</v>
      </c>
      <c r="M7747" s="22" t="s">
        <v>37313</v>
      </c>
    </row>
    <row r="7748" spans="1:13" x14ac:dyDescent="0.75">
      <c r="A7748" t="s">
        <v>7862</v>
      </c>
      <c r="B7748" t="s">
        <v>6272</v>
      </c>
      <c r="C7748" t="s">
        <v>6093</v>
      </c>
      <c r="D7748" t="s">
        <v>6273</v>
      </c>
      <c r="E7748" t="s">
        <v>7863</v>
      </c>
      <c r="F7748">
        <v>34</v>
      </c>
      <c r="G7748">
        <v>2429348</v>
      </c>
      <c r="H7748" t="s">
        <v>7864</v>
      </c>
      <c r="J7748" s="54" t="s">
        <v>6052</v>
      </c>
      <c r="K7748" s="54">
        <v>0</v>
      </c>
      <c r="L7748" s="22" t="s">
        <v>104</v>
      </c>
      <c r="M7748" s="22" t="s">
        <v>37313</v>
      </c>
    </row>
    <row r="7749" spans="1:13" x14ac:dyDescent="0.75">
      <c r="A7749" t="s">
        <v>24342</v>
      </c>
      <c r="B7749" t="s">
        <v>6272</v>
      </c>
      <c r="C7749" t="s">
        <v>6093</v>
      </c>
      <c r="D7749" t="s">
        <v>6273</v>
      </c>
      <c r="E7749" t="s">
        <v>24343</v>
      </c>
      <c r="F7749">
        <v>11</v>
      </c>
      <c r="G7749">
        <v>2338498</v>
      </c>
      <c r="H7749" t="s">
        <v>24344</v>
      </c>
      <c r="J7749" s="54" t="s">
        <v>6052</v>
      </c>
      <c r="K7749" s="54">
        <v>0</v>
      </c>
      <c r="L7749" s="22" t="s">
        <v>104</v>
      </c>
      <c r="M7749" s="22" t="s">
        <v>37313</v>
      </c>
    </row>
    <row r="7750" spans="1:13" x14ac:dyDescent="0.75">
      <c r="A7750" t="s">
        <v>16325</v>
      </c>
      <c r="B7750" t="s">
        <v>6272</v>
      </c>
      <c r="C7750" t="s">
        <v>6093</v>
      </c>
      <c r="D7750" t="s">
        <v>6273</v>
      </c>
      <c r="E7750" t="s">
        <v>16326</v>
      </c>
      <c r="F7750">
        <v>20</v>
      </c>
      <c r="G7750">
        <v>2359323</v>
      </c>
      <c r="H7750" t="s">
        <v>16327</v>
      </c>
      <c r="J7750" s="54" t="s">
        <v>6052</v>
      </c>
      <c r="K7750" s="54">
        <v>0</v>
      </c>
      <c r="L7750" s="22" t="s">
        <v>104</v>
      </c>
      <c r="M7750" s="22" t="s">
        <v>37313</v>
      </c>
    </row>
    <row r="7751" spans="1:13" x14ac:dyDescent="0.75">
      <c r="A7751" t="s">
        <v>16328</v>
      </c>
      <c r="B7751" t="s">
        <v>6272</v>
      </c>
      <c r="C7751" t="s">
        <v>6093</v>
      </c>
      <c r="D7751" t="s">
        <v>6273</v>
      </c>
      <c r="E7751" t="s">
        <v>16329</v>
      </c>
      <c r="F7751">
        <v>17</v>
      </c>
      <c r="G7751">
        <v>2338342</v>
      </c>
      <c r="H7751" t="s">
        <v>16330</v>
      </c>
      <c r="J7751" s="54" t="s">
        <v>6052</v>
      </c>
      <c r="K7751" s="54">
        <v>0</v>
      </c>
      <c r="L7751" s="22" t="s">
        <v>104</v>
      </c>
      <c r="M7751" s="22" t="s">
        <v>37313</v>
      </c>
    </row>
    <row r="7752" spans="1:13" x14ac:dyDescent="0.75">
      <c r="A7752" t="s">
        <v>16298</v>
      </c>
      <c r="B7752" t="s">
        <v>6272</v>
      </c>
      <c r="C7752" t="s">
        <v>6093</v>
      </c>
      <c r="D7752" t="s">
        <v>6273</v>
      </c>
      <c r="E7752" t="s">
        <v>16299</v>
      </c>
      <c r="F7752">
        <v>24</v>
      </c>
      <c r="G7752">
        <v>2303887</v>
      </c>
      <c r="H7752" t="s">
        <v>16300</v>
      </c>
      <c r="J7752" s="54" t="s">
        <v>6052</v>
      </c>
      <c r="K7752" s="54">
        <v>0</v>
      </c>
      <c r="L7752" s="22" t="s">
        <v>104</v>
      </c>
      <c r="M7752" s="22" t="s">
        <v>37313</v>
      </c>
    </row>
    <row r="7753" spans="1:13" x14ac:dyDescent="0.75">
      <c r="A7753" t="s">
        <v>16265</v>
      </c>
      <c r="B7753" t="s">
        <v>6272</v>
      </c>
      <c r="C7753" t="s">
        <v>6093</v>
      </c>
      <c r="D7753" t="s">
        <v>6273</v>
      </c>
      <c r="E7753" t="s">
        <v>16266</v>
      </c>
      <c r="F7753">
        <v>21</v>
      </c>
      <c r="G7753">
        <v>2368126</v>
      </c>
      <c r="H7753" t="s">
        <v>16267</v>
      </c>
      <c r="J7753" s="54" t="s">
        <v>6052</v>
      </c>
      <c r="K7753" s="54">
        <v>0</v>
      </c>
      <c r="L7753" s="22" t="s">
        <v>104</v>
      </c>
      <c r="M7753" s="22" t="s">
        <v>37313</v>
      </c>
    </row>
    <row r="7754" spans="1:13" x14ac:dyDescent="0.75">
      <c r="A7754" t="s">
        <v>16262</v>
      </c>
      <c r="B7754" t="s">
        <v>6272</v>
      </c>
      <c r="C7754" t="s">
        <v>6093</v>
      </c>
      <c r="D7754" t="s">
        <v>6273</v>
      </c>
      <c r="E7754" t="s">
        <v>16263</v>
      </c>
      <c r="F7754">
        <v>37</v>
      </c>
      <c r="G7754">
        <v>2392588</v>
      </c>
      <c r="H7754" t="s">
        <v>16264</v>
      </c>
      <c r="J7754" s="54" t="s">
        <v>6052</v>
      </c>
      <c r="K7754" s="54">
        <v>0</v>
      </c>
      <c r="L7754" s="22" t="s">
        <v>104</v>
      </c>
      <c r="M7754" s="22" t="s">
        <v>37313</v>
      </c>
    </row>
    <row r="7755" spans="1:13" x14ac:dyDescent="0.75">
      <c r="A7755" t="s">
        <v>16145</v>
      </c>
      <c r="B7755" t="s">
        <v>6272</v>
      </c>
      <c r="C7755" t="s">
        <v>6093</v>
      </c>
      <c r="D7755" t="s">
        <v>6273</v>
      </c>
      <c r="E7755" t="s">
        <v>16146</v>
      </c>
      <c r="F7755">
        <v>39</v>
      </c>
      <c r="G7755">
        <v>2433726</v>
      </c>
      <c r="H7755" t="s">
        <v>16147</v>
      </c>
      <c r="J7755" s="54" t="s">
        <v>6052</v>
      </c>
      <c r="K7755" s="54">
        <v>0</v>
      </c>
      <c r="L7755" s="22" t="s">
        <v>104</v>
      </c>
      <c r="M7755" s="22" t="s">
        <v>37313</v>
      </c>
    </row>
    <row r="7756" spans="1:13" x14ac:dyDescent="0.75">
      <c r="A7756" t="s">
        <v>16142</v>
      </c>
      <c r="B7756" t="s">
        <v>6272</v>
      </c>
      <c r="C7756" t="s">
        <v>6093</v>
      </c>
      <c r="D7756" t="s">
        <v>6273</v>
      </c>
      <c r="E7756" t="s">
        <v>16143</v>
      </c>
      <c r="F7756">
        <v>37</v>
      </c>
      <c r="G7756">
        <v>2337239</v>
      </c>
      <c r="H7756" t="s">
        <v>16144</v>
      </c>
      <c r="J7756" s="54" t="s">
        <v>6052</v>
      </c>
      <c r="K7756" s="54">
        <v>0</v>
      </c>
      <c r="L7756" s="22" t="s">
        <v>104</v>
      </c>
      <c r="M7756" s="22" t="s">
        <v>37313</v>
      </c>
    </row>
    <row r="7757" spans="1:13" x14ac:dyDescent="0.75">
      <c r="A7757" t="s">
        <v>16139</v>
      </c>
      <c r="B7757" t="s">
        <v>6272</v>
      </c>
      <c r="C7757" t="s">
        <v>6093</v>
      </c>
      <c r="D7757" t="s">
        <v>6273</v>
      </c>
      <c r="E7757" t="s">
        <v>16140</v>
      </c>
      <c r="F7757">
        <v>27</v>
      </c>
      <c r="G7757">
        <v>2375484</v>
      </c>
      <c r="H7757" t="s">
        <v>16141</v>
      </c>
      <c r="J7757" s="54" t="s">
        <v>6052</v>
      </c>
      <c r="K7757" s="54">
        <v>0</v>
      </c>
      <c r="L7757" s="22" t="s">
        <v>104</v>
      </c>
      <c r="M7757" s="22" t="s">
        <v>37313</v>
      </c>
    </row>
    <row r="7758" spans="1:13" x14ac:dyDescent="0.75">
      <c r="A7758" t="s">
        <v>16259</v>
      </c>
      <c r="B7758" t="s">
        <v>6272</v>
      </c>
      <c r="C7758" t="s">
        <v>6093</v>
      </c>
      <c r="D7758" t="s">
        <v>6273</v>
      </c>
      <c r="E7758" t="s">
        <v>16260</v>
      </c>
      <c r="F7758">
        <v>23</v>
      </c>
      <c r="G7758">
        <v>2382327</v>
      </c>
      <c r="H7758" t="s">
        <v>16261</v>
      </c>
      <c r="J7758" s="54" t="s">
        <v>6052</v>
      </c>
      <c r="K7758" s="54">
        <v>0</v>
      </c>
      <c r="L7758" s="22" t="s">
        <v>104</v>
      </c>
      <c r="M7758" s="22" t="s">
        <v>37313</v>
      </c>
    </row>
    <row r="7759" spans="1:13" x14ac:dyDescent="0.75">
      <c r="A7759" t="s">
        <v>16130</v>
      </c>
      <c r="B7759" t="s">
        <v>6272</v>
      </c>
      <c r="C7759" t="s">
        <v>6093</v>
      </c>
      <c r="D7759" t="s">
        <v>6273</v>
      </c>
      <c r="E7759" t="s">
        <v>16131</v>
      </c>
      <c r="F7759">
        <v>15</v>
      </c>
      <c r="G7759">
        <v>2313364</v>
      </c>
      <c r="H7759" t="s">
        <v>16132</v>
      </c>
      <c r="J7759" s="54" t="s">
        <v>6052</v>
      </c>
      <c r="K7759" s="54">
        <v>0</v>
      </c>
      <c r="L7759" s="22" t="s">
        <v>104</v>
      </c>
      <c r="M7759" s="22" t="s">
        <v>37313</v>
      </c>
    </row>
    <row r="7760" spans="1:13" x14ac:dyDescent="0.75">
      <c r="A7760" t="s">
        <v>16136</v>
      </c>
      <c r="B7760" t="s">
        <v>6272</v>
      </c>
      <c r="C7760" t="s">
        <v>6093</v>
      </c>
      <c r="D7760" t="s">
        <v>6273</v>
      </c>
      <c r="E7760" t="s">
        <v>16137</v>
      </c>
      <c r="F7760">
        <v>27</v>
      </c>
      <c r="G7760">
        <v>2299763</v>
      </c>
      <c r="H7760" t="s">
        <v>16138</v>
      </c>
      <c r="J7760" s="54" t="s">
        <v>6052</v>
      </c>
      <c r="K7760" s="54">
        <v>0</v>
      </c>
      <c r="L7760" s="22" t="s">
        <v>104</v>
      </c>
      <c r="M7760" s="22" t="s">
        <v>37313</v>
      </c>
    </row>
    <row r="7761" spans="1:13" x14ac:dyDescent="0.75">
      <c r="A7761" t="s">
        <v>16133</v>
      </c>
      <c r="B7761" t="s">
        <v>6272</v>
      </c>
      <c r="C7761" t="s">
        <v>6093</v>
      </c>
      <c r="D7761" t="s">
        <v>6273</v>
      </c>
      <c r="E7761" t="s">
        <v>16134</v>
      </c>
      <c r="F7761">
        <v>21</v>
      </c>
      <c r="G7761">
        <v>2380964</v>
      </c>
      <c r="H7761" t="s">
        <v>16135</v>
      </c>
      <c r="J7761" s="54" t="s">
        <v>6052</v>
      </c>
      <c r="K7761" s="54">
        <v>0</v>
      </c>
      <c r="L7761" s="22" t="s">
        <v>104</v>
      </c>
      <c r="M7761" s="22" t="s">
        <v>37313</v>
      </c>
    </row>
    <row r="7762" spans="1:13" x14ac:dyDescent="0.75">
      <c r="A7762" t="s">
        <v>16253</v>
      </c>
      <c r="B7762" t="s">
        <v>6272</v>
      </c>
      <c r="C7762" t="s">
        <v>6093</v>
      </c>
      <c r="D7762" t="s">
        <v>6273</v>
      </c>
      <c r="E7762" t="s">
        <v>16254</v>
      </c>
      <c r="F7762">
        <v>67</v>
      </c>
      <c r="G7762">
        <v>2292169</v>
      </c>
      <c r="H7762" t="s">
        <v>16255</v>
      </c>
      <c r="J7762" s="54" t="s">
        <v>6052</v>
      </c>
      <c r="K7762" s="54">
        <v>0</v>
      </c>
      <c r="L7762" s="22" t="s">
        <v>104</v>
      </c>
      <c r="M7762" s="22" t="s">
        <v>37313</v>
      </c>
    </row>
    <row r="7763" spans="1:13" x14ac:dyDescent="0.75">
      <c r="A7763" t="s">
        <v>16157</v>
      </c>
      <c r="B7763" t="s">
        <v>6272</v>
      </c>
      <c r="C7763" t="s">
        <v>6093</v>
      </c>
      <c r="D7763" t="s">
        <v>6273</v>
      </c>
      <c r="E7763" t="s">
        <v>16158</v>
      </c>
      <c r="F7763">
        <v>27</v>
      </c>
      <c r="G7763">
        <v>2386893</v>
      </c>
      <c r="H7763" t="s">
        <v>16159</v>
      </c>
      <c r="J7763" s="54" t="s">
        <v>6052</v>
      </c>
      <c r="K7763" s="54">
        <v>0</v>
      </c>
      <c r="L7763" s="22" t="s">
        <v>104</v>
      </c>
      <c r="M7763" s="22" t="s">
        <v>37313</v>
      </c>
    </row>
    <row r="7764" spans="1:13" x14ac:dyDescent="0.75">
      <c r="A7764" t="s">
        <v>16154</v>
      </c>
      <c r="B7764" t="s">
        <v>6272</v>
      </c>
      <c r="C7764" t="s">
        <v>6093</v>
      </c>
      <c r="D7764" t="s">
        <v>6273</v>
      </c>
      <c r="E7764" t="s">
        <v>16155</v>
      </c>
      <c r="F7764">
        <v>31</v>
      </c>
      <c r="G7764">
        <v>2322617</v>
      </c>
      <c r="H7764" t="s">
        <v>16156</v>
      </c>
      <c r="J7764" s="54" t="s">
        <v>6052</v>
      </c>
      <c r="K7764" s="54">
        <v>0</v>
      </c>
      <c r="L7764" s="22" t="s">
        <v>104</v>
      </c>
      <c r="M7764" s="22" t="s">
        <v>37313</v>
      </c>
    </row>
    <row r="7765" spans="1:13" x14ac:dyDescent="0.75">
      <c r="A7765" t="s">
        <v>16166</v>
      </c>
      <c r="B7765" t="s">
        <v>6272</v>
      </c>
      <c r="C7765" t="s">
        <v>6093</v>
      </c>
      <c r="D7765" t="s">
        <v>6273</v>
      </c>
      <c r="E7765" t="s">
        <v>16167</v>
      </c>
      <c r="F7765">
        <v>26</v>
      </c>
      <c r="G7765">
        <v>2471942</v>
      </c>
      <c r="H7765" t="s">
        <v>16168</v>
      </c>
      <c r="J7765" s="54" t="s">
        <v>6052</v>
      </c>
      <c r="K7765" s="54">
        <v>0</v>
      </c>
      <c r="L7765" s="22" t="s">
        <v>104</v>
      </c>
      <c r="M7765" s="22" t="s">
        <v>37313</v>
      </c>
    </row>
    <row r="7766" spans="1:13" x14ac:dyDescent="0.75">
      <c r="A7766" t="s">
        <v>16268</v>
      </c>
      <c r="B7766" t="s">
        <v>6272</v>
      </c>
      <c r="C7766" t="s">
        <v>6093</v>
      </c>
      <c r="D7766" t="s">
        <v>6273</v>
      </c>
      <c r="E7766" t="s">
        <v>16269</v>
      </c>
      <c r="F7766">
        <v>21</v>
      </c>
      <c r="G7766">
        <v>2470878</v>
      </c>
      <c r="H7766" t="s">
        <v>16270</v>
      </c>
      <c r="J7766" s="54" t="s">
        <v>6052</v>
      </c>
      <c r="K7766" s="54">
        <v>0</v>
      </c>
      <c r="L7766" s="22" t="s">
        <v>104</v>
      </c>
      <c r="M7766" s="22" t="s">
        <v>37313</v>
      </c>
    </row>
    <row r="7767" spans="1:13" x14ac:dyDescent="0.75">
      <c r="A7767" t="s">
        <v>16148</v>
      </c>
      <c r="B7767" t="s">
        <v>6272</v>
      </c>
      <c r="C7767" t="s">
        <v>6093</v>
      </c>
      <c r="D7767" t="s">
        <v>6273</v>
      </c>
      <c r="E7767" t="s">
        <v>16149</v>
      </c>
      <c r="F7767">
        <v>14</v>
      </c>
      <c r="G7767">
        <v>2379524</v>
      </c>
      <c r="H7767" t="s">
        <v>16150</v>
      </c>
      <c r="J7767" s="54" t="s">
        <v>6052</v>
      </c>
      <c r="K7767" s="54">
        <v>0</v>
      </c>
      <c r="L7767" s="22" t="s">
        <v>104</v>
      </c>
      <c r="M7767" s="22" t="s">
        <v>37313</v>
      </c>
    </row>
    <row r="7768" spans="1:13" x14ac:dyDescent="0.75">
      <c r="A7768" t="s">
        <v>16151</v>
      </c>
      <c r="B7768" t="s">
        <v>6272</v>
      </c>
      <c r="C7768" t="s">
        <v>6093</v>
      </c>
      <c r="D7768" t="s">
        <v>6273</v>
      </c>
      <c r="E7768" t="s">
        <v>16152</v>
      </c>
      <c r="F7768">
        <v>83</v>
      </c>
      <c r="G7768">
        <v>2363083</v>
      </c>
      <c r="H7768" t="s">
        <v>16153</v>
      </c>
      <c r="J7768" s="54" t="s">
        <v>6052</v>
      </c>
      <c r="K7768" s="54">
        <v>0</v>
      </c>
      <c r="L7768" s="22" t="s">
        <v>104</v>
      </c>
      <c r="M7768" s="22" t="s">
        <v>37313</v>
      </c>
    </row>
    <row r="7769" spans="1:13" x14ac:dyDescent="0.75">
      <c r="A7769" t="s">
        <v>21825</v>
      </c>
      <c r="B7769" t="s">
        <v>6272</v>
      </c>
      <c r="C7769" t="s">
        <v>6093</v>
      </c>
      <c r="D7769" t="s">
        <v>6273</v>
      </c>
      <c r="E7769" t="s">
        <v>21826</v>
      </c>
      <c r="F7769">
        <v>20</v>
      </c>
      <c r="G7769">
        <v>2355110</v>
      </c>
      <c r="H7769" t="s">
        <v>21827</v>
      </c>
      <c r="J7769" s="54" t="s">
        <v>6052</v>
      </c>
      <c r="K7769" s="54">
        <v>0</v>
      </c>
      <c r="L7769" s="22" t="s">
        <v>104</v>
      </c>
      <c r="M7769" s="22" t="s">
        <v>37313</v>
      </c>
    </row>
    <row r="7770" spans="1:13" x14ac:dyDescent="0.75">
      <c r="A7770" t="s">
        <v>10090</v>
      </c>
      <c r="B7770" t="s">
        <v>6272</v>
      </c>
      <c r="C7770" t="s">
        <v>6093</v>
      </c>
      <c r="D7770" t="s">
        <v>6273</v>
      </c>
      <c r="E7770" t="s">
        <v>10091</v>
      </c>
      <c r="F7770">
        <v>9</v>
      </c>
      <c r="G7770">
        <v>2507043</v>
      </c>
      <c r="H7770" t="s">
        <v>10092</v>
      </c>
      <c r="J7770" s="54" t="s">
        <v>6052</v>
      </c>
      <c r="K7770" s="54">
        <v>0</v>
      </c>
      <c r="L7770" s="22" t="s">
        <v>104</v>
      </c>
      <c r="M7770" s="22" t="s">
        <v>37313</v>
      </c>
    </row>
    <row r="7771" spans="1:13" x14ac:dyDescent="0.75">
      <c r="A7771" t="s">
        <v>18716</v>
      </c>
      <c r="B7771" t="s">
        <v>6272</v>
      </c>
      <c r="C7771" t="s">
        <v>6093</v>
      </c>
      <c r="D7771" t="s">
        <v>6273</v>
      </c>
      <c r="E7771" t="s">
        <v>18717</v>
      </c>
      <c r="F7771">
        <v>1</v>
      </c>
      <c r="G7771">
        <v>2349491</v>
      </c>
      <c r="H7771" t="s">
        <v>18718</v>
      </c>
      <c r="J7771" s="54" t="s">
        <v>6052</v>
      </c>
      <c r="K7771" s="54">
        <v>0</v>
      </c>
      <c r="L7771" s="22" t="s">
        <v>104</v>
      </c>
      <c r="M7771" s="22" t="s">
        <v>37313</v>
      </c>
    </row>
    <row r="7772" spans="1:13" x14ac:dyDescent="0.75">
      <c r="A7772" t="s">
        <v>18719</v>
      </c>
      <c r="B7772" t="s">
        <v>6272</v>
      </c>
      <c r="C7772" t="s">
        <v>6093</v>
      </c>
      <c r="D7772" t="s">
        <v>6273</v>
      </c>
      <c r="E7772" t="s">
        <v>18720</v>
      </c>
      <c r="F7772">
        <v>1</v>
      </c>
      <c r="G7772">
        <v>2342565</v>
      </c>
      <c r="H7772" t="s">
        <v>18721</v>
      </c>
      <c r="J7772" s="54" t="s">
        <v>6052</v>
      </c>
      <c r="K7772" s="54">
        <v>0</v>
      </c>
      <c r="L7772" s="22" t="s">
        <v>104</v>
      </c>
      <c r="M7772" s="22" t="s">
        <v>37313</v>
      </c>
    </row>
    <row r="7773" spans="1:13" x14ac:dyDescent="0.75">
      <c r="A7773" t="s">
        <v>21834</v>
      </c>
      <c r="B7773" t="s">
        <v>6272</v>
      </c>
      <c r="C7773" t="s">
        <v>6093</v>
      </c>
      <c r="D7773" t="s">
        <v>6273</v>
      </c>
      <c r="E7773" t="s">
        <v>21835</v>
      </c>
      <c r="F7773">
        <v>43</v>
      </c>
      <c r="G7773">
        <v>2486308</v>
      </c>
      <c r="H7773" t="s">
        <v>21836</v>
      </c>
      <c r="J7773" s="54" t="s">
        <v>6052</v>
      </c>
      <c r="K7773" s="54">
        <v>0</v>
      </c>
      <c r="L7773" s="22" t="s">
        <v>104</v>
      </c>
      <c r="M7773" s="22" t="s">
        <v>37313</v>
      </c>
    </row>
    <row r="7774" spans="1:13" x14ac:dyDescent="0.75">
      <c r="A7774" t="s">
        <v>18680</v>
      </c>
      <c r="B7774" t="s">
        <v>6272</v>
      </c>
      <c r="C7774" t="s">
        <v>6093</v>
      </c>
      <c r="D7774" t="s">
        <v>6273</v>
      </c>
      <c r="E7774" t="s">
        <v>18681</v>
      </c>
      <c r="F7774">
        <v>1</v>
      </c>
      <c r="G7774">
        <v>2358846</v>
      </c>
      <c r="H7774" t="s">
        <v>18682</v>
      </c>
      <c r="J7774" s="54" t="s">
        <v>6052</v>
      </c>
      <c r="K7774" s="54">
        <v>0</v>
      </c>
      <c r="L7774" s="22" t="s">
        <v>104</v>
      </c>
      <c r="M7774" s="22" t="s">
        <v>37313</v>
      </c>
    </row>
    <row r="7775" spans="1:13" x14ac:dyDescent="0.75">
      <c r="A7775" t="s">
        <v>12048</v>
      </c>
      <c r="B7775" t="s">
        <v>6272</v>
      </c>
      <c r="C7775" t="s">
        <v>6093</v>
      </c>
      <c r="D7775" t="s">
        <v>6273</v>
      </c>
      <c r="E7775" t="s">
        <v>12049</v>
      </c>
      <c r="F7775">
        <v>63</v>
      </c>
      <c r="G7775">
        <v>2312671</v>
      </c>
      <c r="H7775" t="s">
        <v>12050</v>
      </c>
      <c r="J7775" s="54" t="s">
        <v>6052</v>
      </c>
      <c r="K7775" s="54">
        <v>0</v>
      </c>
      <c r="L7775" s="22" t="s">
        <v>104</v>
      </c>
      <c r="M7775" s="22" t="s">
        <v>37313</v>
      </c>
    </row>
    <row r="7776" spans="1:13" x14ac:dyDescent="0.75">
      <c r="A7776" t="s">
        <v>12051</v>
      </c>
      <c r="B7776" t="s">
        <v>6272</v>
      </c>
      <c r="C7776" t="s">
        <v>6093</v>
      </c>
      <c r="D7776" t="s">
        <v>6273</v>
      </c>
      <c r="E7776" t="s">
        <v>12052</v>
      </c>
      <c r="F7776">
        <v>20</v>
      </c>
      <c r="G7776">
        <v>2429261</v>
      </c>
      <c r="H7776" t="s">
        <v>12053</v>
      </c>
      <c r="J7776" s="54" t="s">
        <v>6052</v>
      </c>
      <c r="K7776" s="54">
        <v>0</v>
      </c>
      <c r="L7776" s="22" t="s">
        <v>104</v>
      </c>
      <c r="M7776" s="22" t="s">
        <v>37313</v>
      </c>
    </row>
    <row r="7777" spans="1:13" x14ac:dyDescent="0.75">
      <c r="A7777" t="s">
        <v>26618</v>
      </c>
      <c r="B7777" t="s">
        <v>6272</v>
      </c>
      <c r="C7777" t="s">
        <v>6093</v>
      </c>
      <c r="D7777" t="s">
        <v>6273</v>
      </c>
      <c r="E7777" t="s">
        <v>26619</v>
      </c>
      <c r="F7777">
        <v>50</v>
      </c>
      <c r="G7777">
        <v>2349329</v>
      </c>
      <c r="H7777" t="s">
        <v>26620</v>
      </c>
      <c r="J7777" s="54" t="s">
        <v>6052</v>
      </c>
      <c r="K7777" s="54">
        <v>0</v>
      </c>
      <c r="L7777" s="22" t="s">
        <v>104</v>
      </c>
      <c r="M7777" s="22" t="s">
        <v>37313</v>
      </c>
    </row>
    <row r="7778" spans="1:13" x14ac:dyDescent="0.75">
      <c r="A7778" t="s">
        <v>24339</v>
      </c>
      <c r="B7778" t="s">
        <v>6272</v>
      </c>
      <c r="C7778" t="s">
        <v>6093</v>
      </c>
      <c r="D7778" t="s">
        <v>6273</v>
      </c>
      <c r="E7778" t="s">
        <v>24340</v>
      </c>
      <c r="F7778">
        <v>15</v>
      </c>
      <c r="G7778">
        <v>2415537</v>
      </c>
      <c r="H7778" t="s">
        <v>24341</v>
      </c>
      <c r="J7778" s="54" t="s">
        <v>6052</v>
      </c>
      <c r="K7778" s="54">
        <v>0</v>
      </c>
      <c r="L7778" s="22" t="s">
        <v>104</v>
      </c>
      <c r="M7778" s="22" t="s">
        <v>37313</v>
      </c>
    </row>
    <row r="7779" spans="1:13" x14ac:dyDescent="0.75">
      <c r="A7779" t="s">
        <v>16334</v>
      </c>
      <c r="B7779" t="s">
        <v>6272</v>
      </c>
      <c r="C7779" t="s">
        <v>6093</v>
      </c>
      <c r="D7779" t="s">
        <v>6273</v>
      </c>
      <c r="E7779" t="s">
        <v>16335</v>
      </c>
      <c r="F7779">
        <v>28</v>
      </c>
      <c r="G7779">
        <v>2362223</v>
      </c>
      <c r="H7779" t="s">
        <v>16336</v>
      </c>
      <c r="J7779" s="54" t="s">
        <v>6052</v>
      </c>
      <c r="K7779" s="54">
        <v>0</v>
      </c>
      <c r="L7779" s="22" t="s">
        <v>104</v>
      </c>
      <c r="M7779" s="22" t="s">
        <v>37313</v>
      </c>
    </row>
    <row r="7780" spans="1:13" x14ac:dyDescent="0.75">
      <c r="A7780" t="s">
        <v>16331</v>
      </c>
      <c r="B7780" t="s">
        <v>6272</v>
      </c>
      <c r="C7780" t="s">
        <v>6093</v>
      </c>
      <c r="D7780" t="s">
        <v>6273</v>
      </c>
      <c r="E7780" t="s">
        <v>16332</v>
      </c>
      <c r="F7780">
        <v>76</v>
      </c>
      <c r="G7780">
        <v>2366195</v>
      </c>
      <c r="H7780" t="s">
        <v>16333</v>
      </c>
      <c r="J7780" s="54" t="s">
        <v>6052</v>
      </c>
      <c r="K7780" s="54">
        <v>0</v>
      </c>
      <c r="L7780" s="22" t="s">
        <v>104</v>
      </c>
      <c r="M7780" s="22" t="s">
        <v>37313</v>
      </c>
    </row>
    <row r="7781" spans="1:13" x14ac:dyDescent="0.75">
      <c r="A7781" t="s">
        <v>16337</v>
      </c>
      <c r="B7781" t="s">
        <v>6272</v>
      </c>
      <c r="C7781" t="s">
        <v>6093</v>
      </c>
      <c r="D7781" t="s">
        <v>6273</v>
      </c>
      <c r="E7781" t="s">
        <v>16338</v>
      </c>
      <c r="F7781">
        <v>42</v>
      </c>
      <c r="G7781">
        <v>2345633</v>
      </c>
      <c r="H7781" t="s">
        <v>16339</v>
      </c>
      <c r="J7781" s="54" t="s">
        <v>6052</v>
      </c>
      <c r="K7781" s="54">
        <v>0</v>
      </c>
      <c r="L7781" s="22" t="s">
        <v>104</v>
      </c>
      <c r="M7781" s="22" t="s">
        <v>37313</v>
      </c>
    </row>
    <row r="7782" spans="1:13" x14ac:dyDescent="0.75">
      <c r="A7782" t="s">
        <v>21563</v>
      </c>
      <c r="B7782" t="s">
        <v>6272</v>
      </c>
      <c r="C7782" t="s">
        <v>6093</v>
      </c>
      <c r="D7782" t="s">
        <v>6273</v>
      </c>
      <c r="E7782" t="s">
        <v>21564</v>
      </c>
      <c r="F7782">
        <v>26</v>
      </c>
      <c r="G7782">
        <v>2424644</v>
      </c>
      <c r="H7782" t="s">
        <v>21565</v>
      </c>
      <c r="J7782" s="54" t="s">
        <v>6052</v>
      </c>
      <c r="K7782" s="54">
        <v>0</v>
      </c>
      <c r="L7782" s="22" t="s">
        <v>104</v>
      </c>
      <c r="M7782" s="22" t="s">
        <v>37313</v>
      </c>
    </row>
    <row r="7783" spans="1:13" x14ac:dyDescent="0.75">
      <c r="A7783" t="s">
        <v>21549</v>
      </c>
      <c r="B7783" t="s">
        <v>6272</v>
      </c>
      <c r="C7783" t="s">
        <v>6093</v>
      </c>
      <c r="D7783" t="s">
        <v>6273</v>
      </c>
      <c r="E7783" t="s">
        <v>21550</v>
      </c>
      <c r="F7783">
        <v>31</v>
      </c>
      <c r="G7783">
        <v>2431618</v>
      </c>
      <c r="H7783" t="s">
        <v>21551</v>
      </c>
      <c r="J7783" s="54" t="s">
        <v>6052</v>
      </c>
      <c r="K7783" s="54">
        <v>0</v>
      </c>
      <c r="L7783" s="22" t="s">
        <v>104</v>
      </c>
      <c r="M7783" s="22" t="s">
        <v>37313</v>
      </c>
    </row>
    <row r="7784" spans="1:13" x14ac:dyDescent="0.75">
      <c r="A7784" t="s">
        <v>21552</v>
      </c>
      <c r="B7784" t="s">
        <v>6272</v>
      </c>
      <c r="C7784" t="s">
        <v>6093</v>
      </c>
      <c r="D7784" t="s">
        <v>6273</v>
      </c>
      <c r="E7784" t="s">
        <v>21553</v>
      </c>
      <c r="F7784">
        <v>14</v>
      </c>
      <c r="G7784">
        <v>2348989</v>
      </c>
      <c r="H7784" t="s">
        <v>21554</v>
      </c>
      <c r="J7784" s="54" t="s">
        <v>6052</v>
      </c>
      <c r="K7784" s="54">
        <v>0</v>
      </c>
      <c r="L7784" s="22" t="s">
        <v>104</v>
      </c>
      <c r="M7784" s="22" t="s">
        <v>37313</v>
      </c>
    </row>
    <row r="7785" spans="1:13" x14ac:dyDescent="0.75">
      <c r="A7785" t="s">
        <v>21555</v>
      </c>
      <c r="B7785" t="s">
        <v>6272</v>
      </c>
      <c r="C7785" t="s">
        <v>6093</v>
      </c>
      <c r="D7785" t="s">
        <v>6273</v>
      </c>
      <c r="E7785" t="s">
        <v>21556</v>
      </c>
      <c r="F7785">
        <v>31</v>
      </c>
      <c r="G7785">
        <v>2312052</v>
      </c>
      <c r="H7785" t="s">
        <v>21557</v>
      </c>
      <c r="J7785" s="54" t="s">
        <v>6052</v>
      </c>
      <c r="K7785" s="54">
        <v>0</v>
      </c>
      <c r="L7785" s="22" t="s">
        <v>104</v>
      </c>
      <c r="M7785" s="22" t="s">
        <v>37313</v>
      </c>
    </row>
    <row r="7786" spans="1:13" x14ac:dyDescent="0.75">
      <c r="A7786" t="s">
        <v>21546</v>
      </c>
      <c r="B7786" t="s">
        <v>6272</v>
      </c>
      <c r="C7786" t="s">
        <v>6093</v>
      </c>
      <c r="D7786" t="s">
        <v>6273</v>
      </c>
      <c r="E7786" t="s">
        <v>21547</v>
      </c>
      <c r="F7786">
        <v>24</v>
      </c>
      <c r="G7786">
        <v>2401827</v>
      </c>
      <c r="H7786" t="s">
        <v>21548</v>
      </c>
      <c r="J7786" s="54" t="s">
        <v>6052</v>
      </c>
      <c r="K7786" s="54">
        <v>0</v>
      </c>
      <c r="L7786" s="22" t="s">
        <v>104</v>
      </c>
      <c r="M7786" s="22" t="s">
        <v>37313</v>
      </c>
    </row>
    <row r="7787" spans="1:13" x14ac:dyDescent="0.75">
      <c r="A7787" t="s">
        <v>21543</v>
      </c>
      <c r="B7787" t="s">
        <v>6272</v>
      </c>
      <c r="C7787" t="s">
        <v>6093</v>
      </c>
      <c r="D7787" t="s">
        <v>6273</v>
      </c>
      <c r="E7787" t="s">
        <v>21544</v>
      </c>
      <c r="F7787">
        <v>13</v>
      </c>
      <c r="G7787">
        <v>2394702</v>
      </c>
      <c r="H7787" t="s">
        <v>21545</v>
      </c>
      <c r="J7787" s="54" t="s">
        <v>6052</v>
      </c>
      <c r="K7787" s="54">
        <v>0</v>
      </c>
      <c r="L7787" s="22" t="s">
        <v>104</v>
      </c>
      <c r="M7787" s="22" t="s">
        <v>37313</v>
      </c>
    </row>
    <row r="7788" spans="1:13" x14ac:dyDescent="0.75">
      <c r="A7788" t="s">
        <v>12030</v>
      </c>
      <c r="B7788" t="s">
        <v>6272</v>
      </c>
      <c r="C7788" t="s">
        <v>6093</v>
      </c>
      <c r="D7788" t="s">
        <v>6273</v>
      </c>
      <c r="E7788" t="s">
        <v>12031</v>
      </c>
      <c r="F7788">
        <v>27</v>
      </c>
      <c r="G7788">
        <v>2452761</v>
      </c>
      <c r="H7788" t="s">
        <v>12032</v>
      </c>
      <c r="J7788" s="54" t="s">
        <v>6052</v>
      </c>
      <c r="K7788" s="54">
        <v>0</v>
      </c>
      <c r="L7788" s="22" t="s">
        <v>104</v>
      </c>
      <c r="M7788" s="22" t="s">
        <v>37313</v>
      </c>
    </row>
    <row r="7789" spans="1:13" x14ac:dyDescent="0.75">
      <c r="A7789" t="s">
        <v>27906</v>
      </c>
      <c r="B7789" t="s">
        <v>6272</v>
      </c>
      <c r="C7789" t="s">
        <v>6093</v>
      </c>
      <c r="D7789" t="s">
        <v>6273</v>
      </c>
      <c r="E7789" t="s">
        <v>27907</v>
      </c>
      <c r="F7789">
        <v>1</v>
      </c>
      <c r="G7789">
        <v>2360223</v>
      </c>
      <c r="H7789" t="s">
        <v>27908</v>
      </c>
      <c r="J7789" s="54" t="s">
        <v>6052</v>
      </c>
      <c r="K7789" s="54">
        <v>0</v>
      </c>
      <c r="L7789" s="22" t="s">
        <v>104</v>
      </c>
      <c r="M7789" s="22" t="s">
        <v>37313</v>
      </c>
    </row>
    <row r="7790" spans="1:13" x14ac:dyDescent="0.75">
      <c r="A7790" t="s">
        <v>12099</v>
      </c>
      <c r="B7790" t="s">
        <v>6272</v>
      </c>
      <c r="C7790" t="s">
        <v>6093</v>
      </c>
      <c r="D7790" t="s">
        <v>6273</v>
      </c>
      <c r="E7790" t="s">
        <v>12100</v>
      </c>
      <c r="F7790">
        <v>110</v>
      </c>
      <c r="G7790">
        <v>2302607</v>
      </c>
      <c r="H7790" t="s">
        <v>12101</v>
      </c>
      <c r="J7790" s="54" t="s">
        <v>6052</v>
      </c>
      <c r="K7790" s="54">
        <v>0</v>
      </c>
      <c r="L7790" s="22" t="s">
        <v>104</v>
      </c>
      <c r="M7790" s="22" t="s">
        <v>37313</v>
      </c>
    </row>
    <row r="7791" spans="1:13" x14ac:dyDescent="0.75">
      <c r="A7791" t="s">
        <v>27672</v>
      </c>
      <c r="B7791" t="s">
        <v>6272</v>
      </c>
      <c r="C7791" t="s">
        <v>6093</v>
      </c>
      <c r="D7791" t="s">
        <v>6273</v>
      </c>
      <c r="E7791" t="s">
        <v>27673</v>
      </c>
      <c r="F7791">
        <v>1</v>
      </c>
      <c r="G7791">
        <v>2449527</v>
      </c>
      <c r="H7791" t="s">
        <v>27674</v>
      </c>
      <c r="J7791" s="54" t="s">
        <v>6052</v>
      </c>
      <c r="K7791" s="54">
        <v>0</v>
      </c>
      <c r="L7791" s="22" t="s">
        <v>104</v>
      </c>
      <c r="M7791" s="22" t="s">
        <v>37313</v>
      </c>
    </row>
    <row r="7792" spans="1:13" x14ac:dyDescent="0.75">
      <c r="A7792" t="s">
        <v>27684</v>
      </c>
      <c r="B7792" t="s">
        <v>6272</v>
      </c>
      <c r="C7792" t="s">
        <v>6093</v>
      </c>
      <c r="D7792" t="s">
        <v>6273</v>
      </c>
      <c r="E7792" t="s">
        <v>27685</v>
      </c>
      <c r="F7792">
        <v>1</v>
      </c>
      <c r="G7792">
        <v>2331387</v>
      </c>
      <c r="H7792" t="s">
        <v>27686</v>
      </c>
      <c r="J7792" s="54" t="s">
        <v>6052</v>
      </c>
      <c r="K7792" s="54">
        <v>0</v>
      </c>
      <c r="L7792" s="22" t="s">
        <v>104</v>
      </c>
      <c r="M7792" s="22" t="s">
        <v>37313</v>
      </c>
    </row>
    <row r="7793" spans="1:13" x14ac:dyDescent="0.75">
      <c r="A7793" t="s">
        <v>27702</v>
      </c>
      <c r="B7793" t="s">
        <v>6272</v>
      </c>
      <c r="C7793" t="s">
        <v>6093</v>
      </c>
      <c r="D7793" t="s">
        <v>6273</v>
      </c>
      <c r="E7793" t="s">
        <v>27703</v>
      </c>
      <c r="F7793">
        <v>1</v>
      </c>
      <c r="G7793">
        <v>2296927</v>
      </c>
      <c r="H7793" t="s">
        <v>27704</v>
      </c>
      <c r="J7793" s="54" t="s">
        <v>6052</v>
      </c>
      <c r="K7793" s="54">
        <v>0</v>
      </c>
      <c r="L7793" s="22" t="s">
        <v>104</v>
      </c>
      <c r="M7793" s="22" t="s">
        <v>37313</v>
      </c>
    </row>
    <row r="7794" spans="1:13" x14ac:dyDescent="0.75">
      <c r="A7794" t="s">
        <v>24724</v>
      </c>
      <c r="B7794" t="s">
        <v>6272</v>
      </c>
      <c r="C7794" t="s">
        <v>6093</v>
      </c>
      <c r="D7794" t="s">
        <v>6273</v>
      </c>
      <c r="E7794" t="s">
        <v>24725</v>
      </c>
      <c r="F7794">
        <v>21</v>
      </c>
      <c r="G7794">
        <v>2375877</v>
      </c>
      <c r="H7794" t="s">
        <v>24726</v>
      </c>
      <c r="J7794" s="54" t="s">
        <v>6052</v>
      </c>
      <c r="K7794" s="54">
        <v>0</v>
      </c>
      <c r="L7794" s="22" t="s">
        <v>104</v>
      </c>
      <c r="M7794" s="22" t="s">
        <v>37313</v>
      </c>
    </row>
    <row r="7795" spans="1:13" x14ac:dyDescent="0.75">
      <c r="A7795" t="s">
        <v>18004</v>
      </c>
      <c r="B7795" t="s">
        <v>6272</v>
      </c>
      <c r="C7795" t="s">
        <v>6093</v>
      </c>
      <c r="D7795" t="s">
        <v>6273</v>
      </c>
      <c r="E7795" t="s">
        <v>18005</v>
      </c>
      <c r="F7795">
        <v>3</v>
      </c>
      <c r="G7795">
        <v>2454705</v>
      </c>
      <c r="H7795" t="s">
        <v>18006</v>
      </c>
      <c r="J7795" s="54" t="s">
        <v>6052</v>
      </c>
      <c r="K7795" s="54">
        <v>0</v>
      </c>
      <c r="L7795" s="22" t="s">
        <v>104</v>
      </c>
      <c r="M7795" s="22" t="s">
        <v>37313</v>
      </c>
    </row>
    <row r="7796" spans="1:13" x14ac:dyDescent="0.75">
      <c r="A7796" t="s">
        <v>16077</v>
      </c>
      <c r="B7796" t="s">
        <v>6272</v>
      </c>
      <c r="C7796" t="s">
        <v>6093</v>
      </c>
      <c r="D7796" t="s">
        <v>6273</v>
      </c>
      <c r="E7796" t="s">
        <v>16078</v>
      </c>
      <c r="F7796">
        <v>59</v>
      </c>
      <c r="G7796">
        <v>2476917</v>
      </c>
      <c r="H7796" t="s">
        <v>16079</v>
      </c>
      <c r="J7796" s="54" t="s">
        <v>6052</v>
      </c>
      <c r="K7796" s="54">
        <v>0</v>
      </c>
      <c r="L7796" s="22" t="s">
        <v>104</v>
      </c>
      <c r="M7796" s="22" t="s">
        <v>37313</v>
      </c>
    </row>
    <row r="7797" spans="1:13" x14ac:dyDescent="0.75">
      <c r="A7797" t="s">
        <v>18345</v>
      </c>
      <c r="B7797" t="s">
        <v>6272</v>
      </c>
      <c r="C7797" t="s">
        <v>6093</v>
      </c>
      <c r="D7797" t="s">
        <v>6273</v>
      </c>
      <c r="E7797" t="s">
        <v>18346</v>
      </c>
      <c r="F7797">
        <v>17</v>
      </c>
      <c r="G7797">
        <v>2350750</v>
      </c>
      <c r="H7797" t="s">
        <v>18347</v>
      </c>
      <c r="J7797" s="54" t="s">
        <v>6052</v>
      </c>
      <c r="K7797" s="54">
        <v>0</v>
      </c>
      <c r="L7797" s="22" t="s">
        <v>104</v>
      </c>
      <c r="M7797" s="22" t="s">
        <v>37313</v>
      </c>
    </row>
    <row r="7798" spans="1:13" x14ac:dyDescent="0.75">
      <c r="A7798" t="s">
        <v>23084</v>
      </c>
      <c r="B7798" t="s">
        <v>6272</v>
      </c>
      <c r="C7798" t="s">
        <v>6093</v>
      </c>
      <c r="D7798" t="s">
        <v>6273</v>
      </c>
      <c r="E7798" t="s">
        <v>23085</v>
      </c>
      <c r="F7798">
        <v>11</v>
      </c>
      <c r="G7798">
        <v>2328905</v>
      </c>
      <c r="H7798" t="s">
        <v>23086</v>
      </c>
      <c r="J7798" s="54" t="s">
        <v>6052</v>
      </c>
      <c r="K7798" s="54">
        <v>0</v>
      </c>
      <c r="L7798" s="22" t="s">
        <v>104</v>
      </c>
      <c r="M7798" s="22" t="s">
        <v>37313</v>
      </c>
    </row>
    <row r="7799" spans="1:13" x14ac:dyDescent="0.75">
      <c r="A7799" t="s">
        <v>17314</v>
      </c>
      <c r="B7799" t="s">
        <v>6272</v>
      </c>
      <c r="C7799" t="s">
        <v>6093</v>
      </c>
      <c r="D7799" t="s">
        <v>6273</v>
      </c>
      <c r="E7799" t="s">
        <v>17315</v>
      </c>
      <c r="F7799">
        <v>10</v>
      </c>
      <c r="G7799">
        <v>2367753</v>
      </c>
      <c r="H7799" t="s">
        <v>17316</v>
      </c>
      <c r="J7799" s="54" t="s">
        <v>6052</v>
      </c>
      <c r="K7799" s="54">
        <v>0</v>
      </c>
      <c r="L7799" s="22" t="s">
        <v>104</v>
      </c>
      <c r="M7799" s="22" t="s">
        <v>37313</v>
      </c>
    </row>
    <row r="7800" spans="1:13" x14ac:dyDescent="0.75">
      <c r="A7800" t="s">
        <v>7590</v>
      </c>
      <c r="B7800" t="s">
        <v>6272</v>
      </c>
      <c r="C7800" t="s">
        <v>6093</v>
      </c>
      <c r="D7800" t="s">
        <v>6273</v>
      </c>
      <c r="E7800" t="s">
        <v>7591</v>
      </c>
      <c r="F7800">
        <v>13</v>
      </c>
      <c r="G7800">
        <v>2280483</v>
      </c>
      <c r="H7800" t="s">
        <v>7592</v>
      </c>
      <c r="J7800" s="54" t="s">
        <v>6052</v>
      </c>
      <c r="K7800" s="54">
        <v>0</v>
      </c>
      <c r="L7800" s="22" t="s">
        <v>104</v>
      </c>
      <c r="M7800" s="22" t="s">
        <v>37313</v>
      </c>
    </row>
    <row r="7801" spans="1:13" x14ac:dyDescent="0.75">
      <c r="A7801" t="s">
        <v>7746</v>
      </c>
      <c r="B7801" t="s">
        <v>6272</v>
      </c>
      <c r="C7801" t="s">
        <v>6093</v>
      </c>
      <c r="D7801" t="s">
        <v>6273</v>
      </c>
      <c r="E7801" t="s">
        <v>7747</v>
      </c>
      <c r="F7801">
        <v>11</v>
      </c>
      <c r="G7801">
        <v>2376689</v>
      </c>
      <c r="H7801" t="s">
        <v>7748</v>
      </c>
      <c r="J7801" s="54" t="s">
        <v>6052</v>
      </c>
      <c r="K7801" s="54">
        <v>0</v>
      </c>
      <c r="L7801" s="22" t="s">
        <v>104</v>
      </c>
      <c r="M7801" s="22" t="s">
        <v>37313</v>
      </c>
    </row>
    <row r="7802" spans="1:13" x14ac:dyDescent="0.75">
      <c r="A7802" t="s">
        <v>7593</v>
      </c>
      <c r="B7802" t="s">
        <v>6272</v>
      </c>
      <c r="C7802" t="s">
        <v>6093</v>
      </c>
      <c r="D7802" t="s">
        <v>6273</v>
      </c>
      <c r="E7802" t="s">
        <v>7594</v>
      </c>
      <c r="F7802">
        <v>12</v>
      </c>
      <c r="G7802">
        <v>2348778</v>
      </c>
      <c r="H7802" t="s">
        <v>7595</v>
      </c>
      <c r="J7802" s="54" t="s">
        <v>6052</v>
      </c>
      <c r="K7802" s="54">
        <v>0</v>
      </c>
      <c r="L7802" s="22" t="s">
        <v>104</v>
      </c>
      <c r="M7802" s="22" t="s">
        <v>37313</v>
      </c>
    </row>
    <row r="7803" spans="1:13" x14ac:dyDescent="0.75">
      <c r="A7803" t="s">
        <v>7607</v>
      </c>
      <c r="B7803" t="s">
        <v>6272</v>
      </c>
      <c r="C7803" t="s">
        <v>6093</v>
      </c>
      <c r="D7803" t="s">
        <v>6273</v>
      </c>
      <c r="E7803" t="s">
        <v>7608</v>
      </c>
      <c r="F7803">
        <v>21</v>
      </c>
      <c r="G7803">
        <v>2352829</v>
      </c>
      <c r="H7803" t="s">
        <v>7609</v>
      </c>
      <c r="J7803" s="54" t="s">
        <v>6052</v>
      </c>
      <c r="K7803" s="54">
        <v>0</v>
      </c>
      <c r="L7803" s="22" t="s">
        <v>104</v>
      </c>
      <c r="M7803" s="22" t="s">
        <v>37313</v>
      </c>
    </row>
    <row r="7804" spans="1:13" x14ac:dyDescent="0.75">
      <c r="A7804" t="s">
        <v>7740</v>
      </c>
      <c r="B7804" t="s">
        <v>6272</v>
      </c>
      <c r="C7804" t="s">
        <v>6093</v>
      </c>
      <c r="D7804" t="s">
        <v>6273</v>
      </c>
      <c r="E7804" t="s">
        <v>7741</v>
      </c>
      <c r="F7804">
        <v>32</v>
      </c>
      <c r="G7804">
        <v>2428274</v>
      </c>
      <c r="H7804" t="s">
        <v>7742</v>
      </c>
      <c r="J7804" s="54" t="s">
        <v>6052</v>
      </c>
      <c r="K7804" s="54">
        <v>0</v>
      </c>
      <c r="L7804" s="22" t="s">
        <v>104</v>
      </c>
      <c r="M7804" s="22" t="s">
        <v>37313</v>
      </c>
    </row>
    <row r="7805" spans="1:13" x14ac:dyDescent="0.75">
      <c r="A7805" t="s">
        <v>7656</v>
      </c>
      <c r="B7805" t="s">
        <v>6272</v>
      </c>
      <c r="C7805" t="s">
        <v>6093</v>
      </c>
      <c r="D7805" t="s">
        <v>6273</v>
      </c>
      <c r="E7805" t="s">
        <v>7657</v>
      </c>
      <c r="F7805">
        <v>28</v>
      </c>
      <c r="G7805">
        <v>2315021</v>
      </c>
      <c r="H7805" t="s">
        <v>7658</v>
      </c>
      <c r="J7805" s="54" t="s">
        <v>6052</v>
      </c>
      <c r="K7805" s="54">
        <v>0</v>
      </c>
      <c r="L7805" s="22" t="s">
        <v>104</v>
      </c>
      <c r="M7805" s="22" t="s">
        <v>37313</v>
      </c>
    </row>
    <row r="7806" spans="1:13" x14ac:dyDescent="0.75">
      <c r="A7806" t="s">
        <v>7546</v>
      </c>
      <c r="B7806" t="s">
        <v>6272</v>
      </c>
      <c r="C7806" t="s">
        <v>6093</v>
      </c>
      <c r="D7806" t="s">
        <v>6273</v>
      </c>
      <c r="E7806" t="s">
        <v>7547</v>
      </c>
      <c r="F7806">
        <v>14</v>
      </c>
      <c r="G7806">
        <v>2346734</v>
      </c>
      <c r="H7806" t="s">
        <v>7548</v>
      </c>
      <c r="J7806" s="54" t="s">
        <v>6052</v>
      </c>
      <c r="K7806" s="54">
        <v>0</v>
      </c>
      <c r="L7806" s="22" t="s">
        <v>104</v>
      </c>
      <c r="M7806" s="22" t="s">
        <v>37313</v>
      </c>
    </row>
    <row r="7807" spans="1:13" x14ac:dyDescent="0.75">
      <c r="A7807" t="s">
        <v>7552</v>
      </c>
      <c r="B7807" t="s">
        <v>6272</v>
      </c>
      <c r="C7807" t="s">
        <v>6093</v>
      </c>
      <c r="D7807" t="s">
        <v>6273</v>
      </c>
      <c r="E7807" t="s">
        <v>7553</v>
      </c>
      <c r="F7807">
        <v>26</v>
      </c>
      <c r="G7807">
        <v>2324334</v>
      </c>
      <c r="H7807" t="s">
        <v>7554</v>
      </c>
      <c r="J7807" s="54" t="s">
        <v>6052</v>
      </c>
      <c r="K7807" s="54">
        <v>0</v>
      </c>
      <c r="L7807" s="22" t="s">
        <v>104</v>
      </c>
      <c r="M7807" s="22" t="s">
        <v>37313</v>
      </c>
    </row>
    <row r="7808" spans="1:13" x14ac:dyDescent="0.75">
      <c r="A7808" t="s">
        <v>7555</v>
      </c>
      <c r="B7808" t="s">
        <v>6272</v>
      </c>
      <c r="C7808" t="s">
        <v>6093</v>
      </c>
      <c r="D7808" t="s">
        <v>6273</v>
      </c>
      <c r="E7808" t="s">
        <v>7556</v>
      </c>
      <c r="F7808">
        <v>15</v>
      </c>
      <c r="G7808">
        <v>2333870</v>
      </c>
      <c r="H7808" t="s">
        <v>7557</v>
      </c>
      <c r="J7808" s="54" t="s">
        <v>6052</v>
      </c>
      <c r="K7808" s="54">
        <v>0</v>
      </c>
      <c r="L7808" s="22" t="s">
        <v>104</v>
      </c>
      <c r="M7808" s="22" t="s">
        <v>37313</v>
      </c>
    </row>
    <row r="7809" spans="1:13" x14ac:dyDescent="0.75">
      <c r="A7809" t="s">
        <v>21540</v>
      </c>
      <c r="B7809" t="s">
        <v>6272</v>
      </c>
      <c r="C7809" t="s">
        <v>6093</v>
      </c>
      <c r="D7809" t="s">
        <v>6273</v>
      </c>
      <c r="E7809" t="s">
        <v>21541</v>
      </c>
      <c r="F7809">
        <v>14</v>
      </c>
      <c r="G7809">
        <v>2346902</v>
      </c>
      <c r="H7809" t="s">
        <v>21542</v>
      </c>
      <c r="J7809" s="54" t="s">
        <v>6052</v>
      </c>
      <c r="K7809" s="54">
        <v>0</v>
      </c>
      <c r="L7809" s="22" t="s">
        <v>104</v>
      </c>
      <c r="M7809" s="22" t="s">
        <v>37313</v>
      </c>
    </row>
    <row r="7810" spans="1:13" x14ac:dyDescent="0.75">
      <c r="A7810" t="s">
        <v>21537</v>
      </c>
      <c r="B7810" t="s">
        <v>6272</v>
      </c>
      <c r="C7810" t="s">
        <v>6093</v>
      </c>
      <c r="D7810" t="s">
        <v>6273</v>
      </c>
      <c r="E7810" t="s">
        <v>21538</v>
      </c>
      <c r="F7810">
        <v>12</v>
      </c>
      <c r="G7810">
        <v>2345415</v>
      </c>
      <c r="H7810" t="s">
        <v>21539</v>
      </c>
      <c r="J7810" s="54" t="s">
        <v>6052</v>
      </c>
      <c r="K7810" s="54">
        <v>0</v>
      </c>
      <c r="L7810" s="22" t="s">
        <v>104</v>
      </c>
      <c r="M7810" s="22" t="s">
        <v>37313</v>
      </c>
    </row>
    <row r="7811" spans="1:13" x14ac:dyDescent="0.75">
      <c r="A7811" t="s">
        <v>7859</v>
      </c>
      <c r="B7811" t="s">
        <v>6272</v>
      </c>
      <c r="C7811" t="s">
        <v>6093</v>
      </c>
      <c r="D7811" t="s">
        <v>6273</v>
      </c>
      <c r="E7811" t="s">
        <v>7860</v>
      </c>
      <c r="F7811">
        <v>14</v>
      </c>
      <c r="G7811">
        <v>2408728</v>
      </c>
      <c r="H7811" t="s">
        <v>7861</v>
      </c>
      <c r="J7811" s="54" t="s">
        <v>6052</v>
      </c>
      <c r="K7811" s="54">
        <v>0</v>
      </c>
      <c r="L7811" s="22" t="s">
        <v>104</v>
      </c>
      <c r="M7811" s="22" t="s">
        <v>37313</v>
      </c>
    </row>
    <row r="7812" spans="1:13" x14ac:dyDescent="0.75">
      <c r="A7812" t="s">
        <v>7501</v>
      </c>
      <c r="B7812" t="s">
        <v>6272</v>
      </c>
      <c r="C7812" t="s">
        <v>6093</v>
      </c>
      <c r="D7812" t="s">
        <v>6273</v>
      </c>
      <c r="E7812" t="s">
        <v>7502</v>
      </c>
      <c r="F7812">
        <v>15</v>
      </c>
      <c r="G7812">
        <v>2301077</v>
      </c>
      <c r="H7812" t="s">
        <v>7503</v>
      </c>
      <c r="J7812" s="54" t="s">
        <v>6052</v>
      </c>
      <c r="K7812" s="54">
        <v>0</v>
      </c>
      <c r="L7812" s="22" t="s">
        <v>104</v>
      </c>
      <c r="M7812" s="22" t="s">
        <v>37313</v>
      </c>
    </row>
    <row r="7813" spans="1:13" x14ac:dyDescent="0.75">
      <c r="A7813" t="s">
        <v>7749</v>
      </c>
      <c r="B7813" t="s">
        <v>6272</v>
      </c>
      <c r="C7813" t="s">
        <v>6093</v>
      </c>
      <c r="D7813" t="s">
        <v>6273</v>
      </c>
      <c r="E7813" t="s">
        <v>7750</v>
      </c>
      <c r="F7813">
        <v>34</v>
      </c>
      <c r="G7813">
        <v>2370432</v>
      </c>
      <c r="H7813" t="s">
        <v>7751</v>
      </c>
      <c r="J7813" s="54" t="s">
        <v>6052</v>
      </c>
      <c r="K7813" s="54">
        <v>0</v>
      </c>
      <c r="L7813" s="22" t="s">
        <v>104</v>
      </c>
      <c r="M7813" s="22" t="s">
        <v>37313</v>
      </c>
    </row>
    <row r="7814" spans="1:13" x14ac:dyDescent="0.75">
      <c r="A7814" t="s">
        <v>6271</v>
      </c>
      <c r="B7814" t="s">
        <v>6272</v>
      </c>
      <c r="C7814" t="s">
        <v>6093</v>
      </c>
      <c r="D7814" t="s">
        <v>6273</v>
      </c>
      <c r="E7814" t="s">
        <v>6274</v>
      </c>
      <c r="F7814">
        <v>1</v>
      </c>
      <c r="G7814">
        <v>2388435</v>
      </c>
      <c r="H7814" t="s">
        <v>6275</v>
      </c>
      <c r="J7814" s="54" t="s">
        <v>6052</v>
      </c>
      <c r="K7814" s="54">
        <v>0</v>
      </c>
      <c r="L7814" s="22" t="s">
        <v>104</v>
      </c>
      <c r="M7814" s="22" t="s">
        <v>37313</v>
      </c>
    </row>
    <row r="7815" spans="1:13" x14ac:dyDescent="0.75">
      <c r="A7815" t="s">
        <v>21534</v>
      </c>
      <c r="B7815" t="s">
        <v>6272</v>
      </c>
      <c r="C7815" t="s">
        <v>6093</v>
      </c>
      <c r="D7815" t="s">
        <v>6273</v>
      </c>
      <c r="E7815" t="s">
        <v>21535</v>
      </c>
      <c r="F7815">
        <v>15</v>
      </c>
      <c r="G7815">
        <v>2373204</v>
      </c>
      <c r="H7815" t="s">
        <v>21536</v>
      </c>
      <c r="J7815" s="54" t="s">
        <v>6052</v>
      </c>
      <c r="K7815" s="54">
        <v>0</v>
      </c>
      <c r="L7815" s="22" t="s">
        <v>104</v>
      </c>
      <c r="M7815" s="22" t="s">
        <v>37313</v>
      </c>
    </row>
    <row r="7816" spans="1:13" x14ac:dyDescent="0.75">
      <c r="A7816" t="s">
        <v>7504</v>
      </c>
      <c r="B7816" t="s">
        <v>6272</v>
      </c>
      <c r="C7816" t="s">
        <v>6093</v>
      </c>
      <c r="D7816" t="s">
        <v>6273</v>
      </c>
      <c r="E7816" t="s">
        <v>7505</v>
      </c>
      <c r="F7816">
        <v>12</v>
      </c>
      <c r="G7816">
        <v>2298289</v>
      </c>
      <c r="H7816" t="s">
        <v>7506</v>
      </c>
      <c r="J7816" s="54" t="s">
        <v>6052</v>
      </c>
      <c r="K7816" s="54">
        <v>0</v>
      </c>
      <c r="L7816" s="22" t="s">
        <v>104</v>
      </c>
      <c r="M7816" s="22" t="s">
        <v>37313</v>
      </c>
    </row>
    <row r="7817" spans="1:13" x14ac:dyDescent="0.75">
      <c r="A7817" t="s">
        <v>7604</v>
      </c>
      <c r="B7817" t="s">
        <v>6272</v>
      </c>
      <c r="C7817" t="s">
        <v>6093</v>
      </c>
      <c r="D7817" t="s">
        <v>6273</v>
      </c>
      <c r="E7817" t="s">
        <v>7605</v>
      </c>
      <c r="F7817">
        <v>16</v>
      </c>
      <c r="G7817">
        <v>2398571</v>
      </c>
      <c r="H7817" t="s">
        <v>7606</v>
      </c>
      <c r="J7817" s="54" t="s">
        <v>6052</v>
      </c>
      <c r="K7817" s="54">
        <v>0</v>
      </c>
      <c r="L7817" s="22" t="s">
        <v>104</v>
      </c>
      <c r="M7817" s="22" t="s">
        <v>37313</v>
      </c>
    </row>
    <row r="7818" spans="1:13" x14ac:dyDescent="0.75">
      <c r="A7818" t="s">
        <v>7743</v>
      </c>
      <c r="B7818" t="s">
        <v>6272</v>
      </c>
      <c r="C7818" t="s">
        <v>6093</v>
      </c>
      <c r="D7818" t="s">
        <v>6273</v>
      </c>
      <c r="E7818" t="s">
        <v>7744</v>
      </c>
      <c r="F7818">
        <v>21</v>
      </c>
      <c r="G7818">
        <v>2279404</v>
      </c>
      <c r="H7818" t="s">
        <v>7745</v>
      </c>
      <c r="J7818" s="54" t="s">
        <v>6052</v>
      </c>
      <c r="K7818" s="54">
        <v>0</v>
      </c>
      <c r="L7818" s="22" t="s">
        <v>104</v>
      </c>
      <c r="M7818" s="22" t="s">
        <v>37313</v>
      </c>
    </row>
    <row r="7819" spans="1:13" x14ac:dyDescent="0.75">
      <c r="A7819" t="s">
        <v>7507</v>
      </c>
      <c r="B7819" t="s">
        <v>6272</v>
      </c>
      <c r="C7819" t="s">
        <v>6093</v>
      </c>
      <c r="D7819" t="s">
        <v>6273</v>
      </c>
      <c r="E7819" t="s">
        <v>7508</v>
      </c>
      <c r="F7819">
        <v>10</v>
      </c>
      <c r="G7819">
        <v>2298720</v>
      </c>
      <c r="H7819" t="s">
        <v>7509</v>
      </c>
      <c r="J7819" s="54" t="s">
        <v>6052</v>
      </c>
      <c r="K7819" s="54">
        <v>0</v>
      </c>
      <c r="L7819" s="22" t="s">
        <v>104</v>
      </c>
      <c r="M7819" s="22" t="s">
        <v>37313</v>
      </c>
    </row>
    <row r="7820" spans="1:13" x14ac:dyDescent="0.75">
      <c r="A7820" t="s">
        <v>7543</v>
      </c>
      <c r="B7820" t="s">
        <v>6272</v>
      </c>
      <c r="C7820" t="s">
        <v>6093</v>
      </c>
      <c r="D7820" t="s">
        <v>6273</v>
      </c>
      <c r="E7820" t="s">
        <v>7544</v>
      </c>
      <c r="F7820">
        <v>19</v>
      </c>
      <c r="G7820">
        <v>2376010</v>
      </c>
      <c r="H7820" t="s">
        <v>7545</v>
      </c>
      <c r="J7820" s="54" t="s">
        <v>6052</v>
      </c>
      <c r="K7820" s="54">
        <v>0</v>
      </c>
      <c r="L7820" s="22" t="s">
        <v>104</v>
      </c>
      <c r="M7820" s="22" t="s">
        <v>37313</v>
      </c>
    </row>
    <row r="7821" spans="1:13" x14ac:dyDescent="0.75">
      <c r="A7821" t="s">
        <v>21822</v>
      </c>
      <c r="B7821" t="s">
        <v>6272</v>
      </c>
      <c r="C7821" t="s">
        <v>6093</v>
      </c>
      <c r="D7821" t="s">
        <v>6273</v>
      </c>
      <c r="E7821" t="s">
        <v>21823</v>
      </c>
      <c r="F7821">
        <v>18</v>
      </c>
      <c r="G7821">
        <v>2408145</v>
      </c>
      <c r="H7821" t="s">
        <v>21824</v>
      </c>
      <c r="J7821" s="54" t="s">
        <v>6052</v>
      </c>
      <c r="K7821" s="54">
        <v>0</v>
      </c>
      <c r="L7821" s="22" t="s">
        <v>104</v>
      </c>
      <c r="M7821" s="22" t="s">
        <v>37313</v>
      </c>
    </row>
    <row r="7822" spans="1:13" x14ac:dyDescent="0.75">
      <c r="A7822" t="s">
        <v>21531</v>
      </c>
      <c r="B7822" t="s">
        <v>6272</v>
      </c>
      <c r="C7822" t="s">
        <v>6093</v>
      </c>
      <c r="D7822" t="s">
        <v>6273</v>
      </c>
      <c r="E7822" t="s">
        <v>21532</v>
      </c>
      <c r="F7822">
        <v>19</v>
      </c>
      <c r="G7822">
        <v>2404606</v>
      </c>
      <c r="H7822" t="s">
        <v>21533</v>
      </c>
      <c r="J7822" s="54" t="s">
        <v>6052</v>
      </c>
      <c r="K7822" s="54">
        <v>0</v>
      </c>
      <c r="L7822" s="22" t="s">
        <v>104</v>
      </c>
      <c r="M7822" s="22" t="s">
        <v>37313</v>
      </c>
    </row>
    <row r="7823" spans="1:13" x14ac:dyDescent="0.75">
      <c r="A7823" t="s">
        <v>21525</v>
      </c>
      <c r="B7823" t="s">
        <v>6272</v>
      </c>
      <c r="C7823" t="s">
        <v>6093</v>
      </c>
      <c r="D7823" t="s">
        <v>6273</v>
      </c>
      <c r="E7823" t="s">
        <v>21526</v>
      </c>
      <c r="F7823">
        <v>11</v>
      </c>
      <c r="G7823">
        <v>2394974</v>
      </c>
      <c r="H7823" t="s">
        <v>21527</v>
      </c>
      <c r="J7823" s="54" t="s">
        <v>6052</v>
      </c>
      <c r="K7823" s="54">
        <v>0</v>
      </c>
      <c r="L7823" s="22" t="s">
        <v>104</v>
      </c>
      <c r="M7823" s="22" t="s">
        <v>37313</v>
      </c>
    </row>
    <row r="7824" spans="1:13" x14ac:dyDescent="0.75">
      <c r="A7824" t="s">
        <v>21528</v>
      </c>
      <c r="B7824" t="s">
        <v>6272</v>
      </c>
      <c r="C7824" t="s">
        <v>6093</v>
      </c>
      <c r="D7824" t="s">
        <v>6273</v>
      </c>
      <c r="E7824" t="s">
        <v>21529</v>
      </c>
      <c r="F7824">
        <v>15</v>
      </c>
      <c r="G7824">
        <v>2361878</v>
      </c>
      <c r="H7824" t="s">
        <v>21530</v>
      </c>
      <c r="J7824" s="54" t="s">
        <v>6052</v>
      </c>
      <c r="K7824" s="54">
        <v>0</v>
      </c>
      <c r="L7824" s="22" t="s">
        <v>104</v>
      </c>
      <c r="M7824" s="22" t="s">
        <v>37313</v>
      </c>
    </row>
    <row r="7825" spans="1:13" x14ac:dyDescent="0.75">
      <c r="A7825" t="s">
        <v>21522</v>
      </c>
      <c r="B7825" t="s">
        <v>6272</v>
      </c>
      <c r="C7825" t="s">
        <v>6093</v>
      </c>
      <c r="D7825" t="s">
        <v>6273</v>
      </c>
      <c r="E7825" t="s">
        <v>21523</v>
      </c>
      <c r="F7825">
        <v>26</v>
      </c>
      <c r="G7825">
        <v>2410210</v>
      </c>
      <c r="H7825" t="s">
        <v>21524</v>
      </c>
      <c r="J7825" s="54" t="s">
        <v>6052</v>
      </c>
      <c r="K7825" s="54">
        <v>0</v>
      </c>
      <c r="L7825" s="22" t="s">
        <v>104</v>
      </c>
      <c r="M7825" s="22" t="s">
        <v>37313</v>
      </c>
    </row>
    <row r="7826" spans="1:13" x14ac:dyDescent="0.75">
      <c r="A7826" t="s">
        <v>21831</v>
      </c>
      <c r="B7826" t="s">
        <v>6272</v>
      </c>
      <c r="C7826" t="s">
        <v>6093</v>
      </c>
      <c r="D7826" t="s">
        <v>6273</v>
      </c>
      <c r="E7826" t="s">
        <v>21832</v>
      </c>
      <c r="F7826">
        <v>46</v>
      </c>
      <c r="G7826">
        <v>2468568</v>
      </c>
      <c r="H7826" t="s">
        <v>21833</v>
      </c>
      <c r="J7826" s="54" t="s">
        <v>6052</v>
      </c>
      <c r="K7826" s="54">
        <v>0</v>
      </c>
      <c r="L7826" s="22" t="s">
        <v>104</v>
      </c>
      <c r="M7826" s="22" t="s">
        <v>37313</v>
      </c>
    </row>
    <row r="7827" spans="1:13" x14ac:dyDescent="0.75">
      <c r="A7827" t="s">
        <v>21519</v>
      </c>
      <c r="B7827" t="s">
        <v>6272</v>
      </c>
      <c r="C7827" t="s">
        <v>6093</v>
      </c>
      <c r="D7827" t="s">
        <v>6273</v>
      </c>
      <c r="E7827" t="s">
        <v>21520</v>
      </c>
      <c r="F7827">
        <v>38</v>
      </c>
      <c r="G7827">
        <v>2338339</v>
      </c>
      <c r="H7827" t="s">
        <v>21521</v>
      </c>
      <c r="J7827" s="54" t="s">
        <v>6052</v>
      </c>
      <c r="K7827" s="54">
        <v>0</v>
      </c>
      <c r="L7827" s="22" t="s">
        <v>104</v>
      </c>
      <c r="M7827" s="22" t="s">
        <v>37313</v>
      </c>
    </row>
    <row r="7828" spans="1:13" x14ac:dyDescent="0.75">
      <c r="A7828" t="s">
        <v>14317</v>
      </c>
      <c r="B7828" t="s">
        <v>6272</v>
      </c>
      <c r="C7828" t="s">
        <v>6093</v>
      </c>
      <c r="D7828" t="s">
        <v>6273</v>
      </c>
      <c r="E7828" t="s">
        <v>14318</v>
      </c>
      <c r="F7828">
        <v>15</v>
      </c>
      <c r="G7828">
        <v>2431001</v>
      </c>
      <c r="H7828" t="s">
        <v>14319</v>
      </c>
      <c r="J7828" s="54" t="s">
        <v>6052</v>
      </c>
      <c r="K7828" s="54">
        <v>0</v>
      </c>
      <c r="L7828" s="22" t="s">
        <v>104</v>
      </c>
      <c r="M7828" s="22" t="s">
        <v>37313</v>
      </c>
    </row>
    <row r="7829" spans="1:13" x14ac:dyDescent="0.75">
      <c r="A7829" t="s">
        <v>7481</v>
      </c>
      <c r="B7829" t="s">
        <v>6272</v>
      </c>
      <c r="C7829" t="s">
        <v>6093</v>
      </c>
      <c r="D7829" t="s">
        <v>6273</v>
      </c>
      <c r="E7829" t="s">
        <v>7482</v>
      </c>
      <c r="F7829">
        <v>21</v>
      </c>
      <c r="G7829">
        <v>2319451</v>
      </c>
      <c r="H7829" t="s">
        <v>7483</v>
      </c>
      <c r="J7829" s="54" t="s">
        <v>6052</v>
      </c>
      <c r="K7829" s="54">
        <v>0</v>
      </c>
      <c r="L7829" s="22" t="s">
        <v>104</v>
      </c>
      <c r="M7829" s="22" t="s">
        <v>37313</v>
      </c>
    </row>
    <row r="7830" spans="1:13" x14ac:dyDescent="0.75">
      <c r="A7830" t="s">
        <v>24491</v>
      </c>
      <c r="B7830" t="s">
        <v>10648</v>
      </c>
      <c r="C7830" t="s">
        <v>6093</v>
      </c>
      <c r="D7830" t="s">
        <v>10649</v>
      </c>
      <c r="E7830" t="s">
        <v>24492</v>
      </c>
      <c r="F7830">
        <v>122</v>
      </c>
      <c r="G7830">
        <v>2075536</v>
      </c>
      <c r="H7830" t="s">
        <v>24493</v>
      </c>
      <c r="J7830" s="54" t="s">
        <v>6052</v>
      </c>
      <c r="K7830" s="54">
        <v>0</v>
      </c>
      <c r="L7830" s="22" t="s">
        <v>104</v>
      </c>
      <c r="M7830" s="22" t="s">
        <v>37325</v>
      </c>
    </row>
    <row r="7831" spans="1:13" x14ac:dyDescent="0.75">
      <c r="A7831" t="s">
        <v>11996</v>
      </c>
      <c r="B7831" t="s">
        <v>10648</v>
      </c>
      <c r="C7831" t="s">
        <v>6093</v>
      </c>
      <c r="D7831" t="s">
        <v>10649</v>
      </c>
      <c r="E7831" t="s">
        <v>11997</v>
      </c>
      <c r="F7831">
        <v>249</v>
      </c>
      <c r="G7831">
        <v>2199747</v>
      </c>
      <c r="H7831" t="s">
        <v>11998</v>
      </c>
      <c r="J7831" s="54" t="s">
        <v>6052</v>
      </c>
      <c r="K7831" s="54">
        <v>0</v>
      </c>
      <c r="L7831" s="22" t="s">
        <v>104</v>
      </c>
      <c r="M7831" s="22" t="s">
        <v>37325</v>
      </c>
    </row>
    <row r="7832" spans="1:13" x14ac:dyDescent="0.75">
      <c r="A7832" t="s">
        <v>21137</v>
      </c>
      <c r="B7832" t="s">
        <v>10648</v>
      </c>
      <c r="C7832" t="s">
        <v>6093</v>
      </c>
      <c r="D7832" t="s">
        <v>10649</v>
      </c>
      <c r="E7832" t="s">
        <v>21138</v>
      </c>
      <c r="F7832">
        <v>41</v>
      </c>
      <c r="G7832">
        <v>2119737</v>
      </c>
      <c r="H7832" t="s">
        <v>21139</v>
      </c>
      <c r="J7832" s="54" t="s">
        <v>6052</v>
      </c>
      <c r="K7832" s="54">
        <v>0</v>
      </c>
      <c r="L7832" s="22" t="s">
        <v>104</v>
      </c>
      <c r="M7832" s="22" t="s">
        <v>37325</v>
      </c>
    </row>
    <row r="7833" spans="1:13" x14ac:dyDescent="0.75">
      <c r="A7833" t="s">
        <v>10647</v>
      </c>
      <c r="B7833" t="s">
        <v>10648</v>
      </c>
      <c r="C7833" t="s">
        <v>6093</v>
      </c>
      <c r="D7833" t="s">
        <v>10649</v>
      </c>
      <c r="E7833" t="s">
        <v>10650</v>
      </c>
      <c r="F7833">
        <v>116</v>
      </c>
      <c r="G7833">
        <v>2061843</v>
      </c>
      <c r="H7833" t="s">
        <v>10651</v>
      </c>
      <c r="J7833" s="54" t="s">
        <v>6052</v>
      </c>
      <c r="K7833" s="54">
        <v>0</v>
      </c>
      <c r="L7833" s="22" t="s">
        <v>104</v>
      </c>
      <c r="M7833" s="22" t="s">
        <v>37325</v>
      </c>
    </row>
    <row r="7834" spans="1:13" x14ac:dyDescent="0.75">
      <c r="A7834" t="s">
        <v>28390</v>
      </c>
      <c r="B7834" t="s">
        <v>10648</v>
      </c>
      <c r="C7834" t="s">
        <v>6093</v>
      </c>
      <c r="D7834" t="s">
        <v>10649</v>
      </c>
      <c r="E7834" t="s">
        <v>28391</v>
      </c>
      <c r="F7834">
        <v>56</v>
      </c>
      <c r="G7834">
        <v>2292862</v>
      </c>
      <c r="H7834" t="s">
        <v>28392</v>
      </c>
      <c r="J7834" s="54" t="s">
        <v>6052</v>
      </c>
      <c r="K7834" s="54">
        <v>0</v>
      </c>
      <c r="L7834" s="22" t="s">
        <v>104</v>
      </c>
      <c r="M7834" s="22" t="s">
        <v>37325</v>
      </c>
    </row>
    <row r="7835" spans="1:13" x14ac:dyDescent="0.75">
      <c r="A7835" t="s">
        <v>22210</v>
      </c>
      <c r="B7835" t="s">
        <v>10648</v>
      </c>
      <c r="C7835" t="s">
        <v>6093</v>
      </c>
      <c r="D7835" t="s">
        <v>10649</v>
      </c>
      <c r="E7835" t="s">
        <v>22211</v>
      </c>
      <c r="F7835">
        <v>14</v>
      </c>
      <c r="G7835">
        <v>2206735</v>
      </c>
      <c r="H7835" t="s">
        <v>22212</v>
      </c>
      <c r="J7835" s="54" t="s">
        <v>6052</v>
      </c>
      <c r="K7835" s="54">
        <v>0</v>
      </c>
      <c r="L7835" s="22" t="s">
        <v>104</v>
      </c>
      <c r="M7835" s="22" t="s">
        <v>37325</v>
      </c>
    </row>
    <row r="7836" spans="1:13" x14ac:dyDescent="0.75">
      <c r="A7836" t="s">
        <v>26464</v>
      </c>
      <c r="B7836" t="s">
        <v>10648</v>
      </c>
      <c r="C7836" t="s">
        <v>6093</v>
      </c>
      <c r="D7836" t="s">
        <v>10649</v>
      </c>
      <c r="E7836" t="s">
        <v>26465</v>
      </c>
      <c r="F7836">
        <v>50</v>
      </c>
      <c r="G7836">
        <v>2134166</v>
      </c>
      <c r="H7836" t="s">
        <v>26466</v>
      </c>
      <c r="J7836" s="54" t="s">
        <v>6052</v>
      </c>
      <c r="K7836" s="54">
        <v>0</v>
      </c>
      <c r="L7836" s="22" t="s">
        <v>104</v>
      </c>
      <c r="M7836" s="22" t="s">
        <v>37325</v>
      </c>
    </row>
    <row r="7837" spans="1:13" x14ac:dyDescent="0.75">
      <c r="A7837" t="s">
        <v>15056</v>
      </c>
      <c r="B7837" t="s">
        <v>7990</v>
      </c>
      <c r="C7837" t="s">
        <v>6093</v>
      </c>
      <c r="D7837" t="s">
        <v>7991</v>
      </c>
      <c r="E7837">
        <v>10919</v>
      </c>
      <c r="F7837">
        <v>1</v>
      </c>
      <c r="G7837">
        <v>2145290</v>
      </c>
      <c r="H7837" t="s">
        <v>15057</v>
      </c>
      <c r="J7837" s="54" t="s">
        <v>6052</v>
      </c>
      <c r="K7837" s="54">
        <v>0</v>
      </c>
      <c r="L7837" s="22" t="s">
        <v>104</v>
      </c>
      <c r="M7837" s="22" t="s">
        <v>37316</v>
      </c>
    </row>
    <row r="7838" spans="1:13" x14ac:dyDescent="0.75">
      <c r="A7838" t="s">
        <v>19862</v>
      </c>
      <c r="B7838" t="s">
        <v>7990</v>
      </c>
      <c r="C7838" t="s">
        <v>6093</v>
      </c>
      <c r="D7838" t="s">
        <v>7991</v>
      </c>
      <c r="E7838" t="s">
        <v>19863</v>
      </c>
      <c r="F7838">
        <v>58</v>
      </c>
      <c r="G7838">
        <v>2101309</v>
      </c>
      <c r="H7838" t="s">
        <v>19864</v>
      </c>
      <c r="J7838" s="54" t="s">
        <v>6052</v>
      </c>
      <c r="K7838" s="54">
        <v>0</v>
      </c>
      <c r="L7838" s="22" t="s">
        <v>104</v>
      </c>
      <c r="M7838" s="22" t="s">
        <v>37316</v>
      </c>
    </row>
    <row r="7839" spans="1:13" x14ac:dyDescent="0.75">
      <c r="A7839" t="s">
        <v>9612</v>
      </c>
      <c r="B7839" t="s">
        <v>7990</v>
      </c>
      <c r="C7839" t="s">
        <v>6093</v>
      </c>
      <c r="D7839" t="s">
        <v>7991</v>
      </c>
      <c r="E7839" t="s">
        <v>9613</v>
      </c>
      <c r="F7839">
        <v>54</v>
      </c>
      <c r="G7839">
        <v>2133594</v>
      </c>
      <c r="H7839" t="s">
        <v>9614</v>
      </c>
      <c r="J7839" s="54" t="s">
        <v>6052</v>
      </c>
      <c r="K7839" s="54">
        <v>0</v>
      </c>
      <c r="L7839" s="22" t="s">
        <v>104</v>
      </c>
      <c r="M7839" s="22" t="s">
        <v>37316</v>
      </c>
    </row>
    <row r="7840" spans="1:13" x14ac:dyDescent="0.75">
      <c r="A7840" t="s">
        <v>9269</v>
      </c>
      <c r="B7840" t="s">
        <v>7990</v>
      </c>
      <c r="C7840" t="s">
        <v>6093</v>
      </c>
      <c r="D7840" t="s">
        <v>7991</v>
      </c>
      <c r="E7840" t="s">
        <v>9270</v>
      </c>
      <c r="F7840">
        <v>283</v>
      </c>
      <c r="G7840">
        <v>2096203</v>
      </c>
      <c r="H7840" t="s">
        <v>9271</v>
      </c>
      <c r="J7840" s="54" t="s">
        <v>6052</v>
      </c>
      <c r="K7840" s="54">
        <v>0</v>
      </c>
      <c r="L7840" s="22" t="s">
        <v>104</v>
      </c>
      <c r="M7840" s="22" t="s">
        <v>37316</v>
      </c>
    </row>
    <row r="7841" spans="1:13" x14ac:dyDescent="0.75">
      <c r="A7841" t="s">
        <v>10384</v>
      </c>
      <c r="B7841" t="s">
        <v>7990</v>
      </c>
      <c r="C7841" t="s">
        <v>6093</v>
      </c>
      <c r="D7841" t="s">
        <v>7991</v>
      </c>
      <c r="E7841" t="s">
        <v>9270</v>
      </c>
      <c r="F7841">
        <v>55</v>
      </c>
      <c r="G7841">
        <v>2138493</v>
      </c>
      <c r="H7841" t="s">
        <v>10385</v>
      </c>
      <c r="J7841" s="54" t="s">
        <v>6052</v>
      </c>
      <c r="K7841" s="54">
        <v>0</v>
      </c>
      <c r="L7841" s="22" t="s">
        <v>104</v>
      </c>
      <c r="M7841" s="22" t="s">
        <v>37316</v>
      </c>
    </row>
    <row r="7842" spans="1:13" x14ac:dyDescent="0.75">
      <c r="A7842" t="s">
        <v>29676</v>
      </c>
      <c r="B7842" t="s">
        <v>7990</v>
      </c>
      <c r="C7842" t="s">
        <v>6093</v>
      </c>
      <c r="D7842" t="s">
        <v>7991</v>
      </c>
      <c r="E7842" t="s">
        <v>29677</v>
      </c>
      <c r="F7842">
        <v>57</v>
      </c>
      <c r="G7842">
        <v>2101273</v>
      </c>
      <c r="H7842" t="s">
        <v>29678</v>
      </c>
      <c r="J7842" s="54" t="s">
        <v>6052</v>
      </c>
      <c r="K7842" s="54">
        <v>0</v>
      </c>
      <c r="L7842" s="22" t="s">
        <v>104</v>
      </c>
      <c r="M7842" s="22" t="s">
        <v>37316</v>
      </c>
    </row>
    <row r="7843" spans="1:13" x14ac:dyDescent="0.75">
      <c r="A7843" t="s">
        <v>13854</v>
      </c>
      <c r="B7843" t="s">
        <v>7990</v>
      </c>
      <c r="C7843" t="s">
        <v>6093</v>
      </c>
      <c r="D7843" t="s">
        <v>7991</v>
      </c>
      <c r="E7843" t="s">
        <v>13855</v>
      </c>
      <c r="F7843">
        <v>4</v>
      </c>
      <c r="G7843">
        <v>2198106</v>
      </c>
      <c r="H7843" t="s">
        <v>13856</v>
      </c>
      <c r="J7843" s="54" t="s">
        <v>6052</v>
      </c>
      <c r="K7843" s="54">
        <v>0</v>
      </c>
      <c r="L7843" s="22" t="s">
        <v>104</v>
      </c>
      <c r="M7843" s="22" t="s">
        <v>37316</v>
      </c>
    </row>
    <row r="7844" spans="1:13" x14ac:dyDescent="0.75">
      <c r="A7844" t="s">
        <v>27690</v>
      </c>
      <c r="B7844" t="s">
        <v>7990</v>
      </c>
      <c r="C7844" t="s">
        <v>6093</v>
      </c>
      <c r="D7844" t="s">
        <v>7991</v>
      </c>
      <c r="E7844" t="s">
        <v>27691</v>
      </c>
      <c r="F7844">
        <v>1</v>
      </c>
      <c r="G7844">
        <v>2145110</v>
      </c>
      <c r="H7844" t="s">
        <v>27692</v>
      </c>
      <c r="J7844" s="54" t="s">
        <v>6052</v>
      </c>
      <c r="K7844" s="54">
        <v>0</v>
      </c>
      <c r="L7844" s="22" t="s">
        <v>104</v>
      </c>
      <c r="M7844" s="22" t="s">
        <v>37316</v>
      </c>
    </row>
    <row r="7845" spans="1:13" x14ac:dyDescent="0.75">
      <c r="A7845" t="s">
        <v>27696</v>
      </c>
      <c r="B7845" t="s">
        <v>7990</v>
      </c>
      <c r="C7845" t="s">
        <v>6093</v>
      </c>
      <c r="D7845" t="s">
        <v>7991</v>
      </c>
      <c r="E7845" t="s">
        <v>27697</v>
      </c>
      <c r="F7845">
        <v>1</v>
      </c>
      <c r="G7845">
        <v>2198648</v>
      </c>
      <c r="H7845" t="s">
        <v>27698</v>
      </c>
      <c r="J7845" s="54" t="s">
        <v>6052</v>
      </c>
      <c r="K7845" s="54">
        <v>0</v>
      </c>
      <c r="L7845" s="22" t="s">
        <v>104</v>
      </c>
      <c r="M7845" s="22" t="s">
        <v>37316</v>
      </c>
    </row>
    <row r="7846" spans="1:13" x14ac:dyDescent="0.75">
      <c r="A7846" t="s">
        <v>15064</v>
      </c>
      <c r="B7846" t="s">
        <v>7990</v>
      </c>
      <c r="C7846" t="s">
        <v>6093</v>
      </c>
      <c r="D7846" t="s">
        <v>7991</v>
      </c>
      <c r="E7846" t="s">
        <v>15065</v>
      </c>
      <c r="F7846">
        <v>1</v>
      </c>
      <c r="G7846">
        <v>2144746</v>
      </c>
      <c r="H7846" t="s">
        <v>15066</v>
      </c>
      <c r="J7846" s="54" t="s">
        <v>6052</v>
      </c>
      <c r="K7846" s="54">
        <v>0</v>
      </c>
      <c r="L7846" s="22" t="s">
        <v>104</v>
      </c>
      <c r="M7846" s="22" t="s">
        <v>37316</v>
      </c>
    </row>
    <row r="7847" spans="1:13" x14ac:dyDescent="0.75">
      <c r="A7847" t="s">
        <v>15061</v>
      </c>
      <c r="B7847" t="s">
        <v>7990</v>
      </c>
      <c r="C7847" t="s">
        <v>6093</v>
      </c>
      <c r="D7847" t="s">
        <v>7991</v>
      </c>
      <c r="E7847" t="s">
        <v>15062</v>
      </c>
      <c r="F7847">
        <v>1</v>
      </c>
      <c r="G7847">
        <v>2145017</v>
      </c>
      <c r="H7847" t="s">
        <v>15063</v>
      </c>
      <c r="J7847" s="54" t="s">
        <v>6052</v>
      </c>
      <c r="K7847" s="54">
        <v>0</v>
      </c>
      <c r="L7847" s="22" t="s">
        <v>104</v>
      </c>
      <c r="M7847" s="22" t="s">
        <v>37316</v>
      </c>
    </row>
    <row r="7848" spans="1:13" x14ac:dyDescent="0.75">
      <c r="A7848" t="s">
        <v>15058</v>
      </c>
      <c r="B7848" t="s">
        <v>7990</v>
      </c>
      <c r="C7848" t="s">
        <v>6093</v>
      </c>
      <c r="D7848" t="s">
        <v>7991</v>
      </c>
      <c r="E7848" t="s">
        <v>15059</v>
      </c>
      <c r="F7848">
        <v>1</v>
      </c>
      <c r="G7848">
        <v>2198571</v>
      </c>
      <c r="H7848" t="s">
        <v>15060</v>
      </c>
      <c r="J7848" s="54" t="s">
        <v>6052</v>
      </c>
      <c r="K7848" s="54">
        <v>0</v>
      </c>
      <c r="L7848" s="22" t="s">
        <v>104</v>
      </c>
      <c r="M7848" s="22" t="s">
        <v>37316</v>
      </c>
    </row>
    <row r="7849" spans="1:13" x14ac:dyDescent="0.75">
      <c r="A7849" t="s">
        <v>28770</v>
      </c>
      <c r="B7849" t="s">
        <v>7990</v>
      </c>
      <c r="C7849" t="s">
        <v>6093</v>
      </c>
      <c r="D7849" t="s">
        <v>7991</v>
      </c>
      <c r="E7849" t="s">
        <v>28771</v>
      </c>
      <c r="F7849">
        <v>74</v>
      </c>
      <c r="G7849">
        <v>2052412</v>
      </c>
      <c r="H7849" t="s">
        <v>28772</v>
      </c>
      <c r="J7849" s="54" t="s">
        <v>6052</v>
      </c>
      <c r="K7849" s="54">
        <v>0</v>
      </c>
      <c r="L7849" s="22" t="s">
        <v>104</v>
      </c>
      <c r="M7849" s="22" t="s">
        <v>37316</v>
      </c>
    </row>
    <row r="7850" spans="1:13" x14ac:dyDescent="0.75">
      <c r="A7850" t="s">
        <v>8000</v>
      </c>
      <c r="B7850" t="s">
        <v>7990</v>
      </c>
      <c r="C7850" t="s">
        <v>6093</v>
      </c>
      <c r="D7850" t="s">
        <v>7991</v>
      </c>
      <c r="E7850" t="s">
        <v>8001</v>
      </c>
      <c r="F7850">
        <v>283</v>
      </c>
      <c r="G7850">
        <v>2136893</v>
      </c>
      <c r="H7850" t="s">
        <v>8002</v>
      </c>
      <c r="J7850" s="54" t="s">
        <v>6052</v>
      </c>
      <c r="K7850" s="54">
        <v>0</v>
      </c>
      <c r="L7850" s="22" t="s">
        <v>104</v>
      </c>
      <c r="M7850" s="22" t="s">
        <v>37316</v>
      </c>
    </row>
    <row r="7851" spans="1:13" x14ac:dyDescent="0.75">
      <c r="A7851" t="s">
        <v>8018</v>
      </c>
      <c r="B7851" t="s">
        <v>7990</v>
      </c>
      <c r="C7851" t="s">
        <v>6093</v>
      </c>
      <c r="D7851" t="s">
        <v>7991</v>
      </c>
      <c r="E7851" t="s">
        <v>8019</v>
      </c>
      <c r="F7851">
        <v>224</v>
      </c>
      <c r="G7851">
        <v>2107227</v>
      </c>
      <c r="H7851" t="s">
        <v>8020</v>
      </c>
      <c r="J7851" s="54" t="s">
        <v>6052</v>
      </c>
      <c r="K7851" s="54">
        <v>0</v>
      </c>
      <c r="L7851" s="22" t="s">
        <v>104</v>
      </c>
      <c r="M7851" s="22" t="s">
        <v>37316</v>
      </c>
    </row>
    <row r="7852" spans="1:13" x14ac:dyDescent="0.75">
      <c r="A7852" t="s">
        <v>8003</v>
      </c>
      <c r="B7852" t="s">
        <v>7990</v>
      </c>
      <c r="C7852" t="s">
        <v>6093</v>
      </c>
      <c r="D7852" t="s">
        <v>7991</v>
      </c>
      <c r="E7852" t="s">
        <v>8004</v>
      </c>
      <c r="F7852">
        <v>255</v>
      </c>
      <c r="G7852">
        <v>2076686</v>
      </c>
      <c r="H7852" t="s">
        <v>8005</v>
      </c>
      <c r="J7852" s="54" t="s">
        <v>6052</v>
      </c>
      <c r="K7852" s="54">
        <v>0</v>
      </c>
      <c r="L7852" s="22" t="s">
        <v>104</v>
      </c>
      <c r="M7852" s="22" t="s">
        <v>37316</v>
      </c>
    </row>
    <row r="7853" spans="1:13" x14ac:dyDescent="0.75">
      <c r="A7853" t="s">
        <v>7989</v>
      </c>
      <c r="B7853" t="s">
        <v>7990</v>
      </c>
      <c r="C7853" t="s">
        <v>6093</v>
      </c>
      <c r="D7853" t="s">
        <v>7991</v>
      </c>
      <c r="E7853" t="s">
        <v>7992</v>
      </c>
      <c r="F7853">
        <v>292</v>
      </c>
      <c r="G7853">
        <v>2053482</v>
      </c>
      <c r="H7853" t="s">
        <v>7993</v>
      </c>
      <c r="J7853" s="54" t="s">
        <v>6052</v>
      </c>
      <c r="K7853" s="54">
        <v>0</v>
      </c>
      <c r="L7853" s="22" t="s">
        <v>104</v>
      </c>
      <c r="M7853" s="22" t="s">
        <v>37316</v>
      </c>
    </row>
    <row r="7854" spans="1:13" x14ac:dyDescent="0.75">
      <c r="A7854" t="s">
        <v>8021</v>
      </c>
      <c r="B7854" t="s">
        <v>7990</v>
      </c>
      <c r="C7854" t="s">
        <v>6093</v>
      </c>
      <c r="D7854" t="s">
        <v>7991</v>
      </c>
      <c r="E7854" t="s">
        <v>8022</v>
      </c>
      <c r="F7854">
        <v>216</v>
      </c>
      <c r="G7854">
        <v>2085681</v>
      </c>
      <c r="H7854" t="s">
        <v>8023</v>
      </c>
      <c r="J7854" s="54" t="s">
        <v>6052</v>
      </c>
      <c r="K7854" s="54">
        <v>0</v>
      </c>
      <c r="L7854" s="22" t="s">
        <v>104</v>
      </c>
      <c r="M7854" s="22" t="s">
        <v>37316</v>
      </c>
    </row>
    <row r="7855" spans="1:13" x14ac:dyDescent="0.75">
      <c r="A7855" t="s">
        <v>8006</v>
      </c>
      <c r="B7855" t="s">
        <v>7990</v>
      </c>
      <c r="C7855" t="s">
        <v>6093</v>
      </c>
      <c r="D7855" t="s">
        <v>7991</v>
      </c>
      <c r="E7855" t="s">
        <v>8007</v>
      </c>
      <c r="F7855">
        <v>227</v>
      </c>
      <c r="G7855">
        <v>2070349</v>
      </c>
      <c r="H7855" t="s">
        <v>8008</v>
      </c>
      <c r="J7855" s="54" t="s">
        <v>6052</v>
      </c>
      <c r="K7855" s="54">
        <v>0</v>
      </c>
      <c r="L7855" s="22" t="s">
        <v>104</v>
      </c>
      <c r="M7855" s="22" t="s">
        <v>37316</v>
      </c>
    </row>
    <row r="7856" spans="1:13" x14ac:dyDescent="0.75">
      <c r="A7856" t="s">
        <v>8009</v>
      </c>
      <c r="B7856" t="s">
        <v>7990</v>
      </c>
      <c r="C7856" t="s">
        <v>6093</v>
      </c>
      <c r="D7856" t="s">
        <v>7991</v>
      </c>
      <c r="E7856" t="s">
        <v>8010</v>
      </c>
      <c r="F7856">
        <v>220</v>
      </c>
      <c r="G7856">
        <v>2094807</v>
      </c>
      <c r="H7856" t="s">
        <v>8011</v>
      </c>
      <c r="J7856" s="54" t="s">
        <v>6052</v>
      </c>
      <c r="K7856" s="54">
        <v>0</v>
      </c>
      <c r="L7856" s="22" t="s">
        <v>104</v>
      </c>
      <c r="M7856" s="22" t="s">
        <v>37316</v>
      </c>
    </row>
    <row r="7857" spans="1:13" x14ac:dyDescent="0.75">
      <c r="A7857" t="s">
        <v>8012</v>
      </c>
      <c r="B7857" t="s">
        <v>7990</v>
      </c>
      <c r="C7857" t="s">
        <v>6093</v>
      </c>
      <c r="D7857" t="s">
        <v>7991</v>
      </c>
      <c r="E7857" t="s">
        <v>8013</v>
      </c>
      <c r="F7857">
        <v>298</v>
      </c>
      <c r="G7857">
        <v>2070376</v>
      </c>
      <c r="H7857" t="s">
        <v>8014</v>
      </c>
      <c r="J7857" s="54" t="s">
        <v>6052</v>
      </c>
      <c r="K7857" s="54">
        <v>0</v>
      </c>
      <c r="L7857" s="22" t="s">
        <v>104</v>
      </c>
      <c r="M7857" s="22" t="s">
        <v>37316</v>
      </c>
    </row>
    <row r="7858" spans="1:13" x14ac:dyDescent="0.75">
      <c r="A7858" t="s">
        <v>8015</v>
      </c>
      <c r="B7858" t="s">
        <v>7990</v>
      </c>
      <c r="C7858" t="s">
        <v>6093</v>
      </c>
      <c r="D7858" t="s">
        <v>7991</v>
      </c>
      <c r="E7858" t="s">
        <v>8016</v>
      </c>
      <c r="F7858">
        <v>196</v>
      </c>
      <c r="G7858">
        <v>2125481</v>
      </c>
      <c r="H7858" t="s">
        <v>8017</v>
      </c>
      <c r="J7858" s="54" t="s">
        <v>6052</v>
      </c>
      <c r="K7858" s="54">
        <v>0</v>
      </c>
      <c r="L7858" s="22" t="s">
        <v>104</v>
      </c>
      <c r="M7858" s="22" t="s">
        <v>37316</v>
      </c>
    </row>
    <row r="7859" spans="1:13" x14ac:dyDescent="0.75">
      <c r="A7859" t="s">
        <v>7994</v>
      </c>
      <c r="B7859" t="s">
        <v>7990</v>
      </c>
      <c r="C7859" t="s">
        <v>6093</v>
      </c>
      <c r="D7859" t="s">
        <v>7991</v>
      </c>
      <c r="E7859" t="s">
        <v>7995</v>
      </c>
      <c r="F7859">
        <v>258</v>
      </c>
      <c r="G7859">
        <v>2106508</v>
      </c>
      <c r="H7859" t="s">
        <v>7996</v>
      </c>
      <c r="J7859" s="54" t="s">
        <v>6052</v>
      </c>
      <c r="K7859" s="54">
        <v>0</v>
      </c>
      <c r="L7859" s="22" t="s">
        <v>104</v>
      </c>
      <c r="M7859" s="22" t="s">
        <v>37316</v>
      </c>
    </row>
    <row r="7860" spans="1:13" x14ac:dyDescent="0.75">
      <c r="A7860" t="s">
        <v>7997</v>
      </c>
      <c r="B7860" t="s">
        <v>7990</v>
      </c>
      <c r="C7860" t="s">
        <v>6093</v>
      </c>
      <c r="D7860" t="s">
        <v>7991</v>
      </c>
      <c r="E7860" t="s">
        <v>7998</v>
      </c>
      <c r="F7860">
        <v>247</v>
      </c>
      <c r="G7860">
        <v>2114540</v>
      </c>
      <c r="H7860" t="s">
        <v>7999</v>
      </c>
      <c r="J7860" s="54" t="s">
        <v>6052</v>
      </c>
      <c r="K7860" s="54">
        <v>0</v>
      </c>
      <c r="L7860" s="22" t="s">
        <v>104</v>
      </c>
      <c r="M7860" s="22" t="s">
        <v>37316</v>
      </c>
    </row>
    <row r="7861" spans="1:13" x14ac:dyDescent="0.75">
      <c r="A7861" t="s">
        <v>9780</v>
      </c>
      <c r="B7861" t="s">
        <v>7990</v>
      </c>
      <c r="C7861" t="s">
        <v>6093</v>
      </c>
      <c r="D7861" t="s">
        <v>7991</v>
      </c>
      <c r="E7861" t="s">
        <v>9781</v>
      </c>
      <c r="F7861">
        <v>127</v>
      </c>
      <c r="G7861">
        <v>2112484</v>
      </c>
      <c r="H7861" t="s">
        <v>9782</v>
      </c>
      <c r="J7861" s="54" t="s">
        <v>6052</v>
      </c>
      <c r="K7861" s="54">
        <v>0</v>
      </c>
      <c r="L7861" s="22" t="s">
        <v>104</v>
      </c>
      <c r="M7861" s="22" t="s">
        <v>37316</v>
      </c>
    </row>
    <row r="7862" spans="1:13" x14ac:dyDescent="0.75">
      <c r="A7862" t="s">
        <v>11234</v>
      </c>
      <c r="B7862" t="s">
        <v>7837</v>
      </c>
      <c r="C7862" t="s">
        <v>6093</v>
      </c>
      <c r="D7862" t="s">
        <v>7838</v>
      </c>
      <c r="E7862" t="s">
        <v>11235</v>
      </c>
      <c r="F7862">
        <v>126</v>
      </c>
      <c r="G7862">
        <v>1890154</v>
      </c>
      <c r="H7862" t="s">
        <v>11236</v>
      </c>
      <c r="J7862" s="54" t="s">
        <v>6052</v>
      </c>
      <c r="K7862" s="54">
        <v>0</v>
      </c>
      <c r="L7862" s="22" t="s">
        <v>104</v>
      </c>
      <c r="M7862" s="22" t="s">
        <v>37323</v>
      </c>
    </row>
    <row r="7863" spans="1:13" x14ac:dyDescent="0.75">
      <c r="A7863" t="s">
        <v>7836</v>
      </c>
      <c r="B7863" t="s">
        <v>7837</v>
      </c>
      <c r="C7863" t="s">
        <v>6093</v>
      </c>
      <c r="D7863" t="s">
        <v>7838</v>
      </c>
      <c r="E7863" t="s">
        <v>7839</v>
      </c>
      <c r="F7863">
        <v>1</v>
      </c>
      <c r="G7863">
        <v>1943250</v>
      </c>
      <c r="H7863" t="s">
        <v>7840</v>
      </c>
      <c r="J7863" s="54" t="s">
        <v>6052</v>
      </c>
      <c r="K7863" s="54">
        <v>0</v>
      </c>
      <c r="L7863" s="22" t="s">
        <v>104</v>
      </c>
      <c r="M7863" s="22" t="s">
        <v>37323</v>
      </c>
    </row>
    <row r="7864" spans="1:13" x14ac:dyDescent="0.75">
      <c r="A7864" t="s">
        <v>8323</v>
      </c>
      <c r="B7864" t="s">
        <v>8324</v>
      </c>
      <c r="C7864" t="s">
        <v>6093</v>
      </c>
      <c r="D7864" t="s">
        <v>8325</v>
      </c>
      <c r="E7864" t="s">
        <v>8326</v>
      </c>
      <c r="F7864">
        <v>58</v>
      </c>
      <c r="G7864">
        <v>1848904</v>
      </c>
      <c r="H7864" t="s">
        <v>8327</v>
      </c>
      <c r="J7864" s="54" t="s">
        <v>6052</v>
      </c>
      <c r="K7864" s="54">
        <v>0</v>
      </c>
      <c r="L7864" s="22" t="s">
        <v>104</v>
      </c>
      <c r="M7864" s="22" t="s">
        <v>37334</v>
      </c>
    </row>
    <row r="7865" spans="1:13" x14ac:dyDescent="0.75">
      <c r="A7865" t="s">
        <v>8935</v>
      </c>
      <c r="B7865" t="s">
        <v>8936</v>
      </c>
      <c r="C7865" t="s">
        <v>6093</v>
      </c>
      <c r="D7865" t="s">
        <v>8937</v>
      </c>
      <c r="E7865" t="s">
        <v>8938</v>
      </c>
      <c r="F7865">
        <v>13</v>
      </c>
      <c r="G7865">
        <v>2231248</v>
      </c>
      <c r="H7865" t="s">
        <v>8939</v>
      </c>
      <c r="J7865" s="54" t="s">
        <v>6052</v>
      </c>
      <c r="K7865" s="54">
        <v>0</v>
      </c>
      <c r="L7865" s="22" t="s">
        <v>104</v>
      </c>
      <c r="M7865" s="22" t="s">
        <v>37336</v>
      </c>
    </row>
    <row r="7866" spans="1:13" x14ac:dyDescent="0.75">
      <c r="A7866" t="s">
        <v>11211</v>
      </c>
      <c r="B7866" t="s">
        <v>7324</v>
      </c>
      <c r="C7866" t="s">
        <v>6093</v>
      </c>
      <c r="D7866" t="s">
        <v>7325</v>
      </c>
      <c r="E7866" t="s">
        <v>11212</v>
      </c>
      <c r="F7866">
        <v>129</v>
      </c>
      <c r="G7866">
        <v>2012293</v>
      </c>
      <c r="H7866" t="s">
        <v>11213</v>
      </c>
      <c r="J7866" s="54" t="s">
        <v>6052</v>
      </c>
      <c r="K7866" s="54">
        <v>0</v>
      </c>
      <c r="L7866" s="22" t="s">
        <v>104</v>
      </c>
      <c r="M7866" s="22" t="s">
        <v>37321</v>
      </c>
    </row>
    <row r="7867" spans="1:13" x14ac:dyDescent="0.75">
      <c r="A7867" t="s">
        <v>11205</v>
      </c>
      <c r="B7867" t="s">
        <v>7324</v>
      </c>
      <c r="C7867" t="s">
        <v>6093</v>
      </c>
      <c r="D7867" t="s">
        <v>7325</v>
      </c>
      <c r="E7867" t="s">
        <v>11206</v>
      </c>
      <c r="F7867">
        <v>137</v>
      </c>
      <c r="G7867">
        <v>2012516</v>
      </c>
      <c r="H7867" t="s">
        <v>11207</v>
      </c>
      <c r="J7867" s="54" t="s">
        <v>6052</v>
      </c>
      <c r="K7867" s="54">
        <v>0</v>
      </c>
      <c r="L7867" s="22" t="s">
        <v>104</v>
      </c>
      <c r="M7867" s="22" t="s">
        <v>37321</v>
      </c>
    </row>
    <row r="7868" spans="1:13" x14ac:dyDescent="0.75">
      <c r="A7868" t="s">
        <v>12285</v>
      </c>
      <c r="B7868" t="s">
        <v>7324</v>
      </c>
      <c r="C7868" t="s">
        <v>6093</v>
      </c>
      <c r="D7868" t="s">
        <v>7325</v>
      </c>
      <c r="E7868" t="s">
        <v>12286</v>
      </c>
      <c r="F7868">
        <v>74</v>
      </c>
      <c r="G7868">
        <v>1863804</v>
      </c>
      <c r="H7868" t="s">
        <v>12287</v>
      </c>
      <c r="J7868" s="54" t="s">
        <v>6052</v>
      </c>
      <c r="K7868" s="54">
        <v>0</v>
      </c>
      <c r="L7868" s="22" t="s">
        <v>104</v>
      </c>
      <c r="M7868" s="22" t="s">
        <v>37321</v>
      </c>
    </row>
    <row r="7869" spans="1:13" x14ac:dyDescent="0.75">
      <c r="A7869" t="s">
        <v>12288</v>
      </c>
      <c r="B7869" t="s">
        <v>7324</v>
      </c>
      <c r="C7869" t="s">
        <v>6093</v>
      </c>
      <c r="D7869" t="s">
        <v>7325</v>
      </c>
      <c r="E7869" t="s">
        <v>12289</v>
      </c>
      <c r="F7869">
        <v>93</v>
      </c>
      <c r="G7869">
        <v>1882671</v>
      </c>
      <c r="H7869" t="s">
        <v>12290</v>
      </c>
      <c r="J7869" s="54" t="s">
        <v>6052</v>
      </c>
      <c r="K7869" s="54">
        <v>0</v>
      </c>
      <c r="L7869" s="22" t="s">
        <v>104</v>
      </c>
      <c r="M7869" s="22" t="s">
        <v>37321</v>
      </c>
    </row>
    <row r="7870" spans="1:13" x14ac:dyDescent="0.75">
      <c r="A7870" t="s">
        <v>7484</v>
      </c>
      <c r="B7870" t="s">
        <v>7324</v>
      </c>
      <c r="C7870" t="s">
        <v>6093</v>
      </c>
      <c r="D7870" t="s">
        <v>7325</v>
      </c>
      <c r="E7870" t="s">
        <v>7485</v>
      </c>
      <c r="F7870">
        <v>102</v>
      </c>
      <c r="G7870">
        <v>1872773</v>
      </c>
      <c r="H7870" t="s">
        <v>7486</v>
      </c>
      <c r="J7870" s="54" t="s">
        <v>6052</v>
      </c>
      <c r="K7870" s="54">
        <v>0</v>
      </c>
      <c r="L7870" s="22" t="s">
        <v>104</v>
      </c>
      <c r="M7870" s="22" t="s">
        <v>37321</v>
      </c>
    </row>
    <row r="7871" spans="1:13" x14ac:dyDescent="0.75">
      <c r="A7871" t="s">
        <v>24336</v>
      </c>
      <c r="B7871" t="s">
        <v>7324</v>
      </c>
      <c r="C7871" t="s">
        <v>6093</v>
      </c>
      <c r="D7871" t="s">
        <v>7325</v>
      </c>
      <c r="E7871" t="s">
        <v>24337</v>
      </c>
      <c r="F7871">
        <v>187</v>
      </c>
      <c r="G7871">
        <v>1919327</v>
      </c>
      <c r="H7871" t="s">
        <v>24338</v>
      </c>
      <c r="J7871" s="54" t="s">
        <v>6052</v>
      </c>
      <c r="K7871" s="54">
        <v>0</v>
      </c>
      <c r="L7871" s="22" t="s">
        <v>104</v>
      </c>
      <c r="M7871" s="22" t="s">
        <v>37321</v>
      </c>
    </row>
    <row r="7872" spans="1:13" x14ac:dyDescent="0.75">
      <c r="A7872" t="s">
        <v>21801</v>
      </c>
      <c r="B7872" t="s">
        <v>7324</v>
      </c>
      <c r="C7872" t="s">
        <v>6093</v>
      </c>
      <c r="D7872" t="s">
        <v>7325</v>
      </c>
      <c r="E7872" t="s">
        <v>21802</v>
      </c>
      <c r="F7872">
        <v>91</v>
      </c>
      <c r="G7872">
        <v>1931486</v>
      </c>
      <c r="H7872" t="s">
        <v>21803</v>
      </c>
      <c r="J7872" s="54" t="s">
        <v>6052</v>
      </c>
      <c r="K7872" s="54">
        <v>0</v>
      </c>
      <c r="L7872" s="22" t="s">
        <v>104</v>
      </c>
      <c r="M7872" s="22" t="s">
        <v>37321</v>
      </c>
    </row>
    <row r="7873" spans="1:13" x14ac:dyDescent="0.75">
      <c r="A7873" t="s">
        <v>21804</v>
      </c>
      <c r="B7873" t="s">
        <v>7324</v>
      </c>
      <c r="C7873" t="s">
        <v>6093</v>
      </c>
      <c r="D7873" t="s">
        <v>7325</v>
      </c>
      <c r="E7873" t="s">
        <v>21805</v>
      </c>
      <c r="F7873">
        <v>97</v>
      </c>
      <c r="G7873">
        <v>1927681</v>
      </c>
      <c r="H7873" t="s">
        <v>21806</v>
      </c>
      <c r="J7873" s="54" t="s">
        <v>6052</v>
      </c>
      <c r="K7873" s="54">
        <v>0</v>
      </c>
      <c r="L7873" s="22" t="s">
        <v>104</v>
      </c>
      <c r="M7873" s="22" t="s">
        <v>37321</v>
      </c>
    </row>
    <row r="7874" spans="1:13" x14ac:dyDescent="0.75">
      <c r="A7874" t="s">
        <v>24754</v>
      </c>
      <c r="B7874" t="s">
        <v>7324</v>
      </c>
      <c r="C7874" t="s">
        <v>6093</v>
      </c>
      <c r="D7874" t="s">
        <v>7325</v>
      </c>
      <c r="E7874" t="s">
        <v>24755</v>
      </c>
      <c r="F7874">
        <v>121</v>
      </c>
      <c r="G7874">
        <v>1990877</v>
      </c>
      <c r="H7874" t="s">
        <v>24756</v>
      </c>
      <c r="J7874" s="54" t="s">
        <v>6052</v>
      </c>
      <c r="K7874" s="54">
        <v>0</v>
      </c>
      <c r="L7874" s="22" t="s">
        <v>104</v>
      </c>
      <c r="M7874" s="22" t="s">
        <v>37321</v>
      </c>
    </row>
    <row r="7875" spans="1:13" x14ac:dyDescent="0.75">
      <c r="A7875" t="s">
        <v>24757</v>
      </c>
      <c r="B7875" t="s">
        <v>7324</v>
      </c>
      <c r="C7875" t="s">
        <v>6093</v>
      </c>
      <c r="D7875" t="s">
        <v>7325</v>
      </c>
      <c r="E7875" t="s">
        <v>24758</v>
      </c>
      <c r="F7875">
        <v>145</v>
      </c>
      <c r="G7875">
        <v>1989572</v>
      </c>
      <c r="H7875" t="s">
        <v>24759</v>
      </c>
      <c r="J7875" s="54" t="s">
        <v>6052</v>
      </c>
      <c r="K7875" s="54">
        <v>0</v>
      </c>
      <c r="L7875" s="22" t="s">
        <v>104</v>
      </c>
      <c r="M7875" s="22" t="s">
        <v>37321</v>
      </c>
    </row>
    <row r="7876" spans="1:13" x14ac:dyDescent="0.75">
      <c r="A7876" t="s">
        <v>24763</v>
      </c>
      <c r="B7876" t="s">
        <v>7324</v>
      </c>
      <c r="C7876" t="s">
        <v>6093</v>
      </c>
      <c r="D7876" t="s">
        <v>7325</v>
      </c>
      <c r="E7876" t="s">
        <v>24764</v>
      </c>
      <c r="F7876">
        <v>105</v>
      </c>
      <c r="G7876">
        <v>1995339</v>
      </c>
      <c r="H7876" t="s">
        <v>24765</v>
      </c>
      <c r="J7876" s="54" t="s">
        <v>6052</v>
      </c>
      <c r="K7876" s="54">
        <v>0</v>
      </c>
      <c r="L7876" s="22" t="s">
        <v>104</v>
      </c>
      <c r="M7876" s="22" t="s">
        <v>37321</v>
      </c>
    </row>
    <row r="7877" spans="1:13" x14ac:dyDescent="0.75">
      <c r="A7877" t="s">
        <v>24760</v>
      </c>
      <c r="B7877" t="s">
        <v>7324</v>
      </c>
      <c r="C7877" t="s">
        <v>6093</v>
      </c>
      <c r="D7877" t="s">
        <v>7325</v>
      </c>
      <c r="E7877" t="s">
        <v>24761</v>
      </c>
      <c r="F7877">
        <v>126</v>
      </c>
      <c r="G7877">
        <v>1993697</v>
      </c>
      <c r="H7877" t="s">
        <v>24762</v>
      </c>
      <c r="J7877" s="54" t="s">
        <v>6052</v>
      </c>
      <c r="K7877" s="54">
        <v>0</v>
      </c>
      <c r="L7877" s="22" t="s">
        <v>104</v>
      </c>
      <c r="M7877" s="22" t="s">
        <v>37321</v>
      </c>
    </row>
    <row r="7878" spans="1:13" x14ac:dyDescent="0.75">
      <c r="A7878" t="s">
        <v>24766</v>
      </c>
      <c r="B7878" t="s">
        <v>7324</v>
      </c>
      <c r="C7878" t="s">
        <v>6093</v>
      </c>
      <c r="D7878" t="s">
        <v>7325</v>
      </c>
      <c r="E7878" t="s">
        <v>24767</v>
      </c>
      <c r="F7878">
        <v>149</v>
      </c>
      <c r="G7878">
        <v>1988678</v>
      </c>
      <c r="H7878" t="s">
        <v>24768</v>
      </c>
      <c r="J7878" s="54" t="s">
        <v>6052</v>
      </c>
      <c r="K7878" s="54">
        <v>0</v>
      </c>
      <c r="L7878" s="22" t="s">
        <v>104</v>
      </c>
      <c r="M7878" s="22" t="s">
        <v>37321</v>
      </c>
    </row>
    <row r="7879" spans="1:13" x14ac:dyDescent="0.75">
      <c r="A7879" t="s">
        <v>24769</v>
      </c>
      <c r="B7879" t="s">
        <v>7324</v>
      </c>
      <c r="C7879" t="s">
        <v>6093</v>
      </c>
      <c r="D7879" t="s">
        <v>7325</v>
      </c>
      <c r="E7879" t="s">
        <v>24770</v>
      </c>
      <c r="F7879">
        <v>153</v>
      </c>
      <c r="G7879">
        <v>1964172</v>
      </c>
      <c r="H7879" t="s">
        <v>24771</v>
      </c>
      <c r="J7879" s="54" t="s">
        <v>6052</v>
      </c>
      <c r="K7879" s="54">
        <v>0</v>
      </c>
      <c r="L7879" s="22" t="s">
        <v>104</v>
      </c>
      <c r="M7879" s="22" t="s">
        <v>37321</v>
      </c>
    </row>
    <row r="7880" spans="1:13" x14ac:dyDescent="0.75">
      <c r="A7880" t="s">
        <v>28803</v>
      </c>
      <c r="B7880" t="s">
        <v>7324</v>
      </c>
      <c r="C7880" t="s">
        <v>6093</v>
      </c>
      <c r="D7880" t="s">
        <v>7325</v>
      </c>
      <c r="E7880" t="s">
        <v>28804</v>
      </c>
      <c r="F7880">
        <v>106</v>
      </c>
      <c r="G7880">
        <v>1811841</v>
      </c>
      <c r="H7880" t="s">
        <v>28805</v>
      </c>
      <c r="J7880" s="54" t="s">
        <v>6052</v>
      </c>
      <c r="K7880" s="54">
        <v>0</v>
      </c>
      <c r="L7880" s="22" t="s">
        <v>104</v>
      </c>
      <c r="M7880" s="22" t="s">
        <v>37321</v>
      </c>
    </row>
    <row r="7881" spans="1:13" x14ac:dyDescent="0.75">
      <c r="A7881" t="s">
        <v>30554</v>
      </c>
      <c r="B7881" t="s">
        <v>7324</v>
      </c>
      <c r="C7881" t="s">
        <v>6093</v>
      </c>
      <c r="D7881" t="s">
        <v>7325</v>
      </c>
      <c r="E7881" t="s">
        <v>30555</v>
      </c>
      <c r="F7881">
        <v>72</v>
      </c>
      <c r="G7881">
        <v>1832103</v>
      </c>
      <c r="H7881" t="s">
        <v>30556</v>
      </c>
      <c r="J7881" s="54" t="s">
        <v>6052</v>
      </c>
      <c r="K7881" s="54">
        <v>0</v>
      </c>
      <c r="L7881" s="22" t="s">
        <v>104</v>
      </c>
      <c r="M7881" s="22" t="s">
        <v>37321</v>
      </c>
    </row>
    <row r="7882" spans="1:13" x14ac:dyDescent="0.75">
      <c r="A7882" t="s">
        <v>7323</v>
      </c>
      <c r="B7882" t="s">
        <v>7324</v>
      </c>
      <c r="C7882" t="s">
        <v>6093</v>
      </c>
      <c r="D7882" t="s">
        <v>7325</v>
      </c>
      <c r="E7882" t="s">
        <v>7326</v>
      </c>
      <c r="F7882">
        <v>11</v>
      </c>
      <c r="G7882">
        <v>2022289</v>
      </c>
      <c r="H7882" t="s">
        <v>7327</v>
      </c>
      <c r="J7882" s="54" t="s">
        <v>6052</v>
      </c>
      <c r="K7882" s="54">
        <v>0</v>
      </c>
      <c r="L7882" s="22" t="s">
        <v>104</v>
      </c>
      <c r="M7882" s="22" t="s">
        <v>37321</v>
      </c>
    </row>
    <row r="7883" spans="1:13" x14ac:dyDescent="0.75">
      <c r="A7883" t="s">
        <v>20941</v>
      </c>
      <c r="B7883" t="s">
        <v>7324</v>
      </c>
      <c r="C7883" t="s">
        <v>6093</v>
      </c>
      <c r="D7883" t="s">
        <v>7325</v>
      </c>
      <c r="E7883" t="s">
        <v>20942</v>
      </c>
      <c r="F7883">
        <v>240</v>
      </c>
      <c r="G7883">
        <v>1842922</v>
      </c>
      <c r="H7883" t="s">
        <v>20943</v>
      </c>
      <c r="J7883" s="54" t="s">
        <v>6052</v>
      </c>
      <c r="K7883" s="54">
        <v>0</v>
      </c>
      <c r="L7883" s="22" t="s">
        <v>104</v>
      </c>
      <c r="M7883" s="22" t="s">
        <v>37321</v>
      </c>
    </row>
    <row r="7884" spans="1:13" x14ac:dyDescent="0.75">
      <c r="A7884" t="s">
        <v>28334</v>
      </c>
      <c r="B7884" t="s">
        <v>7324</v>
      </c>
      <c r="C7884" t="s">
        <v>6093</v>
      </c>
      <c r="D7884" t="s">
        <v>7325</v>
      </c>
      <c r="E7884" t="s">
        <v>28335</v>
      </c>
      <c r="F7884">
        <v>68</v>
      </c>
      <c r="G7884">
        <v>1898011</v>
      </c>
      <c r="H7884" t="s">
        <v>28336</v>
      </c>
      <c r="J7884" s="54" t="s">
        <v>6052</v>
      </c>
      <c r="K7884" s="54">
        <v>0</v>
      </c>
      <c r="L7884" s="22" t="s">
        <v>104</v>
      </c>
      <c r="M7884" s="22" t="s">
        <v>37321</v>
      </c>
    </row>
    <row r="7885" spans="1:13" x14ac:dyDescent="0.75">
      <c r="A7885" t="s">
        <v>27933</v>
      </c>
      <c r="B7885" t="s">
        <v>7324</v>
      </c>
      <c r="C7885" t="s">
        <v>6093</v>
      </c>
      <c r="D7885" t="s">
        <v>7325</v>
      </c>
      <c r="E7885" t="s">
        <v>27934</v>
      </c>
      <c r="F7885">
        <v>1</v>
      </c>
      <c r="G7885">
        <v>1950305</v>
      </c>
      <c r="H7885" t="s">
        <v>27935</v>
      </c>
      <c r="J7885" s="54" t="s">
        <v>6052</v>
      </c>
      <c r="K7885" s="54">
        <v>0</v>
      </c>
      <c r="L7885" s="22" t="s">
        <v>104</v>
      </c>
      <c r="M7885" s="22" t="s">
        <v>37321</v>
      </c>
    </row>
    <row r="7886" spans="1:13" x14ac:dyDescent="0.75">
      <c r="A7886" t="s">
        <v>23123</v>
      </c>
      <c r="B7886" t="s">
        <v>7324</v>
      </c>
      <c r="C7886" t="s">
        <v>6093</v>
      </c>
      <c r="D7886" t="s">
        <v>7325</v>
      </c>
      <c r="E7886" t="s">
        <v>23124</v>
      </c>
      <c r="F7886">
        <v>55</v>
      </c>
      <c r="G7886">
        <v>1882797</v>
      </c>
      <c r="H7886" t="s">
        <v>23125</v>
      </c>
      <c r="J7886" s="54" t="s">
        <v>6052</v>
      </c>
      <c r="K7886" s="54">
        <v>0</v>
      </c>
      <c r="L7886" s="22" t="s">
        <v>104</v>
      </c>
      <c r="M7886" s="22" t="s">
        <v>37321</v>
      </c>
    </row>
    <row r="7887" spans="1:13" x14ac:dyDescent="0.75">
      <c r="A7887" t="s">
        <v>15543</v>
      </c>
      <c r="B7887" t="s">
        <v>7324</v>
      </c>
      <c r="C7887" t="s">
        <v>6093</v>
      </c>
      <c r="D7887" t="s">
        <v>7325</v>
      </c>
      <c r="E7887" t="s">
        <v>15544</v>
      </c>
      <c r="F7887">
        <v>68</v>
      </c>
      <c r="G7887">
        <v>1898011</v>
      </c>
      <c r="H7887" t="s">
        <v>15545</v>
      </c>
      <c r="J7887" s="54" t="s">
        <v>6052</v>
      </c>
      <c r="K7887" s="54">
        <v>0</v>
      </c>
      <c r="L7887" s="22" t="s">
        <v>104</v>
      </c>
      <c r="M7887" s="22" t="s">
        <v>37321</v>
      </c>
    </row>
    <row r="7888" spans="1:13" x14ac:dyDescent="0.75">
      <c r="A7888" t="s">
        <v>23105</v>
      </c>
      <c r="B7888" t="s">
        <v>7324</v>
      </c>
      <c r="C7888" t="s">
        <v>6093</v>
      </c>
      <c r="D7888" t="s">
        <v>7325</v>
      </c>
      <c r="E7888" t="s">
        <v>23106</v>
      </c>
      <c r="F7888">
        <v>59</v>
      </c>
      <c r="G7888">
        <v>2091596</v>
      </c>
      <c r="H7888" t="s">
        <v>23107</v>
      </c>
      <c r="J7888" s="54" t="s">
        <v>6052</v>
      </c>
      <c r="K7888" s="54">
        <v>0</v>
      </c>
      <c r="L7888" s="22" t="s">
        <v>104</v>
      </c>
      <c r="M7888" s="22" t="s">
        <v>37321</v>
      </c>
    </row>
    <row r="7889" spans="1:13" x14ac:dyDescent="0.75">
      <c r="A7889" t="s">
        <v>30625</v>
      </c>
      <c r="B7889" t="s">
        <v>7324</v>
      </c>
      <c r="C7889" t="s">
        <v>6093</v>
      </c>
      <c r="D7889" t="s">
        <v>7325</v>
      </c>
      <c r="E7889" t="s">
        <v>30626</v>
      </c>
      <c r="F7889">
        <v>117</v>
      </c>
      <c r="G7889">
        <v>1849155</v>
      </c>
      <c r="H7889" t="s">
        <v>30627</v>
      </c>
      <c r="J7889" s="54" t="s">
        <v>6052</v>
      </c>
      <c r="K7889" s="54">
        <v>0</v>
      </c>
      <c r="L7889" s="22" t="s">
        <v>104</v>
      </c>
      <c r="M7889" s="22" t="s">
        <v>37321</v>
      </c>
    </row>
    <row r="7890" spans="1:13" x14ac:dyDescent="0.75">
      <c r="A7890" t="s">
        <v>30670</v>
      </c>
      <c r="B7890" t="s">
        <v>7324</v>
      </c>
      <c r="C7890" t="s">
        <v>6093</v>
      </c>
      <c r="D7890" t="s">
        <v>7325</v>
      </c>
      <c r="E7890" t="s">
        <v>30671</v>
      </c>
      <c r="F7890">
        <v>170</v>
      </c>
      <c r="G7890">
        <v>1667227</v>
      </c>
      <c r="H7890" t="s">
        <v>30672</v>
      </c>
      <c r="J7890" s="54" t="s">
        <v>6052</v>
      </c>
      <c r="K7890" s="54">
        <v>0</v>
      </c>
      <c r="L7890" s="22" t="s">
        <v>104</v>
      </c>
      <c r="M7890" s="22" t="s">
        <v>37321</v>
      </c>
    </row>
    <row r="7891" spans="1:13" x14ac:dyDescent="0.75">
      <c r="A7891" t="s">
        <v>28179</v>
      </c>
      <c r="B7891" t="s">
        <v>7324</v>
      </c>
      <c r="C7891" t="s">
        <v>6093</v>
      </c>
      <c r="D7891" t="s">
        <v>7325</v>
      </c>
      <c r="E7891" t="s">
        <v>28180</v>
      </c>
      <c r="F7891">
        <v>37</v>
      </c>
      <c r="G7891">
        <v>2029376</v>
      </c>
      <c r="H7891" t="s">
        <v>28181</v>
      </c>
      <c r="J7891" s="54" t="s">
        <v>6052</v>
      </c>
      <c r="K7891" s="54">
        <v>0</v>
      </c>
      <c r="L7891" s="22" t="s">
        <v>104</v>
      </c>
      <c r="M7891" s="22" t="s">
        <v>37321</v>
      </c>
    </row>
    <row r="7892" spans="1:13" x14ac:dyDescent="0.75">
      <c r="A7892" t="s">
        <v>22880</v>
      </c>
      <c r="B7892" t="s">
        <v>7324</v>
      </c>
      <c r="C7892" t="s">
        <v>6093</v>
      </c>
      <c r="D7892" t="s">
        <v>7325</v>
      </c>
      <c r="E7892" t="s">
        <v>22881</v>
      </c>
      <c r="F7892">
        <v>190</v>
      </c>
      <c r="G7892">
        <v>1770595</v>
      </c>
      <c r="H7892" t="s">
        <v>22882</v>
      </c>
      <c r="J7892" s="54" t="s">
        <v>6052</v>
      </c>
      <c r="K7892" s="54">
        <v>0</v>
      </c>
      <c r="L7892" s="22" t="s">
        <v>104</v>
      </c>
      <c r="M7892" s="22" t="s">
        <v>37321</v>
      </c>
    </row>
    <row r="7893" spans="1:13" x14ac:dyDescent="0.75">
      <c r="A7893" t="s">
        <v>26291</v>
      </c>
      <c r="B7893" t="s">
        <v>7324</v>
      </c>
      <c r="C7893" t="s">
        <v>6093</v>
      </c>
      <c r="D7893" t="s">
        <v>7325</v>
      </c>
      <c r="E7893" t="s">
        <v>26292</v>
      </c>
      <c r="F7893">
        <v>40</v>
      </c>
      <c r="G7893">
        <v>1894186</v>
      </c>
      <c r="H7893" t="s">
        <v>26293</v>
      </c>
      <c r="J7893" s="54" t="s">
        <v>6052</v>
      </c>
      <c r="K7893" s="54">
        <v>0</v>
      </c>
      <c r="L7893" s="22" t="s">
        <v>104</v>
      </c>
      <c r="M7893" s="22" t="s">
        <v>37321</v>
      </c>
    </row>
    <row r="7894" spans="1:13" x14ac:dyDescent="0.75">
      <c r="A7894" t="s">
        <v>1868</v>
      </c>
      <c r="B7894" t="s">
        <v>578</v>
      </c>
      <c r="C7894" t="s">
        <v>8354</v>
      </c>
      <c r="D7894" t="s">
        <v>8355</v>
      </c>
      <c r="E7894" t="s">
        <v>13979</v>
      </c>
      <c r="F7894">
        <v>140</v>
      </c>
      <c r="G7894">
        <v>3300179</v>
      </c>
      <c r="H7894" t="s">
        <v>13980</v>
      </c>
      <c r="J7894" s="54" t="s">
        <v>13979</v>
      </c>
      <c r="K7894" s="54">
        <v>2</v>
      </c>
      <c r="L7894" s="22" t="s">
        <v>104</v>
      </c>
      <c r="M7894" s="22" t="s">
        <v>579</v>
      </c>
    </row>
    <row r="7895" spans="1:13" x14ac:dyDescent="0.75">
      <c r="A7895" t="s">
        <v>1877</v>
      </c>
      <c r="B7895" t="s">
        <v>578</v>
      </c>
      <c r="C7895" t="s">
        <v>8354</v>
      </c>
      <c r="D7895" t="s">
        <v>8355</v>
      </c>
      <c r="E7895" t="s">
        <v>14005</v>
      </c>
      <c r="F7895">
        <v>98</v>
      </c>
      <c r="G7895">
        <v>3312685</v>
      </c>
      <c r="H7895" t="s">
        <v>14006</v>
      </c>
      <c r="J7895" s="54" t="s">
        <v>14005</v>
      </c>
      <c r="K7895" s="54">
        <v>2</v>
      </c>
      <c r="L7895" s="22" t="s">
        <v>104</v>
      </c>
      <c r="M7895" s="22" t="s">
        <v>579</v>
      </c>
    </row>
    <row r="7896" spans="1:13" x14ac:dyDescent="0.75">
      <c r="A7896" t="s">
        <v>5080</v>
      </c>
      <c r="B7896" t="s">
        <v>578</v>
      </c>
      <c r="C7896" t="s">
        <v>8354</v>
      </c>
      <c r="D7896" t="s">
        <v>8355</v>
      </c>
      <c r="E7896" t="s">
        <v>27136</v>
      </c>
      <c r="F7896">
        <v>73</v>
      </c>
      <c r="G7896">
        <v>3233032</v>
      </c>
      <c r="H7896" t="s">
        <v>27137</v>
      </c>
      <c r="J7896" s="54" t="s">
        <v>27136</v>
      </c>
      <c r="K7896" s="54">
        <v>2</v>
      </c>
      <c r="L7896" s="22" t="s">
        <v>104</v>
      </c>
      <c r="M7896" s="22" t="s">
        <v>579</v>
      </c>
    </row>
    <row r="7897" spans="1:13" x14ac:dyDescent="0.75">
      <c r="A7897" t="s">
        <v>5071</v>
      </c>
      <c r="B7897" t="s">
        <v>578</v>
      </c>
      <c r="C7897" t="s">
        <v>8354</v>
      </c>
      <c r="D7897" t="s">
        <v>8355</v>
      </c>
      <c r="E7897" t="s">
        <v>27134</v>
      </c>
      <c r="F7897">
        <v>99</v>
      </c>
      <c r="G7897">
        <v>3272368</v>
      </c>
      <c r="H7897" t="s">
        <v>27135</v>
      </c>
      <c r="J7897" s="54" t="s">
        <v>27134</v>
      </c>
      <c r="K7897" s="54">
        <v>2</v>
      </c>
      <c r="L7897" s="22" t="s">
        <v>104</v>
      </c>
      <c r="M7897" s="22" t="s">
        <v>579</v>
      </c>
    </row>
    <row r="7898" spans="1:13" x14ac:dyDescent="0.75">
      <c r="A7898" t="s">
        <v>5089</v>
      </c>
      <c r="B7898" t="s">
        <v>578</v>
      </c>
      <c r="C7898" t="s">
        <v>8354</v>
      </c>
      <c r="D7898" t="s">
        <v>8355</v>
      </c>
      <c r="E7898" t="s">
        <v>27138</v>
      </c>
      <c r="F7898">
        <v>94</v>
      </c>
      <c r="G7898">
        <v>3252894</v>
      </c>
      <c r="H7898" t="s">
        <v>27139</v>
      </c>
      <c r="J7898" s="54" t="s">
        <v>27138</v>
      </c>
      <c r="K7898" s="54">
        <v>2</v>
      </c>
      <c r="L7898" s="22" t="s">
        <v>104</v>
      </c>
      <c r="M7898" s="22" t="s">
        <v>579</v>
      </c>
    </row>
    <row r="7899" spans="1:13" x14ac:dyDescent="0.75">
      <c r="A7899" t="s">
        <v>5876</v>
      </c>
      <c r="B7899" t="s">
        <v>578</v>
      </c>
      <c r="C7899" t="s">
        <v>8354</v>
      </c>
      <c r="D7899" t="s">
        <v>8355</v>
      </c>
      <c r="E7899" t="s">
        <v>29914</v>
      </c>
      <c r="F7899">
        <v>106</v>
      </c>
      <c r="G7899">
        <v>3139861</v>
      </c>
      <c r="H7899" t="s">
        <v>29915</v>
      </c>
      <c r="J7899" s="54" t="s">
        <v>30844</v>
      </c>
      <c r="K7899" s="54">
        <v>2</v>
      </c>
      <c r="L7899" s="22" t="s">
        <v>104</v>
      </c>
      <c r="M7899" s="22" t="s">
        <v>579</v>
      </c>
    </row>
    <row r="7900" spans="1:13" x14ac:dyDescent="0.75">
      <c r="A7900" t="s">
        <v>5536</v>
      </c>
      <c r="B7900" t="s">
        <v>578</v>
      </c>
      <c r="C7900" t="s">
        <v>8354</v>
      </c>
      <c r="D7900" t="s">
        <v>8355</v>
      </c>
      <c r="E7900" t="s">
        <v>29092</v>
      </c>
      <c r="F7900">
        <v>93</v>
      </c>
      <c r="G7900">
        <v>2971623</v>
      </c>
      <c r="H7900" t="s">
        <v>29093</v>
      </c>
      <c r="J7900" s="54" t="s">
        <v>30844</v>
      </c>
      <c r="K7900" s="54">
        <v>2</v>
      </c>
      <c r="L7900" s="22" t="s">
        <v>104</v>
      </c>
      <c r="M7900" s="22" t="s">
        <v>579</v>
      </c>
    </row>
    <row r="7901" spans="1:13" x14ac:dyDescent="0.75">
      <c r="A7901" t="s">
        <v>1507</v>
      </c>
      <c r="B7901" t="s">
        <v>578</v>
      </c>
      <c r="C7901" t="s">
        <v>8354</v>
      </c>
      <c r="D7901" t="s">
        <v>8355</v>
      </c>
      <c r="E7901" t="s">
        <v>11855</v>
      </c>
      <c r="F7901">
        <v>1</v>
      </c>
      <c r="G7901">
        <v>3393002</v>
      </c>
      <c r="H7901" t="s">
        <v>11856</v>
      </c>
      <c r="J7901" s="54" t="s">
        <v>11855</v>
      </c>
      <c r="K7901" s="54">
        <v>2</v>
      </c>
      <c r="L7901" s="22" t="s">
        <v>104</v>
      </c>
      <c r="M7901" s="22" t="s">
        <v>579</v>
      </c>
    </row>
    <row r="7902" spans="1:13" x14ac:dyDescent="0.75">
      <c r="A7902" t="s">
        <v>1359</v>
      </c>
      <c r="B7902" t="s">
        <v>578</v>
      </c>
      <c r="C7902" t="s">
        <v>8354</v>
      </c>
      <c r="D7902" t="s">
        <v>8355</v>
      </c>
      <c r="E7902" t="s">
        <v>10866</v>
      </c>
      <c r="F7902">
        <v>141</v>
      </c>
      <c r="G7902">
        <v>3281748</v>
      </c>
      <c r="H7902" t="s">
        <v>10867</v>
      </c>
      <c r="J7902" s="54" t="s">
        <v>10866</v>
      </c>
      <c r="K7902" s="54">
        <v>2</v>
      </c>
      <c r="L7902" s="22" t="s">
        <v>104</v>
      </c>
      <c r="M7902" s="22" t="s">
        <v>579</v>
      </c>
    </row>
    <row r="7903" spans="1:13" x14ac:dyDescent="0.75">
      <c r="A7903" t="s">
        <v>2334</v>
      </c>
      <c r="B7903" t="s">
        <v>578</v>
      </c>
      <c r="C7903" t="s">
        <v>8354</v>
      </c>
      <c r="D7903" t="s">
        <v>8355</v>
      </c>
      <c r="E7903" t="s">
        <v>10866</v>
      </c>
      <c r="F7903">
        <v>115</v>
      </c>
      <c r="G7903">
        <v>3296274</v>
      </c>
      <c r="H7903" t="s">
        <v>16969</v>
      </c>
      <c r="J7903" s="54" t="s">
        <v>10866</v>
      </c>
      <c r="K7903" s="54">
        <v>2</v>
      </c>
      <c r="L7903" s="22" t="s">
        <v>104</v>
      </c>
      <c r="M7903" s="22" t="s">
        <v>579</v>
      </c>
    </row>
    <row r="7904" spans="1:13" x14ac:dyDescent="0.75">
      <c r="A7904" t="s">
        <v>577</v>
      </c>
      <c r="B7904" t="s">
        <v>578</v>
      </c>
      <c r="C7904" t="s">
        <v>8354</v>
      </c>
      <c r="D7904" t="s">
        <v>8355</v>
      </c>
      <c r="E7904" t="s">
        <v>8356</v>
      </c>
      <c r="F7904">
        <v>1</v>
      </c>
      <c r="G7904">
        <v>3405521</v>
      </c>
      <c r="H7904" t="s">
        <v>8357</v>
      </c>
      <c r="J7904" s="54" t="s">
        <v>8356</v>
      </c>
      <c r="K7904" s="54">
        <v>2</v>
      </c>
      <c r="L7904" s="22" t="s">
        <v>104</v>
      </c>
      <c r="M7904" s="22" t="s">
        <v>579</v>
      </c>
    </row>
    <row r="7905" spans="1:13" x14ac:dyDescent="0.75">
      <c r="A7905" t="s">
        <v>1693</v>
      </c>
      <c r="B7905" t="s">
        <v>578</v>
      </c>
      <c r="C7905" t="s">
        <v>8354</v>
      </c>
      <c r="D7905" t="s">
        <v>8355</v>
      </c>
      <c r="E7905">
        <v>9610</v>
      </c>
      <c r="F7905">
        <v>81</v>
      </c>
      <c r="G7905">
        <v>3201941</v>
      </c>
      <c r="H7905" t="s">
        <v>13241</v>
      </c>
      <c r="J7905" s="54">
        <v>9610</v>
      </c>
      <c r="K7905" s="54">
        <v>2</v>
      </c>
      <c r="L7905" s="22" t="s">
        <v>104</v>
      </c>
      <c r="M7905" s="22" t="s">
        <v>579</v>
      </c>
    </row>
    <row r="7906" spans="1:13" x14ac:dyDescent="0.75">
      <c r="A7906" t="s">
        <v>1517</v>
      </c>
      <c r="B7906" t="s">
        <v>578</v>
      </c>
      <c r="C7906" t="s">
        <v>8354</v>
      </c>
      <c r="D7906" t="s">
        <v>8355</v>
      </c>
      <c r="E7906">
        <v>3313</v>
      </c>
      <c r="F7906">
        <v>1</v>
      </c>
      <c r="G7906">
        <v>3350939</v>
      </c>
      <c r="H7906" t="s">
        <v>11857</v>
      </c>
      <c r="J7906" s="54">
        <v>3313</v>
      </c>
      <c r="K7906" s="54">
        <v>2</v>
      </c>
      <c r="L7906" s="22" t="s">
        <v>104</v>
      </c>
      <c r="M7906" s="22" t="s">
        <v>579</v>
      </c>
    </row>
    <row r="7907" spans="1:13" x14ac:dyDescent="0.75">
      <c r="A7907" t="s">
        <v>10249</v>
      </c>
      <c r="B7907" t="s">
        <v>7831</v>
      </c>
      <c r="C7907" t="s">
        <v>7832</v>
      </c>
      <c r="D7907" t="s">
        <v>7833</v>
      </c>
      <c r="E7907" t="s">
        <v>10250</v>
      </c>
      <c r="F7907">
        <v>1</v>
      </c>
      <c r="G7907">
        <v>4731359</v>
      </c>
      <c r="H7907" t="s">
        <v>10251</v>
      </c>
      <c r="J7907" s="54" t="s">
        <v>6052</v>
      </c>
      <c r="K7907" s="54">
        <v>0</v>
      </c>
      <c r="L7907" s="22" t="s">
        <v>144</v>
      </c>
      <c r="M7907" s="22" t="s">
        <v>37337</v>
      </c>
    </row>
    <row r="7908" spans="1:13" x14ac:dyDescent="0.75">
      <c r="A7908" t="s">
        <v>19700</v>
      </c>
      <c r="B7908" t="s">
        <v>7831</v>
      </c>
      <c r="C7908" t="s">
        <v>7832</v>
      </c>
      <c r="D7908" t="s">
        <v>7833</v>
      </c>
      <c r="E7908" t="s">
        <v>19701</v>
      </c>
      <c r="F7908">
        <v>1</v>
      </c>
      <c r="G7908">
        <v>4639098</v>
      </c>
      <c r="H7908" t="s">
        <v>19702</v>
      </c>
      <c r="J7908" s="54" t="s">
        <v>6052</v>
      </c>
      <c r="K7908" s="54">
        <v>0</v>
      </c>
      <c r="L7908" s="22" t="s">
        <v>144</v>
      </c>
      <c r="M7908" s="22" t="s">
        <v>37337</v>
      </c>
    </row>
    <row r="7909" spans="1:13" x14ac:dyDescent="0.75">
      <c r="A7909" t="s">
        <v>7830</v>
      </c>
      <c r="B7909" t="s">
        <v>7831</v>
      </c>
      <c r="C7909" t="s">
        <v>7832</v>
      </c>
      <c r="D7909" t="s">
        <v>7833</v>
      </c>
      <c r="E7909" t="s">
        <v>7834</v>
      </c>
      <c r="F7909">
        <v>1</v>
      </c>
      <c r="G7909">
        <v>4547930</v>
      </c>
      <c r="H7909" t="s">
        <v>7835</v>
      </c>
      <c r="J7909" s="54" t="s">
        <v>6052</v>
      </c>
      <c r="K7909" s="54">
        <v>0</v>
      </c>
      <c r="L7909" s="22" t="s">
        <v>144</v>
      </c>
      <c r="M7909" s="22" t="s">
        <v>37337</v>
      </c>
    </row>
    <row r="7910" spans="1:13" x14ac:dyDescent="0.75">
      <c r="A7910" t="s">
        <v>20690</v>
      </c>
      <c r="B7910" t="s">
        <v>7831</v>
      </c>
      <c r="C7910" t="s">
        <v>7832</v>
      </c>
      <c r="D7910" t="s">
        <v>7833</v>
      </c>
      <c r="E7910" t="s">
        <v>20691</v>
      </c>
      <c r="F7910">
        <v>2</v>
      </c>
      <c r="G7910">
        <v>5066586</v>
      </c>
      <c r="H7910" t="s">
        <v>20692</v>
      </c>
      <c r="J7910" s="54" t="s">
        <v>6052</v>
      </c>
      <c r="K7910" s="54">
        <v>0</v>
      </c>
      <c r="L7910" s="22" t="s">
        <v>144</v>
      </c>
      <c r="M7910" s="22" t="s">
        <v>37337</v>
      </c>
    </row>
    <row r="7911" spans="1:13" x14ac:dyDescent="0.75">
      <c r="A7911" t="s">
        <v>17959</v>
      </c>
      <c r="B7911" t="s">
        <v>7831</v>
      </c>
      <c r="C7911" t="s">
        <v>7832</v>
      </c>
      <c r="D7911" t="s">
        <v>7833</v>
      </c>
      <c r="E7911" t="s">
        <v>17960</v>
      </c>
      <c r="F7911">
        <v>2</v>
      </c>
      <c r="G7911">
        <v>4948328</v>
      </c>
      <c r="H7911" t="s">
        <v>17961</v>
      </c>
      <c r="J7911" s="54" t="s">
        <v>6052</v>
      </c>
      <c r="K7911" s="54">
        <v>0</v>
      </c>
      <c r="L7911" s="22" t="s">
        <v>144</v>
      </c>
      <c r="M7911" s="22" t="s">
        <v>37337</v>
      </c>
    </row>
    <row r="7912" spans="1:13" x14ac:dyDescent="0.75">
      <c r="A7912" t="s">
        <v>9006</v>
      </c>
      <c r="B7912" t="s">
        <v>7831</v>
      </c>
      <c r="C7912" t="s">
        <v>7832</v>
      </c>
      <c r="D7912" t="s">
        <v>7833</v>
      </c>
      <c r="E7912" t="s">
        <v>9007</v>
      </c>
      <c r="F7912">
        <v>4</v>
      </c>
      <c r="G7912">
        <v>4600489</v>
      </c>
      <c r="H7912" t="s">
        <v>9008</v>
      </c>
      <c r="J7912" s="54" t="s">
        <v>6052</v>
      </c>
      <c r="K7912" s="54">
        <v>0</v>
      </c>
      <c r="L7912" s="22" t="s">
        <v>144</v>
      </c>
      <c r="M7912" s="22" t="s">
        <v>37337</v>
      </c>
    </row>
    <row r="7913" spans="1:13" x14ac:dyDescent="0.75">
      <c r="A7913" t="s">
        <v>30059</v>
      </c>
      <c r="B7913" t="s">
        <v>12538</v>
      </c>
      <c r="C7913" t="s">
        <v>8354</v>
      </c>
      <c r="D7913" t="s">
        <v>12539</v>
      </c>
      <c r="E7913" t="s">
        <v>30060</v>
      </c>
      <c r="F7913">
        <v>138</v>
      </c>
      <c r="G7913">
        <v>2605542</v>
      </c>
      <c r="H7913" t="s">
        <v>30061</v>
      </c>
      <c r="J7913" s="54" t="s">
        <v>6052</v>
      </c>
      <c r="K7913" s="54">
        <v>0</v>
      </c>
      <c r="L7913" s="22" t="s">
        <v>104</v>
      </c>
      <c r="M7913" s="22" t="s">
        <v>37338</v>
      </c>
    </row>
    <row r="7914" spans="1:13" x14ac:dyDescent="0.75">
      <c r="A7914" t="s">
        <v>29164</v>
      </c>
      <c r="B7914" t="s">
        <v>12538</v>
      </c>
      <c r="C7914" t="s">
        <v>8354</v>
      </c>
      <c r="D7914" t="s">
        <v>12539</v>
      </c>
      <c r="E7914" t="s">
        <v>29165</v>
      </c>
      <c r="F7914">
        <v>282</v>
      </c>
      <c r="G7914">
        <v>1941934</v>
      </c>
      <c r="H7914" t="s">
        <v>29166</v>
      </c>
      <c r="J7914" s="54" t="s">
        <v>6052</v>
      </c>
      <c r="K7914" s="54">
        <v>0</v>
      </c>
      <c r="L7914" s="22" t="s">
        <v>104</v>
      </c>
      <c r="M7914" s="22" t="s">
        <v>37338</v>
      </c>
    </row>
    <row r="7915" spans="1:13" x14ac:dyDescent="0.75">
      <c r="A7915" t="s">
        <v>29002</v>
      </c>
      <c r="B7915" t="s">
        <v>12538</v>
      </c>
      <c r="C7915" t="s">
        <v>8354</v>
      </c>
      <c r="D7915" t="s">
        <v>12539</v>
      </c>
      <c r="E7915" t="s">
        <v>29003</v>
      </c>
      <c r="F7915">
        <v>141</v>
      </c>
      <c r="G7915">
        <v>2717455</v>
      </c>
      <c r="H7915" t="s">
        <v>29004</v>
      </c>
      <c r="J7915" s="54" t="s">
        <v>6052</v>
      </c>
      <c r="K7915" s="54">
        <v>0</v>
      </c>
      <c r="L7915" s="22" t="s">
        <v>104</v>
      </c>
      <c r="M7915" s="22" t="s">
        <v>37338</v>
      </c>
    </row>
    <row r="7916" spans="1:13" x14ac:dyDescent="0.75">
      <c r="A7916" t="s">
        <v>14778</v>
      </c>
      <c r="B7916" t="s">
        <v>12538</v>
      </c>
      <c r="C7916" t="s">
        <v>8354</v>
      </c>
      <c r="D7916" t="s">
        <v>12539</v>
      </c>
      <c r="E7916" t="s">
        <v>14779</v>
      </c>
      <c r="F7916">
        <v>1</v>
      </c>
      <c r="G7916">
        <v>3013600</v>
      </c>
      <c r="H7916" t="s">
        <v>14780</v>
      </c>
      <c r="J7916" s="54" t="s">
        <v>6052</v>
      </c>
      <c r="K7916" s="54">
        <v>0</v>
      </c>
      <c r="L7916" s="22" t="s">
        <v>104</v>
      </c>
      <c r="M7916" s="22" t="s">
        <v>37338</v>
      </c>
    </row>
    <row r="7917" spans="1:13" x14ac:dyDescent="0.75">
      <c r="A7917" t="s">
        <v>12537</v>
      </c>
      <c r="B7917" t="s">
        <v>12538</v>
      </c>
      <c r="C7917" t="s">
        <v>8354</v>
      </c>
      <c r="D7917" t="s">
        <v>12539</v>
      </c>
      <c r="E7917" t="s">
        <v>12540</v>
      </c>
      <c r="F7917">
        <v>1</v>
      </c>
      <c r="G7917">
        <v>2973544</v>
      </c>
      <c r="H7917" t="s">
        <v>12541</v>
      </c>
      <c r="J7917" s="54" t="s">
        <v>6052</v>
      </c>
      <c r="K7917" s="54">
        <v>0</v>
      </c>
      <c r="L7917" s="22" t="s">
        <v>104</v>
      </c>
      <c r="M7917" s="22" t="s">
        <v>37338</v>
      </c>
    </row>
    <row r="7918" spans="1:13" x14ac:dyDescent="0.75">
      <c r="A7918" t="s">
        <v>25168</v>
      </c>
      <c r="B7918" t="s">
        <v>6147</v>
      </c>
      <c r="C7918" t="s">
        <v>6136</v>
      </c>
      <c r="D7918" t="s">
        <v>6148</v>
      </c>
      <c r="E7918" t="s">
        <v>25169</v>
      </c>
      <c r="F7918">
        <v>1</v>
      </c>
      <c r="G7918">
        <v>1139879</v>
      </c>
      <c r="H7918" t="s">
        <v>25170</v>
      </c>
      <c r="J7918" s="54" t="s">
        <v>6052</v>
      </c>
      <c r="K7918" s="54">
        <v>0</v>
      </c>
      <c r="L7918" s="22" t="s">
        <v>36804</v>
      </c>
      <c r="M7918" s="22" t="s">
        <v>37339</v>
      </c>
    </row>
    <row r="7919" spans="1:13" x14ac:dyDescent="0.75">
      <c r="A7919" t="s">
        <v>25171</v>
      </c>
      <c r="B7919" t="s">
        <v>6147</v>
      </c>
      <c r="C7919" t="s">
        <v>6136</v>
      </c>
      <c r="D7919" t="s">
        <v>6148</v>
      </c>
      <c r="E7919" t="s">
        <v>25172</v>
      </c>
      <c r="F7919">
        <v>1</v>
      </c>
      <c r="G7919">
        <v>1140667</v>
      </c>
      <c r="H7919" t="s">
        <v>25173</v>
      </c>
      <c r="J7919" s="54" t="s">
        <v>6052</v>
      </c>
      <c r="K7919" s="54">
        <v>0</v>
      </c>
      <c r="L7919" s="22" t="s">
        <v>36804</v>
      </c>
      <c r="M7919" s="22" t="s">
        <v>37339</v>
      </c>
    </row>
    <row r="7920" spans="1:13" x14ac:dyDescent="0.75">
      <c r="A7920" t="s">
        <v>25174</v>
      </c>
      <c r="B7920" t="s">
        <v>6147</v>
      </c>
      <c r="C7920" t="s">
        <v>6136</v>
      </c>
      <c r="D7920" t="s">
        <v>6148</v>
      </c>
      <c r="E7920" t="s">
        <v>25175</v>
      </c>
      <c r="F7920">
        <v>1</v>
      </c>
      <c r="G7920">
        <v>1140433</v>
      </c>
      <c r="H7920" t="s">
        <v>25176</v>
      </c>
      <c r="J7920" s="54" t="s">
        <v>6052</v>
      </c>
      <c r="K7920" s="54">
        <v>0</v>
      </c>
      <c r="L7920" s="22" t="s">
        <v>36804</v>
      </c>
      <c r="M7920" s="22" t="s">
        <v>37339</v>
      </c>
    </row>
    <row r="7921" spans="1:13" x14ac:dyDescent="0.75">
      <c r="A7921" t="s">
        <v>9237</v>
      </c>
      <c r="B7921" t="s">
        <v>6135</v>
      </c>
      <c r="C7921" t="s">
        <v>6136</v>
      </c>
      <c r="D7921" t="s">
        <v>6137</v>
      </c>
      <c r="E7921" t="s">
        <v>9238</v>
      </c>
      <c r="F7921">
        <v>18</v>
      </c>
      <c r="G7921">
        <v>2843090</v>
      </c>
      <c r="H7921" t="s">
        <v>9239</v>
      </c>
      <c r="J7921" s="54" t="s">
        <v>6052</v>
      </c>
      <c r="K7921" s="54">
        <v>0</v>
      </c>
      <c r="L7921" s="22" t="s">
        <v>104</v>
      </c>
      <c r="M7921" s="22" t="s">
        <v>37340</v>
      </c>
    </row>
    <row r="7922" spans="1:13" x14ac:dyDescent="0.75">
      <c r="A7922" t="s">
        <v>9047</v>
      </c>
      <c r="B7922" t="s">
        <v>6135</v>
      </c>
      <c r="C7922" t="s">
        <v>6136</v>
      </c>
      <c r="D7922" t="s">
        <v>6137</v>
      </c>
      <c r="E7922" t="s">
        <v>9048</v>
      </c>
      <c r="F7922">
        <v>43</v>
      </c>
      <c r="G7922">
        <v>2768236</v>
      </c>
      <c r="H7922" t="s">
        <v>9049</v>
      </c>
      <c r="J7922" s="54" t="s">
        <v>6052</v>
      </c>
      <c r="K7922" s="54">
        <v>0</v>
      </c>
      <c r="L7922" s="22" t="s">
        <v>104</v>
      </c>
      <c r="M7922" s="22" t="s">
        <v>37340</v>
      </c>
    </row>
    <row r="7923" spans="1:13" x14ac:dyDescent="0.75">
      <c r="A7923" t="s">
        <v>9044</v>
      </c>
      <c r="B7923" t="s">
        <v>6135</v>
      </c>
      <c r="C7923" t="s">
        <v>6136</v>
      </c>
      <c r="D7923" t="s">
        <v>6137</v>
      </c>
      <c r="E7923" t="s">
        <v>9045</v>
      </c>
      <c r="F7923">
        <v>25</v>
      </c>
      <c r="G7923">
        <v>2886890</v>
      </c>
      <c r="H7923" t="s">
        <v>9046</v>
      </c>
      <c r="J7923" s="54" t="s">
        <v>6052</v>
      </c>
      <c r="K7923" s="54">
        <v>0</v>
      </c>
      <c r="L7923" s="22" t="s">
        <v>104</v>
      </c>
      <c r="M7923" s="22" t="s">
        <v>37340</v>
      </c>
    </row>
    <row r="7924" spans="1:13" x14ac:dyDescent="0.75">
      <c r="A7924" t="s">
        <v>9041</v>
      </c>
      <c r="B7924" t="s">
        <v>6135</v>
      </c>
      <c r="C7924" t="s">
        <v>6136</v>
      </c>
      <c r="D7924" t="s">
        <v>6137</v>
      </c>
      <c r="E7924" t="s">
        <v>9042</v>
      </c>
      <c r="F7924">
        <v>25</v>
      </c>
      <c r="G7924">
        <v>2762110</v>
      </c>
      <c r="H7924" t="s">
        <v>9043</v>
      </c>
      <c r="J7924" s="54" t="s">
        <v>6052</v>
      </c>
      <c r="K7924" s="54">
        <v>0</v>
      </c>
      <c r="L7924" s="22" t="s">
        <v>104</v>
      </c>
      <c r="M7924" s="22" t="s">
        <v>37340</v>
      </c>
    </row>
    <row r="7925" spans="1:13" x14ac:dyDescent="0.75">
      <c r="A7925" t="s">
        <v>9231</v>
      </c>
      <c r="B7925" t="s">
        <v>6135</v>
      </c>
      <c r="C7925" t="s">
        <v>6136</v>
      </c>
      <c r="D7925" t="s">
        <v>6137</v>
      </c>
      <c r="E7925" t="s">
        <v>9232</v>
      </c>
      <c r="F7925">
        <v>33</v>
      </c>
      <c r="G7925">
        <v>2771508</v>
      </c>
      <c r="H7925" t="s">
        <v>9233</v>
      </c>
      <c r="J7925" s="54" t="s">
        <v>6052</v>
      </c>
      <c r="K7925" s="54">
        <v>0</v>
      </c>
      <c r="L7925" s="22" t="s">
        <v>104</v>
      </c>
      <c r="M7925" s="22" t="s">
        <v>37340</v>
      </c>
    </row>
    <row r="7926" spans="1:13" x14ac:dyDescent="0.75">
      <c r="A7926" t="s">
        <v>6134</v>
      </c>
      <c r="B7926" t="s">
        <v>6135</v>
      </c>
      <c r="C7926" t="s">
        <v>6136</v>
      </c>
      <c r="D7926" t="s">
        <v>6137</v>
      </c>
      <c r="E7926" t="s">
        <v>6138</v>
      </c>
      <c r="F7926">
        <v>1</v>
      </c>
      <c r="G7926">
        <v>2843201</v>
      </c>
      <c r="H7926" t="s">
        <v>6139</v>
      </c>
      <c r="J7926" s="54" t="s">
        <v>6052</v>
      </c>
      <c r="K7926" s="54">
        <v>0</v>
      </c>
      <c r="L7926" s="22" t="s">
        <v>104</v>
      </c>
      <c r="M7926" s="22" t="s">
        <v>37340</v>
      </c>
    </row>
    <row r="7927" spans="1:13" x14ac:dyDescent="0.75">
      <c r="A7927" t="s">
        <v>23564</v>
      </c>
      <c r="B7927" t="s">
        <v>6135</v>
      </c>
      <c r="C7927" t="s">
        <v>6136</v>
      </c>
      <c r="D7927" t="s">
        <v>6137</v>
      </c>
      <c r="E7927" t="s">
        <v>23565</v>
      </c>
      <c r="F7927">
        <v>1</v>
      </c>
      <c r="G7927">
        <v>2758702</v>
      </c>
      <c r="H7927" t="s">
        <v>23566</v>
      </c>
      <c r="J7927" s="54" t="s">
        <v>6052</v>
      </c>
      <c r="K7927" s="54">
        <v>0</v>
      </c>
      <c r="L7927" s="22" t="s">
        <v>104</v>
      </c>
      <c r="M7927" s="22" t="s">
        <v>37340</v>
      </c>
    </row>
    <row r="7928" spans="1:13" x14ac:dyDescent="0.75">
      <c r="A7928" t="s">
        <v>23546</v>
      </c>
      <c r="B7928" t="s">
        <v>6135</v>
      </c>
      <c r="C7928" t="s">
        <v>6136</v>
      </c>
      <c r="D7928" t="s">
        <v>6137</v>
      </c>
      <c r="E7928" t="s">
        <v>23547</v>
      </c>
      <c r="F7928">
        <v>1</v>
      </c>
      <c r="G7928">
        <v>2892458</v>
      </c>
      <c r="H7928" t="s">
        <v>23548</v>
      </c>
      <c r="J7928" s="54" t="s">
        <v>6052</v>
      </c>
      <c r="K7928" s="54">
        <v>0</v>
      </c>
      <c r="L7928" s="22" t="s">
        <v>104</v>
      </c>
      <c r="M7928" s="22" t="s">
        <v>37340</v>
      </c>
    </row>
    <row r="7929" spans="1:13" x14ac:dyDescent="0.75">
      <c r="A7929" t="s">
        <v>7540</v>
      </c>
      <c r="B7929" t="s">
        <v>6135</v>
      </c>
      <c r="C7929" t="s">
        <v>6136</v>
      </c>
      <c r="D7929" t="s">
        <v>6137</v>
      </c>
      <c r="E7929" t="s">
        <v>7541</v>
      </c>
      <c r="F7929">
        <v>31</v>
      </c>
      <c r="G7929">
        <v>2742634</v>
      </c>
      <c r="H7929" t="s">
        <v>7542</v>
      </c>
      <c r="J7929" s="54" t="s">
        <v>6052</v>
      </c>
      <c r="K7929" s="54">
        <v>0</v>
      </c>
      <c r="L7929" s="22" t="s">
        <v>104</v>
      </c>
      <c r="M7929" s="22" t="s">
        <v>37340</v>
      </c>
    </row>
    <row r="7930" spans="1:13" x14ac:dyDescent="0.75">
      <c r="A7930" t="s">
        <v>9225</v>
      </c>
      <c r="B7930" t="s">
        <v>6135</v>
      </c>
      <c r="C7930" t="s">
        <v>6136</v>
      </c>
      <c r="D7930" t="s">
        <v>6137</v>
      </c>
      <c r="E7930" t="s">
        <v>9226</v>
      </c>
      <c r="F7930">
        <v>26</v>
      </c>
      <c r="G7930">
        <v>2929700</v>
      </c>
      <c r="H7930" t="s">
        <v>9227</v>
      </c>
      <c r="J7930" s="54" t="s">
        <v>6052</v>
      </c>
      <c r="K7930" s="54">
        <v>0</v>
      </c>
      <c r="L7930" s="22" t="s">
        <v>104</v>
      </c>
      <c r="M7930" s="22" t="s">
        <v>37340</v>
      </c>
    </row>
    <row r="7931" spans="1:13" x14ac:dyDescent="0.75">
      <c r="A7931" t="s">
        <v>9228</v>
      </c>
      <c r="B7931" t="s">
        <v>6135</v>
      </c>
      <c r="C7931" t="s">
        <v>6136</v>
      </c>
      <c r="D7931" t="s">
        <v>6137</v>
      </c>
      <c r="E7931" t="s">
        <v>9229</v>
      </c>
      <c r="F7931">
        <v>21</v>
      </c>
      <c r="G7931">
        <v>2757856</v>
      </c>
      <c r="H7931" t="s">
        <v>9230</v>
      </c>
      <c r="J7931" s="54" t="s">
        <v>6052</v>
      </c>
      <c r="K7931" s="54">
        <v>0</v>
      </c>
      <c r="L7931" s="22" t="s">
        <v>104</v>
      </c>
      <c r="M7931" s="22" t="s">
        <v>37340</v>
      </c>
    </row>
    <row r="7932" spans="1:13" x14ac:dyDescent="0.75">
      <c r="A7932" t="s">
        <v>24224</v>
      </c>
      <c r="B7932" t="s">
        <v>6135</v>
      </c>
      <c r="C7932" t="s">
        <v>6136</v>
      </c>
      <c r="D7932" t="s">
        <v>6137</v>
      </c>
      <c r="E7932" t="s">
        <v>24225</v>
      </c>
      <c r="F7932">
        <v>1</v>
      </c>
      <c r="G7932">
        <v>2778422</v>
      </c>
      <c r="H7932" t="s">
        <v>24226</v>
      </c>
      <c r="J7932" s="54" t="s">
        <v>6052</v>
      </c>
      <c r="K7932" s="54">
        <v>0</v>
      </c>
      <c r="L7932" s="22" t="s">
        <v>104</v>
      </c>
      <c r="M7932" s="22" t="s">
        <v>37340</v>
      </c>
    </row>
    <row r="7933" spans="1:13" x14ac:dyDescent="0.75">
      <c r="A7933" t="s">
        <v>27839</v>
      </c>
      <c r="B7933" t="s">
        <v>6135</v>
      </c>
      <c r="C7933" t="s">
        <v>6136</v>
      </c>
      <c r="D7933" t="s">
        <v>6137</v>
      </c>
      <c r="E7933" t="s">
        <v>27840</v>
      </c>
      <c r="F7933">
        <v>46</v>
      </c>
      <c r="G7933">
        <v>2795521</v>
      </c>
      <c r="H7933" t="s">
        <v>27841</v>
      </c>
      <c r="J7933" s="54" t="s">
        <v>6052</v>
      </c>
      <c r="K7933" s="54">
        <v>0</v>
      </c>
      <c r="L7933" s="22" t="s">
        <v>104</v>
      </c>
      <c r="M7933" s="22" t="s">
        <v>37340</v>
      </c>
    </row>
    <row r="7934" spans="1:13" x14ac:dyDescent="0.75">
      <c r="A7934" t="s">
        <v>9038</v>
      </c>
      <c r="B7934" t="s">
        <v>6135</v>
      </c>
      <c r="C7934" t="s">
        <v>6136</v>
      </c>
      <c r="D7934" t="s">
        <v>6137</v>
      </c>
      <c r="E7934" t="s">
        <v>9039</v>
      </c>
      <c r="F7934">
        <v>22</v>
      </c>
      <c r="G7934">
        <v>2935848</v>
      </c>
      <c r="H7934" t="s">
        <v>9040</v>
      </c>
      <c r="J7934" s="54" t="s">
        <v>6052</v>
      </c>
      <c r="K7934" s="54">
        <v>0</v>
      </c>
      <c r="L7934" s="22" t="s">
        <v>104</v>
      </c>
      <c r="M7934" s="22" t="s">
        <v>37340</v>
      </c>
    </row>
    <row r="7935" spans="1:13" x14ac:dyDescent="0.75">
      <c r="A7935" t="s">
        <v>23558</v>
      </c>
      <c r="B7935" t="s">
        <v>6135</v>
      </c>
      <c r="C7935" t="s">
        <v>6136</v>
      </c>
      <c r="D7935" t="s">
        <v>6137</v>
      </c>
      <c r="E7935" t="s">
        <v>23559</v>
      </c>
      <c r="F7935">
        <v>1</v>
      </c>
      <c r="G7935">
        <v>2853053</v>
      </c>
      <c r="H7935" t="s">
        <v>23560</v>
      </c>
      <c r="J7935" s="54" t="s">
        <v>6052</v>
      </c>
      <c r="K7935" s="54">
        <v>0</v>
      </c>
      <c r="L7935" s="22" t="s">
        <v>104</v>
      </c>
      <c r="M7935" s="22" t="s">
        <v>37340</v>
      </c>
    </row>
    <row r="7936" spans="1:13" x14ac:dyDescent="0.75">
      <c r="A7936" t="s">
        <v>23555</v>
      </c>
      <c r="B7936" t="s">
        <v>6135</v>
      </c>
      <c r="C7936" t="s">
        <v>6136</v>
      </c>
      <c r="D7936" t="s">
        <v>6137</v>
      </c>
      <c r="E7936" t="s">
        <v>23556</v>
      </c>
      <c r="F7936">
        <v>1</v>
      </c>
      <c r="G7936">
        <v>2747952</v>
      </c>
      <c r="H7936" t="s">
        <v>23557</v>
      </c>
      <c r="J7936" s="54" t="s">
        <v>6052</v>
      </c>
      <c r="K7936" s="54">
        <v>0</v>
      </c>
      <c r="L7936" s="22" t="s">
        <v>104</v>
      </c>
      <c r="M7936" s="22" t="s">
        <v>37340</v>
      </c>
    </row>
    <row r="7937" spans="1:13" x14ac:dyDescent="0.75">
      <c r="A7937" t="s">
        <v>23549</v>
      </c>
      <c r="B7937" t="s">
        <v>6135</v>
      </c>
      <c r="C7937" t="s">
        <v>6136</v>
      </c>
      <c r="D7937" t="s">
        <v>6137</v>
      </c>
      <c r="E7937" t="s">
        <v>23550</v>
      </c>
      <c r="F7937">
        <v>1</v>
      </c>
      <c r="G7937">
        <v>2882651</v>
      </c>
      <c r="H7937" t="s">
        <v>23551</v>
      </c>
      <c r="J7937" s="54" t="s">
        <v>6052</v>
      </c>
      <c r="K7937" s="54">
        <v>0</v>
      </c>
      <c r="L7937" s="22" t="s">
        <v>104</v>
      </c>
      <c r="M7937" s="22" t="s">
        <v>37340</v>
      </c>
    </row>
    <row r="7938" spans="1:13" x14ac:dyDescent="0.75">
      <c r="A7938" t="s">
        <v>23561</v>
      </c>
      <c r="B7938" t="s">
        <v>6135</v>
      </c>
      <c r="C7938" t="s">
        <v>6136</v>
      </c>
      <c r="D7938" t="s">
        <v>6137</v>
      </c>
      <c r="E7938" t="s">
        <v>23562</v>
      </c>
      <c r="F7938">
        <v>1</v>
      </c>
      <c r="G7938">
        <v>2782312</v>
      </c>
      <c r="H7938" t="s">
        <v>23563</v>
      </c>
      <c r="J7938" s="54" t="s">
        <v>6052</v>
      </c>
      <c r="K7938" s="54">
        <v>0</v>
      </c>
      <c r="L7938" s="22" t="s">
        <v>104</v>
      </c>
      <c r="M7938" s="22" t="s">
        <v>37340</v>
      </c>
    </row>
    <row r="7939" spans="1:13" x14ac:dyDescent="0.75">
      <c r="A7939" t="s">
        <v>23552</v>
      </c>
      <c r="B7939" t="s">
        <v>6135</v>
      </c>
      <c r="C7939" t="s">
        <v>6136</v>
      </c>
      <c r="D7939" t="s">
        <v>6137</v>
      </c>
      <c r="E7939" t="s">
        <v>23553</v>
      </c>
      <c r="F7939">
        <v>1</v>
      </c>
      <c r="G7939">
        <v>2817074</v>
      </c>
      <c r="H7939" t="s">
        <v>23554</v>
      </c>
      <c r="J7939" s="54" t="s">
        <v>6052</v>
      </c>
      <c r="K7939" s="54">
        <v>0</v>
      </c>
      <c r="L7939" s="22" t="s">
        <v>104</v>
      </c>
      <c r="M7939" s="22" t="s">
        <v>37340</v>
      </c>
    </row>
    <row r="7940" spans="1:13" x14ac:dyDescent="0.75">
      <c r="A7940" t="s">
        <v>23543</v>
      </c>
      <c r="B7940" t="s">
        <v>6135</v>
      </c>
      <c r="C7940" t="s">
        <v>6136</v>
      </c>
      <c r="D7940" t="s">
        <v>6137</v>
      </c>
      <c r="E7940" t="s">
        <v>23544</v>
      </c>
      <c r="F7940">
        <v>1</v>
      </c>
      <c r="G7940">
        <v>2841718</v>
      </c>
      <c r="H7940" t="s">
        <v>23545</v>
      </c>
      <c r="J7940" s="54" t="s">
        <v>6052</v>
      </c>
      <c r="K7940" s="54">
        <v>0</v>
      </c>
      <c r="L7940" s="22" t="s">
        <v>104</v>
      </c>
      <c r="M7940" s="22" t="s">
        <v>37340</v>
      </c>
    </row>
    <row r="7941" spans="1:13" x14ac:dyDescent="0.75">
      <c r="A7941" t="s">
        <v>7812</v>
      </c>
      <c r="B7941" t="s">
        <v>6147</v>
      </c>
      <c r="C7941" t="s">
        <v>6136</v>
      </c>
      <c r="D7941" t="s">
        <v>6148</v>
      </c>
      <c r="E7941" t="s">
        <v>7813</v>
      </c>
      <c r="F7941">
        <v>1</v>
      </c>
      <c r="G7941">
        <v>1133390</v>
      </c>
      <c r="H7941" t="s">
        <v>7814</v>
      </c>
      <c r="J7941" s="54" t="s">
        <v>6052</v>
      </c>
      <c r="K7941" s="54">
        <v>0</v>
      </c>
      <c r="L7941" s="22" t="s">
        <v>36804</v>
      </c>
      <c r="M7941" s="22" t="s">
        <v>37339</v>
      </c>
    </row>
    <row r="7942" spans="1:13" x14ac:dyDescent="0.75">
      <c r="A7942" t="s">
        <v>9234</v>
      </c>
      <c r="B7942" t="s">
        <v>6135</v>
      </c>
      <c r="C7942" t="s">
        <v>6136</v>
      </c>
      <c r="D7942" t="s">
        <v>6137</v>
      </c>
      <c r="E7942" t="s">
        <v>9235</v>
      </c>
      <c r="F7942">
        <v>11</v>
      </c>
      <c r="G7942">
        <v>2857526</v>
      </c>
      <c r="H7942" t="s">
        <v>9236</v>
      </c>
      <c r="J7942" s="54" t="s">
        <v>6052</v>
      </c>
      <c r="K7942" s="54">
        <v>0</v>
      </c>
      <c r="L7942" s="22" t="s">
        <v>104</v>
      </c>
      <c r="M7942" s="22" t="s">
        <v>37340</v>
      </c>
    </row>
    <row r="7943" spans="1:13" x14ac:dyDescent="0.75">
      <c r="A7943" t="s">
        <v>9499</v>
      </c>
      <c r="B7943" t="s">
        <v>6135</v>
      </c>
      <c r="C7943" t="s">
        <v>6136</v>
      </c>
      <c r="D7943" t="s">
        <v>6137</v>
      </c>
      <c r="E7943" t="s">
        <v>9500</v>
      </c>
      <c r="F7943">
        <v>12</v>
      </c>
      <c r="G7943">
        <v>2825999</v>
      </c>
      <c r="H7943" t="s">
        <v>9501</v>
      </c>
      <c r="J7943" s="54" t="s">
        <v>6052</v>
      </c>
      <c r="K7943" s="54">
        <v>0</v>
      </c>
      <c r="L7943" s="22" t="s">
        <v>104</v>
      </c>
      <c r="M7943" s="22" t="s">
        <v>37340</v>
      </c>
    </row>
    <row r="7944" spans="1:13" x14ac:dyDescent="0.75">
      <c r="A7944" t="s">
        <v>9496</v>
      </c>
      <c r="B7944" t="s">
        <v>6135</v>
      </c>
      <c r="C7944" t="s">
        <v>6136</v>
      </c>
      <c r="D7944" t="s">
        <v>6137</v>
      </c>
      <c r="E7944" t="s">
        <v>9497</v>
      </c>
      <c r="F7944">
        <v>32</v>
      </c>
      <c r="G7944">
        <v>2990277</v>
      </c>
      <c r="H7944" t="s">
        <v>9498</v>
      </c>
      <c r="J7944" s="54" t="s">
        <v>6052</v>
      </c>
      <c r="K7944" s="54">
        <v>0</v>
      </c>
      <c r="L7944" s="22" t="s">
        <v>104</v>
      </c>
      <c r="M7944" s="22" t="s">
        <v>37340</v>
      </c>
    </row>
    <row r="7945" spans="1:13" x14ac:dyDescent="0.75">
      <c r="A7945" t="s">
        <v>9035</v>
      </c>
      <c r="B7945" t="s">
        <v>6135</v>
      </c>
      <c r="C7945" t="s">
        <v>6136</v>
      </c>
      <c r="D7945" t="s">
        <v>6137</v>
      </c>
      <c r="E7945" t="s">
        <v>9036</v>
      </c>
      <c r="F7945">
        <v>40</v>
      </c>
      <c r="G7945">
        <v>2933485</v>
      </c>
      <c r="H7945" t="s">
        <v>9037</v>
      </c>
      <c r="J7945" s="54" t="s">
        <v>6052</v>
      </c>
      <c r="K7945" s="54">
        <v>0</v>
      </c>
      <c r="L7945" s="22" t="s">
        <v>104</v>
      </c>
      <c r="M7945" s="22" t="s">
        <v>37340</v>
      </c>
    </row>
    <row r="7946" spans="1:13" x14ac:dyDescent="0.75">
      <c r="A7946" t="s">
        <v>9032</v>
      </c>
      <c r="B7946" t="s">
        <v>6135</v>
      </c>
      <c r="C7946" t="s">
        <v>6136</v>
      </c>
      <c r="D7946" t="s">
        <v>6137</v>
      </c>
      <c r="E7946" t="s">
        <v>9033</v>
      </c>
      <c r="F7946">
        <v>28</v>
      </c>
      <c r="G7946">
        <v>2823766</v>
      </c>
      <c r="H7946" t="s">
        <v>9034</v>
      </c>
      <c r="J7946" s="54" t="s">
        <v>6052</v>
      </c>
      <c r="K7946" s="54">
        <v>0</v>
      </c>
      <c r="L7946" s="22" t="s">
        <v>104</v>
      </c>
      <c r="M7946" s="22" t="s">
        <v>37340</v>
      </c>
    </row>
    <row r="7947" spans="1:13" x14ac:dyDescent="0.75">
      <c r="A7947" t="s">
        <v>26259</v>
      </c>
      <c r="B7947" t="s">
        <v>6147</v>
      </c>
      <c r="C7947" t="s">
        <v>6136</v>
      </c>
      <c r="D7947" t="s">
        <v>6148</v>
      </c>
      <c r="E7947" t="s">
        <v>26260</v>
      </c>
      <c r="F7947">
        <v>1</v>
      </c>
      <c r="G7947">
        <v>1132489</v>
      </c>
      <c r="H7947" t="s">
        <v>26261</v>
      </c>
      <c r="J7947" s="54" t="s">
        <v>6052</v>
      </c>
      <c r="K7947" s="54">
        <v>0</v>
      </c>
      <c r="L7947" s="22" t="s">
        <v>36804</v>
      </c>
      <c r="M7947" s="22" t="s">
        <v>37339</v>
      </c>
    </row>
    <row r="7948" spans="1:13" x14ac:dyDescent="0.75">
      <c r="A7948" t="s">
        <v>9493</v>
      </c>
      <c r="B7948" t="s">
        <v>6135</v>
      </c>
      <c r="C7948" t="s">
        <v>6136</v>
      </c>
      <c r="D7948" t="s">
        <v>6137</v>
      </c>
      <c r="E7948" t="s">
        <v>9494</v>
      </c>
      <c r="F7948">
        <v>17</v>
      </c>
      <c r="G7948">
        <v>2824736</v>
      </c>
      <c r="H7948" t="s">
        <v>9495</v>
      </c>
      <c r="J7948" s="54" t="s">
        <v>6052</v>
      </c>
      <c r="K7948" s="54">
        <v>0</v>
      </c>
      <c r="L7948" s="22" t="s">
        <v>104</v>
      </c>
      <c r="M7948" s="22" t="s">
        <v>37340</v>
      </c>
    </row>
    <row r="7949" spans="1:13" x14ac:dyDescent="0.75">
      <c r="A7949" t="s">
        <v>15809</v>
      </c>
      <c r="B7949" t="s">
        <v>6135</v>
      </c>
      <c r="C7949" t="s">
        <v>6136</v>
      </c>
      <c r="D7949" t="s">
        <v>6137</v>
      </c>
      <c r="E7949" t="s">
        <v>15810</v>
      </c>
      <c r="F7949">
        <v>38</v>
      </c>
      <c r="G7949">
        <v>2710007</v>
      </c>
      <c r="H7949" t="s">
        <v>15811</v>
      </c>
      <c r="J7949" s="54" t="s">
        <v>6052</v>
      </c>
      <c r="K7949" s="54">
        <v>0</v>
      </c>
      <c r="L7949" s="22" t="s">
        <v>104</v>
      </c>
      <c r="M7949" s="22" t="s">
        <v>37340</v>
      </c>
    </row>
    <row r="7950" spans="1:13" x14ac:dyDescent="0.75">
      <c r="A7950" t="s">
        <v>9240</v>
      </c>
      <c r="B7950" t="s">
        <v>6135</v>
      </c>
      <c r="C7950" t="s">
        <v>6136</v>
      </c>
      <c r="D7950" t="s">
        <v>6137</v>
      </c>
      <c r="E7950" t="s">
        <v>9241</v>
      </c>
      <c r="F7950">
        <v>22</v>
      </c>
      <c r="G7950">
        <v>2765731</v>
      </c>
      <c r="H7950" t="s">
        <v>9242</v>
      </c>
      <c r="J7950" s="54" t="s">
        <v>6052</v>
      </c>
      <c r="K7950" s="54">
        <v>0</v>
      </c>
      <c r="L7950" s="22" t="s">
        <v>104</v>
      </c>
      <c r="M7950" s="22" t="s">
        <v>37340</v>
      </c>
    </row>
    <row r="7951" spans="1:13" x14ac:dyDescent="0.75">
      <c r="A7951" t="s">
        <v>9803</v>
      </c>
      <c r="B7951" t="s">
        <v>9804</v>
      </c>
      <c r="C7951" t="s">
        <v>6136</v>
      </c>
      <c r="D7951" t="s">
        <v>9805</v>
      </c>
      <c r="E7951" t="s">
        <v>9806</v>
      </c>
      <c r="F7951">
        <v>45</v>
      </c>
      <c r="G7951">
        <v>2340885</v>
      </c>
      <c r="H7951" t="s">
        <v>9807</v>
      </c>
      <c r="J7951" s="54" t="s">
        <v>6052</v>
      </c>
      <c r="K7951" s="54">
        <v>0</v>
      </c>
      <c r="L7951" s="22" t="s">
        <v>104</v>
      </c>
      <c r="M7951" s="22" t="s">
        <v>37346</v>
      </c>
    </row>
    <row r="7952" spans="1:13" x14ac:dyDescent="0.75">
      <c r="A7952" t="s">
        <v>9488</v>
      </c>
      <c r="B7952" t="s">
        <v>9489</v>
      </c>
      <c r="C7952" t="s">
        <v>6136</v>
      </c>
      <c r="D7952" t="s">
        <v>9490</v>
      </c>
      <c r="E7952" t="s">
        <v>9491</v>
      </c>
      <c r="F7952">
        <v>6</v>
      </c>
      <c r="G7952">
        <v>2530388</v>
      </c>
      <c r="H7952" t="s">
        <v>9492</v>
      </c>
      <c r="J7952" s="54" t="s">
        <v>6052</v>
      </c>
      <c r="K7952" s="54">
        <v>0</v>
      </c>
      <c r="L7952" s="22" t="s">
        <v>104</v>
      </c>
      <c r="M7952" s="22" t="s">
        <v>37344</v>
      </c>
    </row>
    <row r="7953" spans="1:13" x14ac:dyDescent="0.75">
      <c r="A7953" t="s">
        <v>9483</v>
      </c>
      <c r="B7953" t="s">
        <v>9484</v>
      </c>
      <c r="C7953" t="s">
        <v>6136</v>
      </c>
      <c r="D7953" t="s">
        <v>9485</v>
      </c>
      <c r="E7953" t="s">
        <v>9486</v>
      </c>
      <c r="F7953">
        <v>19</v>
      </c>
      <c r="G7953">
        <v>2727508</v>
      </c>
      <c r="H7953" t="s">
        <v>9487</v>
      </c>
      <c r="J7953" s="54" t="s">
        <v>6052</v>
      </c>
      <c r="K7953" s="54">
        <v>0</v>
      </c>
      <c r="L7953" s="22" t="s">
        <v>104</v>
      </c>
      <c r="M7953" s="22" t="s">
        <v>37345</v>
      </c>
    </row>
    <row r="7954" spans="1:13" x14ac:dyDescent="0.75">
      <c r="A7954" t="s">
        <v>20394</v>
      </c>
      <c r="B7954" t="s">
        <v>9484</v>
      </c>
      <c r="C7954" t="s">
        <v>6136</v>
      </c>
      <c r="D7954" t="s">
        <v>9485</v>
      </c>
      <c r="E7954" t="s">
        <v>9486</v>
      </c>
      <c r="F7954">
        <v>1</v>
      </c>
      <c r="G7954">
        <v>2721998</v>
      </c>
      <c r="H7954" t="s">
        <v>20395</v>
      </c>
      <c r="J7954" s="54" t="s">
        <v>6052</v>
      </c>
      <c r="K7954" s="54">
        <v>0</v>
      </c>
      <c r="L7954" s="22" t="s">
        <v>104</v>
      </c>
      <c r="M7954" s="22" t="s">
        <v>37345</v>
      </c>
    </row>
    <row r="7955" spans="1:13" x14ac:dyDescent="0.75">
      <c r="A7955" t="s">
        <v>6146</v>
      </c>
      <c r="B7955" t="s">
        <v>6147</v>
      </c>
      <c r="C7955" t="s">
        <v>6136</v>
      </c>
      <c r="D7955" t="s">
        <v>6148</v>
      </c>
      <c r="E7955" t="s">
        <v>6149</v>
      </c>
      <c r="F7955">
        <v>1</v>
      </c>
      <c r="G7955">
        <v>1138011</v>
      </c>
      <c r="H7955" t="s">
        <v>6150</v>
      </c>
      <c r="J7955" s="54" t="s">
        <v>6052</v>
      </c>
      <c r="K7955" s="54">
        <v>0</v>
      </c>
      <c r="L7955" s="22" t="s">
        <v>36804</v>
      </c>
      <c r="M7955" s="22" t="s">
        <v>37339</v>
      </c>
    </row>
    <row r="7956" spans="1:13" x14ac:dyDescent="0.75">
      <c r="A7956" t="s">
        <v>23540</v>
      </c>
      <c r="B7956" t="s">
        <v>9484</v>
      </c>
      <c r="C7956" t="s">
        <v>6136</v>
      </c>
      <c r="D7956" t="s">
        <v>9485</v>
      </c>
      <c r="E7956" t="s">
        <v>23541</v>
      </c>
      <c r="F7956">
        <v>1</v>
      </c>
      <c r="G7956">
        <v>2629551</v>
      </c>
      <c r="H7956" t="s">
        <v>23542</v>
      </c>
      <c r="J7956" s="54" t="s">
        <v>6052</v>
      </c>
      <c r="K7956" s="54">
        <v>0</v>
      </c>
      <c r="L7956" s="22" t="s">
        <v>104</v>
      </c>
      <c r="M7956" s="22" t="s">
        <v>37345</v>
      </c>
    </row>
    <row r="7957" spans="1:13" x14ac:dyDescent="0.75">
      <c r="A7957" t="s">
        <v>20752</v>
      </c>
      <c r="B7957" t="s">
        <v>9484</v>
      </c>
      <c r="C7957" t="s">
        <v>6136</v>
      </c>
      <c r="D7957" t="s">
        <v>9485</v>
      </c>
      <c r="E7957" t="s">
        <v>20753</v>
      </c>
      <c r="F7957">
        <v>1</v>
      </c>
      <c r="G7957">
        <v>2711688</v>
      </c>
      <c r="H7957" t="s">
        <v>20754</v>
      </c>
      <c r="J7957" s="54" t="s">
        <v>6052</v>
      </c>
      <c r="K7957" s="54">
        <v>0</v>
      </c>
      <c r="L7957" s="22" t="s">
        <v>104</v>
      </c>
      <c r="M7957" s="22" t="s">
        <v>37345</v>
      </c>
    </row>
    <row r="7958" spans="1:13" x14ac:dyDescent="0.75">
      <c r="A7958" t="s">
        <v>20391</v>
      </c>
      <c r="B7958" t="s">
        <v>9484</v>
      </c>
      <c r="C7958" t="s">
        <v>6136</v>
      </c>
      <c r="D7958" t="s">
        <v>9485</v>
      </c>
      <c r="E7958" t="s">
        <v>20392</v>
      </c>
      <c r="F7958">
        <v>1</v>
      </c>
      <c r="G7958">
        <v>2886632</v>
      </c>
      <c r="H7958" t="s">
        <v>20393</v>
      </c>
      <c r="J7958" s="54" t="s">
        <v>6052</v>
      </c>
      <c r="K7958" s="54">
        <v>0</v>
      </c>
      <c r="L7958" s="22" t="s">
        <v>104</v>
      </c>
      <c r="M7958" s="22" t="s">
        <v>37345</v>
      </c>
    </row>
    <row r="7959" spans="1:13" x14ac:dyDescent="0.75">
      <c r="A7959" t="s">
        <v>20600</v>
      </c>
      <c r="B7959" t="s">
        <v>20597</v>
      </c>
      <c r="C7959" t="s">
        <v>6136</v>
      </c>
      <c r="D7959" t="s">
        <v>6088</v>
      </c>
      <c r="E7959" t="s">
        <v>20601</v>
      </c>
      <c r="F7959">
        <v>1</v>
      </c>
      <c r="G7959">
        <v>2658287</v>
      </c>
      <c r="H7959" t="s">
        <v>20602</v>
      </c>
      <c r="J7959" s="54" t="s">
        <v>6052</v>
      </c>
      <c r="K7959" s="54">
        <v>0</v>
      </c>
      <c r="L7959" s="22" t="s">
        <v>104</v>
      </c>
      <c r="M7959" s="22" t="s">
        <v>37349</v>
      </c>
    </row>
    <row r="7960" spans="1:13" x14ac:dyDescent="0.75">
      <c r="A7960" t="s">
        <v>20596</v>
      </c>
      <c r="B7960" t="s">
        <v>20597</v>
      </c>
      <c r="C7960" t="s">
        <v>6136</v>
      </c>
      <c r="D7960" t="s">
        <v>6088</v>
      </c>
      <c r="E7960" t="s">
        <v>20598</v>
      </c>
      <c r="F7960">
        <v>1</v>
      </c>
      <c r="G7960">
        <v>2626237</v>
      </c>
      <c r="H7960" t="s">
        <v>20599</v>
      </c>
      <c r="J7960" s="54" t="s">
        <v>6052</v>
      </c>
      <c r="K7960" s="54">
        <v>0</v>
      </c>
      <c r="L7960" s="22" t="s">
        <v>104</v>
      </c>
      <c r="M7960" s="22" t="s">
        <v>37349</v>
      </c>
    </row>
    <row r="7961" spans="1:13" x14ac:dyDescent="0.75">
      <c r="A7961" t="s">
        <v>20603</v>
      </c>
      <c r="B7961" t="s">
        <v>20597</v>
      </c>
      <c r="C7961" t="s">
        <v>6136</v>
      </c>
      <c r="D7961" t="s">
        <v>6088</v>
      </c>
      <c r="E7961" t="s">
        <v>20604</v>
      </c>
      <c r="F7961">
        <v>1</v>
      </c>
      <c r="G7961">
        <v>2609480</v>
      </c>
      <c r="H7961" t="s">
        <v>20605</v>
      </c>
      <c r="J7961" s="54" t="s">
        <v>6052</v>
      </c>
      <c r="K7961" s="54">
        <v>0</v>
      </c>
      <c r="L7961" s="22" t="s">
        <v>104</v>
      </c>
      <c r="M7961" s="22" t="s">
        <v>37349</v>
      </c>
    </row>
    <row r="7962" spans="1:13" x14ac:dyDescent="0.75">
      <c r="A7962" t="s">
        <v>27869</v>
      </c>
      <c r="B7962" t="s">
        <v>27829</v>
      </c>
      <c r="C7962" t="s">
        <v>6136</v>
      </c>
      <c r="D7962" t="s">
        <v>27830</v>
      </c>
      <c r="E7962" t="s">
        <v>27870</v>
      </c>
      <c r="F7962">
        <v>6</v>
      </c>
      <c r="G7962">
        <v>2319274</v>
      </c>
      <c r="H7962" t="s">
        <v>27871</v>
      </c>
      <c r="J7962" s="54" t="s">
        <v>6052</v>
      </c>
      <c r="K7962" s="54">
        <v>0</v>
      </c>
      <c r="L7962" s="22" t="s">
        <v>104</v>
      </c>
      <c r="M7962" s="22" t="s">
        <v>37348</v>
      </c>
    </row>
    <row r="7963" spans="1:13" x14ac:dyDescent="0.75">
      <c r="A7963" t="s">
        <v>27866</v>
      </c>
      <c r="B7963" t="s">
        <v>27829</v>
      </c>
      <c r="C7963" t="s">
        <v>6136</v>
      </c>
      <c r="D7963" t="s">
        <v>27830</v>
      </c>
      <c r="E7963" t="s">
        <v>27867</v>
      </c>
      <c r="F7963">
        <v>14</v>
      </c>
      <c r="G7963">
        <v>2246732</v>
      </c>
      <c r="H7963" t="s">
        <v>27868</v>
      </c>
      <c r="J7963" s="54" t="s">
        <v>6052</v>
      </c>
      <c r="K7963" s="54">
        <v>0</v>
      </c>
      <c r="L7963" s="22" t="s">
        <v>104</v>
      </c>
      <c r="M7963" s="22" t="s">
        <v>37348</v>
      </c>
    </row>
    <row r="7964" spans="1:13" x14ac:dyDescent="0.75">
      <c r="A7964" t="s">
        <v>27828</v>
      </c>
      <c r="B7964" t="s">
        <v>27829</v>
      </c>
      <c r="C7964" t="s">
        <v>6136</v>
      </c>
      <c r="D7964" t="s">
        <v>27830</v>
      </c>
      <c r="E7964" t="s">
        <v>27831</v>
      </c>
      <c r="F7964">
        <v>119</v>
      </c>
      <c r="G7964">
        <v>2222979</v>
      </c>
      <c r="H7964" t="s">
        <v>27832</v>
      </c>
      <c r="J7964" s="54" t="s">
        <v>6052</v>
      </c>
      <c r="K7964" s="54">
        <v>0</v>
      </c>
      <c r="L7964" s="22" t="s">
        <v>104</v>
      </c>
      <c r="M7964" s="22" t="s">
        <v>37348</v>
      </c>
    </row>
    <row r="7965" spans="1:13" x14ac:dyDescent="0.75">
      <c r="A7965" t="s">
        <v>27836</v>
      </c>
      <c r="B7965" t="s">
        <v>27829</v>
      </c>
      <c r="C7965" t="s">
        <v>6136</v>
      </c>
      <c r="D7965" t="s">
        <v>27830</v>
      </c>
      <c r="E7965" t="s">
        <v>27837</v>
      </c>
      <c r="F7965">
        <v>10</v>
      </c>
      <c r="G7965">
        <v>2224027</v>
      </c>
      <c r="H7965" t="s">
        <v>27838</v>
      </c>
      <c r="J7965" s="54" t="s">
        <v>6052</v>
      </c>
      <c r="K7965" s="54">
        <v>0</v>
      </c>
      <c r="L7965" s="22" t="s">
        <v>104</v>
      </c>
      <c r="M7965" s="22" t="s">
        <v>37348</v>
      </c>
    </row>
    <row r="7966" spans="1:13" x14ac:dyDescent="0.75">
      <c r="A7966" t="s">
        <v>27833</v>
      </c>
      <c r="B7966" t="s">
        <v>27829</v>
      </c>
      <c r="C7966" t="s">
        <v>6136</v>
      </c>
      <c r="D7966" t="s">
        <v>27830</v>
      </c>
      <c r="E7966" t="s">
        <v>27834</v>
      </c>
      <c r="F7966">
        <v>62</v>
      </c>
      <c r="G7966">
        <v>2140854</v>
      </c>
      <c r="H7966" t="s">
        <v>27835</v>
      </c>
      <c r="J7966" s="54" t="s">
        <v>6052</v>
      </c>
      <c r="K7966" s="54">
        <v>0</v>
      </c>
      <c r="L7966" s="22" t="s">
        <v>104</v>
      </c>
      <c r="M7966" s="22" t="s">
        <v>37348</v>
      </c>
    </row>
    <row r="7967" spans="1:13" x14ac:dyDescent="0.75">
      <c r="A7967" t="s">
        <v>17140</v>
      </c>
      <c r="B7967" t="s">
        <v>10581</v>
      </c>
      <c r="C7967" t="s">
        <v>6136</v>
      </c>
      <c r="D7967" t="s">
        <v>10582</v>
      </c>
      <c r="E7967" t="s">
        <v>17141</v>
      </c>
      <c r="F7967">
        <v>42</v>
      </c>
      <c r="G7967">
        <v>2772337</v>
      </c>
      <c r="H7967" t="s">
        <v>17142</v>
      </c>
      <c r="J7967" s="54" t="s">
        <v>6052</v>
      </c>
      <c r="K7967" s="54">
        <v>0</v>
      </c>
      <c r="L7967" s="22" t="s">
        <v>104</v>
      </c>
      <c r="M7967" s="22" t="s">
        <v>37347</v>
      </c>
    </row>
    <row r="7968" spans="1:13" x14ac:dyDescent="0.75">
      <c r="A7968" t="s">
        <v>10580</v>
      </c>
      <c r="B7968" t="s">
        <v>10581</v>
      </c>
      <c r="C7968" t="s">
        <v>6136</v>
      </c>
      <c r="D7968" t="s">
        <v>10582</v>
      </c>
      <c r="E7968" t="s">
        <v>10583</v>
      </c>
      <c r="F7968">
        <v>2</v>
      </c>
      <c r="G7968">
        <v>2800562</v>
      </c>
      <c r="H7968" t="s">
        <v>10584</v>
      </c>
      <c r="J7968" s="54" t="s">
        <v>6052</v>
      </c>
      <c r="K7968" s="54">
        <v>0</v>
      </c>
      <c r="L7968" s="22" t="s">
        <v>104</v>
      </c>
      <c r="M7968" s="22" t="s">
        <v>37347</v>
      </c>
    </row>
    <row r="7969" spans="1:13" x14ac:dyDescent="0.75">
      <c r="A7969" t="s">
        <v>23734</v>
      </c>
      <c r="B7969" t="s">
        <v>10581</v>
      </c>
      <c r="C7969" t="s">
        <v>6136</v>
      </c>
      <c r="D7969" t="s">
        <v>10582</v>
      </c>
      <c r="E7969" t="s">
        <v>23735</v>
      </c>
      <c r="F7969">
        <v>1</v>
      </c>
      <c r="G7969">
        <v>2762635</v>
      </c>
      <c r="H7969" t="s">
        <v>23736</v>
      </c>
      <c r="J7969" s="54" t="s">
        <v>6052</v>
      </c>
      <c r="K7969" s="54">
        <v>0</v>
      </c>
      <c r="L7969" s="22" t="s">
        <v>104</v>
      </c>
      <c r="M7969" s="22" t="s">
        <v>37347</v>
      </c>
    </row>
    <row r="7970" spans="1:13" x14ac:dyDescent="0.75">
      <c r="A7970" t="s">
        <v>23731</v>
      </c>
      <c r="B7970" t="s">
        <v>10581</v>
      </c>
      <c r="C7970" t="s">
        <v>6136</v>
      </c>
      <c r="D7970" t="s">
        <v>10582</v>
      </c>
      <c r="E7970" t="s">
        <v>23732</v>
      </c>
      <c r="F7970">
        <v>1</v>
      </c>
      <c r="G7970">
        <v>2915271</v>
      </c>
      <c r="H7970" t="s">
        <v>23733</v>
      </c>
      <c r="J7970" s="54" t="s">
        <v>6052</v>
      </c>
      <c r="K7970" s="54">
        <v>0</v>
      </c>
      <c r="L7970" s="22" t="s">
        <v>104</v>
      </c>
      <c r="M7970" s="22" t="s">
        <v>37347</v>
      </c>
    </row>
    <row r="7971" spans="1:13" x14ac:dyDescent="0.75">
      <c r="A7971" t="s">
        <v>23728</v>
      </c>
      <c r="B7971" t="s">
        <v>10581</v>
      </c>
      <c r="C7971" t="s">
        <v>6136</v>
      </c>
      <c r="D7971" t="s">
        <v>10582</v>
      </c>
      <c r="E7971" t="s">
        <v>23729</v>
      </c>
      <c r="F7971">
        <v>1</v>
      </c>
      <c r="G7971">
        <v>2951713</v>
      </c>
      <c r="H7971" t="s">
        <v>23730</v>
      </c>
      <c r="J7971" s="54" t="s">
        <v>6052</v>
      </c>
      <c r="K7971" s="54">
        <v>0</v>
      </c>
      <c r="L7971" s="22" t="s">
        <v>104</v>
      </c>
      <c r="M7971" s="22" t="s">
        <v>37347</v>
      </c>
    </row>
    <row r="7972" spans="1:13" x14ac:dyDescent="0.75">
      <c r="A7972" t="s">
        <v>28698</v>
      </c>
      <c r="B7972" t="s">
        <v>28699</v>
      </c>
      <c r="C7972" t="s">
        <v>6136</v>
      </c>
      <c r="D7972" t="s">
        <v>28700</v>
      </c>
      <c r="E7972" t="s">
        <v>28701</v>
      </c>
      <c r="F7972">
        <v>1</v>
      </c>
      <c r="G7972">
        <v>2866542</v>
      </c>
      <c r="H7972" t="s">
        <v>28702</v>
      </c>
      <c r="J7972" s="54" t="s">
        <v>6052</v>
      </c>
      <c r="K7972" s="54">
        <v>0</v>
      </c>
      <c r="L7972" s="22" t="s">
        <v>104</v>
      </c>
      <c r="M7972" s="22" t="s">
        <v>37351</v>
      </c>
    </row>
    <row r="7973" spans="1:13" x14ac:dyDescent="0.75">
      <c r="A7973" t="s">
        <v>9478</v>
      </c>
      <c r="B7973" t="s">
        <v>9479</v>
      </c>
      <c r="C7973" t="s">
        <v>6136</v>
      </c>
      <c r="D7973" t="s">
        <v>9480</v>
      </c>
      <c r="E7973" t="s">
        <v>9481</v>
      </c>
      <c r="F7973">
        <v>16</v>
      </c>
      <c r="G7973">
        <v>2742149</v>
      </c>
      <c r="H7973" t="s">
        <v>9482</v>
      </c>
      <c r="J7973" s="54" t="s">
        <v>6052</v>
      </c>
      <c r="K7973" s="54">
        <v>0</v>
      </c>
      <c r="L7973" s="22" t="s">
        <v>104</v>
      </c>
      <c r="M7973" s="22" t="s">
        <v>37341</v>
      </c>
    </row>
    <row r="7974" spans="1:13" x14ac:dyDescent="0.75">
      <c r="A7974" t="s">
        <v>9808</v>
      </c>
      <c r="B7974" t="s">
        <v>9698</v>
      </c>
      <c r="C7974" t="s">
        <v>6136</v>
      </c>
      <c r="D7974" t="s">
        <v>9699</v>
      </c>
      <c r="E7974" t="s">
        <v>9809</v>
      </c>
      <c r="F7974">
        <v>84</v>
      </c>
      <c r="G7974">
        <v>2826695</v>
      </c>
      <c r="H7974" t="s">
        <v>9810</v>
      </c>
      <c r="J7974" s="54" t="s">
        <v>6052</v>
      </c>
      <c r="K7974" s="54">
        <v>0</v>
      </c>
      <c r="L7974" s="22" t="s">
        <v>104</v>
      </c>
      <c r="M7974" s="22" t="s">
        <v>37342</v>
      </c>
    </row>
    <row r="7975" spans="1:13" x14ac:dyDescent="0.75">
      <c r="A7975" t="s">
        <v>9697</v>
      </c>
      <c r="B7975" t="s">
        <v>9698</v>
      </c>
      <c r="C7975" t="s">
        <v>6136</v>
      </c>
      <c r="D7975" t="s">
        <v>9699</v>
      </c>
      <c r="E7975" t="s">
        <v>9700</v>
      </c>
      <c r="F7975">
        <v>74</v>
      </c>
      <c r="G7975">
        <v>2804628</v>
      </c>
      <c r="H7975" t="s">
        <v>9701</v>
      </c>
      <c r="J7975" s="54" t="s">
        <v>6052</v>
      </c>
      <c r="K7975" s="54">
        <v>0</v>
      </c>
      <c r="L7975" s="22" t="s">
        <v>104</v>
      </c>
      <c r="M7975" s="22" t="s">
        <v>37342</v>
      </c>
    </row>
    <row r="7976" spans="1:13" x14ac:dyDescent="0.75">
      <c r="A7976" t="s">
        <v>7219</v>
      </c>
      <c r="B7976" t="s">
        <v>7220</v>
      </c>
      <c r="C7976" t="s">
        <v>6136</v>
      </c>
      <c r="D7976" t="s">
        <v>7221</v>
      </c>
      <c r="E7976" t="s">
        <v>7222</v>
      </c>
      <c r="F7976">
        <v>79</v>
      </c>
      <c r="G7976">
        <v>2514590</v>
      </c>
      <c r="H7976" t="s">
        <v>7223</v>
      </c>
      <c r="J7976" s="54" t="s">
        <v>6052</v>
      </c>
      <c r="K7976" s="54">
        <v>0</v>
      </c>
      <c r="L7976" s="22" t="s">
        <v>104</v>
      </c>
      <c r="M7976" s="22" t="s">
        <v>37343</v>
      </c>
    </row>
    <row r="7977" spans="1:13" x14ac:dyDescent="0.75">
      <c r="A7977" t="s">
        <v>9475</v>
      </c>
      <c r="B7977" t="s">
        <v>7220</v>
      </c>
      <c r="C7977" t="s">
        <v>6136</v>
      </c>
      <c r="D7977" t="s">
        <v>7221</v>
      </c>
      <c r="E7977" t="s">
        <v>9476</v>
      </c>
      <c r="F7977">
        <v>13</v>
      </c>
      <c r="G7977">
        <v>2693493</v>
      </c>
      <c r="H7977" t="s">
        <v>9477</v>
      </c>
      <c r="J7977" s="54" t="s">
        <v>6052</v>
      </c>
      <c r="K7977" s="54">
        <v>0</v>
      </c>
      <c r="L7977" s="22" t="s">
        <v>104</v>
      </c>
      <c r="M7977" s="22" t="s">
        <v>37343</v>
      </c>
    </row>
    <row r="7978" spans="1:13" x14ac:dyDescent="0.75">
      <c r="A7978" t="s">
        <v>23537</v>
      </c>
      <c r="B7978" t="s">
        <v>7220</v>
      </c>
      <c r="C7978" t="s">
        <v>6136</v>
      </c>
      <c r="D7978" t="s">
        <v>7221</v>
      </c>
      <c r="E7978" t="s">
        <v>23538</v>
      </c>
      <c r="F7978">
        <v>1</v>
      </c>
      <c r="G7978">
        <v>2594485</v>
      </c>
      <c r="H7978" t="s">
        <v>23539</v>
      </c>
      <c r="J7978" s="54" t="s">
        <v>6052</v>
      </c>
      <c r="K7978" s="54">
        <v>0</v>
      </c>
      <c r="L7978" s="22" t="s">
        <v>104</v>
      </c>
      <c r="M7978" s="22" t="s">
        <v>37343</v>
      </c>
    </row>
    <row r="7979" spans="1:13" x14ac:dyDescent="0.75">
      <c r="A7979" t="s">
        <v>23525</v>
      </c>
      <c r="B7979" t="s">
        <v>7220</v>
      </c>
      <c r="C7979" t="s">
        <v>6136</v>
      </c>
      <c r="D7979" t="s">
        <v>7221</v>
      </c>
      <c r="E7979" t="s">
        <v>23526</v>
      </c>
      <c r="F7979">
        <v>1</v>
      </c>
      <c r="G7979">
        <v>2641120</v>
      </c>
      <c r="H7979" t="s">
        <v>23527</v>
      </c>
      <c r="J7979" s="54" t="s">
        <v>6052</v>
      </c>
      <c r="K7979" s="54">
        <v>0</v>
      </c>
      <c r="L7979" s="22" t="s">
        <v>104</v>
      </c>
      <c r="M7979" s="22" t="s">
        <v>37343</v>
      </c>
    </row>
    <row r="7980" spans="1:13" x14ac:dyDescent="0.75">
      <c r="A7980" t="s">
        <v>23528</v>
      </c>
      <c r="B7980" t="s">
        <v>7220</v>
      </c>
      <c r="C7980" t="s">
        <v>6136</v>
      </c>
      <c r="D7980" t="s">
        <v>7221</v>
      </c>
      <c r="E7980" t="s">
        <v>23529</v>
      </c>
      <c r="F7980">
        <v>1</v>
      </c>
      <c r="G7980">
        <v>2717368</v>
      </c>
      <c r="H7980" t="s">
        <v>23530</v>
      </c>
      <c r="J7980" s="54" t="s">
        <v>6052</v>
      </c>
      <c r="K7980" s="54">
        <v>0</v>
      </c>
      <c r="L7980" s="22" t="s">
        <v>104</v>
      </c>
      <c r="M7980" s="22" t="s">
        <v>37343</v>
      </c>
    </row>
    <row r="7981" spans="1:13" x14ac:dyDescent="0.75">
      <c r="A7981" t="s">
        <v>23002</v>
      </c>
      <c r="B7981" t="s">
        <v>6147</v>
      </c>
      <c r="C7981" t="s">
        <v>6136</v>
      </c>
      <c r="D7981" t="s">
        <v>6148</v>
      </c>
      <c r="E7981" t="s">
        <v>23003</v>
      </c>
      <c r="F7981">
        <v>1</v>
      </c>
      <c r="G7981">
        <v>1139537</v>
      </c>
      <c r="H7981" t="s">
        <v>23004</v>
      </c>
      <c r="J7981" s="54" t="s">
        <v>6052</v>
      </c>
      <c r="K7981" s="54">
        <v>0</v>
      </c>
      <c r="L7981" s="22" t="s">
        <v>36804</v>
      </c>
      <c r="M7981" s="22" t="s">
        <v>37339</v>
      </c>
    </row>
    <row r="7982" spans="1:13" x14ac:dyDescent="0.75">
      <c r="A7982" t="s">
        <v>22999</v>
      </c>
      <c r="B7982" t="s">
        <v>6147</v>
      </c>
      <c r="C7982" t="s">
        <v>6136</v>
      </c>
      <c r="D7982" t="s">
        <v>6148</v>
      </c>
      <c r="E7982" t="s">
        <v>23000</v>
      </c>
      <c r="F7982">
        <v>1</v>
      </c>
      <c r="G7982">
        <v>1139665</v>
      </c>
      <c r="H7982" t="s">
        <v>23001</v>
      </c>
      <c r="J7982" s="54" t="s">
        <v>6052</v>
      </c>
      <c r="K7982" s="54">
        <v>0</v>
      </c>
      <c r="L7982" s="22" t="s">
        <v>36804</v>
      </c>
      <c r="M7982" s="22" t="s">
        <v>37339</v>
      </c>
    </row>
    <row r="7983" spans="1:13" x14ac:dyDescent="0.75">
      <c r="A7983" t="s">
        <v>22996</v>
      </c>
      <c r="B7983" t="s">
        <v>6147</v>
      </c>
      <c r="C7983" t="s">
        <v>6136</v>
      </c>
      <c r="D7983" t="s">
        <v>6148</v>
      </c>
      <c r="E7983" t="s">
        <v>22997</v>
      </c>
      <c r="F7983">
        <v>1</v>
      </c>
      <c r="G7983">
        <v>1139539</v>
      </c>
      <c r="H7983" t="s">
        <v>22998</v>
      </c>
      <c r="J7983" s="54" t="s">
        <v>6052</v>
      </c>
      <c r="K7983" s="54">
        <v>0</v>
      </c>
      <c r="L7983" s="22" t="s">
        <v>36804</v>
      </c>
      <c r="M7983" s="22" t="s">
        <v>37339</v>
      </c>
    </row>
    <row r="7984" spans="1:13" x14ac:dyDescent="0.75">
      <c r="A7984" t="s">
        <v>23531</v>
      </c>
      <c r="B7984" t="s">
        <v>18047</v>
      </c>
      <c r="C7984" t="s">
        <v>6136</v>
      </c>
      <c r="D7984" t="s">
        <v>18048</v>
      </c>
      <c r="E7984" t="s">
        <v>23532</v>
      </c>
      <c r="F7984">
        <v>1</v>
      </c>
      <c r="G7984">
        <v>2804974</v>
      </c>
      <c r="H7984" t="s">
        <v>23533</v>
      </c>
      <c r="J7984" s="54" t="s">
        <v>6052</v>
      </c>
      <c r="K7984" s="54">
        <v>0</v>
      </c>
      <c r="L7984" s="22" t="s">
        <v>104</v>
      </c>
      <c r="M7984" s="22" t="s">
        <v>37350</v>
      </c>
    </row>
    <row r="7985" spans="1:13" x14ac:dyDescent="0.75">
      <c r="A7985" t="s">
        <v>18046</v>
      </c>
      <c r="B7985" t="s">
        <v>18047</v>
      </c>
      <c r="C7985" t="s">
        <v>6136</v>
      </c>
      <c r="D7985" t="s">
        <v>18048</v>
      </c>
      <c r="E7985" t="s">
        <v>18049</v>
      </c>
      <c r="F7985">
        <v>1</v>
      </c>
      <c r="G7985">
        <v>2980180</v>
      </c>
      <c r="H7985" t="s">
        <v>18050</v>
      </c>
      <c r="J7985" s="54" t="s">
        <v>6052</v>
      </c>
      <c r="K7985" s="54">
        <v>0</v>
      </c>
      <c r="L7985" s="22" t="s">
        <v>104</v>
      </c>
      <c r="M7985" s="22" t="s">
        <v>37350</v>
      </c>
    </row>
    <row r="7986" spans="1:13" x14ac:dyDescent="0.75">
      <c r="A7986" t="s">
        <v>23534</v>
      </c>
      <c r="B7986" t="s">
        <v>18047</v>
      </c>
      <c r="C7986" t="s">
        <v>6136</v>
      </c>
      <c r="D7986" t="s">
        <v>18048</v>
      </c>
      <c r="E7986" t="s">
        <v>23535</v>
      </c>
      <c r="F7986">
        <v>1</v>
      </c>
      <c r="G7986">
        <v>2812357</v>
      </c>
      <c r="H7986" t="s">
        <v>23536</v>
      </c>
      <c r="J7986" s="54" t="s">
        <v>6052</v>
      </c>
      <c r="K7986" s="54">
        <v>0</v>
      </c>
      <c r="L7986" s="22" t="s">
        <v>104</v>
      </c>
      <c r="M7986" s="22" t="s">
        <v>37350</v>
      </c>
    </row>
    <row r="7987" spans="1:13" x14ac:dyDescent="0.75">
      <c r="A7987" t="s">
        <v>16801</v>
      </c>
      <c r="B7987" t="s">
        <v>6147</v>
      </c>
      <c r="C7987" t="s">
        <v>6136</v>
      </c>
      <c r="D7987" t="s">
        <v>6148</v>
      </c>
      <c r="E7987" t="s">
        <v>16802</v>
      </c>
      <c r="F7987">
        <v>1</v>
      </c>
      <c r="G7987">
        <v>1139838</v>
      </c>
      <c r="H7987" t="s">
        <v>16803</v>
      </c>
      <c r="J7987" s="54" t="s">
        <v>6052</v>
      </c>
      <c r="K7987" s="54">
        <v>0</v>
      </c>
      <c r="L7987" s="22" t="s">
        <v>36804</v>
      </c>
      <c r="M7987" s="22" t="s">
        <v>37339</v>
      </c>
    </row>
    <row r="7988" spans="1:13" x14ac:dyDescent="0.75">
      <c r="A7988" t="s">
        <v>17027</v>
      </c>
      <c r="B7988" t="s">
        <v>6086</v>
      </c>
      <c r="C7988" t="s">
        <v>6087</v>
      </c>
      <c r="D7988" t="s">
        <v>6088</v>
      </c>
      <c r="E7988">
        <v>106</v>
      </c>
      <c r="F7988">
        <v>1</v>
      </c>
      <c r="G7988">
        <v>741809</v>
      </c>
      <c r="H7988" t="s">
        <v>17028</v>
      </c>
      <c r="J7988" s="54" t="s">
        <v>6052</v>
      </c>
      <c r="K7988" s="54">
        <v>0</v>
      </c>
      <c r="L7988" s="22" t="s">
        <v>1308</v>
      </c>
      <c r="M7988" s="22" t="s">
        <v>37352</v>
      </c>
    </row>
    <row r="7989" spans="1:13" x14ac:dyDescent="0.75">
      <c r="A7989" t="s">
        <v>6351</v>
      </c>
      <c r="B7989" t="s">
        <v>6086</v>
      </c>
      <c r="C7989" t="s">
        <v>6087</v>
      </c>
      <c r="D7989" t="s">
        <v>6088</v>
      </c>
      <c r="E7989" t="s">
        <v>6352</v>
      </c>
      <c r="F7989">
        <v>1</v>
      </c>
      <c r="G7989">
        <v>751679</v>
      </c>
      <c r="H7989" t="s">
        <v>6353</v>
      </c>
      <c r="J7989" s="54" t="s">
        <v>6052</v>
      </c>
      <c r="K7989" s="54">
        <v>0</v>
      </c>
      <c r="L7989" s="22" t="s">
        <v>1308</v>
      </c>
      <c r="M7989" s="22" t="s">
        <v>37352</v>
      </c>
    </row>
    <row r="7990" spans="1:13" x14ac:dyDescent="0.75">
      <c r="A7990" t="s">
        <v>6085</v>
      </c>
      <c r="B7990" t="s">
        <v>6086</v>
      </c>
      <c r="C7990" t="s">
        <v>6087</v>
      </c>
      <c r="D7990" t="s">
        <v>6088</v>
      </c>
      <c r="E7990" t="s">
        <v>6089</v>
      </c>
      <c r="F7990">
        <v>1</v>
      </c>
      <c r="G7990">
        <v>751719</v>
      </c>
      <c r="H7990" t="s">
        <v>6090</v>
      </c>
      <c r="J7990" s="54" t="s">
        <v>6052</v>
      </c>
      <c r="K7990" s="54">
        <v>0</v>
      </c>
      <c r="L7990" s="22" t="s">
        <v>1308</v>
      </c>
      <c r="M7990" s="22" t="s">
        <v>37352</v>
      </c>
    </row>
    <row r="7991" spans="1:13" x14ac:dyDescent="0.75">
      <c r="A7991" t="s">
        <v>13723</v>
      </c>
      <c r="B7991" t="s">
        <v>6086</v>
      </c>
      <c r="C7991" t="s">
        <v>6087</v>
      </c>
      <c r="D7991" t="s">
        <v>6088</v>
      </c>
      <c r="E7991" t="s">
        <v>13724</v>
      </c>
      <c r="F7991">
        <v>1</v>
      </c>
      <c r="G7991">
        <v>727176</v>
      </c>
      <c r="H7991" t="s">
        <v>13725</v>
      </c>
      <c r="J7991" s="54" t="s">
        <v>6052</v>
      </c>
      <c r="K7991" s="54">
        <v>0</v>
      </c>
      <c r="L7991" s="22" t="s">
        <v>1308</v>
      </c>
      <c r="M7991" s="22" t="s">
        <v>37352</v>
      </c>
    </row>
    <row r="7992" spans="1:13" x14ac:dyDescent="0.75">
      <c r="A7992" t="s">
        <v>13720</v>
      </c>
      <c r="B7992" t="s">
        <v>6086</v>
      </c>
      <c r="C7992" t="s">
        <v>6087</v>
      </c>
      <c r="D7992" t="s">
        <v>6088</v>
      </c>
      <c r="E7992" t="s">
        <v>13721</v>
      </c>
      <c r="F7992">
        <v>1</v>
      </c>
      <c r="G7992">
        <v>737737</v>
      </c>
      <c r="H7992" t="s">
        <v>13722</v>
      </c>
      <c r="J7992" s="54" t="s">
        <v>6052</v>
      </c>
      <c r="K7992" s="54">
        <v>0</v>
      </c>
      <c r="L7992" s="22" t="s">
        <v>1308</v>
      </c>
      <c r="M7992" s="22" t="s">
        <v>37352</v>
      </c>
    </row>
    <row r="7993" spans="1:13" x14ac:dyDescent="0.75">
      <c r="A7993" t="s">
        <v>13708</v>
      </c>
      <c r="B7993" t="s">
        <v>6086</v>
      </c>
      <c r="C7993" t="s">
        <v>6087</v>
      </c>
      <c r="D7993" t="s">
        <v>6088</v>
      </c>
      <c r="E7993" t="s">
        <v>13709</v>
      </c>
      <c r="F7993">
        <v>1</v>
      </c>
      <c r="G7993">
        <v>732889</v>
      </c>
      <c r="H7993" t="s">
        <v>13710</v>
      </c>
      <c r="J7993" s="54" t="s">
        <v>6052</v>
      </c>
      <c r="K7993" s="54">
        <v>0</v>
      </c>
      <c r="L7993" s="22" t="s">
        <v>1308</v>
      </c>
      <c r="M7993" s="22" t="s">
        <v>37352</v>
      </c>
    </row>
    <row r="7994" spans="1:13" x14ac:dyDescent="0.75">
      <c r="A7994" t="s">
        <v>13711</v>
      </c>
      <c r="B7994" t="s">
        <v>6086</v>
      </c>
      <c r="C7994" t="s">
        <v>6087</v>
      </c>
      <c r="D7994" t="s">
        <v>6088</v>
      </c>
      <c r="E7994" t="s">
        <v>13712</v>
      </c>
      <c r="F7994">
        <v>1</v>
      </c>
      <c r="G7994">
        <v>722452</v>
      </c>
      <c r="H7994" t="s">
        <v>13713</v>
      </c>
      <c r="J7994" s="54" t="s">
        <v>6052</v>
      </c>
      <c r="K7994" s="54">
        <v>0</v>
      </c>
      <c r="L7994" s="22" t="s">
        <v>1308</v>
      </c>
      <c r="M7994" s="22" t="s">
        <v>37352</v>
      </c>
    </row>
    <row r="7995" spans="1:13" x14ac:dyDescent="0.75">
      <c r="A7995" t="s">
        <v>22204</v>
      </c>
      <c r="B7995" t="s">
        <v>6086</v>
      </c>
      <c r="C7995" t="s">
        <v>6087</v>
      </c>
      <c r="D7995" t="s">
        <v>6088</v>
      </c>
      <c r="E7995" t="s">
        <v>22205</v>
      </c>
      <c r="F7995">
        <v>1</v>
      </c>
      <c r="G7995">
        <v>726862</v>
      </c>
      <c r="H7995" t="s">
        <v>22206</v>
      </c>
      <c r="J7995" s="54" t="s">
        <v>6052</v>
      </c>
      <c r="K7995" s="54">
        <v>0</v>
      </c>
      <c r="L7995" s="22" t="s">
        <v>1308</v>
      </c>
      <c r="M7995" s="22" t="s">
        <v>37352</v>
      </c>
    </row>
    <row r="7996" spans="1:13" x14ac:dyDescent="0.75">
      <c r="A7996" t="s">
        <v>16346</v>
      </c>
      <c r="B7996" t="s">
        <v>6086</v>
      </c>
      <c r="C7996" t="s">
        <v>6087</v>
      </c>
      <c r="D7996" t="s">
        <v>6088</v>
      </c>
      <c r="E7996" t="s">
        <v>16347</v>
      </c>
      <c r="F7996">
        <v>1</v>
      </c>
      <c r="G7996">
        <v>732031</v>
      </c>
      <c r="H7996" t="s">
        <v>16348</v>
      </c>
      <c r="J7996" s="54" t="s">
        <v>6052</v>
      </c>
      <c r="K7996" s="54">
        <v>0</v>
      </c>
      <c r="L7996" s="22" t="s">
        <v>1308</v>
      </c>
      <c r="M7996" s="22" t="s">
        <v>37352</v>
      </c>
    </row>
    <row r="7997" spans="1:13" x14ac:dyDescent="0.75">
      <c r="A7997" t="s">
        <v>10739</v>
      </c>
      <c r="B7997" t="s">
        <v>6086</v>
      </c>
      <c r="C7997" t="s">
        <v>6087</v>
      </c>
      <c r="D7997" t="s">
        <v>6088</v>
      </c>
      <c r="E7997" t="s">
        <v>10740</v>
      </c>
      <c r="F7997">
        <v>1</v>
      </c>
      <c r="G7997">
        <v>727289</v>
      </c>
      <c r="H7997" t="s">
        <v>10741</v>
      </c>
      <c r="J7997" s="54" t="s">
        <v>6052</v>
      </c>
      <c r="K7997" s="54">
        <v>0</v>
      </c>
      <c r="L7997" s="22" t="s">
        <v>1308</v>
      </c>
      <c r="M7997" s="22" t="s">
        <v>37352</v>
      </c>
    </row>
    <row r="7998" spans="1:13" x14ac:dyDescent="0.75">
      <c r="A7998" t="s">
        <v>7892</v>
      </c>
      <c r="B7998" t="s">
        <v>7893</v>
      </c>
      <c r="C7998" t="s">
        <v>7894</v>
      </c>
      <c r="D7998" t="s">
        <v>7895</v>
      </c>
      <c r="E7998" t="s">
        <v>7896</v>
      </c>
      <c r="F7998">
        <v>1</v>
      </c>
      <c r="G7998">
        <v>1950550</v>
      </c>
      <c r="H7998" t="s">
        <v>7897</v>
      </c>
      <c r="J7998" s="54" t="s">
        <v>6052</v>
      </c>
      <c r="K7998" s="54">
        <v>0</v>
      </c>
      <c r="L7998" s="22" t="s">
        <v>1563</v>
      </c>
      <c r="M7998" s="22" t="s">
        <v>37353</v>
      </c>
    </row>
    <row r="7999" spans="1:13" x14ac:dyDescent="0.75">
      <c r="A7999" t="s">
        <v>20768</v>
      </c>
      <c r="B7999" t="s">
        <v>7893</v>
      </c>
      <c r="C7999" t="s">
        <v>7894</v>
      </c>
      <c r="D7999" t="s">
        <v>7895</v>
      </c>
      <c r="E7999" t="s">
        <v>20769</v>
      </c>
      <c r="F7999">
        <v>56</v>
      </c>
      <c r="G7999">
        <v>1604899</v>
      </c>
      <c r="H7999" t="s">
        <v>20770</v>
      </c>
      <c r="J7999" s="54" t="s">
        <v>6052</v>
      </c>
      <c r="K7999" s="54">
        <v>0</v>
      </c>
      <c r="L7999" s="22" t="s">
        <v>1563</v>
      </c>
      <c r="M7999" s="22" t="s">
        <v>37353</v>
      </c>
    </row>
    <row r="8000" spans="1:13" x14ac:dyDescent="0.75">
      <c r="A8000" t="s">
        <v>27322</v>
      </c>
      <c r="B8000" t="s">
        <v>7893</v>
      </c>
      <c r="C8000" t="s">
        <v>7894</v>
      </c>
      <c r="D8000" t="s">
        <v>7895</v>
      </c>
      <c r="E8000" t="s">
        <v>27323</v>
      </c>
      <c r="F8000">
        <v>13</v>
      </c>
      <c r="G8000">
        <v>1978908</v>
      </c>
      <c r="H8000" t="s">
        <v>27324</v>
      </c>
      <c r="J8000" s="54" t="s">
        <v>6052</v>
      </c>
      <c r="K8000" s="54">
        <v>0</v>
      </c>
      <c r="L8000" s="22" t="s">
        <v>1563</v>
      </c>
      <c r="M8000" s="22" t="s">
        <v>37353</v>
      </c>
    </row>
    <row r="8001" spans="1:13" x14ac:dyDescent="0.75">
      <c r="A8001" t="s">
        <v>19042</v>
      </c>
      <c r="B8001" t="s">
        <v>7372</v>
      </c>
      <c r="C8001" t="s">
        <v>7373</v>
      </c>
      <c r="D8001" t="s">
        <v>7374</v>
      </c>
      <c r="E8001" t="s">
        <v>19043</v>
      </c>
      <c r="F8001">
        <v>1</v>
      </c>
      <c r="G8001">
        <v>6870625</v>
      </c>
      <c r="H8001" t="s">
        <v>19044</v>
      </c>
      <c r="J8001" s="54" t="s">
        <v>6052</v>
      </c>
      <c r="K8001" s="54">
        <v>0</v>
      </c>
      <c r="L8001" s="22" t="s">
        <v>144</v>
      </c>
      <c r="M8001" s="22" t="s">
        <v>37354</v>
      </c>
    </row>
    <row r="8002" spans="1:13" x14ac:dyDescent="0.75">
      <c r="A8002" t="s">
        <v>17716</v>
      </c>
      <c r="B8002" t="s">
        <v>7372</v>
      </c>
      <c r="C8002" t="s">
        <v>7373</v>
      </c>
      <c r="D8002" t="s">
        <v>7374</v>
      </c>
      <c r="E8002" t="s">
        <v>17717</v>
      </c>
      <c r="F8002">
        <v>1</v>
      </c>
      <c r="G8002">
        <v>7288087</v>
      </c>
      <c r="H8002" t="s">
        <v>17718</v>
      </c>
      <c r="J8002" s="54" t="s">
        <v>6052</v>
      </c>
      <c r="K8002" s="54">
        <v>0</v>
      </c>
      <c r="L8002" s="22" t="s">
        <v>144</v>
      </c>
      <c r="M8002" s="22" t="s">
        <v>37354</v>
      </c>
    </row>
    <row r="8003" spans="1:13" x14ac:dyDescent="0.75">
      <c r="A8003" t="s">
        <v>9664</v>
      </c>
      <c r="B8003" t="s">
        <v>7372</v>
      </c>
      <c r="C8003" t="s">
        <v>7373</v>
      </c>
      <c r="D8003" t="s">
        <v>7374</v>
      </c>
      <c r="E8003" t="s">
        <v>9665</v>
      </c>
      <c r="F8003">
        <v>2</v>
      </c>
      <c r="G8003">
        <v>7148516</v>
      </c>
      <c r="H8003" t="s">
        <v>9666</v>
      </c>
      <c r="J8003" s="54" t="s">
        <v>6052</v>
      </c>
      <c r="K8003" s="54">
        <v>0</v>
      </c>
      <c r="L8003" s="22" t="s">
        <v>144</v>
      </c>
      <c r="M8003" s="22" t="s">
        <v>37354</v>
      </c>
    </row>
    <row r="8004" spans="1:13" x14ac:dyDescent="0.75">
      <c r="A8004" t="s">
        <v>26538</v>
      </c>
      <c r="B8004" t="s">
        <v>7372</v>
      </c>
      <c r="C8004" t="s">
        <v>7373</v>
      </c>
      <c r="D8004" t="s">
        <v>7374</v>
      </c>
      <c r="E8004" t="s">
        <v>26539</v>
      </c>
      <c r="F8004">
        <v>1</v>
      </c>
      <c r="G8004">
        <v>7065066</v>
      </c>
      <c r="H8004" t="s">
        <v>26540</v>
      </c>
      <c r="J8004" s="54" t="s">
        <v>6052</v>
      </c>
      <c r="K8004" s="54">
        <v>0</v>
      </c>
      <c r="L8004" s="22" t="s">
        <v>144</v>
      </c>
      <c r="M8004" s="22" t="s">
        <v>37354</v>
      </c>
    </row>
    <row r="8005" spans="1:13" x14ac:dyDescent="0.75">
      <c r="A8005" t="s">
        <v>17938</v>
      </c>
      <c r="B8005" t="s">
        <v>7372</v>
      </c>
      <c r="C8005" t="s">
        <v>7373</v>
      </c>
      <c r="D8005" t="s">
        <v>7374</v>
      </c>
      <c r="E8005" t="s">
        <v>17939</v>
      </c>
      <c r="F8005">
        <v>1</v>
      </c>
      <c r="G8005">
        <v>5574400</v>
      </c>
      <c r="H8005" t="s">
        <v>17940</v>
      </c>
      <c r="J8005" s="54" t="s">
        <v>6052</v>
      </c>
      <c r="K8005" s="54">
        <v>0</v>
      </c>
      <c r="L8005" s="22" t="s">
        <v>144</v>
      </c>
      <c r="M8005" s="22" t="s">
        <v>37354</v>
      </c>
    </row>
    <row r="8006" spans="1:13" x14ac:dyDescent="0.75">
      <c r="A8006" t="s">
        <v>26535</v>
      </c>
      <c r="B8006" t="s">
        <v>7372</v>
      </c>
      <c r="C8006" t="s">
        <v>7373</v>
      </c>
      <c r="D8006" t="s">
        <v>7374</v>
      </c>
      <c r="E8006" t="s">
        <v>26536</v>
      </c>
      <c r="F8006">
        <v>30</v>
      </c>
      <c r="G8006">
        <v>7076942</v>
      </c>
      <c r="H8006" t="s">
        <v>26537</v>
      </c>
      <c r="J8006" s="54" t="s">
        <v>6052</v>
      </c>
      <c r="K8006" s="54">
        <v>0</v>
      </c>
      <c r="L8006" s="22" t="s">
        <v>144</v>
      </c>
      <c r="M8006" s="22" t="s">
        <v>37354</v>
      </c>
    </row>
    <row r="8007" spans="1:13" x14ac:dyDescent="0.75">
      <c r="A8007" t="s">
        <v>7371</v>
      </c>
      <c r="B8007" t="s">
        <v>7372</v>
      </c>
      <c r="C8007" t="s">
        <v>7373</v>
      </c>
      <c r="D8007" t="s">
        <v>7374</v>
      </c>
      <c r="E8007" t="s">
        <v>7375</v>
      </c>
      <c r="F8007">
        <v>1</v>
      </c>
      <c r="G8007">
        <v>6550056</v>
      </c>
      <c r="H8007" t="s">
        <v>7376</v>
      </c>
      <c r="J8007" s="54" t="s">
        <v>6052</v>
      </c>
      <c r="K8007" s="54">
        <v>0</v>
      </c>
      <c r="L8007" s="22" t="s">
        <v>144</v>
      </c>
      <c r="M8007" s="22" t="s">
        <v>37354</v>
      </c>
    </row>
    <row r="8008" spans="1:13" x14ac:dyDescent="0.75">
      <c r="A8008" t="s">
        <v>12090</v>
      </c>
      <c r="B8008" t="s">
        <v>7372</v>
      </c>
      <c r="C8008" t="s">
        <v>7373</v>
      </c>
      <c r="D8008" t="s">
        <v>7374</v>
      </c>
      <c r="E8008" t="s">
        <v>12091</v>
      </c>
      <c r="F8008">
        <v>16</v>
      </c>
      <c r="G8008">
        <v>6664268</v>
      </c>
      <c r="H8008" t="s">
        <v>12092</v>
      </c>
      <c r="J8008" s="54" t="s">
        <v>6052</v>
      </c>
      <c r="K8008" s="54">
        <v>0</v>
      </c>
      <c r="L8008" s="22" t="s">
        <v>144</v>
      </c>
      <c r="M8008" s="22" t="s">
        <v>37354</v>
      </c>
    </row>
    <row r="8009" spans="1:13" x14ac:dyDescent="0.75">
      <c r="A8009" t="s">
        <v>8765</v>
      </c>
      <c r="B8009" t="s">
        <v>7304</v>
      </c>
      <c r="C8009" t="s">
        <v>6471</v>
      </c>
      <c r="D8009" t="s">
        <v>7305</v>
      </c>
      <c r="E8009" t="s">
        <v>8766</v>
      </c>
      <c r="F8009">
        <v>26</v>
      </c>
      <c r="G8009">
        <v>2042594</v>
      </c>
      <c r="H8009" t="s">
        <v>8767</v>
      </c>
      <c r="J8009" s="54" t="s">
        <v>6052</v>
      </c>
      <c r="K8009" s="54">
        <v>0</v>
      </c>
      <c r="L8009" s="22" t="s">
        <v>104</v>
      </c>
      <c r="M8009" s="22" t="s">
        <v>37360</v>
      </c>
    </row>
    <row r="8010" spans="1:13" x14ac:dyDescent="0.75">
      <c r="A8010" t="s">
        <v>7303</v>
      </c>
      <c r="B8010" t="s">
        <v>7304</v>
      </c>
      <c r="C8010" t="s">
        <v>6471</v>
      </c>
      <c r="D8010" t="s">
        <v>7305</v>
      </c>
      <c r="E8010" t="s">
        <v>7306</v>
      </c>
      <c r="F8010">
        <v>63</v>
      </c>
      <c r="G8010">
        <v>2053871</v>
      </c>
      <c r="H8010" t="s">
        <v>7307</v>
      </c>
      <c r="J8010" s="54" t="s">
        <v>6052</v>
      </c>
      <c r="K8010" s="54">
        <v>0</v>
      </c>
      <c r="L8010" s="22" t="s">
        <v>104</v>
      </c>
      <c r="M8010" s="22" t="s">
        <v>37360</v>
      </c>
    </row>
    <row r="8011" spans="1:13" x14ac:dyDescent="0.75">
      <c r="A8011" t="s">
        <v>7308</v>
      </c>
      <c r="B8011" t="s">
        <v>7304</v>
      </c>
      <c r="C8011" t="s">
        <v>6471</v>
      </c>
      <c r="D8011" t="s">
        <v>7305</v>
      </c>
      <c r="E8011" t="s">
        <v>7309</v>
      </c>
      <c r="F8011">
        <v>70</v>
      </c>
      <c r="G8011">
        <v>2151913</v>
      </c>
      <c r="H8011" t="s">
        <v>7310</v>
      </c>
      <c r="J8011" s="54" t="s">
        <v>6052</v>
      </c>
      <c r="K8011" s="54">
        <v>0</v>
      </c>
      <c r="L8011" s="22" t="s">
        <v>104</v>
      </c>
      <c r="M8011" s="22" t="s">
        <v>37360</v>
      </c>
    </row>
    <row r="8012" spans="1:13" x14ac:dyDescent="0.75">
      <c r="A8012" t="s">
        <v>24671</v>
      </c>
      <c r="B8012" t="s">
        <v>7304</v>
      </c>
      <c r="C8012" t="s">
        <v>6471</v>
      </c>
      <c r="D8012" t="s">
        <v>7305</v>
      </c>
      <c r="E8012" t="s">
        <v>24672</v>
      </c>
      <c r="F8012">
        <v>32</v>
      </c>
      <c r="G8012">
        <v>2050961</v>
      </c>
      <c r="H8012" t="s">
        <v>24673</v>
      </c>
      <c r="J8012" s="54" t="s">
        <v>6052</v>
      </c>
      <c r="K8012" s="54">
        <v>0</v>
      </c>
      <c r="L8012" s="22" t="s">
        <v>104</v>
      </c>
      <c r="M8012" s="22" t="s">
        <v>37360</v>
      </c>
    </row>
    <row r="8013" spans="1:13" x14ac:dyDescent="0.75">
      <c r="A8013" t="s">
        <v>15621</v>
      </c>
      <c r="B8013" t="s">
        <v>7304</v>
      </c>
      <c r="C8013" t="s">
        <v>6471</v>
      </c>
      <c r="D8013" t="s">
        <v>7305</v>
      </c>
      <c r="E8013" t="s">
        <v>15622</v>
      </c>
      <c r="F8013">
        <v>32</v>
      </c>
      <c r="G8013">
        <v>1992862</v>
      </c>
      <c r="H8013" t="s">
        <v>15623</v>
      </c>
      <c r="J8013" s="54" t="s">
        <v>6052</v>
      </c>
      <c r="K8013" s="54">
        <v>0</v>
      </c>
      <c r="L8013" s="22" t="s">
        <v>104</v>
      </c>
      <c r="M8013" s="22" t="s">
        <v>37360</v>
      </c>
    </row>
    <row r="8014" spans="1:13" x14ac:dyDescent="0.75">
      <c r="A8014" t="s">
        <v>14659</v>
      </c>
      <c r="B8014" t="s">
        <v>7304</v>
      </c>
      <c r="C8014" t="s">
        <v>6471</v>
      </c>
      <c r="D8014" t="s">
        <v>7305</v>
      </c>
      <c r="E8014" t="s">
        <v>14660</v>
      </c>
      <c r="F8014">
        <v>11</v>
      </c>
      <c r="G8014">
        <v>2037410</v>
      </c>
      <c r="H8014" t="s">
        <v>14661</v>
      </c>
      <c r="J8014" s="54" t="s">
        <v>6052</v>
      </c>
      <c r="K8014" s="54">
        <v>0</v>
      </c>
      <c r="L8014" s="22" t="s">
        <v>104</v>
      </c>
      <c r="M8014" s="22" t="s">
        <v>37360</v>
      </c>
    </row>
    <row r="8015" spans="1:13" x14ac:dyDescent="0.75">
      <c r="A8015" t="s">
        <v>11843</v>
      </c>
      <c r="B8015" t="s">
        <v>7304</v>
      </c>
      <c r="C8015" t="s">
        <v>6471</v>
      </c>
      <c r="D8015" t="s">
        <v>7305</v>
      </c>
      <c r="E8015" t="s">
        <v>11844</v>
      </c>
      <c r="F8015">
        <v>132</v>
      </c>
      <c r="G8015">
        <v>2098853</v>
      </c>
      <c r="H8015" t="s">
        <v>11845</v>
      </c>
      <c r="J8015" s="54" t="s">
        <v>6052</v>
      </c>
      <c r="K8015" s="54">
        <v>0</v>
      </c>
      <c r="L8015" s="22" t="s">
        <v>104</v>
      </c>
      <c r="M8015" s="22" t="s">
        <v>37360</v>
      </c>
    </row>
    <row r="8016" spans="1:13" x14ac:dyDescent="0.75">
      <c r="A8016" t="s">
        <v>22351</v>
      </c>
      <c r="B8016" t="s">
        <v>7304</v>
      </c>
      <c r="C8016" t="s">
        <v>6471</v>
      </c>
      <c r="D8016" t="s">
        <v>7305</v>
      </c>
      <c r="E8016" t="s">
        <v>22352</v>
      </c>
      <c r="F8016">
        <v>63</v>
      </c>
      <c r="G8016">
        <v>2126203</v>
      </c>
      <c r="H8016" t="s">
        <v>22353</v>
      </c>
      <c r="J8016" s="54" t="s">
        <v>6052</v>
      </c>
      <c r="K8016" s="54">
        <v>0</v>
      </c>
      <c r="L8016" s="22" t="s">
        <v>104</v>
      </c>
      <c r="M8016" s="22" t="s">
        <v>37360</v>
      </c>
    </row>
    <row r="8017" spans="1:13" x14ac:dyDescent="0.75">
      <c r="A8017" t="s">
        <v>21792</v>
      </c>
      <c r="B8017" t="s">
        <v>7304</v>
      </c>
      <c r="C8017" t="s">
        <v>6471</v>
      </c>
      <c r="D8017" t="s">
        <v>7305</v>
      </c>
      <c r="E8017" t="s">
        <v>21793</v>
      </c>
      <c r="F8017">
        <v>239</v>
      </c>
      <c r="G8017">
        <v>2212497</v>
      </c>
      <c r="H8017" t="s">
        <v>21794</v>
      </c>
      <c r="J8017" s="54" t="s">
        <v>6052</v>
      </c>
      <c r="K8017" s="54">
        <v>0</v>
      </c>
      <c r="L8017" s="22" t="s">
        <v>104</v>
      </c>
      <c r="M8017" s="22" t="s">
        <v>37360</v>
      </c>
    </row>
    <row r="8018" spans="1:13" x14ac:dyDescent="0.75">
      <c r="A8018" t="s">
        <v>30596</v>
      </c>
      <c r="B8018" t="s">
        <v>7304</v>
      </c>
      <c r="C8018" t="s">
        <v>6471</v>
      </c>
      <c r="D8018" t="s">
        <v>7305</v>
      </c>
      <c r="E8018" t="s">
        <v>30597</v>
      </c>
      <c r="F8018">
        <v>38</v>
      </c>
      <c r="G8018">
        <v>2009312</v>
      </c>
      <c r="H8018" t="s">
        <v>30598</v>
      </c>
      <c r="J8018" s="54" t="s">
        <v>6052</v>
      </c>
      <c r="K8018" s="54">
        <v>0</v>
      </c>
      <c r="L8018" s="22" t="s">
        <v>104</v>
      </c>
      <c r="M8018" s="22" t="s">
        <v>37360</v>
      </c>
    </row>
    <row r="8019" spans="1:13" x14ac:dyDescent="0.75">
      <c r="A8019" t="s">
        <v>30634</v>
      </c>
      <c r="B8019" t="s">
        <v>7304</v>
      </c>
      <c r="C8019" t="s">
        <v>6471</v>
      </c>
      <c r="D8019" t="s">
        <v>7305</v>
      </c>
      <c r="E8019" t="s">
        <v>30635</v>
      </c>
      <c r="F8019">
        <v>72</v>
      </c>
      <c r="G8019">
        <v>1949722</v>
      </c>
      <c r="H8019" t="s">
        <v>30636</v>
      </c>
      <c r="J8019" s="54" t="s">
        <v>6052</v>
      </c>
      <c r="K8019" s="54">
        <v>0</v>
      </c>
      <c r="L8019" s="22" t="s">
        <v>104</v>
      </c>
      <c r="M8019" s="22" t="s">
        <v>37360</v>
      </c>
    </row>
    <row r="8020" spans="1:13" x14ac:dyDescent="0.75">
      <c r="A8020" t="s">
        <v>28776</v>
      </c>
      <c r="B8020" t="s">
        <v>7304</v>
      </c>
      <c r="C8020" t="s">
        <v>6471</v>
      </c>
      <c r="D8020" t="s">
        <v>7305</v>
      </c>
      <c r="E8020" t="s">
        <v>28777</v>
      </c>
      <c r="F8020">
        <v>32</v>
      </c>
      <c r="G8020">
        <v>2110870</v>
      </c>
      <c r="H8020" t="s">
        <v>28778</v>
      </c>
      <c r="J8020" s="54" t="s">
        <v>6052</v>
      </c>
      <c r="K8020" s="54">
        <v>0</v>
      </c>
      <c r="L8020" s="22" t="s">
        <v>104</v>
      </c>
      <c r="M8020" s="22" t="s">
        <v>37360</v>
      </c>
    </row>
    <row r="8021" spans="1:13" x14ac:dyDescent="0.75">
      <c r="A8021" t="s">
        <v>30511</v>
      </c>
      <c r="B8021" t="s">
        <v>7304</v>
      </c>
      <c r="C8021" t="s">
        <v>6471</v>
      </c>
      <c r="D8021" t="s">
        <v>7305</v>
      </c>
      <c r="E8021" t="s">
        <v>30512</v>
      </c>
      <c r="F8021">
        <v>76</v>
      </c>
      <c r="G8021">
        <v>2023129</v>
      </c>
      <c r="H8021" t="s">
        <v>30513</v>
      </c>
      <c r="J8021" s="54" t="s">
        <v>6052</v>
      </c>
      <c r="K8021" s="54">
        <v>0</v>
      </c>
      <c r="L8021" s="22" t="s">
        <v>104</v>
      </c>
      <c r="M8021" s="22" t="s">
        <v>37360</v>
      </c>
    </row>
    <row r="8022" spans="1:13" x14ac:dyDescent="0.75">
      <c r="A8022" t="s">
        <v>9462</v>
      </c>
      <c r="B8022" t="s">
        <v>7304</v>
      </c>
      <c r="C8022" t="s">
        <v>6471</v>
      </c>
      <c r="D8022" t="s">
        <v>7305</v>
      </c>
      <c r="E8022" t="s">
        <v>9463</v>
      </c>
      <c r="F8022">
        <v>25</v>
      </c>
      <c r="G8022">
        <v>2071607</v>
      </c>
      <c r="H8022" t="s">
        <v>9464</v>
      </c>
      <c r="J8022" s="54" t="s">
        <v>6052</v>
      </c>
      <c r="K8022" s="54">
        <v>0</v>
      </c>
      <c r="L8022" s="22" t="s">
        <v>104</v>
      </c>
      <c r="M8022" s="22" t="s">
        <v>37360</v>
      </c>
    </row>
    <row r="8023" spans="1:13" x14ac:dyDescent="0.75">
      <c r="A8023" t="s">
        <v>10188</v>
      </c>
      <c r="B8023" t="s">
        <v>7304</v>
      </c>
      <c r="C8023" t="s">
        <v>6471</v>
      </c>
      <c r="D8023" t="s">
        <v>7305</v>
      </c>
      <c r="E8023" t="s">
        <v>10189</v>
      </c>
      <c r="F8023">
        <v>53</v>
      </c>
      <c r="G8023">
        <v>2157029</v>
      </c>
      <c r="H8023" t="s">
        <v>10190</v>
      </c>
      <c r="J8023" s="54" t="s">
        <v>6052</v>
      </c>
      <c r="K8023" s="54">
        <v>0</v>
      </c>
      <c r="L8023" s="22" t="s">
        <v>104</v>
      </c>
      <c r="M8023" s="22" t="s">
        <v>37360</v>
      </c>
    </row>
    <row r="8024" spans="1:13" x14ac:dyDescent="0.75">
      <c r="A8024" t="s">
        <v>19646</v>
      </c>
      <c r="B8024" t="s">
        <v>7304</v>
      </c>
      <c r="C8024" t="s">
        <v>6471</v>
      </c>
      <c r="D8024" t="s">
        <v>7305</v>
      </c>
      <c r="E8024" t="s">
        <v>19647</v>
      </c>
      <c r="F8024">
        <v>219</v>
      </c>
      <c r="G8024">
        <v>1913654</v>
      </c>
      <c r="H8024" t="s">
        <v>19648</v>
      </c>
      <c r="J8024" s="54" t="s">
        <v>6052</v>
      </c>
      <c r="K8024" s="54">
        <v>0</v>
      </c>
      <c r="L8024" s="22" t="s">
        <v>104</v>
      </c>
      <c r="M8024" s="22" t="s">
        <v>37360</v>
      </c>
    </row>
    <row r="8025" spans="1:13" x14ac:dyDescent="0.75">
      <c r="A8025" t="s">
        <v>15870</v>
      </c>
      <c r="B8025" t="s">
        <v>7304</v>
      </c>
      <c r="C8025" t="s">
        <v>6471</v>
      </c>
      <c r="D8025" t="s">
        <v>7305</v>
      </c>
      <c r="E8025" t="s">
        <v>15871</v>
      </c>
      <c r="F8025">
        <v>60</v>
      </c>
      <c r="G8025">
        <v>2189293</v>
      </c>
      <c r="H8025" t="s">
        <v>15872</v>
      </c>
      <c r="J8025" s="54" t="s">
        <v>6052</v>
      </c>
      <c r="K8025" s="54">
        <v>0</v>
      </c>
      <c r="L8025" s="22" t="s">
        <v>104</v>
      </c>
      <c r="M8025" s="22" t="s">
        <v>37360</v>
      </c>
    </row>
    <row r="8026" spans="1:13" x14ac:dyDescent="0.75">
      <c r="A8026" t="s">
        <v>9003</v>
      </c>
      <c r="B8026" t="s">
        <v>7304</v>
      </c>
      <c r="C8026" t="s">
        <v>6471</v>
      </c>
      <c r="D8026" t="s">
        <v>7305</v>
      </c>
      <c r="E8026" t="s">
        <v>9004</v>
      </c>
      <c r="F8026">
        <v>67</v>
      </c>
      <c r="G8026">
        <v>1997160</v>
      </c>
      <c r="H8026" t="s">
        <v>9005</v>
      </c>
      <c r="J8026" s="54" t="s">
        <v>6052</v>
      </c>
      <c r="K8026" s="54">
        <v>0</v>
      </c>
      <c r="L8026" s="22" t="s">
        <v>104</v>
      </c>
      <c r="M8026" s="22" t="s">
        <v>37360</v>
      </c>
    </row>
    <row r="8027" spans="1:13" x14ac:dyDescent="0.75">
      <c r="A8027" t="s">
        <v>20952</v>
      </c>
      <c r="B8027" t="s">
        <v>7304</v>
      </c>
      <c r="C8027" t="s">
        <v>6471</v>
      </c>
      <c r="D8027" t="s">
        <v>7305</v>
      </c>
      <c r="E8027" t="s">
        <v>20953</v>
      </c>
      <c r="F8027">
        <v>97</v>
      </c>
      <c r="G8027">
        <v>2009800</v>
      </c>
      <c r="H8027" t="s">
        <v>20954</v>
      </c>
      <c r="J8027" s="54" t="s">
        <v>6052</v>
      </c>
      <c r="K8027" s="54">
        <v>0</v>
      </c>
      <c r="L8027" s="22" t="s">
        <v>104</v>
      </c>
      <c r="M8027" s="22" t="s">
        <v>37360</v>
      </c>
    </row>
    <row r="8028" spans="1:13" x14ac:dyDescent="0.75">
      <c r="A8028" t="s">
        <v>20969</v>
      </c>
      <c r="B8028" t="s">
        <v>7304</v>
      </c>
      <c r="C8028" t="s">
        <v>6471</v>
      </c>
      <c r="D8028" t="s">
        <v>7305</v>
      </c>
      <c r="E8028" t="s">
        <v>20970</v>
      </c>
      <c r="F8028">
        <v>141</v>
      </c>
      <c r="G8028">
        <v>1840430</v>
      </c>
      <c r="H8028" t="s">
        <v>20971</v>
      </c>
      <c r="J8028" s="54" t="s">
        <v>6052</v>
      </c>
      <c r="K8028" s="54">
        <v>0</v>
      </c>
      <c r="L8028" s="22" t="s">
        <v>104</v>
      </c>
      <c r="M8028" s="22" t="s">
        <v>37360</v>
      </c>
    </row>
    <row r="8029" spans="1:13" x14ac:dyDescent="0.75">
      <c r="A8029" t="s">
        <v>20993</v>
      </c>
      <c r="B8029" t="s">
        <v>7304</v>
      </c>
      <c r="C8029" t="s">
        <v>6471</v>
      </c>
      <c r="D8029" t="s">
        <v>7305</v>
      </c>
      <c r="E8029" t="s">
        <v>20994</v>
      </c>
      <c r="F8029">
        <v>183</v>
      </c>
      <c r="G8029">
        <v>2024019</v>
      </c>
      <c r="H8029" t="s">
        <v>20995</v>
      </c>
      <c r="J8029" s="54" t="s">
        <v>6052</v>
      </c>
      <c r="K8029" s="54">
        <v>0</v>
      </c>
      <c r="L8029" s="22" t="s">
        <v>104</v>
      </c>
      <c r="M8029" s="22" t="s">
        <v>37360</v>
      </c>
    </row>
    <row r="8030" spans="1:13" x14ac:dyDescent="0.75">
      <c r="A8030" t="s">
        <v>20984</v>
      </c>
      <c r="B8030" t="s">
        <v>7304</v>
      </c>
      <c r="C8030" t="s">
        <v>6471</v>
      </c>
      <c r="D8030" t="s">
        <v>7305</v>
      </c>
      <c r="E8030" t="s">
        <v>20985</v>
      </c>
      <c r="F8030">
        <v>93</v>
      </c>
      <c r="G8030">
        <v>2013083</v>
      </c>
      <c r="H8030" t="s">
        <v>20986</v>
      </c>
      <c r="J8030" s="54" t="s">
        <v>6052</v>
      </c>
      <c r="K8030" s="54">
        <v>0</v>
      </c>
      <c r="L8030" s="22" t="s">
        <v>104</v>
      </c>
      <c r="M8030" s="22" t="s">
        <v>37360</v>
      </c>
    </row>
    <row r="8031" spans="1:13" x14ac:dyDescent="0.75">
      <c r="A8031" t="s">
        <v>20911</v>
      </c>
      <c r="B8031" t="s">
        <v>7304</v>
      </c>
      <c r="C8031" t="s">
        <v>6471</v>
      </c>
      <c r="D8031" t="s">
        <v>7305</v>
      </c>
      <c r="E8031" t="s">
        <v>20912</v>
      </c>
      <c r="F8031">
        <v>50</v>
      </c>
      <c r="G8031">
        <v>2045937</v>
      </c>
      <c r="H8031" t="s">
        <v>20913</v>
      </c>
      <c r="J8031" s="54" t="s">
        <v>6052</v>
      </c>
      <c r="K8031" s="54">
        <v>0</v>
      </c>
      <c r="L8031" s="22" t="s">
        <v>104</v>
      </c>
      <c r="M8031" s="22" t="s">
        <v>37360</v>
      </c>
    </row>
    <row r="8032" spans="1:13" x14ac:dyDescent="0.75">
      <c r="A8032" t="s">
        <v>20896</v>
      </c>
      <c r="B8032" t="s">
        <v>7304</v>
      </c>
      <c r="C8032" t="s">
        <v>6471</v>
      </c>
      <c r="D8032" t="s">
        <v>7305</v>
      </c>
      <c r="E8032" t="s">
        <v>20897</v>
      </c>
      <c r="F8032">
        <v>62</v>
      </c>
      <c r="G8032">
        <v>2088614</v>
      </c>
      <c r="H8032" t="s">
        <v>20898</v>
      </c>
      <c r="J8032" s="54" t="s">
        <v>6052</v>
      </c>
      <c r="K8032" s="54">
        <v>0</v>
      </c>
      <c r="L8032" s="22" t="s">
        <v>104</v>
      </c>
      <c r="M8032" s="22" t="s">
        <v>37360</v>
      </c>
    </row>
    <row r="8033" spans="1:13" x14ac:dyDescent="0.75">
      <c r="A8033" t="s">
        <v>20890</v>
      </c>
      <c r="B8033" t="s">
        <v>7304</v>
      </c>
      <c r="C8033" t="s">
        <v>6471</v>
      </c>
      <c r="D8033" t="s">
        <v>7305</v>
      </c>
      <c r="E8033" t="s">
        <v>20891</v>
      </c>
      <c r="F8033">
        <v>80</v>
      </c>
      <c r="G8033">
        <v>2000450</v>
      </c>
      <c r="H8033" t="s">
        <v>20892</v>
      </c>
      <c r="J8033" s="54" t="s">
        <v>6052</v>
      </c>
      <c r="K8033" s="54">
        <v>0</v>
      </c>
      <c r="L8033" s="22" t="s">
        <v>104</v>
      </c>
      <c r="M8033" s="22" t="s">
        <v>37360</v>
      </c>
    </row>
    <row r="8034" spans="1:13" x14ac:dyDescent="0.75">
      <c r="A8034" t="s">
        <v>20926</v>
      </c>
      <c r="B8034" t="s">
        <v>7304</v>
      </c>
      <c r="C8034" t="s">
        <v>6471</v>
      </c>
      <c r="D8034" t="s">
        <v>7305</v>
      </c>
      <c r="E8034" t="s">
        <v>20927</v>
      </c>
      <c r="F8034">
        <v>36</v>
      </c>
      <c r="G8034">
        <v>2054967</v>
      </c>
      <c r="H8034" t="s">
        <v>20928</v>
      </c>
      <c r="J8034" s="54" t="s">
        <v>6052</v>
      </c>
      <c r="K8034" s="54">
        <v>0</v>
      </c>
      <c r="L8034" s="22" t="s">
        <v>104</v>
      </c>
      <c r="M8034" s="22" t="s">
        <v>37360</v>
      </c>
    </row>
    <row r="8035" spans="1:13" x14ac:dyDescent="0.75">
      <c r="A8035" t="s">
        <v>20836</v>
      </c>
      <c r="B8035" t="s">
        <v>7304</v>
      </c>
      <c r="C8035" t="s">
        <v>6471</v>
      </c>
      <c r="D8035" t="s">
        <v>7305</v>
      </c>
      <c r="E8035" t="s">
        <v>20837</v>
      </c>
      <c r="F8035">
        <v>60</v>
      </c>
      <c r="G8035">
        <v>2135535</v>
      </c>
      <c r="H8035" t="s">
        <v>20838</v>
      </c>
      <c r="J8035" s="54" t="s">
        <v>6052</v>
      </c>
      <c r="K8035" s="54">
        <v>0</v>
      </c>
      <c r="L8035" s="22" t="s">
        <v>104</v>
      </c>
      <c r="M8035" s="22" t="s">
        <v>37360</v>
      </c>
    </row>
    <row r="8036" spans="1:13" x14ac:dyDescent="0.75">
      <c r="A8036" t="s">
        <v>20845</v>
      </c>
      <c r="B8036" t="s">
        <v>7304</v>
      </c>
      <c r="C8036" t="s">
        <v>6471</v>
      </c>
      <c r="D8036" t="s">
        <v>7305</v>
      </c>
      <c r="E8036" t="s">
        <v>20846</v>
      </c>
      <c r="F8036">
        <v>153</v>
      </c>
      <c r="G8036">
        <v>2012662</v>
      </c>
      <c r="H8036" t="s">
        <v>20847</v>
      </c>
      <c r="J8036" s="54" t="s">
        <v>6052</v>
      </c>
      <c r="K8036" s="54">
        <v>0</v>
      </c>
      <c r="L8036" s="22" t="s">
        <v>104</v>
      </c>
      <c r="M8036" s="22" t="s">
        <v>37360</v>
      </c>
    </row>
    <row r="8037" spans="1:13" x14ac:dyDescent="0.75">
      <c r="A8037" t="s">
        <v>28287</v>
      </c>
      <c r="B8037" t="s">
        <v>7304</v>
      </c>
      <c r="C8037" t="s">
        <v>6471</v>
      </c>
      <c r="D8037" t="s">
        <v>7305</v>
      </c>
      <c r="E8037" t="s">
        <v>28288</v>
      </c>
      <c r="F8037">
        <v>25</v>
      </c>
      <c r="G8037">
        <v>2071607</v>
      </c>
      <c r="H8037" t="s">
        <v>28289</v>
      </c>
      <c r="J8037" s="54" t="s">
        <v>6052</v>
      </c>
      <c r="K8037" s="54">
        <v>0</v>
      </c>
      <c r="L8037" s="22" t="s">
        <v>104</v>
      </c>
      <c r="M8037" s="22" t="s">
        <v>37360</v>
      </c>
    </row>
    <row r="8038" spans="1:13" x14ac:dyDescent="0.75">
      <c r="A8038" t="s">
        <v>27635</v>
      </c>
      <c r="B8038" t="s">
        <v>7304</v>
      </c>
      <c r="C8038" t="s">
        <v>6471</v>
      </c>
      <c r="D8038" t="s">
        <v>7305</v>
      </c>
      <c r="E8038" t="s">
        <v>27636</v>
      </c>
      <c r="F8038">
        <v>8</v>
      </c>
      <c r="G8038">
        <v>2107942</v>
      </c>
      <c r="H8038" t="s">
        <v>27637</v>
      </c>
      <c r="J8038" s="54" t="s">
        <v>6052</v>
      </c>
      <c r="K8038" s="54">
        <v>0</v>
      </c>
      <c r="L8038" s="22" t="s">
        <v>104</v>
      </c>
      <c r="M8038" s="22" t="s">
        <v>37360</v>
      </c>
    </row>
    <row r="8039" spans="1:13" x14ac:dyDescent="0.75">
      <c r="A8039" t="s">
        <v>13449</v>
      </c>
      <c r="B8039" t="s">
        <v>7304</v>
      </c>
      <c r="C8039" t="s">
        <v>6471</v>
      </c>
      <c r="D8039" t="s">
        <v>7305</v>
      </c>
      <c r="E8039" t="s">
        <v>13450</v>
      </c>
      <c r="F8039">
        <v>1</v>
      </c>
      <c r="G8039">
        <v>2071952</v>
      </c>
      <c r="H8039" t="s">
        <v>13451</v>
      </c>
      <c r="J8039" s="54" t="s">
        <v>6052</v>
      </c>
      <c r="K8039" s="54">
        <v>0</v>
      </c>
      <c r="L8039" s="22" t="s">
        <v>104</v>
      </c>
      <c r="M8039" s="22" t="s">
        <v>37360</v>
      </c>
    </row>
    <row r="8040" spans="1:13" x14ac:dyDescent="0.75">
      <c r="A8040" t="s">
        <v>30581</v>
      </c>
      <c r="B8040" t="s">
        <v>7304</v>
      </c>
      <c r="C8040" t="s">
        <v>6471</v>
      </c>
      <c r="D8040" t="s">
        <v>7305</v>
      </c>
      <c r="E8040" t="s">
        <v>30582</v>
      </c>
      <c r="F8040">
        <v>30</v>
      </c>
      <c r="G8040">
        <v>2153358</v>
      </c>
      <c r="H8040" t="s">
        <v>30583</v>
      </c>
      <c r="J8040" s="54" t="s">
        <v>6052</v>
      </c>
      <c r="K8040" s="54">
        <v>0</v>
      </c>
      <c r="L8040" s="22" t="s">
        <v>104</v>
      </c>
      <c r="M8040" s="22" t="s">
        <v>37360</v>
      </c>
    </row>
    <row r="8041" spans="1:13" x14ac:dyDescent="0.75">
      <c r="A8041" t="s">
        <v>30593</v>
      </c>
      <c r="B8041" t="s">
        <v>7304</v>
      </c>
      <c r="C8041" t="s">
        <v>6471</v>
      </c>
      <c r="D8041" t="s">
        <v>7305</v>
      </c>
      <c r="E8041" t="s">
        <v>30594</v>
      </c>
      <c r="F8041">
        <v>145</v>
      </c>
      <c r="G8041">
        <v>1732487</v>
      </c>
      <c r="H8041" t="s">
        <v>30595</v>
      </c>
      <c r="J8041" s="54" t="s">
        <v>6052</v>
      </c>
      <c r="K8041" s="54">
        <v>0</v>
      </c>
      <c r="L8041" s="22" t="s">
        <v>104</v>
      </c>
      <c r="M8041" s="22" t="s">
        <v>37360</v>
      </c>
    </row>
    <row r="8042" spans="1:13" x14ac:dyDescent="0.75">
      <c r="A8042" t="s">
        <v>29788</v>
      </c>
      <c r="B8042" t="s">
        <v>7304</v>
      </c>
      <c r="C8042" t="s">
        <v>6471</v>
      </c>
      <c r="D8042" t="s">
        <v>7305</v>
      </c>
      <c r="E8042" t="s">
        <v>29789</v>
      </c>
      <c r="F8042">
        <v>10</v>
      </c>
      <c r="G8042">
        <v>1989158</v>
      </c>
      <c r="H8042" t="s">
        <v>29790</v>
      </c>
      <c r="J8042" s="54" t="s">
        <v>6052</v>
      </c>
      <c r="K8042" s="54">
        <v>0</v>
      </c>
      <c r="L8042" s="22" t="s">
        <v>104</v>
      </c>
      <c r="M8042" s="22" t="s">
        <v>37360</v>
      </c>
    </row>
    <row r="8043" spans="1:13" x14ac:dyDescent="0.75">
      <c r="A8043" t="s">
        <v>14650</v>
      </c>
      <c r="B8043" t="s">
        <v>7304</v>
      </c>
      <c r="C8043" t="s">
        <v>6471</v>
      </c>
      <c r="D8043" t="s">
        <v>7305</v>
      </c>
      <c r="E8043" t="s">
        <v>14651</v>
      </c>
      <c r="F8043">
        <v>26</v>
      </c>
      <c r="G8043">
        <v>2060569</v>
      </c>
      <c r="H8043" t="s">
        <v>14652</v>
      </c>
      <c r="J8043" s="54" t="s">
        <v>6052</v>
      </c>
      <c r="K8043" s="54">
        <v>0</v>
      </c>
      <c r="L8043" s="22" t="s">
        <v>104</v>
      </c>
      <c r="M8043" s="22" t="s">
        <v>37360</v>
      </c>
    </row>
    <row r="8044" spans="1:13" x14ac:dyDescent="0.75">
      <c r="A8044" t="s">
        <v>25872</v>
      </c>
      <c r="B8044" t="s">
        <v>7304</v>
      </c>
      <c r="C8044" t="s">
        <v>6471</v>
      </c>
      <c r="D8044" t="s">
        <v>7305</v>
      </c>
      <c r="E8044" t="s">
        <v>25873</v>
      </c>
      <c r="F8044">
        <v>205</v>
      </c>
      <c r="G8044">
        <v>2124476</v>
      </c>
      <c r="H8044" t="s">
        <v>25874</v>
      </c>
      <c r="J8044" s="54" t="s">
        <v>6052</v>
      </c>
      <c r="K8044" s="54">
        <v>0</v>
      </c>
      <c r="L8044" s="22" t="s">
        <v>104</v>
      </c>
      <c r="M8044" s="22" t="s">
        <v>37360</v>
      </c>
    </row>
    <row r="8045" spans="1:13" x14ac:dyDescent="0.75">
      <c r="A8045" t="s">
        <v>28164</v>
      </c>
      <c r="B8045" t="s">
        <v>7304</v>
      </c>
      <c r="C8045" t="s">
        <v>6471</v>
      </c>
      <c r="D8045" t="s">
        <v>7305</v>
      </c>
      <c r="E8045" t="s">
        <v>28165</v>
      </c>
      <c r="F8045">
        <v>60</v>
      </c>
      <c r="G8045">
        <v>2078559</v>
      </c>
      <c r="H8045" t="s">
        <v>28166</v>
      </c>
      <c r="J8045" s="54" t="s">
        <v>6052</v>
      </c>
      <c r="K8045" s="54">
        <v>0</v>
      </c>
      <c r="L8045" s="22" t="s">
        <v>104</v>
      </c>
      <c r="M8045" s="22" t="s">
        <v>37360</v>
      </c>
    </row>
    <row r="8046" spans="1:13" x14ac:dyDescent="0.75">
      <c r="A8046" t="s">
        <v>10131</v>
      </c>
      <c r="B8046" t="s">
        <v>10132</v>
      </c>
      <c r="C8046" t="s">
        <v>6471</v>
      </c>
      <c r="D8046" t="s">
        <v>10133</v>
      </c>
      <c r="E8046" t="s">
        <v>10134</v>
      </c>
      <c r="F8046">
        <v>22</v>
      </c>
      <c r="G8046">
        <v>1946140</v>
      </c>
      <c r="H8046" t="s">
        <v>10135</v>
      </c>
      <c r="J8046" s="54" t="s">
        <v>6052</v>
      </c>
      <c r="K8046" s="54">
        <v>0</v>
      </c>
      <c r="L8046" s="22" t="s">
        <v>104</v>
      </c>
      <c r="M8046" s="22" t="s">
        <v>37361</v>
      </c>
    </row>
    <row r="8047" spans="1:13" x14ac:dyDescent="0.75">
      <c r="A8047" t="s">
        <v>29867</v>
      </c>
      <c r="B8047" t="s">
        <v>10132</v>
      </c>
      <c r="C8047" t="s">
        <v>6471</v>
      </c>
      <c r="D8047" t="s">
        <v>10133</v>
      </c>
      <c r="E8047" t="s">
        <v>29868</v>
      </c>
      <c r="F8047">
        <v>109</v>
      </c>
      <c r="G8047">
        <v>1950016</v>
      </c>
      <c r="H8047" t="s">
        <v>29869</v>
      </c>
      <c r="J8047" s="54" t="s">
        <v>6052</v>
      </c>
      <c r="K8047" s="54">
        <v>0</v>
      </c>
      <c r="L8047" s="22" t="s">
        <v>104</v>
      </c>
      <c r="M8047" s="22" t="s">
        <v>37361</v>
      </c>
    </row>
    <row r="8048" spans="1:13" x14ac:dyDescent="0.75">
      <c r="A8048" t="s">
        <v>21328</v>
      </c>
      <c r="B8048" t="s">
        <v>10132</v>
      </c>
      <c r="C8048" t="s">
        <v>6471</v>
      </c>
      <c r="D8048" t="s">
        <v>10133</v>
      </c>
      <c r="E8048" t="s">
        <v>21329</v>
      </c>
      <c r="F8048">
        <v>240</v>
      </c>
      <c r="G8048">
        <v>1687489</v>
      </c>
      <c r="H8048" t="s">
        <v>21330</v>
      </c>
      <c r="J8048" s="54" t="s">
        <v>6052</v>
      </c>
      <c r="K8048" s="54">
        <v>0</v>
      </c>
      <c r="L8048" s="22" t="s">
        <v>104</v>
      </c>
      <c r="M8048" s="22" t="s">
        <v>37361</v>
      </c>
    </row>
    <row r="8049" spans="1:13" x14ac:dyDescent="0.75">
      <c r="A8049" t="s">
        <v>14656</v>
      </c>
      <c r="B8049" t="s">
        <v>10132</v>
      </c>
      <c r="C8049" t="s">
        <v>6471</v>
      </c>
      <c r="D8049" t="s">
        <v>10133</v>
      </c>
      <c r="E8049" t="s">
        <v>14657</v>
      </c>
      <c r="F8049">
        <v>8</v>
      </c>
      <c r="G8049">
        <v>1981866</v>
      </c>
      <c r="H8049" t="s">
        <v>14658</v>
      </c>
      <c r="J8049" s="54" t="s">
        <v>6052</v>
      </c>
      <c r="K8049" s="54">
        <v>0</v>
      </c>
      <c r="L8049" s="22" t="s">
        <v>104</v>
      </c>
      <c r="M8049" s="22" t="s">
        <v>37361</v>
      </c>
    </row>
    <row r="8050" spans="1:13" x14ac:dyDescent="0.75">
      <c r="A8050" t="s">
        <v>29472</v>
      </c>
      <c r="B8050" t="s">
        <v>10132</v>
      </c>
      <c r="C8050" t="s">
        <v>6471</v>
      </c>
      <c r="D8050" t="s">
        <v>10133</v>
      </c>
      <c r="E8050" t="s">
        <v>29473</v>
      </c>
      <c r="F8050">
        <v>84</v>
      </c>
      <c r="G8050">
        <v>1663478</v>
      </c>
      <c r="H8050" t="s">
        <v>29474</v>
      </c>
      <c r="J8050" s="54" t="s">
        <v>6052</v>
      </c>
      <c r="K8050" s="54">
        <v>0</v>
      </c>
      <c r="L8050" s="22" t="s">
        <v>104</v>
      </c>
      <c r="M8050" s="22" t="s">
        <v>37361</v>
      </c>
    </row>
    <row r="8051" spans="1:13" x14ac:dyDescent="0.75">
      <c r="A8051" t="s">
        <v>6855</v>
      </c>
      <c r="B8051" t="s">
        <v>6856</v>
      </c>
      <c r="C8051" t="s">
        <v>6471</v>
      </c>
      <c r="D8051" t="s">
        <v>6857</v>
      </c>
      <c r="E8051" t="s">
        <v>6858</v>
      </c>
      <c r="F8051">
        <v>25</v>
      </c>
      <c r="G8051">
        <v>2118767</v>
      </c>
      <c r="H8051" t="s">
        <v>6859</v>
      </c>
      <c r="J8051" s="54" t="s">
        <v>6052</v>
      </c>
      <c r="K8051" s="54">
        <v>0</v>
      </c>
      <c r="L8051" s="22" t="s">
        <v>104</v>
      </c>
      <c r="M8051" s="22" t="s">
        <v>37362</v>
      </c>
    </row>
    <row r="8052" spans="1:13" x14ac:dyDescent="0.75">
      <c r="A8052" t="s">
        <v>29822</v>
      </c>
      <c r="B8052" t="s">
        <v>6856</v>
      </c>
      <c r="C8052" t="s">
        <v>6471</v>
      </c>
      <c r="D8052" t="s">
        <v>6857</v>
      </c>
      <c r="E8052" t="s">
        <v>29823</v>
      </c>
      <c r="F8052">
        <v>295</v>
      </c>
      <c r="G8052">
        <v>1921253</v>
      </c>
      <c r="H8052" t="s">
        <v>29824</v>
      </c>
      <c r="J8052" s="54" t="s">
        <v>6052</v>
      </c>
      <c r="K8052" s="54">
        <v>0</v>
      </c>
      <c r="L8052" s="22" t="s">
        <v>104</v>
      </c>
      <c r="M8052" s="22" t="s">
        <v>37362</v>
      </c>
    </row>
    <row r="8053" spans="1:13" x14ac:dyDescent="0.75">
      <c r="A8053" t="s">
        <v>20923</v>
      </c>
      <c r="B8053" t="s">
        <v>6856</v>
      </c>
      <c r="C8053" t="s">
        <v>6471</v>
      </c>
      <c r="D8053" t="s">
        <v>6857</v>
      </c>
      <c r="E8053" t="s">
        <v>20924</v>
      </c>
      <c r="F8053">
        <v>121</v>
      </c>
      <c r="G8053">
        <v>1972117</v>
      </c>
      <c r="H8053" t="s">
        <v>20925</v>
      </c>
      <c r="J8053" s="54" t="s">
        <v>6052</v>
      </c>
      <c r="K8053" s="54">
        <v>0</v>
      </c>
      <c r="L8053" s="22" t="s">
        <v>104</v>
      </c>
      <c r="M8053" s="22" t="s">
        <v>37362</v>
      </c>
    </row>
    <row r="8054" spans="1:13" x14ac:dyDescent="0.75">
      <c r="A8054" t="s">
        <v>28226</v>
      </c>
      <c r="B8054" t="s">
        <v>6856</v>
      </c>
      <c r="C8054" t="s">
        <v>6471</v>
      </c>
      <c r="D8054" t="s">
        <v>6857</v>
      </c>
      <c r="E8054" t="s">
        <v>28227</v>
      </c>
      <c r="F8054">
        <v>70</v>
      </c>
      <c r="G8054">
        <v>1882142</v>
      </c>
      <c r="H8054" t="s">
        <v>28228</v>
      </c>
      <c r="J8054" s="54" t="s">
        <v>6052</v>
      </c>
      <c r="K8054" s="54">
        <v>0</v>
      </c>
      <c r="L8054" s="22" t="s">
        <v>104</v>
      </c>
      <c r="M8054" s="22" t="s">
        <v>37362</v>
      </c>
    </row>
    <row r="8055" spans="1:13" x14ac:dyDescent="0.75">
      <c r="A8055" t="s">
        <v>28555</v>
      </c>
      <c r="B8055" t="s">
        <v>6856</v>
      </c>
      <c r="C8055" t="s">
        <v>6471</v>
      </c>
      <c r="D8055" t="s">
        <v>6857</v>
      </c>
      <c r="E8055" t="s">
        <v>28556</v>
      </c>
      <c r="F8055">
        <v>12</v>
      </c>
      <c r="G8055">
        <v>1998872</v>
      </c>
      <c r="H8055" t="s">
        <v>28557</v>
      </c>
      <c r="J8055" s="54" t="s">
        <v>6052</v>
      </c>
      <c r="K8055" s="54">
        <v>0</v>
      </c>
      <c r="L8055" s="22" t="s">
        <v>104</v>
      </c>
      <c r="M8055" s="22" t="s">
        <v>37362</v>
      </c>
    </row>
    <row r="8056" spans="1:13" x14ac:dyDescent="0.75">
      <c r="A8056" t="s">
        <v>28611</v>
      </c>
      <c r="B8056" t="s">
        <v>6856</v>
      </c>
      <c r="C8056" t="s">
        <v>6471</v>
      </c>
      <c r="D8056" t="s">
        <v>6857</v>
      </c>
      <c r="E8056" t="s">
        <v>28612</v>
      </c>
      <c r="F8056">
        <v>28</v>
      </c>
      <c r="G8056">
        <v>2119735</v>
      </c>
      <c r="H8056" t="s">
        <v>28613</v>
      </c>
      <c r="J8056" s="54" t="s">
        <v>6052</v>
      </c>
      <c r="K8056" s="54">
        <v>0</v>
      </c>
      <c r="L8056" s="22" t="s">
        <v>104</v>
      </c>
      <c r="M8056" s="22" t="s">
        <v>37362</v>
      </c>
    </row>
    <row r="8057" spans="1:13" x14ac:dyDescent="0.75">
      <c r="A8057" t="s">
        <v>27980</v>
      </c>
      <c r="B8057" t="s">
        <v>6856</v>
      </c>
      <c r="C8057" t="s">
        <v>6471</v>
      </c>
      <c r="D8057" t="s">
        <v>6857</v>
      </c>
      <c r="E8057" t="s">
        <v>27981</v>
      </c>
      <c r="F8057">
        <v>1</v>
      </c>
      <c r="G8057">
        <v>2116915</v>
      </c>
      <c r="H8057" t="s">
        <v>27982</v>
      </c>
      <c r="J8057" s="54" t="s">
        <v>6052</v>
      </c>
      <c r="K8057" s="54">
        <v>0</v>
      </c>
      <c r="L8057" s="22" t="s">
        <v>104</v>
      </c>
      <c r="M8057" s="22" t="s">
        <v>37362</v>
      </c>
    </row>
    <row r="8058" spans="1:13" x14ac:dyDescent="0.75">
      <c r="A8058" t="s">
        <v>28773</v>
      </c>
      <c r="B8058" t="s">
        <v>6856</v>
      </c>
      <c r="C8058" t="s">
        <v>6471</v>
      </c>
      <c r="D8058" t="s">
        <v>6857</v>
      </c>
      <c r="E8058" t="s">
        <v>28774</v>
      </c>
      <c r="F8058">
        <v>203</v>
      </c>
      <c r="G8058">
        <v>1939051</v>
      </c>
      <c r="H8058" t="s">
        <v>28775</v>
      </c>
      <c r="J8058" s="54" t="s">
        <v>6052</v>
      </c>
      <c r="K8058" s="54">
        <v>0</v>
      </c>
      <c r="L8058" s="22" t="s">
        <v>104</v>
      </c>
      <c r="M8058" s="22" t="s">
        <v>37362</v>
      </c>
    </row>
    <row r="8059" spans="1:13" x14ac:dyDescent="0.75">
      <c r="A8059" t="s">
        <v>19734</v>
      </c>
      <c r="B8059" t="s">
        <v>11894</v>
      </c>
      <c r="C8059" t="s">
        <v>6471</v>
      </c>
      <c r="D8059" t="s">
        <v>11895</v>
      </c>
      <c r="E8059" t="s">
        <v>19735</v>
      </c>
      <c r="F8059">
        <v>29</v>
      </c>
      <c r="G8059">
        <v>2114777</v>
      </c>
      <c r="H8059" t="s">
        <v>19736</v>
      </c>
      <c r="J8059" s="54" t="s">
        <v>6052</v>
      </c>
      <c r="K8059" s="54">
        <v>0</v>
      </c>
      <c r="L8059" s="22" t="s">
        <v>104</v>
      </c>
      <c r="M8059" s="22" t="s">
        <v>37358</v>
      </c>
    </row>
    <row r="8060" spans="1:13" x14ac:dyDescent="0.75">
      <c r="A8060" t="s">
        <v>15611</v>
      </c>
      <c r="B8060" t="s">
        <v>11894</v>
      </c>
      <c r="C8060" t="s">
        <v>6471</v>
      </c>
      <c r="D8060" t="s">
        <v>11895</v>
      </c>
      <c r="E8060" t="s">
        <v>15612</v>
      </c>
      <c r="F8060">
        <v>120</v>
      </c>
      <c r="G8060">
        <v>2033458</v>
      </c>
      <c r="H8060" t="s">
        <v>15613</v>
      </c>
      <c r="J8060" s="54" t="s">
        <v>6052</v>
      </c>
      <c r="K8060" s="54">
        <v>0</v>
      </c>
      <c r="L8060" s="22" t="s">
        <v>104</v>
      </c>
      <c r="M8060" s="22" t="s">
        <v>37358</v>
      </c>
    </row>
    <row r="8061" spans="1:13" x14ac:dyDescent="0.75">
      <c r="A8061" t="s">
        <v>17780</v>
      </c>
      <c r="B8061" t="s">
        <v>11894</v>
      </c>
      <c r="C8061" t="s">
        <v>6471</v>
      </c>
      <c r="D8061" t="s">
        <v>11895</v>
      </c>
      <c r="E8061" t="s">
        <v>17773</v>
      </c>
      <c r="F8061">
        <v>26</v>
      </c>
      <c r="G8061">
        <v>2084342</v>
      </c>
      <c r="H8061" t="s">
        <v>17781</v>
      </c>
      <c r="J8061" s="54" t="s">
        <v>6052</v>
      </c>
      <c r="K8061" s="54">
        <v>0</v>
      </c>
      <c r="L8061" s="22" t="s">
        <v>104</v>
      </c>
      <c r="M8061" s="22" t="s">
        <v>37358</v>
      </c>
    </row>
    <row r="8062" spans="1:13" x14ac:dyDescent="0.75">
      <c r="A8062" t="s">
        <v>17778</v>
      </c>
      <c r="B8062" t="s">
        <v>11894</v>
      </c>
      <c r="C8062" t="s">
        <v>6471</v>
      </c>
      <c r="D8062" t="s">
        <v>11895</v>
      </c>
      <c r="E8062" t="s">
        <v>17776</v>
      </c>
      <c r="F8062">
        <v>13</v>
      </c>
      <c r="G8062">
        <v>2077033</v>
      </c>
      <c r="H8062" t="s">
        <v>17779</v>
      </c>
      <c r="J8062" s="54" t="s">
        <v>6052</v>
      </c>
      <c r="K8062" s="54">
        <v>0</v>
      </c>
      <c r="L8062" s="22" t="s">
        <v>104</v>
      </c>
      <c r="M8062" s="22" t="s">
        <v>37358</v>
      </c>
    </row>
    <row r="8063" spans="1:13" x14ac:dyDescent="0.75">
      <c r="A8063" t="s">
        <v>16575</v>
      </c>
      <c r="B8063" t="s">
        <v>11894</v>
      </c>
      <c r="C8063" t="s">
        <v>6471</v>
      </c>
      <c r="D8063" t="s">
        <v>11895</v>
      </c>
      <c r="E8063" t="s">
        <v>16576</v>
      </c>
      <c r="F8063">
        <v>14</v>
      </c>
      <c r="G8063">
        <v>2075021</v>
      </c>
      <c r="H8063" t="s">
        <v>16577</v>
      </c>
      <c r="J8063" s="54" t="s">
        <v>6052</v>
      </c>
      <c r="K8063" s="54">
        <v>0</v>
      </c>
      <c r="L8063" s="22" t="s">
        <v>104</v>
      </c>
      <c r="M8063" s="22" t="s">
        <v>37358</v>
      </c>
    </row>
    <row r="8064" spans="1:13" x14ac:dyDescent="0.75">
      <c r="A8064" t="s">
        <v>23755</v>
      </c>
      <c r="B8064" t="s">
        <v>11894</v>
      </c>
      <c r="C8064" t="s">
        <v>6471</v>
      </c>
      <c r="D8064" t="s">
        <v>11895</v>
      </c>
      <c r="E8064" t="s">
        <v>23756</v>
      </c>
      <c r="F8064">
        <v>61</v>
      </c>
      <c r="G8064">
        <v>2099746</v>
      </c>
      <c r="H8064" t="s">
        <v>23757</v>
      </c>
      <c r="J8064" s="54" t="s">
        <v>6052</v>
      </c>
      <c r="K8064" s="54">
        <v>0</v>
      </c>
      <c r="L8064" s="22" t="s">
        <v>104</v>
      </c>
      <c r="M8064" s="22" t="s">
        <v>37358</v>
      </c>
    </row>
    <row r="8065" spans="1:13" x14ac:dyDescent="0.75">
      <c r="A8065" t="s">
        <v>11893</v>
      </c>
      <c r="B8065" t="s">
        <v>11894</v>
      </c>
      <c r="C8065" t="s">
        <v>6471</v>
      </c>
      <c r="D8065" t="s">
        <v>11895</v>
      </c>
      <c r="E8065" t="s">
        <v>11896</v>
      </c>
      <c r="F8065">
        <v>104</v>
      </c>
      <c r="G8065">
        <v>2045490</v>
      </c>
      <c r="H8065" t="s">
        <v>11897</v>
      </c>
      <c r="J8065" s="54" t="s">
        <v>6052</v>
      </c>
      <c r="K8065" s="54">
        <v>0</v>
      </c>
      <c r="L8065" s="22" t="s">
        <v>104</v>
      </c>
      <c r="M8065" s="22" t="s">
        <v>37358</v>
      </c>
    </row>
    <row r="8066" spans="1:13" x14ac:dyDescent="0.75">
      <c r="A8066" t="s">
        <v>23818</v>
      </c>
      <c r="B8066" t="s">
        <v>11894</v>
      </c>
      <c r="C8066" t="s">
        <v>6471</v>
      </c>
      <c r="D8066" t="s">
        <v>11895</v>
      </c>
      <c r="E8066" t="s">
        <v>23819</v>
      </c>
      <c r="F8066">
        <v>14</v>
      </c>
      <c r="G8066">
        <v>2035419</v>
      </c>
      <c r="H8066" t="s">
        <v>23820</v>
      </c>
      <c r="J8066" s="54" t="s">
        <v>6052</v>
      </c>
      <c r="K8066" s="54">
        <v>0</v>
      </c>
      <c r="L8066" s="22" t="s">
        <v>104</v>
      </c>
      <c r="M8066" s="22" t="s">
        <v>37358</v>
      </c>
    </row>
    <row r="8067" spans="1:13" x14ac:dyDescent="0.75">
      <c r="A8067" t="s">
        <v>21008</v>
      </c>
      <c r="B8067" t="s">
        <v>11894</v>
      </c>
      <c r="C8067" t="s">
        <v>6471</v>
      </c>
      <c r="D8067" t="s">
        <v>11895</v>
      </c>
      <c r="E8067" t="s">
        <v>21009</v>
      </c>
      <c r="F8067">
        <v>1</v>
      </c>
      <c r="G8067">
        <v>2072807</v>
      </c>
      <c r="H8067" t="s">
        <v>21010</v>
      </c>
      <c r="J8067" s="54" t="s">
        <v>6052</v>
      </c>
      <c r="K8067" s="54">
        <v>0</v>
      </c>
      <c r="L8067" s="22" t="s">
        <v>104</v>
      </c>
      <c r="M8067" s="22" t="s">
        <v>37358</v>
      </c>
    </row>
    <row r="8068" spans="1:13" x14ac:dyDescent="0.75">
      <c r="A8068" t="s">
        <v>18725</v>
      </c>
      <c r="B8068" t="s">
        <v>11894</v>
      </c>
      <c r="C8068" t="s">
        <v>6471</v>
      </c>
      <c r="D8068" t="s">
        <v>11895</v>
      </c>
      <c r="E8068" t="s">
        <v>18726</v>
      </c>
      <c r="F8068">
        <v>1</v>
      </c>
      <c r="G8068">
        <v>2097818</v>
      </c>
      <c r="H8068" t="s">
        <v>18727</v>
      </c>
      <c r="J8068" s="54" t="s">
        <v>6052</v>
      </c>
      <c r="K8068" s="54">
        <v>0</v>
      </c>
      <c r="L8068" s="22" t="s">
        <v>104</v>
      </c>
      <c r="M8068" s="22" t="s">
        <v>37358</v>
      </c>
    </row>
    <row r="8069" spans="1:13" x14ac:dyDescent="0.75">
      <c r="A8069" t="s">
        <v>30187</v>
      </c>
      <c r="B8069" t="s">
        <v>6470</v>
      </c>
      <c r="C8069" t="s">
        <v>6471</v>
      </c>
      <c r="D8069" t="s">
        <v>6445</v>
      </c>
      <c r="E8069" t="s">
        <v>30188</v>
      </c>
      <c r="F8069">
        <v>108</v>
      </c>
      <c r="G8069">
        <v>1961210</v>
      </c>
      <c r="H8069" t="s">
        <v>30189</v>
      </c>
      <c r="J8069" s="54" t="s">
        <v>6052</v>
      </c>
      <c r="K8069" s="54">
        <v>0</v>
      </c>
      <c r="L8069" s="22" t="s">
        <v>104</v>
      </c>
      <c r="M8069" s="22" t="s">
        <v>37357</v>
      </c>
    </row>
    <row r="8070" spans="1:13" x14ac:dyDescent="0.75">
      <c r="A8070" t="s">
        <v>19777</v>
      </c>
      <c r="B8070" t="s">
        <v>6470</v>
      </c>
      <c r="C8070" t="s">
        <v>6471</v>
      </c>
      <c r="D8070" t="s">
        <v>6445</v>
      </c>
      <c r="E8070" t="s">
        <v>19778</v>
      </c>
      <c r="F8070">
        <v>18</v>
      </c>
      <c r="G8070">
        <v>2127759</v>
      </c>
      <c r="H8070" t="s">
        <v>19779</v>
      </c>
      <c r="J8070" s="54" t="s">
        <v>6052</v>
      </c>
      <c r="K8070" s="54">
        <v>0</v>
      </c>
      <c r="L8070" s="22" t="s">
        <v>104</v>
      </c>
      <c r="M8070" s="22" t="s">
        <v>37357</v>
      </c>
    </row>
    <row r="8071" spans="1:13" x14ac:dyDescent="0.75">
      <c r="A8071" t="s">
        <v>19754</v>
      </c>
      <c r="B8071" t="s">
        <v>6470</v>
      </c>
      <c r="C8071" t="s">
        <v>6471</v>
      </c>
      <c r="D8071" t="s">
        <v>6445</v>
      </c>
      <c r="E8071" t="s">
        <v>19755</v>
      </c>
      <c r="F8071">
        <v>13</v>
      </c>
      <c r="G8071">
        <v>2060011</v>
      </c>
      <c r="H8071" t="s">
        <v>19756</v>
      </c>
      <c r="J8071" s="54" t="s">
        <v>6052</v>
      </c>
      <c r="K8071" s="54">
        <v>0</v>
      </c>
      <c r="L8071" s="22" t="s">
        <v>104</v>
      </c>
      <c r="M8071" s="22" t="s">
        <v>37357</v>
      </c>
    </row>
    <row r="8072" spans="1:13" x14ac:dyDescent="0.75">
      <c r="A8072" t="s">
        <v>7044</v>
      </c>
      <c r="B8072" t="s">
        <v>6470</v>
      </c>
      <c r="C8072" t="s">
        <v>6471</v>
      </c>
      <c r="D8072" t="s">
        <v>6445</v>
      </c>
      <c r="E8072" t="s">
        <v>7045</v>
      </c>
      <c r="F8072">
        <v>31</v>
      </c>
      <c r="G8072">
        <v>2163458</v>
      </c>
      <c r="H8072" t="s">
        <v>7046</v>
      </c>
      <c r="J8072" s="54" t="s">
        <v>6052</v>
      </c>
      <c r="K8072" s="54">
        <v>0</v>
      </c>
      <c r="L8072" s="22" t="s">
        <v>104</v>
      </c>
      <c r="M8072" s="22" t="s">
        <v>37357</v>
      </c>
    </row>
    <row r="8073" spans="1:13" x14ac:dyDescent="0.75">
      <c r="A8073" t="s">
        <v>7047</v>
      </c>
      <c r="B8073" t="s">
        <v>6470</v>
      </c>
      <c r="C8073" t="s">
        <v>6471</v>
      </c>
      <c r="D8073" t="s">
        <v>6445</v>
      </c>
      <c r="E8073" t="s">
        <v>7048</v>
      </c>
      <c r="F8073">
        <v>22</v>
      </c>
      <c r="G8073">
        <v>2174425</v>
      </c>
      <c r="H8073" t="s">
        <v>7049</v>
      </c>
      <c r="J8073" s="54" t="s">
        <v>6052</v>
      </c>
      <c r="K8073" s="54">
        <v>0</v>
      </c>
      <c r="L8073" s="22" t="s">
        <v>104</v>
      </c>
      <c r="M8073" s="22" t="s">
        <v>37357</v>
      </c>
    </row>
    <row r="8074" spans="1:13" x14ac:dyDescent="0.75">
      <c r="A8074" t="s">
        <v>15588</v>
      </c>
      <c r="B8074" t="s">
        <v>6470</v>
      </c>
      <c r="C8074" t="s">
        <v>6471</v>
      </c>
      <c r="D8074" t="s">
        <v>6445</v>
      </c>
      <c r="E8074" t="s">
        <v>15589</v>
      </c>
      <c r="F8074">
        <v>28</v>
      </c>
      <c r="G8074">
        <v>2140208</v>
      </c>
      <c r="H8074" t="s">
        <v>15590</v>
      </c>
      <c r="J8074" s="54" t="s">
        <v>6052</v>
      </c>
      <c r="K8074" s="54">
        <v>0</v>
      </c>
      <c r="L8074" s="22" t="s">
        <v>104</v>
      </c>
      <c r="M8074" s="22" t="s">
        <v>37357</v>
      </c>
    </row>
    <row r="8075" spans="1:13" x14ac:dyDescent="0.75">
      <c r="A8075" t="s">
        <v>15858</v>
      </c>
      <c r="B8075" t="s">
        <v>6470</v>
      </c>
      <c r="C8075" t="s">
        <v>6471</v>
      </c>
      <c r="D8075" t="s">
        <v>6445</v>
      </c>
      <c r="E8075" t="s">
        <v>15859</v>
      </c>
      <c r="F8075">
        <v>18</v>
      </c>
      <c r="G8075">
        <v>2023686</v>
      </c>
      <c r="H8075" t="s">
        <v>15860</v>
      </c>
      <c r="J8075" s="54" t="s">
        <v>6052</v>
      </c>
      <c r="K8075" s="54">
        <v>0</v>
      </c>
      <c r="L8075" s="22" t="s">
        <v>104</v>
      </c>
      <c r="M8075" s="22" t="s">
        <v>37357</v>
      </c>
    </row>
    <row r="8076" spans="1:13" x14ac:dyDescent="0.75">
      <c r="A8076" t="s">
        <v>15855</v>
      </c>
      <c r="B8076" t="s">
        <v>6470</v>
      </c>
      <c r="C8076" t="s">
        <v>6471</v>
      </c>
      <c r="D8076" t="s">
        <v>6445</v>
      </c>
      <c r="E8076" t="s">
        <v>15856</v>
      </c>
      <c r="F8076">
        <v>26</v>
      </c>
      <c r="G8076">
        <v>2100446</v>
      </c>
      <c r="H8076" t="s">
        <v>15857</v>
      </c>
      <c r="J8076" s="54" t="s">
        <v>6052</v>
      </c>
      <c r="K8076" s="54">
        <v>0</v>
      </c>
      <c r="L8076" s="22" t="s">
        <v>104</v>
      </c>
      <c r="M8076" s="22" t="s">
        <v>37357</v>
      </c>
    </row>
    <row r="8077" spans="1:13" x14ac:dyDescent="0.75">
      <c r="A8077" t="s">
        <v>15583</v>
      </c>
      <c r="B8077" t="s">
        <v>6470</v>
      </c>
      <c r="C8077" t="s">
        <v>6471</v>
      </c>
      <c r="D8077" t="s">
        <v>6445</v>
      </c>
      <c r="E8077" t="s">
        <v>15584</v>
      </c>
      <c r="F8077">
        <v>112</v>
      </c>
      <c r="G8077">
        <v>2087186</v>
      </c>
      <c r="H8077" t="s">
        <v>15585</v>
      </c>
      <c r="J8077" s="54" t="s">
        <v>6052</v>
      </c>
      <c r="K8077" s="54">
        <v>0</v>
      </c>
      <c r="L8077" s="22" t="s">
        <v>104</v>
      </c>
      <c r="M8077" s="22" t="s">
        <v>37357</v>
      </c>
    </row>
    <row r="8078" spans="1:13" x14ac:dyDescent="0.75">
      <c r="A8078" t="s">
        <v>24619</v>
      </c>
      <c r="B8078" t="s">
        <v>6470</v>
      </c>
      <c r="C8078" t="s">
        <v>6471</v>
      </c>
      <c r="D8078" t="s">
        <v>6445</v>
      </c>
      <c r="E8078" t="s">
        <v>24620</v>
      </c>
      <c r="F8078">
        <v>15</v>
      </c>
      <c r="G8078">
        <v>2127353</v>
      </c>
      <c r="H8078" t="s">
        <v>24621</v>
      </c>
      <c r="J8078" s="54" t="s">
        <v>6052</v>
      </c>
      <c r="K8078" s="54">
        <v>0</v>
      </c>
      <c r="L8078" s="22" t="s">
        <v>104</v>
      </c>
      <c r="M8078" s="22" t="s">
        <v>37357</v>
      </c>
    </row>
    <row r="8079" spans="1:13" x14ac:dyDescent="0.75">
      <c r="A8079" t="s">
        <v>7272</v>
      </c>
      <c r="B8079" t="s">
        <v>6470</v>
      </c>
      <c r="C8079" t="s">
        <v>6471</v>
      </c>
      <c r="D8079" t="s">
        <v>6445</v>
      </c>
      <c r="E8079" t="s">
        <v>7273</v>
      </c>
      <c r="F8079">
        <v>19</v>
      </c>
      <c r="G8079">
        <v>2163473</v>
      </c>
      <c r="H8079" t="s">
        <v>7274</v>
      </c>
      <c r="J8079" s="54" t="s">
        <v>6052</v>
      </c>
      <c r="K8079" s="54">
        <v>0</v>
      </c>
      <c r="L8079" s="22" t="s">
        <v>104</v>
      </c>
      <c r="M8079" s="22" t="s">
        <v>37357</v>
      </c>
    </row>
    <row r="8080" spans="1:13" x14ac:dyDescent="0.75">
      <c r="A8080" t="s">
        <v>17772</v>
      </c>
      <c r="B8080" t="s">
        <v>6470</v>
      </c>
      <c r="C8080" t="s">
        <v>6471</v>
      </c>
      <c r="D8080" t="s">
        <v>6445</v>
      </c>
      <c r="E8080" t="s">
        <v>17773</v>
      </c>
      <c r="F8080">
        <v>63</v>
      </c>
      <c r="G8080">
        <v>2155958</v>
      </c>
      <c r="H8080" t="s">
        <v>17774</v>
      </c>
      <c r="J8080" s="54" t="s">
        <v>6052</v>
      </c>
      <c r="K8080" s="54">
        <v>0</v>
      </c>
      <c r="L8080" s="22" t="s">
        <v>104</v>
      </c>
      <c r="M8080" s="22" t="s">
        <v>37357</v>
      </c>
    </row>
    <row r="8081" spans="1:13" x14ac:dyDescent="0.75">
      <c r="A8081" t="s">
        <v>17775</v>
      </c>
      <c r="B8081" t="s">
        <v>6470</v>
      </c>
      <c r="C8081" t="s">
        <v>6471</v>
      </c>
      <c r="D8081" t="s">
        <v>6445</v>
      </c>
      <c r="E8081" t="s">
        <v>17776</v>
      </c>
      <c r="F8081">
        <v>17</v>
      </c>
      <c r="G8081">
        <v>2056570</v>
      </c>
      <c r="H8081" t="s">
        <v>17777</v>
      </c>
      <c r="J8081" s="54" t="s">
        <v>6052</v>
      </c>
      <c r="K8081" s="54">
        <v>0</v>
      </c>
      <c r="L8081" s="22" t="s">
        <v>104</v>
      </c>
      <c r="M8081" s="22" t="s">
        <v>37357</v>
      </c>
    </row>
    <row r="8082" spans="1:13" x14ac:dyDescent="0.75">
      <c r="A8082" t="s">
        <v>21780</v>
      </c>
      <c r="B8082" t="s">
        <v>6470</v>
      </c>
      <c r="C8082" t="s">
        <v>6471</v>
      </c>
      <c r="D8082" t="s">
        <v>6445</v>
      </c>
      <c r="E8082" t="s">
        <v>21781</v>
      </c>
      <c r="F8082">
        <v>23</v>
      </c>
      <c r="G8082">
        <v>2096172</v>
      </c>
      <c r="H8082" t="s">
        <v>21782</v>
      </c>
      <c r="J8082" s="54" t="s">
        <v>6052</v>
      </c>
      <c r="K8082" s="54">
        <v>0</v>
      </c>
      <c r="L8082" s="22" t="s">
        <v>104</v>
      </c>
      <c r="M8082" s="22" t="s">
        <v>37357</v>
      </c>
    </row>
    <row r="8083" spans="1:13" x14ac:dyDescent="0.75">
      <c r="A8083" t="s">
        <v>21783</v>
      </c>
      <c r="B8083" t="s">
        <v>6470</v>
      </c>
      <c r="C8083" t="s">
        <v>6471</v>
      </c>
      <c r="D8083" t="s">
        <v>6445</v>
      </c>
      <c r="E8083" t="s">
        <v>21784</v>
      </c>
      <c r="F8083">
        <v>18</v>
      </c>
      <c r="G8083">
        <v>2155102</v>
      </c>
      <c r="H8083" t="s">
        <v>21785</v>
      </c>
      <c r="J8083" s="54" t="s">
        <v>6052</v>
      </c>
      <c r="K8083" s="54">
        <v>0</v>
      </c>
      <c r="L8083" s="22" t="s">
        <v>104</v>
      </c>
      <c r="M8083" s="22" t="s">
        <v>37357</v>
      </c>
    </row>
    <row r="8084" spans="1:13" x14ac:dyDescent="0.75">
      <c r="A8084" t="s">
        <v>23737</v>
      </c>
      <c r="B8084" t="s">
        <v>6470</v>
      </c>
      <c r="C8084" t="s">
        <v>6471</v>
      </c>
      <c r="D8084" t="s">
        <v>6445</v>
      </c>
      <c r="E8084" t="s">
        <v>23738</v>
      </c>
      <c r="F8084">
        <v>191</v>
      </c>
      <c r="G8084">
        <v>2139010</v>
      </c>
      <c r="H8084" t="s">
        <v>23739</v>
      </c>
      <c r="J8084" s="54" t="s">
        <v>6052</v>
      </c>
      <c r="K8084" s="54">
        <v>0</v>
      </c>
      <c r="L8084" s="22" t="s">
        <v>104</v>
      </c>
      <c r="M8084" s="22" t="s">
        <v>37357</v>
      </c>
    </row>
    <row r="8085" spans="1:13" x14ac:dyDescent="0.75">
      <c r="A8085" t="s">
        <v>11898</v>
      </c>
      <c r="B8085" t="s">
        <v>6470</v>
      </c>
      <c r="C8085" t="s">
        <v>6471</v>
      </c>
      <c r="D8085" t="s">
        <v>6445</v>
      </c>
      <c r="E8085" t="s">
        <v>11899</v>
      </c>
      <c r="F8085">
        <v>83</v>
      </c>
      <c r="G8085">
        <v>2050442</v>
      </c>
      <c r="H8085" t="s">
        <v>11900</v>
      </c>
      <c r="J8085" s="54" t="s">
        <v>6052</v>
      </c>
      <c r="K8085" s="54">
        <v>0</v>
      </c>
      <c r="L8085" s="22" t="s">
        <v>104</v>
      </c>
      <c r="M8085" s="22" t="s">
        <v>37357</v>
      </c>
    </row>
    <row r="8086" spans="1:13" x14ac:dyDescent="0.75">
      <c r="A8086" t="s">
        <v>26636</v>
      </c>
      <c r="B8086" t="s">
        <v>6470</v>
      </c>
      <c r="C8086" t="s">
        <v>6471</v>
      </c>
      <c r="D8086" t="s">
        <v>6445</v>
      </c>
      <c r="E8086" t="s">
        <v>26637</v>
      </c>
      <c r="F8086">
        <v>1</v>
      </c>
      <c r="G8086">
        <v>2181623</v>
      </c>
      <c r="H8086" t="s">
        <v>26638</v>
      </c>
      <c r="J8086" s="54" t="s">
        <v>6052</v>
      </c>
      <c r="K8086" s="54">
        <v>0</v>
      </c>
      <c r="L8086" s="22" t="s">
        <v>104</v>
      </c>
      <c r="M8086" s="22" t="s">
        <v>37357</v>
      </c>
    </row>
    <row r="8087" spans="1:13" x14ac:dyDescent="0.75">
      <c r="A8087" t="s">
        <v>6469</v>
      </c>
      <c r="B8087" t="s">
        <v>6470</v>
      </c>
      <c r="C8087" t="s">
        <v>6471</v>
      </c>
      <c r="D8087" t="s">
        <v>6445</v>
      </c>
      <c r="E8087" t="s">
        <v>6472</v>
      </c>
      <c r="F8087">
        <v>1</v>
      </c>
      <c r="G8087">
        <v>2132142</v>
      </c>
      <c r="H8087" t="s">
        <v>6473</v>
      </c>
      <c r="J8087" s="54" t="s">
        <v>6052</v>
      </c>
      <c r="K8087" s="54">
        <v>0</v>
      </c>
      <c r="L8087" s="22" t="s">
        <v>104</v>
      </c>
      <c r="M8087" s="22" t="s">
        <v>37357</v>
      </c>
    </row>
    <row r="8088" spans="1:13" x14ac:dyDescent="0.75">
      <c r="A8088" t="s">
        <v>29802</v>
      </c>
      <c r="B8088" t="s">
        <v>6470</v>
      </c>
      <c r="C8088" t="s">
        <v>6471</v>
      </c>
      <c r="D8088" t="s">
        <v>6445</v>
      </c>
      <c r="E8088" t="s">
        <v>29803</v>
      </c>
      <c r="F8088">
        <v>25</v>
      </c>
      <c r="G8088">
        <v>2165101</v>
      </c>
      <c r="H8088" t="s">
        <v>29804</v>
      </c>
      <c r="J8088" s="54" t="s">
        <v>6052</v>
      </c>
      <c r="K8088" s="54">
        <v>0</v>
      </c>
      <c r="L8088" s="22" t="s">
        <v>104</v>
      </c>
      <c r="M8088" s="22" t="s">
        <v>37357</v>
      </c>
    </row>
    <row r="8089" spans="1:13" x14ac:dyDescent="0.75">
      <c r="A8089" t="s">
        <v>30551</v>
      </c>
      <c r="B8089" t="s">
        <v>6470</v>
      </c>
      <c r="C8089" t="s">
        <v>6471</v>
      </c>
      <c r="D8089" t="s">
        <v>6445</v>
      </c>
      <c r="E8089" t="s">
        <v>30552</v>
      </c>
      <c r="F8089">
        <v>103</v>
      </c>
      <c r="G8089">
        <v>1876358</v>
      </c>
      <c r="H8089" t="s">
        <v>30553</v>
      </c>
      <c r="J8089" s="54" t="s">
        <v>6052</v>
      </c>
      <c r="K8089" s="54">
        <v>0</v>
      </c>
      <c r="L8089" s="22" t="s">
        <v>104</v>
      </c>
      <c r="M8089" s="22" t="s">
        <v>37357</v>
      </c>
    </row>
    <row r="8090" spans="1:13" x14ac:dyDescent="0.75">
      <c r="A8090" t="s">
        <v>30517</v>
      </c>
      <c r="B8090" t="s">
        <v>6470</v>
      </c>
      <c r="C8090" t="s">
        <v>6471</v>
      </c>
      <c r="D8090" t="s">
        <v>6445</v>
      </c>
      <c r="E8090" t="s">
        <v>30518</v>
      </c>
      <c r="F8090">
        <v>10</v>
      </c>
      <c r="G8090">
        <v>2130974</v>
      </c>
      <c r="H8090" t="s">
        <v>30519</v>
      </c>
      <c r="J8090" s="54" t="s">
        <v>6052</v>
      </c>
      <c r="K8090" s="54">
        <v>0</v>
      </c>
      <c r="L8090" s="22" t="s">
        <v>104</v>
      </c>
      <c r="M8090" s="22" t="s">
        <v>37357</v>
      </c>
    </row>
    <row r="8091" spans="1:13" x14ac:dyDescent="0.75">
      <c r="A8091" t="s">
        <v>30496</v>
      </c>
      <c r="B8091" t="s">
        <v>6470</v>
      </c>
      <c r="C8091" t="s">
        <v>6471</v>
      </c>
      <c r="D8091" t="s">
        <v>6445</v>
      </c>
      <c r="E8091" t="s">
        <v>30497</v>
      </c>
      <c r="F8091">
        <v>52</v>
      </c>
      <c r="G8091">
        <v>2081493</v>
      </c>
      <c r="H8091" t="s">
        <v>30498</v>
      </c>
      <c r="J8091" s="54" t="s">
        <v>6052</v>
      </c>
      <c r="K8091" s="54">
        <v>0</v>
      </c>
      <c r="L8091" s="22" t="s">
        <v>104</v>
      </c>
      <c r="M8091" s="22" t="s">
        <v>37357</v>
      </c>
    </row>
    <row r="8092" spans="1:13" x14ac:dyDescent="0.75">
      <c r="A8092" t="s">
        <v>20018</v>
      </c>
      <c r="B8092" t="s">
        <v>6470</v>
      </c>
      <c r="C8092" t="s">
        <v>6471</v>
      </c>
      <c r="D8092" t="s">
        <v>6445</v>
      </c>
      <c r="E8092" t="s">
        <v>20019</v>
      </c>
      <c r="F8092">
        <v>1</v>
      </c>
      <c r="G8092">
        <v>2132299</v>
      </c>
      <c r="H8092" t="s">
        <v>20020</v>
      </c>
      <c r="J8092" s="54" t="s">
        <v>6052</v>
      </c>
      <c r="K8092" s="54">
        <v>0</v>
      </c>
      <c r="L8092" s="22" t="s">
        <v>104</v>
      </c>
      <c r="M8092" s="22" t="s">
        <v>37357</v>
      </c>
    </row>
    <row r="8093" spans="1:13" x14ac:dyDescent="0.75">
      <c r="A8093" t="s">
        <v>9633</v>
      </c>
      <c r="B8093" t="s">
        <v>6470</v>
      </c>
      <c r="C8093" t="s">
        <v>6471</v>
      </c>
      <c r="D8093" t="s">
        <v>6445</v>
      </c>
      <c r="E8093" t="s">
        <v>9634</v>
      </c>
      <c r="F8093">
        <v>27</v>
      </c>
      <c r="G8093">
        <v>2177985</v>
      </c>
      <c r="H8093" t="s">
        <v>9635</v>
      </c>
      <c r="J8093" s="54" t="s">
        <v>6052</v>
      </c>
      <c r="K8093" s="54">
        <v>0</v>
      </c>
      <c r="L8093" s="22" t="s">
        <v>104</v>
      </c>
      <c r="M8093" s="22" t="s">
        <v>37357</v>
      </c>
    </row>
    <row r="8094" spans="1:13" x14ac:dyDescent="0.75">
      <c r="A8094" t="s">
        <v>21478</v>
      </c>
      <c r="B8094" t="s">
        <v>6470</v>
      </c>
      <c r="C8094" t="s">
        <v>6471</v>
      </c>
      <c r="D8094" t="s">
        <v>6445</v>
      </c>
      <c r="E8094" t="s">
        <v>21479</v>
      </c>
      <c r="F8094">
        <v>9</v>
      </c>
      <c r="G8094">
        <v>2074582</v>
      </c>
      <c r="H8094" t="s">
        <v>21480</v>
      </c>
      <c r="J8094" s="54" t="s">
        <v>6052</v>
      </c>
      <c r="K8094" s="54">
        <v>0</v>
      </c>
      <c r="L8094" s="22" t="s">
        <v>104</v>
      </c>
      <c r="M8094" s="22" t="s">
        <v>37357</v>
      </c>
    </row>
    <row r="8095" spans="1:13" x14ac:dyDescent="0.75">
      <c r="A8095" t="s">
        <v>15831</v>
      </c>
      <c r="B8095" t="s">
        <v>6470</v>
      </c>
      <c r="C8095" t="s">
        <v>6471</v>
      </c>
      <c r="D8095" t="s">
        <v>6445</v>
      </c>
      <c r="E8095" t="s">
        <v>15832</v>
      </c>
      <c r="F8095">
        <v>18</v>
      </c>
      <c r="G8095">
        <v>2144191</v>
      </c>
      <c r="H8095" t="s">
        <v>15833</v>
      </c>
      <c r="J8095" s="54" t="s">
        <v>6052</v>
      </c>
      <c r="K8095" s="54">
        <v>0</v>
      </c>
      <c r="L8095" s="22" t="s">
        <v>104</v>
      </c>
      <c r="M8095" s="22" t="s">
        <v>37357</v>
      </c>
    </row>
    <row r="8096" spans="1:13" x14ac:dyDescent="0.75">
      <c r="A8096" t="s">
        <v>20975</v>
      </c>
      <c r="B8096" t="s">
        <v>6470</v>
      </c>
      <c r="C8096" t="s">
        <v>6471</v>
      </c>
      <c r="D8096" t="s">
        <v>6445</v>
      </c>
      <c r="E8096" t="s">
        <v>20976</v>
      </c>
      <c r="F8096">
        <v>45</v>
      </c>
      <c r="G8096">
        <v>2139673</v>
      </c>
      <c r="H8096" t="s">
        <v>20977</v>
      </c>
      <c r="J8096" s="54" t="s">
        <v>6052</v>
      </c>
      <c r="K8096" s="54">
        <v>0</v>
      </c>
      <c r="L8096" s="22" t="s">
        <v>104</v>
      </c>
      <c r="M8096" s="22" t="s">
        <v>37357</v>
      </c>
    </row>
    <row r="8097" spans="1:13" x14ac:dyDescent="0.75">
      <c r="A8097" t="s">
        <v>20981</v>
      </c>
      <c r="B8097" t="s">
        <v>6470</v>
      </c>
      <c r="C8097" t="s">
        <v>6471</v>
      </c>
      <c r="D8097" t="s">
        <v>6445</v>
      </c>
      <c r="E8097" t="s">
        <v>20982</v>
      </c>
      <c r="F8097">
        <v>10</v>
      </c>
      <c r="G8097">
        <v>2159021</v>
      </c>
      <c r="H8097" t="s">
        <v>20983</v>
      </c>
      <c r="J8097" s="54" t="s">
        <v>6052</v>
      </c>
      <c r="K8097" s="54">
        <v>0</v>
      </c>
      <c r="L8097" s="22" t="s">
        <v>104</v>
      </c>
      <c r="M8097" s="22" t="s">
        <v>37357</v>
      </c>
    </row>
    <row r="8098" spans="1:13" x14ac:dyDescent="0.75">
      <c r="A8098" t="s">
        <v>21002</v>
      </c>
      <c r="B8098" t="s">
        <v>6470</v>
      </c>
      <c r="C8098" t="s">
        <v>6471</v>
      </c>
      <c r="D8098" t="s">
        <v>6445</v>
      </c>
      <c r="E8098" t="s">
        <v>21003</v>
      </c>
      <c r="F8098">
        <v>22</v>
      </c>
      <c r="G8098">
        <v>2033482</v>
      </c>
      <c r="H8098" t="s">
        <v>21004</v>
      </c>
      <c r="J8098" s="54" t="s">
        <v>6052</v>
      </c>
      <c r="K8098" s="54">
        <v>0</v>
      </c>
      <c r="L8098" s="22" t="s">
        <v>104</v>
      </c>
      <c r="M8098" s="22" t="s">
        <v>37357</v>
      </c>
    </row>
    <row r="8099" spans="1:13" x14ac:dyDescent="0.75">
      <c r="A8099" t="s">
        <v>20996</v>
      </c>
      <c r="B8099" t="s">
        <v>6470</v>
      </c>
      <c r="C8099" t="s">
        <v>6471</v>
      </c>
      <c r="D8099" t="s">
        <v>6445</v>
      </c>
      <c r="E8099" t="s">
        <v>20997</v>
      </c>
      <c r="F8099">
        <v>14</v>
      </c>
      <c r="G8099">
        <v>2073460</v>
      </c>
      <c r="H8099" t="s">
        <v>20998</v>
      </c>
      <c r="J8099" s="54" t="s">
        <v>6052</v>
      </c>
      <c r="K8099" s="54">
        <v>0</v>
      </c>
      <c r="L8099" s="22" t="s">
        <v>104</v>
      </c>
      <c r="M8099" s="22" t="s">
        <v>37357</v>
      </c>
    </row>
    <row r="8100" spans="1:13" x14ac:dyDescent="0.75">
      <c r="A8100" t="s">
        <v>20899</v>
      </c>
      <c r="B8100" t="s">
        <v>6470</v>
      </c>
      <c r="C8100" t="s">
        <v>6471</v>
      </c>
      <c r="D8100" t="s">
        <v>6445</v>
      </c>
      <c r="E8100" t="s">
        <v>20900</v>
      </c>
      <c r="F8100">
        <v>110</v>
      </c>
      <c r="G8100">
        <v>2269124</v>
      </c>
      <c r="H8100" t="s">
        <v>20901</v>
      </c>
      <c r="J8100" s="54" t="s">
        <v>6052</v>
      </c>
      <c r="K8100" s="54">
        <v>0</v>
      </c>
      <c r="L8100" s="22" t="s">
        <v>104</v>
      </c>
      <c r="M8100" s="22" t="s">
        <v>37357</v>
      </c>
    </row>
    <row r="8101" spans="1:13" x14ac:dyDescent="0.75">
      <c r="A8101" t="s">
        <v>20887</v>
      </c>
      <c r="B8101" t="s">
        <v>6470</v>
      </c>
      <c r="C8101" t="s">
        <v>6471</v>
      </c>
      <c r="D8101" t="s">
        <v>6445</v>
      </c>
      <c r="E8101" t="s">
        <v>20888</v>
      </c>
      <c r="F8101">
        <v>16</v>
      </c>
      <c r="G8101">
        <v>2007952</v>
      </c>
      <c r="H8101" t="s">
        <v>20889</v>
      </c>
      <c r="J8101" s="54" t="s">
        <v>6052</v>
      </c>
      <c r="K8101" s="54">
        <v>0</v>
      </c>
      <c r="L8101" s="22" t="s">
        <v>104</v>
      </c>
      <c r="M8101" s="22" t="s">
        <v>37357</v>
      </c>
    </row>
    <row r="8102" spans="1:13" x14ac:dyDescent="0.75">
      <c r="A8102" t="s">
        <v>20902</v>
      </c>
      <c r="B8102" t="s">
        <v>6470</v>
      </c>
      <c r="C8102" t="s">
        <v>6471</v>
      </c>
      <c r="D8102" t="s">
        <v>6445</v>
      </c>
      <c r="E8102" t="s">
        <v>20903</v>
      </c>
      <c r="F8102">
        <v>17</v>
      </c>
      <c r="G8102">
        <v>2035433</v>
      </c>
      <c r="H8102" t="s">
        <v>20904</v>
      </c>
      <c r="J8102" s="54" t="s">
        <v>6052</v>
      </c>
      <c r="K8102" s="54">
        <v>0</v>
      </c>
      <c r="L8102" s="22" t="s">
        <v>104</v>
      </c>
      <c r="M8102" s="22" t="s">
        <v>37357</v>
      </c>
    </row>
    <row r="8103" spans="1:13" x14ac:dyDescent="0.75">
      <c r="A8103" t="s">
        <v>20935</v>
      </c>
      <c r="B8103" t="s">
        <v>6470</v>
      </c>
      <c r="C8103" t="s">
        <v>6471</v>
      </c>
      <c r="D8103" t="s">
        <v>6445</v>
      </c>
      <c r="E8103" t="s">
        <v>20936</v>
      </c>
      <c r="F8103">
        <v>32</v>
      </c>
      <c r="G8103">
        <v>2154237</v>
      </c>
      <c r="H8103" t="s">
        <v>20937</v>
      </c>
      <c r="J8103" s="54" t="s">
        <v>6052</v>
      </c>
      <c r="K8103" s="54">
        <v>0</v>
      </c>
      <c r="L8103" s="22" t="s">
        <v>104</v>
      </c>
      <c r="M8103" s="22" t="s">
        <v>37357</v>
      </c>
    </row>
    <row r="8104" spans="1:13" x14ac:dyDescent="0.75">
      <c r="A8104" t="s">
        <v>20827</v>
      </c>
      <c r="B8104" t="s">
        <v>6470</v>
      </c>
      <c r="C8104" t="s">
        <v>6471</v>
      </c>
      <c r="D8104" t="s">
        <v>6445</v>
      </c>
      <c r="E8104" t="s">
        <v>20828</v>
      </c>
      <c r="F8104">
        <v>164</v>
      </c>
      <c r="G8104">
        <v>2136434</v>
      </c>
      <c r="H8104" t="s">
        <v>20829</v>
      </c>
      <c r="J8104" s="54" t="s">
        <v>6052</v>
      </c>
      <c r="K8104" s="54">
        <v>0</v>
      </c>
      <c r="L8104" s="22" t="s">
        <v>104</v>
      </c>
      <c r="M8104" s="22" t="s">
        <v>37357</v>
      </c>
    </row>
    <row r="8105" spans="1:13" x14ac:dyDescent="0.75">
      <c r="A8105" t="s">
        <v>20839</v>
      </c>
      <c r="B8105" t="s">
        <v>6470</v>
      </c>
      <c r="C8105" t="s">
        <v>6471</v>
      </c>
      <c r="D8105" t="s">
        <v>6445</v>
      </c>
      <c r="E8105" t="s">
        <v>20840</v>
      </c>
      <c r="F8105">
        <v>37</v>
      </c>
      <c r="G8105">
        <v>2159245</v>
      </c>
      <c r="H8105" t="s">
        <v>20841</v>
      </c>
      <c r="J8105" s="54" t="s">
        <v>6052</v>
      </c>
      <c r="K8105" s="54">
        <v>0</v>
      </c>
      <c r="L8105" s="22" t="s">
        <v>104</v>
      </c>
      <c r="M8105" s="22" t="s">
        <v>37357</v>
      </c>
    </row>
    <row r="8106" spans="1:13" x14ac:dyDescent="0.75">
      <c r="A8106" t="s">
        <v>20848</v>
      </c>
      <c r="B8106" t="s">
        <v>6470</v>
      </c>
      <c r="C8106" t="s">
        <v>6471</v>
      </c>
      <c r="D8106" t="s">
        <v>6445</v>
      </c>
      <c r="E8106" t="s">
        <v>20849</v>
      </c>
      <c r="F8106">
        <v>52</v>
      </c>
      <c r="G8106">
        <v>2018166</v>
      </c>
      <c r="H8106" t="s">
        <v>20850</v>
      </c>
      <c r="J8106" s="54" t="s">
        <v>6052</v>
      </c>
      <c r="K8106" s="54">
        <v>0</v>
      </c>
      <c r="L8106" s="22" t="s">
        <v>104</v>
      </c>
      <c r="M8106" s="22" t="s">
        <v>37357</v>
      </c>
    </row>
    <row r="8107" spans="1:13" x14ac:dyDescent="0.75">
      <c r="A8107" t="s">
        <v>20771</v>
      </c>
      <c r="B8107" t="s">
        <v>6470</v>
      </c>
      <c r="C8107" t="s">
        <v>6471</v>
      </c>
      <c r="D8107" t="s">
        <v>6445</v>
      </c>
      <c r="E8107" t="s">
        <v>20772</v>
      </c>
      <c r="F8107">
        <v>20</v>
      </c>
      <c r="G8107">
        <v>2213853</v>
      </c>
      <c r="H8107" t="s">
        <v>20773</v>
      </c>
      <c r="J8107" s="54" t="s">
        <v>6052</v>
      </c>
      <c r="K8107" s="54">
        <v>0</v>
      </c>
      <c r="L8107" s="22" t="s">
        <v>104</v>
      </c>
      <c r="M8107" s="22" t="s">
        <v>37357</v>
      </c>
    </row>
    <row r="8108" spans="1:13" x14ac:dyDescent="0.75">
      <c r="A8108" t="s">
        <v>20798</v>
      </c>
      <c r="B8108" t="s">
        <v>6470</v>
      </c>
      <c r="C8108" t="s">
        <v>6471</v>
      </c>
      <c r="D8108" t="s">
        <v>6445</v>
      </c>
      <c r="E8108" t="s">
        <v>20799</v>
      </c>
      <c r="F8108">
        <v>12</v>
      </c>
      <c r="G8108">
        <v>2143512</v>
      </c>
      <c r="H8108" t="s">
        <v>20800</v>
      </c>
      <c r="J8108" s="54" t="s">
        <v>6052</v>
      </c>
      <c r="K8108" s="54">
        <v>0</v>
      </c>
      <c r="L8108" s="22" t="s">
        <v>104</v>
      </c>
      <c r="M8108" s="22" t="s">
        <v>37357</v>
      </c>
    </row>
    <row r="8109" spans="1:13" x14ac:dyDescent="0.75">
      <c r="A8109" t="s">
        <v>20801</v>
      </c>
      <c r="B8109" t="s">
        <v>6470</v>
      </c>
      <c r="C8109" t="s">
        <v>6471</v>
      </c>
      <c r="D8109" t="s">
        <v>6445</v>
      </c>
      <c r="E8109" t="s">
        <v>20802</v>
      </c>
      <c r="F8109">
        <v>13</v>
      </c>
      <c r="G8109">
        <v>2078189</v>
      </c>
      <c r="H8109" t="s">
        <v>20803</v>
      </c>
      <c r="J8109" s="54" t="s">
        <v>6052</v>
      </c>
      <c r="K8109" s="54">
        <v>0</v>
      </c>
      <c r="L8109" s="22" t="s">
        <v>104</v>
      </c>
      <c r="M8109" s="22" t="s">
        <v>37357</v>
      </c>
    </row>
    <row r="8110" spans="1:13" x14ac:dyDescent="0.75">
      <c r="A8110" t="s">
        <v>20804</v>
      </c>
      <c r="B8110" t="s">
        <v>6470</v>
      </c>
      <c r="C8110" t="s">
        <v>6471</v>
      </c>
      <c r="D8110" t="s">
        <v>6445</v>
      </c>
      <c r="E8110" t="s">
        <v>20805</v>
      </c>
      <c r="F8110">
        <v>20</v>
      </c>
      <c r="G8110">
        <v>2149638</v>
      </c>
      <c r="H8110" t="s">
        <v>20806</v>
      </c>
      <c r="J8110" s="54" t="s">
        <v>6052</v>
      </c>
      <c r="K8110" s="54">
        <v>0</v>
      </c>
      <c r="L8110" s="22" t="s">
        <v>104</v>
      </c>
      <c r="M8110" s="22" t="s">
        <v>37357</v>
      </c>
    </row>
    <row r="8111" spans="1:13" x14ac:dyDescent="0.75">
      <c r="A8111" t="s">
        <v>20795</v>
      </c>
      <c r="B8111" t="s">
        <v>6470</v>
      </c>
      <c r="C8111" t="s">
        <v>6471</v>
      </c>
      <c r="D8111" t="s">
        <v>6445</v>
      </c>
      <c r="E8111" t="s">
        <v>20796</v>
      </c>
      <c r="F8111">
        <v>16</v>
      </c>
      <c r="G8111">
        <v>2113375</v>
      </c>
      <c r="H8111" t="s">
        <v>20797</v>
      </c>
      <c r="J8111" s="54" t="s">
        <v>6052</v>
      </c>
      <c r="K8111" s="54">
        <v>0</v>
      </c>
      <c r="L8111" s="22" t="s">
        <v>104</v>
      </c>
      <c r="M8111" s="22" t="s">
        <v>37357</v>
      </c>
    </row>
    <row r="8112" spans="1:13" x14ac:dyDescent="0.75">
      <c r="A8112" t="s">
        <v>20789</v>
      </c>
      <c r="B8112" t="s">
        <v>6470</v>
      </c>
      <c r="C8112" t="s">
        <v>6471</v>
      </c>
      <c r="D8112" t="s">
        <v>6445</v>
      </c>
      <c r="E8112" t="s">
        <v>20790</v>
      </c>
      <c r="F8112">
        <v>41</v>
      </c>
      <c r="G8112">
        <v>2098772</v>
      </c>
      <c r="H8112" t="s">
        <v>20791</v>
      </c>
      <c r="J8112" s="54" t="s">
        <v>6052</v>
      </c>
      <c r="K8112" s="54">
        <v>0</v>
      </c>
      <c r="L8112" s="22" t="s">
        <v>104</v>
      </c>
      <c r="M8112" s="22" t="s">
        <v>37357</v>
      </c>
    </row>
    <row r="8113" spans="1:13" x14ac:dyDescent="0.75">
      <c r="A8113" t="s">
        <v>21057</v>
      </c>
      <c r="B8113" t="s">
        <v>6470</v>
      </c>
      <c r="C8113" t="s">
        <v>6471</v>
      </c>
      <c r="D8113" t="s">
        <v>6445</v>
      </c>
      <c r="E8113" t="s">
        <v>21058</v>
      </c>
      <c r="F8113">
        <v>38</v>
      </c>
      <c r="G8113">
        <v>2098128</v>
      </c>
      <c r="H8113" t="s">
        <v>21059</v>
      </c>
      <c r="J8113" s="54" t="s">
        <v>6052</v>
      </c>
      <c r="K8113" s="54">
        <v>0</v>
      </c>
      <c r="L8113" s="22" t="s">
        <v>104</v>
      </c>
      <c r="M8113" s="22" t="s">
        <v>37357</v>
      </c>
    </row>
    <row r="8114" spans="1:13" x14ac:dyDescent="0.75">
      <c r="A8114" t="s">
        <v>28253</v>
      </c>
      <c r="B8114" t="s">
        <v>6470</v>
      </c>
      <c r="C8114" t="s">
        <v>6471</v>
      </c>
      <c r="D8114" t="s">
        <v>6445</v>
      </c>
      <c r="E8114" t="s">
        <v>28254</v>
      </c>
      <c r="F8114">
        <v>22</v>
      </c>
      <c r="G8114">
        <v>2174425</v>
      </c>
      <c r="H8114" t="s">
        <v>28255</v>
      </c>
      <c r="J8114" s="54" t="s">
        <v>6052</v>
      </c>
      <c r="K8114" s="54">
        <v>0</v>
      </c>
      <c r="L8114" s="22" t="s">
        <v>104</v>
      </c>
      <c r="M8114" s="22" t="s">
        <v>37357</v>
      </c>
    </row>
    <row r="8115" spans="1:13" x14ac:dyDescent="0.75">
      <c r="A8115" t="s">
        <v>27295</v>
      </c>
      <c r="B8115" t="s">
        <v>6470</v>
      </c>
      <c r="C8115" t="s">
        <v>6471</v>
      </c>
      <c r="D8115" t="s">
        <v>6445</v>
      </c>
      <c r="E8115" t="s">
        <v>27296</v>
      </c>
      <c r="F8115">
        <v>1</v>
      </c>
      <c r="G8115">
        <v>2132142</v>
      </c>
      <c r="H8115" t="s">
        <v>27297</v>
      </c>
      <c r="J8115" s="54" t="s">
        <v>6052</v>
      </c>
      <c r="K8115" s="54">
        <v>0</v>
      </c>
      <c r="L8115" s="22" t="s">
        <v>104</v>
      </c>
      <c r="M8115" s="22" t="s">
        <v>37357</v>
      </c>
    </row>
    <row r="8116" spans="1:13" x14ac:dyDescent="0.75">
      <c r="A8116" t="s">
        <v>18957</v>
      </c>
      <c r="B8116" t="s">
        <v>6470</v>
      </c>
      <c r="C8116" t="s">
        <v>6471</v>
      </c>
      <c r="D8116" t="s">
        <v>6445</v>
      </c>
      <c r="E8116" t="s">
        <v>18958</v>
      </c>
      <c r="F8116">
        <v>20</v>
      </c>
      <c r="G8116">
        <v>2041457</v>
      </c>
      <c r="H8116" t="s">
        <v>18959</v>
      </c>
      <c r="J8116" s="54" t="s">
        <v>6052</v>
      </c>
      <c r="K8116" s="54">
        <v>0</v>
      </c>
      <c r="L8116" s="22" t="s">
        <v>104</v>
      </c>
      <c r="M8116" s="22" t="s">
        <v>37357</v>
      </c>
    </row>
    <row r="8117" spans="1:13" x14ac:dyDescent="0.75">
      <c r="A8117" t="s">
        <v>29481</v>
      </c>
      <c r="B8117" t="s">
        <v>6470</v>
      </c>
      <c r="C8117" t="s">
        <v>6471</v>
      </c>
      <c r="D8117" t="s">
        <v>6445</v>
      </c>
      <c r="E8117" t="s">
        <v>29482</v>
      </c>
      <c r="F8117">
        <v>7</v>
      </c>
      <c r="G8117">
        <v>1997997</v>
      </c>
      <c r="H8117" t="s">
        <v>29483</v>
      </c>
      <c r="J8117" s="54" t="s">
        <v>6052</v>
      </c>
      <c r="K8117" s="54">
        <v>0</v>
      </c>
      <c r="L8117" s="22" t="s">
        <v>104</v>
      </c>
      <c r="M8117" s="22" t="s">
        <v>37357</v>
      </c>
    </row>
    <row r="8118" spans="1:13" x14ac:dyDescent="0.75">
      <c r="A8118" t="s">
        <v>29487</v>
      </c>
      <c r="B8118" t="s">
        <v>6470</v>
      </c>
      <c r="C8118" t="s">
        <v>6471</v>
      </c>
      <c r="D8118" t="s">
        <v>6445</v>
      </c>
      <c r="E8118" t="s">
        <v>29488</v>
      </c>
      <c r="F8118">
        <v>249</v>
      </c>
      <c r="G8118">
        <v>1958592</v>
      </c>
      <c r="H8118" t="s">
        <v>29489</v>
      </c>
      <c r="J8118" s="54" t="s">
        <v>6052</v>
      </c>
      <c r="K8118" s="54">
        <v>0</v>
      </c>
      <c r="L8118" s="22" t="s">
        <v>104</v>
      </c>
      <c r="M8118" s="22" t="s">
        <v>37357</v>
      </c>
    </row>
    <row r="8119" spans="1:13" x14ac:dyDescent="0.75">
      <c r="A8119" t="s">
        <v>14647</v>
      </c>
      <c r="B8119" t="s">
        <v>6470</v>
      </c>
      <c r="C8119" t="s">
        <v>6471</v>
      </c>
      <c r="D8119" t="s">
        <v>6445</v>
      </c>
      <c r="E8119" t="s">
        <v>14648</v>
      </c>
      <c r="F8119">
        <v>10</v>
      </c>
      <c r="G8119">
        <v>2086734</v>
      </c>
      <c r="H8119" t="s">
        <v>14649</v>
      </c>
      <c r="J8119" s="54" t="s">
        <v>6052</v>
      </c>
      <c r="K8119" s="54">
        <v>0</v>
      </c>
      <c r="L8119" s="22" t="s">
        <v>104</v>
      </c>
      <c r="M8119" s="22" t="s">
        <v>37357</v>
      </c>
    </row>
    <row r="8120" spans="1:13" x14ac:dyDescent="0.75">
      <c r="A8120" t="s">
        <v>28658</v>
      </c>
      <c r="B8120" t="s">
        <v>6470</v>
      </c>
      <c r="C8120" t="s">
        <v>6471</v>
      </c>
      <c r="D8120" t="s">
        <v>6445</v>
      </c>
      <c r="E8120" t="s">
        <v>28659</v>
      </c>
      <c r="F8120">
        <v>1</v>
      </c>
      <c r="G8120">
        <v>2146482</v>
      </c>
      <c r="H8120" t="s">
        <v>28660</v>
      </c>
      <c r="J8120" s="54" t="s">
        <v>6052</v>
      </c>
      <c r="K8120" s="54">
        <v>0</v>
      </c>
      <c r="L8120" s="22" t="s">
        <v>104</v>
      </c>
      <c r="M8120" s="22" t="s">
        <v>37357</v>
      </c>
    </row>
    <row r="8121" spans="1:13" x14ac:dyDescent="0.75">
      <c r="A8121" t="s">
        <v>30569</v>
      </c>
      <c r="B8121" t="s">
        <v>6470</v>
      </c>
      <c r="C8121" t="s">
        <v>6471</v>
      </c>
      <c r="D8121" t="s">
        <v>6445</v>
      </c>
      <c r="E8121" t="s">
        <v>30570</v>
      </c>
      <c r="F8121">
        <v>26</v>
      </c>
      <c r="G8121">
        <v>1943583</v>
      </c>
      <c r="H8121" t="s">
        <v>30571</v>
      </c>
      <c r="J8121" s="54" t="s">
        <v>6052</v>
      </c>
      <c r="K8121" s="54">
        <v>0</v>
      </c>
      <c r="L8121" s="22" t="s">
        <v>104</v>
      </c>
      <c r="M8121" s="22" t="s">
        <v>37357</v>
      </c>
    </row>
    <row r="8122" spans="1:13" x14ac:dyDescent="0.75">
      <c r="A8122" t="s">
        <v>28731</v>
      </c>
      <c r="B8122" t="s">
        <v>6470</v>
      </c>
      <c r="C8122" t="s">
        <v>6471</v>
      </c>
      <c r="D8122" t="s">
        <v>6445</v>
      </c>
      <c r="E8122" t="s">
        <v>28732</v>
      </c>
      <c r="F8122">
        <v>9</v>
      </c>
      <c r="G8122">
        <v>2097259</v>
      </c>
      <c r="H8122" t="s">
        <v>28733</v>
      </c>
      <c r="J8122" s="54" t="s">
        <v>6052</v>
      </c>
      <c r="K8122" s="54">
        <v>0</v>
      </c>
      <c r="L8122" s="22" t="s">
        <v>104</v>
      </c>
      <c r="M8122" s="22" t="s">
        <v>37357</v>
      </c>
    </row>
    <row r="8123" spans="1:13" x14ac:dyDescent="0.75">
      <c r="A8123" t="s">
        <v>30357</v>
      </c>
      <c r="B8123" t="s">
        <v>6470</v>
      </c>
      <c r="C8123" t="s">
        <v>6471</v>
      </c>
      <c r="D8123" t="s">
        <v>6445</v>
      </c>
      <c r="E8123" t="s">
        <v>30358</v>
      </c>
      <c r="F8123">
        <v>64</v>
      </c>
      <c r="G8123">
        <v>1961384</v>
      </c>
      <c r="H8123" t="s">
        <v>30359</v>
      </c>
      <c r="J8123" s="54" t="s">
        <v>6052</v>
      </c>
      <c r="K8123" s="54">
        <v>0</v>
      </c>
      <c r="L8123" s="22" t="s">
        <v>104</v>
      </c>
      <c r="M8123" s="22" t="s">
        <v>37357</v>
      </c>
    </row>
    <row r="8124" spans="1:13" x14ac:dyDescent="0.75">
      <c r="A8124" t="s">
        <v>28889</v>
      </c>
      <c r="B8124" t="s">
        <v>6470</v>
      </c>
      <c r="C8124" t="s">
        <v>6471</v>
      </c>
      <c r="D8124" t="s">
        <v>6445</v>
      </c>
      <c r="E8124" t="s">
        <v>28890</v>
      </c>
      <c r="F8124">
        <v>19</v>
      </c>
      <c r="G8124">
        <v>2064386</v>
      </c>
      <c r="H8124" t="s">
        <v>28891</v>
      </c>
      <c r="J8124" s="54" t="s">
        <v>6052</v>
      </c>
      <c r="K8124" s="54">
        <v>0</v>
      </c>
      <c r="L8124" s="22" t="s">
        <v>104</v>
      </c>
      <c r="M8124" s="22" t="s">
        <v>37357</v>
      </c>
    </row>
    <row r="8125" spans="1:13" x14ac:dyDescent="0.75">
      <c r="A8125" t="s">
        <v>29064</v>
      </c>
      <c r="B8125" t="s">
        <v>6470</v>
      </c>
      <c r="C8125" t="s">
        <v>6471</v>
      </c>
      <c r="D8125" t="s">
        <v>6445</v>
      </c>
      <c r="E8125" t="s">
        <v>29065</v>
      </c>
      <c r="F8125">
        <v>25</v>
      </c>
      <c r="G8125">
        <v>1972424</v>
      </c>
      <c r="H8125" t="s">
        <v>29066</v>
      </c>
      <c r="J8125" s="54" t="s">
        <v>6052</v>
      </c>
      <c r="K8125" s="54">
        <v>0</v>
      </c>
      <c r="L8125" s="22" t="s">
        <v>104</v>
      </c>
      <c r="M8125" s="22" t="s">
        <v>37357</v>
      </c>
    </row>
    <row r="8126" spans="1:13" x14ac:dyDescent="0.75">
      <c r="A8126" t="s">
        <v>14292</v>
      </c>
      <c r="B8126" t="s">
        <v>6470</v>
      </c>
      <c r="C8126" t="s">
        <v>6471</v>
      </c>
      <c r="D8126" t="s">
        <v>6445</v>
      </c>
      <c r="E8126" t="s">
        <v>14293</v>
      </c>
      <c r="F8126">
        <v>16</v>
      </c>
      <c r="G8126">
        <v>2150556</v>
      </c>
      <c r="H8126" t="s">
        <v>14294</v>
      </c>
      <c r="J8126" s="54" t="s">
        <v>6052</v>
      </c>
      <c r="K8126" s="54">
        <v>0</v>
      </c>
      <c r="L8126" s="22" t="s">
        <v>104</v>
      </c>
      <c r="M8126" s="22" t="s">
        <v>37357</v>
      </c>
    </row>
    <row r="8127" spans="1:13" x14ac:dyDescent="0.75">
      <c r="A8127" t="s">
        <v>13334</v>
      </c>
      <c r="B8127" t="s">
        <v>6470</v>
      </c>
      <c r="C8127" t="s">
        <v>6471</v>
      </c>
      <c r="D8127" t="s">
        <v>6445</v>
      </c>
      <c r="E8127" t="s">
        <v>13335</v>
      </c>
      <c r="F8127">
        <v>1</v>
      </c>
      <c r="G8127">
        <v>2178518</v>
      </c>
      <c r="H8127" t="s">
        <v>13336</v>
      </c>
      <c r="J8127" s="54" t="s">
        <v>6052</v>
      </c>
      <c r="K8127" s="54">
        <v>0</v>
      </c>
      <c r="L8127" s="22" t="s">
        <v>104</v>
      </c>
      <c r="M8127" s="22" t="s">
        <v>37357</v>
      </c>
    </row>
    <row r="8128" spans="1:13" x14ac:dyDescent="0.75">
      <c r="A8128" t="s">
        <v>28173</v>
      </c>
      <c r="B8128" t="s">
        <v>6470</v>
      </c>
      <c r="C8128" t="s">
        <v>6471</v>
      </c>
      <c r="D8128" t="s">
        <v>6445</v>
      </c>
      <c r="E8128" t="s">
        <v>28174</v>
      </c>
      <c r="F8128">
        <v>13</v>
      </c>
      <c r="G8128">
        <v>2125241</v>
      </c>
      <c r="H8128" t="s">
        <v>28175</v>
      </c>
      <c r="J8128" s="54" t="s">
        <v>6052</v>
      </c>
      <c r="K8128" s="54">
        <v>0</v>
      </c>
      <c r="L8128" s="22" t="s">
        <v>104</v>
      </c>
      <c r="M8128" s="22" t="s">
        <v>37357</v>
      </c>
    </row>
    <row r="8129" spans="1:13" x14ac:dyDescent="0.75">
      <c r="A8129" t="s">
        <v>24981</v>
      </c>
      <c r="B8129" t="s">
        <v>7352</v>
      </c>
      <c r="C8129" t="s">
        <v>6471</v>
      </c>
      <c r="D8129" t="s">
        <v>7353</v>
      </c>
      <c r="E8129" t="s">
        <v>24982</v>
      </c>
      <c r="F8129">
        <v>1</v>
      </c>
      <c r="G8129">
        <v>2158040</v>
      </c>
      <c r="H8129" t="s">
        <v>24983</v>
      </c>
      <c r="J8129" s="54" t="s">
        <v>6052</v>
      </c>
      <c r="K8129" s="54">
        <v>0</v>
      </c>
      <c r="L8129" s="22" t="s">
        <v>104</v>
      </c>
      <c r="M8129" s="22" t="s">
        <v>37359</v>
      </c>
    </row>
    <row r="8130" spans="1:13" x14ac:dyDescent="0.75">
      <c r="A8130" t="s">
        <v>7351</v>
      </c>
      <c r="B8130" t="s">
        <v>7352</v>
      </c>
      <c r="C8130" t="s">
        <v>6471</v>
      </c>
      <c r="D8130" t="s">
        <v>7353</v>
      </c>
      <c r="E8130" t="s">
        <v>7354</v>
      </c>
      <c r="F8130">
        <v>21</v>
      </c>
      <c r="G8130">
        <v>2176752</v>
      </c>
      <c r="H8130" t="s">
        <v>7355</v>
      </c>
      <c r="J8130" s="54" t="s">
        <v>6052</v>
      </c>
      <c r="K8130" s="54">
        <v>0</v>
      </c>
      <c r="L8130" s="22" t="s">
        <v>104</v>
      </c>
      <c r="M8130" s="22" t="s">
        <v>37359</v>
      </c>
    </row>
    <row r="8131" spans="1:13" x14ac:dyDescent="0.75">
      <c r="A8131" t="s">
        <v>14644</v>
      </c>
      <c r="B8131" t="s">
        <v>7352</v>
      </c>
      <c r="C8131" t="s">
        <v>6471</v>
      </c>
      <c r="D8131" t="s">
        <v>7353</v>
      </c>
      <c r="E8131" t="s">
        <v>14645</v>
      </c>
      <c r="F8131">
        <v>15</v>
      </c>
      <c r="G8131">
        <v>2187106</v>
      </c>
      <c r="H8131" t="s">
        <v>14646</v>
      </c>
      <c r="J8131" s="54" t="s">
        <v>6052</v>
      </c>
      <c r="K8131" s="54">
        <v>0</v>
      </c>
      <c r="L8131" s="22" t="s">
        <v>104</v>
      </c>
      <c r="M8131" s="22" t="s">
        <v>37359</v>
      </c>
    </row>
    <row r="8132" spans="1:13" x14ac:dyDescent="0.75">
      <c r="A8132" t="s">
        <v>19643</v>
      </c>
      <c r="B8132" t="s">
        <v>7352</v>
      </c>
      <c r="C8132" t="s">
        <v>6471</v>
      </c>
      <c r="D8132" t="s">
        <v>7353</v>
      </c>
      <c r="E8132" t="s">
        <v>19644</v>
      </c>
      <c r="F8132">
        <v>207</v>
      </c>
      <c r="G8132">
        <v>1852593</v>
      </c>
      <c r="H8132" t="s">
        <v>19645</v>
      </c>
      <c r="J8132" s="54" t="s">
        <v>6052</v>
      </c>
      <c r="K8132" s="54">
        <v>0</v>
      </c>
      <c r="L8132" s="22" t="s">
        <v>104</v>
      </c>
      <c r="M8132" s="22" t="s">
        <v>37359</v>
      </c>
    </row>
    <row r="8133" spans="1:13" x14ac:dyDescent="0.75">
      <c r="A8133" t="s">
        <v>19640</v>
      </c>
      <c r="B8133" t="s">
        <v>7352</v>
      </c>
      <c r="C8133" t="s">
        <v>6471</v>
      </c>
      <c r="D8133" t="s">
        <v>7353</v>
      </c>
      <c r="E8133" t="s">
        <v>19641</v>
      </c>
      <c r="F8133">
        <v>233</v>
      </c>
      <c r="G8133">
        <v>1957555</v>
      </c>
      <c r="H8133" t="s">
        <v>19642</v>
      </c>
      <c r="J8133" s="54" t="s">
        <v>6052</v>
      </c>
      <c r="K8133" s="54">
        <v>0</v>
      </c>
      <c r="L8133" s="22" t="s">
        <v>104</v>
      </c>
      <c r="M8133" s="22" t="s">
        <v>37359</v>
      </c>
    </row>
    <row r="8134" spans="1:13" x14ac:dyDescent="0.75">
      <c r="A8134" t="s">
        <v>24264</v>
      </c>
      <c r="B8134" t="s">
        <v>7352</v>
      </c>
      <c r="C8134" t="s">
        <v>6471</v>
      </c>
      <c r="D8134" t="s">
        <v>7353</v>
      </c>
      <c r="E8134" t="s">
        <v>24265</v>
      </c>
      <c r="F8134">
        <v>2</v>
      </c>
      <c r="G8134">
        <v>2205714</v>
      </c>
      <c r="H8134" t="s">
        <v>24266</v>
      </c>
      <c r="J8134" s="54" t="s">
        <v>6052</v>
      </c>
      <c r="K8134" s="54">
        <v>0</v>
      </c>
      <c r="L8134" s="22" t="s">
        <v>104</v>
      </c>
      <c r="M8134" s="22" t="s">
        <v>37359</v>
      </c>
    </row>
    <row r="8135" spans="1:13" x14ac:dyDescent="0.75">
      <c r="A8135" t="s">
        <v>20932</v>
      </c>
      <c r="B8135" t="s">
        <v>7352</v>
      </c>
      <c r="C8135" t="s">
        <v>6471</v>
      </c>
      <c r="D8135" t="s">
        <v>7353</v>
      </c>
      <c r="E8135" t="s">
        <v>20933</v>
      </c>
      <c r="F8135">
        <v>29</v>
      </c>
      <c r="G8135">
        <v>1978772</v>
      </c>
      <c r="H8135" t="s">
        <v>20934</v>
      </c>
      <c r="J8135" s="54" t="s">
        <v>6052</v>
      </c>
      <c r="K8135" s="54">
        <v>0</v>
      </c>
      <c r="L8135" s="22" t="s">
        <v>104</v>
      </c>
      <c r="M8135" s="22" t="s">
        <v>37359</v>
      </c>
    </row>
    <row r="8136" spans="1:13" x14ac:dyDescent="0.75">
      <c r="A8136" t="s">
        <v>28552</v>
      </c>
      <c r="B8136" t="s">
        <v>7352</v>
      </c>
      <c r="C8136" t="s">
        <v>6471</v>
      </c>
      <c r="D8136" t="s">
        <v>7353</v>
      </c>
      <c r="E8136" t="s">
        <v>28553</v>
      </c>
      <c r="F8136">
        <v>19</v>
      </c>
      <c r="G8136">
        <v>2094981</v>
      </c>
      <c r="H8136" t="s">
        <v>28554</v>
      </c>
      <c r="J8136" s="54" t="s">
        <v>6052</v>
      </c>
      <c r="K8136" s="54">
        <v>0</v>
      </c>
      <c r="L8136" s="22" t="s">
        <v>104</v>
      </c>
      <c r="M8136" s="22" t="s">
        <v>37359</v>
      </c>
    </row>
    <row r="8137" spans="1:13" x14ac:dyDescent="0.75">
      <c r="A8137" t="s">
        <v>14653</v>
      </c>
      <c r="B8137" t="s">
        <v>7352</v>
      </c>
      <c r="C8137" t="s">
        <v>6471</v>
      </c>
      <c r="D8137" t="s">
        <v>7353</v>
      </c>
      <c r="E8137" t="s">
        <v>14654</v>
      </c>
      <c r="F8137">
        <v>17</v>
      </c>
      <c r="G8137">
        <v>2278086</v>
      </c>
      <c r="H8137" t="s">
        <v>14655</v>
      </c>
      <c r="J8137" s="54" t="s">
        <v>6052</v>
      </c>
      <c r="K8137" s="54">
        <v>0</v>
      </c>
      <c r="L8137" s="22" t="s">
        <v>104</v>
      </c>
      <c r="M8137" s="22" t="s">
        <v>37359</v>
      </c>
    </row>
    <row r="8138" spans="1:13" x14ac:dyDescent="0.75">
      <c r="A8138" t="s">
        <v>29609</v>
      </c>
      <c r="B8138" t="s">
        <v>7352</v>
      </c>
      <c r="C8138" t="s">
        <v>6471</v>
      </c>
      <c r="D8138" t="s">
        <v>7353</v>
      </c>
      <c r="E8138" t="s">
        <v>29610</v>
      </c>
      <c r="F8138">
        <v>153</v>
      </c>
      <c r="G8138">
        <v>2177883</v>
      </c>
      <c r="H8138" t="s">
        <v>29611</v>
      </c>
      <c r="J8138" s="54" t="s">
        <v>6052</v>
      </c>
      <c r="K8138" s="54">
        <v>0</v>
      </c>
      <c r="L8138" s="22" t="s">
        <v>104</v>
      </c>
      <c r="M8138" s="22" t="s">
        <v>37359</v>
      </c>
    </row>
    <row r="8139" spans="1:13" x14ac:dyDescent="0.75">
      <c r="A8139" t="s">
        <v>27845</v>
      </c>
      <c r="B8139" t="s">
        <v>7352</v>
      </c>
      <c r="C8139" t="s">
        <v>6471</v>
      </c>
      <c r="D8139" t="s">
        <v>7353</v>
      </c>
      <c r="E8139" t="s">
        <v>27846</v>
      </c>
      <c r="F8139">
        <v>19</v>
      </c>
      <c r="G8139">
        <v>2094981</v>
      </c>
      <c r="H8139" t="s">
        <v>27847</v>
      </c>
      <c r="J8139" s="54" t="s">
        <v>6052</v>
      </c>
      <c r="K8139" s="54">
        <v>0</v>
      </c>
      <c r="L8139" s="22" t="s">
        <v>104</v>
      </c>
      <c r="M8139" s="22" t="s">
        <v>37359</v>
      </c>
    </row>
    <row r="8140" spans="1:13" x14ac:dyDescent="0.75">
      <c r="A8140" t="s">
        <v>16487</v>
      </c>
      <c r="B8140" t="s">
        <v>16451</v>
      </c>
      <c r="C8140" t="s">
        <v>6471</v>
      </c>
      <c r="D8140" t="s">
        <v>16452</v>
      </c>
      <c r="E8140">
        <v>3310</v>
      </c>
      <c r="F8140">
        <v>16</v>
      </c>
      <c r="G8140">
        <v>1870378</v>
      </c>
      <c r="H8140" t="s">
        <v>16488</v>
      </c>
      <c r="J8140" s="54" t="s">
        <v>6052</v>
      </c>
      <c r="K8140" s="54">
        <v>0</v>
      </c>
      <c r="L8140" s="22" t="s">
        <v>104</v>
      </c>
      <c r="M8140" s="22" t="s">
        <v>37355</v>
      </c>
    </row>
    <row r="8141" spans="1:13" x14ac:dyDescent="0.75">
      <c r="A8141" t="s">
        <v>16485</v>
      </c>
      <c r="B8141" t="s">
        <v>16451</v>
      </c>
      <c r="C8141" t="s">
        <v>6471</v>
      </c>
      <c r="D8141" t="s">
        <v>16452</v>
      </c>
      <c r="E8141">
        <v>3891</v>
      </c>
      <c r="F8141">
        <v>38</v>
      </c>
      <c r="G8141">
        <v>1890765</v>
      </c>
      <c r="H8141" t="s">
        <v>16486</v>
      </c>
      <c r="J8141" s="54" t="s">
        <v>6052</v>
      </c>
      <c r="K8141" s="54">
        <v>0</v>
      </c>
      <c r="L8141" s="22" t="s">
        <v>104</v>
      </c>
      <c r="M8141" s="22" t="s">
        <v>37355</v>
      </c>
    </row>
    <row r="8142" spans="1:13" x14ac:dyDescent="0.75">
      <c r="A8142" t="s">
        <v>16450</v>
      </c>
      <c r="B8142" t="s">
        <v>16451</v>
      </c>
      <c r="C8142" t="s">
        <v>6471</v>
      </c>
      <c r="D8142" t="s">
        <v>16452</v>
      </c>
      <c r="E8142">
        <v>3960</v>
      </c>
      <c r="F8142">
        <v>69</v>
      </c>
      <c r="G8142">
        <v>1860088</v>
      </c>
      <c r="H8142" t="s">
        <v>16453</v>
      </c>
      <c r="J8142" s="54" t="s">
        <v>6052</v>
      </c>
      <c r="K8142" s="54">
        <v>0</v>
      </c>
      <c r="L8142" s="22" t="s">
        <v>104</v>
      </c>
      <c r="M8142" s="22" t="s">
        <v>37355</v>
      </c>
    </row>
    <row r="8143" spans="1:13" x14ac:dyDescent="0.75">
      <c r="A8143" t="s">
        <v>16479</v>
      </c>
      <c r="B8143" t="s">
        <v>16451</v>
      </c>
      <c r="C8143" t="s">
        <v>6471</v>
      </c>
      <c r="D8143" t="s">
        <v>16452</v>
      </c>
      <c r="E8143" t="s">
        <v>16480</v>
      </c>
      <c r="F8143">
        <v>43</v>
      </c>
      <c r="G8143">
        <v>1881921</v>
      </c>
      <c r="H8143" t="s">
        <v>16481</v>
      </c>
      <c r="J8143" s="54" t="s">
        <v>6052</v>
      </c>
      <c r="K8143" s="54">
        <v>0</v>
      </c>
      <c r="L8143" s="22" t="s">
        <v>104</v>
      </c>
      <c r="M8143" s="22" t="s">
        <v>37355</v>
      </c>
    </row>
    <row r="8144" spans="1:13" x14ac:dyDescent="0.75">
      <c r="A8144" t="s">
        <v>16463</v>
      </c>
      <c r="B8144" t="s">
        <v>16451</v>
      </c>
      <c r="C8144" t="s">
        <v>6471</v>
      </c>
      <c r="D8144" t="s">
        <v>16452</v>
      </c>
      <c r="E8144" t="s">
        <v>16464</v>
      </c>
      <c r="F8144">
        <v>42</v>
      </c>
      <c r="G8144">
        <v>1972307</v>
      </c>
      <c r="H8144" t="s">
        <v>16465</v>
      </c>
      <c r="J8144" s="54" t="s">
        <v>6052</v>
      </c>
      <c r="K8144" s="54">
        <v>0</v>
      </c>
      <c r="L8144" s="22" t="s">
        <v>104</v>
      </c>
      <c r="M8144" s="22" t="s">
        <v>37355</v>
      </c>
    </row>
    <row r="8145" spans="1:13" x14ac:dyDescent="0.75">
      <c r="A8145" t="s">
        <v>16460</v>
      </c>
      <c r="B8145" t="s">
        <v>16451</v>
      </c>
      <c r="C8145" t="s">
        <v>6471</v>
      </c>
      <c r="D8145" t="s">
        <v>16452</v>
      </c>
      <c r="E8145" t="s">
        <v>16461</v>
      </c>
      <c r="F8145">
        <v>35</v>
      </c>
      <c r="G8145">
        <v>1893839</v>
      </c>
      <c r="H8145" t="s">
        <v>16462</v>
      </c>
      <c r="J8145" s="54" t="s">
        <v>6052</v>
      </c>
      <c r="K8145" s="54">
        <v>0</v>
      </c>
      <c r="L8145" s="22" t="s">
        <v>104</v>
      </c>
      <c r="M8145" s="22" t="s">
        <v>37355</v>
      </c>
    </row>
    <row r="8146" spans="1:13" x14ac:dyDescent="0.75">
      <c r="A8146" t="s">
        <v>28085</v>
      </c>
      <c r="B8146" t="s">
        <v>16451</v>
      </c>
      <c r="C8146" t="s">
        <v>6471</v>
      </c>
      <c r="D8146" t="s">
        <v>16452</v>
      </c>
      <c r="E8146" t="s">
        <v>28086</v>
      </c>
      <c r="F8146">
        <v>52</v>
      </c>
      <c r="G8146">
        <v>1901086</v>
      </c>
      <c r="H8146" t="s">
        <v>28087</v>
      </c>
      <c r="J8146" s="54" t="s">
        <v>6052</v>
      </c>
      <c r="K8146" s="54">
        <v>0</v>
      </c>
      <c r="L8146" s="22" t="s">
        <v>104</v>
      </c>
      <c r="M8146" s="22" t="s">
        <v>37355</v>
      </c>
    </row>
    <row r="8147" spans="1:13" x14ac:dyDescent="0.75">
      <c r="A8147" t="s">
        <v>28558</v>
      </c>
      <c r="B8147" t="s">
        <v>16451</v>
      </c>
      <c r="C8147" t="s">
        <v>6471</v>
      </c>
      <c r="D8147" t="s">
        <v>16452</v>
      </c>
      <c r="E8147" t="s">
        <v>28559</v>
      </c>
      <c r="F8147">
        <v>52</v>
      </c>
      <c r="G8147">
        <v>1901086</v>
      </c>
      <c r="H8147" t="s">
        <v>28560</v>
      </c>
      <c r="J8147" s="54" t="s">
        <v>6052</v>
      </c>
      <c r="K8147" s="54">
        <v>0</v>
      </c>
      <c r="L8147" s="22" t="s">
        <v>104</v>
      </c>
      <c r="M8147" s="22" t="s">
        <v>37355</v>
      </c>
    </row>
    <row r="8148" spans="1:13" x14ac:dyDescent="0.75">
      <c r="A8148" t="s">
        <v>16457</v>
      </c>
      <c r="B8148" t="s">
        <v>16451</v>
      </c>
      <c r="C8148" t="s">
        <v>6471</v>
      </c>
      <c r="D8148" t="s">
        <v>16452</v>
      </c>
      <c r="E8148" t="s">
        <v>16458</v>
      </c>
      <c r="F8148">
        <v>36</v>
      </c>
      <c r="G8148">
        <v>1902403</v>
      </c>
      <c r="H8148" t="s">
        <v>16459</v>
      </c>
      <c r="J8148" s="54" t="s">
        <v>6052</v>
      </c>
      <c r="K8148" s="54">
        <v>0</v>
      </c>
      <c r="L8148" s="22" t="s">
        <v>104</v>
      </c>
      <c r="M8148" s="22" t="s">
        <v>37355</v>
      </c>
    </row>
    <row r="8149" spans="1:13" x14ac:dyDescent="0.75">
      <c r="A8149" t="s">
        <v>16454</v>
      </c>
      <c r="B8149" t="s">
        <v>16451</v>
      </c>
      <c r="C8149" t="s">
        <v>6471</v>
      </c>
      <c r="D8149" t="s">
        <v>16452</v>
      </c>
      <c r="E8149" t="s">
        <v>16455</v>
      </c>
      <c r="F8149">
        <v>76</v>
      </c>
      <c r="G8149">
        <v>2172276</v>
      </c>
      <c r="H8149" t="s">
        <v>16456</v>
      </c>
      <c r="J8149" s="54" t="s">
        <v>6052</v>
      </c>
      <c r="K8149" s="54">
        <v>0</v>
      </c>
      <c r="L8149" s="22" t="s">
        <v>104</v>
      </c>
      <c r="M8149" s="22" t="s">
        <v>37355</v>
      </c>
    </row>
    <row r="8150" spans="1:13" x14ac:dyDescent="0.75">
      <c r="A8150" t="s">
        <v>16466</v>
      </c>
      <c r="B8150" t="s">
        <v>16451</v>
      </c>
      <c r="C8150" t="s">
        <v>6471</v>
      </c>
      <c r="D8150" t="s">
        <v>16452</v>
      </c>
      <c r="E8150" t="s">
        <v>16467</v>
      </c>
      <c r="F8150">
        <v>66</v>
      </c>
      <c r="G8150">
        <v>1969382</v>
      </c>
      <c r="H8150" t="s">
        <v>16468</v>
      </c>
      <c r="J8150" s="54" t="s">
        <v>6052</v>
      </c>
      <c r="K8150" s="54">
        <v>0</v>
      </c>
      <c r="L8150" s="22" t="s">
        <v>104</v>
      </c>
      <c r="M8150" s="22" t="s">
        <v>37355</v>
      </c>
    </row>
    <row r="8151" spans="1:13" x14ac:dyDescent="0.75">
      <c r="A8151" t="s">
        <v>16475</v>
      </c>
      <c r="B8151" t="s">
        <v>7899</v>
      </c>
      <c r="C8151" t="s">
        <v>6471</v>
      </c>
      <c r="D8151" t="s">
        <v>7900</v>
      </c>
      <c r="E8151">
        <v>3627</v>
      </c>
      <c r="F8151">
        <v>34</v>
      </c>
      <c r="G8151">
        <v>1738782</v>
      </c>
      <c r="H8151" t="s">
        <v>16476</v>
      </c>
      <c r="J8151" s="54" t="s">
        <v>6052</v>
      </c>
      <c r="K8151" s="54">
        <v>0</v>
      </c>
      <c r="L8151" s="22" t="s">
        <v>104</v>
      </c>
      <c r="M8151" s="22" t="s">
        <v>37356</v>
      </c>
    </row>
    <row r="8152" spans="1:13" x14ac:dyDescent="0.75">
      <c r="A8152" t="s">
        <v>16477</v>
      </c>
      <c r="B8152" t="s">
        <v>7899</v>
      </c>
      <c r="C8152" t="s">
        <v>6471</v>
      </c>
      <c r="D8152" t="s">
        <v>7900</v>
      </c>
      <c r="E8152">
        <v>3913</v>
      </c>
      <c r="F8152">
        <v>15</v>
      </c>
      <c r="G8152">
        <v>1770519</v>
      </c>
      <c r="H8152" t="s">
        <v>16478</v>
      </c>
      <c r="J8152" s="54" t="s">
        <v>6052</v>
      </c>
      <c r="K8152" s="54">
        <v>0</v>
      </c>
      <c r="L8152" s="22" t="s">
        <v>104</v>
      </c>
      <c r="M8152" s="22" t="s">
        <v>37356</v>
      </c>
    </row>
    <row r="8153" spans="1:13" x14ac:dyDescent="0.75">
      <c r="A8153" t="s">
        <v>16482</v>
      </c>
      <c r="B8153" t="s">
        <v>7899</v>
      </c>
      <c r="C8153" t="s">
        <v>6471</v>
      </c>
      <c r="D8153" t="s">
        <v>7900</v>
      </c>
      <c r="E8153" t="s">
        <v>16483</v>
      </c>
      <c r="F8153">
        <v>23</v>
      </c>
      <c r="G8153">
        <v>1822704</v>
      </c>
      <c r="H8153" t="s">
        <v>16484</v>
      </c>
      <c r="J8153" s="54" t="s">
        <v>6052</v>
      </c>
      <c r="K8153" s="54">
        <v>0</v>
      </c>
      <c r="L8153" s="22" t="s">
        <v>104</v>
      </c>
      <c r="M8153" s="22" t="s">
        <v>37356</v>
      </c>
    </row>
    <row r="8154" spans="1:13" x14ac:dyDescent="0.75">
      <c r="A8154" t="s">
        <v>16472</v>
      </c>
      <c r="B8154" t="s">
        <v>7899</v>
      </c>
      <c r="C8154" t="s">
        <v>6471</v>
      </c>
      <c r="D8154" t="s">
        <v>7900</v>
      </c>
      <c r="E8154" t="s">
        <v>16473</v>
      </c>
      <c r="F8154">
        <v>51</v>
      </c>
      <c r="G8154">
        <v>1776932</v>
      </c>
      <c r="H8154" t="s">
        <v>16474</v>
      </c>
      <c r="J8154" s="54" t="s">
        <v>6052</v>
      </c>
      <c r="K8154" s="54">
        <v>0</v>
      </c>
      <c r="L8154" s="22" t="s">
        <v>104</v>
      </c>
      <c r="M8154" s="22" t="s">
        <v>37356</v>
      </c>
    </row>
    <row r="8155" spans="1:13" x14ac:dyDescent="0.75">
      <c r="A8155" t="s">
        <v>11901</v>
      </c>
      <c r="B8155" t="s">
        <v>7899</v>
      </c>
      <c r="C8155" t="s">
        <v>6471</v>
      </c>
      <c r="D8155" t="s">
        <v>7900</v>
      </c>
      <c r="E8155" t="s">
        <v>11902</v>
      </c>
      <c r="F8155">
        <v>54</v>
      </c>
      <c r="G8155">
        <v>1664293</v>
      </c>
      <c r="H8155" t="s">
        <v>11903</v>
      </c>
      <c r="J8155" s="54" t="s">
        <v>6052</v>
      </c>
      <c r="K8155" s="54">
        <v>0</v>
      </c>
      <c r="L8155" s="22" t="s">
        <v>104</v>
      </c>
      <c r="M8155" s="22" t="s">
        <v>37356</v>
      </c>
    </row>
    <row r="8156" spans="1:13" x14ac:dyDescent="0.75">
      <c r="A8156" t="s">
        <v>7898</v>
      </c>
      <c r="B8156" t="s">
        <v>7899</v>
      </c>
      <c r="C8156" t="s">
        <v>6471</v>
      </c>
      <c r="D8156" t="s">
        <v>7900</v>
      </c>
      <c r="E8156" t="s">
        <v>7901</v>
      </c>
      <c r="F8156">
        <v>75</v>
      </c>
      <c r="G8156">
        <v>1731014</v>
      </c>
      <c r="H8156" t="s">
        <v>7902</v>
      </c>
      <c r="J8156" s="54" t="s">
        <v>6052</v>
      </c>
      <c r="K8156" s="54">
        <v>0</v>
      </c>
      <c r="L8156" s="22" t="s">
        <v>104</v>
      </c>
      <c r="M8156" s="22" t="s">
        <v>37356</v>
      </c>
    </row>
    <row r="8157" spans="1:13" x14ac:dyDescent="0.75">
      <c r="A8157" t="s">
        <v>20947</v>
      </c>
      <c r="B8157" t="s">
        <v>7899</v>
      </c>
      <c r="C8157" t="s">
        <v>6471</v>
      </c>
      <c r="D8157" t="s">
        <v>7900</v>
      </c>
      <c r="E8157" t="s">
        <v>20948</v>
      </c>
      <c r="F8157">
        <v>28</v>
      </c>
      <c r="G8157">
        <v>1760680</v>
      </c>
      <c r="H8157" t="s">
        <v>20949</v>
      </c>
      <c r="J8157" s="54" t="s">
        <v>6052</v>
      </c>
      <c r="K8157" s="54">
        <v>0</v>
      </c>
      <c r="L8157" s="22" t="s">
        <v>104</v>
      </c>
      <c r="M8157" s="22" t="s">
        <v>37356</v>
      </c>
    </row>
    <row r="8158" spans="1:13" x14ac:dyDescent="0.75">
      <c r="A8158" t="s">
        <v>28463</v>
      </c>
      <c r="B8158" t="s">
        <v>7899</v>
      </c>
      <c r="C8158" t="s">
        <v>6471</v>
      </c>
      <c r="D8158" t="s">
        <v>7900</v>
      </c>
      <c r="E8158" t="s">
        <v>28464</v>
      </c>
      <c r="F8158">
        <v>38</v>
      </c>
      <c r="G8158">
        <v>1778132</v>
      </c>
      <c r="H8158" t="s">
        <v>28465</v>
      </c>
      <c r="J8158" s="54" t="s">
        <v>6052</v>
      </c>
      <c r="K8158" s="54">
        <v>0</v>
      </c>
      <c r="L8158" s="22" t="s">
        <v>104</v>
      </c>
      <c r="M8158" s="22" t="s">
        <v>37356</v>
      </c>
    </row>
    <row r="8159" spans="1:13" x14ac:dyDescent="0.75">
      <c r="A8159" t="s">
        <v>29589</v>
      </c>
      <c r="B8159" t="s">
        <v>7899</v>
      </c>
      <c r="C8159" t="s">
        <v>6471</v>
      </c>
      <c r="D8159" t="s">
        <v>7900</v>
      </c>
      <c r="E8159" t="s">
        <v>29590</v>
      </c>
      <c r="F8159">
        <v>23</v>
      </c>
      <c r="G8159">
        <v>1778081</v>
      </c>
      <c r="H8159" t="s">
        <v>29591</v>
      </c>
      <c r="J8159" s="54" t="s">
        <v>6052</v>
      </c>
      <c r="K8159" s="54">
        <v>0</v>
      </c>
      <c r="L8159" s="22" t="s">
        <v>104</v>
      </c>
      <c r="M8159" s="22" t="s">
        <v>37356</v>
      </c>
    </row>
    <row r="8160" spans="1:13" x14ac:dyDescent="0.75">
      <c r="A8160" t="s">
        <v>16469</v>
      </c>
      <c r="B8160" t="s">
        <v>7899</v>
      </c>
      <c r="C8160" t="s">
        <v>6471</v>
      </c>
      <c r="D8160" t="s">
        <v>7900</v>
      </c>
      <c r="E8160" t="s">
        <v>16470</v>
      </c>
      <c r="F8160">
        <v>12</v>
      </c>
      <c r="G8160">
        <v>1806031</v>
      </c>
      <c r="H8160" t="s">
        <v>16471</v>
      </c>
      <c r="J8160" s="54" t="s">
        <v>6052</v>
      </c>
      <c r="K8160" s="54">
        <v>0</v>
      </c>
      <c r="L8160" s="22" t="s">
        <v>104</v>
      </c>
      <c r="M8160" s="22" t="s">
        <v>37356</v>
      </c>
    </row>
    <row r="8161" spans="1:13" x14ac:dyDescent="0.75">
      <c r="A8161" t="s">
        <v>11342</v>
      </c>
      <c r="B8161" t="s">
        <v>11343</v>
      </c>
      <c r="C8161" t="s">
        <v>6471</v>
      </c>
      <c r="D8161" t="s">
        <v>11344</v>
      </c>
      <c r="E8161" t="s">
        <v>11345</v>
      </c>
      <c r="F8161">
        <v>49</v>
      </c>
      <c r="G8161">
        <v>2161277</v>
      </c>
      <c r="H8161" t="s">
        <v>11346</v>
      </c>
      <c r="J8161" s="54" t="s">
        <v>6052</v>
      </c>
      <c r="K8161" s="54">
        <v>0</v>
      </c>
      <c r="L8161" s="22" t="s">
        <v>104</v>
      </c>
      <c r="M8161" s="22" t="s">
        <v>37363</v>
      </c>
    </row>
    <row r="8162" spans="1:13" x14ac:dyDescent="0.75">
      <c r="A8162" t="s">
        <v>28800</v>
      </c>
      <c r="B8162" t="s">
        <v>11343</v>
      </c>
      <c r="C8162" t="s">
        <v>6471</v>
      </c>
      <c r="D8162" t="s">
        <v>11344</v>
      </c>
      <c r="E8162" t="s">
        <v>28801</v>
      </c>
      <c r="F8162">
        <v>134</v>
      </c>
      <c r="G8162">
        <v>1829495</v>
      </c>
      <c r="H8162" t="s">
        <v>28802</v>
      </c>
      <c r="J8162" s="54" t="s">
        <v>6052</v>
      </c>
      <c r="K8162" s="54">
        <v>0</v>
      </c>
      <c r="L8162" s="22" t="s">
        <v>104</v>
      </c>
      <c r="M8162" s="22" t="s">
        <v>37363</v>
      </c>
    </row>
    <row r="8163" spans="1:13" x14ac:dyDescent="0.75">
      <c r="A8163" t="s">
        <v>28502</v>
      </c>
      <c r="B8163" t="s">
        <v>11343</v>
      </c>
      <c r="C8163" t="s">
        <v>6471</v>
      </c>
      <c r="D8163" t="s">
        <v>11344</v>
      </c>
      <c r="E8163" t="s">
        <v>28503</v>
      </c>
      <c r="F8163">
        <v>15</v>
      </c>
      <c r="G8163">
        <v>1971073</v>
      </c>
      <c r="H8163" t="s">
        <v>28504</v>
      </c>
      <c r="J8163" s="54" t="s">
        <v>6052</v>
      </c>
      <c r="K8163" s="54">
        <v>0</v>
      </c>
      <c r="L8163" s="22" t="s">
        <v>104</v>
      </c>
      <c r="M8163" s="22" t="s">
        <v>37363</v>
      </c>
    </row>
    <row r="8164" spans="1:13" x14ac:dyDescent="0.75">
      <c r="A8164" t="s">
        <v>16714</v>
      </c>
      <c r="B8164" t="s">
        <v>11343</v>
      </c>
      <c r="C8164" t="s">
        <v>6471</v>
      </c>
      <c r="D8164" t="s">
        <v>11344</v>
      </c>
      <c r="E8164" t="s">
        <v>16715</v>
      </c>
      <c r="F8164">
        <v>134</v>
      </c>
      <c r="G8164">
        <v>2098634</v>
      </c>
      <c r="H8164" t="s">
        <v>16716</v>
      </c>
      <c r="J8164" s="54" t="s">
        <v>6052</v>
      </c>
      <c r="K8164" s="54">
        <v>0</v>
      </c>
      <c r="L8164" s="22" t="s">
        <v>104</v>
      </c>
      <c r="M8164" s="22" t="s">
        <v>37363</v>
      </c>
    </row>
    <row r="8165" spans="1:13" x14ac:dyDescent="0.75">
      <c r="A8165" t="s">
        <v>16717</v>
      </c>
      <c r="B8165" t="s">
        <v>11343</v>
      </c>
      <c r="C8165" t="s">
        <v>6471</v>
      </c>
      <c r="D8165" t="s">
        <v>11344</v>
      </c>
      <c r="E8165" t="s">
        <v>16718</v>
      </c>
      <c r="F8165">
        <v>131</v>
      </c>
      <c r="G8165">
        <v>2151918</v>
      </c>
      <c r="H8165" t="s">
        <v>16719</v>
      </c>
      <c r="J8165" s="54" t="s">
        <v>6052</v>
      </c>
      <c r="K8165" s="54">
        <v>0</v>
      </c>
      <c r="L8165" s="22" t="s">
        <v>104</v>
      </c>
      <c r="M8165" s="22" t="s">
        <v>37363</v>
      </c>
    </row>
    <row r="8166" spans="1:13" x14ac:dyDescent="0.75">
      <c r="A8166" t="s">
        <v>29692</v>
      </c>
      <c r="B8166" t="s">
        <v>11343</v>
      </c>
      <c r="C8166" t="s">
        <v>6471</v>
      </c>
      <c r="D8166" t="s">
        <v>11344</v>
      </c>
      <c r="E8166" t="s">
        <v>29693</v>
      </c>
      <c r="F8166">
        <v>30</v>
      </c>
      <c r="G8166">
        <v>2058485</v>
      </c>
      <c r="H8166" t="s">
        <v>29694</v>
      </c>
      <c r="J8166" s="54" t="s">
        <v>6052</v>
      </c>
      <c r="K8166" s="54">
        <v>0</v>
      </c>
      <c r="L8166" s="22" t="s">
        <v>104</v>
      </c>
      <c r="M8166" s="22" t="s">
        <v>37363</v>
      </c>
    </row>
    <row r="8167" spans="1:13" x14ac:dyDescent="0.75">
      <c r="A8167" t="s">
        <v>27842</v>
      </c>
      <c r="B8167" t="s">
        <v>11343</v>
      </c>
      <c r="C8167" t="s">
        <v>6471</v>
      </c>
      <c r="D8167" t="s">
        <v>11344</v>
      </c>
      <c r="E8167" t="s">
        <v>27843</v>
      </c>
      <c r="F8167">
        <v>15</v>
      </c>
      <c r="G8167">
        <v>1971073</v>
      </c>
      <c r="H8167" t="s">
        <v>27844</v>
      </c>
      <c r="J8167" s="54" t="s">
        <v>6052</v>
      </c>
      <c r="K8167" s="54">
        <v>0</v>
      </c>
      <c r="L8167" s="22" t="s">
        <v>104</v>
      </c>
      <c r="M8167" s="22" t="s">
        <v>37363</v>
      </c>
    </row>
    <row r="8168" spans="1:13" x14ac:dyDescent="0.75">
      <c r="A8168" t="s">
        <v>14662</v>
      </c>
      <c r="B8168" t="s">
        <v>11343</v>
      </c>
      <c r="C8168" t="s">
        <v>6471</v>
      </c>
      <c r="D8168" t="s">
        <v>11344</v>
      </c>
      <c r="E8168" t="s">
        <v>14663</v>
      </c>
      <c r="F8168">
        <v>14</v>
      </c>
      <c r="G8168">
        <v>2041114</v>
      </c>
      <c r="H8168" t="s">
        <v>14664</v>
      </c>
      <c r="J8168" s="54" t="s">
        <v>6052</v>
      </c>
      <c r="K8168" s="54">
        <v>0</v>
      </c>
      <c r="L8168" s="22" t="s">
        <v>104</v>
      </c>
      <c r="M8168" s="22" t="s">
        <v>37363</v>
      </c>
    </row>
    <row r="8169" spans="1:13" x14ac:dyDescent="0.75">
      <c r="A8169" t="s">
        <v>1968</v>
      </c>
      <c r="B8169" t="s">
        <v>1969</v>
      </c>
      <c r="C8169" t="s">
        <v>14712</v>
      </c>
      <c r="D8169" t="s">
        <v>6451</v>
      </c>
      <c r="E8169" t="s">
        <v>14713</v>
      </c>
      <c r="F8169">
        <v>1</v>
      </c>
      <c r="G8169">
        <v>5242681</v>
      </c>
      <c r="H8169" t="s">
        <v>14714</v>
      </c>
      <c r="J8169" s="54" t="s">
        <v>6052</v>
      </c>
      <c r="K8169" s="54">
        <v>0</v>
      </c>
      <c r="L8169" s="22" t="s">
        <v>34</v>
      </c>
      <c r="M8169" s="22" t="s">
        <v>1970</v>
      </c>
    </row>
    <row r="8170" spans="1:13" x14ac:dyDescent="0.75">
      <c r="A8170" t="s">
        <v>23761</v>
      </c>
      <c r="B8170" t="s">
        <v>10112</v>
      </c>
      <c r="C8170" t="s">
        <v>10113</v>
      </c>
      <c r="D8170" t="s">
        <v>10114</v>
      </c>
      <c r="E8170">
        <v>20</v>
      </c>
      <c r="F8170">
        <v>4</v>
      </c>
      <c r="G8170">
        <v>4804290</v>
      </c>
      <c r="H8170" t="s">
        <v>23762</v>
      </c>
      <c r="J8170" s="54" t="s">
        <v>6052</v>
      </c>
      <c r="K8170" s="54">
        <v>0</v>
      </c>
      <c r="L8170" s="22" t="s">
        <v>36804</v>
      </c>
      <c r="M8170" s="22" t="s">
        <v>37364</v>
      </c>
    </row>
    <row r="8171" spans="1:13" x14ac:dyDescent="0.75">
      <c r="A8171" t="s">
        <v>10759</v>
      </c>
      <c r="B8171" t="s">
        <v>10112</v>
      </c>
      <c r="C8171" t="s">
        <v>10113</v>
      </c>
      <c r="D8171" t="s">
        <v>10114</v>
      </c>
      <c r="E8171" t="s">
        <v>10760</v>
      </c>
      <c r="F8171">
        <v>4</v>
      </c>
      <c r="G8171">
        <v>4674610</v>
      </c>
      <c r="H8171" t="s">
        <v>10761</v>
      </c>
      <c r="J8171" s="54" t="s">
        <v>6052</v>
      </c>
      <c r="K8171" s="54">
        <v>0</v>
      </c>
      <c r="L8171" s="22" t="s">
        <v>36804</v>
      </c>
      <c r="M8171" s="22" t="s">
        <v>37364</v>
      </c>
    </row>
    <row r="8172" spans="1:13" x14ac:dyDescent="0.75">
      <c r="A8172" t="s">
        <v>19714</v>
      </c>
      <c r="B8172" t="s">
        <v>10112</v>
      </c>
      <c r="C8172" t="s">
        <v>10113</v>
      </c>
      <c r="D8172" t="s">
        <v>10114</v>
      </c>
      <c r="E8172" t="s">
        <v>19715</v>
      </c>
      <c r="F8172">
        <v>1</v>
      </c>
      <c r="G8172">
        <v>4604910</v>
      </c>
      <c r="H8172" t="s">
        <v>19716</v>
      </c>
      <c r="J8172" s="54" t="s">
        <v>6052</v>
      </c>
      <c r="K8172" s="54">
        <v>0</v>
      </c>
      <c r="L8172" s="22" t="s">
        <v>36804</v>
      </c>
      <c r="M8172" s="22" t="s">
        <v>37364</v>
      </c>
    </row>
    <row r="8173" spans="1:13" x14ac:dyDescent="0.75">
      <c r="A8173" t="s">
        <v>23875</v>
      </c>
      <c r="B8173" t="s">
        <v>10112</v>
      </c>
      <c r="C8173" t="s">
        <v>10113</v>
      </c>
      <c r="D8173" t="s">
        <v>10114</v>
      </c>
      <c r="E8173" t="s">
        <v>23876</v>
      </c>
      <c r="F8173">
        <v>4</v>
      </c>
      <c r="G8173">
        <v>4792816</v>
      </c>
      <c r="H8173" t="s">
        <v>23877</v>
      </c>
      <c r="J8173" s="54" t="s">
        <v>6052</v>
      </c>
      <c r="K8173" s="54">
        <v>0</v>
      </c>
      <c r="L8173" s="22" t="s">
        <v>36804</v>
      </c>
      <c r="M8173" s="22" t="s">
        <v>37364</v>
      </c>
    </row>
    <row r="8174" spans="1:13" x14ac:dyDescent="0.75">
      <c r="A8174" t="s">
        <v>16032</v>
      </c>
      <c r="B8174" t="s">
        <v>10112</v>
      </c>
      <c r="C8174" t="s">
        <v>10113</v>
      </c>
      <c r="D8174" t="s">
        <v>10114</v>
      </c>
      <c r="E8174" t="s">
        <v>16033</v>
      </c>
      <c r="F8174">
        <v>2</v>
      </c>
      <c r="G8174">
        <v>4832460</v>
      </c>
      <c r="H8174" t="s">
        <v>16034</v>
      </c>
      <c r="J8174" s="54" t="s">
        <v>6052</v>
      </c>
      <c r="K8174" s="54">
        <v>0</v>
      </c>
      <c r="L8174" s="22" t="s">
        <v>36804</v>
      </c>
      <c r="M8174" s="22" t="s">
        <v>37364</v>
      </c>
    </row>
    <row r="8175" spans="1:13" x14ac:dyDescent="0.75">
      <c r="A8175" t="s">
        <v>10111</v>
      </c>
      <c r="B8175" t="s">
        <v>10112</v>
      </c>
      <c r="C8175" t="s">
        <v>10113</v>
      </c>
      <c r="D8175" t="s">
        <v>10114</v>
      </c>
      <c r="E8175" t="s">
        <v>10115</v>
      </c>
      <c r="F8175">
        <v>142</v>
      </c>
      <c r="G8175">
        <v>4506724</v>
      </c>
      <c r="H8175" t="s">
        <v>10116</v>
      </c>
      <c r="J8175" s="54" t="s">
        <v>6052</v>
      </c>
      <c r="K8175" s="54">
        <v>0</v>
      </c>
      <c r="L8175" s="22" t="s">
        <v>36804</v>
      </c>
      <c r="M8175" s="22" t="s">
        <v>37364</v>
      </c>
    </row>
    <row r="8176" spans="1:13" x14ac:dyDescent="0.75">
      <c r="A8176" t="s">
        <v>27977</v>
      </c>
      <c r="B8176" t="s">
        <v>10112</v>
      </c>
      <c r="C8176" t="s">
        <v>10113</v>
      </c>
      <c r="D8176" t="s">
        <v>10114</v>
      </c>
      <c r="E8176" t="s">
        <v>27978</v>
      </c>
      <c r="F8176">
        <v>1</v>
      </c>
      <c r="G8176">
        <v>4610200</v>
      </c>
      <c r="H8176" t="s">
        <v>27979</v>
      </c>
      <c r="J8176" s="54" t="s">
        <v>6052</v>
      </c>
      <c r="K8176" s="54">
        <v>0</v>
      </c>
      <c r="L8176" s="22" t="s">
        <v>36804</v>
      </c>
      <c r="M8176" s="22" t="s">
        <v>37364</v>
      </c>
    </row>
    <row r="8177" spans="1:13" x14ac:dyDescent="0.75">
      <c r="A8177" t="s">
        <v>27638</v>
      </c>
      <c r="B8177" t="s">
        <v>10112</v>
      </c>
      <c r="C8177" t="s">
        <v>10113</v>
      </c>
      <c r="D8177" t="s">
        <v>10114</v>
      </c>
      <c r="E8177" t="s">
        <v>27639</v>
      </c>
      <c r="F8177">
        <v>12</v>
      </c>
      <c r="G8177">
        <v>4777134</v>
      </c>
      <c r="H8177" t="s">
        <v>27640</v>
      </c>
      <c r="J8177" s="54" t="s">
        <v>6052</v>
      </c>
      <c r="K8177" s="54">
        <v>0</v>
      </c>
      <c r="L8177" s="22" t="s">
        <v>36804</v>
      </c>
      <c r="M8177" s="22" t="s">
        <v>37364</v>
      </c>
    </row>
    <row r="8178" spans="1:13" x14ac:dyDescent="0.75">
      <c r="A8178" t="s">
        <v>27912</v>
      </c>
      <c r="B8178" t="s">
        <v>10112</v>
      </c>
      <c r="C8178" t="s">
        <v>10113</v>
      </c>
      <c r="D8178" t="s">
        <v>10114</v>
      </c>
      <c r="E8178" t="s">
        <v>27913</v>
      </c>
      <c r="F8178">
        <v>1</v>
      </c>
      <c r="G8178">
        <v>4678752</v>
      </c>
      <c r="H8178" t="s">
        <v>27914</v>
      </c>
      <c r="J8178" s="54" t="s">
        <v>6052</v>
      </c>
      <c r="K8178" s="54">
        <v>0</v>
      </c>
      <c r="L8178" s="22" t="s">
        <v>36804</v>
      </c>
      <c r="M8178" s="22" t="s">
        <v>37364</v>
      </c>
    </row>
    <row r="8179" spans="1:13" x14ac:dyDescent="0.75">
      <c r="A8179" t="s">
        <v>17512</v>
      </c>
      <c r="B8179" t="s">
        <v>10112</v>
      </c>
      <c r="C8179" t="s">
        <v>10113</v>
      </c>
      <c r="D8179" t="s">
        <v>10114</v>
      </c>
      <c r="E8179" t="s">
        <v>17513</v>
      </c>
      <c r="F8179">
        <v>5</v>
      </c>
      <c r="G8179">
        <v>4783760</v>
      </c>
      <c r="H8179" t="s">
        <v>17514</v>
      </c>
      <c r="J8179" s="54" t="s">
        <v>6052</v>
      </c>
      <c r="K8179" s="54">
        <v>0</v>
      </c>
      <c r="L8179" s="22" t="s">
        <v>36804</v>
      </c>
      <c r="M8179" s="22" t="s">
        <v>37364</v>
      </c>
    </row>
  </sheetData>
  <autoFilter ref="A2:M8179" xr:uid="{4AFAEDA8-8ECD-4827-808C-8A263A4E62B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0E6B-5D71-4DC7-8046-C7EF8B506A37}">
  <sheetPr>
    <tabColor theme="8" tint="0.79998168889431442"/>
  </sheetPr>
  <dimension ref="A1:U838"/>
  <sheetViews>
    <sheetView workbookViewId="0"/>
  </sheetViews>
  <sheetFormatPr defaultRowHeight="14.75" x14ac:dyDescent="0.75"/>
  <cols>
    <col min="12" max="12" width="17.36328125" customWidth="1"/>
    <col min="20" max="20" width="40.6796875" style="22" bestFit="1" customWidth="1"/>
    <col min="21" max="21" width="17.76953125" style="22" bestFit="1" customWidth="1"/>
  </cols>
  <sheetData>
    <row r="1" spans="1:21" s="9" customFormat="1" x14ac:dyDescent="0.75">
      <c r="A1" s="9" t="s">
        <v>36803</v>
      </c>
      <c r="T1" s="51" t="s">
        <v>37701</v>
      </c>
      <c r="U1" s="51" t="s">
        <v>37701</v>
      </c>
    </row>
    <row r="2" spans="1:21" s="9" customFormat="1" x14ac:dyDescent="0.75">
      <c r="A2" s="9" t="s">
        <v>6071</v>
      </c>
      <c r="B2" s="9" t="s">
        <v>36802</v>
      </c>
      <c r="C2" s="9" t="s">
        <v>36801</v>
      </c>
      <c r="D2" s="9" t="s">
        <v>36800</v>
      </c>
      <c r="E2" s="9" t="s">
        <v>36799</v>
      </c>
      <c r="F2" s="9" t="s">
        <v>36798</v>
      </c>
      <c r="G2" s="9" t="s">
        <v>6072</v>
      </c>
      <c r="H2" s="9" t="s">
        <v>6073</v>
      </c>
      <c r="I2" s="9" t="s">
        <v>36797</v>
      </c>
      <c r="J2" s="9" t="s">
        <v>36796</v>
      </c>
      <c r="K2" s="9" t="s">
        <v>36795</v>
      </c>
      <c r="L2" s="9" t="s">
        <v>36794</v>
      </c>
      <c r="M2" s="9" t="s">
        <v>36793</v>
      </c>
      <c r="N2" s="9" t="s">
        <v>36792</v>
      </c>
      <c r="O2" s="9" t="s">
        <v>36791</v>
      </c>
      <c r="P2" s="9" t="s">
        <v>36790</v>
      </c>
      <c r="Q2" s="9" t="s">
        <v>36789</v>
      </c>
      <c r="R2" s="9" t="s">
        <v>36788</v>
      </c>
      <c r="T2" s="52" t="s">
        <v>37700</v>
      </c>
      <c r="U2" s="52" t="s">
        <v>37699</v>
      </c>
    </row>
    <row r="3" spans="1:21" x14ac:dyDescent="0.75">
      <c r="A3" t="s">
        <v>6873</v>
      </c>
      <c r="B3" t="s">
        <v>33572</v>
      </c>
      <c r="C3" t="s">
        <v>33606</v>
      </c>
      <c r="D3" t="s">
        <v>33913</v>
      </c>
      <c r="E3" t="s">
        <v>33912</v>
      </c>
      <c r="F3" t="s">
        <v>36645</v>
      </c>
      <c r="G3" t="s">
        <v>6874</v>
      </c>
      <c r="H3" t="s">
        <v>6875</v>
      </c>
      <c r="J3" t="s">
        <v>33567</v>
      </c>
      <c r="K3" t="s">
        <v>33566</v>
      </c>
      <c r="L3" t="s">
        <v>33616</v>
      </c>
      <c r="M3" t="s">
        <v>6876</v>
      </c>
      <c r="N3" t="s">
        <v>36787</v>
      </c>
      <c r="O3" t="s">
        <v>36786</v>
      </c>
      <c r="P3">
        <v>46125</v>
      </c>
      <c r="Q3" t="s">
        <v>36785</v>
      </c>
      <c r="R3" t="s">
        <v>36784</v>
      </c>
      <c r="T3" s="22" t="s">
        <v>36837</v>
      </c>
      <c r="U3" s="22" t="s">
        <v>104</v>
      </c>
    </row>
    <row r="4" spans="1:21" x14ac:dyDescent="0.75">
      <c r="A4" t="s">
        <v>13012</v>
      </c>
      <c r="B4" t="s">
        <v>33572</v>
      </c>
      <c r="C4" t="s">
        <v>33606</v>
      </c>
      <c r="D4" t="s">
        <v>33913</v>
      </c>
      <c r="E4" t="s">
        <v>33912</v>
      </c>
      <c r="F4" t="s">
        <v>36645</v>
      </c>
      <c r="G4" t="s">
        <v>6874</v>
      </c>
      <c r="H4" t="s">
        <v>13013</v>
      </c>
      <c r="J4" t="s">
        <v>33617</v>
      </c>
      <c r="K4" t="s">
        <v>33566</v>
      </c>
      <c r="L4" t="s">
        <v>33575</v>
      </c>
      <c r="P4">
        <v>0</v>
      </c>
      <c r="Q4" t="s">
        <v>36783</v>
      </c>
      <c r="R4" t="s">
        <v>36782</v>
      </c>
      <c r="T4" s="22" t="s">
        <v>37383</v>
      </c>
      <c r="U4" s="22" t="s">
        <v>104</v>
      </c>
    </row>
    <row r="5" spans="1:21" x14ac:dyDescent="0.75">
      <c r="A5" t="s">
        <v>15211</v>
      </c>
      <c r="B5" t="s">
        <v>33572</v>
      </c>
      <c r="C5" t="s">
        <v>34416</v>
      </c>
      <c r="D5" t="s">
        <v>34832</v>
      </c>
      <c r="E5" t="s">
        <v>36773</v>
      </c>
      <c r="F5" t="s">
        <v>36772</v>
      </c>
      <c r="G5" t="s">
        <v>15212</v>
      </c>
      <c r="H5" t="s">
        <v>15213</v>
      </c>
      <c r="J5" t="s">
        <v>33577</v>
      </c>
      <c r="K5" t="s">
        <v>33576</v>
      </c>
      <c r="L5" t="s">
        <v>33575</v>
      </c>
      <c r="N5" t="s">
        <v>36781</v>
      </c>
      <c r="O5" t="s">
        <v>36780</v>
      </c>
      <c r="P5">
        <v>713029</v>
      </c>
      <c r="Q5" t="s">
        <v>36779</v>
      </c>
      <c r="R5" t="s">
        <v>36778</v>
      </c>
      <c r="T5" s="22" t="s">
        <v>37384</v>
      </c>
      <c r="U5" s="22" t="s">
        <v>104</v>
      </c>
    </row>
    <row r="6" spans="1:21" x14ac:dyDescent="0.75">
      <c r="A6" t="s">
        <v>2731</v>
      </c>
      <c r="B6" t="s">
        <v>33572</v>
      </c>
      <c r="C6" t="s">
        <v>34416</v>
      </c>
      <c r="D6" t="s">
        <v>34832</v>
      </c>
      <c r="E6" t="s">
        <v>36773</v>
      </c>
      <c r="F6" t="s">
        <v>36772</v>
      </c>
      <c r="G6" t="s">
        <v>15212</v>
      </c>
      <c r="H6" t="s">
        <v>18641</v>
      </c>
      <c r="J6" t="s">
        <v>33577</v>
      </c>
      <c r="K6" t="s">
        <v>33576</v>
      </c>
      <c r="L6" t="s">
        <v>33575</v>
      </c>
      <c r="O6" t="s">
        <v>36771</v>
      </c>
      <c r="P6">
        <v>221235</v>
      </c>
      <c r="Q6" t="s">
        <v>36777</v>
      </c>
      <c r="R6" t="s">
        <v>36776</v>
      </c>
      <c r="T6" s="22" t="s">
        <v>37385</v>
      </c>
      <c r="U6" s="22" t="s">
        <v>104</v>
      </c>
    </row>
    <row r="7" spans="1:21" x14ac:dyDescent="0.75">
      <c r="A7" t="s">
        <v>18606</v>
      </c>
      <c r="B7" t="s">
        <v>33572</v>
      </c>
      <c r="C7" t="s">
        <v>34416</v>
      </c>
      <c r="D7" t="s">
        <v>34832</v>
      </c>
      <c r="E7" t="s">
        <v>36773</v>
      </c>
      <c r="F7" t="s">
        <v>36772</v>
      </c>
      <c r="G7" t="s">
        <v>15212</v>
      </c>
      <c r="H7" t="s">
        <v>18607</v>
      </c>
      <c r="J7" t="s">
        <v>33577</v>
      </c>
      <c r="K7" t="s">
        <v>33576</v>
      </c>
      <c r="L7" t="s">
        <v>33575</v>
      </c>
      <c r="O7" t="s">
        <v>36771</v>
      </c>
      <c r="P7">
        <v>221235</v>
      </c>
      <c r="Q7" t="s">
        <v>36775</v>
      </c>
      <c r="R7" t="s">
        <v>36774</v>
      </c>
      <c r="T7" s="22" t="s">
        <v>37386</v>
      </c>
      <c r="U7" s="22" t="s">
        <v>104</v>
      </c>
    </row>
    <row r="8" spans="1:21" x14ac:dyDescent="0.75">
      <c r="A8" t="s">
        <v>10059</v>
      </c>
      <c r="B8" t="s">
        <v>33572</v>
      </c>
      <c r="C8" t="s">
        <v>34416</v>
      </c>
      <c r="D8" t="s">
        <v>34832</v>
      </c>
      <c r="E8" t="s">
        <v>36773</v>
      </c>
      <c r="F8" t="s">
        <v>36772</v>
      </c>
      <c r="G8" t="s">
        <v>10060</v>
      </c>
      <c r="H8" t="s">
        <v>10061</v>
      </c>
      <c r="J8" t="s">
        <v>33577</v>
      </c>
      <c r="K8" t="s">
        <v>33576</v>
      </c>
      <c r="L8" t="s">
        <v>34437</v>
      </c>
      <c r="O8" t="s">
        <v>36771</v>
      </c>
      <c r="P8">
        <v>221235</v>
      </c>
      <c r="Q8" t="s">
        <v>10058</v>
      </c>
      <c r="R8" t="s">
        <v>36770</v>
      </c>
      <c r="T8" s="22" t="s">
        <v>37387</v>
      </c>
      <c r="U8" s="22" t="s">
        <v>686</v>
      </c>
    </row>
    <row r="9" spans="1:21" x14ac:dyDescent="0.75">
      <c r="A9" t="s">
        <v>7098</v>
      </c>
      <c r="B9" t="s">
        <v>33572</v>
      </c>
      <c r="C9" t="s">
        <v>33571</v>
      </c>
      <c r="D9" t="s">
        <v>33654</v>
      </c>
      <c r="E9" t="s">
        <v>33653</v>
      </c>
      <c r="F9" t="s">
        <v>36355</v>
      </c>
      <c r="G9" t="s">
        <v>7099</v>
      </c>
      <c r="H9" t="s">
        <v>7100</v>
      </c>
      <c r="J9" t="s">
        <v>33567</v>
      </c>
      <c r="K9" t="s">
        <v>33566</v>
      </c>
      <c r="L9" t="s">
        <v>34582</v>
      </c>
      <c r="N9" t="s">
        <v>36769</v>
      </c>
      <c r="O9" t="s">
        <v>36768</v>
      </c>
      <c r="P9">
        <v>85698</v>
      </c>
      <c r="Q9" t="s">
        <v>36767</v>
      </c>
      <c r="R9" t="s">
        <v>36766</v>
      </c>
      <c r="T9" s="22" t="s">
        <v>36842</v>
      </c>
      <c r="U9" s="22" t="s">
        <v>144</v>
      </c>
    </row>
    <row r="10" spans="1:21" x14ac:dyDescent="0.75">
      <c r="A10" t="s">
        <v>6285</v>
      </c>
      <c r="B10" t="s">
        <v>33572</v>
      </c>
      <c r="C10" t="s">
        <v>33571</v>
      </c>
      <c r="D10" t="s">
        <v>33654</v>
      </c>
      <c r="E10" t="s">
        <v>33653</v>
      </c>
      <c r="F10" t="s">
        <v>33652</v>
      </c>
      <c r="G10" t="s">
        <v>6286</v>
      </c>
      <c r="H10" t="s">
        <v>6287</v>
      </c>
      <c r="J10" t="s">
        <v>34030</v>
      </c>
      <c r="K10" t="s">
        <v>33566</v>
      </c>
      <c r="L10" t="s">
        <v>33651</v>
      </c>
      <c r="O10" t="s">
        <v>36765</v>
      </c>
      <c r="P10">
        <v>721785</v>
      </c>
      <c r="Q10" t="s">
        <v>36764</v>
      </c>
      <c r="R10" t="s">
        <v>36763</v>
      </c>
      <c r="T10" s="22" t="s">
        <v>36843</v>
      </c>
      <c r="U10" s="22" t="s">
        <v>144</v>
      </c>
    </row>
    <row r="11" spans="1:21" x14ac:dyDescent="0.75">
      <c r="A11" t="s">
        <v>10780</v>
      </c>
      <c r="B11" t="s">
        <v>33572</v>
      </c>
      <c r="C11" t="s">
        <v>33571</v>
      </c>
      <c r="D11" t="s">
        <v>33654</v>
      </c>
      <c r="E11" t="s">
        <v>33653</v>
      </c>
      <c r="F11" t="s">
        <v>33652</v>
      </c>
      <c r="G11" t="s">
        <v>6286</v>
      </c>
      <c r="H11" t="s">
        <v>10781</v>
      </c>
      <c r="J11" t="s">
        <v>33567</v>
      </c>
      <c r="K11" t="s">
        <v>33566</v>
      </c>
      <c r="L11" t="s">
        <v>33651</v>
      </c>
      <c r="O11" t="s">
        <v>34181</v>
      </c>
      <c r="P11">
        <v>80878</v>
      </c>
      <c r="Q11" t="s">
        <v>36762</v>
      </c>
      <c r="R11" t="s">
        <v>36761</v>
      </c>
      <c r="T11" s="22" t="s">
        <v>36844</v>
      </c>
      <c r="U11" s="22" t="s">
        <v>144</v>
      </c>
    </row>
    <row r="12" spans="1:21" x14ac:dyDescent="0.75">
      <c r="A12" t="s">
        <v>6976</v>
      </c>
      <c r="B12" t="s">
        <v>33572</v>
      </c>
      <c r="C12" t="s">
        <v>33571</v>
      </c>
      <c r="D12" t="s">
        <v>33570</v>
      </c>
      <c r="E12" t="s">
        <v>33907</v>
      </c>
      <c r="F12" t="s">
        <v>35146</v>
      </c>
      <c r="G12" t="s">
        <v>6977</v>
      </c>
      <c r="H12" t="s">
        <v>6978</v>
      </c>
      <c r="J12" t="s">
        <v>33567</v>
      </c>
      <c r="K12" t="s">
        <v>33566</v>
      </c>
      <c r="L12" t="s">
        <v>34083</v>
      </c>
      <c r="N12" t="s">
        <v>36760</v>
      </c>
      <c r="O12" t="s">
        <v>36759</v>
      </c>
      <c r="P12">
        <v>470</v>
      </c>
      <c r="Q12" t="s">
        <v>36758</v>
      </c>
      <c r="R12" t="s">
        <v>36757</v>
      </c>
      <c r="T12" s="22" t="s">
        <v>36848</v>
      </c>
      <c r="U12" s="22" t="s">
        <v>963</v>
      </c>
    </row>
    <row r="13" spans="1:21" x14ac:dyDescent="0.75">
      <c r="A13" t="s">
        <v>9303</v>
      </c>
      <c r="B13" t="s">
        <v>33572</v>
      </c>
      <c r="C13" t="s">
        <v>33571</v>
      </c>
      <c r="D13" t="s">
        <v>33570</v>
      </c>
      <c r="E13" t="s">
        <v>33907</v>
      </c>
      <c r="F13" t="s">
        <v>35146</v>
      </c>
      <c r="G13" t="s">
        <v>6977</v>
      </c>
      <c r="H13" t="s">
        <v>6131</v>
      </c>
      <c r="J13" t="s">
        <v>33567</v>
      </c>
      <c r="K13" t="s">
        <v>33566</v>
      </c>
      <c r="L13" t="s">
        <v>33651</v>
      </c>
      <c r="O13" t="s">
        <v>35144</v>
      </c>
      <c r="P13">
        <v>40214</v>
      </c>
      <c r="Q13" t="s">
        <v>36756</v>
      </c>
      <c r="R13" t="s">
        <v>36755</v>
      </c>
      <c r="T13" s="22" t="s">
        <v>36847</v>
      </c>
      <c r="U13" s="22" t="s">
        <v>144</v>
      </c>
    </row>
    <row r="14" spans="1:21" x14ac:dyDescent="0.75">
      <c r="A14" t="s">
        <v>9307</v>
      </c>
      <c r="B14" t="s">
        <v>33572</v>
      </c>
      <c r="C14" t="s">
        <v>33571</v>
      </c>
      <c r="D14" t="s">
        <v>33570</v>
      </c>
      <c r="E14" t="s">
        <v>33907</v>
      </c>
      <c r="F14" t="s">
        <v>35146</v>
      </c>
      <c r="G14" t="s">
        <v>6977</v>
      </c>
      <c r="H14" t="s">
        <v>9308</v>
      </c>
      <c r="J14" t="s">
        <v>33567</v>
      </c>
      <c r="K14" t="s">
        <v>33566</v>
      </c>
      <c r="L14" t="s">
        <v>34547</v>
      </c>
      <c r="O14" t="s">
        <v>35144</v>
      </c>
      <c r="P14">
        <v>40215</v>
      </c>
      <c r="Q14" t="s">
        <v>36754</v>
      </c>
      <c r="R14" t="s">
        <v>36753</v>
      </c>
      <c r="T14" s="22" t="s">
        <v>36846</v>
      </c>
      <c r="U14" s="22" t="s">
        <v>144</v>
      </c>
    </row>
    <row r="15" spans="1:21" x14ac:dyDescent="0.75">
      <c r="A15" t="s">
        <v>8467</v>
      </c>
      <c r="B15" t="s">
        <v>33572</v>
      </c>
      <c r="C15" t="s">
        <v>33571</v>
      </c>
      <c r="D15" t="s">
        <v>33570</v>
      </c>
      <c r="E15" t="s">
        <v>33907</v>
      </c>
      <c r="F15" t="s">
        <v>35146</v>
      </c>
      <c r="G15" t="s">
        <v>6977</v>
      </c>
      <c r="H15" t="s">
        <v>8468</v>
      </c>
      <c r="J15" t="s">
        <v>33567</v>
      </c>
      <c r="K15" t="s">
        <v>33566</v>
      </c>
      <c r="L15" t="s">
        <v>34547</v>
      </c>
      <c r="O15" t="s">
        <v>35144</v>
      </c>
      <c r="P15">
        <v>28090</v>
      </c>
      <c r="Q15" t="s">
        <v>36752</v>
      </c>
      <c r="R15" t="s">
        <v>36751</v>
      </c>
      <c r="T15" s="22" t="s">
        <v>36845</v>
      </c>
      <c r="U15" s="22" t="s">
        <v>144</v>
      </c>
    </row>
    <row r="16" spans="1:21" x14ac:dyDescent="0.75">
      <c r="A16" t="s">
        <v>8761</v>
      </c>
      <c r="B16" t="s">
        <v>33572</v>
      </c>
      <c r="C16" t="s">
        <v>33571</v>
      </c>
      <c r="D16" t="s">
        <v>33570</v>
      </c>
      <c r="E16" t="s">
        <v>33907</v>
      </c>
      <c r="F16" t="s">
        <v>35146</v>
      </c>
      <c r="G16" t="s">
        <v>6977</v>
      </c>
      <c r="H16" t="s">
        <v>8762</v>
      </c>
      <c r="J16" t="s">
        <v>33567</v>
      </c>
      <c r="K16" t="s">
        <v>33566</v>
      </c>
      <c r="L16" t="s">
        <v>33651</v>
      </c>
      <c r="O16" t="s">
        <v>35144</v>
      </c>
      <c r="P16">
        <v>40216</v>
      </c>
      <c r="Q16" t="s">
        <v>36750</v>
      </c>
      <c r="R16" t="s">
        <v>36749</v>
      </c>
      <c r="T16" s="22" t="s">
        <v>36849</v>
      </c>
      <c r="U16" s="22" t="s">
        <v>144</v>
      </c>
    </row>
    <row r="17" spans="1:21" x14ac:dyDescent="0.75">
      <c r="A17" t="s">
        <v>36748</v>
      </c>
      <c r="B17" t="s">
        <v>33572</v>
      </c>
      <c r="C17" t="s">
        <v>33571</v>
      </c>
      <c r="D17" t="s">
        <v>33570</v>
      </c>
      <c r="E17" t="s">
        <v>33907</v>
      </c>
      <c r="F17" t="s">
        <v>35146</v>
      </c>
      <c r="G17" t="s">
        <v>6977</v>
      </c>
      <c r="H17" t="s">
        <v>36747</v>
      </c>
      <c r="J17" t="s">
        <v>33577</v>
      </c>
      <c r="K17" t="s">
        <v>33576</v>
      </c>
      <c r="L17" t="s">
        <v>33659</v>
      </c>
      <c r="N17" t="s">
        <v>36746</v>
      </c>
      <c r="O17" t="s">
        <v>36745</v>
      </c>
      <c r="P17">
        <v>712104</v>
      </c>
      <c r="T17" s="22" t="s">
        <v>37388</v>
      </c>
      <c r="U17" s="22" t="s">
        <v>1563</v>
      </c>
    </row>
    <row r="18" spans="1:21" x14ac:dyDescent="0.75">
      <c r="A18" t="s">
        <v>9585</v>
      </c>
      <c r="B18" t="s">
        <v>33572</v>
      </c>
      <c r="C18" t="s">
        <v>34169</v>
      </c>
      <c r="D18" t="s">
        <v>34355</v>
      </c>
      <c r="E18" t="s">
        <v>34354</v>
      </c>
      <c r="F18" t="s">
        <v>34353</v>
      </c>
      <c r="G18" t="s">
        <v>7190</v>
      </c>
      <c r="H18" t="s">
        <v>7846</v>
      </c>
      <c r="J18" t="s">
        <v>33567</v>
      </c>
      <c r="K18" t="s">
        <v>33566</v>
      </c>
      <c r="L18" t="s">
        <v>33616</v>
      </c>
      <c r="M18" t="s">
        <v>36744</v>
      </c>
      <c r="N18" t="s">
        <v>36743</v>
      </c>
      <c r="O18" t="s">
        <v>34368</v>
      </c>
      <c r="P18">
        <v>272548</v>
      </c>
      <c r="Q18" t="s">
        <v>36742</v>
      </c>
      <c r="R18" t="s">
        <v>36741</v>
      </c>
      <c r="T18" s="22" t="s">
        <v>36858</v>
      </c>
      <c r="U18" s="22" t="s">
        <v>104</v>
      </c>
    </row>
    <row r="19" spans="1:21" x14ac:dyDescent="0.75">
      <c r="A19" t="s">
        <v>9592</v>
      </c>
      <c r="B19" t="s">
        <v>33572</v>
      </c>
      <c r="C19" t="s">
        <v>34169</v>
      </c>
      <c r="D19" t="s">
        <v>34355</v>
      </c>
      <c r="E19" t="s">
        <v>34354</v>
      </c>
      <c r="F19" t="s">
        <v>34353</v>
      </c>
      <c r="G19" t="s">
        <v>7190</v>
      </c>
      <c r="H19" t="s">
        <v>9593</v>
      </c>
      <c r="J19" t="s">
        <v>33567</v>
      </c>
      <c r="K19" t="s">
        <v>33566</v>
      </c>
      <c r="L19" t="s">
        <v>33575</v>
      </c>
      <c r="N19" t="s">
        <v>36740</v>
      </c>
      <c r="O19" t="s">
        <v>36739</v>
      </c>
      <c r="P19">
        <v>52769</v>
      </c>
      <c r="Q19" t="s">
        <v>36738</v>
      </c>
      <c r="R19" t="s">
        <v>36737</v>
      </c>
      <c r="T19" s="22" t="s">
        <v>36859</v>
      </c>
      <c r="U19" s="22" t="s">
        <v>104</v>
      </c>
    </row>
    <row r="20" spans="1:21" x14ac:dyDescent="0.75">
      <c r="A20" t="s">
        <v>610</v>
      </c>
      <c r="B20" t="s">
        <v>33572</v>
      </c>
      <c r="C20" t="s">
        <v>34169</v>
      </c>
      <c r="D20" t="s">
        <v>34355</v>
      </c>
      <c r="E20" t="s">
        <v>34354</v>
      </c>
      <c r="F20" t="s">
        <v>34353</v>
      </c>
      <c r="G20" t="s">
        <v>7190</v>
      </c>
      <c r="H20" t="s">
        <v>8383</v>
      </c>
      <c r="J20" t="s">
        <v>33567</v>
      </c>
      <c r="K20" t="s">
        <v>33566</v>
      </c>
      <c r="L20" t="s">
        <v>33616</v>
      </c>
      <c r="M20" t="s">
        <v>36736</v>
      </c>
      <c r="N20" t="s">
        <v>36735</v>
      </c>
      <c r="O20" t="s">
        <v>36734</v>
      </c>
      <c r="P20">
        <v>55565</v>
      </c>
      <c r="Q20" t="s">
        <v>36733</v>
      </c>
      <c r="R20" t="s">
        <v>36732</v>
      </c>
      <c r="T20" s="22" t="s">
        <v>611</v>
      </c>
      <c r="U20" s="22" t="s">
        <v>104</v>
      </c>
    </row>
    <row r="21" spans="1:21" x14ac:dyDescent="0.75">
      <c r="A21" t="s">
        <v>10421</v>
      </c>
      <c r="B21" t="s">
        <v>33572</v>
      </c>
      <c r="C21" t="s">
        <v>34169</v>
      </c>
      <c r="D21" t="s">
        <v>34355</v>
      </c>
      <c r="E21" t="s">
        <v>34354</v>
      </c>
      <c r="F21" t="s">
        <v>34353</v>
      </c>
      <c r="G21" t="s">
        <v>7190</v>
      </c>
      <c r="H21" t="s">
        <v>10422</v>
      </c>
      <c r="J21" t="s">
        <v>33567</v>
      </c>
      <c r="K21" t="s">
        <v>33566</v>
      </c>
      <c r="L21" t="s">
        <v>33609</v>
      </c>
      <c r="N21" t="s">
        <v>36731</v>
      </c>
      <c r="O21" t="s">
        <v>36730</v>
      </c>
      <c r="P21">
        <v>1659</v>
      </c>
      <c r="Q21" t="s">
        <v>36729</v>
      </c>
      <c r="R21" t="s">
        <v>36728</v>
      </c>
      <c r="T21" s="22" t="s">
        <v>36853</v>
      </c>
      <c r="U21" s="22" t="s">
        <v>104</v>
      </c>
    </row>
    <row r="22" spans="1:21" x14ac:dyDescent="0.75">
      <c r="A22" t="s">
        <v>8387</v>
      </c>
      <c r="B22" t="s">
        <v>33572</v>
      </c>
      <c r="C22" t="s">
        <v>34169</v>
      </c>
      <c r="D22" t="s">
        <v>34355</v>
      </c>
      <c r="E22" t="s">
        <v>34354</v>
      </c>
      <c r="F22" t="s">
        <v>34353</v>
      </c>
      <c r="G22" t="s">
        <v>7190</v>
      </c>
      <c r="H22" t="s">
        <v>6131</v>
      </c>
      <c r="J22" t="s">
        <v>33567</v>
      </c>
      <c r="K22" t="s">
        <v>33566</v>
      </c>
      <c r="L22" t="s">
        <v>33575</v>
      </c>
      <c r="M22" t="s">
        <v>36727</v>
      </c>
      <c r="N22" t="s">
        <v>36726</v>
      </c>
      <c r="O22" t="s">
        <v>36725</v>
      </c>
      <c r="P22">
        <v>544581</v>
      </c>
      <c r="Q22" t="s">
        <v>36724</v>
      </c>
      <c r="R22" t="s">
        <v>36723</v>
      </c>
      <c r="T22" s="22" t="s">
        <v>36856</v>
      </c>
      <c r="U22" s="22" t="s">
        <v>104</v>
      </c>
    </row>
    <row r="23" spans="1:21" x14ac:dyDescent="0.75">
      <c r="A23" t="s">
        <v>8643</v>
      </c>
      <c r="B23" t="s">
        <v>33572</v>
      </c>
      <c r="C23" t="s">
        <v>34169</v>
      </c>
      <c r="D23" t="s">
        <v>34355</v>
      </c>
      <c r="E23" t="s">
        <v>34354</v>
      </c>
      <c r="F23" t="s">
        <v>34353</v>
      </c>
      <c r="G23" t="s">
        <v>7190</v>
      </c>
      <c r="H23" t="s">
        <v>8644</v>
      </c>
      <c r="J23" t="s">
        <v>33660</v>
      </c>
      <c r="K23" t="s">
        <v>33566</v>
      </c>
      <c r="L23" t="s">
        <v>33616</v>
      </c>
      <c r="M23" t="s">
        <v>36722</v>
      </c>
      <c r="N23" t="s">
        <v>36721</v>
      </c>
      <c r="O23" t="s">
        <v>36720</v>
      </c>
      <c r="P23">
        <v>461393</v>
      </c>
      <c r="Q23" t="s">
        <v>36719</v>
      </c>
      <c r="R23" t="s">
        <v>36718</v>
      </c>
      <c r="T23" s="22" t="s">
        <v>36850</v>
      </c>
      <c r="U23" s="22" t="s">
        <v>104</v>
      </c>
    </row>
    <row r="24" spans="1:21" x14ac:dyDescent="0.75">
      <c r="A24" t="s">
        <v>8744</v>
      </c>
      <c r="B24" t="s">
        <v>33572</v>
      </c>
      <c r="C24" t="s">
        <v>34169</v>
      </c>
      <c r="D24" t="s">
        <v>34355</v>
      </c>
      <c r="E24" t="s">
        <v>34354</v>
      </c>
      <c r="F24" t="s">
        <v>34353</v>
      </c>
      <c r="G24" t="s">
        <v>7190</v>
      </c>
      <c r="H24" t="s">
        <v>8745</v>
      </c>
      <c r="J24" t="s">
        <v>33567</v>
      </c>
      <c r="K24" t="s">
        <v>33566</v>
      </c>
      <c r="L24" t="s">
        <v>33616</v>
      </c>
      <c r="M24" t="s">
        <v>36717</v>
      </c>
      <c r="N24" t="s">
        <v>36716</v>
      </c>
      <c r="O24" t="s">
        <v>36715</v>
      </c>
      <c r="P24">
        <v>1655</v>
      </c>
      <c r="Q24" t="s">
        <v>36714</v>
      </c>
      <c r="R24" t="s">
        <v>36713</v>
      </c>
      <c r="T24" s="22" t="s">
        <v>36854</v>
      </c>
      <c r="U24" s="22" t="s">
        <v>104</v>
      </c>
    </row>
    <row r="25" spans="1:21" x14ac:dyDescent="0.75">
      <c r="A25" t="s">
        <v>16505</v>
      </c>
      <c r="B25" t="s">
        <v>33572</v>
      </c>
      <c r="C25" t="s">
        <v>34169</v>
      </c>
      <c r="D25" t="s">
        <v>34355</v>
      </c>
      <c r="E25" t="s">
        <v>34354</v>
      </c>
      <c r="F25" t="s">
        <v>34353</v>
      </c>
      <c r="G25" t="s">
        <v>7190</v>
      </c>
      <c r="H25" t="s">
        <v>16506</v>
      </c>
      <c r="J25" t="s">
        <v>33567</v>
      </c>
      <c r="K25" t="s">
        <v>33566</v>
      </c>
      <c r="L25" t="s">
        <v>33587</v>
      </c>
      <c r="N25" t="s">
        <v>36712</v>
      </c>
      <c r="O25" t="s">
        <v>34368</v>
      </c>
      <c r="P25">
        <v>206043</v>
      </c>
      <c r="Q25" t="s">
        <v>36711</v>
      </c>
      <c r="R25" t="s">
        <v>36710</v>
      </c>
      <c r="T25" s="22" t="s">
        <v>36862</v>
      </c>
      <c r="U25" s="22" t="s">
        <v>104</v>
      </c>
    </row>
    <row r="26" spans="1:21" x14ac:dyDescent="0.75">
      <c r="A26" t="s">
        <v>392</v>
      </c>
      <c r="B26" t="s">
        <v>33572</v>
      </c>
      <c r="C26" t="s">
        <v>34169</v>
      </c>
      <c r="D26" t="s">
        <v>34355</v>
      </c>
      <c r="E26" t="s">
        <v>34354</v>
      </c>
      <c r="F26" t="s">
        <v>34353</v>
      </c>
      <c r="G26" t="s">
        <v>7190</v>
      </c>
      <c r="H26" t="s">
        <v>6565</v>
      </c>
      <c r="I26" t="s">
        <v>36709</v>
      </c>
      <c r="J26" t="s">
        <v>33567</v>
      </c>
      <c r="K26" t="s">
        <v>33566</v>
      </c>
      <c r="L26" t="s">
        <v>33575</v>
      </c>
      <c r="P26">
        <v>0</v>
      </c>
      <c r="Q26" t="s">
        <v>36708</v>
      </c>
      <c r="R26" t="s">
        <v>36707</v>
      </c>
      <c r="T26" s="22" t="s">
        <v>393</v>
      </c>
      <c r="U26" s="22" t="s">
        <v>104</v>
      </c>
    </row>
    <row r="27" spans="1:21" x14ac:dyDescent="0.75">
      <c r="A27" t="s">
        <v>13178</v>
      </c>
      <c r="B27" t="s">
        <v>33572</v>
      </c>
      <c r="C27" t="s">
        <v>34169</v>
      </c>
      <c r="D27" t="s">
        <v>34355</v>
      </c>
      <c r="E27" t="s">
        <v>34354</v>
      </c>
      <c r="F27" t="s">
        <v>34353</v>
      </c>
      <c r="G27" t="s">
        <v>7190</v>
      </c>
      <c r="H27" t="s">
        <v>6565</v>
      </c>
      <c r="I27" t="s">
        <v>36706</v>
      </c>
      <c r="J27" t="s">
        <v>33567</v>
      </c>
      <c r="K27" t="s">
        <v>33566</v>
      </c>
      <c r="L27" t="s">
        <v>33575</v>
      </c>
      <c r="P27">
        <v>0</v>
      </c>
      <c r="Q27" t="s">
        <v>36705</v>
      </c>
      <c r="R27" t="s">
        <v>36704</v>
      </c>
      <c r="T27" s="22" t="s">
        <v>393</v>
      </c>
      <c r="U27" s="22" t="s">
        <v>104</v>
      </c>
    </row>
    <row r="28" spans="1:21" x14ac:dyDescent="0.75">
      <c r="A28" t="s">
        <v>12860</v>
      </c>
      <c r="B28" t="s">
        <v>33572</v>
      </c>
      <c r="C28" t="s">
        <v>34169</v>
      </c>
      <c r="D28" t="s">
        <v>34355</v>
      </c>
      <c r="E28" t="s">
        <v>34354</v>
      </c>
      <c r="F28" t="s">
        <v>34353</v>
      </c>
      <c r="G28" t="s">
        <v>7190</v>
      </c>
      <c r="H28" t="s">
        <v>6565</v>
      </c>
      <c r="I28" t="s">
        <v>36703</v>
      </c>
      <c r="J28" t="s">
        <v>33567</v>
      </c>
      <c r="K28" t="s">
        <v>33566</v>
      </c>
      <c r="L28" t="s">
        <v>33575</v>
      </c>
      <c r="P28">
        <v>0</v>
      </c>
      <c r="Q28" t="s">
        <v>36702</v>
      </c>
      <c r="R28" t="s">
        <v>36701</v>
      </c>
      <c r="T28" s="22" t="s">
        <v>393</v>
      </c>
      <c r="U28" s="22" t="s">
        <v>104</v>
      </c>
    </row>
    <row r="29" spans="1:21" x14ac:dyDescent="0.75">
      <c r="A29" t="s">
        <v>1674</v>
      </c>
      <c r="B29" t="s">
        <v>33572</v>
      </c>
      <c r="C29" t="s">
        <v>34169</v>
      </c>
      <c r="D29" t="s">
        <v>34355</v>
      </c>
      <c r="E29" t="s">
        <v>34354</v>
      </c>
      <c r="F29" t="s">
        <v>34353</v>
      </c>
      <c r="G29" t="s">
        <v>7190</v>
      </c>
      <c r="H29" t="s">
        <v>6565</v>
      </c>
      <c r="I29" t="s">
        <v>36700</v>
      </c>
      <c r="J29" t="s">
        <v>33567</v>
      </c>
      <c r="K29" t="s">
        <v>33566</v>
      </c>
      <c r="L29" t="s">
        <v>33616</v>
      </c>
      <c r="N29" t="s">
        <v>36699</v>
      </c>
      <c r="O29" t="s">
        <v>36698</v>
      </c>
      <c r="P29">
        <v>712116</v>
      </c>
      <c r="Q29" t="s">
        <v>36697</v>
      </c>
      <c r="R29" t="s">
        <v>35655</v>
      </c>
      <c r="T29" s="22" t="s">
        <v>393</v>
      </c>
      <c r="U29" s="22" t="s">
        <v>104</v>
      </c>
    </row>
    <row r="30" spans="1:21" x14ac:dyDescent="0.75">
      <c r="A30" t="s">
        <v>1687</v>
      </c>
      <c r="B30" t="s">
        <v>33572</v>
      </c>
      <c r="C30" t="s">
        <v>34169</v>
      </c>
      <c r="D30" t="s">
        <v>34355</v>
      </c>
      <c r="E30" t="s">
        <v>34354</v>
      </c>
      <c r="F30" t="s">
        <v>34353</v>
      </c>
      <c r="G30" t="s">
        <v>7190</v>
      </c>
      <c r="H30" t="s">
        <v>6565</v>
      </c>
      <c r="I30" t="s">
        <v>36696</v>
      </c>
      <c r="J30" t="s">
        <v>33567</v>
      </c>
      <c r="K30" t="s">
        <v>33566</v>
      </c>
      <c r="L30" t="s">
        <v>33616</v>
      </c>
      <c r="N30" t="s">
        <v>36695</v>
      </c>
      <c r="O30" t="s">
        <v>36694</v>
      </c>
      <c r="P30">
        <v>706438</v>
      </c>
      <c r="Q30" t="s">
        <v>36693</v>
      </c>
      <c r="R30" t="s">
        <v>36692</v>
      </c>
      <c r="T30" s="22" t="s">
        <v>393</v>
      </c>
      <c r="U30" s="22" t="s">
        <v>104</v>
      </c>
    </row>
    <row r="31" spans="1:21" x14ac:dyDescent="0.75">
      <c r="A31" t="s">
        <v>1888</v>
      </c>
      <c r="B31" t="s">
        <v>33572</v>
      </c>
      <c r="C31" t="s">
        <v>34169</v>
      </c>
      <c r="D31" t="s">
        <v>34355</v>
      </c>
      <c r="E31" t="s">
        <v>34354</v>
      </c>
      <c r="F31" t="s">
        <v>34353</v>
      </c>
      <c r="G31" t="s">
        <v>7190</v>
      </c>
      <c r="H31" t="s">
        <v>6565</v>
      </c>
      <c r="I31" t="s">
        <v>36691</v>
      </c>
      <c r="J31" t="s">
        <v>33567</v>
      </c>
      <c r="K31" t="s">
        <v>33566</v>
      </c>
      <c r="L31" t="s">
        <v>33616</v>
      </c>
      <c r="M31" t="s">
        <v>36690</v>
      </c>
      <c r="N31" t="s">
        <v>36689</v>
      </c>
      <c r="O31" t="s">
        <v>36688</v>
      </c>
      <c r="P31">
        <v>544580</v>
      </c>
      <c r="Q31" t="s">
        <v>36687</v>
      </c>
      <c r="R31" t="s">
        <v>36686</v>
      </c>
      <c r="T31" s="22" t="s">
        <v>393</v>
      </c>
      <c r="U31" s="22" t="s">
        <v>104</v>
      </c>
    </row>
    <row r="32" spans="1:21" x14ac:dyDescent="0.75">
      <c r="A32" t="s">
        <v>11911</v>
      </c>
      <c r="B32" t="s">
        <v>33572</v>
      </c>
      <c r="C32" t="s">
        <v>34169</v>
      </c>
      <c r="D32" t="s">
        <v>34355</v>
      </c>
      <c r="E32" t="s">
        <v>34354</v>
      </c>
      <c r="F32" t="s">
        <v>34353</v>
      </c>
      <c r="G32" t="s">
        <v>7190</v>
      </c>
      <c r="H32" t="s">
        <v>11912</v>
      </c>
      <c r="J32" t="s">
        <v>33567</v>
      </c>
      <c r="K32" t="s">
        <v>33566</v>
      </c>
      <c r="L32" t="s">
        <v>33587</v>
      </c>
      <c r="N32" t="s">
        <v>36685</v>
      </c>
      <c r="O32" t="s">
        <v>34368</v>
      </c>
      <c r="P32">
        <v>111015</v>
      </c>
      <c r="Q32" t="s">
        <v>36684</v>
      </c>
      <c r="R32" t="s">
        <v>36683</v>
      </c>
      <c r="T32" s="22" t="s">
        <v>36857</v>
      </c>
      <c r="U32" s="22" t="s">
        <v>104</v>
      </c>
    </row>
    <row r="33" spans="1:21" x14ac:dyDescent="0.75">
      <c r="A33" t="s">
        <v>7611</v>
      </c>
      <c r="B33" t="s">
        <v>33572</v>
      </c>
      <c r="C33" t="s">
        <v>34169</v>
      </c>
      <c r="D33" t="s">
        <v>34355</v>
      </c>
      <c r="E33" t="s">
        <v>34354</v>
      </c>
      <c r="F33" t="s">
        <v>34353</v>
      </c>
      <c r="G33" t="s">
        <v>7190</v>
      </c>
      <c r="H33" t="s">
        <v>7612</v>
      </c>
      <c r="J33" t="s">
        <v>33617</v>
      </c>
      <c r="K33" t="s">
        <v>33566</v>
      </c>
      <c r="L33" t="s">
        <v>33616</v>
      </c>
      <c r="N33" t="s">
        <v>36682</v>
      </c>
      <c r="O33" t="s">
        <v>36681</v>
      </c>
      <c r="P33">
        <v>712117</v>
      </c>
      <c r="Q33" t="s">
        <v>36680</v>
      </c>
      <c r="R33" t="s">
        <v>36679</v>
      </c>
      <c r="T33" s="22" t="s">
        <v>37389</v>
      </c>
      <c r="U33" s="22" t="s">
        <v>104</v>
      </c>
    </row>
    <row r="34" spans="1:21" x14ac:dyDescent="0.75">
      <c r="A34" t="s">
        <v>27341</v>
      </c>
      <c r="B34" t="s">
        <v>33572</v>
      </c>
      <c r="C34" t="s">
        <v>34169</v>
      </c>
      <c r="D34" t="s">
        <v>34355</v>
      </c>
      <c r="E34" t="s">
        <v>34354</v>
      </c>
      <c r="F34" t="s">
        <v>34353</v>
      </c>
      <c r="G34" t="s">
        <v>7190</v>
      </c>
      <c r="H34" t="s">
        <v>27342</v>
      </c>
      <c r="J34" t="s">
        <v>33617</v>
      </c>
      <c r="K34" t="s">
        <v>33566</v>
      </c>
      <c r="L34" t="s">
        <v>33620</v>
      </c>
      <c r="O34" t="s">
        <v>36678</v>
      </c>
      <c r="P34">
        <v>0</v>
      </c>
      <c r="Q34" t="s">
        <v>36677</v>
      </c>
      <c r="R34" t="s">
        <v>36676</v>
      </c>
      <c r="T34" s="22" t="s">
        <v>37390</v>
      </c>
      <c r="U34" s="22" t="s">
        <v>104</v>
      </c>
    </row>
    <row r="35" spans="1:21" x14ac:dyDescent="0.75">
      <c r="A35" t="s">
        <v>11483</v>
      </c>
      <c r="B35" t="s">
        <v>33572</v>
      </c>
      <c r="C35" t="s">
        <v>34169</v>
      </c>
      <c r="D35" t="s">
        <v>34355</v>
      </c>
      <c r="E35" t="s">
        <v>34354</v>
      </c>
      <c r="F35" t="s">
        <v>34353</v>
      </c>
      <c r="G35" t="s">
        <v>7190</v>
      </c>
      <c r="H35" t="s">
        <v>11484</v>
      </c>
      <c r="J35" t="s">
        <v>33617</v>
      </c>
      <c r="K35" t="s">
        <v>33566</v>
      </c>
      <c r="L35" t="s">
        <v>33609</v>
      </c>
      <c r="N35" t="s">
        <v>36675</v>
      </c>
      <c r="O35" t="s">
        <v>36674</v>
      </c>
      <c r="P35">
        <v>712122</v>
      </c>
      <c r="Q35" t="s">
        <v>11482</v>
      </c>
      <c r="R35" t="s">
        <v>36673</v>
      </c>
      <c r="T35" s="22" t="s">
        <v>37391</v>
      </c>
      <c r="U35" s="22" t="s">
        <v>104</v>
      </c>
    </row>
    <row r="36" spans="1:21" x14ac:dyDescent="0.75">
      <c r="A36" t="s">
        <v>7866</v>
      </c>
      <c r="B36" t="s">
        <v>33572</v>
      </c>
      <c r="C36" t="s">
        <v>34169</v>
      </c>
      <c r="D36" t="s">
        <v>34355</v>
      </c>
      <c r="E36" t="s">
        <v>34354</v>
      </c>
      <c r="F36" t="s">
        <v>34353</v>
      </c>
      <c r="G36" t="s">
        <v>7190</v>
      </c>
      <c r="H36" t="s">
        <v>7867</v>
      </c>
      <c r="J36" t="s">
        <v>33617</v>
      </c>
      <c r="K36" t="s">
        <v>33566</v>
      </c>
      <c r="L36" t="s">
        <v>33575</v>
      </c>
      <c r="N36" t="s">
        <v>36672</v>
      </c>
      <c r="O36" t="s">
        <v>36671</v>
      </c>
      <c r="P36">
        <v>712124</v>
      </c>
      <c r="Q36" t="s">
        <v>36670</v>
      </c>
      <c r="R36" t="s">
        <v>36669</v>
      </c>
      <c r="T36" s="22" t="s">
        <v>37392</v>
      </c>
      <c r="U36" s="22" t="s">
        <v>104</v>
      </c>
    </row>
    <row r="37" spans="1:21" x14ac:dyDescent="0.75">
      <c r="A37" t="s">
        <v>36668</v>
      </c>
      <c r="B37" t="s">
        <v>33572</v>
      </c>
      <c r="C37" t="s">
        <v>34169</v>
      </c>
      <c r="D37" t="s">
        <v>34355</v>
      </c>
      <c r="E37" t="s">
        <v>34354</v>
      </c>
      <c r="F37" t="s">
        <v>34353</v>
      </c>
      <c r="G37" t="s">
        <v>7190</v>
      </c>
      <c r="H37" t="s">
        <v>36667</v>
      </c>
      <c r="J37" t="s">
        <v>33577</v>
      </c>
      <c r="K37" t="s">
        <v>33576</v>
      </c>
      <c r="L37" t="s">
        <v>33609</v>
      </c>
      <c r="N37" t="s">
        <v>36666</v>
      </c>
      <c r="O37" t="s">
        <v>36665</v>
      </c>
      <c r="P37">
        <v>712126</v>
      </c>
      <c r="T37" s="22" t="s">
        <v>37393</v>
      </c>
      <c r="U37" s="22" t="s">
        <v>104</v>
      </c>
    </row>
    <row r="38" spans="1:21" x14ac:dyDescent="0.75">
      <c r="A38" t="s">
        <v>36664</v>
      </c>
      <c r="B38" t="s">
        <v>33572</v>
      </c>
      <c r="C38" t="s">
        <v>34169</v>
      </c>
      <c r="D38" t="s">
        <v>34355</v>
      </c>
      <c r="E38" t="s">
        <v>34354</v>
      </c>
      <c r="F38" t="s">
        <v>34353</v>
      </c>
      <c r="G38" t="s">
        <v>7190</v>
      </c>
      <c r="H38" t="s">
        <v>36663</v>
      </c>
      <c r="J38" t="s">
        <v>33577</v>
      </c>
      <c r="K38" t="s">
        <v>33576</v>
      </c>
      <c r="L38" t="s">
        <v>33609</v>
      </c>
      <c r="N38" t="s">
        <v>36662</v>
      </c>
      <c r="O38" t="s">
        <v>36661</v>
      </c>
      <c r="P38">
        <v>1654</v>
      </c>
      <c r="T38" s="22" t="s">
        <v>37394</v>
      </c>
      <c r="U38" s="22" t="s">
        <v>104</v>
      </c>
    </row>
    <row r="39" spans="1:21" x14ac:dyDescent="0.75">
      <c r="A39" t="s">
        <v>14747</v>
      </c>
      <c r="B39" t="s">
        <v>33572</v>
      </c>
      <c r="C39" t="s">
        <v>34169</v>
      </c>
      <c r="D39" t="s">
        <v>34355</v>
      </c>
      <c r="E39" t="s">
        <v>34354</v>
      </c>
      <c r="F39" t="s">
        <v>34353</v>
      </c>
      <c r="G39" t="s">
        <v>7190</v>
      </c>
      <c r="H39" t="s">
        <v>14748</v>
      </c>
      <c r="J39" t="s">
        <v>33617</v>
      </c>
      <c r="K39" t="s">
        <v>33566</v>
      </c>
      <c r="L39" t="s">
        <v>33609</v>
      </c>
      <c r="N39" t="s">
        <v>36660</v>
      </c>
      <c r="O39" t="s">
        <v>36659</v>
      </c>
      <c r="P39">
        <v>2081702</v>
      </c>
      <c r="Q39" t="s">
        <v>36658</v>
      </c>
      <c r="R39" t="s">
        <v>36657</v>
      </c>
      <c r="T39" s="22" t="s">
        <v>37395</v>
      </c>
      <c r="U39" s="22" t="s">
        <v>104</v>
      </c>
    </row>
    <row r="40" spans="1:21" x14ac:dyDescent="0.75">
      <c r="A40" t="s">
        <v>8844</v>
      </c>
      <c r="B40" t="s">
        <v>33572</v>
      </c>
      <c r="C40" t="s">
        <v>34169</v>
      </c>
      <c r="D40" t="s">
        <v>34355</v>
      </c>
      <c r="E40" t="s">
        <v>34354</v>
      </c>
      <c r="F40" t="s">
        <v>34353</v>
      </c>
      <c r="G40" t="s">
        <v>7190</v>
      </c>
      <c r="H40" t="s">
        <v>7895</v>
      </c>
      <c r="J40" t="s">
        <v>33567</v>
      </c>
      <c r="K40" t="s">
        <v>33566</v>
      </c>
      <c r="L40" t="s">
        <v>33609</v>
      </c>
      <c r="N40" t="s">
        <v>36656</v>
      </c>
      <c r="O40" t="s">
        <v>36655</v>
      </c>
      <c r="P40">
        <v>1288391</v>
      </c>
      <c r="Q40" t="s">
        <v>8843</v>
      </c>
      <c r="R40" t="s">
        <v>36654</v>
      </c>
      <c r="T40" s="22" t="s">
        <v>36851</v>
      </c>
      <c r="U40" s="22" t="s">
        <v>104</v>
      </c>
    </row>
    <row r="41" spans="1:21" x14ac:dyDescent="0.75">
      <c r="A41" t="s">
        <v>16651</v>
      </c>
      <c r="B41" t="s">
        <v>33572</v>
      </c>
      <c r="C41" t="s">
        <v>34169</v>
      </c>
      <c r="D41" t="s">
        <v>34355</v>
      </c>
      <c r="E41" t="s">
        <v>34354</v>
      </c>
      <c r="F41" t="s">
        <v>34353</v>
      </c>
      <c r="G41" t="s">
        <v>7190</v>
      </c>
      <c r="H41" t="s">
        <v>16652</v>
      </c>
      <c r="J41" t="s">
        <v>33567</v>
      </c>
      <c r="K41" t="s">
        <v>33566</v>
      </c>
      <c r="L41" t="s">
        <v>33575</v>
      </c>
      <c r="N41" t="s">
        <v>36653</v>
      </c>
      <c r="O41" t="s">
        <v>34368</v>
      </c>
      <c r="P41">
        <v>1656</v>
      </c>
      <c r="Q41" t="s">
        <v>36652</v>
      </c>
      <c r="R41" t="s">
        <v>36651</v>
      </c>
      <c r="T41" s="22" t="s">
        <v>36855</v>
      </c>
      <c r="U41" s="22" t="s">
        <v>104</v>
      </c>
    </row>
    <row r="42" spans="1:21" x14ac:dyDescent="0.75">
      <c r="A42" t="s">
        <v>36650</v>
      </c>
      <c r="B42" t="s">
        <v>33572</v>
      </c>
      <c r="C42" t="s">
        <v>34169</v>
      </c>
      <c r="D42" t="s">
        <v>34355</v>
      </c>
      <c r="E42" t="s">
        <v>34398</v>
      </c>
      <c r="F42" t="s">
        <v>34397</v>
      </c>
      <c r="G42" t="s">
        <v>36649</v>
      </c>
      <c r="H42" t="s">
        <v>36648</v>
      </c>
      <c r="J42" t="s">
        <v>33577</v>
      </c>
      <c r="K42" t="s">
        <v>33576</v>
      </c>
      <c r="L42" t="s">
        <v>33659</v>
      </c>
      <c r="N42" t="s">
        <v>36647</v>
      </c>
      <c r="O42" t="s">
        <v>36646</v>
      </c>
      <c r="P42">
        <v>240233</v>
      </c>
      <c r="T42" s="22" t="s">
        <v>37396</v>
      </c>
      <c r="U42" s="22" t="s">
        <v>1563</v>
      </c>
    </row>
    <row r="43" spans="1:21" x14ac:dyDescent="0.75">
      <c r="A43" t="s">
        <v>7292</v>
      </c>
      <c r="B43" t="s">
        <v>33572</v>
      </c>
      <c r="C43" t="s">
        <v>33606</v>
      </c>
      <c r="D43" t="s">
        <v>33913</v>
      </c>
      <c r="E43" t="s">
        <v>33912</v>
      </c>
      <c r="F43" t="s">
        <v>36645</v>
      </c>
      <c r="G43" t="s">
        <v>7293</v>
      </c>
      <c r="H43" t="s">
        <v>7294</v>
      </c>
      <c r="J43" t="s">
        <v>33567</v>
      </c>
      <c r="K43" t="s">
        <v>33566</v>
      </c>
      <c r="L43" t="s">
        <v>34547</v>
      </c>
      <c r="O43" t="s">
        <v>33614</v>
      </c>
      <c r="P43">
        <v>1377</v>
      </c>
      <c r="Q43" t="s">
        <v>36644</v>
      </c>
      <c r="R43" t="s">
        <v>36643</v>
      </c>
      <c r="T43" s="22" t="s">
        <v>36867</v>
      </c>
      <c r="U43" s="22" t="s">
        <v>144</v>
      </c>
    </row>
    <row r="44" spans="1:21" x14ac:dyDescent="0.75">
      <c r="A44" t="s">
        <v>8927</v>
      </c>
      <c r="B44" t="s">
        <v>33572</v>
      </c>
      <c r="C44" t="s">
        <v>33571</v>
      </c>
      <c r="D44" t="s">
        <v>34135</v>
      </c>
      <c r="E44" t="s">
        <v>35256</v>
      </c>
      <c r="F44" t="s">
        <v>36350</v>
      </c>
      <c r="G44" t="s">
        <v>8928</v>
      </c>
      <c r="H44" t="s">
        <v>8929</v>
      </c>
      <c r="J44" t="s">
        <v>33567</v>
      </c>
      <c r="K44" t="s">
        <v>33566</v>
      </c>
      <c r="L44" t="s">
        <v>36067</v>
      </c>
      <c r="N44" t="s">
        <v>36642</v>
      </c>
      <c r="O44" t="s">
        <v>36348</v>
      </c>
      <c r="P44">
        <v>56946</v>
      </c>
      <c r="Q44" t="s">
        <v>36641</v>
      </c>
      <c r="R44" t="s">
        <v>36640</v>
      </c>
      <c r="T44" s="22" t="s">
        <v>36868</v>
      </c>
      <c r="U44" s="22" t="s">
        <v>1563</v>
      </c>
    </row>
    <row r="45" spans="1:21" x14ac:dyDescent="0.75">
      <c r="A45" t="s">
        <v>2117</v>
      </c>
      <c r="B45" t="s">
        <v>33572</v>
      </c>
      <c r="C45" t="s">
        <v>33606</v>
      </c>
      <c r="D45" t="s">
        <v>33663</v>
      </c>
      <c r="E45" t="s">
        <v>34061</v>
      </c>
      <c r="F45" t="s">
        <v>34060</v>
      </c>
      <c r="G45" t="s">
        <v>6374</v>
      </c>
      <c r="H45" t="s">
        <v>6375</v>
      </c>
      <c r="J45" t="s">
        <v>33567</v>
      </c>
      <c r="K45" t="s">
        <v>33566</v>
      </c>
      <c r="L45" t="s">
        <v>34670</v>
      </c>
      <c r="O45" t="s">
        <v>36639</v>
      </c>
      <c r="P45">
        <v>0</v>
      </c>
      <c r="Q45" t="s">
        <v>36638</v>
      </c>
      <c r="R45" t="s">
        <v>36637</v>
      </c>
      <c r="T45" s="22" t="s">
        <v>2118</v>
      </c>
      <c r="U45" s="22" t="s">
        <v>34</v>
      </c>
    </row>
    <row r="46" spans="1:21" x14ac:dyDescent="0.75">
      <c r="A46" t="s">
        <v>6617</v>
      </c>
      <c r="B46" t="s">
        <v>33572</v>
      </c>
      <c r="C46" t="s">
        <v>33571</v>
      </c>
      <c r="D46" t="s">
        <v>33570</v>
      </c>
      <c r="E46" t="s">
        <v>35690</v>
      </c>
      <c r="F46" t="s">
        <v>35689</v>
      </c>
      <c r="G46" t="s">
        <v>6400</v>
      </c>
      <c r="H46" t="s">
        <v>6618</v>
      </c>
      <c r="J46" t="s">
        <v>33567</v>
      </c>
      <c r="K46" t="s">
        <v>33566</v>
      </c>
      <c r="L46" t="s">
        <v>33587</v>
      </c>
      <c r="M46" t="s">
        <v>36636</v>
      </c>
      <c r="N46" t="s">
        <v>36635</v>
      </c>
      <c r="O46" t="s">
        <v>36634</v>
      </c>
      <c r="P46">
        <v>714</v>
      </c>
      <c r="Q46" t="s">
        <v>36633</v>
      </c>
      <c r="R46" t="s">
        <v>36632</v>
      </c>
      <c r="T46" s="22" t="s">
        <v>36869</v>
      </c>
      <c r="U46" s="22" t="s">
        <v>104</v>
      </c>
    </row>
    <row r="47" spans="1:21" x14ac:dyDescent="0.75">
      <c r="A47" t="s">
        <v>6399</v>
      </c>
      <c r="B47" t="s">
        <v>33572</v>
      </c>
      <c r="C47" t="s">
        <v>33571</v>
      </c>
      <c r="D47" t="s">
        <v>33570</v>
      </c>
      <c r="E47" t="s">
        <v>35690</v>
      </c>
      <c r="F47" t="s">
        <v>35689</v>
      </c>
      <c r="G47" t="s">
        <v>6400</v>
      </c>
      <c r="H47" t="s">
        <v>6401</v>
      </c>
      <c r="J47" t="s">
        <v>33567</v>
      </c>
      <c r="K47" t="s">
        <v>33566</v>
      </c>
      <c r="L47" t="s">
        <v>33616</v>
      </c>
      <c r="N47" t="s">
        <v>36631</v>
      </c>
      <c r="O47" t="s">
        <v>36630</v>
      </c>
      <c r="P47">
        <v>732</v>
      </c>
      <c r="Q47" t="s">
        <v>36629</v>
      </c>
      <c r="R47" t="s">
        <v>36628</v>
      </c>
      <c r="T47" s="22" t="s">
        <v>36872</v>
      </c>
      <c r="U47" s="22" t="s">
        <v>104</v>
      </c>
    </row>
    <row r="48" spans="1:21" x14ac:dyDescent="0.75">
      <c r="A48" t="s">
        <v>14995</v>
      </c>
      <c r="B48" t="s">
        <v>33572</v>
      </c>
      <c r="C48" t="s">
        <v>33571</v>
      </c>
      <c r="D48" t="s">
        <v>33570</v>
      </c>
      <c r="E48" t="s">
        <v>35690</v>
      </c>
      <c r="F48" t="s">
        <v>35689</v>
      </c>
      <c r="G48" t="s">
        <v>6400</v>
      </c>
      <c r="H48" t="s">
        <v>14996</v>
      </c>
      <c r="J48" t="s">
        <v>33567</v>
      </c>
      <c r="K48" t="s">
        <v>33566</v>
      </c>
      <c r="L48" t="s">
        <v>33575</v>
      </c>
      <c r="P48">
        <v>0</v>
      </c>
      <c r="Q48" t="s">
        <v>36627</v>
      </c>
      <c r="R48" t="s">
        <v>36626</v>
      </c>
      <c r="T48" s="22" t="s">
        <v>36874</v>
      </c>
      <c r="U48" s="22" t="s">
        <v>104</v>
      </c>
    </row>
    <row r="49" spans="1:21" x14ac:dyDescent="0.75">
      <c r="A49" t="s">
        <v>7392</v>
      </c>
      <c r="B49" t="s">
        <v>33572</v>
      </c>
      <c r="C49" t="s">
        <v>33571</v>
      </c>
      <c r="D49" t="s">
        <v>33570</v>
      </c>
      <c r="E49" t="s">
        <v>35690</v>
      </c>
      <c r="F49" t="s">
        <v>35689</v>
      </c>
      <c r="G49" t="s">
        <v>6400</v>
      </c>
      <c r="H49" t="s">
        <v>7393</v>
      </c>
      <c r="J49" t="s">
        <v>33567</v>
      </c>
      <c r="K49" t="s">
        <v>33566</v>
      </c>
      <c r="L49" t="s">
        <v>33575</v>
      </c>
      <c r="N49" t="s">
        <v>36625</v>
      </c>
      <c r="O49" t="s">
        <v>36624</v>
      </c>
      <c r="P49">
        <v>739</v>
      </c>
      <c r="Q49" t="s">
        <v>36623</v>
      </c>
      <c r="R49" t="s">
        <v>36622</v>
      </c>
      <c r="T49" s="22" t="s">
        <v>36873</v>
      </c>
      <c r="U49" s="22" t="s">
        <v>104</v>
      </c>
    </row>
    <row r="50" spans="1:21" x14ac:dyDescent="0.75">
      <c r="A50" t="s">
        <v>9719</v>
      </c>
      <c r="B50" t="s">
        <v>33572</v>
      </c>
      <c r="C50" t="s">
        <v>33571</v>
      </c>
      <c r="D50" t="s">
        <v>33570</v>
      </c>
      <c r="E50" t="s">
        <v>35690</v>
      </c>
      <c r="F50" t="s">
        <v>35689</v>
      </c>
      <c r="G50" t="s">
        <v>6400</v>
      </c>
      <c r="H50" t="s">
        <v>9720</v>
      </c>
      <c r="J50" t="s">
        <v>33617</v>
      </c>
      <c r="K50" t="s">
        <v>33566</v>
      </c>
      <c r="L50" t="s">
        <v>33575</v>
      </c>
      <c r="N50" t="s">
        <v>36621</v>
      </c>
      <c r="O50" t="s">
        <v>36620</v>
      </c>
      <c r="P50">
        <v>712148</v>
      </c>
      <c r="Q50" t="s">
        <v>36619</v>
      </c>
      <c r="R50" t="s">
        <v>36618</v>
      </c>
      <c r="T50" s="22" t="s">
        <v>37397</v>
      </c>
      <c r="U50" s="22" t="s">
        <v>104</v>
      </c>
    </row>
    <row r="51" spans="1:21" x14ac:dyDescent="0.75">
      <c r="A51" t="s">
        <v>11060</v>
      </c>
      <c r="B51" t="s">
        <v>33572</v>
      </c>
      <c r="C51" t="s">
        <v>33571</v>
      </c>
      <c r="D51" t="s">
        <v>33570</v>
      </c>
      <c r="E51" t="s">
        <v>35690</v>
      </c>
      <c r="F51" t="s">
        <v>35689</v>
      </c>
      <c r="G51" t="s">
        <v>6400</v>
      </c>
      <c r="H51" t="s">
        <v>11061</v>
      </c>
      <c r="J51" t="s">
        <v>33617</v>
      </c>
      <c r="K51" t="s">
        <v>33566</v>
      </c>
      <c r="L51" t="s">
        <v>33609</v>
      </c>
      <c r="N51" t="s">
        <v>36617</v>
      </c>
      <c r="O51" t="s">
        <v>34181</v>
      </c>
      <c r="P51">
        <v>712150</v>
      </c>
      <c r="Q51" t="s">
        <v>36616</v>
      </c>
      <c r="R51" t="s">
        <v>36615</v>
      </c>
      <c r="T51" s="22" t="s">
        <v>37398</v>
      </c>
      <c r="U51" s="22" t="s">
        <v>104</v>
      </c>
    </row>
    <row r="52" spans="1:21" x14ac:dyDescent="0.75">
      <c r="A52" t="s">
        <v>36614</v>
      </c>
      <c r="B52" t="s">
        <v>33572</v>
      </c>
      <c r="C52" t="s">
        <v>33571</v>
      </c>
      <c r="D52" t="s">
        <v>33570</v>
      </c>
      <c r="E52" t="s">
        <v>35690</v>
      </c>
      <c r="F52" t="s">
        <v>35689</v>
      </c>
      <c r="G52" t="s">
        <v>6400</v>
      </c>
      <c r="H52" t="s">
        <v>36613</v>
      </c>
      <c r="J52" t="s">
        <v>33577</v>
      </c>
      <c r="K52" t="s">
        <v>33576</v>
      </c>
      <c r="L52" t="s">
        <v>33609</v>
      </c>
      <c r="N52" t="s">
        <v>36612</v>
      </c>
      <c r="O52" t="s">
        <v>36611</v>
      </c>
      <c r="P52">
        <v>416916</v>
      </c>
      <c r="T52" s="22" t="s">
        <v>37399</v>
      </c>
      <c r="U52" s="22" t="s">
        <v>104</v>
      </c>
    </row>
    <row r="53" spans="1:21" x14ac:dyDescent="0.75">
      <c r="A53" t="s">
        <v>36610</v>
      </c>
      <c r="B53" t="s">
        <v>33572</v>
      </c>
      <c r="C53" t="s">
        <v>33571</v>
      </c>
      <c r="D53" t="s">
        <v>33570</v>
      </c>
      <c r="E53" t="s">
        <v>35690</v>
      </c>
      <c r="F53" t="s">
        <v>35689</v>
      </c>
      <c r="G53" t="s">
        <v>6400</v>
      </c>
      <c r="H53" t="s">
        <v>36609</v>
      </c>
      <c r="J53" t="s">
        <v>33577</v>
      </c>
      <c r="K53" t="s">
        <v>33576</v>
      </c>
      <c r="L53" t="s">
        <v>33609</v>
      </c>
      <c r="N53" t="s">
        <v>36608</v>
      </c>
      <c r="O53" t="s">
        <v>34181</v>
      </c>
      <c r="P53">
        <v>416916</v>
      </c>
      <c r="T53" s="22" t="s">
        <v>37400</v>
      </c>
      <c r="U53" s="22" t="s">
        <v>104</v>
      </c>
    </row>
    <row r="54" spans="1:21" x14ac:dyDescent="0.75">
      <c r="A54" t="s">
        <v>16703</v>
      </c>
      <c r="B54" t="s">
        <v>33572</v>
      </c>
      <c r="C54" t="s">
        <v>33571</v>
      </c>
      <c r="D54" t="s">
        <v>34135</v>
      </c>
      <c r="E54" t="s">
        <v>35256</v>
      </c>
      <c r="F54" t="s">
        <v>36607</v>
      </c>
      <c r="G54" t="s">
        <v>16704</v>
      </c>
      <c r="H54" t="s">
        <v>16705</v>
      </c>
      <c r="J54" t="s">
        <v>33567</v>
      </c>
      <c r="K54" t="s">
        <v>33566</v>
      </c>
      <c r="L54" t="s">
        <v>33651</v>
      </c>
      <c r="N54" t="s">
        <v>36606</v>
      </c>
      <c r="O54" t="s">
        <v>36605</v>
      </c>
      <c r="P54">
        <v>358</v>
      </c>
      <c r="Q54" t="s">
        <v>36604</v>
      </c>
      <c r="R54" t="s">
        <v>36603</v>
      </c>
      <c r="T54" s="22" t="s">
        <v>36875</v>
      </c>
      <c r="U54" s="22" t="s">
        <v>144</v>
      </c>
    </row>
    <row r="55" spans="1:21" x14ac:dyDescent="0.75">
      <c r="A55" t="s">
        <v>73</v>
      </c>
      <c r="B55" t="s">
        <v>33572</v>
      </c>
      <c r="C55" t="s">
        <v>33600</v>
      </c>
      <c r="D55" t="s">
        <v>36602</v>
      </c>
      <c r="E55" t="s">
        <v>36601</v>
      </c>
      <c r="F55" t="s">
        <v>36600</v>
      </c>
      <c r="G55" t="s">
        <v>6363</v>
      </c>
      <c r="H55" t="s">
        <v>6364</v>
      </c>
      <c r="J55" t="s">
        <v>33567</v>
      </c>
      <c r="K55" t="s">
        <v>33566</v>
      </c>
      <c r="L55" t="s">
        <v>35891</v>
      </c>
      <c r="P55">
        <v>0</v>
      </c>
      <c r="Q55" t="s">
        <v>36599</v>
      </c>
      <c r="R55" t="s">
        <v>36598</v>
      </c>
      <c r="T55" s="22" t="s">
        <v>74</v>
      </c>
      <c r="U55" s="22" t="s">
        <v>34</v>
      </c>
    </row>
    <row r="56" spans="1:21" x14ac:dyDescent="0.75">
      <c r="A56" t="s">
        <v>11591</v>
      </c>
      <c r="B56" t="s">
        <v>33572</v>
      </c>
      <c r="C56" t="s">
        <v>33583</v>
      </c>
      <c r="D56" t="s">
        <v>33881</v>
      </c>
      <c r="E56" t="s">
        <v>33880</v>
      </c>
      <c r="F56" t="s">
        <v>36593</v>
      </c>
      <c r="G56" t="s">
        <v>6714</v>
      </c>
      <c r="H56" t="s">
        <v>11592</v>
      </c>
      <c r="J56" t="s">
        <v>33567</v>
      </c>
      <c r="K56" t="s">
        <v>33566</v>
      </c>
      <c r="L56" t="s">
        <v>34670</v>
      </c>
      <c r="P56">
        <v>0</v>
      </c>
      <c r="Q56" t="s">
        <v>36597</v>
      </c>
      <c r="R56" t="s">
        <v>36596</v>
      </c>
      <c r="T56" s="22" t="s">
        <v>36876</v>
      </c>
      <c r="U56" s="22" t="s">
        <v>34</v>
      </c>
    </row>
    <row r="57" spans="1:21" x14ac:dyDescent="0.75">
      <c r="A57" t="s">
        <v>6713</v>
      </c>
      <c r="B57" t="s">
        <v>33572</v>
      </c>
      <c r="C57" t="s">
        <v>33583</v>
      </c>
      <c r="D57" t="s">
        <v>33881</v>
      </c>
      <c r="E57" t="s">
        <v>33880</v>
      </c>
      <c r="F57" t="s">
        <v>36593</v>
      </c>
      <c r="G57" t="s">
        <v>6714</v>
      </c>
      <c r="H57" t="s">
        <v>6715</v>
      </c>
      <c r="J57" t="s">
        <v>33567</v>
      </c>
      <c r="K57" t="s">
        <v>33566</v>
      </c>
      <c r="L57" t="s">
        <v>34670</v>
      </c>
      <c r="P57">
        <v>0</v>
      </c>
      <c r="Q57" t="s">
        <v>36595</v>
      </c>
      <c r="R57" t="s">
        <v>36594</v>
      </c>
      <c r="T57" s="22" t="s">
        <v>36877</v>
      </c>
      <c r="U57" s="22" t="s">
        <v>34</v>
      </c>
    </row>
    <row r="58" spans="1:21" x14ac:dyDescent="0.75">
      <c r="A58" t="s">
        <v>2626</v>
      </c>
      <c r="B58" t="s">
        <v>33572</v>
      </c>
      <c r="C58" t="s">
        <v>33583</v>
      </c>
      <c r="D58" t="s">
        <v>33881</v>
      </c>
      <c r="E58" t="s">
        <v>33880</v>
      </c>
      <c r="F58" t="s">
        <v>36593</v>
      </c>
      <c r="G58" t="s">
        <v>6714</v>
      </c>
      <c r="H58" t="s">
        <v>9323</v>
      </c>
      <c r="J58" t="s">
        <v>33567</v>
      </c>
      <c r="K58" t="s">
        <v>33566</v>
      </c>
      <c r="L58" t="s">
        <v>34670</v>
      </c>
      <c r="P58">
        <v>0</v>
      </c>
      <c r="Q58" t="s">
        <v>36592</v>
      </c>
      <c r="R58" t="s">
        <v>36591</v>
      </c>
      <c r="T58" s="22" t="s">
        <v>2627</v>
      </c>
      <c r="U58" s="22" t="s">
        <v>34</v>
      </c>
    </row>
    <row r="59" spans="1:21" x14ac:dyDescent="0.75">
      <c r="A59" t="s">
        <v>1805</v>
      </c>
      <c r="B59" t="s">
        <v>33572</v>
      </c>
      <c r="C59" t="s">
        <v>33606</v>
      </c>
      <c r="D59" t="s">
        <v>33913</v>
      </c>
      <c r="E59" t="s">
        <v>34090</v>
      </c>
      <c r="F59" t="s">
        <v>36422</v>
      </c>
      <c r="G59" t="s">
        <v>13847</v>
      </c>
      <c r="H59" t="s">
        <v>13848</v>
      </c>
      <c r="J59" t="s">
        <v>33567</v>
      </c>
      <c r="K59" t="s">
        <v>33566</v>
      </c>
      <c r="L59" t="s">
        <v>33651</v>
      </c>
      <c r="N59" t="s">
        <v>36590</v>
      </c>
      <c r="O59" t="s">
        <v>33614</v>
      </c>
      <c r="P59">
        <v>79880</v>
      </c>
      <c r="Q59" t="s">
        <v>36589</v>
      </c>
      <c r="R59" t="s">
        <v>36588</v>
      </c>
      <c r="T59" s="22" t="s">
        <v>1806</v>
      </c>
      <c r="U59" s="22" t="s">
        <v>144</v>
      </c>
    </row>
    <row r="60" spans="1:21" x14ac:dyDescent="0.75">
      <c r="A60" t="s">
        <v>8941</v>
      </c>
      <c r="B60" t="s">
        <v>33572</v>
      </c>
      <c r="C60" t="s">
        <v>33606</v>
      </c>
      <c r="D60" t="s">
        <v>33913</v>
      </c>
      <c r="E60" t="s">
        <v>33912</v>
      </c>
      <c r="F60" t="s">
        <v>35732</v>
      </c>
      <c r="G60" t="s">
        <v>8942</v>
      </c>
      <c r="H60" t="s">
        <v>8943</v>
      </c>
      <c r="J60" t="s">
        <v>33567</v>
      </c>
      <c r="K60" t="s">
        <v>33566</v>
      </c>
      <c r="L60" t="s">
        <v>34124</v>
      </c>
      <c r="N60" t="s">
        <v>36587</v>
      </c>
      <c r="O60" t="s">
        <v>36586</v>
      </c>
      <c r="P60">
        <v>1652</v>
      </c>
      <c r="Q60" t="s">
        <v>36585</v>
      </c>
      <c r="R60" t="s">
        <v>36584</v>
      </c>
      <c r="T60" s="22" t="s">
        <v>36878</v>
      </c>
      <c r="U60" s="22" t="s">
        <v>36805</v>
      </c>
    </row>
    <row r="61" spans="1:21" x14ac:dyDescent="0.75">
      <c r="A61" t="s">
        <v>567</v>
      </c>
      <c r="B61" t="s">
        <v>33572</v>
      </c>
      <c r="C61" t="s">
        <v>33583</v>
      </c>
      <c r="D61" t="s">
        <v>33881</v>
      </c>
      <c r="E61" t="s">
        <v>33880</v>
      </c>
      <c r="F61" t="s">
        <v>34303</v>
      </c>
      <c r="G61" t="s">
        <v>6851</v>
      </c>
      <c r="H61" t="s">
        <v>8306</v>
      </c>
      <c r="J61" t="s">
        <v>33567</v>
      </c>
      <c r="K61" t="s">
        <v>33566</v>
      </c>
      <c r="L61" t="s">
        <v>33575</v>
      </c>
      <c r="M61" t="s">
        <v>36583</v>
      </c>
      <c r="N61" t="s">
        <v>36582</v>
      </c>
      <c r="O61" t="s">
        <v>36581</v>
      </c>
      <c r="P61">
        <v>671218</v>
      </c>
      <c r="Q61" t="s">
        <v>36580</v>
      </c>
      <c r="R61" t="s">
        <v>36579</v>
      </c>
      <c r="T61" s="22" t="s">
        <v>568</v>
      </c>
      <c r="U61" s="22" t="s">
        <v>104</v>
      </c>
    </row>
    <row r="62" spans="1:21" x14ac:dyDescent="0.75">
      <c r="A62" t="s">
        <v>36578</v>
      </c>
      <c r="B62" t="s">
        <v>33572</v>
      </c>
      <c r="C62" t="s">
        <v>33583</v>
      </c>
      <c r="D62" t="s">
        <v>33881</v>
      </c>
      <c r="E62" t="s">
        <v>33880</v>
      </c>
      <c r="F62" t="s">
        <v>34303</v>
      </c>
      <c r="G62" t="s">
        <v>6851</v>
      </c>
      <c r="H62" t="s">
        <v>36577</v>
      </c>
      <c r="J62" t="s">
        <v>33577</v>
      </c>
      <c r="K62" t="s">
        <v>33576</v>
      </c>
      <c r="L62" t="s">
        <v>33575</v>
      </c>
      <c r="N62" t="s">
        <v>36576</v>
      </c>
      <c r="O62" t="s">
        <v>36575</v>
      </c>
      <c r="P62">
        <v>1283313</v>
      </c>
      <c r="T62" s="22" t="s">
        <v>37401</v>
      </c>
      <c r="U62" s="22" t="s">
        <v>104</v>
      </c>
    </row>
    <row r="63" spans="1:21" x14ac:dyDescent="0.75">
      <c r="A63" t="s">
        <v>5062</v>
      </c>
      <c r="B63" t="s">
        <v>33572</v>
      </c>
      <c r="C63" t="s">
        <v>33583</v>
      </c>
      <c r="D63" t="s">
        <v>33881</v>
      </c>
      <c r="E63" t="s">
        <v>33880</v>
      </c>
      <c r="F63" t="s">
        <v>34303</v>
      </c>
      <c r="G63" t="s">
        <v>6851</v>
      </c>
      <c r="H63" t="s">
        <v>27127</v>
      </c>
      <c r="J63" t="s">
        <v>33617</v>
      </c>
      <c r="K63" t="s">
        <v>33566</v>
      </c>
      <c r="L63" t="s">
        <v>33575</v>
      </c>
      <c r="O63" t="s">
        <v>36574</v>
      </c>
      <c r="P63">
        <v>0</v>
      </c>
      <c r="Q63" t="s">
        <v>36573</v>
      </c>
      <c r="R63" t="s">
        <v>36572</v>
      </c>
      <c r="T63" s="22" t="s">
        <v>37402</v>
      </c>
      <c r="U63" s="22" t="s">
        <v>104</v>
      </c>
    </row>
    <row r="64" spans="1:21" x14ac:dyDescent="0.75">
      <c r="A64" t="s">
        <v>783</v>
      </c>
      <c r="B64" t="s">
        <v>33572</v>
      </c>
      <c r="C64" t="s">
        <v>33583</v>
      </c>
      <c r="D64" t="s">
        <v>33881</v>
      </c>
      <c r="E64" t="s">
        <v>33880</v>
      </c>
      <c r="F64" t="s">
        <v>34303</v>
      </c>
      <c r="G64" t="s">
        <v>6851</v>
      </c>
      <c r="H64" t="s">
        <v>8958</v>
      </c>
      <c r="J64" t="s">
        <v>33617</v>
      </c>
      <c r="K64" t="s">
        <v>33566</v>
      </c>
      <c r="L64" t="s">
        <v>33616</v>
      </c>
      <c r="N64" t="s">
        <v>36571</v>
      </c>
      <c r="O64" t="s">
        <v>36570</v>
      </c>
      <c r="P64">
        <v>1283313</v>
      </c>
      <c r="Q64" t="s">
        <v>36569</v>
      </c>
      <c r="R64" t="s">
        <v>36568</v>
      </c>
      <c r="T64" s="22" t="s">
        <v>37403</v>
      </c>
      <c r="U64" s="22" t="s">
        <v>104</v>
      </c>
    </row>
    <row r="65" spans="1:21" x14ac:dyDescent="0.75">
      <c r="A65" t="s">
        <v>36567</v>
      </c>
      <c r="B65" t="s">
        <v>33572</v>
      </c>
      <c r="C65" t="s">
        <v>33583</v>
      </c>
      <c r="D65" t="s">
        <v>33881</v>
      </c>
      <c r="E65" t="s">
        <v>33880</v>
      </c>
      <c r="F65" t="s">
        <v>34303</v>
      </c>
      <c r="G65" t="s">
        <v>6851</v>
      </c>
      <c r="H65" t="s">
        <v>36566</v>
      </c>
      <c r="J65" t="s">
        <v>33577</v>
      </c>
      <c r="K65" t="s">
        <v>33576</v>
      </c>
      <c r="L65" t="s">
        <v>33609</v>
      </c>
      <c r="N65" t="s">
        <v>36565</v>
      </c>
      <c r="O65" t="s">
        <v>36564</v>
      </c>
      <c r="P65">
        <v>1283313</v>
      </c>
      <c r="T65" s="22" t="s">
        <v>37404</v>
      </c>
      <c r="U65" s="22" t="s">
        <v>104</v>
      </c>
    </row>
    <row r="66" spans="1:21" x14ac:dyDescent="0.75">
      <c r="A66" t="s">
        <v>36563</v>
      </c>
      <c r="B66" t="s">
        <v>33572</v>
      </c>
      <c r="C66" t="s">
        <v>33583</v>
      </c>
      <c r="D66" t="s">
        <v>33881</v>
      </c>
      <c r="E66" t="s">
        <v>33880</v>
      </c>
      <c r="F66" t="s">
        <v>34303</v>
      </c>
      <c r="G66" t="s">
        <v>6851</v>
      </c>
      <c r="H66" t="s">
        <v>36562</v>
      </c>
      <c r="J66" t="s">
        <v>33577</v>
      </c>
      <c r="K66" t="s">
        <v>33576</v>
      </c>
      <c r="L66" t="s">
        <v>33609</v>
      </c>
      <c r="N66" t="s">
        <v>36561</v>
      </c>
      <c r="O66" t="s">
        <v>36560</v>
      </c>
      <c r="P66">
        <v>1283313</v>
      </c>
      <c r="T66" s="22" t="s">
        <v>37405</v>
      </c>
      <c r="U66" s="22" t="s">
        <v>104</v>
      </c>
    </row>
    <row r="67" spans="1:21" x14ac:dyDescent="0.75">
      <c r="A67" t="s">
        <v>36559</v>
      </c>
      <c r="B67" t="s">
        <v>33572</v>
      </c>
      <c r="C67" t="s">
        <v>33583</v>
      </c>
      <c r="D67" t="s">
        <v>33881</v>
      </c>
      <c r="E67" t="s">
        <v>33880</v>
      </c>
      <c r="F67" t="s">
        <v>34303</v>
      </c>
      <c r="G67" t="s">
        <v>6851</v>
      </c>
      <c r="H67" t="s">
        <v>36558</v>
      </c>
      <c r="J67" t="s">
        <v>33577</v>
      </c>
      <c r="K67" t="s">
        <v>33576</v>
      </c>
      <c r="L67" t="s">
        <v>33575</v>
      </c>
      <c r="N67" t="s">
        <v>36557</v>
      </c>
      <c r="O67" t="s">
        <v>36556</v>
      </c>
      <c r="P67">
        <v>1283313</v>
      </c>
      <c r="T67" s="22" t="s">
        <v>37406</v>
      </c>
      <c r="U67" s="22" t="s">
        <v>104</v>
      </c>
    </row>
    <row r="68" spans="1:21" x14ac:dyDescent="0.75">
      <c r="A68" t="s">
        <v>6850</v>
      </c>
      <c r="B68" t="s">
        <v>33572</v>
      </c>
      <c r="C68" t="s">
        <v>33583</v>
      </c>
      <c r="D68" t="s">
        <v>33881</v>
      </c>
      <c r="E68" t="s">
        <v>33880</v>
      </c>
      <c r="F68" t="s">
        <v>34303</v>
      </c>
      <c r="G68" t="s">
        <v>6851</v>
      </c>
      <c r="H68" t="s">
        <v>6852</v>
      </c>
      <c r="J68" t="s">
        <v>33567</v>
      </c>
      <c r="K68" t="s">
        <v>33566</v>
      </c>
      <c r="L68" t="s">
        <v>33575</v>
      </c>
      <c r="N68" t="s">
        <v>36555</v>
      </c>
      <c r="O68" t="s">
        <v>36554</v>
      </c>
      <c r="P68">
        <v>76122</v>
      </c>
      <c r="Q68" t="s">
        <v>36553</v>
      </c>
      <c r="R68" t="s">
        <v>36552</v>
      </c>
      <c r="T68" s="22" t="s">
        <v>36879</v>
      </c>
      <c r="U68" s="22" t="s">
        <v>104</v>
      </c>
    </row>
    <row r="69" spans="1:21" x14ac:dyDescent="0.75">
      <c r="A69" t="s">
        <v>9536</v>
      </c>
      <c r="B69" t="s">
        <v>33572</v>
      </c>
      <c r="C69" t="s">
        <v>34169</v>
      </c>
      <c r="D69" t="s">
        <v>34355</v>
      </c>
      <c r="E69" t="s">
        <v>34398</v>
      </c>
      <c r="F69" t="s">
        <v>34397</v>
      </c>
      <c r="G69" t="s">
        <v>9537</v>
      </c>
      <c r="H69" t="s">
        <v>9538</v>
      </c>
      <c r="J69" t="s">
        <v>33567</v>
      </c>
      <c r="K69" t="s">
        <v>33566</v>
      </c>
      <c r="L69" t="s">
        <v>33587</v>
      </c>
      <c r="M69" t="s">
        <v>36551</v>
      </c>
      <c r="N69" t="s">
        <v>36550</v>
      </c>
      <c r="O69" t="s">
        <v>36549</v>
      </c>
      <c r="P69">
        <v>419015</v>
      </c>
      <c r="Q69" t="s">
        <v>36548</v>
      </c>
      <c r="R69" t="s">
        <v>36547</v>
      </c>
      <c r="T69" s="22" t="s">
        <v>36880</v>
      </c>
      <c r="U69" s="22" t="s">
        <v>104</v>
      </c>
    </row>
    <row r="70" spans="1:21" x14ac:dyDescent="0.75">
      <c r="A70" t="s">
        <v>6733</v>
      </c>
      <c r="B70" t="s">
        <v>33572</v>
      </c>
      <c r="C70" t="s">
        <v>33606</v>
      </c>
      <c r="D70" t="s">
        <v>33663</v>
      </c>
      <c r="E70" t="s">
        <v>33662</v>
      </c>
      <c r="F70" t="s">
        <v>33661</v>
      </c>
      <c r="G70" t="s">
        <v>6435</v>
      </c>
      <c r="H70" t="s">
        <v>6734</v>
      </c>
      <c r="J70" t="s">
        <v>33567</v>
      </c>
      <c r="K70" t="s">
        <v>33566</v>
      </c>
      <c r="L70" t="s">
        <v>33659</v>
      </c>
      <c r="M70" t="s">
        <v>36546</v>
      </c>
      <c r="N70" t="s">
        <v>36545</v>
      </c>
      <c r="O70" t="s">
        <v>36544</v>
      </c>
      <c r="P70">
        <v>33032</v>
      </c>
      <c r="Q70" t="s">
        <v>36543</v>
      </c>
      <c r="R70" t="s">
        <v>36542</v>
      </c>
      <c r="T70" s="22" t="s">
        <v>36883</v>
      </c>
      <c r="U70" s="22" t="s">
        <v>1563</v>
      </c>
    </row>
    <row r="71" spans="1:21" x14ac:dyDescent="0.75">
      <c r="A71" t="s">
        <v>13938</v>
      </c>
      <c r="B71" t="s">
        <v>33572</v>
      </c>
      <c r="C71" t="s">
        <v>33606</v>
      </c>
      <c r="D71" t="s">
        <v>33663</v>
      </c>
      <c r="E71" t="s">
        <v>33662</v>
      </c>
      <c r="F71" t="s">
        <v>33661</v>
      </c>
      <c r="G71" t="s">
        <v>6435</v>
      </c>
      <c r="H71" t="s">
        <v>13939</v>
      </c>
      <c r="J71" t="s">
        <v>33567</v>
      </c>
      <c r="K71" t="s">
        <v>33566</v>
      </c>
      <c r="L71" t="s">
        <v>34095</v>
      </c>
      <c r="P71">
        <v>0</v>
      </c>
      <c r="Q71" t="s">
        <v>36541</v>
      </c>
      <c r="R71" t="s">
        <v>36540</v>
      </c>
      <c r="T71" s="22" t="s">
        <v>36885</v>
      </c>
      <c r="U71" s="22" t="s">
        <v>36806</v>
      </c>
    </row>
    <row r="72" spans="1:21" x14ac:dyDescent="0.75">
      <c r="A72" t="s">
        <v>14282</v>
      </c>
      <c r="B72" t="s">
        <v>33572</v>
      </c>
      <c r="C72" t="s">
        <v>33606</v>
      </c>
      <c r="D72" t="s">
        <v>33663</v>
      </c>
      <c r="E72" t="s">
        <v>33662</v>
      </c>
      <c r="F72" t="s">
        <v>33661</v>
      </c>
      <c r="G72" t="s">
        <v>6435</v>
      </c>
      <c r="H72" t="s">
        <v>14283</v>
      </c>
      <c r="J72" t="s">
        <v>33567</v>
      </c>
      <c r="K72" t="s">
        <v>33566</v>
      </c>
      <c r="L72" t="s">
        <v>34121</v>
      </c>
      <c r="O72" t="s">
        <v>33614</v>
      </c>
      <c r="P72">
        <v>54007</v>
      </c>
      <c r="Q72" t="s">
        <v>36539</v>
      </c>
      <c r="R72" t="s">
        <v>36538</v>
      </c>
      <c r="T72" s="22" t="s">
        <v>36884</v>
      </c>
      <c r="U72" s="22" t="s">
        <v>36806</v>
      </c>
    </row>
    <row r="73" spans="1:21" x14ac:dyDescent="0.75">
      <c r="A73" t="s">
        <v>6434</v>
      </c>
      <c r="B73" t="s">
        <v>33572</v>
      </c>
      <c r="C73" t="s">
        <v>33606</v>
      </c>
      <c r="D73" t="s">
        <v>33663</v>
      </c>
      <c r="E73" t="s">
        <v>33662</v>
      </c>
      <c r="F73" t="s">
        <v>33661</v>
      </c>
      <c r="G73" t="s">
        <v>6435</v>
      </c>
      <c r="H73" t="s">
        <v>6436</v>
      </c>
      <c r="J73" t="s">
        <v>33567</v>
      </c>
      <c r="K73" t="s">
        <v>33566</v>
      </c>
      <c r="L73" t="s">
        <v>33916</v>
      </c>
      <c r="N73" t="s">
        <v>36537</v>
      </c>
      <c r="O73" t="s">
        <v>36536</v>
      </c>
      <c r="P73">
        <v>33034</v>
      </c>
      <c r="Q73" t="s">
        <v>36535</v>
      </c>
      <c r="R73" t="s">
        <v>36534</v>
      </c>
      <c r="T73" s="22" t="s">
        <v>36886</v>
      </c>
      <c r="U73" s="22" t="s">
        <v>1563</v>
      </c>
    </row>
    <row r="74" spans="1:21" x14ac:dyDescent="0.75">
      <c r="A74" t="s">
        <v>36533</v>
      </c>
      <c r="B74" t="s">
        <v>33572</v>
      </c>
      <c r="C74" t="s">
        <v>33606</v>
      </c>
      <c r="D74" t="s">
        <v>33663</v>
      </c>
      <c r="E74" t="s">
        <v>33662</v>
      </c>
      <c r="F74" t="s">
        <v>33661</v>
      </c>
      <c r="G74" t="s">
        <v>6435</v>
      </c>
      <c r="H74" t="s">
        <v>36532</v>
      </c>
      <c r="J74" t="s">
        <v>33617</v>
      </c>
      <c r="K74" t="s">
        <v>33703</v>
      </c>
      <c r="L74" t="s">
        <v>36044</v>
      </c>
      <c r="O74" t="s">
        <v>33614</v>
      </c>
      <c r="P74">
        <v>165779</v>
      </c>
      <c r="T74" s="22" t="s">
        <v>37407</v>
      </c>
      <c r="U74" s="22" t="s">
        <v>36807</v>
      </c>
    </row>
    <row r="75" spans="1:21" x14ac:dyDescent="0.75">
      <c r="A75" t="s">
        <v>36531</v>
      </c>
      <c r="B75" t="s">
        <v>33572</v>
      </c>
      <c r="C75" t="s">
        <v>33606</v>
      </c>
      <c r="D75" t="s">
        <v>33663</v>
      </c>
      <c r="E75" t="s">
        <v>33662</v>
      </c>
      <c r="F75" t="s">
        <v>33661</v>
      </c>
      <c r="G75" t="s">
        <v>6435</v>
      </c>
      <c r="H75" t="s">
        <v>36530</v>
      </c>
      <c r="J75" t="s">
        <v>33577</v>
      </c>
      <c r="K75" t="s">
        <v>33576</v>
      </c>
      <c r="L75" t="s">
        <v>36028</v>
      </c>
      <c r="O75" t="s">
        <v>33614</v>
      </c>
      <c r="P75">
        <v>165779</v>
      </c>
      <c r="T75" s="22" t="s">
        <v>37408</v>
      </c>
      <c r="U75" s="22" t="s">
        <v>36806</v>
      </c>
    </row>
    <row r="76" spans="1:21" x14ac:dyDescent="0.75">
      <c r="A76" t="s">
        <v>6795</v>
      </c>
      <c r="B76" t="s">
        <v>33572</v>
      </c>
      <c r="C76" t="s">
        <v>33606</v>
      </c>
      <c r="D76" t="s">
        <v>33663</v>
      </c>
      <c r="E76" t="s">
        <v>33662</v>
      </c>
      <c r="F76" t="s">
        <v>33661</v>
      </c>
      <c r="G76" t="s">
        <v>6435</v>
      </c>
      <c r="H76" t="s">
        <v>6796</v>
      </c>
      <c r="J76" t="s">
        <v>33567</v>
      </c>
      <c r="K76" t="s">
        <v>33566</v>
      </c>
      <c r="L76" t="s">
        <v>34932</v>
      </c>
      <c r="N76" t="s">
        <v>36529</v>
      </c>
      <c r="O76" t="s">
        <v>36528</v>
      </c>
      <c r="P76">
        <v>33036</v>
      </c>
      <c r="Q76" t="s">
        <v>36527</v>
      </c>
      <c r="R76" t="s">
        <v>36526</v>
      </c>
      <c r="T76" s="22" t="s">
        <v>36882</v>
      </c>
      <c r="U76" s="22" t="s">
        <v>1308</v>
      </c>
    </row>
    <row r="77" spans="1:21" x14ac:dyDescent="0.75">
      <c r="A77" t="s">
        <v>7531</v>
      </c>
      <c r="B77" t="s">
        <v>33572</v>
      </c>
      <c r="C77" t="s">
        <v>33606</v>
      </c>
      <c r="D77" t="s">
        <v>33663</v>
      </c>
      <c r="E77" t="s">
        <v>33662</v>
      </c>
      <c r="F77" t="s">
        <v>33661</v>
      </c>
      <c r="G77" t="s">
        <v>6435</v>
      </c>
      <c r="H77" t="s">
        <v>7532</v>
      </c>
      <c r="J77" t="s">
        <v>33660</v>
      </c>
      <c r="K77" t="s">
        <v>33566</v>
      </c>
      <c r="L77" t="s">
        <v>34932</v>
      </c>
      <c r="O77" t="s">
        <v>33614</v>
      </c>
      <c r="P77">
        <v>165779</v>
      </c>
      <c r="Q77" t="s">
        <v>36525</v>
      </c>
      <c r="R77" t="s">
        <v>36524</v>
      </c>
      <c r="T77" s="22" t="s">
        <v>36881</v>
      </c>
      <c r="U77" s="22" t="s">
        <v>1308</v>
      </c>
    </row>
    <row r="78" spans="1:21" x14ac:dyDescent="0.75">
      <c r="A78" t="s">
        <v>8375</v>
      </c>
      <c r="B78" t="s">
        <v>33572</v>
      </c>
      <c r="C78" t="s">
        <v>33606</v>
      </c>
      <c r="D78" t="s">
        <v>33605</v>
      </c>
      <c r="E78" t="s">
        <v>33604</v>
      </c>
      <c r="F78" t="s">
        <v>33603</v>
      </c>
      <c r="G78" t="s">
        <v>8376</v>
      </c>
      <c r="H78" t="s">
        <v>8377</v>
      </c>
      <c r="J78" t="s">
        <v>33567</v>
      </c>
      <c r="K78" t="s">
        <v>33566</v>
      </c>
      <c r="L78" t="s">
        <v>33575</v>
      </c>
      <c r="N78" t="s">
        <v>36523</v>
      </c>
      <c r="O78" t="s">
        <v>36522</v>
      </c>
      <c r="P78">
        <v>156456</v>
      </c>
      <c r="Q78" t="s">
        <v>36521</v>
      </c>
      <c r="R78" t="s">
        <v>36520</v>
      </c>
      <c r="T78" s="22" t="s">
        <v>36887</v>
      </c>
      <c r="U78" s="22" t="s">
        <v>104</v>
      </c>
    </row>
    <row r="79" spans="1:21" x14ac:dyDescent="0.75">
      <c r="A79" t="s">
        <v>27131</v>
      </c>
      <c r="B79" t="s">
        <v>33572</v>
      </c>
      <c r="C79" t="s">
        <v>33606</v>
      </c>
      <c r="D79" t="s">
        <v>33605</v>
      </c>
      <c r="E79" t="s">
        <v>33604</v>
      </c>
      <c r="F79" t="s">
        <v>33603</v>
      </c>
      <c r="G79" t="s">
        <v>8376</v>
      </c>
      <c r="H79" t="s">
        <v>8644</v>
      </c>
      <c r="J79" t="s">
        <v>34251</v>
      </c>
      <c r="K79" t="s">
        <v>33576</v>
      </c>
      <c r="L79" t="s">
        <v>33659</v>
      </c>
      <c r="N79" t="s">
        <v>36519</v>
      </c>
      <c r="O79" t="s">
        <v>36518</v>
      </c>
      <c r="P79">
        <v>1852379</v>
      </c>
      <c r="Q79" t="s">
        <v>36517</v>
      </c>
      <c r="R79" t="s">
        <v>36516</v>
      </c>
      <c r="T79" s="22" t="s">
        <v>36888</v>
      </c>
      <c r="U79" s="22" t="s">
        <v>1563</v>
      </c>
    </row>
    <row r="80" spans="1:21" x14ac:dyDescent="0.75">
      <c r="A80" t="s">
        <v>7636</v>
      </c>
      <c r="B80" t="s">
        <v>33572</v>
      </c>
      <c r="C80" t="s">
        <v>36307</v>
      </c>
      <c r="D80" t="s">
        <v>36515</v>
      </c>
      <c r="E80" t="s">
        <v>36514</v>
      </c>
      <c r="F80" t="s">
        <v>36513</v>
      </c>
      <c r="G80" t="s">
        <v>7637</v>
      </c>
      <c r="H80" t="s">
        <v>7638</v>
      </c>
      <c r="J80" t="s">
        <v>33567</v>
      </c>
      <c r="K80" t="s">
        <v>33566</v>
      </c>
      <c r="L80" t="s">
        <v>34437</v>
      </c>
      <c r="O80" t="s">
        <v>36303</v>
      </c>
      <c r="P80">
        <v>167964</v>
      </c>
      <c r="Q80" t="s">
        <v>7635</v>
      </c>
      <c r="R80" t="s">
        <v>36438</v>
      </c>
      <c r="T80" s="22" t="s">
        <v>36889</v>
      </c>
      <c r="U80" s="22" t="s">
        <v>686</v>
      </c>
    </row>
    <row r="81" spans="1:21" x14ac:dyDescent="0.75">
      <c r="A81" t="s">
        <v>1647</v>
      </c>
      <c r="B81" t="s">
        <v>33572</v>
      </c>
      <c r="C81" t="s">
        <v>36307</v>
      </c>
      <c r="D81" t="s">
        <v>36515</v>
      </c>
      <c r="E81" t="s">
        <v>36514</v>
      </c>
      <c r="F81" t="s">
        <v>36513</v>
      </c>
      <c r="G81" t="s">
        <v>9439</v>
      </c>
      <c r="H81" t="s">
        <v>9440</v>
      </c>
      <c r="J81" t="s">
        <v>33617</v>
      </c>
      <c r="K81" t="s">
        <v>33566</v>
      </c>
      <c r="L81" t="s">
        <v>33587</v>
      </c>
      <c r="N81" t="s">
        <v>36512</v>
      </c>
      <c r="O81" t="s">
        <v>36511</v>
      </c>
      <c r="P81">
        <v>292628</v>
      </c>
      <c r="Q81" t="s">
        <v>36510</v>
      </c>
      <c r="R81" t="s">
        <v>36509</v>
      </c>
      <c r="T81" s="22" t="s">
        <v>37409</v>
      </c>
      <c r="U81" s="22" t="s">
        <v>104</v>
      </c>
    </row>
    <row r="82" spans="1:21" x14ac:dyDescent="0.75">
      <c r="A82" t="s">
        <v>6539</v>
      </c>
      <c r="B82" t="s">
        <v>33572</v>
      </c>
      <c r="C82" t="s">
        <v>33606</v>
      </c>
      <c r="D82" t="s">
        <v>33663</v>
      </c>
      <c r="E82" t="s">
        <v>33662</v>
      </c>
      <c r="F82" t="s">
        <v>33661</v>
      </c>
      <c r="G82" t="s">
        <v>6540</v>
      </c>
      <c r="H82" t="s">
        <v>6541</v>
      </c>
      <c r="J82" t="s">
        <v>33567</v>
      </c>
      <c r="K82" t="s">
        <v>33566</v>
      </c>
      <c r="L82" t="s">
        <v>33587</v>
      </c>
      <c r="N82" t="s">
        <v>36508</v>
      </c>
      <c r="O82" t="s">
        <v>36507</v>
      </c>
      <c r="P82">
        <v>652713</v>
      </c>
      <c r="Q82" t="s">
        <v>36506</v>
      </c>
      <c r="R82" t="s">
        <v>36505</v>
      </c>
      <c r="T82" s="22" t="s">
        <v>36890</v>
      </c>
      <c r="U82" s="22" t="s">
        <v>104</v>
      </c>
    </row>
    <row r="83" spans="1:21" x14ac:dyDescent="0.75">
      <c r="A83" t="s">
        <v>36504</v>
      </c>
      <c r="B83" t="s">
        <v>33572</v>
      </c>
      <c r="C83" t="s">
        <v>33606</v>
      </c>
      <c r="D83" t="s">
        <v>33663</v>
      </c>
      <c r="E83" t="s">
        <v>34746</v>
      </c>
      <c r="F83" t="s">
        <v>35177</v>
      </c>
      <c r="G83" t="s">
        <v>8435</v>
      </c>
      <c r="H83" t="s">
        <v>36503</v>
      </c>
      <c r="J83" t="s">
        <v>33577</v>
      </c>
      <c r="K83" t="s">
        <v>33576</v>
      </c>
      <c r="L83" t="s">
        <v>33659</v>
      </c>
      <c r="N83" t="s">
        <v>36502</v>
      </c>
      <c r="O83" t="s">
        <v>36501</v>
      </c>
      <c r="P83">
        <v>186804</v>
      </c>
      <c r="T83" s="22" t="s">
        <v>37410</v>
      </c>
      <c r="U83" s="22" t="s">
        <v>1563</v>
      </c>
    </row>
    <row r="84" spans="1:21" x14ac:dyDescent="0.75">
      <c r="A84" t="s">
        <v>8434</v>
      </c>
      <c r="B84" t="s">
        <v>33572</v>
      </c>
      <c r="C84" t="s">
        <v>33606</v>
      </c>
      <c r="D84" t="s">
        <v>33663</v>
      </c>
      <c r="E84" t="s">
        <v>34746</v>
      </c>
      <c r="F84" t="s">
        <v>35177</v>
      </c>
      <c r="G84" t="s">
        <v>8435</v>
      </c>
      <c r="H84" t="s">
        <v>8436</v>
      </c>
      <c r="J84" t="s">
        <v>33567</v>
      </c>
      <c r="K84" t="s">
        <v>33566</v>
      </c>
      <c r="L84" t="s">
        <v>33609</v>
      </c>
      <c r="M84" t="s">
        <v>36500</v>
      </c>
      <c r="N84" t="s">
        <v>36499</v>
      </c>
      <c r="O84" t="s">
        <v>36498</v>
      </c>
      <c r="P84">
        <v>186804</v>
      </c>
      <c r="Q84" t="s">
        <v>36497</v>
      </c>
      <c r="R84" t="s">
        <v>36496</v>
      </c>
      <c r="T84" s="22" t="s">
        <v>37411</v>
      </c>
      <c r="U84" s="22" t="s">
        <v>104</v>
      </c>
    </row>
    <row r="85" spans="1:21" x14ac:dyDescent="0.75">
      <c r="A85" t="s">
        <v>10207</v>
      </c>
      <c r="B85" t="s">
        <v>33572</v>
      </c>
      <c r="C85" t="s">
        <v>33606</v>
      </c>
      <c r="D85" t="s">
        <v>33663</v>
      </c>
      <c r="E85" t="s">
        <v>34746</v>
      </c>
      <c r="F85" t="s">
        <v>35177</v>
      </c>
      <c r="G85" t="s">
        <v>8435</v>
      </c>
      <c r="H85" t="s">
        <v>10208</v>
      </c>
      <c r="J85" t="s">
        <v>33567</v>
      </c>
      <c r="K85" t="s">
        <v>33566</v>
      </c>
      <c r="L85" t="s">
        <v>33575</v>
      </c>
      <c r="N85" t="s">
        <v>36495</v>
      </c>
      <c r="O85" t="s">
        <v>36494</v>
      </c>
      <c r="P85">
        <v>186804</v>
      </c>
      <c r="Q85" t="s">
        <v>36493</v>
      </c>
      <c r="R85" t="s">
        <v>36492</v>
      </c>
      <c r="T85" s="22" t="s">
        <v>37412</v>
      </c>
      <c r="U85" s="22" t="s">
        <v>104</v>
      </c>
    </row>
    <row r="86" spans="1:21" x14ac:dyDescent="0.75">
      <c r="A86" t="s">
        <v>36491</v>
      </c>
      <c r="B86" t="s">
        <v>33572</v>
      </c>
      <c r="C86" t="s">
        <v>33606</v>
      </c>
      <c r="D86" t="s">
        <v>33663</v>
      </c>
      <c r="E86" t="s">
        <v>34746</v>
      </c>
      <c r="F86" t="s">
        <v>35177</v>
      </c>
      <c r="G86" t="s">
        <v>36490</v>
      </c>
      <c r="H86" t="s">
        <v>36489</v>
      </c>
      <c r="J86" t="s">
        <v>33577</v>
      </c>
      <c r="K86" t="s">
        <v>33576</v>
      </c>
      <c r="L86" t="s">
        <v>33609</v>
      </c>
      <c r="N86" t="s">
        <v>36488</v>
      </c>
      <c r="O86" t="s">
        <v>36487</v>
      </c>
      <c r="P86">
        <v>186804</v>
      </c>
      <c r="T86" s="22" t="s">
        <v>37413</v>
      </c>
      <c r="U86" s="22" t="s">
        <v>104</v>
      </c>
    </row>
    <row r="87" spans="1:21" x14ac:dyDescent="0.75">
      <c r="A87" t="s">
        <v>36486</v>
      </c>
      <c r="B87" t="s">
        <v>33572</v>
      </c>
      <c r="C87" t="s">
        <v>33606</v>
      </c>
      <c r="D87" t="s">
        <v>33663</v>
      </c>
      <c r="E87" t="s">
        <v>34746</v>
      </c>
      <c r="F87" t="s">
        <v>35177</v>
      </c>
      <c r="G87" t="s">
        <v>36481</v>
      </c>
      <c r="H87" t="s">
        <v>36485</v>
      </c>
      <c r="J87" t="s">
        <v>33577</v>
      </c>
      <c r="K87" t="s">
        <v>33576</v>
      </c>
      <c r="L87" t="s">
        <v>33587</v>
      </c>
      <c r="N87" t="s">
        <v>36484</v>
      </c>
      <c r="O87" t="s">
        <v>36483</v>
      </c>
      <c r="P87">
        <v>186804</v>
      </c>
      <c r="T87" s="22" t="s">
        <v>37414</v>
      </c>
      <c r="U87" s="22" t="s">
        <v>104</v>
      </c>
    </row>
    <row r="88" spans="1:21" x14ac:dyDescent="0.75">
      <c r="A88" t="s">
        <v>36482</v>
      </c>
      <c r="B88" t="s">
        <v>33572</v>
      </c>
      <c r="C88" t="s">
        <v>33606</v>
      </c>
      <c r="D88" t="s">
        <v>33663</v>
      </c>
      <c r="E88" t="s">
        <v>34746</v>
      </c>
      <c r="F88" t="s">
        <v>35177</v>
      </c>
      <c r="G88" t="s">
        <v>36481</v>
      </c>
      <c r="H88" t="s">
        <v>36480</v>
      </c>
      <c r="J88" t="s">
        <v>33577</v>
      </c>
      <c r="K88" t="s">
        <v>33576</v>
      </c>
      <c r="L88" t="s">
        <v>33587</v>
      </c>
      <c r="N88" t="s">
        <v>36479</v>
      </c>
      <c r="O88" t="s">
        <v>33614</v>
      </c>
      <c r="P88">
        <v>186804</v>
      </c>
      <c r="T88" s="22" t="s">
        <v>37415</v>
      </c>
      <c r="U88" s="22" t="s">
        <v>104</v>
      </c>
    </row>
    <row r="89" spans="1:21" x14ac:dyDescent="0.75">
      <c r="A89" t="s">
        <v>36478</v>
      </c>
      <c r="B89" t="s">
        <v>33572</v>
      </c>
      <c r="C89" t="s">
        <v>33606</v>
      </c>
      <c r="D89" t="s">
        <v>33663</v>
      </c>
      <c r="E89" t="s">
        <v>34746</v>
      </c>
      <c r="F89" t="s">
        <v>35177</v>
      </c>
      <c r="G89" t="s">
        <v>36477</v>
      </c>
      <c r="H89" t="s">
        <v>36476</v>
      </c>
      <c r="J89" t="s">
        <v>33577</v>
      </c>
      <c r="K89" t="s">
        <v>33576</v>
      </c>
      <c r="L89" t="s">
        <v>33609</v>
      </c>
      <c r="N89" t="s">
        <v>36475</v>
      </c>
      <c r="O89" t="s">
        <v>36474</v>
      </c>
      <c r="P89">
        <v>186804</v>
      </c>
      <c r="T89" s="22" t="s">
        <v>37416</v>
      </c>
      <c r="U89" s="22" t="s">
        <v>104</v>
      </c>
    </row>
    <row r="90" spans="1:21" x14ac:dyDescent="0.75">
      <c r="A90" t="s">
        <v>36473</v>
      </c>
      <c r="B90" t="s">
        <v>33572</v>
      </c>
      <c r="C90" t="s">
        <v>33606</v>
      </c>
      <c r="D90" t="s">
        <v>33663</v>
      </c>
      <c r="E90" t="s">
        <v>34746</v>
      </c>
      <c r="F90" t="s">
        <v>35177</v>
      </c>
      <c r="G90" t="s">
        <v>6963</v>
      </c>
      <c r="H90" t="s">
        <v>36472</v>
      </c>
      <c r="J90" t="s">
        <v>33577</v>
      </c>
      <c r="K90" t="s">
        <v>33576</v>
      </c>
      <c r="L90" t="s">
        <v>33587</v>
      </c>
      <c r="N90" t="s">
        <v>36471</v>
      </c>
      <c r="O90" t="s">
        <v>36470</v>
      </c>
      <c r="P90">
        <v>186804</v>
      </c>
      <c r="T90" s="22" t="s">
        <v>37417</v>
      </c>
      <c r="U90" s="22" t="s">
        <v>104</v>
      </c>
    </row>
    <row r="91" spans="1:21" x14ac:dyDescent="0.75">
      <c r="A91" t="s">
        <v>6962</v>
      </c>
      <c r="B91" t="s">
        <v>33572</v>
      </c>
      <c r="C91" t="s">
        <v>33606</v>
      </c>
      <c r="D91" t="s">
        <v>33663</v>
      </c>
      <c r="E91" t="s">
        <v>34746</v>
      </c>
      <c r="F91" t="s">
        <v>35177</v>
      </c>
      <c r="G91" t="s">
        <v>6963</v>
      </c>
      <c r="H91" t="s">
        <v>6964</v>
      </c>
      <c r="J91" t="s">
        <v>33567</v>
      </c>
      <c r="K91" t="s">
        <v>33566</v>
      </c>
      <c r="L91" t="s">
        <v>33587</v>
      </c>
      <c r="N91" t="s">
        <v>36469</v>
      </c>
      <c r="O91" t="s">
        <v>36468</v>
      </c>
      <c r="P91">
        <v>186804</v>
      </c>
      <c r="Q91" t="s">
        <v>36467</v>
      </c>
      <c r="R91" t="s">
        <v>36466</v>
      </c>
      <c r="T91" s="22" t="s">
        <v>37418</v>
      </c>
      <c r="U91" s="22" t="s">
        <v>104</v>
      </c>
    </row>
    <row r="92" spans="1:21" x14ac:dyDescent="0.75">
      <c r="A92" t="s">
        <v>36465</v>
      </c>
      <c r="B92" t="s">
        <v>33572</v>
      </c>
      <c r="C92" t="s">
        <v>33606</v>
      </c>
      <c r="D92" t="s">
        <v>33663</v>
      </c>
      <c r="E92" t="s">
        <v>34746</v>
      </c>
      <c r="F92" t="s">
        <v>35177</v>
      </c>
      <c r="G92" t="s">
        <v>36464</v>
      </c>
      <c r="H92" t="s">
        <v>36463</v>
      </c>
      <c r="J92" t="s">
        <v>33577</v>
      </c>
      <c r="K92" t="s">
        <v>33576</v>
      </c>
      <c r="L92" t="s">
        <v>33659</v>
      </c>
      <c r="N92" t="s">
        <v>36462</v>
      </c>
      <c r="O92" t="s">
        <v>36461</v>
      </c>
      <c r="P92">
        <v>186804</v>
      </c>
      <c r="T92" s="22" t="s">
        <v>37419</v>
      </c>
      <c r="U92" s="22" t="s">
        <v>1563</v>
      </c>
    </row>
    <row r="93" spans="1:21" x14ac:dyDescent="0.75">
      <c r="A93" t="s">
        <v>6343</v>
      </c>
      <c r="B93" t="s">
        <v>33572</v>
      </c>
      <c r="C93" t="s">
        <v>33606</v>
      </c>
      <c r="D93" t="s">
        <v>33913</v>
      </c>
      <c r="E93" t="s">
        <v>34090</v>
      </c>
      <c r="F93" t="s">
        <v>36422</v>
      </c>
      <c r="G93" t="s">
        <v>6344</v>
      </c>
      <c r="H93" t="s">
        <v>6345</v>
      </c>
      <c r="J93" t="s">
        <v>33567</v>
      </c>
      <c r="K93" t="s">
        <v>33566</v>
      </c>
      <c r="L93" t="s">
        <v>33651</v>
      </c>
      <c r="O93" t="s">
        <v>33614</v>
      </c>
      <c r="P93">
        <v>33934</v>
      </c>
      <c r="Q93" t="s">
        <v>36460</v>
      </c>
      <c r="R93" t="s">
        <v>36459</v>
      </c>
      <c r="T93" s="22" t="s">
        <v>36894</v>
      </c>
      <c r="U93" s="22" t="s">
        <v>144</v>
      </c>
    </row>
    <row r="94" spans="1:21" x14ac:dyDescent="0.75">
      <c r="A94" t="s">
        <v>18863</v>
      </c>
      <c r="B94" t="s">
        <v>33572</v>
      </c>
      <c r="C94" t="s">
        <v>33571</v>
      </c>
      <c r="D94" t="s">
        <v>34135</v>
      </c>
      <c r="E94" t="s">
        <v>35256</v>
      </c>
      <c r="F94" t="s">
        <v>35255</v>
      </c>
      <c r="G94" t="s">
        <v>18864</v>
      </c>
      <c r="H94" t="s">
        <v>18865</v>
      </c>
      <c r="J94" t="s">
        <v>33567</v>
      </c>
      <c r="K94" t="s">
        <v>33566</v>
      </c>
      <c r="L94" t="s">
        <v>33651</v>
      </c>
      <c r="N94" t="s">
        <v>36458</v>
      </c>
      <c r="O94" t="s">
        <v>36457</v>
      </c>
      <c r="P94">
        <v>89772</v>
      </c>
      <c r="Q94" t="s">
        <v>36456</v>
      </c>
      <c r="R94" t="s">
        <v>36455</v>
      </c>
      <c r="T94" s="22" t="s">
        <v>36895</v>
      </c>
      <c r="U94" s="22" t="s">
        <v>144</v>
      </c>
    </row>
    <row r="95" spans="1:21" x14ac:dyDescent="0.75">
      <c r="A95" t="s">
        <v>8683</v>
      </c>
      <c r="B95" t="s">
        <v>33572</v>
      </c>
      <c r="C95" t="s">
        <v>34169</v>
      </c>
      <c r="D95" t="s">
        <v>34355</v>
      </c>
      <c r="E95" t="s">
        <v>34589</v>
      </c>
      <c r="F95" t="s">
        <v>34588</v>
      </c>
      <c r="G95" t="s">
        <v>8684</v>
      </c>
      <c r="H95" t="s">
        <v>8685</v>
      </c>
      <c r="J95" t="s">
        <v>33567</v>
      </c>
      <c r="K95" t="s">
        <v>33566</v>
      </c>
      <c r="L95" t="s">
        <v>33575</v>
      </c>
      <c r="N95" t="s">
        <v>36454</v>
      </c>
      <c r="O95" t="s">
        <v>36453</v>
      </c>
      <c r="P95">
        <v>1750</v>
      </c>
      <c r="Q95" t="s">
        <v>36452</v>
      </c>
      <c r="R95" t="s">
        <v>36451</v>
      </c>
      <c r="T95" s="22" t="s">
        <v>36896</v>
      </c>
      <c r="U95" s="22" t="s">
        <v>104</v>
      </c>
    </row>
    <row r="96" spans="1:21" x14ac:dyDescent="0.75">
      <c r="A96" t="s">
        <v>2767</v>
      </c>
      <c r="B96" t="s">
        <v>33572</v>
      </c>
      <c r="C96" t="s">
        <v>34169</v>
      </c>
      <c r="D96" t="s">
        <v>34355</v>
      </c>
      <c r="E96" t="s">
        <v>34589</v>
      </c>
      <c r="F96" t="s">
        <v>34588</v>
      </c>
      <c r="G96" t="s">
        <v>8684</v>
      </c>
      <c r="H96" t="s">
        <v>18658</v>
      </c>
      <c r="J96" t="s">
        <v>33567</v>
      </c>
      <c r="K96" t="s">
        <v>33566</v>
      </c>
      <c r="L96" t="s">
        <v>33616</v>
      </c>
      <c r="N96" t="s">
        <v>36450</v>
      </c>
      <c r="O96" t="s">
        <v>36449</v>
      </c>
      <c r="P96">
        <v>1547448</v>
      </c>
      <c r="Q96" t="s">
        <v>36448</v>
      </c>
      <c r="R96" t="s">
        <v>36447</v>
      </c>
      <c r="T96" s="22" t="s">
        <v>2768</v>
      </c>
      <c r="U96" s="22" t="s">
        <v>104</v>
      </c>
    </row>
    <row r="97" spans="1:21" x14ac:dyDescent="0.75">
      <c r="A97" t="s">
        <v>6557</v>
      </c>
      <c r="B97" t="s">
        <v>33572</v>
      </c>
      <c r="C97" t="s">
        <v>34169</v>
      </c>
      <c r="D97" t="s">
        <v>34355</v>
      </c>
      <c r="E97" t="s">
        <v>34354</v>
      </c>
      <c r="F97" t="s">
        <v>34353</v>
      </c>
      <c r="G97" t="s">
        <v>6558</v>
      </c>
      <c r="H97" t="s">
        <v>6559</v>
      </c>
      <c r="J97" t="s">
        <v>33567</v>
      </c>
      <c r="K97" t="s">
        <v>33566</v>
      </c>
      <c r="L97" t="s">
        <v>34083</v>
      </c>
      <c r="N97" t="s">
        <v>36446</v>
      </c>
      <c r="O97" t="s">
        <v>36445</v>
      </c>
      <c r="P97">
        <v>28264</v>
      </c>
      <c r="Q97" t="s">
        <v>36444</v>
      </c>
      <c r="R97" t="s">
        <v>36443</v>
      </c>
      <c r="T97" s="22" t="s">
        <v>36897</v>
      </c>
      <c r="U97" s="22" t="s">
        <v>963</v>
      </c>
    </row>
    <row r="98" spans="1:21" x14ac:dyDescent="0.75">
      <c r="A98" t="s">
        <v>11377</v>
      </c>
      <c r="B98" t="s">
        <v>33572</v>
      </c>
      <c r="C98" t="s">
        <v>34169</v>
      </c>
      <c r="D98" t="s">
        <v>34355</v>
      </c>
      <c r="E98" t="s">
        <v>34409</v>
      </c>
      <c r="F98" t="s">
        <v>36442</v>
      </c>
      <c r="G98" t="s">
        <v>11378</v>
      </c>
      <c r="H98" t="s">
        <v>11379</v>
      </c>
      <c r="J98" t="s">
        <v>33617</v>
      </c>
      <c r="K98" t="s">
        <v>33566</v>
      </c>
      <c r="L98" t="s">
        <v>33651</v>
      </c>
      <c r="M98" t="s">
        <v>36441</v>
      </c>
      <c r="N98" t="s">
        <v>36440</v>
      </c>
      <c r="O98" t="s">
        <v>36439</v>
      </c>
      <c r="P98">
        <v>229480</v>
      </c>
      <c r="Q98" t="s">
        <v>11376</v>
      </c>
      <c r="R98" t="s">
        <v>36438</v>
      </c>
      <c r="T98" s="22" t="s">
        <v>37420</v>
      </c>
      <c r="U98" s="22" t="s">
        <v>144</v>
      </c>
    </row>
    <row r="99" spans="1:21" x14ac:dyDescent="0.75">
      <c r="A99" t="s">
        <v>7198</v>
      </c>
      <c r="B99" t="s">
        <v>33572</v>
      </c>
      <c r="C99" t="s">
        <v>36437</v>
      </c>
      <c r="D99" t="s">
        <v>36436</v>
      </c>
      <c r="E99" t="s">
        <v>36435</v>
      </c>
      <c r="F99" t="s">
        <v>36434</v>
      </c>
      <c r="G99" t="s">
        <v>7199</v>
      </c>
      <c r="H99" t="s">
        <v>7200</v>
      </c>
      <c r="J99" t="s">
        <v>33567</v>
      </c>
      <c r="K99" t="s">
        <v>33566</v>
      </c>
      <c r="L99" t="s">
        <v>33651</v>
      </c>
      <c r="O99" t="s">
        <v>36433</v>
      </c>
      <c r="P99">
        <v>118562</v>
      </c>
      <c r="Q99" t="s">
        <v>36432</v>
      </c>
      <c r="R99" t="s">
        <v>36431</v>
      </c>
      <c r="T99" s="22" t="s">
        <v>36899</v>
      </c>
      <c r="U99" s="22" t="s">
        <v>144</v>
      </c>
    </row>
    <row r="100" spans="1:21" x14ac:dyDescent="0.75">
      <c r="A100" t="s">
        <v>9285</v>
      </c>
      <c r="B100" t="s">
        <v>33572</v>
      </c>
      <c r="C100" t="s">
        <v>34169</v>
      </c>
      <c r="D100" t="s">
        <v>34168</v>
      </c>
      <c r="E100" t="s">
        <v>34914</v>
      </c>
      <c r="F100" t="s">
        <v>34913</v>
      </c>
      <c r="G100" t="s">
        <v>9286</v>
      </c>
      <c r="H100" t="s">
        <v>9287</v>
      </c>
      <c r="J100" t="s">
        <v>33567</v>
      </c>
      <c r="K100" t="s">
        <v>33566</v>
      </c>
      <c r="L100" t="s">
        <v>33659</v>
      </c>
      <c r="N100" t="s">
        <v>36430</v>
      </c>
      <c r="O100" t="s">
        <v>36429</v>
      </c>
      <c r="P100">
        <v>1381</v>
      </c>
      <c r="Q100" t="s">
        <v>36428</v>
      </c>
      <c r="R100" t="s">
        <v>36427</v>
      </c>
      <c r="T100" s="22" t="s">
        <v>36900</v>
      </c>
      <c r="U100" s="22" t="s">
        <v>1563</v>
      </c>
    </row>
    <row r="101" spans="1:21" x14ac:dyDescent="0.75">
      <c r="A101" t="s">
        <v>7104</v>
      </c>
      <c r="B101" t="s">
        <v>33572</v>
      </c>
      <c r="C101" t="s">
        <v>33606</v>
      </c>
      <c r="D101" t="s">
        <v>33913</v>
      </c>
      <c r="E101" t="s">
        <v>34090</v>
      </c>
      <c r="F101" t="s">
        <v>36422</v>
      </c>
      <c r="G101" t="s">
        <v>6173</v>
      </c>
      <c r="H101" t="s">
        <v>7105</v>
      </c>
      <c r="J101" t="s">
        <v>33567</v>
      </c>
      <c r="K101" t="s">
        <v>33566</v>
      </c>
      <c r="L101" t="s">
        <v>33565</v>
      </c>
      <c r="N101" t="s">
        <v>36426</v>
      </c>
      <c r="O101" t="s">
        <v>36425</v>
      </c>
      <c r="P101">
        <v>1392</v>
      </c>
      <c r="Q101" t="s">
        <v>36424</v>
      </c>
      <c r="R101" t="s">
        <v>36423</v>
      </c>
      <c r="T101" s="22" t="s">
        <v>36902</v>
      </c>
      <c r="U101" s="22" t="s">
        <v>36804</v>
      </c>
    </row>
    <row r="102" spans="1:21" x14ac:dyDescent="0.75">
      <c r="A102" t="s">
        <v>6172</v>
      </c>
      <c r="B102" t="s">
        <v>33572</v>
      </c>
      <c r="C102" t="s">
        <v>33606</v>
      </c>
      <c r="D102" t="s">
        <v>33913</v>
      </c>
      <c r="E102" t="s">
        <v>34090</v>
      </c>
      <c r="F102" t="s">
        <v>36422</v>
      </c>
      <c r="G102" t="s">
        <v>6173</v>
      </c>
      <c r="H102" t="s">
        <v>6174</v>
      </c>
      <c r="J102" t="s">
        <v>33567</v>
      </c>
      <c r="K102" t="s">
        <v>33566</v>
      </c>
      <c r="L102" t="s">
        <v>33651</v>
      </c>
      <c r="N102" t="s">
        <v>36421</v>
      </c>
      <c r="O102" t="s">
        <v>36420</v>
      </c>
      <c r="P102">
        <v>1423</v>
      </c>
      <c r="Q102" t="s">
        <v>36419</v>
      </c>
      <c r="R102" t="s">
        <v>36418</v>
      </c>
      <c r="T102" s="22" t="s">
        <v>36901</v>
      </c>
      <c r="U102" s="22" t="s">
        <v>144</v>
      </c>
    </row>
    <row r="103" spans="1:21" x14ac:dyDescent="0.75">
      <c r="A103" t="s">
        <v>1745</v>
      </c>
      <c r="B103" t="s">
        <v>33572</v>
      </c>
      <c r="C103" t="s">
        <v>33583</v>
      </c>
      <c r="D103" t="s">
        <v>33881</v>
      </c>
      <c r="E103" t="s">
        <v>33880</v>
      </c>
      <c r="F103" t="s">
        <v>34727</v>
      </c>
      <c r="G103" t="s">
        <v>6718</v>
      </c>
      <c r="H103" t="s">
        <v>13814</v>
      </c>
      <c r="J103" t="s">
        <v>33567</v>
      </c>
      <c r="K103" t="s">
        <v>33566</v>
      </c>
      <c r="L103" t="s">
        <v>34670</v>
      </c>
      <c r="P103">
        <v>0</v>
      </c>
      <c r="Q103" t="s">
        <v>36417</v>
      </c>
      <c r="R103" t="s">
        <v>36416</v>
      </c>
      <c r="T103" s="22" t="s">
        <v>1746</v>
      </c>
      <c r="U103" s="22" t="s">
        <v>34</v>
      </c>
    </row>
    <row r="104" spans="1:21" x14ac:dyDescent="0.75">
      <c r="A104" t="s">
        <v>1998</v>
      </c>
      <c r="B104" t="s">
        <v>33572</v>
      </c>
      <c r="C104" t="s">
        <v>33583</v>
      </c>
      <c r="D104" t="s">
        <v>33881</v>
      </c>
      <c r="E104" t="s">
        <v>33880</v>
      </c>
      <c r="F104" t="s">
        <v>34727</v>
      </c>
      <c r="G104" t="s">
        <v>6718</v>
      </c>
      <c r="H104" t="s">
        <v>14718</v>
      </c>
      <c r="J104" t="s">
        <v>33567</v>
      </c>
      <c r="K104" t="s">
        <v>33566</v>
      </c>
      <c r="L104" t="s">
        <v>33587</v>
      </c>
      <c r="N104" t="s">
        <v>36415</v>
      </c>
      <c r="O104" t="s">
        <v>36414</v>
      </c>
      <c r="P104">
        <v>28113</v>
      </c>
      <c r="Q104" t="s">
        <v>36413</v>
      </c>
      <c r="R104" t="s">
        <v>36412</v>
      </c>
      <c r="T104" s="22" t="s">
        <v>1999</v>
      </c>
      <c r="U104" s="22" t="s">
        <v>104</v>
      </c>
    </row>
    <row r="105" spans="1:21" x14ac:dyDescent="0.75">
      <c r="A105" t="s">
        <v>1492</v>
      </c>
      <c r="B105" t="s">
        <v>33572</v>
      </c>
      <c r="C105" t="s">
        <v>33583</v>
      </c>
      <c r="D105" t="s">
        <v>33881</v>
      </c>
      <c r="E105" t="s">
        <v>33880</v>
      </c>
      <c r="F105" t="s">
        <v>34727</v>
      </c>
      <c r="G105" t="s">
        <v>6718</v>
      </c>
      <c r="H105" t="s">
        <v>11570</v>
      </c>
      <c r="J105" t="s">
        <v>33567</v>
      </c>
      <c r="K105" t="s">
        <v>33566</v>
      </c>
      <c r="L105" t="s">
        <v>34670</v>
      </c>
      <c r="P105">
        <v>0</v>
      </c>
      <c r="Q105" t="s">
        <v>36411</v>
      </c>
      <c r="R105" t="s">
        <v>36410</v>
      </c>
      <c r="T105" s="22" t="s">
        <v>1493</v>
      </c>
      <c r="U105" s="22" t="s">
        <v>34</v>
      </c>
    </row>
    <row r="106" spans="1:21" x14ac:dyDescent="0.75">
      <c r="A106" t="s">
        <v>964</v>
      </c>
      <c r="B106" t="s">
        <v>33572</v>
      </c>
      <c r="C106" t="s">
        <v>33583</v>
      </c>
      <c r="D106" t="s">
        <v>33881</v>
      </c>
      <c r="E106" t="s">
        <v>33880</v>
      </c>
      <c r="F106" t="s">
        <v>34727</v>
      </c>
      <c r="G106" t="s">
        <v>6718</v>
      </c>
      <c r="H106" t="s">
        <v>8900</v>
      </c>
      <c r="J106" t="s">
        <v>33567</v>
      </c>
      <c r="K106" t="s">
        <v>33566</v>
      </c>
      <c r="L106" t="s">
        <v>34083</v>
      </c>
      <c r="M106" t="s">
        <v>36409</v>
      </c>
      <c r="N106" t="s">
        <v>36408</v>
      </c>
      <c r="O106" t="s">
        <v>36407</v>
      </c>
      <c r="P106">
        <v>310300</v>
      </c>
      <c r="Q106" t="s">
        <v>36406</v>
      </c>
      <c r="R106" t="s">
        <v>36405</v>
      </c>
      <c r="T106" s="22" t="s">
        <v>965</v>
      </c>
      <c r="U106" s="22" t="s">
        <v>963</v>
      </c>
    </row>
    <row r="107" spans="1:21" x14ac:dyDescent="0.75">
      <c r="A107" t="s">
        <v>167</v>
      </c>
      <c r="B107" t="s">
        <v>33572</v>
      </c>
      <c r="C107" t="s">
        <v>33583</v>
      </c>
      <c r="D107" t="s">
        <v>33881</v>
      </c>
      <c r="E107" t="s">
        <v>33880</v>
      </c>
      <c r="F107" t="s">
        <v>34727</v>
      </c>
      <c r="G107" t="s">
        <v>6718</v>
      </c>
      <c r="H107" t="s">
        <v>6719</v>
      </c>
      <c r="J107" t="s">
        <v>33567</v>
      </c>
      <c r="K107" t="s">
        <v>33566</v>
      </c>
      <c r="L107" t="s">
        <v>34670</v>
      </c>
      <c r="P107">
        <v>0</v>
      </c>
      <c r="Q107" t="s">
        <v>36404</v>
      </c>
      <c r="R107" t="s">
        <v>36403</v>
      </c>
      <c r="T107" s="22" t="s">
        <v>168</v>
      </c>
      <c r="U107" s="22" t="s">
        <v>34</v>
      </c>
    </row>
    <row r="108" spans="1:21" x14ac:dyDescent="0.75">
      <c r="A108" t="s">
        <v>1454</v>
      </c>
      <c r="B108" t="s">
        <v>33572</v>
      </c>
      <c r="C108" t="s">
        <v>33583</v>
      </c>
      <c r="D108" t="s">
        <v>33881</v>
      </c>
      <c r="E108" t="s">
        <v>33880</v>
      </c>
      <c r="F108" t="s">
        <v>34727</v>
      </c>
      <c r="G108" t="s">
        <v>6718</v>
      </c>
      <c r="H108" t="s">
        <v>11568</v>
      </c>
      <c r="J108" t="s">
        <v>33567</v>
      </c>
      <c r="K108" t="s">
        <v>33566</v>
      </c>
      <c r="L108" t="s">
        <v>34670</v>
      </c>
      <c r="P108">
        <v>0</v>
      </c>
      <c r="Q108" t="s">
        <v>36402</v>
      </c>
      <c r="R108" t="s">
        <v>36401</v>
      </c>
      <c r="T108" s="22" t="s">
        <v>1455</v>
      </c>
      <c r="U108" s="22" t="s">
        <v>34</v>
      </c>
    </row>
    <row r="109" spans="1:21" x14ac:dyDescent="0.75">
      <c r="A109" t="s">
        <v>2238</v>
      </c>
      <c r="B109" t="s">
        <v>33572</v>
      </c>
      <c r="C109" t="s">
        <v>33583</v>
      </c>
      <c r="D109" t="s">
        <v>33881</v>
      </c>
      <c r="E109" t="s">
        <v>33880</v>
      </c>
      <c r="F109" t="s">
        <v>34727</v>
      </c>
      <c r="G109" t="s">
        <v>6718</v>
      </c>
      <c r="H109" t="s">
        <v>16599</v>
      </c>
      <c r="J109" t="s">
        <v>33567</v>
      </c>
      <c r="K109" t="s">
        <v>33566</v>
      </c>
      <c r="L109" t="s">
        <v>34670</v>
      </c>
      <c r="P109">
        <v>0</v>
      </c>
      <c r="Q109" t="s">
        <v>36400</v>
      </c>
      <c r="R109" t="s">
        <v>36399</v>
      </c>
      <c r="T109" s="22" t="s">
        <v>2239</v>
      </c>
      <c r="U109" s="22" t="s">
        <v>34</v>
      </c>
    </row>
    <row r="110" spans="1:21" x14ac:dyDescent="0.75">
      <c r="A110" t="s">
        <v>2352</v>
      </c>
      <c r="B110" t="s">
        <v>33572</v>
      </c>
      <c r="C110" t="s">
        <v>33583</v>
      </c>
      <c r="D110" t="s">
        <v>33881</v>
      </c>
      <c r="E110" t="s">
        <v>33880</v>
      </c>
      <c r="F110" t="s">
        <v>34727</v>
      </c>
      <c r="G110" t="s">
        <v>6718</v>
      </c>
      <c r="H110" t="s">
        <v>17016</v>
      </c>
      <c r="J110" t="s">
        <v>33567</v>
      </c>
      <c r="K110" t="s">
        <v>33566</v>
      </c>
      <c r="L110" t="s">
        <v>34670</v>
      </c>
      <c r="P110">
        <v>0</v>
      </c>
      <c r="Q110" t="s">
        <v>36398</v>
      </c>
      <c r="R110" t="s">
        <v>36397</v>
      </c>
      <c r="T110" s="22" t="s">
        <v>2353</v>
      </c>
      <c r="U110" s="22" t="s">
        <v>34</v>
      </c>
    </row>
    <row r="111" spans="1:21" x14ac:dyDescent="0.75">
      <c r="A111" t="s">
        <v>1992</v>
      </c>
      <c r="B111" t="s">
        <v>33572</v>
      </c>
      <c r="C111" t="s">
        <v>33583</v>
      </c>
      <c r="D111" t="s">
        <v>33881</v>
      </c>
      <c r="E111" t="s">
        <v>33880</v>
      </c>
      <c r="F111" t="s">
        <v>34727</v>
      </c>
      <c r="G111" t="s">
        <v>6718</v>
      </c>
      <c r="H111" t="s">
        <v>14715</v>
      </c>
      <c r="J111" t="s">
        <v>33567</v>
      </c>
      <c r="K111" t="s">
        <v>33566</v>
      </c>
      <c r="L111" t="s">
        <v>33587</v>
      </c>
      <c r="N111" t="s">
        <v>36396</v>
      </c>
      <c r="O111" t="s">
        <v>36395</v>
      </c>
      <c r="P111">
        <v>28119</v>
      </c>
      <c r="Q111" t="s">
        <v>36394</v>
      </c>
      <c r="R111" t="s">
        <v>36393</v>
      </c>
      <c r="T111" s="22" t="s">
        <v>1993</v>
      </c>
      <c r="U111" s="22" t="s">
        <v>104</v>
      </c>
    </row>
    <row r="112" spans="1:21" x14ac:dyDescent="0.75">
      <c r="A112" t="s">
        <v>9411</v>
      </c>
      <c r="B112" t="s">
        <v>33572</v>
      </c>
      <c r="C112" t="s">
        <v>33571</v>
      </c>
      <c r="D112" t="s">
        <v>34135</v>
      </c>
      <c r="E112" t="s">
        <v>35256</v>
      </c>
      <c r="F112" t="s">
        <v>36392</v>
      </c>
      <c r="G112" t="s">
        <v>9412</v>
      </c>
      <c r="H112" t="s">
        <v>9413</v>
      </c>
      <c r="J112" t="s">
        <v>33567</v>
      </c>
      <c r="K112" t="s">
        <v>33566</v>
      </c>
      <c r="L112" t="s">
        <v>36391</v>
      </c>
      <c r="N112" t="s">
        <v>36390</v>
      </c>
      <c r="O112" t="s">
        <v>36389</v>
      </c>
      <c r="P112">
        <v>165694</v>
      </c>
      <c r="Q112" t="s">
        <v>36388</v>
      </c>
      <c r="R112" t="s">
        <v>36387</v>
      </c>
      <c r="T112" s="22" t="s">
        <v>36903</v>
      </c>
      <c r="U112" s="22" t="s">
        <v>36808</v>
      </c>
    </row>
    <row r="113" spans="1:21" x14ac:dyDescent="0.75">
      <c r="A113" t="s">
        <v>36386</v>
      </c>
      <c r="B113" t="s">
        <v>33572</v>
      </c>
      <c r="C113" t="s">
        <v>33571</v>
      </c>
      <c r="D113" t="s">
        <v>35224</v>
      </c>
      <c r="E113" t="s">
        <v>35223</v>
      </c>
      <c r="F113" t="s">
        <v>35222</v>
      </c>
      <c r="G113" t="s">
        <v>36385</v>
      </c>
      <c r="H113" t="s">
        <v>36384</v>
      </c>
      <c r="J113" t="s">
        <v>33577</v>
      </c>
      <c r="K113" t="s">
        <v>33576</v>
      </c>
      <c r="L113" t="s">
        <v>33651</v>
      </c>
      <c r="N113" t="s">
        <v>36383</v>
      </c>
      <c r="O113" t="s">
        <v>36382</v>
      </c>
      <c r="P113">
        <v>712185</v>
      </c>
      <c r="T113" s="22" t="s">
        <v>37421</v>
      </c>
      <c r="U113" s="22" t="s">
        <v>144</v>
      </c>
    </row>
    <row r="114" spans="1:21" x14ac:dyDescent="0.75">
      <c r="A114" t="s">
        <v>8594</v>
      </c>
      <c r="B114" t="s">
        <v>33572</v>
      </c>
      <c r="C114" t="s">
        <v>34169</v>
      </c>
      <c r="D114" t="s">
        <v>34355</v>
      </c>
      <c r="E114" t="s">
        <v>34398</v>
      </c>
      <c r="F114" t="s">
        <v>34397</v>
      </c>
      <c r="G114" t="s">
        <v>6456</v>
      </c>
      <c r="H114" t="s">
        <v>6770</v>
      </c>
      <c r="J114" t="s">
        <v>33567</v>
      </c>
      <c r="K114" t="s">
        <v>33566</v>
      </c>
      <c r="L114" t="s">
        <v>36381</v>
      </c>
      <c r="N114" t="s">
        <v>36380</v>
      </c>
      <c r="O114" t="s">
        <v>36379</v>
      </c>
      <c r="P114">
        <v>28025</v>
      </c>
      <c r="Q114" t="s">
        <v>36378</v>
      </c>
      <c r="R114" t="s">
        <v>36377</v>
      </c>
      <c r="T114" s="22" t="s">
        <v>36905</v>
      </c>
      <c r="U114" s="22" t="s">
        <v>34</v>
      </c>
    </row>
    <row r="115" spans="1:21" x14ac:dyDescent="0.75">
      <c r="A115" t="s">
        <v>6749</v>
      </c>
      <c r="B115" t="s">
        <v>33572</v>
      </c>
      <c r="C115" t="s">
        <v>34169</v>
      </c>
      <c r="D115" t="s">
        <v>34355</v>
      </c>
      <c r="E115" t="s">
        <v>34398</v>
      </c>
      <c r="F115" t="s">
        <v>34397</v>
      </c>
      <c r="G115" t="s">
        <v>6456</v>
      </c>
      <c r="H115" t="s">
        <v>6750</v>
      </c>
      <c r="J115" t="s">
        <v>33567</v>
      </c>
      <c r="K115" t="s">
        <v>33566</v>
      </c>
      <c r="L115" t="s">
        <v>33666</v>
      </c>
      <c r="M115" t="s">
        <v>36376</v>
      </c>
      <c r="N115" t="s">
        <v>36375</v>
      </c>
      <c r="O115" t="s">
        <v>34368</v>
      </c>
      <c r="P115">
        <v>1685</v>
      </c>
      <c r="Q115" t="s">
        <v>36374</v>
      </c>
      <c r="R115" t="s">
        <v>36373</v>
      </c>
      <c r="T115" s="22" t="s">
        <v>36906</v>
      </c>
      <c r="U115" s="22" t="s">
        <v>1308</v>
      </c>
    </row>
    <row r="116" spans="1:21" x14ac:dyDescent="0.75">
      <c r="A116" t="s">
        <v>6455</v>
      </c>
      <c r="B116" t="s">
        <v>33572</v>
      </c>
      <c r="C116" t="s">
        <v>34169</v>
      </c>
      <c r="D116" t="s">
        <v>34355</v>
      </c>
      <c r="E116" t="s">
        <v>34398</v>
      </c>
      <c r="F116" t="s">
        <v>34397</v>
      </c>
      <c r="G116" t="s">
        <v>6456</v>
      </c>
      <c r="H116" t="s">
        <v>6457</v>
      </c>
      <c r="J116" t="s">
        <v>33567</v>
      </c>
      <c r="K116" t="s">
        <v>33566</v>
      </c>
      <c r="L116" t="s">
        <v>34761</v>
      </c>
      <c r="N116" t="s">
        <v>36372</v>
      </c>
      <c r="O116" t="s">
        <v>36371</v>
      </c>
      <c r="P116">
        <v>1689</v>
      </c>
      <c r="Q116" t="s">
        <v>36370</v>
      </c>
      <c r="R116" t="s">
        <v>36369</v>
      </c>
      <c r="T116" s="22" t="s">
        <v>36904</v>
      </c>
      <c r="U116" s="22" t="s">
        <v>1563</v>
      </c>
    </row>
    <row r="117" spans="1:21" x14ac:dyDescent="0.75">
      <c r="A117" t="s">
        <v>7625</v>
      </c>
      <c r="B117" t="s">
        <v>33572</v>
      </c>
      <c r="C117" t="s">
        <v>34169</v>
      </c>
      <c r="D117" t="s">
        <v>34355</v>
      </c>
      <c r="E117" t="s">
        <v>34398</v>
      </c>
      <c r="F117" t="s">
        <v>34397</v>
      </c>
      <c r="G117" t="s">
        <v>6456</v>
      </c>
      <c r="H117" t="s">
        <v>7626</v>
      </c>
      <c r="J117" t="s">
        <v>33567</v>
      </c>
      <c r="K117" t="s">
        <v>33566</v>
      </c>
      <c r="L117" t="s">
        <v>33916</v>
      </c>
      <c r="M117" t="s">
        <v>36368</v>
      </c>
      <c r="N117" t="s">
        <v>36367</v>
      </c>
      <c r="O117" t="s">
        <v>36366</v>
      </c>
      <c r="P117">
        <v>216816</v>
      </c>
      <c r="Q117" t="s">
        <v>36365</v>
      </c>
      <c r="R117" t="s">
        <v>36364</v>
      </c>
      <c r="T117" s="22" t="s">
        <v>36908</v>
      </c>
      <c r="U117" s="22" t="s">
        <v>1563</v>
      </c>
    </row>
    <row r="118" spans="1:21" x14ac:dyDescent="0.75">
      <c r="A118" t="s">
        <v>1309</v>
      </c>
      <c r="B118" t="s">
        <v>33572</v>
      </c>
      <c r="C118" t="s">
        <v>34169</v>
      </c>
      <c r="D118" t="s">
        <v>34355</v>
      </c>
      <c r="E118" t="s">
        <v>34398</v>
      </c>
      <c r="F118" t="s">
        <v>34397</v>
      </c>
      <c r="G118" t="s">
        <v>6456</v>
      </c>
      <c r="H118" t="s">
        <v>10540</v>
      </c>
      <c r="J118" t="s">
        <v>33567</v>
      </c>
      <c r="K118" t="s">
        <v>33566</v>
      </c>
      <c r="L118" t="s">
        <v>33666</v>
      </c>
      <c r="M118" t="s">
        <v>36363</v>
      </c>
      <c r="N118" t="s">
        <v>36362</v>
      </c>
      <c r="O118" t="s">
        <v>34368</v>
      </c>
      <c r="P118">
        <v>158787</v>
      </c>
      <c r="Q118" t="s">
        <v>36361</v>
      </c>
      <c r="R118" t="s">
        <v>36360</v>
      </c>
      <c r="T118" s="22" t="s">
        <v>1310</v>
      </c>
      <c r="U118" s="22" t="s">
        <v>1308</v>
      </c>
    </row>
    <row r="119" spans="1:21" x14ac:dyDescent="0.75">
      <c r="A119" t="s">
        <v>9564</v>
      </c>
      <c r="B119" t="s">
        <v>33572</v>
      </c>
      <c r="C119" t="s">
        <v>34169</v>
      </c>
      <c r="D119" t="s">
        <v>34355</v>
      </c>
      <c r="E119" t="s">
        <v>34398</v>
      </c>
      <c r="F119" t="s">
        <v>34397</v>
      </c>
      <c r="G119" t="s">
        <v>6456</v>
      </c>
      <c r="H119" t="s">
        <v>9565</v>
      </c>
      <c r="J119" t="s">
        <v>33567</v>
      </c>
      <c r="K119" t="s">
        <v>33566</v>
      </c>
      <c r="L119" t="s">
        <v>33651</v>
      </c>
      <c r="M119" t="s">
        <v>36359</v>
      </c>
      <c r="N119" t="s">
        <v>36358</v>
      </c>
      <c r="O119" t="s">
        <v>34368</v>
      </c>
      <c r="P119">
        <v>77635</v>
      </c>
      <c r="Q119" t="s">
        <v>36357</v>
      </c>
      <c r="R119" t="s">
        <v>36356</v>
      </c>
      <c r="T119" s="22" t="s">
        <v>36907</v>
      </c>
      <c r="U119" s="22" t="s">
        <v>144</v>
      </c>
    </row>
    <row r="120" spans="1:21" x14ac:dyDescent="0.75">
      <c r="A120" t="s">
        <v>8888</v>
      </c>
      <c r="B120" t="s">
        <v>33572</v>
      </c>
      <c r="C120" t="s">
        <v>33571</v>
      </c>
      <c r="D120" t="s">
        <v>33654</v>
      </c>
      <c r="E120" t="s">
        <v>33653</v>
      </c>
      <c r="F120" t="s">
        <v>36355</v>
      </c>
      <c r="G120" t="s">
        <v>8889</v>
      </c>
      <c r="H120" t="s">
        <v>8890</v>
      </c>
      <c r="J120" t="s">
        <v>33567</v>
      </c>
      <c r="K120" t="s">
        <v>33566</v>
      </c>
      <c r="L120" t="s">
        <v>33565</v>
      </c>
      <c r="N120" t="s">
        <v>36354</v>
      </c>
      <c r="O120" t="s">
        <v>36353</v>
      </c>
      <c r="P120">
        <v>520</v>
      </c>
      <c r="Q120" t="s">
        <v>36352</v>
      </c>
      <c r="R120" t="s">
        <v>36351</v>
      </c>
      <c r="T120" s="22" t="s">
        <v>36909</v>
      </c>
      <c r="U120" s="22" t="s">
        <v>36804</v>
      </c>
    </row>
    <row r="121" spans="1:21" x14ac:dyDescent="0.75">
      <c r="A121" t="s">
        <v>9381</v>
      </c>
      <c r="B121" t="s">
        <v>33572</v>
      </c>
      <c r="C121" t="s">
        <v>33571</v>
      </c>
      <c r="D121" t="s">
        <v>34135</v>
      </c>
      <c r="E121" t="s">
        <v>35256</v>
      </c>
      <c r="F121" t="s">
        <v>36350</v>
      </c>
      <c r="G121" t="s">
        <v>9382</v>
      </c>
      <c r="H121" t="s">
        <v>9383</v>
      </c>
      <c r="J121" t="s">
        <v>33567</v>
      </c>
      <c r="K121" t="s">
        <v>33566</v>
      </c>
      <c r="L121" t="s">
        <v>33651</v>
      </c>
      <c r="N121" t="s">
        <v>36349</v>
      </c>
      <c r="O121" t="s">
        <v>36348</v>
      </c>
      <c r="P121">
        <v>29448</v>
      </c>
      <c r="Q121" t="s">
        <v>36347</v>
      </c>
      <c r="R121" t="s">
        <v>36346</v>
      </c>
      <c r="T121" s="22" t="s">
        <v>36910</v>
      </c>
      <c r="U121" s="22" t="s">
        <v>144</v>
      </c>
    </row>
    <row r="122" spans="1:21" x14ac:dyDescent="0.75">
      <c r="A122" t="s">
        <v>20374</v>
      </c>
      <c r="B122" t="s">
        <v>33572</v>
      </c>
      <c r="C122" t="s">
        <v>34169</v>
      </c>
      <c r="D122" t="s">
        <v>34355</v>
      </c>
      <c r="E122" t="s">
        <v>34409</v>
      </c>
      <c r="F122" t="s">
        <v>36345</v>
      </c>
      <c r="G122" t="s">
        <v>20375</v>
      </c>
      <c r="H122" t="s">
        <v>20376</v>
      </c>
      <c r="J122" t="s">
        <v>33567</v>
      </c>
      <c r="K122" t="s">
        <v>33566</v>
      </c>
      <c r="L122" t="s">
        <v>33659</v>
      </c>
      <c r="O122" t="s">
        <v>34368</v>
      </c>
      <c r="P122">
        <v>170994</v>
      </c>
      <c r="Q122" t="s">
        <v>36344</v>
      </c>
      <c r="R122" t="s">
        <v>36343</v>
      </c>
      <c r="T122" s="22" t="s">
        <v>36911</v>
      </c>
      <c r="U122" s="22" t="s">
        <v>1563</v>
      </c>
    </row>
    <row r="123" spans="1:21" x14ac:dyDescent="0.75">
      <c r="A123" t="s">
        <v>13715</v>
      </c>
      <c r="B123" t="s">
        <v>33572</v>
      </c>
      <c r="C123" t="s">
        <v>33571</v>
      </c>
      <c r="D123" t="s">
        <v>34135</v>
      </c>
      <c r="E123" t="s">
        <v>36197</v>
      </c>
      <c r="F123" t="s">
        <v>36196</v>
      </c>
      <c r="G123" t="s">
        <v>13716</v>
      </c>
      <c r="H123" t="s">
        <v>13717</v>
      </c>
      <c r="J123" t="s">
        <v>33567</v>
      </c>
      <c r="K123" t="s">
        <v>33566</v>
      </c>
      <c r="L123" t="s">
        <v>34547</v>
      </c>
      <c r="M123" t="s">
        <v>36342</v>
      </c>
      <c r="N123" t="s">
        <v>36341</v>
      </c>
      <c r="O123" t="s">
        <v>36340</v>
      </c>
      <c r="P123">
        <v>293</v>
      </c>
      <c r="Q123" t="s">
        <v>36339</v>
      </c>
      <c r="R123" t="s">
        <v>36338</v>
      </c>
      <c r="T123" s="22" t="s">
        <v>36912</v>
      </c>
      <c r="U123" s="22" t="s">
        <v>144</v>
      </c>
    </row>
    <row r="124" spans="1:21" x14ac:dyDescent="0.75">
      <c r="A124" t="s">
        <v>10201</v>
      </c>
      <c r="B124" t="s">
        <v>33572</v>
      </c>
      <c r="C124" t="s">
        <v>33606</v>
      </c>
      <c r="D124" t="s">
        <v>33913</v>
      </c>
      <c r="E124" t="s">
        <v>34090</v>
      </c>
      <c r="F124" t="s">
        <v>35279</v>
      </c>
      <c r="G124" t="s">
        <v>10202</v>
      </c>
      <c r="H124" t="s">
        <v>10203</v>
      </c>
      <c r="J124" t="s">
        <v>33567</v>
      </c>
      <c r="K124" t="s">
        <v>33566</v>
      </c>
      <c r="L124" t="s">
        <v>33916</v>
      </c>
      <c r="O124" t="s">
        <v>33614</v>
      </c>
      <c r="P124">
        <v>2756</v>
      </c>
      <c r="Q124" t="s">
        <v>36337</v>
      </c>
      <c r="R124" t="s">
        <v>36336</v>
      </c>
      <c r="T124" s="22" t="s">
        <v>36913</v>
      </c>
      <c r="U124" s="22" t="s">
        <v>1563</v>
      </c>
    </row>
    <row r="125" spans="1:21" x14ac:dyDescent="0.75">
      <c r="A125" t="s">
        <v>9503</v>
      </c>
      <c r="B125" t="s">
        <v>33572</v>
      </c>
      <c r="C125" t="s">
        <v>34169</v>
      </c>
      <c r="D125" t="s">
        <v>34355</v>
      </c>
      <c r="E125" t="s">
        <v>34589</v>
      </c>
      <c r="F125" t="s">
        <v>34588</v>
      </c>
      <c r="G125" t="s">
        <v>9504</v>
      </c>
      <c r="H125" t="s">
        <v>9505</v>
      </c>
      <c r="J125" t="s">
        <v>33617</v>
      </c>
      <c r="K125" t="s">
        <v>33566</v>
      </c>
      <c r="L125" t="s">
        <v>33587</v>
      </c>
      <c r="N125" t="s">
        <v>34293</v>
      </c>
      <c r="O125" t="s">
        <v>36335</v>
      </c>
      <c r="P125">
        <v>31957</v>
      </c>
      <c r="Q125" t="s">
        <v>36334</v>
      </c>
      <c r="R125" t="s">
        <v>36333</v>
      </c>
      <c r="T125" s="22" t="s">
        <v>37422</v>
      </c>
      <c r="U125" s="22" t="s">
        <v>104</v>
      </c>
    </row>
    <row r="126" spans="1:21" x14ac:dyDescent="0.75">
      <c r="A126" t="s">
        <v>6311</v>
      </c>
      <c r="B126" t="s">
        <v>33572</v>
      </c>
      <c r="C126" t="s">
        <v>33571</v>
      </c>
      <c r="D126" t="s">
        <v>34135</v>
      </c>
      <c r="E126" t="s">
        <v>35256</v>
      </c>
      <c r="F126" t="s">
        <v>36332</v>
      </c>
      <c r="G126" t="s">
        <v>6312</v>
      </c>
      <c r="H126" t="s">
        <v>6313</v>
      </c>
      <c r="J126" t="s">
        <v>33567</v>
      </c>
      <c r="K126" t="s">
        <v>33566</v>
      </c>
      <c r="L126" t="s">
        <v>33565</v>
      </c>
      <c r="N126" t="s">
        <v>36331</v>
      </c>
      <c r="O126" t="s">
        <v>34181</v>
      </c>
      <c r="P126">
        <v>529</v>
      </c>
      <c r="Q126" t="s">
        <v>36330</v>
      </c>
      <c r="R126" t="s">
        <v>36329</v>
      </c>
      <c r="T126" s="22" t="s">
        <v>36915</v>
      </c>
      <c r="U126" s="22" t="s">
        <v>36804</v>
      </c>
    </row>
    <row r="127" spans="1:21" x14ac:dyDescent="0.75">
      <c r="A127" t="s">
        <v>7267</v>
      </c>
      <c r="B127" t="s">
        <v>33572</v>
      </c>
      <c r="C127" t="s">
        <v>33606</v>
      </c>
      <c r="D127" t="s">
        <v>34149</v>
      </c>
      <c r="E127" t="s">
        <v>34148</v>
      </c>
      <c r="F127" t="s">
        <v>34147</v>
      </c>
      <c r="G127" t="s">
        <v>7268</v>
      </c>
      <c r="H127" t="s">
        <v>7269</v>
      </c>
      <c r="J127" t="s">
        <v>33567</v>
      </c>
      <c r="K127" t="s">
        <v>33566</v>
      </c>
      <c r="L127" t="s">
        <v>33575</v>
      </c>
      <c r="M127" t="s">
        <v>36328</v>
      </c>
      <c r="N127" t="s">
        <v>36327</v>
      </c>
      <c r="O127" t="s">
        <v>33614</v>
      </c>
      <c r="P127">
        <v>118748</v>
      </c>
      <c r="Q127" t="s">
        <v>36326</v>
      </c>
      <c r="R127" t="s">
        <v>36325</v>
      </c>
      <c r="T127" s="22" t="s">
        <v>36916</v>
      </c>
      <c r="U127" s="22" t="s">
        <v>104</v>
      </c>
    </row>
    <row r="128" spans="1:21" x14ac:dyDescent="0.75">
      <c r="A128" t="s">
        <v>8808</v>
      </c>
      <c r="B128" t="s">
        <v>33572</v>
      </c>
      <c r="C128" t="s">
        <v>33571</v>
      </c>
      <c r="D128" t="s">
        <v>33654</v>
      </c>
      <c r="E128" t="s">
        <v>33653</v>
      </c>
      <c r="F128" t="s">
        <v>34515</v>
      </c>
      <c r="G128" t="s">
        <v>8809</v>
      </c>
      <c r="H128" t="s">
        <v>8810</v>
      </c>
      <c r="J128" t="s">
        <v>33567</v>
      </c>
      <c r="K128" t="s">
        <v>33566</v>
      </c>
      <c r="L128" t="s">
        <v>34547</v>
      </c>
      <c r="N128" t="s">
        <v>36324</v>
      </c>
      <c r="O128" t="s">
        <v>36323</v>
      </c>
      <c r="P128">
        <v>292</v>
      </c>
      <c r="Q128" t="s">
        <v>36322</v>
      </c>
      <c r="R128" t="s">
        <v>36321</v>
      </c>
      <c r="T128" s="22" t="s">
        <v>36917</v>
      </c>
      <c r="U128" s="22" t="s">
        <v>144</v>
      </c>
    </row>
    <row r="129" spans="1:21" x14ac:dyDescent="0.75">
      <c r="A129" t="s">
        <v>36320</v>
      </c>
      <c r="B129" t="s">
        <v>33572</v>
      </c>
      <c r="C129" t="s">
        <v>33606</v>
      </c>
      <c r="D129" t="s">
        <v>33663</v>
      </c>
      <c r="E129" t="s">
        <v>34061</v>
      </c>
      <c r="F129" t="s">
        <v>34060</v>
      </c>
      <c r="G129" t="s">
        <v>36311</v>
      </c>
      <c r="H129" t="s">
        <v>36319</v>
      </c>
      <c r="J129" t="s">
        <v>33577</v>
      </c>
      <c r="K129" t="s">
        <v>33576</v>
      </c>
      <c r="L129" t="s">
        <v>33609</v>
      </c>
      <c r="N129" t="s">
        <v>36318</v>
      </c>
      <c r="O129" t="s">
        <v>36317</v>
      </c>
      <c r="P129">
        <v>830</v>
      </c>
      <c r="T129" s="22" t="s">
        <v>37423</v>
      </c>
      <c r="U129" s="22" t="s">
        <v>104</v>
      </c>
    </row>
    <row r="130" spans="1:21" x14ac:dyDescent="0.75">
      <c r="A130" t="s">
        <v>36316</v>
      </c>
      <c r="B130" t="s">
        <v>33572</v>
      </c>
      <c r="C130" t="s">
        <v>33606</v>
      </c>
      <c r="D130" t="s">
        <v>33663</v>
      </c>
      <c r="E130" t="s">
        <v>34061</v>
      </c>
      <c r="F130" t="s">
        <v>34060</v>
      </c>
      <c r="G130" t="s">
        <v>36311</v>
      </c>
      <c r="H130" t="s">
        <v>36315</v>
      </c>
      <c r="J130" t="s">
        <v>33577</v>
      </c>
      <c r="K130" t="s">
        <v>33576</v>
      </c>
      <c r="L130" t="s">
        <v>33659</v>
      </c>
      <c r="N130" t="s">
        <v>36314</v>
      </c>
      <c r="O130" t="s">
        <v>36313</v>
      </c>
      <c r="P130">
        <v>830</v>
      </c>
      <c r="T130" s="22" t="s">
        <v>37424</v>
      </c>
      <c r="U130" s="22" t="s">
        <v>1563</v>
      </c>
    </row>
    <row r="131" spans="1:21" x14ac:dyDescent="0.75">
      <c r="A131" t="s">
        <v>36312</v>
      </c>
      <c r="B131" t="s">
        <v>33572</v>
      </c>
      <c r="C131" t="s">
        <v>33606</v>
      </c>
      <c r="D131" t="s">
        <v>33663</v>
      </c>
      <c r="E131" t="s">
        <v>34061</v>
      </c>
      <c r="F131" t="s">
        <v>34060</v>
      </c>
      <c r="G131" t="s">
        <v>36311</v>
      </c>
      <c r="H131" t="s">
        <v>36310</v>
      </c>
      <c r="J131" t="s">
        <v>33577</v>
      </c>
      <c r="K131" t="s">
        <v>33576</v>
      </c>
      <c r="L131" t="s">
        <v>33609</v>
      </c>
      <c r="N131" t="s">
        <v>36309</v>
      </c>
      <c r="O131" t="s">
        <v>36308</v>
      </c>
      <c r="P131">
        <v>830</v>
      </c>
      <c r="T131" s="22" t="s">
        <v>37425</v>
      </c>
      <c r="U131" s="22" t="s">
        <v>104</v>
      </c>
    </row>
    <row r="132" spans="1:21" x14ac:dyDescent="0.75">
      <c r="A132" t="s">
        <v>712</v>
      </c>
      <c r="B132" t="s">
        <v>33572</v>
      </c>
      <c r="C132" t="s">
        <v>36307</v>
      </c>
      <c r="D132" t="s">
        <v>36306</v>
      </c>
      <c r="E132" t="s">
        <v>36305</v>
      </c>
      <c r="F132" t="s">
        <v>36304</v>
      </c>
      <c r="G132" t="s">
        <v>8717</v>
      </c>
      <c r="H132" t="s">
        <v>8718</v>
      </c>
      <c r="J132" t="s">
        <v>33567</v>
      </c>
      <c r="K132" t="s">
        <v>33566</v>
      </c>
      <c r="L132" t="s">
        <v>34437</v>
      </c>
      <c r="O132" t="s">
        <v>36303</v>
      </c>
      <c r="P132">
        <v>133453</v>
      </c>
      <c r="Q132" t="s">
        <v>711</v>
      </c>
      <c r="R132" t="s">
        <v>36302</v>
      </c>
      <c r="T132" s="22" t="s">
        <v>713</v>
      </c>
      <c r="U132" s="22" t="s">
        <v>686</v>
      </c>
    </row>
    <row r="133" spans="1:21" x14ac:dyDescent="0.75">
      <c r="A133" t="s">
        <v>6322</v>
      </c>
      <c r="B133" t="s">
        <v>33572</v>
      </c>
      <c r="C133" t="s">
        <v>33571</v>
      </c>
      <c r="D133" t="s">
        <v>35666</v>
      </c>
      <c r="E133" t="s">
        <v>35665</v>
      </c>
      <c r="F133" t="s">
        <v>36269</v>
      </c>
      <c r="G133" t="s">
        <v>6318</v>
      </c>
      <c r="H133" t="s">
        <v>36298</v>
      </c>
      <c r="I133" t="s">
        <v>36301</v>
      </c>
      <c r="J133" t="s">
        <v>33567</v>
      </c>
      <c r="K133" t="s">
        <v>33566</v>
      </c>
      <c r="L133" t="s">
        <v>33616</v>
      </c>
      <c r="P133">
        <v>0</v>
      </c>
      <c r="Q133" t="s">
        <v>36300</v>
      </c>
      <c r="R133" t="s">
        <v>36299</v>
      </c>
      <c r="T133" s="22" t="s">
        <v>37367</v>
      </c>
      <c r="U133" s="22" t="s">
        <v>104</v>
      </c>
    </row>
    <row r="134" spans="1:21" x14ac:dyDescent="0.75">
      <c r="A134" t="s">
        <v>9753</v>
      </c>
      <c r="B134" t="s">
        <v>33572</v>
      </c>
      <c r="C134" t="s">
        <v>33571</v>
      </c>
      <c r="D134" t="s">
        <v>35666</v>
      </c>
      <c r="E134" t="s">
        <v>35665</v>
      </c>
      <c r="F134" t="s">
        <v>36269</v>
      </c>
      <c r="G134" t="s">
        <v>6318</v>
      </c>
      <c r="H134" t="s">
        <v>36298</v>
      </c>
      <c r="I134" t="s">
        <v>36297</v>
      </c>
      <c r="J134" t="s">
        <v>33567</v>
      </c>
      <c r="K134" t="s">
        <v>33566</v>
      </c>
      <c r="L134" t="s">
        <v>33575</v>
      </c>
      <c r="N134" t="s">
        <v>36296</v>
      </c>
      <c r="O134" t="s">
        <v>34181</v>
      </c>
      <c r="P134">
        <v>199</v>
      </c>
      <c r="Q134" t="s">
        <v>36295</v>
      </c>
      <c r="R134" t="s">
        <v>36294</v>
      </c>
      <c r="T134" s="22" t="s">
        <v>37367</v>
      </c>
      <c r="U134" s="22" t="s">
        <v>104</v>
      </c>
    </row>
    <row r="135" spans="1:21" x14ac:dyDescent="0.75">
      <c r="A135" t="s">
        <v>6317</v>
      </c>
      <c r="B135" t="s">
        <v>33572</v>
      </c>
      <c r="C135" t="s">
        <v>33571</v>
      </c>
      <c r="D135" t="s">
        <v>35666</v>
      </c>
      <c r="E135" t="s">
        <v>35665</v>
      </c>
      <c r="F135" t="s">
        <v>36269</v>
      </c>
      <c r="G135" t="s">
        <v>6318</v>
      </c>
      <c r="H135" t="s">
        <v>6319</v>
      </c>
      <c r="J135" t="s">
        <v>33567</v>
      </c>
      <c r="K135" t="s">
        <v>33566</v>
      </c>
      <c r="L135" t="s">
        <v>33609</v>
      </c>
      <c r="N135" t="s">
        <v>36293</v>
      </c>
      <c r="O135" t="s">
        <v>36292</v>
      </c>
      <c r="P135">
        <v>200</v>
      </c>
      <c r="Q135" t="s">
        <v>36291</v>
      </c>
      <c r="R135" t="s">
        <v>36290</v>
      </c>
      <c r="T135" s="22" t="s">
        <v>36918</v>
      </c>
      <c r="U135" s="22" t="s">
        <v>104</v>
      </c>
    </row>
    <row r="136" spans="1:21" x14ac:dyDescent="0.75">
      <c r="A136" t="s">
        <v>7215</v>
      </c>
      <c r="B136" t="s">
        <v>33572</v>
      </c>
      <c r="C136" t="s">
        <v>33571</v>
      </c>
      <c r="D136" t="s">
        <v>35666</v>
      </c>
      <c r="E136" t="s">
        <v>35665</v>
      </c>
      <c r="F136" t="s">
        <v>36269</v>
      </c>
      <c r="G136" t="s">
        <v>6318</v>
      </c>
      <c r="H136" t="s">
        <v>7216</v>
      </c>
      <c r="J136" t="s">
        <v>33567</v>
      </c>
      <c r="K136" t="s">
        <v>33566</v>
      </c>
      <c r="L136" t="s">
        <v>33616</v>
      </c>
      <c r="N136" t="s">
        <v>36289</v>
      </c>
      <c r="O136" t="s">
        <v>36288</v>
      </c>
      <c r="P136">
        <v>824</v>
      </c>
      <c r="Q136" t="s">
        <v>36287</v>
      </c>
      <c r="R136" t="s">
        <v>36286</v>
      </c>
      <c r="T136" s="22" t="s">
        <v>36922</v>
      </c>
      <c r="U136" s="22" t="s">
        <v>104</v>
      </c>
    </row>
    <row r="137" spans="1:21" x14ac:dyDescent="0.75">
      <c r="A137" t="s">
        <v>7160</v>
      </c>
      <c r="B137" t="s">
        <v>33572</v>
      </c>
      <c r="C137" t="s">
        <v>33571</v>
      </c>
      <c r="D137" t="s">
        <v>35666</v>
      </c>
      <c r="E137" t="s">
        <v>35665</v>
      </c>
      <c r="F137" t="s">
        <v>36269</v>
      </c>
      <c r="G137" t="s">
        <v>6318</v>
      </c>
      <c r="H137" t="s">
        <v>7161</v>
      </c>
      <c r="J137" t="s">
        <v>33567</v>
      </c>
      <c r="K137" t="s">
        <v>33566</v>
      </c>
      <c r="L137" t="s">
        <v>33575</v>
      </c>
      <c r="N137" t="s">
        <v>36285</v>
      </c>
      <c r="O137" t="s">
        <v>36284</v>
      </c>
      <c r="P137">
        <v>203</v>
      </c>
      <c r="Q137" t="s">
        <v>36283</v>
      </c>
      <c r="R137" t="s">
        <v>36282</v>
      </c>
      <c r="T137" s="22" t="s">
        <v>36923</v>
      </c>
      <c r="U137" s="22" t="s">
        <v>104</v>
      </c>
    </row>
    <row r="138" spans="1:21" x14ac:dyDescent="0.75">
      <c r="A138" t="s">
        <v>7210</v>
      </c>
      <c r="B138" t="s">
        <v>33572</v>
      </c>
      <c r="C138" t="s">
        <v>33571</v>
      </c>
      <c r="D138" t="s">
        <v>35666</v>
      </c>
      <c r="E138" t="s">
        <v>35665</v>
      </c>
      <c r="F138" t="s">
        <v>36269</v>
      </c>
      <c r="G138" t="s">
        <v>6318</v>
      </c>
      <c r="H138" t="s">
        <v>7211</v>
      </c>
      <c r="J138" t="s">
        <v>33567</v>
      </c>
      <c r="K138" t="s">
        <v>33566</v>
      </c>
      <c r="L138" t="s">
        <v>33575</v>
      </c>
      <c r="M138" t="s">
        <v>16685</v>
      </c>
      <c r="N138" t="s">
        <v>36281</v>
      </c>
      <c r="O138" t="s">
        <v>36280</v>
      </c>
      <c r="P138">
        <v>204</v>
      </c>
      <c r="Q138" t="s">
        <v>36279</v>
      </c>
      <c r="R138" t="s">
        <v>36278</v>
      </c>
      <c r="T138" s="22" t="s">
        <v>36920</v>
      </c>
      <c r="U138" s="22" t="s">
        <v>104</v>
      </c>
    </row>
    <row r="139" spans="1:21" x14ac:dyDescent="0.75">
      <c r="A139" t="s">
        <v>36277</v>
      </c>
      <c r="B139" t="s">
        <v>33572</v>
      </c>
      <c r="C139" t="s">
        <v>33571</v>
      </c>
      <c r="D139" t="s">
        <v>35666</v>
      </c>
      <c r="E139" t="s">
        <v>35665</v>
      </c>
      <c r="F139" t="s">
        <v>36269</v>
      </c>
      <c r="G139" t="s">
        <v>6318</v>
      </c>
      <c r="H139" t="s">
        <v>36276</v>
      </c>
      <c r="J139" t="s">
        <v>33577</v>
      </c>
      <c r="K139" t="s">
        <v>33576</v>
      </c>
      <c r="L139" t="s">
        <v>33575</v>
      </c>
      <c r="N139" t="s">
        <v>36275</v>
      </c>
      <c r="O139" t="s">
        <v>36274</v>
      </c>
      <c r="P139">
        <v>712200</v>
      </c>
      <c r="T139" s="22" t="s">
        <v>37426</v>
      </c>
      <c r="U139" s="22" t="s">
        <v>104</v>
      </c>
    </row>
    <row r="140" spans="1:21" x14ac:dyDescent="0.75">
      <c r="A140" t="s">
        <v>13802</v>
      </c>
      <c r="B140" t="s">
        <v>33572</v>
      </c>
      <c r="C140" t="s">
        <v>33571</v>
      </c>
      <c r="D140" t="s">
        <v>35666</v>
      </c>
      <c r="E140" t="s">
        <v>35665</v>
      </c>
      <c r="F140" t="s">
        <v>36269</v>
      </c>
      <c r="G140" t="s">
        <v>6318</v>
      </c>
      <c r="H140" t="s">
        <v>8363</v>
      </c>
      <c r="J140" t="s">
        <v>33567</v>
      </c>
      <c r="K140" t="s">
        <v>33566</v>
      </c>
      <c r="L140" t="s">
        <v>34407</v>
      </c>
      <c r="N140" t="s">
        <v>36273</v>
      </c>
      <c r="O140" t="s">
        <v>36272</v>
      </c>
      <c r="P140">
        <v>206</v>
      </c>
      <c r="Q140" t="s">
        <v>36271</v>
      </c>
      <c r="R140" t="s">
        <v>36270</v>
      </c>
      <c r="T140" s="22" t="s">
        <v>36924</v>
      </c>
      <c r="U140" s="22" t="s">
        <v>144</v>
      </c>
    </row>
    <row r="141" spans="1:21" x14ac:dyDescent="0.75">
      <c r="A141" t="s">
        <v>9344</v>
      </c>
      <c r="B141" t="s">
        <v>33572</v>
      </c>
      <c r="C141" t="s">
        <v>33571</v>
      </c>
      <c r="D141" t="s">
        <v>35666</v>
      </c>
      <c r="E141" t="s">
        <v>35665</v>
      </c>
      <c r="F141" t="s">
        <v>36269</v>
      </c>
      <c r="G141" t="s">
        <v>6318</v>
      </c>
      <c r="H141" t="s">
        <v>9345</v>
      </c>
      <c r="J141" t="s">
        <v>33567</v>
      </c>
      <c r="K141" t="s">
        <v>33566</v>
      </c>
      <c r="L141" t="s">
        <v>34095</v>
      </c>
      <c r="N141" t="s">
        <v>36268</v>
      </c>
      <c r="O141" t="s">
        <v>36267</v>
      </c>
      <c r="P141">
        <v>827</v>
      </c>
      <c r="Q141" t="s">
        <v>36266</v>
      </c>
      <c r="R141" t="s">
        <v>36265</v>
      </c>
      <c r="T141" s="22" t="s">
        <v>36925</v>
      </c>
      <c r="U141" s="22" t="s">
        <v>36806</v>
      </c>
    </row>
    <row r="142" spans="1:21" x14ac:dyDescent="0.75">
      <c r="A142" t="s">
        <v>8992</v>
      </c>
      <c r="B142" t="s">
        <v>33572</v>
      </c>
      <c r="C142" t="s">
        <v>33583</v>
      </c>
      <c r="D142" t="s">
        <v>33582</v>
      </c>
      <c r="E142" t="s">
        <v>33581</v>
      </c>
      <c r="F142" t="s">
        <v>36222</v>
      </c>
      <c r="G142" t="s">
        <v>6415</v>
      </c>
      <c r="H142" t="s">
        <v>8993</v>
      </c>
      <c r="J142" t="s">
        <v>34030</v>
      </c>
      <c r="K142" t="s">
        <v>33566</v>
      </c>
      <c r="L142" t="s">
        <v>33575</v>
      </c>
      <c r="N142" t="s">
        <v>36264</v>
      </c>
      <c r="O142" t="s">
        <v>36263</v>
      </c>
      <c r="P142">
        <v>712213</v>
      </c>
      <c r="Q142" t="s">
        <v>36262</v>
      </c>
      <c r="R142" t="s">
        <v>36261</v>
      </c>
      <c r="T142" s="22" t="s">
        <v>36928</v>
      </c>
      <c r="U142" s="22" t="s">
        <v>104</v>
      </c>
    </row>
    <row r="143" spans="1:21" x14ac:dyDescent="0.75">
      <c r="A143" t="s">
        <v>349</v>
      </c>
      <c r="B143" t="s">
        <v>33572</v>
      </c>
      <c r="C143" t="s">
        <v>33583</v>
      </c>
      <c r="D143" t="s">
        <v>33582</v>
      </c>
      <c r="E143" t="s">
        <v>33581</v>
      </c>
      <c r="F143" t="s">
        <v>36222</v>
      </c>
      <c r="G143" t="s">
        <v>6415</v>
      </c>
      <c r="H143" t="s">
        <v>6119</v>
      </c>
      <c r="J143" t="s">
        <v>33567</v>
      </c>
      <c r="K143" t="s">
        <v>33566</v>
      </c>
      <c r="L143" t="s">
        <v>33616</v>
      </c>
      <c r="N143" t="s">
        <v>36260</v>
      </c>
      <c r="O143" t="s">
        <v>33573</v>
      </c>
      <c r="P143">
        <v>1017</v>
      </c>
      <c r="Q143" t="s">
        <v>36259</v>
      </c>
      <c r="R143" t="s">
        <v>36258</v>
      </c>
      <c r="T143" s="22" t="s">
        <v>350</v>
      </c>
      <c r="U143" s="22" t="s">
        <v>104</v>
      </c>
    </row>
    <row r="144" spans="1:21" x14ac:dyDescent="0.75">
      <c r="A144" t="s">
        <v>8839</v>
      </c>
      <c r="B144" t="s">
        <v>33572</v>
      </c>
      <c r="C144" t="s">
        <v>33583</v>
      </c>
      <c r="D144" t="s">
        <v>33582</v>
      </c>
      <c r="E144" t="s">
        <v>33581</v>
      </c>
      <c r="F144" t="s">
        <v>36222</v>
      </c>
      <c r="G144" t="s">
        <v>6415</v>
      </c>
      <c r="H144" t="s">
        <v>8840</v>
      </c>
      <c r="J144" t="s">
        <v>33567</v>
      </c>
      <c r="K144" t="s">
        <v>33566</v>
      </c>
      <c r="L144" t="s">
        <v>33575</v>
      </c>
      <c r="N144" t="s">
        <v>36257</v>
      </c>
      <c r="O144" t="s">
        <v>36256</v>
      </c>
      <c r="P144">
        <v>45242</v>
      </c>
      <c r="Q144" t="s">
        <v>36255</v>
      </c>
      <c r="R144" t="s">
        <v>36254</v>
      </c>
      <c r="T144" s="22" t="s">
        <v>36926</v>
      </c>
      <c r="U144" s="22" t="s">
        <v>104</v>
      </c>
    </row>
    <row r="145" spans="1:21" x14ac:dyDescent="0.75">
      <c r="A145" t="s">
        <v>1534</v>
      </c>
      <c r="B145" t="s">
        <v>33572</v>
      </c>
      <c r="C145" t="s">
        <v>33583</v>
      </c>
      <c r="D145" t="s">
        <v>33582</v>
      </c>
      <c r="E145" t="s">
        <v>33581</v>
      </c>
      <c r="F145" t="s">
        <v>36222</v>
      </c>
      <c r="G145" t="s">
        <v>6415</v>
      </c>
      <c r="H145" t="s">
        <v>11907</v>
      </c>
      <c r="J145" t="s">
        <v>33567</v>
      </c>
      <c r="K145" t="s">
        <v>33566</v>
      </c>
      <c r="L145" t="s">
        <v>33587</v>
      </c>
      <c r="N145" t="s">
        <v>36253</v>
      </c>
      <c r="O145" t="s">
        <v>33573</v>
      </c>
      <c r="P145">
        <v>45243</v>
      </c>
      <c r="Q145" t="s">
        <v>36252</v>
      </c>
      <c r="R145" t="s">
        <v>36251</v>
      </c>
      <c r="T145" s="22" t="s">
        <v>1535</v>
      </c>
      <c r="U145" s="22" t="s">
        <v>104</v>
      </c>
    </row>
    <row r="146" spans="1:21" x14ac:dyDescent="0.75">
      <c r="A146" t="s">
        <v>514</v>
      </c>
      <c r="B146" t="s">
        <v>33572</v>
      </c>
      <c r="C146" t="s">
        <v>33583</v>
      </c>
      <c r="D146" t="s">
        <v>33582</v>
      </c>
      <c r="E146" t="s">
        <v>33581</v>
      </c>
      <c r="F146" t="s">
        <v>36222</v>
      </c>
      <c r="G146" t="s">
        <v>6415</v>
      </c>
      <c r="H146" t="s">
        <v>7754</v>
      </c>
      <c r="J146" t="s">
        <v>33567</v>
      </c>
      <c r="K146" t="s">
        <v>33566</v>
      </c>
      <c r="L146" t="s">
        <v>33616</v>
      </c>
      <c r="N146" t="s">
        <v>36250</v>
      </c>
      <c r="O146" t="s">
        <v>36249</v>
      </c>
      <c r="P146">
        <v>327575</v>
      </c>
      <c r="Q146" t="s">
        <v>36248</v>
      </c>
      <c r="R146" t="s">
        <v>36247</v>
      </c>
      <c r="T146" s="22" t="s">
        <v>515</v>
      </c>
      <c r="U146" s="22" t="s">
        <v>104</v>
      </c>
    </row>
    <row r="147" spans="1:21" x14ac:dyDescent="0.75">
      <c r="A147" t="s">
        <v>105</v>
      </c>
      <c r="B147" t="s">
        <v>33572</v>
      </c>
      <c r="C147" t="s">
        <v>33583</v>
      </c>
      <c r="D147" t="s">
        <v>33582</v>
      </c>
      <c r="E147" t="s">
        <v>33581</v>
      </c>
      <c r="F147" t="s">
        <v>36222</v>
      </c>
      <c r="G147" t="s">
        <v>6415</v>
      </c>
      <c r="H147" t="s">
        <v>6416</v>
      </c>
      <c r="J147" t="s">
        <v>33567</v>
      </c>
      <c r="K147" t="s">
        <v>33566</v>
      </c>
      <c r="L147" t="s">
        <v>33616</v>
      </c>
      <c r="N147" t="s">
        <v>36246</v>
      </c>
      <c r="O147" t="s">
        <v>36245</v>
      </c>
      <c r="P147">
        <v>1018</v>
      </c>
      <c r="Q147" t="s">
        <v>36244</v>
      </c>
      <c r="R147" t="s">
        <v>36243</v>
      </c>
      <c r="T147" s="22" t="s">
        <v>106</v>
      </c>
      <c r="U147" s="22" t="s">
        <v>104</v>
      </c>
    </row>
    <row r="148" spans="1:21" x14ac:dyDescent="0.75">
      <c r="A148" t="s">
        <v>814</v>
      </c>
      <c r="B148" t="s">
        <v>33572</v>
      </c>
      <c r="C148" t="s">
        <v>33583</v>
      </c>
      <c r="D148" t="s">
        <v>33582</v>
      </c>
      <c r="E148" t="s">
        <v>33581</v>
      </c>
      <c r="F148" t="s">
        <v>36222</v>
      </c>
      <c r="G148" t="s">
        <v>6415</v>
      </c>
      <c r="H148" t="s">
        <v>8996</v>
      </c>
      <c r="J148" t="s">
        <v>33567</v>
      </c>
      <c r="K148" t="s">
        <v>33566</v>
      </c>
      <c r="L148" t="s">
        <v>33575</v>
      </c>
      <c r="N148" t="s">
        <v>36242</v>
      </c>
      <c r="O148" t="s">
        <v>36241</v>
      </c>
      <c r="P148">
        <v>2708117</v>
      </c>
      <c r="Q148" t="s">
        <v>36240</v>
      </c>
      <c r="R148" t="s">
        <v>36239</v>
      </c>
      <c r="T148" s="22" t="s">
        <v>815</v>
      </c>
      <c r="U148" s="22" t="s">
        <v>104</v>
      </c>
    </row>
    <row r="149" spans="1:21" x14ac:dyDescent="0.75">
      <c r="A149" t="s">
        <v>473</v>
      </c>
      <c r="B149" t="s">
        <v>33572</v>
      </c>
      <c r="C149" t="s">
        <v>33583</v>
      </c>
      <c r="D149" t="s">
        <v>33582</v>
      </c>
      <c r="E149" t="s">
        <v>33581</v>
      </c>
      <c r="F149" t="s">
        <v>36222</v>
      </c>
      <c r="G149" t="s">
        <v>6415</v>
      </c>
      <c r="H149" t="s">
        <v>7549</v>
      </c>
      <c r="J149" t="s">
        <v>33617</v>
      </c>
      <c r="K149" t="s">
        <v>33566</v>
      </c>
      <c r="L149" t="s">
        <v>33575</v>
      </c>
      <c r="N149" t="s">
        <v>36238</v>
      </c>
      <c r="O149" t="s">
        <v>36237</v>
      </c>
      <c r="P149">
        <v>710239</v>
      </c>
      <c r="Q149" t="s">
        <v>36236</v>
      </c>
      <c r="R149" t="s">
        <v>36235</v>
      </c>
      <c r="T149" s="22" t="s">
        <v>37427</v>
      </c>
      <c r="U149" s="22" t="s">
        <v>104</v>
      </c>
    </row>
    <row r="150" spans="1:21" x14ac:dyDescent="0.75">
      <c r="A150" t="s">
        <v>30835</v>
      </c>
      <c r="B150" t="s">
        <v>33572</v>
      </c>
      <c r="C150" t="s">
        <v>33583</v>
      </c>
      <c r="D150" t="s">
        <v>33582</v>
      </c>
      <c r="E150" t="s">
        <v>33581</v>
      </c>
      <c r="F150" t="s">
        <v>36222</v>
      </c>
      <c r="G150" t="s">
        <v>6415</v>
      </c>
      <c r="H150" t="s">
        <v>30836</v>
      </c>
      <c r="J150" t="s">
        <v>33577</v>
      </c>
      <c r="K150" t="s">
        <v>33576</v>
      </c>
      <c r="L150" t="s">
        <v>36233</v>
      </c>
      <c r="P150">
        <v>0</v>
      </c>
      <c r="Q150" t="s">
        <v>30834</v>
      </c>
      <c r="R150" t="s">
        <v>36234</v>
      </c>
      <c r="T150" s="22" t="s">
        <v>37428</v>
      </c>
      <c r="U150" s="22" t="s">
        <v>104</v>
      </c>
    </row>
    <row r="151" spans="1:21" x14ac:dyDescent="0.75">
      <c r="A151" t="s">
        <v>26709</v>
      </c>
      <c r="B151" t="s">
        <v>33572</v>
      </c>
      <c r="C151" t="s">
        <v>33583</v>
      </c>
      <c r="D151" t="s">
        <v>33582</v>
      </c>
      <c r="E151" t="s">
        <v>33581</v>
      </c>
      <c r="F151" t="s">
        <v>36222</v>
      </c>
      <c r="G151" t="s">
        <v>6415</v>
      </c>
      <c r="H151" t="s">
        <v>26710</v>
      </c>
      <c r="J151" t="s">
        <v>33617</v>
      </c>
      <c r="K151" t="s">
        <v>33566</v>
      </c>
      <c r="L151" t="s">
        <v>36233</v>
      </c>
      <c r="P151">
        <v>0</v>
      </c>
      <c r="Q151" t="s">
        <v>36232</v>
      </c>
      <c r="R151" t="s">
        <v>36231</v>
      </c>
      <c r="T151" s="22" t="s">
        <v>37429</v>
      </c>
      <c r="U151" s="22" t="s">
        <v>104</v>
      </c>
    </row>
    <row r="152" spans="1:21" x14ac:dyDescent="0.75">
      <c r="A152" t="s">
        <v>9730</v>
      </c>
      <c r="B152" t="s">
        <v>33572</v>
      </c>
      <c r="C152" t="s">
        <v>33583</v>
      </c>
      <c r="D152" t="s">
        <v>33582</v>
      </c>
      <c r="E152" t="s">
        <v>33581</v>
      </c>
      <c r="F152" t="s">
        <v>36222</v>
      </c>
      <c r="G152" t="s">
        <v>6415</v>
      </c>
      <c r="H152" t="s">
        <v>9731</v>
      </c>
      <c r="J152" t="s">
        <v>33617</v>
      </c>
      <c r="K152" t="s">
        <v>33566</v>
      </c>
      <c r="L152" t="s">
        <v>33575</v>
      </c>
      <c r="N152" t="s">
        <v>36230</v>
      </c>
      <c r="O152" t="s">
        <v>36229</v>
      </c>
      <c r="P152">
        <v>1227265</v>
      </c>
      <c r="Q152" t="s">
        <v>9729</v>
      </c>
      <c r="R152" t="s">
        <v>36228</v>
      </c>
      <c r="T152" s="22" t="s">
        <v>37430</v>
      </c>
      <c r="U152" s="22" t="s">
        <v>104</v>
      </c>
    </row>
    <row r="153" spans="1:21" x14ac:dyDescent="0.75">
      <c r="A153" t="s">
        <v>2025</v>
      </c>
      <c r="B153" t="s">
        <v>33572</v>
      </c>
      <c r="C153" t="s">
        <v>33583</v>
      </c>
      <c r="D153" t="s">
        <v>33582</v>
      </c>
      <c r="E153" t="s">
        <v>33581</v>
      </c>
      <c r="F153" t="s">
        <v>36222</v>
      </c>
      <c r="G153" t="s">
        <v>6415</v>
      </c>
      <c r="H153" t="s">
        <v>14740</v>
      </c>
      <c r="J153" t="s">
        <v>33617</v>
      </c>
      <c r="K153" t="s">
        <v>33566</v>
      </c>
      <c r="L153" t="s">
        <v>33587</v>
      </c>
      <c r="O153" t="s">
        <v>33573</v>
      </c>
      <c r="P153">
        <v>1316596</v>
      </c>
      <c r="Q153" t="s">
        <v>2024</v>
      </c>
      <c r="R153" t="s">
        <v>36227</v>
      </c>
      <c r="T153" s="22" t="s">
        <v>37431</v>
      </c>
      <c r="U153" s="22" t="s">
        <v>104</v>
      </c>
    </row>
    <row r="154" spans="1:21" x14ac:dyDescent="0.75">
      <c r="A154" t="s">
        <v>36226</v>
      </c>
      <c r="B154" t="s">
        <v>33572</v>
      </c>
      <c r="C154" t="s">
        <v>33583</v>
      </c>
      <c r="D154" t="s">
        <v>33582</v>
      </c>
      <c r="E154" t="s">
        <v>33581</v>
      </c>
      <c r="F154" t="s">
        <v>36222</v>
      </c>
      <c r="G154" t="s">
        <v>6415</v>
      </c>
      <c r="H154" t="s">
        <v>36225</v>
      </c>
      <c r="J154" t="s">
        <v>33577</v>
      </c>
      <c r="K154" t="s">
        <v>33576</v>
      </c>
      <c r="L154" t="s">
        <v>33587</v>
      </c>
      <c r="N154" t="s">
        <v>36224</v>
      </c>
      <c r="O154" t="s">
        <v>36223</v>
      </c>
      <c r="P154">
        <v>1016</v>
      </c>
      <c r="T154" s="22" t="s">
        <v>37432</v>
      </c>
      <c r="U154" s="22" t="s">
        <v>104</v>
      </c>
    </row>
    <row r="155" spans="1:21" x14ac:dyDescent="0.75">
      <c r="A155" t="s">
        <v>329</v>
      </c>
      <c r="B155" t="s">
        <v>33572</v>
      </c>
      <c r="C155" t="s">
        <v>33583</v>
      </c>
      <c r="D155" t="s">
        <v>33582</v>
      </c>
      <c r="E155" t="s">
        <v>33581</v>
      </c>
      <c r="F155" t="s">
        <v>36222</v>
      </c>
      <c r="G155" t="s">
        <v>6415</v>
      </c>
      <c r="H155" t="s">
        <v>6911</v>
      </c>
      <c r="J155" t="s">
        <v>33567</v>
      </c>
      <c r="K155" t="s">
        <v>33566</v>
      </c>
      <c r="L155" t="s">
        <v>33575</v>
      </c>
      <c r="N155" t="s">
        <v>36221</v>
      </c>
      <c r="O155" t="s">
        <v>33573</v>
      </c>
      <c r="P155">
        <v>1019</v>
      </c>
      <c r="Q155" t="s">
        <v>36220</v>
      </c>
      <c r="R155" t="s">
        <v>36219</v>
      </c>
      <c r="T155" s="22" t="s">
        <v>330</v>
      </c>
      <c r="U155" s="22" t="s">
        <v>104</v>
      </c>
    </row>
    <row r="156" spans="1:21" x14ac:dyDescent="0.75">
      <c r="A156" t="s">
        <v>223</v>
      </c>
      <c r="B156" t="s">
        <v>33572</v>
      </c>
      <c r="C156" t="s">
        <v>33571</v>
      </c>
      <c r="D156" t="s">
        <v>33570</v>
      </c>
      <c r="E156" t="s">
        <v>36215</v>
      </c>
      <c r="F156" t="s">
        <v>36214</v>
      </c>
      <c r="G156" t="s">
        <v>6927</v>
      </c>
      <c r="H156" t="s">
        <v>6928</v>
      </c>
      <c r="J156" t="s">
        <v>33567</v>
      </c>
      <c r="K156" t="s">
        <v>33566</v>
      </c>
      <c r="L156" t="s">
        <v>33616</v>
      </c>
      <c r="N156" t="s">
        <v>36218</v>
      </c>
      <c r="O156" t="s">
        <v>34181</v>
      </c>
      <c r="P156">
        <v>2718</v>
      </c>
      <c r="Q156" t="s">
        <v>36217</v>
      </c>
      <c r="R156" t="s">
        <v>36216</v>
      </c>
      <c r="T156" s="22" t="s">
        <v>224</v>
      </c>
      <c r="U156" s="22" t="s">
        <v>104</v>
      </c>
    </row>
    <row r="157" spans="1:21" x14ac:dyDescent="0.75">
      <c r="A157" t="s">
        <v>597</v>
      </c>
      <c r="B157" t="s">
        <v>33572</v>
      </c>
      <c r="C157" t="s">
        <v>33571</v>
      </c>
      <c r="D157" t="s">
        <v>33570</v>
      </c>
      <c r="E157" t="s">
        <v>36215</v>
      </c>
      <c r="F157" t="s">
        <v>36214</v>
      </c>
      <c r="G157" t="s">
        <v>6927</v>
      </c>
      <c r="H157" t="s">
        <v>8380</v>
      </c>
      <c r="J157" t="s">
        <v>33567</v>
      </c>
      <c r="K157" t="s">
        <v>33566</v>
      </c>
      <c r="L157" t="s">
        <v>33575</v>
      </c>
      <c r="N157" t="s">
        <v>36213</v>
      </c>
      <c r="O157" t="s">
        <v>34181</v>
      </c>
      <c r="P157">
        <v>194702</v>
      </c>
      <c r="Q157" t="s">
        <v>36212</v>
      </c>
      <c r="R157" t="s">
        <v>36211</v>
      </c>
      <c r="T157" s="22" t="s">
        <v>598</v>
      </c>
      <c r="U157" s="22" t="s">
        <v>104</v>
      </c>
    </row>
    <row r="158" spans="1:21" x14ac:dyDescent="0.75">
      <c r="A158" t="s">
        <v>20169</v>
      </c>
      <c r="B158" t="s">
        <v>33572</v>
      </c>
      <c r="C158" t="s">
        <v>33606</v>
      </c>
      <c r="D158" t="s">
        <v>33663</v>
      </c>
      <c r="E158" t="s">
        <v>34061</v>
      </c>
      <c r="F158" t="s">
        <v>34060</v>
      </c>
      <c r="G158" t="s">
        <v>6862</v>
      </c>
      <c r="H158" t="s">
        <v>8644</v>
      </c>
      <c r="J158" t="s">
        <v>34030</v>
      </c>
      <c r="K158" t="s">
        <v>33566</v>
      </c>
      <c r="L158" t="s">
        <v>33575</v>
      </c>
      <c r="P158">
        <v>0</v>
      </c>
      <c r="Q158" t="s">
        <v>20168</v>
      </c>
      <c r="R158" t="s">
        <v>36210</v>
      </c>
      <c r="T158" s="22" t="s">
        <v>36932</v>
      </c>
      <c r="U158" s="22" t="s">
        <v>104</v>
      </c>
    </row>
    <row r="159" spans="1:21" x14ac:dyDescent="0.75">
      <c r="A159" t="s">
        <v>6861</v>
      </c>
      <c r="B159" t="s">
        <v>33572</v>
      </c>
      <c r="C159" t="s">
        <v>33606</v>
      </c>
      <c r="D159" t="s">
        <v>33663</v>
      </c>
      <c r="E159" t="s">
        <v>34061</v>
      </c>
      <c r="F159" t="s">
        <v>34060</v>
      </c>
      <c r="G159" t="s">
        <v>6862</v>
      </c>
      <c r="H159" t="s">
        <v>6863</v>
      </c>
      <c r="J159" t="s">
        <v>33567</v>
      </c>
      <c r="K159" t="s">
        <v>33566</v>
      </c>
      <c r="L159" t="s">
        <v>33575</v>
      </c>
      <c r="N159" t="s">
        <v>36209</v>
      </c>
      <c r="O159" t="s">
        <v>36208</v>
      </c>
      <c r="P159">
        <v>43997</v>
      </c>
      <c r="Q159" t="s">
        <v>6860</v>
      </c>
      <c r="R159" t="s">
        <v>36207</v>
      </c>
      <c r="T159" s="22" t="s">
        <v>36931</v>
      </c>
      <c r="U159" s="22" t="s">
        <v>104</v>
      </c>
    </row>
    <row r="160" spans="1:21" x14ac:dyDescent="0.75">
      <c r="A160" t="s">
        <v>36206</v>
      </c>
      <c r="B160" t="s">
        <v>33572</v>
      </c>
      <c r="C160" t="s">
        <v>33606</v>
      </c>
      <c r="D160" t="s">
        <v>33663</v>
      </c>
      <c r="E160" t="s">
        <v>34061</v>
      </c>
      <c r="F160" t="s">
        <v>34060</v>
      </c>
      <c r="G160" t="s">
        <v>6862</v>
      </c>
      <c r="H160" t="s">
        <v>36205</v>
      </c>
      <c r="J160" t="s">
        <v>33577</v>
      </c>
      <c r="K160" t="s">
        <v>33576</v>
      </c>
      <c r="L160" t="s">
        <v>33587</v>
      </c>
      <c r="N160" t="s">
        <v>36204</v>
      </c>
      <c r="O160" t="s">
        <v>36203</v>
      </c>
      <c r="P160">
        <v>712233</v>
      </c>
      <c r="T160" s="22" t="s">
        <v>37433</v>
      </c>
      <c r="U160" s="22" t="s">
        <v>104</v>
      </c>
    </row>
    <row r="161" spans="1:21" x14ac:dyDescent="0.75">
      <c r="A161" t="s">
        <v>36202</v>
      </c>
      <c r="B161" t="s">
        <v>33572</v>
      </c>
      <c r="C161" t="s">
        <v>33606</v>
      </c>
      <c r="D161" t="s">
        <v>33663</v>
      </c>
      <c r="E161" t="s">
        <v>34061</v>
      </c>
      <c r="F161" t="s">
        <v>34060</v>
      </c>
      <c r="G161" t="s">
        <v>6862</v>
      </c>
      <c r="H161" t="s">
        <v>36201</v>
      </c>
      <c r="J161" t="s">
        <v>33577</v>
      </c>
      <c r="K161" t="s">
        <v>33576</v>
      </c>
      <c r="L161" t="s">
        <v>33587</v>
      </c>
      <c r="N161" t="s">
        <v>36200</v>
      </c>
      <c r="O161" t="s">
        <v>36199</v>
      </c>
      <c r="P161">
        <v>712234</v>
      </c>
      <c r="T161" s="22" t="s">
        <v>37434</v>
      </c>
      <c r="U161" s="22" t="s">
        <v>104</v>
      </c>
    </row>
    <row r="162" spans="1:21" x14ac:dyDescent="0.75">
      <c r="A162" t="s">
        <v>36198</v>
      </c>
      <c r="B162" t="s">
        <v>33572</v>
      </c>
      <c r="C162" t="s">
        <v>33571</v>
      </c>
      <c r="D162" t="s">
        <v>34135</v>
      </c>
      <c r="E162" t="s">
        <v>36197</v>
      </c>
      <c r="F162" t="s">
        <v>36196</v>
      </c>
      <c r="G162" t="s">
        <v>36195</v>
      </c>
      <c r="H162" t="s">
        <v>36194</v>
      </c>
      <c r="J162" t="s">
        <v>33577</v>
      </c>
      <c r="K162" t="s">
        <v>33576</v>
      </c>
      <c r="L162" t="s">
        <v>33651</v>
      </c>
      <c r="N162" t="s">
        <v>36193</v>
      </c>
      <c r="O162" t="s">
        <v>36192</v>
      </c>
      <c r="P162">
        <v>712237</v>
      </c>
      <c r="T162" s="22" t="s">
        <v>37435</v>
      </c>
      <c r="U162" s="22" t="s">
        <v>144</v>
      </c>
    </row>
    <row r="163" spans="1:21" x14ac:dyDescent="0.75">
      <c r="A163" t="s">
        <v>1564</v>
      </c>
      <c r="B163" t="s">
        <v>33572</v>
      </c>
      <c r="C163" t="s">
        <v>34169</v>
      </c>
      <c r="D163" t="s">
        <v>34355</v>
      </c>
      <c r="E163" t="s">
        <v>34409</v>
      </c>
      <c r="F163" t="s">
        <v>36191</v>
      </c>
      <c r="G163" t="s">
        <v>11980</v>
      </c>
      <c r="H163" t="s">
        <v>11981</v>
      </c>
      <c r="J163" t="s">
        <v>33567</v>
      </c>
      <c r="K163" t="s">
        <v>33566</v>
      </c>
      <c r="L163" t="s">
        <v>33659</v>
      </c>
      <c r="O163" t="s">
        <v>34915</v>
      </c>
      <c r="P163">
        <v>1710</v>
      </c>
      <c r="Q163" t="s">
        <v>36190</v>
      </c>
      <c r="R163" t="s">
        <v>36189</v>
      </c>
      <c r="T163" s="22" t="s">
        <v>1565</v>
      </c>
      <c r="U163" s="22" t="s">
        <v>1563</v>
      </c>
    </row>
    <row r="164" spans="1:21" x14ac:dyDescent="0.75">
      <c r="A164" t="s">
        <v>7766</v>
      </c>
      <c r="B164" t="s">
        <v>33572</v>
      </c>
      <c r="C164" t="s">
        <v>33606</v>
      </c>
      <c r="D164" t="s">
        <v>33605</v>
      </c>
      <c r="E164" t="s">
        <v>34188</v>
      </c>
      <c r="F164" t="s">
        <v>34187</v>
      </c>
      <c r="G164" t="s">
        <v>7767</v>
      </c>
      <c r="H164" t="s">
        <v>7768</v>
      </c>
      <c r="J164" t="s">
        <v>33567</v>
      </c>
      <c r="K164" t="s">
        <v>33566</v>
      </c>
      <c r="L164" t="s">
        <v>33609</v>
      </c>
      <c r="N164" t="s">
        <v>36188</v>
      </c>
      <c r="O164" t="s">
        <v>33614</v>
      </c>
      <c r="P164">
        <v>82203</v>
      </c>
      <c r="Q164" t="s">
        <v>36187</v>
      </c>
      <c r="R164" t="s">
        <v>36186</v>
      </c>
      <c r="T164" s="22" t="s">
        <v>36933</v>
      </c>
      <c r="U164" s="22" t="s">
        <v>104</v>
      </c>
    </row>
    <row r="165" spans="1:21" x14ac:dyDescent="0.75">
      <c r="A165" t="s">
        <v>6101</v>
      </c>
      <c r="B165" t="s">
        <v>33572</v>
      </c>
      <c r="C165" t="s">
        <v>36185</v>
      </c>
      <c r="D165" t="s">
        <v>36184</v>
      </c>
      <c r="E165" t="s">
        <v>36183</v>
      </c>
      <c r="F165" t="s">
        <v>36182</v>
      </c>
      <c r="G165" t="s">
        <v>6102</v>
      </c>
      <c r="H165" t="s">
        <v>6094</v>
      </c>
      <c r="J165" t="s">
        <v>33567</v>
      </c>
      <c r="K165" t="s">
        <v>33566</v>
      </c>
      <c r="L165" t="s">
        <v>33565</v>
      </c>
      <c r="N165" t="s">
        <v>36181</v>
      </c>
      <c r="O165" t="s">
        <v>36180</v>
      </c>
      <c r="P165">
        <v>83558</v>
      </c>
      <c r="Q165" t="s">
        <v>36179</v>
      </c>
      <c r="R165" t="s">
        <v>36178</v>
      </c>
      <c r="T165" s="22" t="s">
        <v>36934</v>
      </c>
      <c r="U165" s="22" t="s">
        <v>36804</v>
      </c>
    </row>
    <row r="166" spans="1:21" x14ac:dyDescent="0.75">
      <c r="A166" t="s">
        <v>6368</v>
      </c>
      <c r="B166" t="s">
        <v>33572</v>
      </c>
      <c r="C166" t="s">
        <v>35262</v>
      </c>
      <c r="D166" t="s">
        <v>36177</v>
      </c>
      <c r="E166" t="s">
        <v>36176</v>
      </c>
      <c r="F166" t="s">
        <v>36175</v>
      </c>
      <c r="G166" t="s">
        <v>6369</v>
      </c>
      <c r="H166" t="s">
        <v>6370</v>
      </c>
      <c r="J166" t="s">
        <v>33567</v>
      </c>
      <c r="K166" t="s">
        <v>33566</v>
      </c>
      <c r="L166" t="s">
        <v>34437</v>
      </c>
      <c r="O166" t="s">
        <v>36174</v>
      </c>
      <c r="P166">
        <v>1092</v>
      </c>
      <c r="Q166" t="s">
        <v>6367</v>
      </c>
      <c r="R166" t="s">
        <v>36173</v>
      </c>
      <c r="T166" s="22" t="s">
        <v>36935</v>
      </c>
      <c r="U166" s="22" t="s">
        <v>686</v>
      </c>
    </row>
    <row r="167" spans="1:21" x14ac:dyDescent="0.75">
      <c r="A167" t="s">
        <v>36172</v>
      </c>
      <c r="B167" t="s">
        <v>33572</v>
      </c>
      <c r="C167" t="s">
        <v>33583</v>
      </c>
      <c r="D167" t="s">
        <v>33582</v>
      </c>
      <c r="E167" t="s">
        <v>33581</v>
      </c>
      <c r="F167" t="s">
        <v>33580</v>
      </c>
      <c r="G167" t="s">
        <v>36171</v>
      </c>
      <c r="H167" t="s">
        <v>36170</v>
      </c>
      <c r="J167" t="s">
        <v>33577</v>
      </c>
      <c r="K167" t="s">
        <v>33576</v>
      </c>
      <c r="L167" t="s">
        <v>33651</v>
      </c>
      <c r="N167" t="s">
        <v>36169</v>
      </c>
      <c r="O167" t="s">
        <v>36168</v>
      </c>
      <c r="P167">
        <v>59732</v>
      </c>
      <c r="T167" s="22" t="s">
        <v>37436</v>
      </c>
      <c r="U167" s="22" t="s">
        <v>144</v>
      </c>
    </row>
    <row r="168" spans="1:21" x14ac:dyDescent="0.75">
      <c r="A168" t="s">
        <v>12570</v>
      </c>
      <c r="B168" t="s">
        <v>33572</v>
      </c>
      <c r="C168" t="s">
        <v>33583</v>
      </c>
      <c r="D168" t="s">
        <v>33582</v>
      </c>
      <c r="E168" t="s">
        <v>33581</v>
      </c>
      <c r="F168" t="s">
        <v>33580</v>
      </c>
      <c r="G168" t="s">
        <v>12571</v>
      </c>
      <c r="H168" t="s">
        <v>12572</v>
      </c>
      <c r="J168" t="s">
        <v>34030</v>
      </c>
      <c r="K168" t="s">
        <v>33576</v>
      </c>
      <c r="L168" t="s">
        <v>33659</v>
      </c>
      <c r="N168" t="s">
        <v>36167</v>
      </c>
      <c r="O168" t="s">
        <v>36166</v>
      </c>
      <c r="P168">
        <v>237258</v>
      </c>
      <c r="Q168" t="s">
        <v>36165</v>
      </c>
      <c r="R168" t="s">
        <v>36164</v>
      </c>
      <c r="T168" s="22" t="s">
        <v>36936</v>
      </c>
      <c r="U168" s="22" t="s">
        <v>1563</v>
      </c>
    </row>
    <row r="169" spans="1:21" x14ac:dyDescent="0.75">
      <c r="A169" t="s">
        <v>36163</v>
      </c>
      <c r="B169" t="s">
        <v>33572</v>
      </c>
      <c r="C169" t="s">
        <v>33583</v>
      </c>
      <c r="D169" t="s">
        <v>33582</v>
      </c>
      <c r="E169" t="s">
        <v>33581</v>
      </c>
      <c r="F169" t="s">
        <v>33580</v>
      </c>
      <c r="G169" t="s">
        <v>12571</v>
      </c>
      <c r="H169" t="s">
        <v>36162</v>
      </c>
      <c r="J169" t="s">
        <v>33577</v>
      </c>
      <c r="K169" t="s">
        <v>33576</v>
      </c>
      <c r="L169" t="s">
        <v>33575</v>
      </c>
      <c r="O169" t="s">
        <v>33573</v>
      </c>
      <c r="P169">
        <v>501783</v>
      </c>
      <c r="T169" s="22" t="s">
        <v>37437</v>
      </c>
      <c r="U169" s="22" t="s">
        <v>104</v>
      </c>
    </row>
    <row r="170" spans="1:21" x14ac:dyDescent="0.75">
      <c r="A170" t="s">
        <v>36161</v>
      </c>
      <c r="B170" t="s">
        <v>33572</v>
      </c>
      <c r="C170" t="s">
        <v>33606</v>
      </c>
      <c r="D170" t="s">
        <v>33663</v>
      </c>
      <c r="E170" t="s">
        <v>33900</v>
      </c>
      <c r="F170" t="s">
        <v>36155</v>
      </c>
      <c r="G170" t="s">
        <v>36160</v>
      </c>
      <c r="H170" t="s">
        <v>36159</v>
      </c>
      <c r="J170" t="s">
        <v>33577</v>
      </c>
      <c r="K170" t="s">
        <v>33576</v>
      </c>
      <c r="L170" t="s">
        <v>33609</v>
      </c>
      <c r="N170" t="s">
        <v>36158</v>
      </c>
      <c r="O170" t="s">
        <v>36157</v>
      </c>
      <c r="P170">
        <v>186802</v>
      </c>
      <c r="T170" s="22" t="s">
        <v>37438</v>
      </c>
      <c r="U170" s="22" t="s">
        <v>104</v>
      </c>
    </row>
    <row r="171" spans="1:21" x14ac:dyDescent="0.75">
      <c r="A171" t="s">
        <v>36156</v>
      </c>
      <c r="B171" t="s">
        <v>33572</v>
      </c>
      <c r="C171" t="s">
        <v>33606</v>
      </c>
      <c r="D171" t="s">
        <v>33663</v>
      </c>
      <c r="E171" t="s">
        <v>33900</v>
      </c>
      <c r="F171" t="s">
        <v>36155</v>
      </c>
      <c r="G171" t="s">
        <v>36154</v>
      </c>
      <c r="H171" t="s">
        <v>36153</v>
      </c>
      <c r="J171" t="s">
        <v>33577</v>
      </c>
      <c r="K171" t="s">
        <v>33576</v>
      </c>
      <c r="L171" t="s">
        <v>33659</v>
      </c>
      <c r="N171" t="s">
        <v>36152</v>
      </c>
      <c r="O171" t="s">
        <v>36151</v>
      </c>
      <c r="P171">
        <v>186802</v>
      </c>
      <c r="T171" s="22" t="s">
        <v>37439</v>
      </c>
      <c r="U171" s="22" t="s">
        <v>1563</v>
      </c>
    </row>
    <row r="172" spans="1:21" x14ac:dyDescent="0.75">
      <c r="A172" t="s">
        <v>9735</v>
      </c>
      <c r="B172" t="s">
        <v>33572</v>
      </c>
      <c r="C172" t="s">
        <v>33606</v>
      </c>
      <c r="D172" t="s">
        <v>33663</v>
      </c>
      <c r="E172" t="s">
        <v>33900</v>
      </c>
      <c r="F172" t="s">
        <v>36150</v>
      </c>
      <c r="G172" t="s">
        <v>9736</v>
      </c>
      <c r="H172" t="s">
        <v>9737</v>
      </c>
      <c r="J172" t="s">
        <v>33617</v>
      </c>
      <c r="K172" t="s">
        <v>33566</v>
      </c>
      <c r="L172" t="s">
        <v>33659</v>
      </c>
      <c r="O172" t="s">
        <v>36149</v>
      </c>
      <c r="P172">
        <v>186802</v>
      </c>
      <c r="Q172" t="s">
        <v>9734</v>
      </c>
      <c r="R172" t="s">
        <v>36148</v>
      </c>
      <c r="T172" s="22" t="s">
        <v>37440</v>
      </c>
      <c r="U172" s="22" t="s">
        <v>1563</v>
      </c>
    </row>
    <row r="173" spans="1:21" x14ac:dyDescent="0.75">
      <c r="A173" t="s">
        <v>8403</v>
      </c>
      <c r="B173" t="s">
        <v>33572</v>
      </c>
      <c r="C173" t="s">
        <v>33571</v>
      </c>
      <c r="D173" t="s">
        <v>33654</v>
      </c>
      <c r="E173" t="s">
        <v>33653</v>
      </c>
      <c r="F173" t="s">
        <v>33652</v>
      </c>
      <c r="G173" t="s">
        <v>8404</v>
      </c>
      <c r="H173" t="s">
        <v>8405</v>
      </c>
      <c r="J173" t="s">
        <v>33567</v>
      </c>
      <c r="K173" t="s">
        <v>33566</v>
      </c>
      <c r="L173" t="s">
        <v>34582</v>
      </c>
      <c r="M173" t="s">
        <v>36147</v>
      </c>
      <c r="N173" t="s">
        <v>36146</v>
      </c>
      <c r="O173" t="s">
        <v>36145</v>
      </c>
      <c r="P173">
        <v>285</v>
      </c>
      <c r="Q173" t="s">
        <v>36144</v>
      </c>
      <c r="R173" t="s">
        <v>36143</v>
      </c>
      <c r="T173" s="22" t="s">
        <v>36938</v>
      </c>
      <c r="U173" s="22" t="s">
        <v>144</v>
      </c>
    </row>
    <row r="174" spans="1:21" x14ac:dyDescent="0.75">
      <c r="A174" t="s">
        <v>6628</v>
      </c>
      <c r="B174" t="s">
        <v>33572</v>
      </c>
      <c r="C174" t="s">
        <v>34169</v>
      </c>
      <c r="D174" t="s">
        <v>34355</v>
      </c>
      <c r="E174" t="s">
        <v>35132</v>
      </c>
      <c r="F174" t="s">
        <v>36061</v>
      </c>
      <c r="G174" t="s">
        <v>6081</v>
      </c>
      <c r="H174" t="s">
        <v>6629</v>
      </c>
      <c r="J174" t="s">
        <v>33567</v>
      </c>
      <c r="K174" t="s">
        <v>33566</v>
      </c>
      <c r="L174" t="s">
        <v>34129</v>
      </c>
      <c r="O174" t="s">
        <v>35129</v>
      </c>
      <c r="P174">
        <v>38284</v>
      </c>
      <c r="Q174" t="s">
        <v>36142</v>
      </c>
      <c r="R174" t="s">
        <v>36141</v>
      </c>
      <c r="T174" s="22" t="s">
        <v>36960</v>
      </c>
      <c r="U174" s="22" t="s">
        <v>36807</v>
      </c>
    </row>
    <row r="175" spans="1:21" x14ac:dyDescent="0.75">
      <c r="A175" t="s">
        <v>9434</v>
      </c>
      <c r="B175" t="s">
        <v>33572</v>
      </c>
      <c r="C175" t="s">
        <v>34169</v>
      </c>
      <c r="D175" t="s">
        <v>34355</v>
      </c>
      <c r="E175" t="s">
        <v>35132</v>
      </c>
      <c r="F175" t="s">
        <v>36061</v>
      </c>
      <c r="G175" t="s">
        <v>6081</v>
      </c>
      <c r="H175" t="s">
        <v>9435</v>
      </c>
      <c r="J175" t="s">
        <v>33567</v>
      </c>
      <c r="K175" t="s">
        <v>33566</v>
      </c>
      <c r="L175" t="s">
        <v>33659</v>
      </c>
      <c r="O175" t="s">
        <v>35129</v>
      </c>
      <c r="P175">
        <v>38286</v>
      </c>
      <c r="Q175" t="s">
        <v>36140</v>
      </c>
      <c r="R175" t="s">
        <v>36139</v>
      </c>
      <c r="T175" s="22" t="s">
        <v>36955</v>
      </c>
      <c r="U175" s="22" t="s">
        <v>1563</v>
      </c>
    </row>
    <row r="176" spans="1:21" x14ac:dyDescent="0.75">
      <c r="A176" t="s">
        <v>7112</v>
      </c>
      <c r="B176" t="s">
        <v>33572</v>
      </c>
      <c r="C176" t="s">
        <v>34169</v>
      </c>
      <c r="D176" t="s">
        <v>34355</v>
      </c>
      <c r="E176" t="s">
        <v>35132</v>
      </c>
      <c r="F176" t="s">
        <v>36061</v>
      </c>
      <c r="G176" t="s">
        <v>6081</v>
      </c>
      <c r="H176" t="s">
        <v>7113</v>
      </c>
      <c r="J176" t="s">
        <v>33567</v>
      </c>
      <c r="K176" t="s">
        <v>33566</v>
      </c>
      <c r="L176" t="s">
        <v>36138</v>
      </c>
      <c r="O176" t="s">
        <v>35129</v>
      </c>
      <c r="P176">
        <v>43765</v>
      </c>
      <c r="Q176" t="s">
        <v>36137</v>
      </c>
      <c r="R176" t="s">
        <v>36136</v>
      </c>
      <c r="T176" s="22" t="s">
        <v>36952</v>
      </c>
      <c r="U176" s="22" t="s">
        <v>36807</v>
      </c>
    </row>
    <row r="177" spans="1:21" x14ac:dyDescent="0.75">
      <c r="A177" t="s">
        <v>23960</v>
      </c>
      <c r="B177" t="s">
        <v>33572</v>
      </c>
      <c r="C177" t="s">
        <v>34169</v>
      </c>
      <c r="D177" t="s">
        <v>34355</v>
      </c>
      <c r="E177" t="s">
        <v>35132</v>
      </c>
      <c r="F177" t="s">
        <v>36061</v>
      </c>
      <c r="G177" t="s">
        <v>6081</v>
      </c>
      <c r="H177" t="s">
        <v>23961</v>
      </c>
      <c r="J177" t="s">
        <v>33567</v>
      </c>
      <c r="K177" t="s">
        <v>33566</v>
      </c>
      <c r="L177" t="s">
        <v>33659</v>
      </c>
      <c r="O177" t="s">
        <v>35129</v>
      </c>
      <c r="P177">
        <v>163202</v>
      </c>
      <c r="Q177" t="s">
        <v>36135</v>
      </c>
      <c r="R177" t="s">
        <v>36134</v>
      </c>
      <c r="T177" s="22" t="s">
        <v>36964</v>
      </c>
      <c r="U177" s="22" t="s">
        <v>1563</v>
      </c>
    </row>
    <row r="178" spans="1:21" x14ac:dyDescent="0.75">
      <c r="A178" t="s">
        <v>6394</v>
      </c>
      <c r="B178" t="s">
        <v>33572</v>
      </c>
      <c r="C178" t="s">
        <v>34169</v>
      </c>
      <c r="D178" t="s">
        <v>34355</v>
      </c>
      <c r="E178" t="s">
        <v>35132</v>
      </c>
      <c r="F178" t="s">
        <v>36061</v>
      </c>
      <c r="G178" t="s">
        <v>6081</v>
      </c>
      <c r="H178" t="s">
        <v>36130</v>
      </c>
      <c r="I178" t="s">
        <v>36133</v>
      </c>
      <c r="J178" t="s">
        <v>33567</v>
      </c>
      <c r="K178" t="s">
        <v>33566</v>
      </c>
      <c r="L178" t="s">
        <v>33659</v>
      </c>
      <c r="O178" t="s">
        <v>35129</v>
      </c>
      <c r="P178">
        <v>169292</v>
      </c>
      <c r="Q178" t="s">
        <v>36132</v>
      </c>
      <c r="R178" t="s">
        <v>36131</v>
      </c>
      <c r="T178" s="22" t="s">
        <v>37368</v>
      </c>
      <c r="U178" s="22" t="s">
        <v>1563</v>
      </c>
    </row>
    <row r="179" spans="1:21" x14ac:dyDescent="0.75">
      <c r="A179" t="s">
        <v>11068</v>
      </c>
      <c r="B179" t="s">
        <v>33572</v>
      </c>
      <c r="C179" t="s">
        <v>34169</v>
      </c>
      <c r="D179" t="s">
        <v>34355</v>
      </c>
      <c r="E179" t="s">
        <v>35132</v>
      </c>
      <c r="F179" t="s">
        <v>36061</v>
      </c>
      <c r="G179" t="s">
        <v>6081</v>
      </c>
      <c r="H179" t="s">
        <v>36130</v>
      </c>
      <c r="I179" t="s">
        <v>36129</v>
      </c>
      <c r="J179" t="s">
        <v>33567</v>
      </c>
      <c r="K179" t="s">
        <v>33566</v>
      </c>
      <c r="L179" t="s">
        <v>33659</v>
      </c>
      <c r="P179">
        <v>0</v>
      </c>
      <c r="Q179" t="s">
        <v>36128</v>
      </c>
      <c r="R179" t="s">
        <v>36127</v>
      </c>
      <c r="T179" s="22" t="s">
        <v>37368</v>
      </c>
      <c r="U179" s="22" t="s">
        <v>1563</v>
      </c>
    </row>
    <row r="180" spans="1:21" x14ac:dyDescent="0.75">
      <c r="A180" t="s">
        <v>16103</v>
      </c>
      <c r="B180" t="s">
        <v>33572</v>
      </c>
      <c r="C180" t="s">
        <v>34169</v>
      </c>
      <c r="D180" t="s">
        <v>34355</v>
      </c>
      <c r="E180" t="s">
        <v>35132</v>
      </c>
      <c r="F180" t="s">
        <v>36061</v>
      </c>
      <c r="G180" t="s">
        <v>6081</v>
      </c>
      <c r="H180" t="s">
        <v>16104</v>
      </c>
      <c r="J180" t="s">
        <v>33567</v>
      </c>
      <c r="K180" t="s">
        <v>33566</v>
      </c>
      <c r="L180" t="s">
        <v>36126</v>
      </c>
      <c r="O180" t="s">
        <v>35129</v>
      </c>
      <c r="P180">
        <v>36808</v>
      </c>
      <c r="Q180" t="s">
        <v>36125</v>
      </c>
      <c r="R180" t="s">
        <v>36124</v>
      </c>
      <c r="T180" s="22" t="s">
        <v>36942</v>
      </c>
      <c r="U180" s="22" t="s">
        <v>36807</v>
      </c>
    </row>
    <row r="181" spans="1:21" x14ac:dyDescent="0.75">
      <c r="A181" t="s">
        <v>14348</v>
      </c>
      <c r="B181" t="s">
        <v>33572</v>
      </c>
      <c r="C181" t="s">
        <v>34169</v>
      </c>
      <c r="D181" t="s">
        <v>34355</v>
      </c>
      <c r="E181" t="s">
        <v>35132</v>
      </c>
      <c r="F181" t="s">
        <v>36061</v>
      </c>
      <c r="G181" t="s">
        <v>6081</v>
      </c>
      <c r="H181" t="s">
        <v>14349</v>
      </c>
      <c r="J181" t="s">
        <v>33567</v>
      </c>
      <c r="K181" t="s">
        <v>33566</v>
      </c>
      <c r="L181" t="s">
        <v>33659</v>
      </c>
      <c r="O181" t="s">
        <v>35129</v>
      </c>
      <c r="P181">
        <v>53374</v>
      </c>
      <c r="Q181" t="s">
        <v>36123</v>
      </c>
      <c r="R181" t="s">
        <v>36122</v>
      </c>
      <c r="T181" s="22" t="s">
        <v>36968</v>
      </c>
      <c r="U181" s="22" t="s">
        <v>1563</v>
      </c>
    </row>
    <row r="182" spans="1:21" x14ac:dyDescent="0.75">
      <c r="A182" t="s">
        <v>8409</v>
      </c>
      <c r="B182" t="s">
        <v>33572</v>
      </c>
      <c r="C182" t="s">
        <v>34169</v>
      </c>
      <c r="D182" t="s">
        <v>34355</v>
      </c>
      <c r="E182" t="s">
        <v>35132</v>
      </c>
      <c r="F182" t="s">
        <v>36061</v>
      </c>
      <c r="G182" t="s">
        <v>6081</v>
      </c>
      <c r="H182" t="s">
        <v>8410</v>
      </c>
      <c r="J182" t="s">
        <v>33567</v>
      </c>
      <c r="K182" t="s">
        <v>33566</v>
      </c>
      <c r="L182" t="s">
        <v>33565</v>
      </c>
      <c r="N182" t="s">
        <v>36121</v>
      </c>
      <c r="O182" t="s">
        <v>36120</v>
      </c>
      <c r="P182">
        <v>1717</v>
      </c>
      <c r="Q182" t="s">
        <v>36119</v>
      </c>
      <c r="R182" t="s">
        <v>36118</v>
      </c>
      <c r="T182" s="22" t="s">
        <v>36946</v>
      </c>
      <c r="U182" s="22" t="s">
        <v>36804</v>
      </c>
    </row>
    <row r="183" spans="1:21" x14ac:dyDescent="0.75">
      <c r="A183" t="s">
        <v>8965</v>
      </c>
      <c r="B183" t="s">
        <v>33572</v>
      </c>
      <c r="C183" t="s">
        <v>34169</v>
      </c>
      <c r="D183" t="s">
        <v>34355</v>
      </c>
      <c r="E183" t="s">
        <v>35132</v>
      </c>
      <c r="F183" t="s">
        <v>36061</v>
      </c>
      <c r="G183" t="s">
        <v>6081</v>
      </c>
      <c r="H183" t="s">
        <v>8966</v>
      </c>
      <c r="J183" t="s">
        <v>33567</v>
      </c>
      <c r="K183" t="s">
        <v>33566</v>
      </c>
      <c r="L183" t="s">
        <v>33616</v>
      </c>
      <c r="N183" t="s">
        <v>36117</v>
      </c>
      <c r="O183" t="s">
        <v>35129</v>
      </c>
      <c r="P183">
        <v>61592</v>
      </c>
      <c r="Q183" t="s">
        <v>36116</v>
      </c>
      <c r="R183" t="s">
        <v>36115</v>
      </c>
      <c r="T183" s="22" t="s">
        <v>36967</v>
      </c>
      <c r="U183" s="22" t="s">
        <v>104</v>
      </c>
    </row>
    <row r="184" spans="1:21" x14ac:dyDescent="0.75">
      <c r="A184" t="s">
        <v>13861</v>
      </c>
      <c r="B184" t="s">
        <v>33572</v>
      </c>
      <c r="C184" t="s">
        <v>34169</v>
      </c>
      <c r="D184" t="s">
        <v>34355</v>
      </c>
      <c r="E184" t="s">
        <v>35132</v>
      </c>
      <c r="F184" t="s">
        <v>36061</v>
      </c>
      <c r="G184" t="s">
        <v>6081</v>
      </c>
      <c r="H184" t="s">
        <v>13862</v>
      </c>
      <c r="J184" t="s">
        <v>33567</v>
      </c>
      <c r="K184" t="s">
        <v>33566</v>
      </c>
      <c r="L184" t="s">
        <v>33659</v>
      </c>
      <c r="O184" t="s">
        <v>35129</v>
      </c>
      <c r="P184">
        <v>2041036</v>
      </c>
      <c r="Q184" t="s">
        <v>36114</v>
      </c>
      <c r="R184" t="s">
        <v>36113</v>
      </c>
      <c r="T184" s="22" t="s">
        <v>36957</v>
      </c>
      <c r="U184" s="22" t="s">
        <v>1563</v>
      </c>
    </row>
    <row r="185" spans="1:21" x14ac:dyDescent="0.75">
      <c r="A185" t="s">
        <v>12689</v>
      </c>
      <c r="B185" t="s">
        <v>33572</v>
      </c>
      <c r="C185" t="s">
        <v>34169</v>
      </c>
      <c r="D185" t="s">
        <v>34355</v>
      </c>
      <c r="E185" t="s">
        <v>35132</v>
      </c>
      <c r="F185" t="s">
        <v>36061</v>
      </c>
      <c r="G185" t="s">
        <v>6081</v>
      </c>
      <c r="H185" t="s">
        <v>12690</v>
      </c>
      <c r="J185" t="s">
        <v>33567</v>
      </c>
      <c r="K185" t="s">
        <v>33566</v>
      </c>
      <c r="L185" t="s">
        <v>33659</v>
      </c>
      <c r="P185">
        <v>0</v>
      </c>
      <c r="Q185" t="s">
        <v>36112</v>
      </c>
      <c r="R185" t="s">
        <v>36111</v>
      </c>
      <c r="T185" s="22" t="s">
        <v>36939</v>
      </c>
      <c r="U185" s="22" t="s">
        <v>1563</v>
      </c>
    </row>
    <row r="186" spans="1:21" x14ac:dyDescent="0.75">
      <c r="A186" t="s">
        <v>6080</v>
      </c>
      <c r="B186" t="s">
        <v>33572</v>
      </c>
      <c r="C186" t="s">
        <v>34169</v>
      </c>
      <c r="D186" t="s">
        <v>34355</v>
      </c>
      <c r="E186" t="s">
        <v>35132</v>
      </c>
      <c r="F186" t="s">
        <v>36061</v>
      </c>
      <c r="G186" t="s">
        <v>6081</v>
      </c>
      <c r="H186" t="s">
        <v>6082</v>
      </c>
      <c r="J186" t="s">
        <v>33567</v>
      </c>
      <c r="K186" t="s">
        <v>33566</v>
      </c>
      <c r="L186" t="s">
        <v>33659</v>
      </c>
      <c r="O186" t="s">
        <v>35129</v>
      </c>
      <c r="P186">
        <v>38289</v>
      </c>
      <c r="Q186" t="s">
        <v>36110</v>
      </c>
      <c r="R186" t="s">
        <v>36109</v>
      </c>
      <c r="T186" s="22" t="s">
        <v>36956</v>
      </c>
      <c r="U186" s="22" t="s">
        <v>1563</v>
      </c>
    </row>
    <row r="187" spans="1:21" x14ac:dyDescent="0.75">
      <c r="A187" t="s">
        <v>9970</v>
      </c>
      <c r="B187" t="s">
        <v>33572</v>
      </c>
      <c r="C187" t="s">
        <v>34169</v>
      </c>
      <c r="D187" t="s">
        <v>34355</v>
      </c>
      <c r="E187" t="s">
        <v>35132</v>
      </c>
      <c r="F187" t="s">
        <v>36061</v>
      </c>
      <c r="G187" t="s">
        <v>6081</v>
      </c>
      <c r="H187" t="s">
        <v>9971</v>
      </c>
      <c r="J187" t="s">
        <v>34030</v>
      </c>
      <c r="K187" t="s">
        <v>33566</v>
      </c>
      <c r="L187" t="s">
        <v>36044</v>
      </c>
      <c r="P187">
        <v>0</v>
      </c>
      <c r="Q187" t="s">
        <v>36108</v>
      </c>
      <c r="R187" t="s">
        <v>36107</v>
      </c>
      <c r="T187" s="22" t="s">
        <v>36945</v>
      </c>
      <c r="U187" s="22" t="s">
        <v>36807</v>
      </c>
    </row>
    <row r="188" spans="1:21" x14ac:dyDescent="0.75">
      <c r="A188" t="s">
        <v>6405</v>
      </c>
      <c r="B188" t="s">
        <v>33572</v>
      </c>
      <c r="C188" t="s">
        <v>34169</v>
      </c>
      <c r="D188" t="s">
        <v>34355</v>
      </c>
      <c r="E188" t="s">
        <v>35132</v>
      </c>
      <c r="F188" t="s">
        <v>36061</v>
      </c>
      <c r="G188" t="s">
        <v>6081</v>
      </c>
      <c r="H188" t="s">
        <v>6406</v>
      </c>
      <c r="J188" t="s">
        <v>33567</v>
      </c>
      <c r="K188" t="s">
        <v>33566</v>
      </c>
      <c r="L188" t="s">
        <v>34121</v>
      </c>
      <c r="O188" t="s">
        <v>35129</v>
      </c>
      <c r="P188">
        <v>161879</v>
      </c>
      <c r="Q188" t="s">
        <v>36106</v>
      </c>
      <c r="R188" t="s">
        <v>36105</v>
      </c>
      <c r="T188" s="22" t="s">
        <v>36966</v>
      </c>
      <c r="U188" s="22" t="s">
        <v>36806</v>
      </c>
    </row>
    <row r="189" spans="1:21" x14ac:dyDescent="0.75">
      <c r="A189" t="s">
        <v>10483</v>
      </c>
      <c r="B189" t="s">
        <v>33572</v>
      </c>
      <c r="C189" t="s">
        <v>34169</v>
      </c>
      <c r="D189" t="s">
        <v>34355</v>
      </c>
      <c r="E189" t="s">
        <v>35132</v>
      </c>
      <c r="F189" t="s">
        <v>36061</v>
      </c>
      <c r="G189" t="s">
        <v>6081</v>
      </c>
      <c r="H189" t="s">
        <v>10484</v>
      </c>
      <c r="J189" t="s">
        <v>33567</v>
      </c>
      <c r="K189" t="s">
        <v>33566</v>
      </c>
      <c r="L189" t="s">
        <v>33659</v>
      </c>
      <c r="P189">
        <v>0</v>
      </c>
      <c r="Q189" t="s">
        <v>36104</v>
      </c>
      <c r="R189" t="s">
        <v>36103</v>
      </c>
      <c r="T189" s="22" t="s">
        <v>36965</v>
      </c>
      <c r="U189" s="22" t="s">
        <v>1563</v>
      </c>
    </row>
    <row r="190" spans="1:21" x14ac:dyDescent="0.75">
      <c r="A190" t="s">
        <v>15977</v>
      </c>
      <c r="B190" t="s">
        <v>33572</v>
      </c>
      <c r="C190" t="s">
        <v>34169</v>
      </c>
      <c r="D190" t="s">
        <v>34355</v>
      </c>
      <c r="E190" t="s">
        <v>35132</v>
      </c>
      <c r="F190" t="s">
        <v>36061</v>
      </c>
      <c r="G190" t="s">
        <v>6081</v>
      </c>
      <c r="H190" t="s">
        <v>15978</v>
      </c>
      <c r="J190" t="s">
        <v>33567</v>
      </c>
      <c r="K190" t="s">
        <v>33566</v>
      </c>
      <c r="L190" t="s">
        <v>36102</v>
      </c>
      <c r="O190" t="s">
        <v>35129</v>
      </c>
      <c r="P190">
        <v>38290</v>
      </c>
      <c r="Q190" t="s">
        <v>36101</v>
      </c>
      <c r="R190" t="s">
        <v>36100</v>
      </c>
      <c r="T190" s="22" t="s">
        <v>36944</v>
      </c>
      <c r="U190" s="22" t="s">
        <v>36807</v>
      </c>
    </row>
    <row r="191" spans="1:21" x14ac:dyDescent="0.75">
      <c r="A191" t="s">
        <v>9542</v>
      </c>
      <c r="B191" t="s">
        <v>33572</v>
      </c>
      <c r="C191" t="s">
        <v>34169</v>
      </c>
      <c r="D191" t="s">
        <v>34355</v>
      </c>
      <c r="E191" t="s">
        <v>35132</v>
      </c>
      <c r="F191" t="s">
        <v>36061</v>
      </c>
      <c r="G191" t="s">
        <v>6081</v>
      </c>
      <c r="H191" t="s">
        <v>9543</v>
      </c>
      <c r="J191" t="s">
        <v>33567</v>
      </c>
      <c r="K191" t="s">
        <v>33566</v>
      </c>
      <c r="L191" t="s">
        <v>33659</v>
      </c>
      <c r="O191" t="s">
        <v>35129</v>
      </c>
      <c r="P191">
        <v>441501</v>
      </c>
      <c r="Q191" t="s">
        <v>36099</v>
      </c>
      <c r="R191" t="s">
        <v>36098</v>
      </c>
      <c r="T191" s="22" t="s">
        <v>36969</v>
      </c>
      <c r="U191" s="22" t="s">
        <v>1563</v>
      </c>
    </row>
    <row r="192" spans="1:21" x14ac:dyDescent="0.75">
      <c r="A192" t="s">
        <v>9349</v>
      </c>
      <c r="B192" t="s">
        <v>33572</v>
      </c>
      <c r="C192" t="s">
        <v>34169</v>
      </c>
      <c r="D192" t="s">
        <v>34355</v>
      </c>
      <c r="E192" t="s">
        <v>35132</v>
      </c>
      <c r="F192" t="s">
        <v>36061</v>
      </c>
      <c r="G192" t="s">
        <v>6081</v>
      </c>
      <c r="H192" t="s">
        <v>9350</v>
      </c>
      <c r="J192" t="s">
        <v>33567</v>
      </c>
      <c r="K192" t="s">
        <v>33566</v>
      </c>
      <c r="L192" t="s">
        <v>36097</v>
      </c>
      <c r="O192" t="s">
        <v>35129</v>
      </c>
      <c r="P192">
        <v>161890</v>
      </c>
      <c r="Q192" t="s">
        <v>36096</v>
      </c>
      <c r="R192" t="s">
        <v>36095</v>
      </c>
      <c r="T192" s="22" t="s">
        <v>36949</v>
      </c>
      <c r="U192" s="22" t="s">
        <v>36806</v>
      </c>
    </row>
    <row r="193" spans="1:21" x14ac:dyDescent="0.75">
      <c r="A193" t="s">
        <v>6787</v>
      </c>
      <c r="B193" t="s">
        <v>33572</v>
      </c>
      <c r="C193" t="s">
        <v>34169</v>
      </c>
      <c r="D193" t="s">
        <v>34355</v>
      </c>
      <c r="E193" t="s">
        <v>35132</v>
      </c>
      <c r="F193" t="s">
        <v>36061</v>
      </c>
      <c r="G193" t="s">
        <v>6081</v>
      </c>
      <c r="H193" t="s">
        <v>6788</v>
      </c>
      <c r="J193" t="s">
        <v>33567</v>
      </c>
      <c r="K193" t="s">
        <v>33566</v>
      </c>
      <c r="L193" t="s">
        <v>33616</v>
      </c>
      <c r="N193" t="s">
        <v>36094</v>
      </c>
      <c r="O193" t="s">
        <v>36093</v>
      </c>
      <c r="P193">
        <v>43768</v>
      </c>
      <c r="Q193" t="s">
        <v>36092</v>
      </c>
      <c r="R193" t="s">
        <v>36091</v>
      </c>
      <c r="T193" s="22" t="s">
        <v>36951</v>
      </c>
      <c r="U193" s="22" t="s">
        <v>104</v>
      </c>
    </row>
    <row r="194" spans="1:21" x14ac:dyDescent="0.75">
      <c r="A194" t="s">
        <v>10705</v>
      </c>
      <c r="B194" t="s">
        <v>33572</v>
      </c>
      <c r="C194" t="s">
        <v>34169</v>
      </c>
      <c r="D194" t="s">
        <v>34355</v>
      </c>
      <c r="E194" t="s">
        <v>35132</v>
      </c>
      <c r="F194" t="s">
        <v>36061</v>
      </c>
      <c r="G194" t="s">
        <v>6081</v>
      </c>
      <c r="H194" t="s">
        <v>10706</v>
      </c>
      <c r="J194" t="s">
        <v>33567</v>
      </c>
      <c r="K194" t="s">
        <v>33566</v>
      </c>
      <c r="L194" t="s">
        <v>33659</v>
      </c>
      <c r="O194" t="s">
        <v>35129</v>
      </c>
      <c r="P194">
        <v>38301</v>
      </c>
      <c r="Q194" t="s">
        <v>36090</v>
      </c>
      <c r="R194" t="s">
        <v>36089</v>
      </c>
      <c r="T194" s="22" t="s">
        <v>36958</v>
      </c>
      <c r="U194" s="22" t="s">
        <v>1563</v>
      </c>
    </row>
    <row r="195" spans="1:21" x14ac:dyDescent="0.75">
      <c r="A195" t="s">
        <v>10569</v>
      </c>
      <c r="B195" t="s">
        <v>33572</v>
      </c>
      <c r="C195" t="s">
        <v>34169</v>
      </c>
      <c r="D195" t="s">
        <v>34355</v>
      </c>
      <c r="E195" t="s">
        <v>35132</v>
      </c>
      <c r="F195" t="s">
        <v>36061</v>
      </c>
      <c r="G195" t="s">
        <v>6081</v>
      </c>
      <c r="H195" t="s">
        <v>10570</v>
      </c>
      <c r="J195" t="s">
        <v>33567</v>
      </c>
      <c r="K195" t="s">
        <v>33566</v>
      </c>
      <c r="L195" t="s">
        <v>33659</v>
      </c>
      <c r="N195" t="s">
        <v>36088</v>
      </c>
      <c r="O195" t="s">
        <v>35129</v>
      </c>
      <c r="P195">
        <v>57171</v>
      </c>
      <c r="Q195" t="s">
        <v>36087</v>
      </c>
      <c r="R195" t="s">
        <v>36086</v>
      </c>
      <c r="T195" s="22" t="s">
        <v>36962</v>
      </c>
      <c r="U195" s="22" t="s">
        <v>1563</v>
      </c>
    </row>
    <row r="196" spans="1:21" x14ac:dyDescent="0.75">
      <c r="A196" t="s">
        <v>8855</v>
      </c>
      <c r="B196" t="s">
        <v>33572</v>
      </c>
      <c r="C196" t="s">
        <v>34169</v>
      </c>
      <c r="D196" t="s">
        <v>34355</v>
      </c>
      <c r="E196" t="s">
        <v>35132</v>
      </c>
      <c r="F196" t="s">
        <v>36061</v>
      </c>
      <c r="G196" t="s">
        <v>6081</v>
      </c>
      <c r="H196" t="s">
        <v>8856</v>
      </c>
      <c r="J196" t="s">
        <v>33567</v>
      </c>
      <c r="K196" t="s">
        <v>33566</v>
      </c>
      <c r="L196" t="s">
        <v>36085</v>
      </c>
      <c r="N196" t="s">
        <v>36084</v>
      </c>
      <c r="O196" t="s">
        <v>36083</v>
      </c>
      <c r="P196">
        <v>29321</v>
      </c>
      <c r="Q196" t="s">
        <v>36082</v>
      </c>
      <c r="R196" t="s">
        <v>36081</v>
      </c>
      <c r="T196" s="22" t="s">
        <v>36961</v>
      </c>
      <c r="U196" s="22" t="s">
        <v>36805</v>
      </c>
    </row>
    <row r="197" spans="1:21" x14ac:dyDescent="0.75">
      <c r="A197" t="s">
        <v>22465</v>
      </c>
      <c r="B197" t="s">
        <v>33572</v>
      </c>
      <c r="C197" t="s">
        <v>34169</v>
      </c>
      <c r="D197" t="s">
        <v>34355</v>
      </c>
      <c r="E197" t="s">
        <v>35132</v>
      </c>
      <c r="F197" t="s">
        <v>36061</v>
      </c>
      <c r="G197" t="s">
        <v>6081</v>
      </c>
      <c r="H197" t="s">
        <v>22466</v>
      </c>
      <c r="J197" t="s">
        <v>33567</v>
      </c>
      <c r="K197" t="s">
        <v>33566</v>
      </c>
      <c r="L197" t="s">
        <v>33659</v>
      </c>
      <c r="O197" t="s">
        <v>35129</v>
      </c>
      <c r="P197">
        <v>1288393</v>
      </c>
      <c r="Q197" t="s">
        <v>36080</v>
      </c>
      <c r="R197" t="s">
        <v>36079</v>
      </c>
      <c r="T197" s="22" t="s">
        <v>36954</v>
      </c>
      <c r="U197" s="22" t="s">
        <v>1563</v>
      </c>
    </row>
    <row r="198" spans="1:21" x14ac:dyDescent="0.75">
      <c r="A198" t="s">
        <v>9357</v>
      </c>
      <c r="B198" t="s">
        <v>33572</v>
      </c>
      <c r="C198" t="s">
        <v>34169</v>
      </c>
      <c r="D198" t="s">
        <v>34355</v>
      </c>
      <c r="E198" t="s">
        <v>35132</v>
      </c>
      <c r="F198" t="s">
        <v>36061</v>
      </c>
      <c r="G198" t="s">
        <v>6081</v>
      </c>
      <c r="H198" t="s">
        <v>9358</v>
      </c>
      <c r="J198" t="s">
        <v>33567</v>
      </c>
      <c r="K198" t="s">
        <v>33566</v>
      </c>
      <c r="L198" t="s">
        <v>34129</v>
      </c>
      <c r="O198" t="s">
        <v>35129</v>
      </c>
      <c r="P198">
        <v>43769</v>
      </c>
      <c r="Q198" t="s">
        <v>36078</v>
      </c>
      <c r="R198" t="s">
        <v>36077</v>
      </c>
      <c r="T198" s="22" t="s">
        <v>36947</v>
      </c>
      <c r="U198" s="22" t="s">
        <v>36807</v>
      </c>
    </row>
    <row r="199" spans="1:21" x14ac:dyDescent="0.75">
      <c r="A199" t="s">
        <v>9760</v>
      </c>
      <c r="B199" t="s">
        <v>33572</v>
      </c>
      <c r="C199" t="s">
        <v>34169</v>
      </c>
      <c r="D199" t="s">
        <v>34355</v>
      </c>
      <c r="E199" t="s">
        <v>35132</v>
      </c>
      <c r="F199" t="s">
        <v>36061</v>
      </c>
      <c r="G199" t="s">
        <v>6081</v>
      </c>
      <c r="H199" t="s">
        <v>9761</v>
      </c>
      <c r="J199" t="s">
        <v>33567</v>
      </c>
      <c r="K199" t="s">
        <v>33566</v>
      </c>
      <c r="L199" t="s">
        <v>34129</v>
      </c>
      <c r="O199" t="s">
        <v>35129</v>
      </c>
      <c r="P199">
        <v>37637</v>
      </c>
      <c r="Q199" t="s">
        <v>36076</v>
      </c>
      <c r="R199" t="s">
        <v>36075</v>
      </c>
      <c r="T199" s="22" t="s">
        <v>36943</v>
      </c>
      <c r="U199" s="22" t="s">
        <v>36807</v>
      </c>
    </row>
    <row r="200" spans="1:21" x14ac:dyDescent="0.75">
      <c r="A200" t="s">
        <v>12006</v>
      </c>
      <c r="B200" t="s">
        <v>33572</v>
      </c>
      <c r="C200" t="s">
        <v>34169</v>
      </c>
      <c r="D200" t="s">
        <v>34355</v>
      </c>
      <c r="E200" t="s">
        <v>35132</v>
      </c>
      <c r="F200" t="s">
        <v>36061</v>
      </c>
      <c r="G200" t="s">
        <v>6081</v>
      </c>
      <c r="H200" t="s">
        <v>12007</v>
      </c>
      <c r="J200" t="s">
        <v>33567</v>
      </c>
      <c r="K200" t="s">
        <v>33566</v>
      </c>
      <c r="L200" t="s">
        <v>33659</v>
      </c>
      <c r="O200" t="s">
        <v>35129</v>
      </c>
      <c r="P200">
        <v>146827</v>
      </c>
      <c r="Q200" t="s">
        <v>36074</v>
      </c>
      <c r="R200" t="s">
        <v>34189</v>
      </c>
      <c r="T200" s="22" t="s">
        <v>36950</v>
      </c>
      <c r="U200" s="22" t="s">
        <v>1563</v>
      </c>
    </row>
    <row r="201" spans="1:21" x14ac:dyDescent="0.75">
      <c r="A201" t="s">
        <v>10755</v>
      </c>
      <c r="B201" t="s">
        <v>33572</v>
      </c>
      <c r="C201" t="s">
        <v>34169</v>
      </c>
      <c r="D201" t="s">
        <v>34355</v>
      </c>
      <c r="E201" t="s">
        <v>35132</v>
      </c>
      <c r="F201" t="s">
        <v>36061</v>
      </c>
      <c r="G201" t="s">
        <v>6081</v>
      </c>
      <c r="H201" t="s">
        <v>10756</v>
      </c>
      <c r="J201" t="s">
        <v>33567</v>
      </c>
      <c r="K201" t="s">
        <v>33566</v>
      </c>
      <c r="L201" t="s">
        <v>33659</v>
      </c>
      <c r="O201" t="s">
        <v>35129</v>
      </c>
      <c r="P201">
        <v>161899</v>
      </c>
      <c r="Q201" t="s">
        <v>36073</v>
      </c>
      <c r="R201" t="s">
        <v>36072</v>
      </c>
      <c r="T201" s="22" t="s">
        <v>36959</v>
      </c>
      <c r="U201" s="22" t="s">
        <v>1563</v>
      </c>
    </row>
    <row r="202" spans="1:21" x14ac:dyDescent="0.75">
      <c r="A202" t="s">
        <v>6803</v>
      </c>
      <c r="B202" t="s">
        <v>33572</v>
      </c>
      <c r="C202" t="s">
        <v>34169</v>
      </c>
      <c r="D202" t="s">
        <v>34355</v>
      </c>
      <c r="E202" t="s">
        <v>35132</v>
      </c>
      <c r="F202" t="s">
        <v>36061</v>
      </c>
      <c r="G202" t="s">
        <v>6081</v>
      </c>
      <c r="H202" t="s">
        <v>6804</v>
      </c>
      <c r="J202" t="s">
        <v>33567</v>
      </c>
      <c r="K202" t="s">
        <v>33566</v>
      </c>
      <c r="L202" t="s">
        <v>33659</v>
      </c>
      <c r="O202" t="s">
        <v>35129</v>
      </c>
      <c r="P202">
        <v>43770</v>
      </c>
      <c r="Q202" t="s">
        <v>36071</v>
      </c>
      <c r="R202" t="s">
        <v>36070</v>
      </c>
      <c r="T202" s="22" t="s">
        <v>36940</v>
      </c>
      <c r="U202" s="22" t="s">
        <v>1563</v>
      </c>
    </row>
    <row r="203" spans="1:21" x14ac:dyDescent="0.75">
      <c r="A203" t="s">
        <v>6738</v>
      </c>
      <c r="B203" t="s">
        <v>33572</v>
      </c>
      <c r="C203" t="s">
        <v>34169</v>
      </c>
      <c r="D203" t="s">
        <v>34355</v>
      </c>
      <c r="E203" t="s">
        <v>35132</v>
      </c>
      <c r="F203" t="s">
        <v>36061</v>
      </c>
      <c r="G203" t="s">
        <v>6081</v>
      </c>
      <c r="H203" t="s">
        <v>6739</v>
      </c>
      <c r="J203" t="s">
        <v>33567</v>
      </c>
      <c r="K203" t="s">
        <v>33566</v>
      </c>
      <c r="L203" t="s">
        <v>36044</v>
      </c>
      <c r="O203" t="s">
        <v>35129</v>
      </c>
      <c r="P203">
        <v>38304</v>
      </c>
      <c r="Q203" t="s">
        <v>36069</v>
      </c>
      <c r="R203" t="s">
        <v>36068</v>
      </c>
      <c r="T203" s="22" t="s">
        <v>36953</v>
      </c>
      <c r="U203" s="22" t="s">
        <v>36807</v>
      </c>
    </row>
    <row r="204" spans="1:21" x14ac:dyDescent="0.75">
      <c r="A204" t="s">
        <v>10595</v>
      </c>
      <c r="B204" t="s">
        <v>33572</v>
      </c>
      <c r="C204" t="s">
        <v>34169</v>
      </c>
      <c r="D204" t="s">
        <v>34355</v>
      </c>
      <c r="E204" t="s">
        <v>35132</v>
      </c>
      <c r="F204" t="s">
        <v>36061</v>
      </c>
      <c r="G204" t="s">
        <v>6081</v>
      </c>
      <c r="H204" t="s">
        <v>10596</v>
      </c>
      <c r="J204" t="s">
        <v>33567</v>
      </c>
      <c r="K204" t="s">
        <v>33566</v>
      </c>
      <c r="L204" t="s">
        <v>36067</v>
      </c>
      <c r="M204" t="s">
        <v>36066</v>
      </c>
      <c r="N204" t="s">
        <v>36065</v>
      </c>
      <c r="O204" t="s">
        <v>36064</v>
      </c>
      <c r="P204">
        <v>302449</v>
      </c>
      <c r="Q204" t="s">
        <v>36063</v>
      </c>
      <c r="R204" t="s">
        <v>36062</v>
      </c>
      <c r="T204" s="22" t="s">
        <v>36963</v>
      </c>
      <c r="U204" s="22" t="s">
        <v>1563</v>
      </c>
    </row>
    <row r="205" spans="1:21" x14ac:dyDescent="0.75">
      <c r="A205" t="s">
        <v>6526</v>
      </c>
      <c r="B205" t="s">
        <v>33572</v>
      </c>
      <c r="C205" t="s">
        <v>34169</v>
      </c>
      <c r="D205" t="s">
        <v>34355</v>
      </c>
      <c r="E205" t="s">
        <v>35132</v>
      </c>
      <c r="F205" t="s">
        <v>36061</v>
      </c>
      <c r="G205" t="s">
        <v>6081</v>
      </c>
      <c r="H205" t="s">
        <v>6527</v>
      </c>
      <c r="J205" t="s">
        <v>33567</v>
      </c>
      <c r="K205" t="s">
        <v>33566</v>
      </c>
      <c r="L205" t="s">
        <v>33659</v>
      </c>
      <c r="M205" t="s">
        <v>36060</v>
      </c>
      <c r="N205" t="s">
        <v>36059</v>
      </c>
      <c r="O205" t="s">
        <v>36058</v>
      </c>
      <c r="P205">
        <v>43771</v>
      </c>
      <c r="Q205" t="s">
        <v>36057</v>
      </c>
      <c r="R205" t="s">
        <v>36056</v>
      </c>
      <c r="T205" s="22" t="s">
        <v>36970</v>
      </c>
      <c r="U205" s="22" t="s">
        <v>1563</v>
      </c>
    </row>
    <row r="206" spans="1:21" x14ac:dyDescent="0.75">
      <c r="A206" t="s">
        <v>8621</v>
      </c>
      <c r="B206" t="s">
        <v>33572</v>
      </c>
      <c r="C206" t="s">
        <v>33571</v>
      </c>
      <c r="D206" t="s">
        <v>33570</v>
      </c>
      <c r="E206" t="s">
        <v>33569</v>
      </c>
      <c r="F206" t="s">
        <v>35544</v>
      </c>
      <c r="G206" t="s">
        <v>8622</v>
      </c>
      <c r="H206" t="s">
        <v>8623</v>
      </c>
      <c r="J206" t="s">
        <v>33567</v>
      </c>
      <c r="K206" t="s">
        <v>33566</v>
      </c>
      <c r="L206" t="s">
        <v>34582</v>
      </c>
      <c r="N206" t="s">
        <v>36055</v>
      </c>
      <c r="O206" t="s">
        <v>36054</v>
      </c>
      <c r="P206">
        <v>28141</v>
      </c>
      <c r="Q206" t="s">
        <v>36053</v>
      </c>
      <c r="R206" t="s">
        <v>36052</v>
      </c>
      <c r="T206" s="22" t="s">
        <v>36971</v>
      </c>
      <c r="U206" s="22" t="s">
        <v>144</v>
      </c>
    </row>
    <row r="207" spans="1:21" x14ac:dyDescent="0.75">
      <c r="A207" t="s">
        <v>6420</v>
      </c>
      <c r="B207" t="s">
        <v>33572</v>
      </c>
      <c r="C207" t="s">
        <v>34169</v>
      </c>
      <c r="D207" t="s">
        <v>34168</v>
      </c>
      <c r="E207" t="s">
        <v>34167</v>
      </c>
      <c r="F207" t="s">
        <v>34166</v>
      </c>
      <c r="G207" t="s">
        <v>6421</v>
      </c>
      <c r="H207" t="s">
        <v>6422</v>
      </c>
      <c r="J207" t="s">
        <v>33567</v>
      </c>
      <c r="K207" t="s">
        <v>33566</v>
      </c>
      <c r="L207" t="s">
        <v>33587</v>
      </c>
      <c r="N207" t="s">
        <v>36051</v>
      </c>
      <c r="O207" t="s">
        <v>34915</v>
      </c>
      <c r="P207">
        <v>84163</v>
      </c>
      <c r="Q207" t="s">
        <v>36050</v>
      </c>
      <c r="R207" t="s">
        <v>36049</v>
      </c>
      <c r="T207" s="22" t="s">
        <v>36972</v>
      </c>
      <c r="U207" s="22" t="s">
        <v>104</v>
      </c>
    </row>
    <row r="208" spans="1:21" x14ac:dyDescent="0.75">
      <c r="A208" t="s">
        <v>11500</v>
      </c>
      <c r="B208" t="s">
        <v>33572</v>
      </c>
      <c r="C208" t="s">
        <v>33571</v>
      </c>
      <c r="D208" t="s">
        <v>33654</v>
      </c>
      <c r="E208" t="s">
        <v>33653</v>
      </c>
      <c r="F208" t="s">
        <v>34515</v>
      </c>
      <c r="G208" t="s">
        <v>11501</v>
      </c>
      <c r="H208" t="s">
        <v>11502</v>
      </c>
      <c r="J208" t="s">
        <v>33567</v>
      </c>
      <c r="K208" t="s">
        <v>33566</v>
      </c>
      <c r="L208" t="s">
        <v>34582</v>
      </c>
      <c r="N208" t="s">
        <v>36048</v>
      </c>
      <c r="O208" t="s">
        <v>36047</v>
      </c>
      <c r="P208">
        <v>82541</v>
      </c>
      <c r="Q208" t="s">
        <v>36046</v>
      </c>
      <c r="R208" t="s">
        <v>36045</v>
      </c>
      <c r="T208" s="22" t="s">
        <v>36973</v>
      </c>
      <c r="U208" s="22" t="s">
        <v>144</v>
      </c>
    </row>
    <row r="209" spans="1:21" x14ac:dyDescent="0.75">
      <c r="A209" t="s">
        <v>6141</v>
      </c>
      <c r="B209" t="s">
        <v>33572</v>
      </c>
      <c r="C209" t="s">
        <v>34169</v>
      </c>
      <c r="D209" t="s">
        <v>34355</v>
      </c>
      <c r="E209" t="s">
        <v>34589</v>
      </c>
      <c r="F209" t="s">
        <v>34588</v>
      </c>
      <c r="G209" t="s">
        <v>6142</v>
      </c>
      <c r="H209" t="s">
        <v>6143</v>
      </c>
      <c r="J209" t="s">
        <v>33567</v>
      </c>
      <c r="K209" t="s">
        <v>33566</v>
      </c>
      <c r="L209" t="s">
        <v>36044</v>
      </c>
      <c r="N209" t="s">
        <v>36043</v>
      </c>
      <c r="O209" t="s">
        <v>36042</v>
      </c>
      <c r="P209">
        <v>1747</v>
      </c>
      <c r="Q209" t="s">
        <v>36041</v>
      </c>
      <c r="R209" t="s">
        <v>36040</v>
      </c>
      <c r="T209" s="22" t="s">
        <v>36974</v>
      </c>
      <c r="U209" s="22" t="s">
        <v>36807</v>
      </c>
    </row>
    <row r="210" spans="1:21" x14ac:dyDescent="0.75">
      <c r="A210" t="s">
        <v>7985</v>
      </c>
      <c r="B210" t="s">
        <v>33572</v>
      </c>
      <c r="C210" t="s">
        <v>34169</v>
      </c>
      <c r="D210" t="s">
        <v>34355</v>
      </c>
      <c r="E210" t="s">
        <v>34589</v>
      </c>
      <c r="F210" t="s">
        <v>34588</v>
      </c>
      <c r="G210" t="s">
        <v>6142</v>
      </c>
      <c r="H210" t="s">
        <v>7986</v>
      </c>
      <c r="J210" t="s">
        <v>33567</v>
      </c>
      <c r="K210" t="s">
        <v>33566</v>
      </c>
      <c r="L210" t="s">
        <v>36028</v>
      </c>
      <c r="N210" t="s">
        <v>36039</v>
      </c>
      <c r="O210" t="s">
        <v>36038</v>
      </c>
      <c r="P210">
        <v>33010</v>
      </c>
      <c r="Q210" t="s">
        <v>36037</v>
      </c>
      <c r="R210" t="s">
        <v>36036</v>
      </c>
      <c r="T210" s="22" t="s">
        <v>36975</v>
      </c>
      <c r="U210" s="22" t="s">
        <v>36806</v>
      </c>
    </row>
    <row r="211" spans="1:21" x14ac:dyDescent="0.75">
      <c r="A211" t="s">
        <v>9703</v>
      </c>
      <c r="B211" t="s">
        <v>33572</v>
      </c>
      <c r="C211" t="s">
        <v>34169</v>
      </c>
      <c r="D211" t="s">
        <v>34355</v>
      </c>
      <c r="E211" t="s">
        <v>34589</v>
      </c>
      <c r="F211" t="s">
        <v>34588</v>
      </c>
      <c r="G211" t="s">
        <v>6142</v>
      </c>
      <c r="H211" t="s">
        <v>9704</v>
      </c>
      <c r="J211" t="s">
        <v>33567</v>
      </c>
      <c r="K211" t="s">
        <v>33566</v>
      </c>
      <c r="L211" t="s">
        <v>34121</v>
      </c>
      <c r="O211" t="s">
        <v>36035</v>
      </c>
      <c r="P211">
        <v>33011</v>
      </c>
      <c r="Q211" t="s">
        <v>36034</v>
      </c>
      <c r="R211" t="s">
        <v>36033</v>
      </c>
      <c r="T211" s="22" t="s">
        <v>36977</v>
      </c>
      <c r="U211" s="22" t="s">
        <v>36806</v>
      </c>
    </row>
    <row r="212" spans="1:21" x14ac:dyDescent="0.75">
      <c r="A212" t="s">
        <v>6590</v>
      </c>
      <c r="B212" t="s">
        <v>33572</v>
      </c>
      <c r="C212" t="s">
        <v>34169</v>
      </c>
      <c r="D212" t="s">
        <v>34355</v>
      </c>
      <c r="E212" t="s">
        <v>34589</v>
      </c>
      <c r="F212" t="s">
        <v>34588</v>
      </c>
      <c r="G212" t="s">
        <v>6142</v>
      </c>
      <c r="H212" t="s">
        <v>6591</v>
      </c>
      <c r="J212" t="s">
        <v>33567</v>
      </c>
      <c r="K212" t="s">
        <v>33566</v>
      </c>
      <c r="L212" t="s">
        <v>36032</v>
      </c>
      <c r="N212" t="s">
        <v>34293</v>
      </c>
      <c r="O212" t="s">
        <v>36031</v>
      </c>
      <c r="P212">
        <v>671223</v>
      </c>
      <c r="Q212" t="s">
        <v>36030</v>
      </c>
      <c r="R212" t="s">
        <v>36029</v>
      </c>
      <c r="T212" s="22" t="s">
        <v>36976</v>
      </c>
      <c r="U212" s="22" t="s">
        <v>36806</v>
      </c>
    </row>
    <row r="213" spans="1:21" x14ac:dyDescent="0.75">
      <c r="A213" t="s">
        <v>7879</v>
      </c>
      <c r="B213" t="s">
        <v>33572</v>
      </c>
      <c r="C213" t="s">
        <v>34169</v>
      </c>
      <c r="D213" t="s">
        <v>34355</v>
      </c>
      <c r="E213" t="s">
        <v>34589</v>
      </c>
      <c r="F213" t="s">
        <v>34588</v>
      </c>
      <c r="G213" t="s">
        <v>6142</v>
      </c>
      <c r="H213" t="s">
        <v>7880</v>
      </c>
      <c r="J213" t="s">
        <v>33567</v>
      </c>
      <c r="K213" t="s">
        <v>33566</v>
      </c>
      <c r="L213" t="s">
        <v>36028</v>
      </c>
      <c r="P213">
        <v>0</v>
      </c>
      <c r="Q213" t="s">
        <v>36027</v>
      </c>
      <c r="R213" t="s">
        <v>36026</v>
      </c>
      <c r="T213" s="22" t="s">
        <v>36978</v>
      </c>
      <c r="U213" s="22" t="s">
        <v>36806</v>
      </c>
    </row>
    <row r="214" spans="1:21" x14ac:dyDescent="0.75">
      <c r="A214" t="s">
        <v>6326</v>
      </c>
      <c r="B214" t="s">
        <v>33572</v>
      </c>
      <c r="C214" t="s">
        <v>33571</v>
      </c>
      <c r="D214" t="s">
        <v>33654</v>
      </c>
      <c r="E214" t="s">
        <v>33653</v>
      </c>
      <c r="F214" t="s">
        <v>33652</v>
      </c>
      <c r="G214" t="s">
        <v>6327</v>
      </c>
      <c r="H214" t="s">
        <v>6328</v>
      </c>
      <c r="J214" t="s">
        <v>33567</v>
      </c>
      <c r="K214" t="s">
        <v>33566</v>
      </c>
      <c r="L214" t="s">
        <v>33651</v>
      </c>
      <c r="N214" t="s">
        <v>36025</v>
      </c>
      <c r="O214" t="s">
        <v>36024</v>
      </c>
      <c r="P214">
        <v>80866</v>
      </c>
      <c r="Q214" t="s">
        <v>36023</v>
      </c>
      <c r="R214" t="s">
        <v>36022</v>
      </c>
      <c r="T214" s="22" t="s">
        <v>36979</v>
      </c>
      <c r="U214" s="22" t="s">
        <v>144</v>
      </c>
    </row>
    <row r="215" spans="1:21" x14ac:dyDescent="0.75">
      <c r="A215" t="s">
        <v>9515</v>
      </c>
      <c r="B215" t="s">
        <v>33572</v>
      </c>
      <c r="C215" t="s">
        <v>34169</v>
      </c>
      <c r="D215" t="s">
        <v>34355</v>
      </c>
      <c r="E215" t="s">
        <v>34409</v>
      </c>
      <c r="F215" t="s">
        <v>36021</v>
      </c>
      <c r="G215" t="s">
        <v>9516</v>
      </c>
      <c r="H215" t="s">
        <v>6928</v>
      </c>
      <c r="J215" t="s">
        <v>33567</v>
      </c>
      <c r="K215" t="s">
        <v>33566</v>
      </c>
      <c r="L215" t="s">
        <v>33659</v>
      </c>
      <c r="O215" t="s">
        <v>34368</v>
      </c>
      <c r="P215">
        <v>36740</v>
      </c>
      <c r="Q215" t="s">
        <v>36020</v>
      </c>
      <c r="R215" t="s">
        <v>36019</v>
      </c>
      <c r="T215" s="22" t="s">
        <v>36980</v>
      </c>
      <c r="U215" s="22" t="s">
        <v>1563</v>
      </c>
    </row>
    <row r="216" spans="1:21" x14ac:dyDescent="0.75">
      <c r="A216" t="s">
        <v>14630</v>
      </c>
      <c r="B216" t="s">
        <v>33572</v>
      </c>
      <c r="C216" t="s">
        <v>33571</v>
      </c>
      <c r="D216" t="s">
        <v>36003</v>
      </c>
      <c r="E216" t="s">
        <v>36018</v>
      </c>
      <c r="F216" t="s">
        <v>36017</v>
      </c>
      <c r="G216" t="s">
        <v>14631</v>
      </c>
      <c r="H216" t="s">
        <v>6535</v>
      </c>
      <c r="J216" t="s">
        <v>33567</v>
      </c>
      <c r="K216" t="s">
        <v>33566</v>
      </c>
      <c r="L216" t="s">
        <v>33587</v>
      </c>
      <c r="N216" t="s">
        <v>36016</v>
      </c>
      <c r="O216" t="s">
        <v>36015</v>
      </c>
      <c r="P216">
        <v>712258</v>
      </c>
      <c r="Q216" t="s">
        <v>36014</v>
      </c>
      <c r="R216" t="s">
        <v>36013</v>
      </c>
      <c r="T216" s="22" t="s">
        <v>36981</v>
      </c>
      <c r="U216" s="22" t="s">
        <v>104</v>
      </c>
    </row>
    <row r="217" spans="1:21" x14ac:dyDescent="0.75">
      <c r="A217" t="s">
        <v>11919</v>
      </c>
      <c r="B217" t="s">
        <v>33572</v>
      </c>
      <c r="C217" t="s">
        <v>33571</v>
      </c>
      <c r="D217" t="s">
        <v>36003</v>
      </c>
      <c r="E217" t="s">
        <v>36002</v>
      </c>
      <c r="F217" t="s">
        <v>36012</v>
      </c>
      <c r="G217" t="s">
        <v>11920</v>
      </c>
      <c r="H217" t="s">
        <v>8428</v>
      </c>
      <c r="J217" t="s">
        <v>33567</v>
      </c>
      <c r="K217" t="s">
        <v>33566</v>
      </c>
      <c r="L217" t="s">
        <v>33587</v>
      </c>
      <c r="N217" t="s">
        <v>36011</v>
      </c>
      <c r="O217" t="s">
        <v>36010</v>
      </c>
      <c r="P217">
        <v>132132</v>
      </c>
      <c r="Q217" t="s">
        <v>11918</v>
      </c>
      <c r="R217" t="s">
        <v>36009</v>
      </c>
      <c r="T217" s="22" t="s">
        <v>36982</v>
      </c>
      <c r="U217" s="22" t="s">
        <v>104</v>
      </c>
    </row>
    <row r="218" spans="1:21" x14ac:dyDescent="0.75">
      <c r="A218" t="s">
        <v>6605</v>
      </c>
      <c r="B218" t="s">
        <v>33572</v>
      </c>
      <c r="C218" t="s">
        <v>33571</v>
      </c>
      <c r="D218" t="s">
        <v>36003</v>
      </c>
      <c r="E218" t="s">
        <v>36002</v>
      </c>
      <c r="F218" t="s">
        <v>36001</v>
      </c>
      <c r="G218" t="s">
        <v>6606</v>
      </c>
      <c r="H218" t="s">
        <v>6607</v>
      </c>
      <c r="J218" t="s">
        <v>33567</v>
      </c>
      <c r="K218" t="s">
        <v>33566</v>
      </c>
      <c r="L218" t="s">
        <v>35940</v>
      </c>
      <c r="N218" t="s">
        <v>36008</v>
      </c>
      <c r="O218" t="s">
        <v>36007</v>
      </c>
      <c r="P218">
        <v>44742</v>
      </c>
      <c r="Q218" t="s">
        <v>36006</v>
      </c>
      <c r="R218" t="s">
        <v>36005</v>
      </c>
      <c r="T218" s="22" t="s">
        <v>36983</v>
      </c>
      <c r="U218" s="22" t="s">
        <v>34</v>
      </c>
    </row>
    <row r="219" spans="1:21" x14ac:dyDescent="0.75">
      <c r="A219" t="s">
        <v>36004</v>
      </c>
      <c r="B219" t="s">
        <v>33572</v>
      </c>
      <c r="C219" t="s">
        <v>33571</v>
      </c>
      <c r="D219" t="s">
        <v>36003</v>
      </c>
      <c r="E219" t="s">
        <v>36002</v>
      </c>
      <c r="F219" t="s">
        <v>36001</v>
      </c>
      <c r="G219" t="s">
        <v>6606</v>
      </c>
      <c r="H219" t="s">
        <v>36000</v>
      </c>
      <c r="J219" t="s">
        <v>33577</v>
      </c>
      <c r="K219" t="s">
        <v>33576</v>
      </c>
      <c r="L219" t="s">
        <v>33651</v>
      </c>
      <c r="N219" t="s">
        <v>35999</v>
      </c>
      <c r="O219" t="s">
        <v>35998</v>
      </c>
      <c r="P219">
        <v>712259</v>
      </c>
      <c r="T219" s="22" t="s">
        <v>37441</v>
      </c>
      <c r="U219" s="22" t="s">
        <v>144</v>
      </c>
    </row>
    <row r="220" spans="1:21" x14ac:dyDescent="0.75">
      <c r="A220" t="s">
        <v>6867</v>
      </c>
      <c r="B220" t="s">
        <v>33572</v>
      </c>
      <c r="C220" t="s">
        <v>33606</v>
      </c>
      <c r="D220" t="s">
        <v>33605</v>
      </c>
      <c r="E220" t="s">
        <v>33604</v>
      </c>
      <c r="F220" t="s">
        <v>33603</v>
      </c>
      <c r="G220" t="s">
        <v>6868</v>
      </c>
      <c r="H220" t="s">
        <v>6869</v>
      </c>
      <c r="J220" t="s">
        <v>33567</v>
      </c>
      <c r="K220" t="s">
        <v>33566</v>
      </c>
      <c r="L220" t="s">
        <v>35997</v>
      </c>
      <c r="N220" t="s">
        <v>35996</v>
      </c>
      <c r="O220" t="s">
        <v>35995</v>
      </c>
      <c r="P220">
        <v>218538</v>
      </c>
      <c r="Q220" t="s">
        <v>35994</v>
      </c>
      <c r="R220" t="s">
        <v>35993</v>
      </c>
      <c r="T220" s="22" t="s">
        <v>36984</v>
      </c>
      <c r="U220" s="22" t="s">
        <v>104</v>
      </c>
    </row>
    <row r="221" spans="1:21" x14ac:dyDescent="0.75">
      <c r="A221" t="s">
        <v>7347</v>
      </c>
      <c r="B221" t="s">
        <v>33572</v>
      </c>
      <c r="C221" t="s">
        <v>33606</v>
      </c>
      <c r="D221" t="s">
        <v>33605</v>
      </c>
      <c r="E221" t="s">
        <v>33604</v>
      </c>
      <c r="F221" t="s">
        <v>33603</v>
      </c>
      <c r="G221" t="s">
        <v>6868</v>
      </c>
      <c r="H221" t="s">
        <v>7348</v>
      </c>
      <c r="J221" t="s">
        <v>33567</v>
      </c>
      <c r="K221" t="s">
        <v>33566</v>
      </c>
      <c r="L221" t="s">
        <v>35992</v>
      </c>
      <c r="N221" t="s">
        <v>35991</v>
      </c>
      <c r="O221" t="s">
        <v>35990</v>
      </c>
      <c r="P221">
        <v>309120</v>
      </c>
      <c r="Q221" t="s">
        <v>35989</v>
      </c>
      <c r="R221" t="s">
        <v>35988</v>
      </c>
      <c r="T221" s="22" t="s">
        <v>36985</v>
      </c>
      <c r="U221" s="22" t="s">
        <v>1308</v>
      </c>
    </row>
    <row r="222" spans="1:21" x14ac:dyDescent="0.75">
      <c r="A222" t="s">
        <v>9606</v>
      </c>
      <c r="B222" t="s">
        <v>33572</v>
      </c>
      <c r="C222" t="s">
        <v>33606</v>
      </c>
      <c r="D222" t="s">
        <v>33605</v>
      </c>
      <c r="E222" t="s">
        <v>33604</v>
      </c>
      <c r="F222" t="s">
        <v>33603</v>
      </c>
      <c r="G222" t="s">
        <v>6868</v>
      </c>
      <c r="H222" t="s">
        <v>9607</v>
      </c>
      <c r="J222" t="s">
        <v>33567</v>
      </c>
      <c r="K222" t="s">
        <v>33566</v>
      </c>
      <c r="L222" t="s">
        <v>33575</v>
      </c>
      <c r="N222" t="s">
        <v>35987</v>
      </c>
      <c r="O222" t="s">
        <v>35986</v>
      </c>
      <c r="P222">
        <v>39950</v>
      </c>
      <c r="Q222" t="s">
        <v>35985</v>
      </c>
      <c r="R222" t="s">
        <v>35984</v>
      </c>
      <c r="T222" s="22" t="s">
        <v>36986</v>
      </c>
      <c r="U222" s="22" t="s">
        <v>104</v>
      </c>
    </row>
    <row r="223" spans="1:21" x14ac:dyDescent="0.75">
      <c r="A223" t="s">
        <v>35983</v>
      </c>
      <c r="B223" t="s">
        <v>33572</v>
      </c>
      <c r="C223" t="s">
        <v>33606</v>
      </c>
      <c r="D223" t="s">
        <v>33605</v>
      </c>
      <c r="E223" t="s">
        <v>33604</v>
      </c>
      <c r="F223" t="s">
        <v>33603</v>
      </c>
      <c r="G223" t="s">
        <v>6868</v>
      </c>
      <c r="H223" t="s">
        <v>35982</v>
      </c>
      <c r="J223" t="s">
        <v>33577</v>
      </c>
      <c r="K223" t="s">
        <v>33576</v>
      </c>
      <c r="L223" t="s">
        <v>33587</v>
      </c>
      <c r="N223" t="s">
        <v>35981</v>
      </c>
      <c r="O223" t="s">
        <v>35980</v>
      </c>
      <c r="P223">
        <v>712261</v>
      </c>
      <c r="T223" s="22" t="s">
        <v>37442</v>
      </c>
      <c r="U223" s="22" t="s">
        <v>104</v>
      </c>
    </row>
    <row r="224" spans="1:21" x14ac:dyDescent="0.75">
      <c r="A224" t="s">
        <v>11985</v>
      </c>
      <c r="B224" t="s">
        <v>33572</v>
      </c>
      <c r="C224" t="s">
        <v>34169</v>
      </c>
      <c r="D224" t="s">
        <v>34355</v>
      </c>
      <c r="E224" t="s">
        <v>35132</v>
      </c>
      <c r="F224" t="s">
        <v>35979</v>
      </c>
      <c r="G224" t="s">
        <v>11986</v>
      </c>
      <c r="H224" t="s">
        <v>11987</v>
      </c>
      <c r="J224" t="s">
        <v>33567</v>
      </c>
      <c r="K224" t="s">
        <v>33566</v>
      </c>
      <c r="L224" t="s">
        <v>34582</v>
      </c>
      <c r="M224" t="s">
        <v>35978</v>
      </c>
      <c r="N224" t="s">
        <v>35977</v>
      </c>
      <c r="O224" t="s">
        <v>35976</v>
      </c>
      <c r="P224">
        <v>321318</v>
      </c>
      <c r="Q224" t="s">
        <v>35975</v>
      </c>
      <c r="R224" t="s">
        <v>35974</v>
      </c>
      <c r="T224" s="22" t="s">
        <v>36987</v>
      </c>
      <c r="U224" s="22" t="s">
        <v>144</v>
      </c>
    </row>
    <row r="225" spans="1:21" x14ac:dyDescent="0.75">
      <c r="A225" t="s">
        <v>8454</v>
      </c>
      <c r="B225" t="s">
        <v>33572</v>
      </c>
      <c r="C225" t="s">
        <v>33606</v>
      </c>
      <c r="D225" t="s">
        <v>33913</v>
      </c>
      <c r="E225" t="s">
        <v>33912</v>
      </c>
      <c r="F225" t="s">
        <v>35732</v>
      </c>
      <c r="G225" t="s">
        <v>8455</v>
      </c>
      <c r="H225" t="s">
        <v>8456</v>
      </c>
      <c r="J225" t="s">
        <v>33567</v>
      </c>
      <c r="K225" t="s">
        <v>33566</v>
      </c>
      <c r="L225" t="s">
        <v>35155</v>
      </c>
      <c r="N225" t="s">
        <v>35973</v>
      </c>
      <c r="O225" t="s">
        <v>33614</v>
      </c>
      <c r="P225">
        <v>29394</v>
      </c>
      <c r="Q225" t="s">
        <v>35972</v>
      </c>
      <c r="R225" t="s">
        <v>35971</v>
      </c>
      <c r="T225" s="22" t="s">
        <v>36988</v>
      </c>
      <c r="U225" s="22" t="s">
        <v>36807</v>
      </c>
    </row>
    <row r="226" spans="1:21" x14ac:dyDescent="0.75">
      <c r="A226" t="s">
        <v>6449</v>
      </c>
      <c r="B226" t="s">
        <v>33572</v>
      </c>
      <c r="C226" t="s">
        <v>34169</v>
      </c>
      <c r="D226" t="s">
        <v>34168</v>
      </c>
      <c r="E226" t="s">
        <v>34167</v>
      </c>
      <c r="F226" t="s">
        <v>34166</v>
      </c>
      <c r="G226" t="s">
        <v>6450</v>
      </c>
      <c r="H226" t="s">
        <v>6451</v>
      </c>
      <c r="J226" t="s">
        <v>33567</v>
      </c>
      <c r="K226" t="s">
        <v>33566</v>
      </c>
      <c r="L226" t="s">
        <v>33659</v>
      </c>
      <c r="N226" t="s">
        <v>35970</v>
      </c>
      <c r="O226" t="s">
        <v>35969</v>
      </c>
      <c r="P226">
        <v>84112</v>
      </c>
      <c r="Q226" t="s">
        <v>35968</v>
      </c>
      <c r="R226" t="s">
        <v>35967</v>
      </c>
      <c r="T226" s="22" t="s">
        <v>36989</v>
      </c>
      <c r="U226" s="22" t="s">
        <v>1563</v>
      </c>
    </row>
    <row r="227" spans="1:21" x14ac:dyDescent="0.75">
      <c r="A227" t="s">
        <v>9220</v>
      </c>
      <c r="B227" t="s">
        <v>33572</v>
      </c>
      <c r="C227" t="s">
        <v>33606</v>
      </c>
      <c r="D227" t="s">
        <v>34149</v>
      </c>
      <c r="E227" t="s">
        <v>34148</v>
      </c>
      <c r="F227" t="s">
        <v>35966</v>
      </c>
      <c r="G227" t="s">
        <v>9221</v>
      </c>
      <c r="H227" t="s">
        <v>9222</v>
      </c>
      <c r="J227" t="s">
        <v>33567</v>
      </c>
      <c r="K227" t="s">
        <v>33566</v>
      </c>
      <c r="L227" t="s">
        <v>33659</v>
      </c>
      <c r="M227" t="s">
        <v>35965</v>
      </c>
      <c r="N227" t="s">
        <v>35964</v>
      </c>
      <c r="O227" t="s">
        <v>35963</v>
      </c>
      <c r="P227">
        <v>31973</v>
      </c>
      <c r="Q227" t="s">
        <v>35962</v>
      </c>
      <c r="R227" t="s">
        <v>35961</v>
      </c>
      <c r="T227" s="22" t="s">
        <v>36990</v>
      </c>
      <c r="U227" s="22" t="s">
        <v>1563</v>
      </c>
    </row>
    <row r="228" spans="1:21" x14ac:dyDescent="0.75">
      <c r="A228" t="s">
        <v>1621</v>
      </c>
      <c r="B228" t="s">
        <v>33572</v>
      </c>
      <c r="C228" t="s">
        <v>33571</v>
      </c>
      <c r="D228" t="s">
        <v>33654</v>
      </c>
      <c r="E228" t="s">
        <v>34175</v>
      </c>
      <c r="F228" t="s">
        <v>34174</v>
      </c>
      <c r="G228" t="s">
        <v>6782</v>
      </c>
      <c r="H228" t="s">
        <v>6783</v>
      </c>
      <c r="J228" t="s">
        <v>33567</v>
      </c>
      <c r="K228" t="s">
        <v>33566</v>
      </c>
      <c r="L228" t="s">
        <v>33575</v>
      </c>
      <c r="N228" t="s">
        <v>35960</v>
      </c>
      <c r="O228" t="s">
        <v>35959</v>
      </c>
      <c r="P228">
        <v>539</v>
      </c>
      <c r="Q228" t="s">
        <v>35958</v>
      </c>
      <c r="R228" t="s">
        <v>35957</v>
      </c>
      <c r="T228" s="22" t="s">
        <v>1622</v>
      </c>
      <c r="U228" s="22" t="s">
        <v>104</v>
      </c>
    </row>
    <row r="229" spans="1:21" x14ac:dyDescent="0.75">
      <c r="A229" t="s">
        <v>35956</v>
      </c>
      <c r="B229" t="s">
        <v>33572</v>
      </c>
      <c r="C229" t="s">
        <v>33571</v>
      </c>
      <c r="D229" t="s">
        <v>33654</v>
      </c>
      <c r="E229" t="s">
        <v>34175</v>
      </c>
      <c r="F229" t="s">
        <v>34174</v>
      </c>
      <c r="G229" t="s">
        <v>6782</v>
      </c>
      <c r="H229" t="s">
        <v>35955</v>
      </c>
      <c r="J229" t="s">
        <v>33617</v>
      </c>
      <c r="K229" t="s">
        <v>33703</v>
      </c>
      <c r="L229" t="s">
        <v>33587</v>
      </c>
      <c r="N229" t="s">
        <v>35954</v>
      </c>
      <c r="O229" t="s">
        <v>35953</v>
      </c>
      <c r="P229">
        <v>712272</v>
      </c>
      <c r="T229" s="22" t="s">
        <v>37443</v>
      </c>
      <c r="U229" s="22" t="s">
        <v>104</v>
      </c>
    </row>
    <row r="230" spans="1:21" x14ac:dyDescent="0.75">
      <c r="A230" t="s">
        <v>35952</v>
      </c>
      <c r="B230" t="s">
        <v>33572</v>
      </c>
      <c r="C230" t="s">
        <v>33571</v>
      </c>
      <c r="D230" t="s">
        <v>33570</v>
      </c>
      <c r="E230" t="s">
        <v>33907</v>
      </c>
      <c r="F230" t="s">
        <v>35146</v>
      </c>
      <c r="G230" t="s">
        <v>35951</v>
      </c>
      <c r="H230" t="s">
        <v>35950</v>
      </c>
      <c r="J230" t="s">
        <v>33567</v>
      </c>
      <c r="K230" t="s">
        <v>33566</v>
      </c>
      <c r="L230" t="s">
        <v>33659</v>
      </c>
      <c r="O230" t="s">
        <v>35949</v>
      </c>
      <c r="P230">
        <v>225324</v>
      </c>
      <c r="T230" s="22" t="s">
        <v>37369</v>
      </c>
      <c r="U230" s="22" t="s">
        <v>1563</v>
      </c>
    </row>
    <row r="231" spans="1:21" x14ac:dyDescent="0.75">
      <c r="A231" t="s">
        <v>14313</v>
      </c>
      <c r="B231" t="s">
        <v>33572</v>
      </c>
      <c r="C231" t="s">
        <v>33571</v>
      </c>
      <c r="D231" t="s">
        <v>33570</v>
      </c>
      <c r="E231" t="s">
        <v>33569</v>
      </c>
      <c r="F231" t="s">
        <v>35544</v>
      </c>
      <c r="G231" t="s">
        <v>7773</v>
      </c>
      <c r="H231" t="s">
        <v>14314</v>
      </c>
      <c r="J231" t="s">
        <v>33567</v>
      </c>
      <c r="K231" t="s">
        <v>33566</v>
      </c>
      <c r="L231" t="s">
        <v>34547</v>
      </c>
      <c r="N231" t="s">
        <v>35948</v>
      </c>
      <c r="O231" t="s">
        <v>35947</v>
      </c>
      <c r="P231">
        <v>69218</v>
      </c>
      <c r="Q231" t="s">
        <v>35946</v>
      </c>
      <c r="R231" t="s">
        <v>35945</v>
      </c>
      <c r="T231" s="22" t="s">
        <v>36992</v>
      </c>
      <c r="U231" s="22" t="s">
        <v>144</v>
      </c>
    </row>
    <row r="232" spans="1:21" x14ac:dyDescent="0.75">
      <c r="A232" t="s">
        <v>7772</v>
      </c>
      <c r="B232" t="s">
        <v>33572</v>
      </c>
      <c r="C232" t="s">
        <v>33571</v>
      </c>
      <c r="D232" t="s">
        <v>33570</v>
      </c>
      <c r="E232" t="s">
        <v>33569</v>
      </c>
      <c r="F232" t="s">
        <v>35544</v>
      </c>
      <c r="G232" t="s">
        <v>7773</v>
      </c>
      <c r="H232" t="s">
        <v>7774</v>
      </c>
      <c r="J232" t="s">
        <v>33567</v>
      </c>
      <c r="K232" t="s">
        <v>33566</v>
      </c>
      <c r="L232" t="s">
        <v>33916</v>
      </c>
      <c r="N232" t="s">
        <v>35944</v>
      </c>
      <c r="O232" t="s">
        <v>35943</v>
      </c>
      <c r="P232">
        <v>158836</v>
      </c>
      <c r="Q232" t="s">
        <v>35942</v>
      </c>
      <c r="R232" t="s">
        <v>35941</v>
      </c>
      <c r="T232" s="22" t="s">
        <v>36991</v>
      </c>
      <c r="U232" s="22" t="s">
        <v>1563</v>
      </c>
    </row>
    <row r="233" spans="1:21" x14ac:dyDescent="0.75">
      <c r="A233" t="s">
        <v>6743</v>
      </c>
      <c r="B233" t="s">
        <v>33572</v>
      </c>
      <c r="C233" t="s">
        <v>33606</v>
      </c>
      <c r="D233" t="s">
        <v>33913</v>
      </c>
      <c r="E233" t="s">
        <v>33912</v>
      </c>
      <c r="F233" t="s">
        <v>35922</v>
      </c>
      <c r="G233" t="s">
        <v>6744</v>
      </c>
      <c r="H233" t="s">
        <v>6745</v>
      </c>
      <c r="J233" t="s">
        <v>33567</v>
      </c>
      <c r="K233" t="s">
        <v>33566</v>
      </c>
      <c r="L233" t="s">
        <v>35940</v>
      </c>
      <c r="N233" t="s">
        <v>35939</v>
      </c>
      <c r="O233" t="s">
        <v>35938</v>
      </c>
      <c r="P233">
        <v>37734</v>
      </c>
      <c r="Q233" t="s">
        <v>35937</v>
      </c>
      <c r="R233" t="s">
        <v>35936</v>
      </c>
      <c r="T233" s="22" t="s">
        <v>36997</v>
      </c>
      <c r="U233" s="22" t="s">
        <v>34</v>
      </c>
    </row>
    <row r="234" spans="1:21" x14ac:dyDescent="0.75">
      <c r="A234" t="s">
        <v>11450</v>
      </c>
      <c r="B234" t="s">
        <v>33572</v>
      </c>
      <c r="C234" t="s">
        <v>33606</v>
      </c>
      <c r="D234" t="s">
        <v>33913</v>
      </c>
      <c r="E234" t="s">
        <v>33912</v>
      </c>
      <c r="F234" t="s">
        <v>35922</v>
      </c>
      <c r="G234" t="s">
        <v>6744</v>
      </c>
      <c r="H234" t="s">
        <v>11451</v>
      </c>
      <c r="J234" t="s">
        <v>33567</v>
      </c>
      <c r="K234" t="s">
        <v>33566</v>
      </c>
      <c r="L234" t="s">
        <v>34083</v>
      </c>
      <c r="M234" t="s">
        <v>35935</v>
      </c>
      <c r="N234" t="s">
        <v>35934</v>
      </c>
      <c r="O234" t="s">
        <v>35933</v>
      </c>
      <c r="P234">
        <v>53345</v>
      </c>
      <c r="Q234" t="s">
        <v>35932</v>
      </c>
      <c r="R234" t="s">
        <v>35931</v>
      </c>
      <c r="T234" s="22" t="s">
        <v>36995</v>
      </c>
      <c r="U234" s="22" t="s">
        <v>963</v>
      </c>
    </row>
    <row r="235" spans="1:21" x14ac:dyDescent="0.75">
      <c r="A235" t="s">
        <v>9426</v>
      </c>
      <c r="B235" t="s">
        <v>33572</v>
      </c>
      <c r="C235" t="s">
        <v>33606</v>
      </c>
      <c r="D235" t="s">
        <v>33913</v>
      </c>
      <c r="E235" t="s">
        <v>33912</v>
      </c>
      <c r="F235" t="s">
        <v>35922</v>
      </c>
      <c r="G235" t="s">
        <v>6744</v>
      </c>
      <c r="H235" t="s">
        <v>9427</v>
      </c>
      <c r="J235" t="s">
        <v>33567</v>
      </c>
      <c r="K235" t="s">
        <v>33566</v>
      </c>
      <c r="L235" t="s">
        <v>34083</v>
      </c>
      <c r="N235" t="s">
        <v>35930</v>
      </c>
      <c r="O235" t="s">
        <v>35929</v>
      </c>
      <c r="P235">
        <v>1351</v>
      </c>
      <c r="Q235" t="s">
        <v>35928</v>
      </c>
      <c r="R235" t="s">
        <v>35927</v>
      </c>
      <c r="T235" s="22" t="s">
        <v>36993</v>
      </c>
      <c r="U235" s="22" t="s">
        <v>963</v>
      </c>
    </row>
    <row r="236" spans="1:21" x14ac:dyDescent="0.75">
      <c r="A236" t="s">
        <v>7397</v>
      </c>
      <c r="B236" t="s">
        <v>33572</v>
      </c>
      <c r="C236" t="s">
        <v>33606</v>
      </c>
      <c r="D236" t="s">
        <v>33913</v>
      </c>
      <c r="E236" t="s">
        <v>33912</v>
      </c>
      <c r="F236" t="s">
        <v>35922</v>
      </c>
      <c r="G236" t="s">
        <v>6744</v>
      </c>
      <c r="H236" t="s">
        <v>7398</v>
      </c>
      <c r="J236" t="s">
        <v>33567</v>
      </c>
      <c r="K236" t="s">
        <v>33566</v>
      </c>
      <c r="L236" t="s">
        <v>35297</v>
      </c>
      <c r="M236" t="s">
        <v>35926</v>
      </c>
      <c r="N236" t="s">
        <v>35925</v>
      </c>
      <c r="O236" t="s">
        <v>35924</v>
      </c>
      <c r="P236">
        <v>246144</v>
      </c>
      <c r="Q236" t="s">
        <v>35923</v>
      </c>
      <c r="R236" t="s">
        <v>34356</v>
      </c>
      <c r="T236" s="22" t="s">
        <v>36996</v>
      </c>
      <c r="U236" s="22" t="s">
        <v>144</v>
      </c>
    </row>
    <row r="237" spans="1:21" x14ac:dyDescent="0.75">
      <c r="A237" t="s">
        <v>9444</v>
      </c>
      <c r="B237" t="s">
        <v>33572</v>
      </c>
      <c r="C237" t="s">
        <v>33606</v>
      </c>
      <c r="D237" t="s">
        <v>33913</v>
      </c>
      <c r="E237" t="s">
        <v>33912</v>
      </c>
      <c r="F237" t="s">
        <v>35922</v>
      </c>
      <c r="G237" t="s">
        <v>6744</v>
      </c>
      <c r="H237" t="s">
        <v>9445</v>
      </c>
      <c r="J237" t="s">
        <v>33567</v>
      </c>
      <c r="K237" t="s">
        <v>33566</v>
      </c>
      <c r="L237" t="s">
        <v>33651</v>
      </c>
      <c r="N237" t="s">
        <v>35921</v>
      </c>
      <c r="O237" t="s">
        <v>35920</v>
      </c>
      <c r="P237">
        <v>41997</v>
      </c>
      <c r="Q237" t="s">
        <v>35919</v>
      </c>
      <c r="R237" t="s">
        <v>35918</v>
      </c>
      <c r="T237" s="22" t="s">
        <v>36994</v>
      </c>
      <c r="U237" s="22" t="s">
        <v>144</v>
      </c>
    </row>
    <row r="238" spans="1:21" x14ac:dyDescent="0.75">
      <c r="A238" t="s">
        <v>35917</v>
      </c>
      <c r="B238" t="s">
        <v>33572</v>
      </c>
      <c r="C238" t="s">
        <v>35916</v>
      </c>
      <c r="D238" t="s">
        <v>35915</v>
      </c>
      <c r="E238" t="s">
        <v>35914</v>
      </c>
      <c r="F238" t="s">
        <v>35913</v>
      </c>
      <c r="G238" t="s">
        <v>35912</v>
      </c>
      <c r="H238" t="s">
        <v>35911</v>
      </c>
      <c r="J238" t="s">
        <v>33577</v>
      </c>
      <c r="K238" t="s">
        <v>33576</v>
      </c>
      <c r="L238" t="s">
        <v>34437</v>
      </c>
      <c r="O238" t="s">
        <v>35910</v>
      </c>
      <c r="P238">
        <v>1955638</v>
      </c>
      <c r="T238" s="22" t="s">
        <v>37444</v>
      </c>
      <c r="U238" s="22" t="s">
        <v>686</v>
      </c>
    </row>
    <row r="239" spans="1:21" x14ac:dyDescent="0.75">
      <c r="A239" t="s">
        <v>9338</v>
      </c>
      <c r="B239" t="s">
        <v>33572</v>
      </c>
      <c r="C239" t="s">
        <v>33606</v>
      </c>
      <c r="D239" t="s">
        <v>34149</v>
      </c>
      <c r="E239" t="s">
        <v>34148</v>
      </c>
      <c r="F239" t="s">
        <v>34147</v>
      </c>
      <c r="G239" t="s">
        <v>9339</v>
      </c>
      <c r="H239" t="s">
        <v>9340</v>
      </c>
      <c r="J239" t="s">
        <v>33567</v>
      </c>
      <c r="K239" t="s">
        <v>33566</v>
      </c>
      <c r="L239" t="s">
        <v>34407</v>
      </c>
      <c r="N239" t="s">
        <v>35909</v>
      </c>
      <c r="O239" t="s">
        <v>35908</v>
      </c>
      <c r="P239">
        <v>38402</v>
      </c>
      <c r="Q239" t="s">
        <v>9337</v>
      </c>
      <c r="R239" t="s">
        <v>35907</v>
      </c>
      <c r="T239" s="22" t="s">
        <v>36998</v>
      </c>
      <c r="U239" s="22" t="s">
        <v>144</v>
      </c>
    </row>
    <row r="240" spans="1:21" x14ac:dyDescent="0.75">
      <c r="A240" t="s">
        <v>35906</v>
      </c>
      <c r="B240" t="s">
        <v>33572</v>
      </c>
      <c r="C240" t="s">
        <v>33606</v>
      </c>
      <c r="D240" t="s">
        <v>34149</v>
      </c>
      <c r="E240" t="s">
        <v>34148</v>
      </c>
      <c r="F240" t="s">
        <v>34147</v>
      </c>
      <c r="G240" t="s">
        <v>35901</v>
      </c>
      <c r="H240" t="s">
        <v>35905</v>
      </c>
      <c r="J240" t="s">
        <v>33577</v>
      </c>
      <c r="K240" t="s">
        <v>33576</v>
      </c>
      <c r="L240" t="s">
        <v>33587</v>
      </c>
      <c r="N240" t="s">
        <v>35904</v>
      </c>
      <c r="O240" t="s">
        <v>35903</v>
      </c>
      <c r="P240">
        <v>128827</v>
      </c>
      <c r="T240" s="22" t="s">
        <v>37445</v>
      </c>
      <c r="U240" s="22" t="s">
        <v>104</v>
      </c>
    </row>
    <row r="241" spans="1:21" x14ac:dyDescent="0.75">
      <c r="A241" t="s">
        <v>35902</v>
      </c>
      <c r="B241" t="s">
        <v>33572</v>
      </c>
      <c r="C241" t="s">
        <v>33606</v>
      </c>
      <c r="D241" t="s">
        <v>34149</v>
      </c>
      <c r="E241" t="s">
        <v>34148</v>
      </c>
      <c r="F241" t="s">
        <v>34147</v>
      </c>
      <c r="G241" t="s">
        <v>35901</v>
      </c>
      <c r="H241" t="s">
        <v>35900</v>
      </c>
      <c r="J241" t="s">
        <v>33577</v>
      </c>
      <c r="K241" t="s">
        <v>33576</v>
      </c>
      <c r="L241" t="s">
        <v>33609</v>
      </c>
      <c r="N241" t="s">
        <v>35899</v>
      </c>
      <c r="O241" t="s">
        <v>35898</v>
      </c>
      <c r="P241">
        <v>128827</v>
      </c>
      <c r="T241" s="22" t="s">
        <v>37446</v>
      </c>
      <c r="U241" s="22" t="s">
        <v>104</v>
      </c>
    </row>
    <row r="242" spans="1:21" x14ac:dyDescent="0.75">
      <c r="A242" t="s">
        <v>2591</v>
      </c>
      <c r="B242" t="s">
        <v>33572</v>
      </c>
      <c r="C242" t="s">
        <v>33571</v>
      </c>
      <c r="D242" t="s">
        <v>34135</v>
      </c>
      <c r="E242" t="s">
        <v>34134</v>
      </c>
      <c r="F242" t="s">
        <v>34990</v>
      </c>
      <c r="G242" t="s">
        <v>13626</v>
      </c>
      <c r="H242" t="s">
        <v>17968</v>
      </c>
      <c r="J242" t="s">
        <v>33567</v>
      </c>
      <c r="K242" t="s">
        <v>33566</v>
      </c>
      <c r="L242" t="s">
        <v>33651</v>
      </c>
      <c r="N242" t="s">
        <v>35897</v>
      </c>
      <c r="O242" t="s">
        <v>34181</v>
      </c>
      <c r="P242">
        <v>35811</v>
      </c>
      <c r="Q242" t="s">
        <v>35896</v>
      </c>
      <c r="R242" t="s">
        <v>35895</v>
      </c>
      <c r="T242" s="22" t="s">
        <v>2592</v>
      </c>
      <c r="U242" s="22" t="s">
        <v>144</v>
      </c>
    </row>
    <row r="243" spans="1:21" x14ac:dyDescent="0.75">
      <c r="A243" t="s">
        <v>1713</v>
      </c>
      <c r="B243" t="s">
        <v>33572</v>
      </c>
      <c r="C243" t="s">
        <v>33571</v>
      </c>
      <c r="D243" t="s">
        <v>34135</v>
      </c>
      <c r="E243" t="s">
        <v>34134</v>
      </c>
      <c r="F243" t="s">
        <v>34990</v>
      </c>
      <c r="G243" t="s">
        <v>13626</v>
      </c>
      <c r="H243" t="s">
        <v>13627</v>
      </c>
      <c r="J243" t="s">
        <v>33567</v>
      </c>
      <c r="K243" t="s">
        <v>33566</v>
      </c>
      <c r="L243" t="s">
        <v>33651</v>
      </c>
      <c r="M243" t="s">
        <v>13628</v>
      </c>
      <c r="N243" t="s">
        <v>35894</v>
      </c>
      <c r="O243" t="s">
        <v>35893</v>
      </c>
      <c r="P243">
        <v>60454</v>
      </c>
      <c r="Q243" t="s">
        <v>1712</v>
      </c>
      <c r="R243" t="s">
        <v>35892</v>
      </c>
      <c r="T243" s="22" t="s">
        <v>1714</v>
      </c>
      <c r="U243" s="22" t="s">
        <v>144</v>
      </c>
    </row>
    <row r="244" spans="1:21" x14ac:dyDescent="0.75">
      <c r="A244" t="s">
        <v>6218</v>
      </c>
      <c r="B244" t="s">
        <v>33572</v>
      </c>
      <c r="C244" t="s">
        <v>33571</v>
      </c>
      <c r="D244" t="s">
        <v>33570</v>
      </c>
      <c r="E244" t="s">
        <v>33569</v>
      </c>
      <c r="F244" t="s">
        <v>35544</v>
      </c>
      <c r="G244" t="s">
        <v>6219</v>
      </c>
      <c r="H244" t="s">
        <v>6220</v>
      </c>
      <c r="J244" t="s">
        <v>33567</v>
      </c>
      <c r="K244" t="s">
        <v>33566</v>
      </c>
      <c r="L244" t="s">
        <v>35891</v>
      </c>
      <c r="N244" t="s">
        <v>15305</v>
      </c>
      <c r="O244" t="s">
        <v>35890</v>
      </c>
      <c r="P244">
        <v>562</v>
      </c>
      <c r="Q244" t="s">
        <v>35889</v>
      </c>
      <c r="R244" t="s">
        <v>35888</v>
      </c>
      <c r="T244" s="22" t="s">
        <v>36999</v>
      </c>
      <c r="U244" s="22" t="s">
        <v>34</v>
      </c>
    </row>
    <row r="245" spans="1:21" x14ac:dyDescent="0.75">
      <c r="A245" t="s">
        <v>10710</v>
      </c>
      <c r="B245" t="s">
        <v>33572</v>
      </c>
      <c r="C245" t="s">
        <v>33606</v>
      </c>
      <c r="D245" t="s">
        <v>33663</v>
      </c>
      <c r="E245" t="s">
        <v>33900</v>
      </c>
      <c r="F245" t="s">
        <v>34534</v>
      </c>
      <c r="G245" t="s">
        <v>10711</v>
      </c>
      <c r="H245" t="s">
        <v>10712</v>
      </c>
      <c r="J245" t="s">
        <v>33567</v>
      </c>
      <c r="K245" t="s">
        <v>33566</v>
      </c>
      <c r="L245" t="s">
        <v>33659</v>
      </c>
      <c r="N245" t="s">
        <v>35887</v>
      </c>
      <c r="O245" t="s">
        <v>35886</v>
      </c>
      <c r="P245">
        <v>1736</v>
      </c>
      <c r="Q245" t="s">
        <v>35885</v>
      </c>
      <c r="R245" t="s">
        <v>35884</v>
      </c>
      <c r="T245" s="22" t="s">
        <v>37000</v>
      </c>
      <c r="U245" s="22" t="s">
        <v>1563</v>
      </c>
    </row>
    <row r="246" spans="1:21" x14ac:dyDescent="0.75">
      <c r="A246" t="s">
        <v>6701</v>
      </c>
      <c r="B246" t="s">
        <v>33572</v>
      </c>
      <c r="C246" t="s">
        <v>33606</v>
      </c>
      <c r="D246" t="s">
        <v>33663</v>
      </c>
      <c r="E246" t="s">
        <v>33900</v>
      </c>
      <c r="F246" t="s">
        <v>35658</v>
      </c>
      <c r="G246" t="s">
        <v>6702</v>
      </c>
      <c r="H246" t="s">
        <v>6703</v>
      </c>
      <c r="J246" t="s">
        <v>33567</v>
      </c>
      <c r="K246" t="s">
        <v>33566</v>
      </c>
      <c r="L246" t="s">
        <v>34670</v>
      </c>
      <c r="P246">
        <v>0</v>
      </c>
      <c r="Q246" t="s">
        <v>35883</v>
      </c>
      <c r="R246" t="s">
        <v>35882</v>
      </c>
      <c r="T246" s="22" t="s">
        <v>37001</v>
      </c>
      <c r="U246" s="22" t="s">
        <v>34</v>
      </c>
    </row>
    <row r="247" spans="1:21" x14ac:dyDescent="0.75">
      <c r="A247" t="s">
        <v>20675</v>
      </c>
      <c r="B247" t="s">
        <v>33572</v>
      </c>
      <c r="C247" t="s">
        <v>34169</v>
      </c>
      <c r="D247" t="s">
        <v>34168</v>
      </c>
      <c r="E247" t="s">
        <v>34914</v>
      </c>
      <c r="F247" t="s">
        <v>34913</v>
      </c>
      <c r="G247" t="s">
        <v>6814</v>
      </c>
      <c r="H247" t="s">
        <v>20676</v>
      </c>
      <c r="J247" t="s">
        <v>33617</v>
      </c>
      <c r="K247" t="s">
        <v>33566</v>
      </c>
      <c r="L247" t="s">
        <v>33587</v>
      </c>
      <c r="N247" t="s">
        <v>35881</v>
      </c>
      <c r="O247" t="s">
        <v>35880</v>
      </c>
      <c r="P247">
        <v>712157</v>
      </c>
      <c r="Q247" t="s">
        <v>35879</v>
      </c>
      <c r="R247" t="s">
        <v>35878</v>
      </c>
      <c r="T247" s="22" t="s">
        <v>37447</v>
      </c>
      <c r="U247" s="22" t="s">
        <v>104</v>
      </c>
    </row>
    <row r="248" spans="1:21" x14ac:dyDescent="0.75">
      <c r="A248" t="s">
        <v>6813</v>
      </c>
      <c r="B248" t="s">
        <v>33572</v>
      </c>
      <c r="C248" t="s">
        <v>34169</v>
      </c>
      <c r="D248" t="s">
        <v>34168</v>
      </c>
      <c r="E248" t="s">
        <v>34914</v>
      </c>
      <c r="F248" t="s">
        <v>34913</v>
      </c>
      <c r="G248" t="s">
        <v>6814</v>
      </c>
      <c r="H248" t="s">
        <v>6815</v>
      </c>
      <c r="J248" t="s">
        <v>33567</v>
      </c>
      <c r="K248" t="s">
        <v>33566</v>
      </c>
      <c r="L248" t="s">
        <v>35428</v>
      </c>
      <c r="N248" t="s">
        <v>35877</v>
      </c>
      <c r="O248" t="s">
        <v>34915</v>
      </c>
      <c r="P248">
        <v>82135</v>
      </c>
      <c r="Q248" t="s">
        <v>35876</v>
      </c>
      <c r="R248" t="s">
        <v>35875</v>
      </c>
      <c r="T248" s="22" t="s">
        <v>37002</v>
      </c>
      <c r="U248" s="22" t="s">
        <v>1308</v>
      </c>
    </row>
    <row r="249" spans="1:21" x14ac:dyDescent="0.75">
      <c r="A249" t="s">
        <v>14708</v>
      </c>
      <c r="B249" t="s">
        <v>33572</v>
      </c>
      <c r="C249" t="s">
        <v>33606</v>
      </c>
      <c r="D249" t="s">
        <v>33663</v>
      </c>
      <c r="E249" t="s">
        <v>33900</v>
      </c>
      <c r="F249" t="s">
        <v>35658</v>
      </c>
      <c r="G249" t="s">
        <v>14709</v>
      </c>
      <c r="H249" t="s">
        <v>6273</v>
      </c>
      <c r="J249" t="s">
        <v>33567</v>
      </c>
      <c r="K249" t="s">
        <v>33566</v>
      </c>
      <c r="L249" t="s">
        <v>33659</v>
      </c>
      <c r="N249" t="s">
        <v>35874</v>
      </c>
      <c r="O249" t="s">
        <v>33614</v>
      </c>
      <c r="P249">
        <v>236753</v>
      </c>
      <c r="Q249" t="s">
        <v>35873</v>
      </c>
      <c r="R249" t="s">
        <v>35872</v>
      </c>
      <c r="T249" s="22" t="s">
        <v>37004</v>
      </c>
      <c r="U249" s="22" t="s">
        <v>1563</v>
      </c>
    </row>
    <row r="250" spans="1:21" x14ac:dyDescent="0.75">
      <c r="A250" t="s">
        <v>8917</v>
      </c>
      <c r="B250" t="s">
        <v>33572</v>
      </c>
      <c r="C250" t="s">
        <v>33606</v>
      </c>
      <c r="D250" t="s">
        <v>33663</v>
      </c>
      <c r="E250" t="s">
        <v>33662</v>
      </c>
      <c r="F250" t="s">
        <v>33661</v>
      </c>
      <c r="G250" t="s">
        <v>8918</v>
      </c>
      <c r="H250" t="s">
        <v>8644</v>
      </c>
      <c r="J250" t="s">
        <v>33617</v>
      </c>
      <c r="K250" t="s">
        <v>33566</v>
      </c>
      <c r="L250" t="s">
        <v>33916</v>
      </c>
      <c r="O250" t="s">
        <v>33614</v>
      </c>
      <c r="P250">
        <v>1570339</v>
      </c>
      <c r="Q250" t="s">
        <v>35871</v>
      </c>
      <c r="R250" t="s">
        <v>35870</v>
      </c>
      <c r="T250" s="22" t="s">
        <v>37005</v>
      </c>
      <c r="U250" s="22" t="s">
        <v>1563</v>
      </c>
    </row>
    <row r="251" spans="1:21" x14ac:dyDescent="0.75">
      <c r="A251" t="s">
        <v>7069</v>
      </c>
      <c r="B251" t="s">
        <v>33572</v>
      </c>
      <c r="C251" t="s">
        <v>33606</v>
      </c>
      <c r="D251" t="s">
        <v>33663</v>
      </c>
      <c r="E251" t="s">
        <v>34746</v>
      </c>
      <c r="F251" t="s">
        <v>34790</v>
      </c>
      <c r="G251" t="s">
        <v>7070</v>
      </c>
      <c r="H251" t="s">
        <v>7071</v>
      </c>
      <c r="J251" t="s">
        <v>33567</v>
      </c>
      <c r="K251" t="s">
        <v>33566</v>
      </c>
      <c r="L251" t="s">
        <v>33575</v>
      </c>
      <c r="N251" t="s">
        <v>35869</v>
      </c>
      <c r="O251" t="s">
        <v>35868</v>
      </c>
      <c r="P251">
        <v>143361</v>
      </c>
      <c r="Q251" t="s">
        <v>35867</v>
      </c>
      <c r="R251" t="s">
        <v>35866</v>
      </c>
      <c r="T251" s="22" t="s">
        <v>37006</v>
      </c>
      <c r="U251" s="22" t="s">
        <v>104</v>
      </c>
    </row>
    <row r="252" spans="1:21" x14ac:dyDescent="0.75">
      <c r="A252" t="s">
        <v>6206</v>
      </c>
      <c r="B252" t="s">
        <v>33572</v>
      </c>
      <c r="C252" t="s">
        <v>33606</v>
      </c>
      <c r="D252" t="s">
        <v>33663</v>
      </c>
      <c r="E252" t="s">
        <v>33662</v>
      </c>
      <c r="F252" t="s">
        <v>33661</v>
      </c>
      <c r="G252" t="s">
        <v>6207</v>
      </c>
      <c r="H252" t="s">
        <v>6208</v>
      </c>
      <c r="J252" t="s">
        <v>33567</v>
      </c>
      <c r="K252" t="s">
        <v>33566</v>
      </c>
      <c r="L252" t="s">
        <v>34995</v>
      </c>
      <c r="M252" t="s">
        <v>35865</v>
      </c>
      <c r="N252" t="s">
        <v>35864</v>
      </c>
      <c r="O252" t="s">
        <v>35863</v>
      </c>
      <c r="P252">
        <v>1260</v>
      </c>
      <c r="Q252" t="s">
        <v>35862</v>
      </c>
      <c r="R252" t="s">
        <v>35861</v>
      </c>
      <c r="T252" s="22" t="s">
        <v>37007</v>
      </c>
      <c r="U252" s="22" t="s">
        <v>36807</v>
      </c>
    </row>
    <row r="253" spans="1:21" x14ac:dyDescent="0.75">
      <c r="A253" t="s">
        <v>35860</v>
      </c>
      <c r="B253" t="s">
        <v>33572</v>
      </c>
      <c r="C253" t="s">
        <v>33583</v>
      </c>
      <c r="D253" t="s">
        <v>34299</v>
      </c>
      <c r="E253" t="s">
        <v>34298</v>
      </c>
      <c r="F253" t="s">
        <v>34297</v>
      </c>
      <c r="G253" t="s">
        <v>35859</v>
      </c>
      <c r="H253" t="s">
        <v>35858</v>
      </c>
      <c r="J253" t="s">
        <v>33577</v>
      </c>
      <c r="K253" t="s">
        <v>33576</v>
      </c>
      <c r="L253" t="s">
        <v>33651</v>
      </c>
      <c r="N253" t="s">
        <v>35857</v>
      </c>
      <c r="O253" t="s">
        <v>35856</v>
      </c>
      <c r="P253">
        <v>1210116</v>
      </c>
      <c r="T253" s="22" t="s">
        <v>37448</v>
      </c>
      <c r="U253" s="22" t="s">
        <v>144</v>
      </c>
    </row>
    <row r="254" spans="1:21" x14ac:dyDescent="0.75">
      <c r="A254" t="s">
        <v>7685</v>
      </c>
      <c r="B254" t="s">
        <v>33572</v>
      </c>
      <c r="C254" t="s">
        <v>34529</v>
      </c>
      <c r="D254" t="s">
        <v>34528</v>
      </c>
      <c r="E254" t="s">
        <v>34527</v>
      </c>
      <c r="F254" t="s">
        <v>35833</v>
      </c>
      <c r="G254" t="s">
        <v>7686</v>
      </c>
      <c r="H254" t="s">
        <v>7687</v>
      </c>
      <c r="J254" t="s">
        <v>33567</v>
      </c>
      <c r="K254" t="s">
        <v>33566</v>
      </c>
      <c r="L254" t="s">
        <v>33609</v>
      </c>
      <c r="M254" t="s">
        <v>35855</v>
      </c>
      <c r="N254" t="s">
        <v>35854</v>
      </c>
      <c r="O254" t="s">
        <v>35853</v>
      </c>
      <c r="P254">
        <v>651822</v>
      </c>
      <c r="Q254" t="s">
        <v>35852</v>
      </c>
      <c r="R254" t="s">
        <v>35851</v>
      </c>
      <c r="T254" s="22" t="s">
        <v>37008</v>
      </c>
      <c r="U254" s="22" t="s">
        <v>104</v>
      </c>
    </row>
    <row r="255" spans="1:21" x14ac:dyDescent="0.75">
      <c r="A255" t="s">
        <v>35850</v>
      </c>
      <c r="B255" t="s">
        <v>33572</v>
      </c>
      <c r="C255" t="s">
        <v>34529</v>
      </c>
      <c r="D255" t="s">
        <v>34528</v>
      </c>
      <c r="E255" t="s">
        <v>34527</v>
      </c>
      <c r="F255" t="s">
        <v>35833</v>
      </c>
      <c r="G255" t="s">
        <v>7686</v>
      </c>
      <c r="H255" t="s">
        <v>35849</v>
      </c>
      <c r="J255" t="s">
        <v>33577</v>
      </c>
      <c r="K255" t="s">
        <v>33576</v>
      </c>
      <c r="L255" t="s">
        <v>33609</v>
      </c>
      <c r="N255" t="s">
        <v>35848</v>
      </c>
      <c r="O255" t="s">
        <v>35847</v>
      </c>
      <c r="P255">
        <v>1434006</v>
      </c>
      <c r="T255" s="22" t="s">
        <v>37449</v>
      </c>
      <c r="U255" s="22" t="s">
        <v>104</v>
      </c>
    </row>
    <row r="256" spans="1:21" x14ac:dyDescent="0.75">
      <c r="A256" t="s">
        <v>35846</v>
      </c>
      <c r="B256" t="s">
        <v>33572</v>
      </c>
      <c r="C256" t="s">
        <v>34529</v>
      </c>
      <c r="D256" t="s">
        <v>34528</v>
      </c>
      <c r="E256" t="s">
        <v>34527</v>
      </c>
      <c r="F256" t="s">
        <v>35833</v>
      </c>
      <c r="G256" t="s">
        <v>7686</v>
      </c>
      <c r="H256" t="s">
        <v>35845</v>
      </c>
      <c r="J256" t="s">
        <v>33577</v>
      </c>
      <c r="K256" t="s">
        <v>33576</v>
      </c>
      <c r="L256" t="s">
        <v>33609</v>
      </c>
      <c r="N256" t="s">
        <v>35844</v>
      </c>
      <c r="O256" t="s">
        <v>35843</v>
      </c>
      <c r="P256">
        <v>1434006</v>
      </c>
      <c r="T256" s="22" t="s">
        <v>37450</v>
      </c>
      <c r="U256" s="22" t="s">
        <v>104</v>
      </c>
    </row>
    <row r="257" spans="1:21" x14ac:dyDescent="0.75">
      <c r="A257" t="s">
        <v>35842</v>
      </c>
      <c r="B257" t="s">
        <v>33572</v>
      </c>
      <c r="C257" t="s">
        <v>34529</v>
      </c>
      <c r="D257" t="s">
        <v>34528</v>
      </c>
      <c r="E257" t="s">
        <v>34527</v>
      </c>
      <c r="F257" t="s">
        <v>35833</v>
      </c>
      <c r="G257" t="s">
        <v>7686</v>
      </c>
      <c r="H257" t="s">
        <v>35841</v>
      </c>
      <c r="J257" t="s">
        <v>33577</v>
      </c>
      <c r="K257" t="s">
        <v>33576</v>
      </c>
      <c r="L257" t="s">
        <v>33575</v>
      </c>
      <c r="N257" t="s">
        <v>35840</v>
      </c>
      <c r="O257" t="s">
        <v>35839</v>
      </c>
      <c r="P257">
        <v>1434006</v>
      </c>
      <c r="T257" s="22" t="s">
        <v>37451</v>
      </c>
      <c r="U257" s="22" t="s">
        <v>104</v>
      </c>
    </row>
    <row r="258" spans="1:21" x14ac:dyDescent="0.75">
      <c r="A258" t="s">
        <v>35838</v>
      </c>
      <c r="B258" t="s">
        <v>33572</v>
      </c>
      <c r="C258" t="s">
        <v>34529</v>
      </c>
      <c r="D258" t="s">
        <v>34528</v>
      </c>
      <c r="E258" t="s">
        <v>34527</v>
      </c>
      <c r="F258" t="s">
        <v>35833</v>
      </c>
      <c r="G258" t="s">
        <v>7686</v>
      </c>
      <c r="H258" t="s">
        <v>35837</v>
      </c>
      <c r="J258" t="s">
        <v>33577</v>
      </c>
      <c r="K258" t="s">
        <v>33576</v>
      </c>
      <c r="L258" t="s">
        <v>33587</v>
      </c>
      <c r="N258" t="s">
        <v>35836</v>
      </c>
      <c r="O258" t="s">
        <v>35835</v>
      </c>
      <c r="P258">
        <v>1434006</v>
      </c>
      <c r="T258" s="22" t="s">
        <v>37452</v>
      </c>
      <c r="U258" s="22" t="s">
        <v>104</v>
      </c>
    </row>
    <row r="259" spans="1:21" x14ac:dyDescent="0.75">
      <c r="A259" t="s">
        <v>35834</v>
      </c>
      <c r="B259" t="s">
        <v>33572</v>
      </c>
      <c r="C259" t="s">
        <v>34529</v>
      </c>
      <c r="D259" t="s">
        <v>34528</v>
      </c>
      <c r="E259" t="s">
        <v>34527</v>
      </c>
      <c r="F259" t="s">
        <v>35833</v>
      </c>
      <c r="G259" t="s">
        <v>7686</v>
      </c>
      <c r="H259" t="s">
        <v>35832</v>
      </c>
      <c r="J259" t="s">
        <v>33577</v>
      </c>
      <c r="K259" t="s">
        <v>33576</v>
      </c>
      <c r="L259" t="s">
        <v>33609</v>
      </c>
      <c r="N259" t="s">
        <v>35831</v>
      </c>
      <c r="O259" t="s">
        <v>35830</v>
      </c>
      <c r="P259">
        <v>1434006</v>
      </c>
      <c r="T259" s="22" t="s">
        <v>37453</v>
      </c>
      <c r="U259" s="22" t="s">
        <v>104</v>
      </c>
    </row>
    <row r="260" spans="1:21" x14ac:dyDescent="0.75">
      <c r="A260" t="s">
        <v>6769</v>
      </c>
      <c r="B260" t="s">
        <v>33572</v>
      </c>
      <c r="C260" t="s">
        <v>34157</v>
      </c>
      <c r="D260" t="s">
        <v>34156</v>
      </c>
      <c r="E260" t="s">
        <v>34155</v>
      </c>
      <c r="F260" t="s">
        <v>35776</v>
      </c>
      <c r="G260" t="s">
        <v>6107</v>
      </c>
      <c r="H260" t="s">
        <v>6770</v>
      </c>
      <c r="J260" t="s">
        <v>33567</v>
      </c>
      <c r="K260" t="s">
        <v>33566</v>
      </c>
      <c r="L260" t="s">
        <v>33616</v>
      </c>
      <c r="N260" t="s">
        <v>35829</v>
      </c>
      <c r="O260" t="s">
        <v>35828</v>
      </c>
      <c r="P260">
        <v>76859</v>
      </c>
      <c r="Q260" t="s">
        <v>35827</v>
      </c>
      <c r="R260" t="s">
        <v>35826</v>
      </c>
      <c r="T260" s="22" t="s">
        <v>37013</v>
      </c>
      <c r="U260" s="22" t="s">
        <v>104</v>
      </c>
    </row>
    <row r="261" spans="1:21" x14ac:dyDescent="0.75">
      <c r="A261" t="s">
        <v>6759</v>
      </c>
      <c r="B261" t="s">
        <v>33572</v>
      </c>
      <c r="C261" t="s">
        <v>34157</v>
      </c>
      <c r="D261" t="s">
        <v>34156</v>
      </c>
      <c r="E261" t="s">
        <v>34155</v>
      </c>
      <c r="F261" t="s">
        <v>35776</v>
      </c>
      <c r="G261" t="s">
        <v>6107</v>
      </c>
      <c r="H261" t="s">
        <v>6760</v>
      </c>
      <c r="J261" t="s">
        <v>33567</v>
      </c>
      <c r="K261" t="s">
        <v>33566</v>
      </c>
      <c r="L261" t="s">
        <v>33659</v>
      </c>
      <c r="M261" t="s">
        <v>35825</v>
      </c>
      <c r="N261" t="s">
        <v>35824</v>
      </c>
      <c r="O261" t="s">
        <v>35823</v>
      </c>
      <c r="P261">
        <v>849</v>
      </c>
      <c r="Q261" t="s">
        <v>35822</v>
      </c>
      <c r="R261" t="s">
        <v>35821</v>
      </c>
      <c r="T261" s="22" t="s">
        <v>37016</v>
      </c>
      <c r="U261" s="22" t="s">
        <v>1563</v>
      </c>
    </row>
    <row r="262" spans="1:21" x14ac:dyDescent="0.75">
      <c r="A262" t="s">
        <v>8814</v>
      </c>
      <c r="B262" t="s">
        <v>33572</v>
      </c>
      <c r="C262" t="s">
        <v>34157</v>
      </c>
      <c r="D262" t="s">
        <v>34156</v>
      </c>
      <c r="E262" t="s">
        <v>34155</v>
      </c>
      <c r="F262" t="s">
        <v>35776</v>
      </c>
      <c r="G262" t="s">
        <v>6107</v>
      </c>
      <c r="H262" t="s">
        <v>8815</v>
      </c>
      <c r="J262" t="s">
        <v>33567</v>
      </c>
      <c r="K262" t="s">
        <v>33566</v>
      </c>
      <c r="L262" t="s">
        <v>33575</v>
      </c>
      <c r="M262" t="s">
        <v>35820</v>
      </c>
      <c r="O262" t="s">
        <v>34578</v>
      </c>
      <c r="P262">
        <v>1583098</v>
      </c>
      <c r="Q262" t="s">
        <v>35819</v>
      </c>
      <c r="R262" t="s">
        <v>35818</v>
      </c>
      <c r="T262" s="22" t="s">
        <v>37018</v>
      </c>
      <c r="U262" s="22" t="s">
        <v>104</v>
      </c>
    </row>
    <row r="263" spans="1:21" x14ac:dyDescent="0.75">
      <c r="A263" t="s">
        <v>35817</v>
      </c>
      <c r="B263" t="s">
        <v>33572</v>
      </c>
      <c r="C263" t="s">
        <v>34157</v>
      </c>
      <c r="D263" t="s">
        <v>34156</v>
      </c>
      <c r="E263" t="s">
        <v>34155</v>
      </c>
      <c r="F263" t="s">
        <v>35776</v>
      </c>
      <c r="G263" t="s">
        <v>6107</v>
      </c>
      <c r="H263" t="s">
        <v>35816</v>
      </c>
      <c r="J263" t="s">
        <v>33567</v>
      </c>
      <c r="K263" t="s">
        <v>33566</v>
      </c>
      <c r="L263" t="s">
        <v>33659</v>
      </c>
      <c r="O263" t="s">
        <v>34578</v>
      </c>
      <c r="P263">
        <v>77917</v>
      </c>
      <c r="T263" s="22" t="s">
        <v>37370</v>
      </c>
      <c r="U263" s="22" t="s">
        <v>1563</v>
      </c>
    </row>
    <row r="264" spans="1:21" x14ac:dyDescent="0.75">
      <c r="A264" t="s">
        <v>6774</v>
      </c>
      <c r="B264" t="s">
        <v>33572</v>
      </c>
      <c r="C264" t="s">
        <v>34157</v>
      </c>
      <c r="D264" t="s">
        <v>34156</v>
      </c>
      <c r="E264" t="s">
        <v>34155</v>
      </c>
      <c r="F264" t="s">
        <v>35776</v>
      </c>
      <c r="G264" t="s">
        <v>6107</v>
      </c>
      <c r="H264" t="s">
        <v>6775</v>
      </c>
      <c r="J264" t="s">
        <v>33567</v>
      </c>
      <c r="K264" t="s">
        <v>33566</v>
      </c>
      <c r="L264" t="s">
        <v>33587</v>
      </c>
      <c r="N264" t="s">
        <v>35815</v>
      </c>
      <c r="O264" t="s">
        <v>35814</v>
      </c>
      <c r="P264">
        <v>859</v>
      </c>
      <c r="Q264" t="s">
        <v>35813</v>
      </c>
      <c r="R264" t="s">
        <v>35812</v>
      </c>
      <c r="T264" s="22" t="s">
        <v>37010</v>
      </c>
      <c r="U264" s="22" t="s">
        <v>104</v>
      </c>
    </row>
    <row r="265" spans="1:21" x14ac:dyDescent="0.75">
      <c r="A265" t="s">
        <v>6106</v>
      </c>
      <c r="B265" t="s">
        <v>33572</v>
      </c>
      <c r="C265" t="s">
        <v>34157</v>
      </c>
      <c r="D265" t="s">
        <v>34156</v>
      </c>
      <c r="E265" t="s">
        <v>34155</v>
      </c>
      <c r="F265" t="s">
        <v>35776</v>
      </c>
      <c r="G265" t="s">
        <v>6107</v>
      </c>
      <c r="H265" t="s">
        <v>6108</v>
      </c>
      <c r="J265" t="s">
        <v>33567</v>
      </c>
      <c r="K265" t="s">
        <v>33566</v>
      </c>
      <c r="L265" t="s">
        <v>33609</v>
      </c>
      <c r="N265" t="s">
        <v>35811</v>
      </c>
      <c r="O265" t="s">
        <v>35810</v>
      </c>
      <c r="P265">
        <v>76856</v>
      </c>
      <c r="Q265" t="s">
        <v>35809</v>
      </c>
      <c r="R265" t="s">
        <v>35808</v>
      </c>
      <c r="T265" s="22" t="s">
        <v>37017</v>
      </c>
      <c r="U265" s="22" t="s">
        <v>104</v>
      </c>
    </row>
    <row r="266" spans="1:21" x14ac:dyDescent="0.75">
      <c r="A266" t="s">
        <v>6754</v>
      </c>
      <c r="B266" t="s">
        <v>33572</v>
      </c>
      <c r="C266" t="s">
        <v>34157</v>
      </c>
      <c r="D266" t="s">
        <v>34156</v>
      </c>
      <c r="E266" t="s">
        <v>34155</v>
      </c>
      <c r="F266" t="s">
        <v>35776</v>
      </c>
      <c r="G266" t="s">
        <v>6107</v>
      </c>
      <c r="H266" t="s">
        <v>6755</v>
      </c>
      <c r="J266" t="s">
        <v>33567</v>
      </c>
      <c r="K266" t="s">
        <v>33566</v>
      </c>
      <c r="L266" t="s">
        <v>33616</v>
      </c>
      <c r="N266" t="s">
        <v>35807</v>
      </c>
      <c r="O266" t="s">
        <v>35806</v>
      </c>
      <c r="P266">
        <v>860</v>
      </c>
      <c r="Q266" t="s">
        <v>35805</v>
      </c>
      <c r="R266" t="s">
        <v>35804</v>
      </c>
      <c r="T266" s="22" t="s">
        <v>37011</v>
      </c>
      <c r="U266" s="22" t="s">
        <v>104</v>
      </c>
    </row>
    <row r="267" spans="1:21" x14ac:dyDescent="0.75">
      <c r="A267" t="s">
        <v>6685</v>
      </c>
      <c r="B267" t="s">
        <v>33572</v>
      </c>
      <c r="C267" t="s">
        <v>34157</v>
      </c>
      <c r="D267" t="s">
        <v>34156</v>
      </c>
      <c r="E267" t="s">
        <v>34155</v>
      </c>
      <c r="F267" t="s">
        <v>35776</v>
      </c>
      <c r="G267" t="s">
        <v>6107</v>
      </c>
      <c r="H267" t="s">
        <v>6686</v>
      </c>
      <c r="J267" t="s">
        <v>33567</v>
      </c>
      <c r="K267" t="s">
        <v>33566</v>
      </c>
      <c r="L267" t="s">
        <v>33575</v>
      </c>
      <c r="N267" t="s">
        <v>35803</v>
      </c>
      <c r="O267" t="s">
        <v>35802</v>
      </c>
      <c r="P267">
        <v>76857</v>
      </c>
      <c r="Q267" t="s">
        <v>35801</v>
      </c>
      <c r="R267" t="s">
        <v>35800</v>
      </c>
      <c r="T267" s="22" t="s">
        <v>37009</v>
      </c>
      <c r="U267" s="22" t="s">
        <v>104</v>
      </c>
    </row>
    <row r="268" spans="1:21" x14ac:dyDescent="0.75">
      <c r="A268" t="s">
        <v>14151</v>
      </c>
      <c r="B268" t="s">
        <v>33572</v>
      </c>
      <c r="C268" t="s">
        <v>34157</v>
      </c>
      <c r="D268" t="s">
        <v>34156</v>
      </c>
      <c r="E268" t="s">
        <v>34155</v>
      </c>
      <c r="F268" t="s">
        <v>35776</v>
      </c>
      <c r="G268" t="s">
        <v>6107</v>
      </c>
      <c r="H268" t="s">
        <v>14152</v>
      </c>
      <c r="J268" t="s">
        <v>34030</v>
      </c>
      <c r="K268" t="s">
        <v>33566</v>
      </c>
      <c r="L268" t="s">
        <v>33616</v>
      </c>
      <c r="P268">
        <v>0</v>
      </c>
      <c r="Q268" t="s">
        <v>35799</v>
      </c>
      <c r="R268" t="s">
        <v>35798</v>
      </c>
      <c r="T268" s="22" t="s">
        <v>37020</v>
      </c>
      <c r="U268" s="22" t="s">
        <v>104</v>
      </c>
    </row>
    <row r="269" spans="1:21" x14ac:dyDescent="0.75">
      <c r="A269" t="s">
        <v>19770</v>
      </c>
      <c r="B269" t="s">
        <v>33572</v>
      </c>
      <c r="C269" t="s">
        <v>34157</v>
      </c>
      <c r="D269" t="s">
        <v>34156</v>
      </c>
      <c r="E269" t="s">
        <v>34155</v>
      </c>
      <c r="F269" t="s">
        <v>35776</v>
      </c>
      <c r="G269" t="s">
        <v>6107</v>
      </c>
      <c r="H269" t="s">
        <v>19771</v>
      </c>
      <c r="J269" t="s">
        <v>33567</v>
      </c>
      <c r="K269" t="s">
        <v>33566</v>
      </c>
      <c r="L269" t="s">
        <v>33620</v>
      </c>
      <c r="P269">
        <v>0</v>
      </c>
      <c r="Q269" t="s">
        <v>35797</v>
      </c>
      <c r="R269" t="s">
        <v>35796</v>
      </c>
      <c r="T269" s="22" t="s">
        <v>37012</v>
      </c>
      <c r="U269" s="22" t="s">
        <v>104</v>
      </c>
    </row>
    <row r="270" spans="1:21" x14ac:dyDescent="0.75">
      <c r="A270" t="s">
        <v>35795</v>
      </c>
      <c r="B270" t="s">
        <v>33572</v>
      </c>
      <c r="C270" t="s">
        <v>34157</v>
      </c>
      <c r="D270" t="s">
        <v>34156</v>
      </c>
      <c r="E270" t="s">
        <v>34155</v>
      </c>
      <c r="F270" t="s">
        <v>35776</v>
      </c>
      <c r="G270" t="s">
        <v>6107</v>
      </c>
      <c r="H270" t="s">
        <v>35794</v>
      </c>
      <c r="J270" t="s">
        <v>33617</v>
      </c>
      <c r="K270" t="s">
        <v>33566</v>
      </c>
      <c r="L270" t="s">
        <v>33575</v>
      </c>
      <c r="N270" t="s">
        <v>35793</v>
      </c>
      <c r="O270" t="s">
        <v>35792</v>
      </c>
      <c r="P270">
        <v>671211</v>
      </c>
      <c r="T270" s="22" t="s">
        <v>37454</v>
      </c>
      <c r="U270" s="22" t="s">
        <v>104</v>
      </c>
    </row>
    <row r="271" spans="1:21" x14ac:dyDescent="0.75">
      <c r="A271" t="s">
        <v>35791</v>
      </c>
      <c r="B271" t="s">
        <v>33572</v>
      </c>
      <c r="C271" t="s">
        <v>34157</v>
      </c>
      <c r="D271" t="s">
        <v>34156</v>
      </c>
      <c r="E271" t="s">
        <v>34155</v>
      </c>
      <c r="F271" t="s">
        <v>35776</v>
      </c>
      <c r="G271" t="s">
        <v>6107</v>
      </c>
      <c r="H271" t="s">
        <v>35790</v>
      </c>
      <c r="J271" t="s">
        <v>33577</v>
      </c>
      <c r="K271" t="s">
        <v>33576</v>
      </c>
      <c r="L271" t="s">
        <v>33575</v>
      </c>
      <c r="O271" t="s">
        <v>34578</v>
      </c>
      <c r="P271">
        <v>848</v>
      </c>
      <c r="T271" s="22" t="s">
        <v>37455</v>
      </c>
      <c r="U271" s="22" t="s">
        <v>104</v>
      </c>
    </row>
    <row r="272" spans="1:21" x14ac:dyDescent="0.75">
      <c r="A272" t="s">
        <v>35789</v>
      </c>
      <c r="B272" t="s">
        <v>33572</v>
      </c>
      <c r="C272" t="s">
        <v>34157</v>
      </c>
      <c r="D272" t="s">
        <v>34156</v>
      </c>
      <c r="E272" t="s">
        <v>34155</v>
      </c>
      <c r="F272" t="s">
        <v>35776</v>
      </c>
      <c r="G272" t="s">
        <v>6107</v>
      </c>
      <c r="H272" t="s">
        <v>35788</v>
      </c>
      <c r="J272" t="s">
        <v>33577</v>
      </c>
      <c r="K272" t="s">
        <v>33576</v>
      </c>
      <c r="L272" t="s">
        <v>33609</v>
      </c>
      <c r="N272" t="s">
        <v>34293</v>
      </c>
      <c r="O272" t="s">
        <v>35787</v>
      </c>
      <c r="P272">
        <v>710237</v>
      </c>
      <c r="T272" s="22" t="s">
        <v>37456</v>
      </c>
      <c r="U272" s="22" t="s">
        <v>104</v>
      </c>
    </row>
    <row r="273" spans="1:21" x14ac:dyDescent="0.75">
      <c r="A273" t="s">
        <v>27123</v>
      </c>
      <c r="B273" t="s">
        <v>33572</v>
      </c>
      <c r="C273" t="s">
        <v>34157</v>
      </c>
      <c r="D273" t="s">
        <v>34156</v>
      </c>
      <c r="E273" t="s">
        <v>34155</v>
      </c>
      <c r="F273" t="s">
        <v>35776</v>
      </c>
      <c r="G273" t="s">
        <v>6107</v>
      </c>
      <c r="H273" t="s">
        <v>27124</v>
      </c>
      <c r="J273" t="s">
        <v>33617</v>
      </c>
      <c r="K273" t="s">
        <v>33566</v>
      </c>
      <c r="L273" t="s">
        <v>33616</v>
      </c>
      <c r="O273" t="s">
        <v>34578</v>
      </c>
      <c r="P273">
        <v>848</v>
      </c>
      <c r="Q273" t="s">
        <v>35786</v>
      </c>
      <c r="R273" t="s">
        <v>35785</v>
      </c>
      <c r="T273" s="22" t="s">
        <v>37457</v>
      </c>
      <c r="U273" s="22" t="s">
        <v>104</v>
      </c>
    </row>
    <row r="274" spans="1:21" x14ac:dyDescent="0.75">
      <c r="A274" t="s">
        <v>8319</v>
      </c>
      <c r="B274" t="s">
        <v>33572</v>
      </c>
      <c r="C274" t="s">
        <v>34157</v>
      </c>
      <c r="D274" t="s">
        <v>34156</v>
      </c>
      <c r="E274" t="s">
        <v>34155</v>
      </c>
      <c r="F274" t="s">
        <v>35776</v>
      </c>
      <c r="G274" t="s">
        <v>6107</v>
      </c>
      <c r="H274" t="s">
        <v>8320</v>
      </c>
      <c r="J274" t="s">
        <v>33617</v>
      </c>
      <c r="K274" t="s">
        <v>33566</v>
      </c>
      <c r="L274" t="s">
        <v>33587</v>
      </c>
      <c r="N274" t="s">
        <v>35784</v>
      </c>
      <c r="O274" t="s">
        <v>35783</v>
      </c>
      <c r="P274">
        <v>712288</v>
      </c>
      <c r="Q274" t="s">
        <v>35782</v>
      </c>
      <c r="R274" t="s">
        <v>35781</v>
      </c>
      <c r="T274" s="22" t="s">
        <v>37458</v>
      </c>
      <c r="U274" s="22" t="s">
        <v>104</v>
      </c>
    </row>
    <row r="275" spans="1:21" x14ac:dyDescent="0.75">
      <c r="A275" t="s">
        <v>6764</v>
      </c>
      <c r="B275" t="s">
        <v>33572</v>
      </c>
      <c r="C275" t="s">
        <v>34157</v>
      </c>
      <c r="D275" t="s">
        <v>34156</v>
      </c>
      <c r="E275" t="s">
        <v>34155</v>
      </c>
      <c r="F275" t="s">
        <v>35776</v>
      </c>
      <c r="G275" t="s">
        <v>6107</v>
      </c>
      <c r="H275" t="s">
        <v>6765</v>
      </c>
      <c r="J275" t="s">
        <v>33567</v>
      </c>
      <c r="K275" t="s">
        <v>33566</v>
      </c>
      <c r="L275" t="s">
        <v>33616</v>
      </c>
      <c r="N275" t="s">
        <v>35780</v>
      </c>
      <c r="O275" t="s">
        <v>35779</v>
      </c>
      <c r="P275">
        <v>155615</v>
      </c>
      <c r="Q275" t="s">
        <v>35778</v>
      </c>
      <c r="R275" t="s">
        <v>35777</v>
      </c>
      <c r="T275" s="22" t="s">
        <v>37015</v>
      </c>
      <c r="U275" s="22" t="s">
        <v>104</v>
      </c>
    </row>
    <row r="276" spans="1:21" x14ac:dyDescent="0.75">
      <c r="A276" t="s">
        <v>17388</v>
      </c>
      <c r="B276" t="s">
        <v>33572</v>
      </c>
      <c r="C276" t="s">
        <v>34157</v>
      </c>
      <c r="D276" t="s">
        <v>34156</v>
      </c>
      <c r="E276" t="s">
        <v>34155</v>
      </c>
      <c r="F276" t="s">
        <v>35776</v>
      </c>
      <c r="G276" t="s">
        <v>6107</v>
      </c>
      <c r="H276" t="s">
        <v>17389</v>
      </c>
      <c r="J276" t="s">
        <v>33567</v>
      </c>
      <c r="K276" t="s">
        <v>33566</v>
      </c>
      <c r="L276" t="s">
        <v>33620</v>
      </c>
      <c r="O276" t="s">
        <v>35775</v>
      </c>
      <c r="P276">
        <v>0</v>
      </c>
      <c r="Q276" t="s">
        <v>35774</v>
      </c>
      <c r="R276" t="s">
        <v>35773</v>
      </c>
      <c r="T276" s="22" t="s">
        <v>37014</v>
      </c>
      <c r="U276" s="22" t="s">
        <v>104</v>
      </c>
    </row>
    <row r="277" spans="1:21" x14ac:dyDescent="0.75">
      <c r="A277" t="s">
        <v>10038</v>
      </c>
      <c r="B277" t="s">
        <v>33572</v>
      </c>
      <c r="C277" t="s">
        <v>33606</v>
      </c>
      <c r="D277" t="s">
        <v>33663</v>
      </c>
      <c r="E277" t="s">
        <v>34746</v>
      </c>
      <c r="F277" t="s">
        <v>35177</v>
      </c>
      <c r="G277" t="s">
        <v>10039</v>
      </c>
      <c r="H277" t="s">
        <v>10040</v>
      </c>
      <c r="J277" t="s">
        <v>33567</v>
      </c>
      <c r="K277" t="s">
        <v>33566</v>
      </c>
      <c r="L277" t="s">
        <v>33575</v>
      </c>
      <c r="N277" t="s">
        <v>35772</v>
      </c>
      <c r="O277" t="s">
        <v>33614</v>
      </c>
      <c r="P277">
        <v>186804</v>
      </c>
      <c r="Q277" t="s">
        <v>35771</v>
      </c>
      <c r="R277" t="s">
        <v>35770</v>
      </c>
      <c r="T277" s="22" t="s">
        <v>37022</v>
      </c>
      <c r="U277" s="22" t="s">
        <v>104</v>
      </c>
    </row>
    <row r="278" spans="1:21" x14ac:dyDescent="0.75">
      <c r="A278" t="s">
        <v>8627</v>
      </c>
      <c r="B278" t="s">
        <v>33572</v>
      </c>
      <c r="C278" t="s">
        <v>34169</v>
      </c>
      <c r="D278" t="s">
        <v>34355</v>
      </c>
      <c r="E278" t="s">
        <v>34398</v>
      </c>
      <c r="F278" t="s">
        <v>34397</v>
      </c>
      <c r="G278" t="s">
        <v>6484</v>
      </c>
      <c r="H278" t="s">
        <v>8628</v>
      </c>
      <c r="J278" t="s">
        <v>33567</v>
      </c>
      <c r="K278" t="s">
        <v>33566</v>
      </c>
      <c r="L278" t="s">
        <v>35428</v>
      </c>
      <c r="P278">
        <v>0</v>
      </c>
      <c r="Q278" t="s">
        <v>35769</v>
      </c>
      <c r="R278" t="s">
        <v>35768</v>
      </c>
      <c r="T278" s="22" t="s">
        <v>37024</v>
      </c>
      <c r="U278" s="22" t="s">
        <v>1308</v>
      </c>
    </row>
    <row r="279" spans="1:21" x14ac:dyDescent="0.75">
      <c r="A279" t="s">
        <v>14423</v>
      </c>
      <c r="B279" t="s">
        <v>33572</v>
      </c>
      <c r="C279" t="s">
        <v>34169</v>
      </c>
      <c r="D279" t="s">
        <v>34355</v>
      </c>
      <c r="E279" t="s">
        <v>34398</v>
      </c>
      <c r="F279" t="s">
        <v>34397</v>
      </c>
      <c r="G279" t="s">
        <v>6484</v>
      </c>
      <c r="H279" t="s">
        <v>14424</v>
      </c>
      <c r="J279" t="s">
        <v>33567</v>
      </c>
      <c r="K279" t="s">
        <v>33566</v>
      </c>
      <c r="L279" t="s">
        <v>35428</v>
      </c>
      <c r="P279">
        <v>0</v>
      </c>
      <c r="Q279" t="s">
        <v>35767</v>
      </c>
      <c r="R279" t="s">
        <v>35766</v>
      </c>
      <c r="T279" s="22" t="s">
        <v>37026</v>
      </c>
      <c r="U279" s="22" t="s">
        <v>1308</v>
      </c>
    </row>
    <row r="280" spans="1:21" x14ac:dyDescent="0.75">
      <c r="A280" t="s">
        <v>6483</v>
      </c>
      <c r="B280" t="s">
        <v>33572</v>
      </c>
      <c r="C280" t="s">
        <v>34169</v>
      </c>
      <c r="D280" t="s">
        <v>34355</v>
      </c>
      <c r="E280" t="s">
        <v>34398</v>
      </c>
      <c r="F280" t="s">
        <v>34397</v>
      </c>
      <c r="G280" t="s">
        <v>6484</v>
      </c>
      <c r="H280" t="s">
        <v>6485</v>
      </c>
      <c r="J280" t="s">
        <v>33567</v>
      </c>
      <c r="K280" t="s">
        <v>33566</v>
      </c>
      <c r="L280" t="s">
        <v>35428</v>
      </c>
      <c r="P280">
        <v>0</v>
      </c>
      <c r="Q280" t="s">
        <v>35765</v>
      </c>
      <c r="R280" t="s">
        <v>35764</v>
      </c>
      <c r="T280" s="22" t="s">
        <v>37023</v>
      </c>
      <c r="U280" s="22" t="s">
        <v>1308</v>
      </c>
    </row>
    <row r="281" spans="1:21" x14ac:dyDescent="0.75">
      <c r="A281" t="s">
        <v>7288</v>
      </c>
      <c r="B281" t="s">
        <v>33572</v>
      </c>
      <c r="C281" t="s">
        <v>34169</v>
      </c>
      <c r="D281" t="s">
        <v>34355</v>
      </c>
      <c r="E281" t="s">
        <v>34398</v>
      </c>
      <c r="F281" t="s">
        <v>34397</v>
      </c>
      <c r="G281" t="s">
        <v>6484</v>
      </c>
      <c r="H281" t="s">
        <v>6831</v>
      </c>
      <c r="J281" t="s">
        <v>33567</v>
      </c>
      <c r="K281" t="s">
        <v>33566</v>
      </c>
      <c r="L281" t="s">
        <v>35428</v>
      </c>
      <c r="N281" t="s">
        <v>35763</v>
      </c>
      <c r="O281" t="s">
        <v>35762</v>
      </c>
      <c r="P281">
        <v>2702</v>
      </c>
      <c r="Q281" t="s">
        <v>35761</v>
      </c>
      <c r="R281" t="s">
        <v>35760</v>
      </c>
      <c r="T281" s="22" t="s">
        <v>37025</v>
      </c>
      <c r="U281" s="22" t="s">
        <v>1308</v>
      </c>
    </row>
    <row r="282" spans="1:21" x14ac:dyDescent="0.75">
      <c r="A282" t="s">
        <v>9844</v>
      </c>
      <c r="B282" t="s">
        <v>33572</v>
      </c>
      <c r="C282" t="s">
        <v>33606</v>
      </c>
      <c r="D282" t="s">
        <v>33913</v>
      </c>
      <c r="E282" t="s">
        <v>34090</v>
      </c>
      <c r="F282" t="s">
        <v>35740</v>
      </c>
      <c r="G282" t="s">
        <v>7130</v>
      </c>
      <c r="H282" t="s">
        <v>9845</v>
      </c>
      <c r="J282" t="s">
        <v>33567</v>
      </c>
      <c r="K282" t="s">
        <v>33566</v>
      </c>
      <c r="L282" t="s">
        <v>33587</v>
      </c>
      <c r="N282" t="s">
        <v>35759</v>
      </c>
      <c r="O282" t="s">
        <v>35758</v>
      </c>
      <c r="P282">
        <v>84136</v>
      </c>
      <c r="Q282" t="s">
        <v>9843</v>
      </c>
      <c r="R282" t="s">
        <v>35757</v>
      </c>
      <c r="T282" s="22" t="s">
        <v>37030</v>
      </c>
      <c r="U282" s="22" t="s">
        <v>104</v>
      </c>
    </row>
    <row r="283" spans="1:21" x14ac:dyDescent="0.75">
      <c r="A283" t="s">
        <v>7652</v>
      </c>
      <c r="B283" t="s">
        <v>33572</v>
      </c>
      <c r="C283" t="s">
        <v>33606</v>
      </c>
      <c r="D283" t="s">
        <v>33913</v>
      </c>
      <c r="E283" t="s">
        <v>34090</v>
      </c>
      <c r="F283" t="s">
        <v>35740</v>
      </c>
      <c r="G283" t="s">
        <v>7130</v>
      </c>
      <c r="H283" t="s">
        <v>35753</v>
      </c>
      <c r="I283" t="s">
        <v>35756</v>
      </c>
      <c r="J283" t="s">
        <v>33567</v>
      </c>
      <c r="K283" t="s">
        <v>33566</v>
      </c>
      <c r="L283" t="s">
        <v>33616</v>
      </c>
      <c r="P283">
        <v>0</v>
      </c>
      <c r="Q283" t="s">
        <v>35755</v>
      </c>
      <c r="R283" t="s">
        <v>35754</v>
      </c>
      <c r="T283" s="22" t="s">
        <v>37371</v>
      </c>
      <c r="U283" s="22" t="s">
        <v>104</v>
      </c>
    </row>
    <row r="284" spans="1:21" x14ac:dyDescent="0.75">
      <c r="A284" t="s">
        <v>7129</v>
      </c>
      <c r="B284" t="s">
        <v>33572</v>
      </c>
      <c r="C284" t="s">
        <v>33606</v>
      </c>
      <c r="D284" t="s">
        <v>33913</v>
      </c>
      <c r="E284" t="s">
        <v>34090</v>
      </c>
      <c r="F284" t="s">
        <v>35740</v>
      </c>
      <c r="G284" t="s">
        <v>7130</v>
      </c>
      <c r="H284" t="s">
        <v>35753</v>
      </c>
      <c r="I284" t="s">
        <v>35752</v>
      </c>
      <c r="J284" t="s">
        <v>33567</v>
      </c>
      <c r="K284" t="s">
        <v>33566</v>
      </c>
      <c r="L284" t="s">
        <v>33616</v>
      </c>
      <c r="N284" t="s">
        <v>35751</v>
      </c>
      <c r="O284" t="s">
        <v>35750</v>
      </c>
      <c r="P284">
        <v>1379</v>
      </c>
      <c r="Q284" t="s">
        <v>35749</v>
      </c>
      <c r="R284" t="s">
        <v>35748</v>
      </c>
      <c r="T284" s="22" t="s">
        <v>37371</v>
      </c>
      <c r="U284" s="22" t="s">
        <v>104</v>
      </c>
    </row>
    <row r="285" spans="1:21" x14ac:dyDescent="0.75">
      <c r="A285" t="s">
        <v>11936</v>
      </c>
      <c r="B285" t="s">
        <v>33572</v>
      </c>
      <c r="C285" t="s">
        <v>33606</v>
      </c>
      <c r="D285" t="s">
        <v>33913</v>
      </c>
      <c r="E285" t="s">
        <v>34090</v>
      </c>
      <c r="F285" t="s">
        <v>35740</v>
      </c>
      <c r="G285" t="s">
        <v>7130</v>
      </c>
      <c r="H285" t="s">
        <v>8644</v>
      </c>
      <c r="J285" t="s">
        <v>33660</v>
      </c>
      <c r="K285" t="s">
        <v>33566</v>
      </c>
      <c r="L285" t="s">
        <v>33587</v>
      </c>
      <c r="O285" t="s">
        <v>33614</v>
      </c>
      <c r="P285">
        <v>1785995</v>
      </c>
      <c r="Q285" t="s">
        <v>35747</v>
      </c>
      <c r="R285" t="s">
        <v>35746</v>
      </c>
      <c r="T285" s="22" t="s">
        <v>37027</v>
      </c>
      <c r="U285" s="22" t="s">
        <v>104</v>
      </c>
    </row>
    <row r="286" spans="1:21" x14ac:dyDescent="0.75">
      <c r="A286" t="s">
        <v>7417</v>
      </c>
      <c r="B286" t="s">
        <v>33572</v>
      </c>
      <c r="C286" t="s">
        <v>33606</v>
      </c>
      <c r="D286" t="s">
        <v>33913</v>
      </c>
      <c r="E286" t="s">
        <v>34090</v>
      </c>
      <c r="F286" t="s">
        <v>35740</v>
      </c>
      <c r="G286" t="s">
        <v>7130</v>
      </c>
      <c r="H286" t="s">
        <v>7418</v>
      </c>
      <c r="J286" t="s">
        <v>33567</v>
      </c>
      <c r="K286" t="s">
        <v>33566</v>
      </c>
      <c r="L286" t="s">
        <v>33575</v>
      </c>
      <c r="M286" t="s">
        <v>35745</v>
      </c>
      <c r="N286" t="s">
        <v>35744</v>
      </c>
      <c r="O286" t="s">
        <v>35743</v>
      </c>
      <c r="P286">
        <v>29391</v>
      </c>
      <c r="Q286" t="s">
        <v>35742</v>
      </c>
      <c r="R286" t="s">
        <v>35741</v>
      </c>
      <c r="T286" s="22" t="s">
        <v>37031</v>
      </c>
      <c r="U286" s="22" t="s">
        <v>104</v>
      </c>
    </row>
    <row r="287" spans="1:21" x14ac:dyDescent="0.75">
      <c r="A287" t="s">
        <v>7648</v>
      </c>
      <c r="B287" t="s">
        <v>33572</v>
      </c>
      <c r="C287" t="s">
        <v>33606</v>
      </c>
      <c r="D287" t="s">
        <v>33913</v>
      </c>
      <c r="E287" t="s">
        <v>34090</v>
      </c>
      <c r="F287" t="s">
        <v>35740</v>
      </c>
      <c r="G287" t="s">
        <v>7130</v>
      </c>
      <c r="H287" t="s">
        <v>6273</v>
      </c>
      <c r="J287" t="s">
        <v>33567</v>
      </c>
      <c r="K287" t="s">
        <v>33566</v>
      </c>
      <c r="L287" t="s">
        <v>33575</v>
      </c>
      <c r="N287" t="s">
        <v>35739</v>
      </c>
      <c r="O287" t="s">
        <v>33614</v>
      </c>
      <c r="P287">
        <v>84135</v>
      </c>
      <c r="Q287" t="s">
        <v>35738</v>
      </c>
      <c r="R287" t="s">
        <v>35737</v>
      </c>
      <c r="T287" s="22" t="s">
        <v>37028</v>
      </c>
      <c r="U287" s="22" t="s">
        <v>104</v>
      </c>
    </row>
    <row r="288" spans="1:21" x14ac:dyDescent="0.75">
      <c r="A288" t="s">
        <v>6932</v>
      </c>
      <c r="B288" t="s">
        <v>33572</v>
      </c>
      <c r="C288" t="s">
        <v>33606</v>
      </c>
      <c r="D288" t="s">
        <v>33913</v>
      </c>
      <c r="E288" t="s">
        <v>33912</v>
      </c>
      <c r="F288" t="s">
        <v>35732</v>
      </c>
      <c r="G288" t="s">
        <v>6933</v>
      </c>
      <c r="H288" t="s">
        <v>6934</v>
      </c>
      <c r="J288" t="s">
        <v>33567</v>
      </c>
      <c r="K288" t="s">
        <v>33566</v>
      </c>
      <c r="L288" t="s">
        <v>33616</v>
      </c>
      <c r="N288" t="s">
        <v>35736</v>
      </c>
      <c r="O288" t="s">
        <v>35735</v>
      </c>
      <c r="P288">
        <v>46124</v>
      </c>
      <c r="Q288" t="s">
        <v>35734</v>
      </c>
      <c r="R288" t="s">
        <v>35733</v>
      </c>
      <c r="T288" s="22" t="s">
        <v>37033</v>
      </c>
      <c r="U288" s="22" t="s">
        <v>104</v>
      </c>
    </row>
    <row r="289" spans="1:21" x14ac:dyDescent="0.75">
      <c r="A289" t="s">
        <v>6993</v>
      </c>
      <c r="B289" t="s">
        <v>33572</v>
      </c>
      <c r="C289" t="s">
        <v>33606</v>
      </c>
      <c r="D289" t="s">
        <v>33913</v>
      </c>
      <c r="E289" t="s">
        <v>33912</v>
      </c>
      <c r="F289" t="s">
        <v>35732</v>
      </c>
      <c r="G289" t="s">
        <v>6933</v>
      </c>
      <c r="H289" t="s">
        <v>6994</v>
      </c>
      <c r="J289" t="s">
        <v>33567</v>
      </c>
      <c r="K289" t="s">
        <v>33566</v>
      </c>
      <c r="L289" t="s">
        <v>33616</v>
      </c>
      <c r="N289" t="s">
        <v>35731</v>
      </c>
      <c r="O289" t="s">
        <v>35730</v>
      </c>
      <c r="P289">
        <v>137732</v>
      </c>
      <c r="Q289" t="s">
        <v>35729</v>
      </c>
      <c r="R289" t="s">
        <v>35728</v>
      </c>
      <c r="T289" s="22" t="s">
        <v>37034</v>
      </c>
      <c r="U289" s="22" t="s">
        <v>104</v>
      </c>
    </row>
    <row r="290" spans="1:21" x14ac:dyDescent="0.75">
      <c r="A290" t="s">
        <v>10532</v>
      </c>
      <c r="B290" t="s">
        <v>33572</v>
      </c>
      <c r="C290" t="s">
        <v>33571</v>
      </c>
      <c r="D290" t="s">
        <v>34135</v>
      </c>
      <c r="E290" t="s">
        <v>34511</v>
      </c>
      <c r="F290" t="s">
        <v>34510</v>
      </c>
      <c r="G290" t="s">
        <v>10533</v>
      </c>
      <c r="H290" t="s">
        <v>10534</v>
      </c>
      <c r="J290" t="s">
        <v>33567</v>
      </c>
      <c r="K290" t="s">
        <v>33566</v>
      </c>
      <c r="L290" t="s">
        <v>33659</v>
      </c>
      <c r="O290" t="s">
        <v>34859</v>
      </c>
      <c r="P290">
        <v>366616</v>
      </c>
      <c r="Q290" t="s">
        <v>35727</v>
      </c>
      <c r="R290" t="s">
        <v>35726</v>
      </c>
      <c r="T290" s="22" t="s">
        <v>37035</v>
      </c>
      <c r="U290" s="22" t="s">
        <v>1563</v>
      </c>
    </row>
    <row r="291" spans="1:21" x14ac:dyDescent="0.75">
      <c r="A291" t="s">
        <v>7600</v>
      </c>
      <c r="B291" t="s">
        <v>33572</v>
      </c>
      <c r="C291" t="s">
        <v>33571</v>
      </c>
      <c r="D291" t="s">
        <v>33570</v>
      </c>
      <c r="E291" t="s">
        <v>35690</v>
      </c>
      <c r="F291" t="s">
        <v>35689</v>
      </c>
      <c r="G291" t="s">
        <v>6251</v>
      </c>
      <c r="H291" t="s">
        <v>7601</v>
      </c>
      <c r="J291" t="s">
        <v>33567</v>
      </c>
      <c r="K291" t="s">
        <v>33566</v>
      </c>
      <c r="L291" t="s">
        <v>35725</v>
      </c>
      <c r="N291" t="s">
        <v>35724</v>
      </c>
      <c r="O291" t="s">
        <v>35723</v>
      </c>
      <c r="P291">
        <v>197575</v>
      </c>
      <c r="Q291" t="s">
        <v>35722</v>
      </c>
      <c r="R291" t="s">
        <v>35721</v>
      </c>
      <c r="T291" s="22" t="s">
        <v>37040</v>
      </c>
      <c r="U291" s="22" t="s">
        <v>36804</v>
      </c>
    </row>
    <row r="292" spans="1:21" x14ac:dyDescent="0.75">
      <c r="A292" t="s">
        <v>10944</v>
      </c>
      <c r="B292" t="s">
        <v>33572</v>
      </c>
      <c r="C292" t="s">
        <v>33571</v>
      </c>
      <c r="D292" t="s">
        <v>33570</v>
      </c>
      <c r="E292" t="s">
        <v>35690</v>
      </c>
      <c r="F292" t="s">
        <v>35689</v>
      </c>
      <c r="G292" t="s">
        <v>6251</v>
      </c>
      <c r="H292" t="s">
        <v>10945</v>
      </c>
      <c r="J292" t="s">
        <v>33567</v>
      </c>
      <c r="K292" t="s">
        <v>33566</v>
      </c>
      <c r="L292" t="s">
        <v>33565</v>
      </c>
      <c r="N292" t="s">
        <v>35720</v>
      </c>
      <c r="O292" t="s">
        <v>35719</v>
      </c>
      <c r="P292">
        <v>730</v>
      </c>
      <c r="Q292" t="s">
        <v>35718</v>
      </c>
      <c r="R292" t="s">
        <v>35717</v>
      </c>
      <c r="T292" s="22" t="s">
        <v>37041</v>
      </c>
      <c r="U292" s="22" t="s">
        <v>36804</v>
      </c>
    </row>
    <row r="293" spans="1:21" x14ac:dyDescent="0.75">
      <c r="A293" t="s">
        <v>7909</v>
      </c>
      <c r="B293" t="s">
        <v>33572</v>
      </c>
      <c r="C293" t="s">
        <v>33571</v>
      </c>
      <c r="D293" t="s">
        <v>33570</v>
      </c>
      <c r="E293" t="s">
        <v>35690</v>
      </c>
      <c r="F293" t="s">
        <v>35689</v>
      </c>
      <c r="G293" t="s">
        <v>6251</v>
      </c>
      <c r="H293" t="s">
        <v>6196</v>
      </c>
      <c r="J293" t="s">
        <v>33567</v>
      </c>
      <c r="K293" t="s">
        <v>33566</v>
      </c>
      <c r="L293" t="s">
        <v>33616</v>
      </c>
      <c r="M293" t="s">
        <v>16646</v>
      </c>
      <c r="N293" t="s">
        <v>35716</v>
      </c>
      <c r="O293" t="s">
        <v>34181</v>
      </c>
      <c r="P293">
        <v>726</v>
      </c>
      <c r="Q293" t="s">
        <v>35715</v>
      </c>
      <c r="R293" t="s">
        <v>35714</v>
      </c>
      <c r="T293" s="22" t="s">
        <v>37038</v>
      </c>
      <c r="U293" s="22" t="s">
        <v>104</v>
      </c>
    </row>
    <row r="294" spans="1:21" x14ac:dyDescent="0.75">
      <c r="A294" t="s">
        <v>6250</v>
      </c>
      <c r="B294" t="s">
        <v>33572</v>
      </c>
      <c r="C294" t="s">
        <v>33571</v>
      </c>
      <c r="D294" t="s">
        <v>33570</v>
      </c>
      <c r="E294" t="s">
        <v>35690</v>
      </c>
      <c r="F294" t="s">
        <v>35689</v>
      </c>
      <c r="G294" t="s">
        <v>6251</v>
      </c>
      <c r="H294" t="s">
        <v>6252</v>
      </c>
      <c r="J294" t="s">
        <v>33567</v>
      </c>
      <c r="K294" t="s">
        <v>33566</v>
      </c>
      <c r="L294" t="s">
        <v>33587</v>
      </c>
      <c r="N294" t="s">
        <v>35713</v>
      </c>
      <c r="O294" t="s">
        <v>35712</v>
      </c>
      <c r="P294">
        <v>727</v>
      </c>
      <c r="Q294" t="s">
        <v>35711</v>
      </c>
      <c r="R294" t="s">
        <v>35710</v>
      </c>
      <c r="T294" s="22" t="s">
        <v>37036</v>
      </c>
      <c r="U294" s="22" t="s">
        <v>104</v>
      </c>
    </row>
    <row r="295" spans="1:21" x14ac:dyDescent="0.75">
      <c r="A295" t="s">
        <v>8610</v>
      </c>
      <c r="B295" t="s">
        <v>33572</v>
      </c>
      <c r="C295" t="s">
        <v>33571</v>
      </c>
      <c r="D295" t="s">
        <v>33570</v>
      </c>
      <c r="E295" t="s">
        <v>35690</v>
      </c>
      <c r="F295" t="s">
        <v>35689</v>
      </c>
      <c r="G295" t="s">
        <v>6251</v>
      </c>
      <c r="H295" t="s">
        <v>8611</v>
      </c>
      <c r="J295" t="s">
        <v>33567</v>
      </c>
      <c r="K295" t="s">
        <v>33566</v>
      </c>
      <c r="L295" t="s">
        <v>33575</v>
      </c>
      <c r="M295" t="s">
        <v>35709</v>
      </c>
      <c r="N295" t="s">
        <v>35708</v>
      </c>
      <c r="O295" t="s">
        <v>34181</v>
      </c>
      <c r="P295">
        <v>735</v>
      </c>
      <c r="Q295" t="s">
        <v>35707</v>
      </c>
      <c r="R295" t="s">
        <v>35706</v>
      </c>
      <c r="T295" s="22" t="s">
        <v>37043</v>
      </c>
      <c r="U295" s="22" t="s">
        <v>104</v>
      </c>
    </row>
    <row r="296" spans="1:21" x14ac:dyDescent="0.75">
      <c r="A296" t="s">
        <v>7511</v>
      </c>
      <c r="B296" t="s">
        <v>33572</v>
      </c>
      <c r="C296" t="s">
        <v>33571</v>
      </c>
      <c r="D296" t="s">
        <v>33570</v>
      </c>
      <c r="E296" t="s">
        <v>35690</v>
      </c>
      <c r="F296" t="s">
        <v>35689</v>
      </c>
      <c r="G296" t="s">
        <v>6251</v>
      </c>
      <c r="H296" t="s">
        <v>7512</v>
      </c>
      <c r="J296" t="s">
        <v>33567</v>
      </c>
      <c r="K296" t="s">
        <v>33566</v>
      </c>
      <c r="L296" t="s">
        <v>33616</v>
      </c>
      <c r="N296" t="s">
        <v>35705</v>
      </c>
      <c r="O296" t="s">
        <v>34181</v>
      </c>
      <c r="P296">
        <v>729</v>
      </c>
      <c r="Q296" t="s">
        <v>35704</v>
      </c>
      <c r="R296" t="s">
        <v>35703</v>
      </c>
      <c r="T296" s="22" t="s">
        <v>37037</v>
      </c>
      <c r="U296" s="22" t="s">
        <v>104</v>
      </c>
    </row>
    <row r="297" spans="1:21" x14ac:dyDescent="0.75">
      <c r="A297" t="s">
        <v>8589</v>
      </c>
      <c r="B297" t="s">
        <v>33572</v>
      </c>
      <c r="C297" t="s">
        <v>33571</v>
      </c>
      <c r="D297" t="s">
        <v>33570</v>
      </c>
      <c r="E297" t="s">
        <v>35690</v>
      </c>
      <c r="F297" t="s">
        <v>35689</v>
      </c>
      <c r="G297" t="s">
        <v>6251</v>
      </c>
      <c r="H297" t="s">
        <v>8590</v>
      </c>
      <c r="J297" t="s">
        <v>33567</v>
      </c>
      <c r="K297" t="s">
        <v>33566</v>
      </c>
      <c r="L297" t="s">
        <v>33616</v>
      </c>
      <c r="M297" t="s">
        <v>35702</v>
      </c>
      <c r="N297" t="s">
        <v>35701</v>
      </c>
      <c r="O297" t="s">
        <v>35700</v>
      </c>
      <c r="P297">
        <v>736</v>
      </c>
      <c r="Q297" t="s">
        <v>35699</v>
      </c>
      <c r="R297" t="s">
        <v>35698</v>
      </c>
      <c r="T297" s="22" t="s">
        <v>37044</v>
      </c>
      <c r="U297" s="22" t="s">
        <v>104</v>
      </c>
    </row>
    <row r="298" spans="1:21" x14ac:dyDescent="0.75">
      <c r="A298" t="s">
        <v>7927</v>
      </c>
      <c r="B298" t="s">
        <v>33572</v>
      </c>
      <c r="C298" t="s">
        <v>33571</v>
      </c>
      <c r="D298" t="s">
        <v>33570</v>
      </c>
      <c r="E298" t="s">
        <v>35690</v>
      </c>
      <c r="F298" t="s">
        <v>35689</v>
      </c>
      <c r="G298" t="s">
        <v>6251</v>
      </c>
      <c r="H298" t="s">
        <v>7928</v>
      </c>
      <c r="J298" t="s">
        <v>33567</v>
      </c>
      <c r="K298" t="s">
        <v>33566</v>
      </c>
      <c r="L298" t="s">
        <v>33575</v>
      </c>
      <c r="M298" t="s">
        <v>35697</v>
      </c>
      <c r="O298" t="s">
        <v>34181</v>
      </c>
      <c r="P298">
        <v>249188</v>
      </c>
      <c r="Q298" t="s">
        <v>35696</v>
      </c>
      <c r="R298" t="s">
        <v>35695</v>
      </c>
      <c r="T298" s="22" t="s">
        <v>37045</v>
      </c>
      <c r="U298" s="22" t="s">
        <v>104</v>
      </c>
    </row>
    <row r="299" spans="1:21" x14ac:dyDescent="0.75">
      <c r="A299" t="s">
        <v>11055</v>
      </c>
      <c r="B299" t="s">
        <v>33572</v>
      </c>
      <c r="C299" t="s">
        <v>33571</v>
      </c>
      <c r="D299" t="s">
        <v>33570</v>
      </c>
      <c r="E299" t="s">
        <v>35690</v>
      </c>
      <c r="F299" t="s">
        <v>35689</v>
      </c>
      <c r="G299" t="s">
        <v>6251</v>
      </c>
      <c r="H299" t="s">
        <v>11056</v>
      </c>
      <c r="J299" t="s">
        <v>33617</v>
      </c>
      <c r="K299" t="s">
        <v>33566</v>
      </c>
      <c r="L299" t="s">
        <v>33616</v>
      </c>
      <c r="N299" t="s">
        <v>35694</v>
      </c>
      <c r="O299" t="s">
        <v>35693</v>
      </c>
      <c r="P299">
        <v>712310</v>
      </c>
      <c r="Q299" t="s">
        <v>35692</v>
      </c>
      <c r="R299" t="s">
        <v>35691</v>
      </c>
      <c r="T299" s="22" t="s">
        <v>37459</v>
      </c>
      <c r="U299" s="22" t="s">
        <v>104</v>
      </c>
    </row>
    <row r="300" spans="1:21" x14ac:dyDescent="0.75">
      <c r="A300" t="s">
        <v>8362</v>
      </c>
      <c r="B300" t="s">
        <v>33572</v>
      </c>
      <c r="C300" t="s">
        <v>33571</v>
      </c>
      <c r="D300" t="s">
        <v>33570</v>
      </c>
      <c r="E300" t="s">
        <v>35690</v>
      </c>
      <c r="F300" t="s">
        <v>35689</v>
      </c>
      <c r="G300" t="s">
        <v>6251</v>
      </c>
      <c r="H300" t="s">
        <v>8363</v>
      </c>
      <c r="J300" t="s">
        <v>33567</v>
      </c>
      <c r="K300" t="s">
        <v>33566</v>
      </c>
      <c r="L300" t="s">
        <v>33575</v>
      </c>
      <c r="M300" t="s">
        <v>8364</v>
      </c>
      <c r="N300" t="s">
        <v>35688</v>
      </c>
      <c r="O300" t="s">
        <v>34181</v>
      </c>
      <c r="P300">
        <v>1078480</v>
      </c>
      <c r="Q300" t="s">
        <v>35687</v>
      </c>
      <c r="R300" t="s">
        <v>35686</v>
      </c>
      <c r="T300" s="22" t="s">
        <v>37042</v>
      </c>
      <c r="U300" s="22" t="s">
        <v>104</v>
      </c>
    </row>
    <row r="301" spans="1:21" x14ac:dyDescent="0.75">
      <c r="A301" t="s">
        <v>7845</v>
      </c>
      <c r="B301" t="s">
        <v>33572</v>
      </c>
      <c r="C301" t="s">
        <v>33583</v>
      </c>
      <c r="D301" t="s">
        <v>33881</v>
      </c>
      <c r="E301" t="s">
        <v>33880</v>
      </c>
      <c r="F301" t="s">
        <v>34303</v>
      </c>
      <c r="G301" t="s">
        <v>7817</v>
      </c>
      <c r="H301" t="s">
        <v>7846</v>
      </c>
      <c r="J301" t="s">
        <v>33567</v>
      </c>
      <c r="K301" t="s">
        <v>33566</v>
      </c>
      <c r="L301" t="s">
        <v>33587</v>
      </c>
      <c r="N301" t="s">
        <v>35685</v>
      </c>
      <c r="O301" t="s">
        <v>35684</v>
      </c>
      <c r="P301">
        <v>52227</v>
      </c>
      <c r="Q301" t="s">
        <v>35683</v>
      </c>
      <c r="R301" t="s">
        <v>35682</v>
      </c>
      <c r="T301" s="22" t="s">
        <v>37046</v>
      </c>
      <c r="U301" s="22" t="s">
        <v>104</v>
      </c>
    </row>
    <row r="302" spans="1:21" x14ac:dyDescent="0.75">
      <c r="A302" t="s">
        <v>7816</v>
      </c>
      <c r="B302" t="s">
        <v>33572</v>
      </c>
      <c r="C302" t="s">
        <v>33583</v>
      </c>
      <c r="D302" t="s">
        <v>33881</v>
      </c>
      <c r="E302" t="s">
        <v>33880</v>
      </c>
      <c r="F302" t="s">
        <v>34303</v>
      </c>
      <c r="G302" t="s">
        <v>7817</v>
      </c>
      <c r="H302" t="s">
        <v>7818</v>
      </c>
      <c r="J302" t="s">
        <v>33567</v>
      </c>
      <c r="K302" t="s">
        <v>33566</v>
      </c>
      <c r="L302" t="s">
        <v>33659</v>
      </c>
      <c r="N302" t="s">
        <v>35681</v>
      </c>
      <c r="O302" t="s">
        <v>35596</v>
      </c>
      <c r="P302">
        <v>310514</v>
      </c>
      <c r="Q302" t="s">
        <v>35680</v>
      </c>
      <c r="R302" t="s">
        <v>35679</v>
      </c>
      <c r="T302" s="22" t="s">
        <v>37047</v>
      </c>
      <c r="U302" s="22" t="s">
        <v>1563</v>
      </c>
    </row>
    <row r="303" spans="1:21" x14ac:dyDescent="0.75">
      <c r="A303" t="s">
        <v>35678</v>
      </c>
      <c r="B303" t="s">
        <v>33572</v>
      </c>
      <c r="C303" t="s">
        <v>33583</v>
      </c>
      <c r="D303" t="s">
        <v>33881</v>
      </c>
      <c r="E303" t="s">
        <v>33880</v>
      </c>
      <c r="F303" t="s">
        <v>34303</v>
      </c>
      <c r="G303" t="s">
        <v>7817</v>
      </c>
      <c r="H303" t="s">
        <v>35677</v>
      </c>
      <c r="J303" t="s">
        <v>33577</v>
      </c>
      <c r="K303" t="s">
        <v>33576</v>
      </c>
      <c r="L303" t="s">
        <v>33609</v>
      </c>
      <c r="N303" t="s">
        <v>35676</v>
      </c>
      <c r="O303" t="s">
        <v>35675</v>
      </c>
      <c r="P303">
        <v>712465</v>
      </c>
      <c r="T303" s="22" t="s">
        <v>37460</v>
      </c>
      <c r="U303" s="22" t="s">
        <v>104</v>
      </c>
    </row>
    <row r="304" spans="1:21" x14ac:dyDescent="0.75">
      <c r="A304" t="s">
        <v>14798</v>
      </c>
      <c r="B304" t="s">
        <v>33572</v>
      </c>
      <c r="C304" t="s">
        <v>33583</v>
      </c>
      <c r="D304" t="s">
        <v>33881</v>
      </c>
      <c r="E304" t="s">
        <v>33880</v>
      </c>
      <c r="F304" t="s">
        <v>34303</v>
      </c>
      <c r="G304" t="s">
        <v>7817</v>
      </c>
      <c r="H304" t="s">
        <v>14799</v>
      </c>
      <c r="J304" t="s">
        <v>33617</v>
      </c>
      <c r="K304" t="s">
        <v>33566</v>
      </c>
      <c r="L304" t="s">
        <v>33587</v>
      </c>
      <c r="N304" t="s">
        <v>35674</v>
      </c>
      <c r="O304" t="s">
        <v>35673</v>
      </c>
      <c r="P304">
        <v>712466</v>
      </c>
      <c r="Q304" t="s">
        <v>35672</v>
      </c>
      <c r="R304" t="s">
        <v>35671</v>
      </c>
      <c r="T304" s="22" t="s">
        <v>37461</v>
      </c>
      <c r="U304" s="22" t="s">
        <v>104</v>
      </c>
    </row>
    <row r="305" spans="1:21" x14ac:dyDescent="0.75">
      <c r="A305" t="s">
        <v>35670</v>
      </c>
      <c r="B305" t="s">
        <v>33572</v>
      </c>
      <c r="C305" t="s">
        <v>33583</v>
      </c>
      <c r="D305" t="s">
        <v>33881</v>
      </c>
      <c r="E305" t="s">
        <v>33880</v>
      </c>
      <c r="F305" t="s">
        <v>34303</v>
      </c>
      <c r="G305" t="s">
        <v>7817</v>
      </c>
      <c r="H305" t="s">
        <v>35669</v>
      </c>
      <c r="J305" t="s">
        <v>33577</v>
      </c>
      <c r="K305" t="s">
        <v>33576</v>
      </c>
      <c r="L305" t="s">
        <v>33587</v>
      </c>
      <c r="N305" t="s">
        <v>35668</v>
      </c>
      <c r="O305" t="s">
        <v>35667</v>
      </c>
      <c r="P305">
        <v>712472</v>
      </c>
      <c r="T305" s="22" t="s">
        <v>37462</v>
      </c>
      <c r="U305" s="22" t="s">
        <v>104</v>
      </c>
    </row>
    <row r="306" spans="1:21" x14ac:dyDescent="0.75">
      <c r="A306" t="s">
        <v>8571</v>
      </c>
      <c r="B306" t="s">
        <v>33572</v>
      </c>
      <c r="C306" t="s">
        <v>33571</v>
      </c>
      <c r="D306" t="s">
        <v>35666</v>
      </c>
      <c r="E306" t="s">
        <v>35665</v>
      </c>
      <c r="F306" t="s">
        <v>35664</v>
      </c>
      <c r="G306" t="s">
        <v>8572</v>
      </c>
      <c r="H306" t="s">
        <v>8573</v>
      </c>
      <c r="J306" t="s">
        <v>33567</v>
      </c>
      <c r="K306" t="s">
        <v>33566</v>
      </c>
      <c r="L306" t="s">
        <v>35663</v>
      </c>
      <c r="N306" t="s">
        <v>35662</v>
      </c>
      <c r="O306" t="s">
        <v>35661</v>
      </c>
      <c r="P306">
        <v>210</v>
      </c>
      <c r="Q306" t="s">
        <v>35660</v>
      </c>
      <c r="R306" t="s">
        <v>35659</v>
      </c>
      <c r="T306" s="22" t="s">
        <v>37049</v>
      </c>
      <c r="U306" s="22" t="s">
        <v>34</v>
      </c>
    </row>
    <row r="307" spans="1:21" x14ac:dyDescent="0.75">
      <c r="A307" t="s">
        <v>10449</v>
      </c>
      <c r="B307" t="s">
        <v>33572</v>
      </c>
      <c r="C307" t="s">
        <v>33606</v>
      </c>
      <c r="D307" t="s">
        <v>33663</v>
      </c>
      <c r="E307" t="s">
        <v>33900</v>
      </c>
      <c r="F307" t="s">
        <v>35658</v>
      </c>
      <c r="G307" t="s">
        <v>10450</v>
      </c>
      <c r="H307" t="s">
        <v>10451</v>
      </c>
      <c r="J307" t="s">
        <v>33567</v>
      </c>
      <c r="K307" t="s">
        <v>33566</v>
      </c>
      <c r="L307" t="s">
        <v>34670</v>
      </c>
      <c r="O307" t="s">
        <v>35657</v>
      </c>
      <c r="P307">
        <v>0</v>
      </c>
      <c r="Q307" t="s">
        <v>35656</v>
      </c>
      <c r="R307" t="s">
        <v>35655</v>
      </c>
      <c r="T307" s="22" t="s">
        <v>37050</v>
      </c>
      <c r="U307" s="22" t="s">
        <v>34</v>
      </c>
    </row>
    <row r="308" spans="1:21" x14ac:dyDescent="0.75">
      <c r="A308" t="s">
        <v>15525</v>
      </c>
      <c r="B308" t="s">
        <v>33572</v>
      </c>
      <c r="C308" t="s">
        <v>33606</v>
      </c>
      <c r="D308" t="s">
        <v>33663</v>
      </c>
      <c r="E308" t="s">
        <v>34746</v>
      </c>
      <c r="F308" t="s">
        <v>35177</v>
      </c>
      <c r="G308" t="s">
        <v>10107</v>
      </c>
      <c r="H308" t="s">
        <v>15526</v>
      </c>
      <c r="J308" t="s">
        <v>33567</v>
      </c>
      <c r="K308" t="s">
        <v>33566</v>
      </c>
      <c r="L308" t="s">
        <v>33587</v>
      </c>
      <c r="N308" t="s">
        <v>35654</v>
      </c>
      <c r="O308" t="s">
        <v>35653</v>
      </c>
      <c r="P308">
        <v>186804</v>
      </c>
      <c r="Q308" t="s">
        <v>35652</v>
      </c>
      <c r="R308" t="s">
        <v>35651</v>
      </c>
      <c r="T308" s="22" t="s">
        <v>37052</v>
      </c>
      <c r="U308" s="22" t="s">
        <v>104</v>
      </c>
    </row>
    <row r="309" spans="1:21" x14ac:dyDescent="0.75">
      <c r="A309" t="s">
        <v>10106</v>
      </c>
      <c r="B309" t="s">
        <v>33572</v>
      </c>
      <c r="C309" t="s">
        <v>33606</v>
      </c>
      <c r="D309" t="s">
        <v>33663</v>
      </c>
      <c r="E309" t="s">
        <v>34746</v>
      </c>
      <c r="F309" t="s">
        <v>35177</v>
      </c>
      <c r="G309" t="s">
        <v>10107</v>
      </c>
      <c r="H309" t="s">
        <v>10108</v>
      </c>
      <c r="J309" t="s">
        <v>33567</v>
      </c>
      <c r="K309" t="s">
        <v>33566</v>
      </c>
      <c r="L309" t="s">
        <v>33575</v>
      </c>
      <c r="N309" t="s">
        <v>35650</v>
      </c>
      <c r="O309" t="s">
        <v>33614</v>
      </c>
      <c r="P309">
        <v>186804</v>
      </c>
      <c r="Q309" t="s">
        <v>35649</v>
      </c>
      <c r="R309" t="s">
        <v>35648</v>
      </c>
      <c r="T309" s="22" t="s">
        <v>37051</v>
      </c>
      <c r="U309" s="22" t="s">
        <v>104</v>
      </c>
    </row>
    <row r="310" spans="1:21" x14ac:dyDescent="0.75">
      <c r="A310" t="s">
        <v>1906</v>
      </c>
      <c r="B310" t="s">
        <v>33572</v>
      </c>
      <c r="C310" t="s">
        <v>33583</v>
      </c>
      <c r="D310" t="s">
        <v>33881</v>
      </c>
      <c r="E310" t="s">
        <v>33880</v>
      </c>
      <c r="F310" t="s">
        <v>34303</v>
      </c>
      <c r="G310" t="s">
        <v>6634</v>
      </c>
      <c r="H310" t="s">
        <v>6426</v>
      </c>
      <c r="J310" t="s">
        <v>33567</v>
      </c>
      <c r="K310" t="s">
        <v>33566</v>
      </c>
      <c r="L310" t="s">
        <v>34761</v>
      </c>
      <c r="N310" t="s">
        <v>35647</v>
      </c>
      <c r="O310" t="s">
        <v>35646</v>
      </c>
      <c r="P310">
        <v>28127</v>
      </c>
      <c r="Q310" t="s">
        <v>35645</v>
      </c>
      <c r="R310" t="s">
        <v>35644</v>
      </c>
      <c r="T310" s="22" t="s">
        <v>1907</v>
      </c>
      <c r="U310" s="22" t="s">
        <v>1563</v>
      </c>
    </row>
    <row r="311" spans="1:21" x14ac:dyDescent="0.75">
      <c r="A311" t="s">
        <v>10266</v>
      </c>
      <c r="B311" t="s">
        <v>33572</v>
      </c>
      <c r="C311" t="s">
        <v>33583</v>
      </c>
      <c r="D311" t="s">
        <v>33881</v>
      </c>
      <c r="E311" t="s">
        <v>33880</v>
      </c>
      <c r="F311" t="s">
        <v>34303</v>
      </c>
      <c r="G311" t="s">
        <v>6634</v>
      </c>
      <c r="H311" t="s">
        <v>10267</v>
      </c>
      <c r="J311" t="s">
        <v>33567</v>
      </c>
      <c r="K311" t="s">
        <v>33566</v>
      </c>
      <c r="L311" t="s">
        <v>33587</v>
      </c>
      <c r="N311" t="s">
        <v>35643</v>
      </c>
      <c r="O311" t="s">
        <v>35596</v>
      </c>
      <c r="P311">
        <v>76123</v>
      </c>
      <c r="Q311" t="s">
        <v>35642</v>
      </c>
      <c r="R311" t="s">
        <v>35641</v>
      </c>
      <c r="T311" s="22" t="s">
        <v>37061</v>
      </c>
      <c r="U311" s="22" t="s">
        <v>104</v>
      </c>
    </row>
    <row r="312" spans="1:21" x14ac:dyDescent="0.75">
      <c r="A312" t="s">
        <v>16404</v>
      </c>
      <c r="B312" t="s">
        <v>33572</v>
      </c>
      <c r="C312" t="s">
        <v>33583</v>
      </c>
      <c r="D312" t="s">
        <v>33881</v>
      </c>
      <c r="E312" t="s">
        <v>33880</v>
      </c>
      <c r="F312" t="s">
        <v>34303</v>
      </c>
      <c r="G312" t="s">
        <v>6634</v>
      </c>
      <c r="H312" t="s">
        <v>16405</v>
      </c>
      <c r="J312" t="s">
        <v>33567</v>
      </c>
      <c r="K312" t="s">
        <v>33566</v>
      </c>
      <c r="L312" t="s">
        <v>33609</v>
      </c>
      <c r="N312" t="s">
        <v>35640</v>
      </c>
      <c r="O312" t="s">
        <v>35639</v>
      </c>
      <c r="P312">
        <v>2490854</v>
      </c>
      <c r="Q312" t="s">
        <v>35638</v>
      </c>
      <c r="R312" t="s">
        <v>35637</v>
      </c>
      <c r="T312" s="22" t="s">
        <v>37062</v>
      </c>
      <c r="U312" s="22" t="s">
        <v>104</v>
      </c>
    </row>
    <row r="313" spans="1:21" x14ac:dyDescent="0.75">
      <c r="A313" t="s">
        <v>306</v>
      </c>
      <c r="B313" t="s">
        <v>33572</v>
      </c>
      <c r="C313" t="s">
        <v>33583</v>
      </c>
      <c r="D313" t="s">
        <v>33881</v>
      </c>
      <c r="E313" t="s">
        <v>33880</v>
      </c>
      <c r="F313" t="s">
        <v>34303</v>
      </c>
      <c r="G313" t="s">
        <v>6634</v>
      </c>
      <c r="H313" t="s">
        <v>7034</v>
      </c>
      <c r="J313" t="s">
        <v>33567</v>
      </c>
      <c r="K313" t="s">
        <v>33566</v>
      </c>
      <c r="L313" t="s">
        <v>33575</v>
      </c>
      <c r="N313" t="s">
        <v>35636</v>
      </c>
      <c r="O313" t="s">
        <v>35635</v>
      </c>
      <c r="P313">
        <v>840</v>
      </c>
      <c r="Q313" t="s">
        <v>35634</v>
      </c>
      <c r="R313" t="s">
        <v>35633</v>
      </c>
      <c r="T313" s="22" t="s">
        <v>307</v>
      </c>
      <c r="U313" s="22" t="s">
        <v>104</v>
      </c>
    </row>
    <row r="314" spans="1:21" x14ac:dyDescent="0.75">
      <c r="A314" t="s">
        <v>6633</v>
      </c>
      <c r="B314" t="s">
        <v>33572</v>
      </c>
      <c r="C314" t="s">
        <v>33583</v>
      </c>
      <c r="D314" t="s">
        <v>33881</v>
      </c>
      <c r="E314" t="s">
        <v>33880</v>
      </c>
      <c r="F314" t="s">
        <v>34303</v>
      </c>
      <c r="G314" t="s">
        <v>6634</v>
      </c>
      <c r="H314" t="s">
        <v>6635</v>
      </c>
      <c r="J314" t="s">
        <v>33567</v>
      </c>
      <c r="K314" t="s">
        <v>33566</v>
      </c>
      <c r="L314" t="s">
        <v>33587</v>
      </c>
      <c r="N314" t="s">
        <v>35632</v>
      </c>
      <c r="O314" t="s">
        <v>35596</v>
      </c>
      <c r="P314">
        <v>189722</v>
      </c>
      <c r="Q314" t="s">
        <v>35631</v>
      </c>
      <c r="R314" t="s">
        <v>35630</v>
      </c>
      <c r="T314" s="22" t="s">
        <v>37055</v>
      </c>
      <c r="U314" s="22" t="s">
        <v>104</v>
      </c>
    </row>
    <row r="315" spans="1:21" x14ac:dyDescent="0.75">
      <c r="A315" t="s">
        <v>7024</v>
      </c>
      <c r="B315" t="s">
        <v>33572</v>
      </c>
      <c r="C315" t="s">
        <v>33583</v>
      </c>
      <c r="D315" t="s">
        <v>33881</v>
      </c>
      <c r="E315" t="s">
        <v>33880</v>
      </c>
      <c r="F315" t="s">
        <v>34303</v>
      </c>
      <c r="G315" t="s">
        <v>6634</v>
      </c>
      <c r="H315" t="s">
        <v>7025</v>
      </c>
      <c r="J315" t="s">
        <v>33567</v>
      </c>
      <c r="K315" t="s">
        <v>33566</v>
      </c>
      <c r="L315" t="s">
        <v>33616</v>
      </c>
      <c r="M315" t="s">
        <v>35629</v>
      </c>
      <c r="N315" t="s">
        <v>35628</v>
      </c>
      <c r="O315" t="s">
        <v>35627</v>
      </c>
      <c r="P315">
        <v>425941</v>
      </c>
      <c r="Q315" t="s">
        <v>35626</v>
      </c>
      <c r="R315" t="s">
        <v>35625</v>
      </c>
      <c r="T315" s="22" t="s">
        <v>37056</v>
      </c>
      <c r="U315" s="22" t="s">
        <v>104</v>
      </c>
    </row>
    <row r="316" spans="1:21" x14ac:dyDescent="0.75">
      <c r="A316" t="s">
        <v>7380</v>
      </c>
      <c r="B316" t="s">
        <v>33572</v>
      </c>
      <c r="C316" t="s">
        <v>33583</v>
      </c>
      <c r="D316" t="s">
        <v>33881</v>
      </c>
      <c r="E316" t="s">
        <v>33880</v>
      </c>
      <c r="F316" t="s">
        <v>34303</v>
      </c>
      <c r="G316" t="s">
        <v>6634</v>
      </c>
      <c r="H316" t="s">
        <v>6535</v>
      </c>
      <c r="J316" t="s">
        <v>33567</v>
      </c>
      <c r="K316" t="s">
        <v>33566</v>
      </c>
      <c r="L316" t="s">
        <v>33609</v>
      </c>
      <c r="N316" t="s">
        <v>35624</v>
      </c>
      <c r="O316" t="s">
        <v>35623</v>
      </c>
      <c r="P316">
        <v>28134</v>
      </c>
      <c r="Q316" t="s">
        <v>35622</v>
      </c>
      <c r="R316" t="s">
        <v>35621</v>
      </c>
      <c r="T316" s="22" t="s">
        <v>37053</v>
      </c>
      <c r="U316" s="22" t="s">
        <v>104</v>
      </c>
    </row>
    <row r="317" spans="1:21" x14ac:dyDescent="0.75">
      <c r="A317" t="s">
        <v>9812</v>
      </c>
      <c r="B317" t="s">
        <v>33572</v>
      </c>
      <c r="C317" t="s">
        <v>33583</v>
      </c>
      <c r="D317" t="s">
        <v>33881</v>
      </c>
      <c r="E317" t="s">
        <v>33880</v>
      </c>
      <c r="F317" t="s">
        <v>34303</v>
      </c>
      <c r="G317" t="s">
        <v>6634</v>
      </c>
      <c r="H317" t="s">
        <v>9813</v>
      </c>
      <c r="J317" t="s">
        <v>33567</v>
      </c>
      <c r="K317" t="s">
        <v>33566</v>
      </c>
      <c r="L317" t="s">
        <v>33575</v>
      </c>
      <c r="N317" t="s">
        <v>35620</v>
      </c>
      <c r="O317" t="s">
        <v>35619</v>
      </c>
      <c r="P317">
        <v>407975</v>
      </c>
      <c r="Q317" t="s">
        <v>35618</v>
      </c>
      <c r="R317" t="s">
        <v>35617</v>
      </c>
      <c r="T317" s="22" t="s">
        <v>37060</v>
      </c>
      <c r="U317" s="22" t="s">
        <v>104</v>
      </c>
    </row>
    <row r="318" spans="1:21" x14ac:dyDescent="0.75">
      <c r="A318" t="s">
        <v>8975</v>
      </c>
      <c r="B318" t="s">
        <v>33572</v>
      </c>
      <c r="C318" t="s">
        <v>33583</v>
      </c>
      <c r="D318" t="s">
        <v>33881</v>
      </c>
      <c r="E318" t="s">
        <v>33880</v>
      </c>
      <c r="F318" t="s">
        <v>34303</v>
      </c>
      <c r="G318" t="s">
        <v>6634</v>
      </c>
      <c r="H318" t="s">
        <v>8976</v>
      </c>
      <c r="J318" t="s">
        <v>33567</v>
      </c>
      <c r="K318" t="s">
        <v>33566</v>
      </c>
      <c r="L318" t="s">
        <v>33575</v>
      </c>
      <c r="N318" t="s">
        <v>35616</v>
      </c>
      <c r="O318" t="s">
        <v>35596</v>
      </c>
      <c r="P318">
        <v>633701</v>
      </c>
      <c r="Q318" t="s">
        <v>35615</v>
      </c>
      <c r="R318" t="s">
        <v>35614</v>
      </c>
      <c r="T318" s="22" t="s">
        <v>37058</v>
      </c>
      <c r="U318" s="22" t="s">
        <v>104</v>
      </c>
    </row>
    <row r="319" spans="1:21" x14ac:dyDescent="0.75">
      <c r="A319" t="s">
        <v>10271</v>
      </c>
      <c r="B319" t="s">
        <v>33572</v>
      </c>
      <c r="C319" t="s">
        <v>33583</v>
      </c>
      <c r="D319" t="s">
        <v>33881</v>
      </c>
      <c r="E319" t="s">
        <v>33880</v>
      </c>
      <c r="F319" t="s">
        <v>34303</v>
      </c>
      <c r="G319" t="s">
        <v>6634</v>
      </c>
      <c r="H319" t="s">
        <v>9323</v>
      </c>
      <c r="J319" t="s">
        <v>33567</v>
      </c>
      <c r="K319" t="s">
        <v>33566</v>
      </c>
      <c r="L319" t="s">
        <v>33575</v>
      </c>
      <c r="N319" t="s">
        <v>35613</v>
      </c>
      <c r="O319" t="s">
        <v>35596</v>
      </c>
      <c r="P319">
        <v>228603</v>
      </c>
      <c r="Q319" t="s">
        <v>35612</v>
      </c>
      <c r="R319" t="s">
        <v>35611</v>
      </c>
      <c r="T319" s="22" t="s">
        <v>37054</v>
      </c>
      <c r="U319" s="22" t="s">
        <v>104</v>
      </c>
    </row>
    <row r="320" spans="1:21" x14ac:dyDescent="0.75">
      <c r="A320" t="s">
        <v>35610</v>
      </c>
      <c r="B320" t="s">
        <v>33572</v>
      </c>
      <c r="C320" t="s">
        <v>33583</v>
      </c>
      <c r="D320" t="s">
        <v>33881</v>
      </c>
      <c r="E320" t="s">
        <v>33880</v>
      </c>
      <c r="F320" t="s">
        <v>34303</v>
      </c>
      <c r="G320" t="s">
        <v>6634</v>
      </c>
      <c r="H320" t="s">
        <v>35609</v>
      </c>
      <c r="J320" t="s">
        <v>33577</v>
      </c>
      <c r="K320" t="s">
        <v>33576</v>
      </c>
      <c r="L320" t="s">
        <v>33609</v>
      </c>
      <c r="N320" t="s">
        <v>35608</v>
      </c>
      <c r="O320" t="s">
        <v>35607</v>
      </c>
      <c r="P320">
        <v>712457</v>
      </c>
      <c r="T320" s="22" t="s">
        <v>37463</v>
      </c>
      <c r="U320" s="22" t="s">
        <v>104</v>
      </c>
    </row>
    <row r="321" spans="1:21" x14ac:dyDescent="0.75">
      <c r="A321" t="s">
        <v>6985</v>
      </c>
      <c r="B321" t="s">
        <v>33572</v>
      </c>
      <c r="C321" t="s">
        <v>33583</v>
      </c>
      <c r="D321" t="s">
        <v>33881</v>
      </c>
      <c r="E321" t="s">
        <v>33880</v>
      </c>
      <c r="F321" t="s">
        <v>34303</v>
      </c>
      <c r="G321" t="s">
        <v>6634</v>
      </c>
      <c r="H321" t="s">
        <v>6986</v>
      </c>
      <c r="J321" t="s">
        <v>33617</v>
      </c>
      <c r="K321" t="s">
        <v>33566</v>
      </c>
      <c r="L321" t="s">
        <v>33616</v>
      </c>
      <c r="N321" t="s">
        <v>35606</v>
      </c>
      <c r="O321" t="s">
        <v>35605</v>
      </c>
      <c r="P321">
        <v>652721</v>
      </c>
      <c r="Q321" t="s">
        <v>35604</v>
      </c>
      <c r="R321" t="s">
        <v>35603</v>
      </c>
      <c r="T321" s="22" t="s">
        <v>37464</v>
      </c>
      <c r="U321" s="22" t="s">
        <v>104</v>
      </c>
    </row>
    <row r="322" spans="1:21" x14ac:dyDescent="0.75">
      <c r="A322" t="s">
        <v>20626</v>
      </c>
      <c r="B322" t="s">
        <v>33572</v>
      </c>
      <c r="C322" t="s">
        <v>33583</v>
      </c>
      <c r="D322" t="s">
        <v>33881</v>
      </c>
      <c r="E322" t="s">
        <v>33880</v>
      </c>
      <c r="F322" t="s">
        <v>34303</v>
      </c>
      <c r="G322" t="s">
        <v>6634</v>
      </c>
      <c r="H322" t="s">
        <v>20627</v>
      </c>
      <c r="J322" t="s">
        <v>33617</v>
      </c>
      <c r="K322" t="s">
        <v>33566</v>
      </c>
      <c r="L322" t="s">
        <v>33587</v>
      </c>
      <c r="N322" t="s">
        <v>35602</v>
      </c>
      <c r="O322" t="s">
        <v>35601</v>
      </c>
      <c r="P322">
        <v>712471</v>
      </c>
      <c r="Q322" t="s">
        <v>20625</v>
      </c>
      <c r="R322" t="s">
        <v>35600</v>
      </c>
      <c r="T322" s="22" t="s">
        <v>37465</v>
      </c>
      <c r="U322" s="22" t="s">
        <v>104</v>
      </c>
    </row>
    <row r="323" spans="1:21" x14ac:dyDescent="0.75">
      <c r="A323" t="s">
        <v>35599</v>
      </c>
      <c r="B323" t="s">
        <v>33572</v>
      </c>
      <c r="C323" t="s">
        <v>33583</v>
      </c>
      <c r="D323" t="s">
        <v>33881</v>
      </c>
      <c r="E323" t="s">
        <v>33880</v>
      </c>
      <c r="F323" t="s">
        <v>34303</v>
      </c>
      <c r="G323" t="s">
        <v>6634</v>
      </c>
      <c r="H323" t="s">
        <v>35598</v>
      </c>
      <c r="J323" t="s">
        <v>33577</v>
      </c>
      <c r="K323" t="s">
        <v>33576</v>
      </c>
      <c r="L323" t="s">
        <v>33575</v>
      </c>
      <c r="N323" t="s">
        <v>35597</v>
      </c>
      <c r="O323" t="s">
        <v>35596</v>
      </c>
      <c r="P323">
        <v>838</v>
      </c>
      <c r="T323" s="22" t="s">
        <v>37466</v>
      </c>
      <c r="U323" s="22" t="s">
        <v>104</v>
      </c>
    </row>
    <row r="324" spans="1:21" x14ac:dyDescent="0.75">
      <c r="A324" t="s">
        <v>8560</v>
      </c>
      <c r="B324" t="s">
        <v>33572</v>
      </c>
      <c r="C324" t="s">
        <v>35262</v>
      </c>
      <c r="D324" t="s">
        <v>35261</v>
      </c>
      <c r="E324" t="s">
        <v>35260</v>
      </c>
      <c r="F324" t="s">
        <v>35595</v>
      </c>
      <c r="G324" t="s">
        <v>8561</v>
      </c>
      <c r="H324" t="s">
        <v>8562</v>
      </c>
      <c r="J324" t="s">
        <v>33567</v>
      </c>
      <c r="K324" t="s">
        <v>33566</v>
      </c>
      <c r="L324" t="s">
        <v>34437</v>
      </c>
      <c r="O324" t="s">
        <v>35258</v>
      </c>
      <c r="P324">
        <v>591197</v>
      </c>
      <c r="Q324" t="s">
        <v>8559</v>
      </c>
      <c r="R324" t="s">
        <v>35594</v>
      </c>
      <c r="T324" s="22" t="s">
        <v>37063</v>
      </c>
      <c r="U324" s="22" t="s">
        <v>686</v>
      </c>
    </row>
    <row r="325" spans="1:21" x14ac:dyDescent="0.75">
      <c r="A325" t="s">
        <v>1666</v>
      </c>
      <c r="B325" t="s">
        <v>33572</v>
      </c>
      <c r="C325" t="s">
        <v>34169</v>
      </c>
      <c r="D325" t="s">
        <v>34355</v>
      </c>
      <c r="E325" t="s">
        <v>34409</v>
      </c>
      <c r="F325" t="s">
        <v>35593</v>
      </c>
      <c r="G325" t="s">
        <v>13143</v>
      </c>
      <c r="H325" t="s">
        <v>13144</v>
      </c>
      <c r="J325" t="s">
        <v>33567</v>
      </c>
      <c r="K325" t="s">
        <v>33566</v>
      </c>
      <c r="L325" t="s">
        <v>33651</v>
      </c>
      <c r="O325" t="s">
        <v>34368</v>
      </c>
      <c r="P325">
        <v>857417</v>
      </c>
      <c r="Q325" t="s">
        <v>35592</v>
      </c>
      <c r="R325" t="s">
        <v>35591</v>
      </c>
      <c r="T325" s="22" t="s">
        <v>1667</v>
      </c>
      <c r="U325" s="22" t="s">
        <v>144</v>
      </c>
    </row>
    <row r="326" spans="1:21" x14ac:dyDescent="0.75">
      <c r="A326" t="s">
        <v>9558</v>
      </c>
      <c r="B326" t="s">
        <v>33572</v>
      </c>
      <c r="C326" t="s">
        <v>33606</v>
      </c>
      <c r="D326" t="s">
        <v>33913</v>
      </c>
      <c r="E326" t="s">
        <v>34090</v>
      </c>
      <c r="F326" t="s">
        <v>34089</v>
      </c>
      <c r="G326" t="s">
        <v>9559</v>
      </c>
      <c r="H326" t="s">
        <v>9560</v>
      </c>
      <c r="J326" t="s">
        <v>33567</v>
      </c>
      <c r="K326" t="s">
        <v>33566</v>
      </c>
      <c r="L326" t="s">
        <v>33659</v>
      </c>
      <c r="O326" t="s">
        <v>33614</v>
      </c>
      <c r="P326">
        <v>589010</v>
      </c>
      <c r="Q326" t="s">
        <v>35590</v>
      </c>
      <c r="R326" t="s">
        <v>35589</v>
      </c>
      <c r="T326" s="22" t="s">
        <v>37064</v>
      </c>
      <c r="U326" s="22" t="s">
        <v>1563</v>
      </c>
    </row>
    <row r="327" spans="1:21" x14ac:dyDescent="0.75">
      <c r="A327" t="s">
        <v>8313</v>
      </c>
      <c r="B327" t="s">
        <v>33572</v>
      </c>
      <c r="C327" t="s">
        <v>33606</v>
      </c>
      <c r="D327" t="s">
        <v>33663</v>
      </c>
      <c r="E327" t="s">
        <v>34061</v>
      </c>
      <c r="F327" t="s">
        <v>34060</v>
      </c>
      <c r="G327" t="s">
        <v>8314</v>
      </c>
      <c r="H327" t="s">
        <v>8315</v>
      </c>
      <c r="J327" t="s">
        <v>33567</v>
      </c>
      <c r="K327" t="s">
        <v>33566</v>
      </c>
      <c r="L327" t="s">
        <v>33575</v>
      </c>
      <c r="N327" t="s">
        <v>35588</v>
      </c>
      <c r="O327" t="s">
        <v>33614</v>
      </c>
      <c r="P327">
        <v>43995</v>
      </c>
      <c r="Q327" t="s">
        <v>35587</v>
      </c>
      <c r="R327" t="s">
        <v>35586</v>
      </c>
      <c r="T327" s="22" t="s">
        <v>37065</v>
      </c>
      <c r="U327" s="22" t="s">
        <v>104</v>
      </c>
    </row>
    <row r="328" spans="1:21" x14ac:dyDescent="0.75">
      <c r="A328" t="s">
        <v>35585</v>
      </c>
      <c r="B328" t="s">
        <v>33572</v>
      </c>
      <c r="C328" t="s">
        <v>33606</v>
      </c>
      <c r="D328" t="s">
        <v>33663</v>
      </c>
      <c r="E328" t="s">
        <v>34061</v>
      </c>
      <c r="F328" t="s">
        <v>34060</v>
      </c>
      <c r="G328" t="s">
        <v>8314</v>
      </c>
      <c r="H328" t="s">
        <v>35584</v>
      </c>
      <c r="J328" t="s">
        <v>33577</v>
      </c>
      <c r="K328" t="s">
        <v>33576</v>
      </c>
      <c r="L328" t="s">
        <v>33587</v>
      </c>
      <c r="N328" t="s">
        <v>35583</v>
      </c>
      <c r="O328" t="s">
        <v>35582</v>
      </c>
      <c r="P328">
        <v>712318</v>
      </c>
      <c r="T328" s="22" t="s">
        <v>37467</v>
      </c>
      <c r="U328" s="22" t="s">
        <v>104</v>
      </c>
    </row>
    <row r="329" spans="1:21" x14ac:dyDescent="0.75">
      <c r="A329" t="s">
        <v>6968</v>
      </c>
      <c r="B329" t="s">
        <v>33572</v>
      </c>
      <c r="C329" t="s">
        <v>34529</v>
      </c>
      <c r="D329" t="s">
        <v>34528</v>
      </c>
      <c r="E329" t="s">
        <v>34527</v>
      </c>
      <c r="F329" t="s">
        <v>34526</v>
      </c>
      <c r="G329" t="s">
        <v>6969</v>
      </c>
      <c r="H329" t="s">
        <v>6313</v>
      </c>
      <c r="J329" t="s">
        <v>33567</v>
      </c>
      <c r="K329" t="s">
        <v>33566</v>
      </c>
      <c r="L329" t="s">
        <v>33659</v>
      </c>
      <c r="M329" t="s">
        <v>35581</v>
      </c>
      <c r="N329" t="s">
        <v>35580</v>
      </c>
      <c r="O329" t="s">
        <v>35579</v>
      </c>
      <c r="P329">
        <v>428712</v>
      </c>
      <c r="Q329" t="s">
        <v>35578</v>
      </c>
      <c r="R329" t="s">
        <v>35577</v>
      </c>
      <c r="T329" s="22" t="s">
        <v>37066</v>
      </c>
      <c r="U329" s="22" t="s">
        <v>1563</v>
      </c>
    </row>
    <row r="330" spans="1:21" x14ac:dyDescent="0.75">
      <c r="A330" t="s">
        <v>7494</v>
      </c>
      <c r="B330" t="s">
        <v>33572</v>
      </c>
      <c r="C330" t="s">
        <v>33571</v>
      </c>
      <c r="D330" t="s">
        <v>33654</v>
      </c>
      <c r="E330" t="s">
        <v>34175</v>
      </c>
      <c r="F330" t="s">
        <v>34174</v>
      </c>
      <c r="G330" t="s">
        <v>6903</v>
      </c>
      <c r="H330" t="s">
        <v>7495</v>
      </c>
      <c r="J330" t="s">
        <v>33567</v>
      </c>
      <c r="K330" t="s">
        <v>33566</v>
      </c>
      <c r="L330" t="s">
        <v>33575</v>
      </c>
      <c r="N330" t="s">
        <v>35576</v>
      </c>
      <c r="O330" t="s">
        <v>34181</v>
      </c>
      <c r="P330">
        <v>502</v>
      </c>
      <c r="Q330" t="s">
        <v>35575</v>
      </c>
      <c r="R330" t="s">
        <v>35574</v>
      </c>
      <c r="T330" s="22" t="s">
        <v>37069</v>
      </c>
      <c r="U330" s="22" t="s">
        <v>104</v>
      </c>
    </row>
    <row r="331" spans="1:21" x14ac:dyDescent="0.75">
      <c r="A331" t="s">
        <v>7758</v>
      </c>
      <c r="B331" t="s">
        <v>33572</v>
      </c>
      <c r="C331" t="s">
        <v>33571</v>
      </c>
      <c r="D331" t="s">
        <v>33654</v>
      </c>
      <c r="E331" t="s">
        <v>34175</v>
      </c>
      <c r="F331" t="s">
        <v>34174</v>
      </c>
      <c r="G331" t="s">
        <v>6903</v>
      </c>
      <c r="H331" t="s">
        <v>7759</v>
      </c>
      <c r="J331" t="s">
        <v>33567</v>
      </c>
      <c r="K331" t="s">
        <v>33566</v>
      </c>
      <c r="L331" t="s">
        <v>35573</v>
      </c>
      <c r="N331" t="s">
        <v>35572</v>
      </c>
      <c r="O331" t="s">
        <v>35571</v>
      </c>
      <c r="P331">
        <v>504</v>
      </c>
      <c r="Q331" t="s">
        <v>35570</v>
      </c>
      <c r="R331" t="s">
        <v>35569</v>
      </c>
      <c r="T331" s="22" t="s">
        <v>37067</v>
      </c>
      <c r="U331" s="22" t="s">
        <v>104</v>
      </c>
    </row>
    <row r="332" spans="1:21" x14ac:dyDescent="0.75">
      <c r="A332" t="s">
        <v>10576</v>
      </c>
      <c r="B332" t="s">
        <v>33572</v>
      </c>
      <c r="C332" t="s">
        <v>33571</v>
      </c>
      <c r="D332" t="s">
        <v>33654</v>
      </c>
      <c r="E332" t="s">
        <v>34175</v>
      </c>
      <c r="F332" t="s">
        <v>34174</v>
      </c>
      <c r="G332" t="s">
        <v>6903</v>
      </c>
      <c r="H332" t="s">
        <v>10577</v>
      </c>
      <c r="J332" t="s">
        <v>33567</v>
      </c>
      <c r="K332" t="s">
        <v>33566</v>
      </c>
      <c r="L332" t="s">
        <v>33575</v>
      </c>
      <c r="P332">
        <v>0</v>
      </c>
      <c r="Q332" t="s">
        <v>35568</v>
      </c>
      <c r="R332" t="s">
        <v>35567</v>
      </c>
      <c r="T332" s="22" t="s">
        <v>37068</v>
      </c>
      <c r="U332" s="22" t="s">
        <v>104</v>
      </c>
    </row>
    <row r="333" spans="1:21" x14ac:dyDescent="0.75">
      <c r="A333" t="s">
        <v>6902</v>
      </c>
      <c r="B333" t="s">
        <v>33572</v>
      </c>
      <c r="C333" t="s">
        <v>33571</v>
      </c>
      <c r="D333" t="s">
        <v>33654</v>
      </c>
      <c r="E333" t="s">
        <v>34175</v>
      </c>
      <c r="F333" t="s">
        <v>34174</v>
      </c>
      <c r="G333" t="s">
        <v>6903</v>
      </c>
      <c r="H333" t="s">
        <v>6535</v>
      </c>
      <c r="J333" t="s">
        <v>33567</v>
      </c>
      <c r="K333" t="s">
        <v>33566</v>
      </c>
      <c r="L333" t="s">
        <v>33616</v>
      </c>
      <c r="N333" t="s">
        <v>35566</v>
      </c>
      <c r="O333" t="s">
        <v>35565</v>
      </c>
      <c r="P333">
        <v>505</v>
      </c>
      <c r="Q333" t="s">
        <v>35564</v>
      </c>
      <c r="R333" t="s">
        <v>35563</v>
      </c>
      <c r="T333" s="22" t="s">
        <v>37070</v>
      </c>
      <c r="U333" s="22" t="s">
        <v>104</v>
      </c>
    </row>
    <row r="334" spans="1:21" x14ac:dyDescent="0.75">
      <c r="A334" t="s">
        <v>35562</v>
      </c>
      <c r="B334" t="s">
        <v>33572</v>
      </c>
      <c r="C334" t="s">
        <v>33571</v>
      </c>
      <c r="D334" t="s">
        <v>33654</v>
      </c>
      <c r="E334" t="s">
        <v>34175</v>
      </c>
      <c r="F334" t="s">
        <v>34174</v>
      </c>
      <c r="G334" t="s">
        <v>6903</v>
      </c>
      <c r="H334" t="s">
        <v>35561</v>
      </c>
      <c r="J334" t="s">
        <v>33577</v>
      </c>
      <c r="K334" t="s">
        <v>33576</v>
      </c>
      <c r="L334" t="s">
        <v>33575</v>
      </c>
      <c r="N334" t="s">
        <v>35560</v>
      </c>
      <c r="O334" t="s">
        <v>35559</v>
      </c>
      <c r="P334">
        <v>712319</v>
      </c>
      <c r="T334" s="22" t="s">
        <v>37468</v>
      </c>
      <c r="U334" s="22" t="s">
        <v>104</v>
      </c>
    </row>
    <row r="335" spans="1:21" x14ac:dyDescent="0.75">
      <c r="A335" t="s">
        <v>35558</v>
      </c>
      <c r="B335" t="s">
        <v>33572</v>
      </c>
      <c r="C335" t="s">
        <v>33571</v>
      </c>
      <c r="D335" t="s">
        <v>33654</v>
      </c>
      <c r="E335" t="s">
        <v>34175</v>
      </c>
      <c r="F335" t="s">
        <v>34174</v>
      </c>
      <c r="G335" t="s">
        <v>6903</v>
      </c>
      <c r="H335" t="s">
        <v>35557</v>
      </c>
      <c r="J335" t="s">
        <v>33577</v>
      </c>
      <c r="K335" t="s">
        <v>33576</v>
      </c>
      <c r="L335" t="s">
        <v>33575</v>
      </c>
      <c r="N335" t="s">
        <v>35556</v>
      </c>
      <c r="O335" t="s">
        <v>35555</v>
      </c>
      <c r="P335">
        <v>712320</v>
      </c>
      <c r="T335" s="22" t="s">
        <v>37469</v>
      </c>
      <c r="U335" s="22" t="s">
        <v>104</v>
      </c>
    </row>
    <row r="336" spans="1:21" x14ac:dyDescent="0.75">
      <c r="A336" t="s">
        <v>35554</v>
      </c>
      <c r="B336" t="s">
        <v>33572</v>
      </c>
      <c r="C336" t="s">
        <v>33571</v>
      </c>
      <c r="D336" t="s">
        <v>33654</v>
      </c>
      <c r="E336" t="s">
        <v>34175</v>
      </c>
      <c r="F336" t="s">
        <v>34174</v>
      </c>
      <c r="G336" t="s">
        <v>6903</v>
      </c>
      <c r="H336" t="s">
        <v>35553</v>
      </c>
      <c r="J336" t="s">
        <v>33577</v>
      </c>
      <c r="K336" t="s">
        <v>33576</v>
      </c>
      <c r="L336" t="s">
        <v>33609</v>
      </c>
      <c r="N336" t="s">
        <v>35552</v>
      </c>
      <c r="O336" t="s">
        <v>34181</v>
      </c>
      <c r="P336">
        <v>32257</v>
      </c>
      <c r="T336" s="22" t="s">
        <v>37470</v>
      </c>
      <c r="U336" s="22" t="s">
        <v>104</v>
      </c>
    </row>
    <row r="337" spans="1:21" x14ac:dyDescent="0.75">
      <c r="A337" t="s">
        <v>7805</v>
      </c>
      <c r="B337" t="s">
        <v>33572</v>
      </c>
      <c r="C337" t="s">
        <v>33571</v>
      </c>
      <c r="D337" t="s">
        <v>33570</v>
      </c>
      <c r="E337" t="s">
        <v>33569</v>
      </c>
      <c r="F337" t="s">
        <v>35544</v>
      </c>
      <c r="G337" t="s">
        <v>7806</v>
      </c>
      <c r="H337" t="s">
        <v>7807</v>
      </c>
      <c r="J337" t="s">
        <v>33567</v>
      </c>
      <c r="K337" t="s">
        <v>33566</v>
      </c>
      <c r="L337" t="s">
        <v>35155</v>
      </c>
      <c r="O337" t="s">
        <v>34181</v>
      </c>
      <c r="P337">
        <v>548</v>
      </c>
      <c r="Q337" t="s">
        <v>35551</v>
      </c>
      <c r="R337" t="s">
        <v>35550</v>
      </c>
      <c r="T337" s="22" t="s">
        <v>37071</v>
      </c>
      <c r="U337" s="22" t="s">
        <v>36807</v>
      </c>
    </row>
    <row r="338" spans="1:21" x14ac:dyDescent="0.75">
      <c r="A338" t="s">
        <v>8722</v>
      </c>
      <c r="B338" t="s">
        <v>33572</v>
      </c>
      <c r="C338" t="s">
        <v>33571</v>
      </c>
      <c r="D338" t="s">
        <v>33570</v>
      </c>
      <c r="E338" t="s">
        <v>33569</v>
      </c>
      <c r="F338" t="s">
        <v>35544</v>
      </c>
      <c r="G338" t="s">
        <v>7806</v>
      </c>
      <c r="H338" t="s">
        <v>6094</v>
      </c>
      <c r="J338" t="s">
        <v>33567</v>
      </c>
      <c r="K338" t="s">
        <v>33566</v>
      </c>
      <c r="L338" t="s">
        <v>35549</v>
      </c>
      <c r="N338" t="s">
        <v>35548</v>
      </c>
      <c r="O338" t="s">
        <v>35547</v>
      </c>
      <c r="P338">
        <v>573</v>
      </c>
      <c r="Q338" t="s">
        <v>35546</v>
      </c>
      <c r="R338" t="s">
        <v>35545</v>
      </c>
      <c r="T338" s="22" t="s">
        <v>37072</v>
      </c>
      <c r="U338" s="22" t="s">
        <v>1563</v>
      </c>
    </row>
    <row r="339" spans="1:21" x14ac:dyDescent="0.75">
      <c r="A339" t="s">
        <v>10472</v>
      </c>
      <c r="B339" t="s">
        <v>33572</v>
      </c>
      <c r="C339" t="s">
        <v>33571</v>
      </c>
      <c r="D339" t="s">
        <v>33570</v>
      </c>
      <c r="E339" t="s">
        <v>33569</v>
      </c>
      <c r="F339" t="s">
        <v>35544</v>
      </c>
      <c r="G339" t="s">
        <v>10473</v>
      </c>
      <c r="H339" t="s">
        <v>10474</v>
      </c>
      <c r="J339" t="s">
        <v>33567</v>
      </c>
      <c r="K339" t="s">
        <v>33566</v>
      </c>
      <c r="L339" t="s">
        <v>33659</v>
      </c>
      <c r="M339" t="s">
        <v>35543</v>
      </c>
      <c r="N339" t="s">
        <v>35542</v>
      </c>
      <c r="O339" t="s">
        <v>35541</v>
      </c>
      <c r="P339">
        <v>51288</v>
      </c>
      <c r="Q339" t="s">
        <v>35540</v>
      </c>
      <c r="R339" t="s">
        <v>35539</v>
      </c>
      <c r="T339" s="22" t="s">
        <v>37073</v>
      </c>
      <c r="U339" s="22" t="s">
        <v>1563</v>
      </c>
    </row>
    <row r="340" spans="1:21" x14ac:dyDescent="0.75">
      <c r="A340" t="s">
        <v>8749</v>
      </c>
      <c r="B340" t="s">
        <v>33572</v>
      </c>
      <c r="C340" t="s">
        <v>34169</v>
      </c>
      <c r="D340" t="s">
        <v>34355</v>
      </c>
      <c r="E340" t="s">
        <v>34409</v>
      </c>
      <c r="F340" t="s">
        <v>34483</v>
      </c>
      <c r="G340" t="s">
        <v>8750</v>
      </c>
      <c r="H340" t="s">
        <v>8751</v>
      </c>
      <c r="J340" t="s">
        <v>34030</v>
      </c>
      <c r="K340" t="s">
        <v>33576</v>
      </c>
      <c r="L340" t="s">
        <v>35297</v>
      </c>
      <c r="N340" t="s">
        <v>35538</v>
      </c>
      <c r="O340" t="s">
        <v>35537</v>
      </c>
      <c r="P340">
        <v>592377</v>
      </c>
      <c r="Q340" t="s">
        <v>8748</v>
      </c>
      <c r="R340" t="s">
        <v>35463</v>
      </c>
      <c r="T340" s="22" t="s">
        <v>37075</v>
      </c>
      <c r="U340" s="22" t="s">
        <v>144</v>
      </c>
    </row>
    <row r="341" spans="1:21" x14ac:dyDescent="0.75">
      <c r="A341" t="s">
        <v>11473</v>
      </c>
      <c r="B341" t="s">
        <v>33572</v>
      </c>
      <c r="C341" t="s">
        <v>34169</v>
      </c>
      <c r="D341" t="s">
        <v>34355</v>
      </c>
      <c r="E341" t="s">
        <v>34409</v>
      </c>
      <c r="F341" t="s">
        <v>34483</v>
      </c>
      <c r="G341" t="s">
        <v>8750</v>
      </c>
      <c r="H341" t="s">
        <v>11474</v>
      </c>
      <c r="J341" t="s">
        <v>33567</v>
      </c>
      <c r="K341" t="s">
        <v>33566</v>
      </c>
      <c r="L341" t="s">
        <v>33651</v>
      </c>
      <c r="O341" t="s">
        <v>34368</v>
      </c>
      <c r="P341">
        <v>71999</v>
      </c>
      <c r="Q341" t="s">
        <v>35536</v>
      </c>
      <c r="R341" t="s">
        <v>35535</v>
      </c>
      <c r="T341" s="22" t="s">
        <v>37076</v>
      </c>
      <c r="U341" s="22" t="s">
        <v>144</v>
      </c>
    </row>
    <row r="342" spans="1:21" x14ac:dyDescent="0.75">
      <c r="A342" t="s">
        <v>12814</v>
      </c>
      <c r="B342" t="s">
        <v>33572</v>
      </c>
      <c r="C342" t="s">
        <v>34169</v>
      </c>
      <c r="D342" t="s">
        <v>34355</v>
      </c>
      <c r="E342" t="s">
        <v>34409</v>
      </c>
      <c r="F342" t="s">
        <v>34483</v>
      </c>
      <c r="G342" t="s">
        <v>8750</v>
      </c>
      <c r="H342" t="s">
        <v>12815</v>
      </c>
      <c r="J342" t="s">
        <v>33567</v>
      </c>
      <c r="K342" t="s">
        <v>33566</v>
      </c>
      <c r="L342" t="s">
        <v>33651</v>
      </c>
      <c r="O342" t="s">
        <v>34368</v>
      </c>
      <c r="P342">
        <v>72000</v>
      </c>
      <c r="Q342" t="s">
        <v>35534</v>
      </c>
      <c r="R342" t="s">
        <v>35533</v>
      </c>
      <c r="T342" s="22" t="s">
        <v>37074</v>
      </c>
      <c r="U342" s="22" t="s">
        <v>144</v>
      </c>
    </row>
    <row r="343" spans="1:21" x14ac:dyDescent="0.75">
      <c r="A343" t="s">
        <v>145</v>
      </c>
      <c r="B343" t="s">
        <v>33572</v>
      </c>
      <c r="C343" t="s">
        <v>34169</v>
      </c>
      <c r="D343" t="s">
        <v>34355</v>
      </c>
      <c r="E343" t="s">
        <v>34409</v>
      </c>
      <c r="F343" t="s">
        <v>35532</v>
      </c>
      <c r="G343" t="s">
        <v>6429</v>
      </c>
      <c r="H343" t="s">
        <v>6430</v>
      </c>
      <c r="J343" t="s">
        <v>33567</v>
      </c>
      <c r="K343" t="s">
        <v>33566</v>
      </c>
      <c r="L343" t="s">
        <v>34547</v>
      </c>
      <c r="M343" t="s">
        <v>35531</v>
      </c>
      <c r="N343" t="s">
        <v>35530</v>
      </c>
      <c r="O343" t="s">
        <v>35529</v>
      </c>
      <c r="P343">
        <v>1276</v>
      </c>
      <c r="Q343" t="s">
        <v>35528</v>
      </c>
      <c r="R343" t="s">
        <v>35527</v>
      </c>
      <c r="T343" s="22" t="s">
        <v>146</v>
      </c>
      <c r="U343" s="22" t="s">
        <v>144</v>
      </c>
    </row>
    <row r="344" spans="1:21" x14ac:dyDescent="0.75">
      <c r="A344" t="s">
        <v>16092</v>
      </c>
      <c r="B344" t="s">
        <v>33572</v>
      </c>
      <c r="C344" t="s">
        <v>33606</v>
      </c>
      <c r="D344" t="s">
        <v>33663</v>
      </c>
      <c r="E344" t="s">
        <v>34061</v>
      </c>
      <c r="F344" t="s">
        <v>34060</v>
      </c>
      <c r="G344" t="s">
        <v>7403</v>
      </c>
      <c r="H344" t="s">
        <v>6119</v>
      </c>
      <c r="J344" t="s">
        <v>34030</v>
      </c>
      <c r="K344" t="s">
        <v>33566</v>
      </c>
      <c r="L344" t="s">
        <v>33609</v>
      </c>
      <c r="P344">
        <v>0</v>
      </c>
      <c r="Q344" t="s">
        <v>35526</v>
      </c>
      <c r="R344" t="s">
        <v>35525</v>
      </c>
      <c r="T344" s="22" t="s">
        <v>37082</v>
      </c>
      <c r="U344" s="22" t="s">
        <v>104</v>
      </c>
    </row>
    <row r="345" spans="1:21" x14ac:dyDescent="0.75">
      <c r="A345" t="s">
        <v>8427</v>
      </c>
      <c r="B345" t="s">
        <v>33572</v>
      </c>
      <c r="C345" t="s">
        <v>33606</v>
      </c>
      <c r="D345" t="s">
        <v>33663</v>
      </c>
      <c r="E345" t="s">
        <v>34061</v>
      </c>
      <c r="F345" t="s">
        <v>34060</v>
      </c>
      <c r="G345" t="s">
        <v>7403</v>
      </c>
      <c r="H345" t="s">
        <v>8428</v>
      </c>
      <c r="J345" t="s">
        <v>33567</v>
      </c>
      <c r="K345" t="s">
        <v>33566</v>
      </c>
      <c r="L345" t="s">
        <v>33575</v>
      </c>
      <c r="M345" t="s">
        <v>35524</v>
      </c>
      <c r="N345" t="s">
        <v>35523</v>
      </c>
      <c r="O345" t="s">
        <v>35522</v>
      </c>
      <c r="P345">
        <v>979627</v>
      </c>
      <c r="Q345" t="s">
        <v>35521</v>
      </c>
      <c r="R345" t="s">
        <v>35520</v>
      </c>
      <c r="T345" s="22" t="s">
        <v>37077</v>
      </c>
      <c r="U345" s="22" t="s">
        <v>104</v>
      </c>
    </row>
    <row r="346" spans="1:21" x14ac:dyDescent="0.75">
      <c r="A346" t="s">
        <v>7402</v>
      </c>
      <c r="B346" t="s">
        <v>33572</v>
      </c>
      <c r="C346" t="s">
        <v>33606</v>
      </c>
      <c r="D346" t="s">
        <v>33663</v>
      </c>
      <c r="E346" t="s">
        <v>34061</v>
      </c>
      <c r="F346" t="s">
        <v>34060</v>
      </c>
      <c r="G346" t="s">
        <v>7403</v>
      </c>
      <c r="H346" t="s">
        <v>7404</v>
      </c>
      <c r="J346" t="s">
        <v>33567</v>
      </c>
      <c r="K346" t="s">
        <v>33566</v>
      </c>
      <c r="L346" t="s">
        <v>33575</v>
      </c>
      <c r="M346" t="s">
        <v>35519</v>
      </c>
      <c r="N346" t="s">
        <v>35518</v>
      </c>
      <c r="O346" t="s">
        <v>35517</v>
      </c>
      <c r="P346">
        <v>467210</v>
      </c>
      <c r="Q346" t="s">
        <v>35516</v>
      </c>
      <c r="R346" t="s">
        <v>35515</v>
      </c>
      <c r="T346" s="22" t="s">
        <v>37079</v>
      </c>
      <c r="U346" s="22" t="s">
        <v>104</v>
      </c>
    </row>
    <row r="347" spans="1:21" x14ac:dyDescent="0.75">
      <c r="A347" t="s">
        <v>8850</v>
      </c>
      <c r="B347" t="s">
        <v>33572</v>
      </c>
      <c r="C347" t="s">
        <v>33606</v>
      </c>
      <c r="D347" t="s">
        <v>33663</v>
      </c>
      <c r="E347" t="s">
        <v>34061</v>
      </c>
      <c r="F347" t="s">
        <v>34060</v>
      </c>
      <c r="G347" t="s">
        <v>7403</v>
      </c>
      <c r="H347" t="s">
        <v>8851</v>
      </c>
      <c r="J347" t="s">
        <v>33617</v>
      </c>
      <c r="K347" t="s">
        <v>33566</v>
      </c>
      <c r="L347" t="s">
        <v>33575</v>
      </c>
      <c r="N347" t="s">
        <v>35514</v>
      </c>
      <c r="O347" t="s">
        <v>35513</v>
      </c>
      <c r="P347">
        <v>1164882</v>
      </c>
      <c r="Q347" t="s">
        <v>35512</v>
      </c>
      <c r="R347" t="s">
        <v>35511</v>
      </c>
      <c r="T347" s="22" t="s">
        <v>37471</v>
      </c>
      <c r="U347" s="22" t="s">
        <v>104</v>
      </c>
    </row>
    <row r="348" spans="1:21" x14ac:dyDescent="0.75">
      <c r="A348" t="s">
        <v>35510</v>
      </c>
      <c r="B348" t="s">
        <v>33572</v>
      </c>
      <c r="C348" t="s">
        <v>33606</v>
      </c>
      <c r="D348" t="s">
        <v>33663</v>
      </c>
      <c r="E348" t="s">
        <v>34061</v>
      </c>
      <c r="F348" t="s">
        <v>34060</v>
      </c>
      <c r="G348" t="s">
        <v>7403</v>
      </c>
      <c r="H348" t="s">
        <v>35509</v>
      </c>
      <c r="J348" t="s">
        <v>33577</v>
      </c>
      <c r="K348" t="s">
        <v>33576</v>
      </c>
      <c r="L348" t="s">
        <v>33659</v>
      </c>
      <c r="N348" t="s">
        <v>35508</v>
      </c>
      <c r="O348" t="s">
        <v>35507</v>
      </c>
      <c r="P348">
        <v>1164882</v>
      </c>
      <c r="T348" s="22" t="s">
        <v>37472</v>
      </c>
      <c r="U348" s="22" t="s">
        <v>1563</v>
      </c>
    </row>
    <row r="349" spans="1:21" x14ac:dyDescent="0.75">
      <c r="A349" t="s">
        <v>8777</v>
      </c>
      <c r="B349" t="s">
        <v>33572</v>
      </c>
      <c r="C349" t="s">
        <v>33606</v>
      </c>
      <c r="D349" t="s">
        <v>33663</v>
      </c>
      <c r="E349" t="s">
        <v>34061</v>
      </c>
      <c r="F349" t="s">
        <v>34060</v>
      </c>
      <c r="G349" t="s">
        <v>7403</v>
      </c>
      <c r="H349" t="s">
        <v>8778</v>
      </c>
      <c r="J349" t="s">
        <v>33617</v>
      </c>
      <c r="K349" t="s">
        <v>33566</v>
      </c>
      <c r="L349" t="s">
        <v>33575</v>
      </c>
      <c r="P349">
        <v>0</v>
      </c>
      <c r="Q349" t="s">
        <v>35506</v>
      </c>
      <c r="R349" t="s">
        <v>35505</v>
      </c>
      <c r="T349" s="22" t="s">
        <v>37473</v>
      </c>
      <c r="U349" s="22" t="s">
        <v>104</v>
      </c>
    </row>
    <row r="350" spans="1:21" x14ac:dyDescent="0.75">
      <c r="A350" t="s">
        <v>7665</v>
      </c>
      <c r="B350" t="s">
        <v>33572</v>
      </c>
      <c r="C350" t="s">
        <v>33606</v>
      </c>
      <c r="D350" t="s">
        <v>33663</v>
      </c>
      <c r="E350" t="s">
        <v>34061</v>
      </c>
      <c r="F350" t="s">
        <v>34060</v>
      </c>
      <c r="G350" t="s">
        <v>7403</v>
      </c>
      <c r="H350" t="s">
        <v>7666</v>
      </c>
      <c r="J350" t="s">
        <v>33617</v>
      </c>
      <c r="K350" t="s">
        <v>33566</v>
      </c>
      <c r="L350" t="s">
        <v>33609</v>
      </c>
      <c r="P350">
        <v>0</v>
      </c>
      <c r="Q350" t="s">
        <v>35504</v>
      </c>
      <c r="R350" t="s">
        <v>35503</v>
      </c>
      <c r="T350" s="22" t="s">
        <v>37474</v>
      </c>
      <c r="U350" s="22" t="s">
        <v>104</v>
      </c>
    </row>
    <row r="351" spans="1:21" x14ac:dyDescent="0.75">
      <c r="A351" t="s">
        <v>35502</v>
      </c>
      <c r="B351" t="s">
        <v>33572</v>
      </c>
      <c r="C351" t="s">
        <v>33606</v>
      </c>
      <c r="D351" t="s">
        <v>33663</v>
      </c>
      <c r="E351" t="s">
        <v>34061</v>
      </c>
      <c r="F351" t="s">
        <v>34060</v>
      </c>
      <c r="G351" t="s">
        <v>7403</v>
      </c>
      <c r="H351" t="s">
        <v>35501</v>
      </c>
      <c r="J351" t="s">
        <v>33577</v>
      </c>
      <c r="K351" t="s">
        <v>33576</v>
      </c>
      <c r="L351" t="s">
        <v>33587</v>
      </c>
      <c r="N351" t="s">
        <v>35500</v>
      </c>
      <c r="O351" t="s">
        <v>35499</v>
      </c>
      <c r="P351">
        <v>1164882</v>
      </c>
      <c r="T351" s="22" t="s">
        <v>37475</v>
      </c>
      <c r="U351" s="22" t="s">
        <v>104</v>
      </c>
    </row>
    <row r="352" spans="1:21" x14ac:dyDescent="0.75">
      <c r="A352" t="s">
        <v>15186</v>
      </c>
      <c r="B352" t="s">
        <v>33572</v>
      </c>
      <c r="C352" t="s">
        <v>33606</v>
      </c>
      <c r="D352" t="s">
        <v>33663</v>
      </c>
      <c r="E352" t="s">
        <v>34061</v>
      </c>
      <c r="F352" t="s">
        <v>34060</v>
      </c>
      <c r="G352" t="s">
        <v>7403</v>
      </c>
      <c r="H352" t="s">
        <v>15187</v>
      </c>
      <c r="J352" t="s">
        <v>33567</v>
      </c>
      <c r="K352" t="s">
        <v>33566</v>
      </c>
      <c r="L352" t="s">
        <v>33575</v>
      </c>
      <c r="N352" t="s">
        <v>35498</v>
      </c>
      <c r="O352" t="s">
        <v>35497</v>
      </c>
      <c r="P352">
        <v>617123</v>
      </c>
      <c r="Q352" t="s">
        <v>35496</v>
      </c>
      <c r="R352" t="s">
        <v>35495</v>
      </c>
      <c r="T352" s="22" t="s">
        <v>37078</v>
      </c>
      <c r="U352" s="22" t="s">
        <v>104</v>
      </c>
    </row>
    <row r="353" spans="1:21" x14ac:dyDescent="0.75">
      <c r="A353" t="s">
        <v>17946</v>
      </c>
      <c r="B353" t="s">
        <v>33572</v>
      </c>
      <c r="C353" t="s">
        <v>33606</v>
      </c>
      <c r="D353" t="s">
        <v>33663</v>
      </c>
      <c r="E353" t="s">
        <v>34061</v>
      </c>
      <c r="F353" t="s">
        <v>34060</v>
      </c>
      <c r="G353" t="s">
        <v>17947</v>
      </c>
      <c r="H353" t="s">
        <v>6815</v>
      </c>
      <c r="J353" t="s">
        <v>34030</v>
      </c>
      <c r="K353" t="s">
        <v>33576</v>
      </c>
      <c r="L353" t="s">
        <v>34932</v>
      </c>
      <c r="N353" t="s">
        <v>35494</v>
      </c>
      <c r="O353" t="s">
        <v>33614</v>
      </c>
      <c r="P353">
        <v>186803</v>
      </c>
      <c r="Q353" t="s">
        <v>35493</v>
      </c>
      <c r="R353" t="s">
        <v>35492</v>
      </c>
      <c r="T353" s="22" t="s">
        <v>37084</v>
      </c>
      <c r="U353" s="22" t="s">
        <v>1308</v>
      </c>
    </row>
    <row r="354" spans="1:21" x14ac:dyDescent="0.75">
      <c r="A354" t="s">
        <v>35491</v>
      </c>
      <c r="B354" t="s">
        <v>33572</v>
      </c>
      <c r="C354" t="s">
        <v>33606</v>
      </c>
      <c r="D354" t="s">
        <v>33663</v>
      </c>
      <c r="E354" t="s">
        <v>34061</v>
      </c>
      <c r="F354" t="s">
        <v>34060</v>
      </c>
      <c r="G354" t="s">
        <v>35490</v>
      </c>
      <c r="H354" t="s">
        <v>35489</v>
      </c>
      <c r="J354" t="s">
        <v>33577</v>
      </c>
      <c r="K354" t="s">
        <v>33576</v>
      </c>
      <c r="L354" t="s">
        <v>33659</v>
      </c>
      <c r="N354" t="s">
        <v>35488</v>
      </c>
      <c r="O354" t="s">
        <v>35487</v>
      </c>
      <c r="P354">
        <v>186803</v>
      </c>
      <c r="T354" s="22" t="s">
        <v>37476</v>
      </c>
      <c r="U354" s="22" t="s">
        <v>1563</v>
      </c>
    </row>
    <row r="355" spans="1:21" x14ac:dyDescent="0.75">
      <c r="A355" t="s">
        <v>35486</v>
      </c>
      <c r="B355" t="s">
        <v>33572</v>
      </c>
      <c r="C355" t="s">
        <v>33606</v>
      </c>
      <c r="D355" t="s">
        <v>33663</v>
      </c>
      <c r="E355" t="s">
        <v>34061</v>
      </c>
      <c r="F355" t="s">
        <v>34060</v>
      </c>
      <c r="G355" t="s">
        <v>14804</v>
      </c>
      <c r="H355" t="s">
        <v>35485</v>
      </c>
      <c r="J355" t="s">
        <v>33577</v>
      </c>
      <c r="K355" t="s">
        <v>33576</v>
      </c>
      <c r="L355" t="s">
        <v>33609</v>
      </c>
      <c r="N355" t="s">
        <v>35484</v>
      </c>
      <c r="O355" t="s">
        <v>33614</v>
      </c>
      <c r="P355">
        <v>186803</v>
      </c>
      <c r="T355" s="22" t="s">
        <v>37477</v>
      </c>
      <c r="U355" s="22" t="s">
        <v>104</v>
      </c>
    </row>
    <row r="356" spans="1:21" x14ac:dyDescent="0.75">
      <c r="A356" t="s">
        <v>14803</v>
      </c>
      <c r="B356" t="s">
        <v>33572</v>
      </c>
      <c r="C356" t="s">
        <v>33606</v>
      </c>
      <c r="D356" t="s">
        <v>33663</v>
      </c>
      <c r="E356" t="s">
        <v>34061</v>
      </c>
      <c r="F356" t="s">
        <v>34060</v>
      </c>
      <c r="G356" t="s">
        <v>14804</v>
      </c>
      <c r="H356" t="s">
        <v>14805</v>
      </c>
      <c r="J356" t="s">
        <v>33617</v>
      </c>
      <c r="K356" t="s">
        <v>33566</v>
      </c>
      <c r="L356" t="s">
        <v>33575</v>
      </c>
      <c r="N356" t="s">
        <v>35483</v>
      </c>
      <c r="O356" t="s">
        <v>35482</v>
      </c>
      <c r="P356">
        <v>186803</v>
      </c>
      <c r="Q356" t="s">
        <v>35481</v>
      </c>
      <c r="R356" t="s">
        <v>35480</v>
      </c>
      <c r="T356" s="22" t="s">
        <v>37478</v>
      </c>
      <c r="U356" s="22" t="s">
        <v>104</v>
      </c>
    </row>
    <row r="357" spans="1:21" x14ac:dyDescent="0.75">
      <c r="A357" t="s">
        <v>35479</v>
      </c>
      <c r="B357" t="s">
        <v>33572</v>
      </c>
      <c r="C357" t="s">
        <v>33606</v>
      </c>
      <c r="D357" t="s">
        <v>33663</v>
      </c>
      <c r="E357" t="s">
        <v>34061</v>
      </c>
      <c r="F357" t="s">
        <v>34060</v>
      </c>
      <c r="G357" t="s">
        <v>35478</v>
      </c>
      <c r="H357" t="s">
        <v>35477</v>
      </c>
      <c r="J357" t="s">
        <v>33577</v>
      </c>
      <c r="K357" t="s">
        <v>33576</v>
      </c>
      <c r="L357" t="s">
        <v>33575</v>
      </c>
      <c r="N357" t="s">
        <v>35476</v>
      </c>
      <c r="O357" t="s">
        <v>35475</v>
      </c>
      <c r="P357">
        <v>186803</v>
      </c>
      <c r="T357" s="22" t="s">
        <v>37479</v>
      </c>
      <c r="U357" s="22" t="s">
        <v>104</v>
      </c>
    </row>
    <row r="358" spans="1:21" x14ac:dyDescent="0.75">
      <c r="A358" t="s">
        <v>35474</v>
      </c>
      <c r="B358" t="s">
        <v>33572</v>
      </c>
      <c r="C358" t="s">
        <v>33606</v>
      </c>
      <c r="D358" t="s">
        <v>33663</v>
      </c>
      <c r="E358" t="s">
        <v>34061</v>
      </c>
      <c r="F358" t="s">
        <v>34060</v>
      </c>
      <c r="G358" t="s">
        <v>35469</v>
      </c>
      <c r="H358" t="s">
        <v>35473</v>
      </c>
      <c r="J358" t="s">
        <v>33577</v>
      </c>
      <c r="K358" t="s">
        <v>33576</v>
      </c>
      <c r="L358" t="s">
        <v>33659</v>
      </c>
      <c r="N358" t="s">
        <v>35472</v>
      </c>
      <c r="O358" t="s">
        <v>35471</v>
      </c>
      <c r="P358">
        <v>186803</v>
      </c>
      <c r="T358" s="22" t="s">
        <v>37480</v>
      </c>
      <c r="U358" s="22" t="s">
        <v>1563</v>
      </c>
    </row>
    <row r="359" spans="1:21" x14ac:dyDescent="0.75">
      <c r="A359" t="s">
        <v>35470</v>
      </c>
      <c r="B359" t="s">
        <v>33572</v>
      </c>
      <c r="C359" t="s">
        <v>33606</v>
      </c>
      <c r="D359" t="s">
        <v>33663</v>
      </c>
      <c r="E359" t="s">
        <v>34061</v>
      </c>
      <c r="F359" t="s">
        <v>34060</v>
      </c>
      <c r="G359" t="s">
        <v>35469</v>
      </c>
      <c r="H359" t="s">
        <v>35468</v>
      </c>
      <c r="J359" t="s">
        <v>33577</v>
      </c>
      <c r="K359" t="s">
        <v>33576</v>
      </c>
      <c r="L359" t="s">
        <v>33659</v>
      </c>
      <c r="N359" t="s">
        <v>35467</v>
      </c>
      <c r="O359" t="s">
        <v>35466</v>
      </c>
      <c r="P359">
        <v>186803</v>
      </c>
      <c r="T359" s="22" t="s">
        <v>37481</v>
      </c>
      <c r="U359" s="22" t="s">
        <v>1563</v>
      </c>
    </row>
    <row r="360" spans="1:21" x14ac:dyDescent="0.75">
      <c r="A360" t="s">
        <v>14735</v>
      </c>
      <c r="B360" t="s">
        <v>33572</v>
      </c>
      <c r="C360" t="s">
        <v>33606</v>
      </c>
      <c r="D360" t="s">
        <v>33663</v>
      </c>
      <c r="E360" t="s">
        <v>34061</v>
      </c>
      <c r="F360" t="s">
        <v>34060</v>
      </c>
      <c r="G360" t="s">
        <v>14736</v>
      </c>
      <c r="H360" t="s">
        <v>14737</v>
      </c>
      <c r="J360" t="s">
        <v>33617</v>
      </c>
      <c r="K360" t="s">
        <v>33566</v>
      </c>
      <c r="L360" t="s">
        <v>33587</v>
      </c>
      <c r="N360" t="s">
        <v>35465</v>
      </c>
      <c r="O360" t="s">
        <v>35464</v>
      </c>
      <c r="P360">
        <v>186803</v>
      </c>
      <c r="Q360" t="s">
        <v>14734</v>
      </c>
      <c r="R360" t="s">
        <v>35463</v>
      </c>
      <c r="T360" s="22" t="s">
        <v>37482</v>
      </c>
      <c r="U360" s="22" t="s">
        <v>104</v>
      </c>
    </row>
    <row r="361" spans="1:21" x14ac:dyDescent="0.75">
      <c r="A361" t="s">
        <v>10340</v>
      </c>
      <c r="B361" t="s">
        <v>33572</v>
      </c>
      <c r="C361" t="s">
        <v>33606</v>
      </c>
      <c r="D361" t="s">
        <v>33913</v>
      </c>
      <c r="E361" t="s">
        <v>33912</v>
      </c>
      <c r="F361" t="s">
        <v>35284</v>
      </c>
      <c r="G361" t="s">
        <v>6493</v>
      </c>
      <c r="H361" t="s">
        <v>10341</v>
      </c>
      <c r="J361" t="s">
        <v>33567</v>
      </c>
      <c r="K361" t="s">
        <v>33566</v>
      </c>
      <c r="L361" t="s">
        <v>35297</v>
      </c>
      <c r="N361" t="s">
        <v>35462</v>
      </c>
      <c r="O361" t="s">
        <v>35461</v>
      </c>
      <c r="P361">
        <v>1582</v>
      </c>
      <c r="Q361" t="s">
        <v>35460</v>
      </c>
      <c r="R361" t="s">
        <v>35459</v>
      </c>
      <c r="T361" s="22" t="s">
        <v>37088</v>
      </c>
      <c r="U361" s="22" t="s">
        <v>144</v>
      </c>
    </row>
    <row r="362" spans="1:21" x14ac:dyDescent="0.75">
      <c r="A362" t="s">
        <v>6835</v>
      </c>
      <c r="B362" t="s">
        <v>33572</v>
      </c>
      <c r="C362" t="s">
        <v>33606</v>
      </c>
      <c r="D362" t="s">
        <v>33913</v>
      </c>
      <c r="E362" t="s">
        <v>33912</v>
      </c>
      <c r="F362" t="s">
        <v>35284</v>
      </c>
      <c r="G362" t="s">
        <v>6493</v>
      </c>
      <c r="H362" t="s">
        <v>6836</v>
      </c>
      <c r="J362" t="s">
        <v>33567</v>
      </c>
      <c r="K362" t="s">
        <v>33566</v>
      </c>
      <c r="L362" t="s">
        <v>35297</v>
      </c>
      <c r="N362" t="s">
        <v>35458</v>
      </c>
      <c r="O362" t="s">
        <v>33614</v>
      </c>
      <c r="P362">
        <v>1597</v>
      </c>
      <c r="Q362" t="s">
        <v>35457</v>
      </c>
      <c r="R362" t="s">
        <v>35456</v>
      </c>
      <c r="T362" s="22" t="s">
        <v>37087</v>
      </c>
      <c r="U362" s="22" t="s">
        <v>144</v>
      </c>
    </row>
    <row r="363" spans="1:21" x14ac:dyDescent="0.75">
      <c r="A363" t="s">
        <v>6492</v>
      </c>
      <c r="B363" t="s">
        <v>33572</v>
      </c>
      <c r="C363" t="s">
        <v>33606</v>
      </c>
      <c r="D363" t="s">
        <v>33913</v>
      </c>
      <c r="E363" t="s">
        <v>33912</v>
      </c>
      <c r="F363" t="s">
        <v>35284</v>
      </c>
      <c r="G363" t="s">
        <v>6493</v>
      </c>
      <c r="H363" t="s">
        <v>6494</v>
      </c>
      <c r="J363" t="s">
        <v>33567</v>
      </c>
      <c r="K363" t="s">
        <v>33566</v>
      </c>
      <c r="L363" t="s">
        <v>33596</v>
      </c>
      <c r="N363" t="s">
        <v>35455</v>
      </c>
      <c r="O363" t="s">
        <v>35454</v>
      </c>
      <c r="P363">
        <v>47715</v>
      </c>
      <c r="Q363" t="s">
        <v>35453</v>
      </c>
      <c r="R363" t="s">
        <v>35452</v>
      </c>
      <c r="T363" s="22" t="s">
        <v>37089</v>
      </c>
      <c r="U363" s="22" t="s">
        <v>34</v>
      </c>
    </row>
    <row r="364" spans="1:21" x14ac:dyDescent="0.75">
      <c r="A364" t="s">
        <v>11621</v>
      </c>
      <c r="B364" t="s">
        <v>33572</v>
      </c>
      <c r="C364" t="s">
        <v>33606</v>
      </c>
      <c r="D364" t="s">
        <v>33913</v>
      </c>
      <c r="E364" t="s">
        <v>33912</v>
      </c>
      <c r="F364" t="s">
        <v>35284</v>
      </c>
      <c r="G364" t="s">
        <v>6575</v>
      </c>
      <c r="H364" t="s">
        <v>11622</v>
      </c>
      <c r="J364" t="s">
        <v>33567</v>
      </c>
      <c r="K364" t="s">
        <v>33566</v>
      </c>
      <c r="L364" t="s">
        <v>33659</v>
      </c>
      <c r="M364" t="s">
        <v>16631</v>
      </c>
      <c r="N364" t="s">
        <v>35451</v>
      </c>
      <c r="O364" t="s">
        <v>33614</v>
      </c>
      <c r="P364">
        <v>1589</v>
      </c>
      <c r="Q364" t="s">
        <v>35450</v>
      </c>
      <c r="R364" t="s">
        <v>35449</v>
      </c>
      <c r="T364" s="22" t="s">
        <v>37090</v>
      </c>
      <c r="U364" s="22" t="s">
        <v>1563</v>
      </c>
    </row>
    <row r="365" spans="1:21" x14ac:dyDescent="0.75">
      <c r="A365" t="s">
        <v>6574</v>
      </c>
      <c r="B365" t="s">
        <v>33572</v>
      </c>
      <c r="C365" t="s">
        <v>33606</v>
      </c>
      <c r="D365" t="s">
        <v>33913</v>
      </c>
      <c r="E365" t="s">
        <v>33912</v>
      </c>
      <c r="F365" t="s">
        <v>35284</v>
      </c>
      <c r="G365" t="s">
        <v>6575</v>
      </c>
      <c r="H365" t="s">
        <v>6576</v>
      </c>
      <c r="J365" t="s">
        <v>33567</v>
      </c>
      <c r="K365" t="s">
        <v>33566</v>
      </c>
      <c r="L365" t="s">
        <v>35297</v>
      </c>
      <c r="M365" t="s">
        <v>35448</v>
      </c>
      <c r="N365" t="s">
        <v>35447</v>
      </c>
      <c r="O365" t="s">
        <v>35446</v>
      </c>
      <c r="P365">
        <v>1590</v>
      </c>
      <c r="Q365" t="s">
        <v>35445</v>
      </c>
      <c r="R365" t="s">
        <v>35444</v>
      </c>
      <c r="T365" s="22" t="s">
        <v>37091</v>
      </c>
      <c r="U365" s="22" t="s">
        <v>144</v>
      </c>
    </row>
    <row r="366" spans="1:21" x14ac:dyDescent="0.75">
      <c r="A366" t="s">
        <v>9863</v>
      </c>
      <c r="B366" t="s">
        <v>33572</v>
      </c>
      <c r="C366" t="s">
        <v>33606</v>
      </c>
      <c r="D366" t="s">
        <v>33913</v>
      </c>
      <c r="E366" t="s">
        <v>33912</v>
      </c>
      <c r="F366" t="s">
        <v>35284</v>
      </c>
      <c r="G366" t="s">
        <v>6130</v>
      </c>
      <c r="H366" t="s">
        <v>9864</v>
      </c>
      <c r="J366" t="s">
        <v>33567</v>
      </c>
      <c r="K366" t="s">
        <v>33566</v>
      </c>
      <c r="L366" t="s">
        <v>33659</v>
      </c>
      <c r="N366" t="s">
        <v>35443</v>
      </c>
      <c r="O366" t="s">
        <v>35442</v>
      </c>
      <c r="P366">
        <v>1579</v>
      </c>
      <c r="Q366" t="s">
        <v>35441</v>
      </c>
      <c r="R366" t="s">
        <v>35440</v>
      </c>
      <c r="T366" s="22" t="s">
        <v>37096</v>
      </c>
      <c r="U366" s="22" t="s">
        <v>1563</v>
      </c>
    </row>
    <row r="367" spans="1:21" x14ac:dyDescent="0.75">
      <c r="A367" t="s">
        <v>11637</v>
      </c>
      <c r="B367" t="s">
        <v>33572</v>
      </c>
      <c r="C367" t="s">
        <v>33606</v>
      </c>
      <c r="D367" t="s">
        <v>33913</v>
      </c>
      <c r="E367" t="s">
        <v>33912</v>
      </c>
      <c r="F367" t="s">
        <v>35284</v>
      </c>
      <c r="G367" t="s">
        <v>6130</v>
      </c>
      <c r="H367" t="s">
        <v>11638</v>
      </c>
      <c r="J367" t="s">
        <v>33567</v>
      </c>
      <c r="K367" t="s">
        <v>33566</v>
      </c>
      <c r="L367" t="s">
        <v>35428</v>
      </c>
      <c r="N367" t="s">
        <v>35439</v>
      </c>
      <c r="O367" t="s">
        <v>35438</v>
      </c>
      <c r="P367">
        <v>47770</v>
      </c>
      <c r="Q367" t="s">
        <v>35437</v>
      </c>
      <c r="R367" t="s">
        <v>35436</v>
      </c>
      <c r="T367" s="22" t="s">
        <v>37093</v>
      </c>
      <c r="U367" s="22" t="s">
        <v>1308</v>
      </c>
    </row>
    <row r="368" spans="1:21" x14ac:dyDescent="0.75">
      <c r="A368" t="s">
        <v>6280</v>
      </c>
      <c r="B368" t="s">
        <v>33572</v>
      </c>
      <c r="C368" t="s">
        <v>33606</v>
      </c>
      <c r="D368" t="s">
        <v>33913</v>
      </c>
      <c r="E368" t="s">
        <v>33912</v>
      </c>
      <c r="F368" t="s">
        <v>35284</v>
      </c>
      <c r="G368" t="s">
        <v>6130</v>
      </c>
      <c r="H368" t="s">
        <v>6281</v>
      </c>
      <c r="J368" t="s">
        <v>33567</v>
      </c>
      <c r="K368" t="s">
        <v>33566</v>
      </c>
      <c r="L368" t="s">
        <v>35428</v>
      </c>
      <c r="N368" t="s">
        <v>35435</v>
      </c>
      <c r="O368" t="s">
        <v>33614</v>
      </c>
      <c r="P368">
        <v>1596</v>
      </c>
      <c r="Q368" t="s">
        <v>35434</v>
      </c>
      <c r="R368" t="s">
        <v>35433</v>
      </c>
      <c r="T368" s="22" t="s">
        <v>37095</v>
      </c>
      <c r="U368" s="22" t="s">
        <v>1308</v>
      </c>
    </row>
    <row r="369" spans="1:21" x14ac:dyDescent="0.75">
      <c r="A369" t="s">
        <v>6949</v>
      </c>
      <c r="B369" t="s">
        <v>33572</v>
      </c>
      <c r="C369" t="s">
        <v>33606</v>
      </c>
      <c r="D369" t="s">
        <v>33913</v>
      </c>
      <c r="E369" t="s">
        <v>33912</v>
      </c>
      <c r="F369" t="s">
        <v>35284</v>
      </c>
      <c r="G369" t="s">
        <v>6130</v>
      </c>
      <c r="H369" t="s">
        <v>6950</v>
      </c>
      <c r="J369" t="s">
        <v>33567</v>
      </c>
      <c r="K369" t="s">
        <v>33566</v>
      </c>
      <c r="L369" t="s">
        <v>35428</v>
      </c>
      <c r="N369" t="s">
        <v>35432</v>
      </c>
      <c r="O369" t="s">
        <v>35431</v>
      </c>
      <c r="P369">
        <v>147802</v>
      </c>
      <c r="Q369" t="s">
        <v>35430</v>
      </c>
      <c r="R369" t="s">
        <v>35429</v>
      </c>
      <c r="T369" s="22" t="s">
        <v>37097</v>
      </c>
      <c r="U369" s="22" t="s">
        <v>1308</v>
      </c>
    </row>
    <row r="370" spans="1:21" x14ac:dyDescent="0.75">
      <c r="A370" t="s">
        <v>6723</v>
      </c>
      <c r="B370" t="s">
        <v>33572</v>
      </c>
      <c r="C370" t="s">
        <v>33606</v>
      </c>
      <c r="D370" t="s">
        <v>33913</v>
      </c>
      <c r="E370" t="s">
        <v>33912</v>
      </c>
      <c r="F370" t="s">
        <v>35284</v>
      </c>
      <c r="G370" t="s">
        <v>6130</v>
      </c>
      <c r="H370" t="s">
        <v>6724</v>
      </c>
      <c r="J370" t="s">
        <v>33567</v>
      </c>
      <c r="K370" t="s">
        <v>33566</v>
      </c>
      <c r="L370" t="s">
        <v>35428</v>
      </c>
      <c r="N370" t="s">
        <v>35427</v>
      </c>
      <c r="O370" t="s">
        <v>33614</v>
      </c>
      <c r="P370">
        <v>109790</v>
      </c>
      <c r="Q370" t="s">
        <v>35426</v>
      </c>
      <c r="R370" t="s">
        <v>35425</v>
      </c>
      <c r="T370" s="22" t="s">
        <v>37092</v>
      </c>
      <c r="U370" s="22" t="s">
        <v>1308</v>
      </c>
    </row>
    <row r="371" spans="1:21" x14ac:dyDescent="0.75">
      <c r="A371" t="s">
        <v>6129</v>
      </c>
      <c r="B371" t="s">
        <v>33572</v>
      </c>
      <c r="C371" t="s">
        <v>33606</v>
      </c>
      <c r="D371" t="s">
        <v>33913</v>
      </c>
      <c r="E371" t="s">
        <v>33912</v>
      </c>
      <c r="F371" t="s">
        <v>35284</v>
      </c>
      <c r="G371" t="s">
        <v>6130</v>
      </c>
      <c r="H371" t="s">
        <v>6131</v>
      </c>
      <c r="J371" t="s">
        <v>33567</v>
      </c>
      <c r="K371" t="s">
        <v>33566</v>
      </c>
      <c r="L371" t="s">
        <v>35292</v>
      </c>
      <c r="N371" t="s">
        <v>35424</v>
      </c>
      <c r="O371" t="s">
        <v>33614</v>
      </c>
      <c r="P371">
        <v>33959</v>
      </c>
      <c r="Q371" t="s">
        <v>35423</v>
      </c>
      <c r="R371" t="s">
        <v>35422</v>
      </c>
      <c r="T371" s="22" t="s">
        <v>37094</v>
      </c>
      <c r="U371" s="22" t="s">
        <v>1563</v>
      </c>
    </row>
    <row r="372" spans="1:21" x14ac:dyDescent="0.75">
      <c r="A372" t="s">
        <v>6825</v>
      </c>
      <c r="B372" t="s">
        <v>33572</v>
      </c>
      <c r="C372" t="s">
        <v>33606</v>
      </c>
      <c r="D372" t="s">
        <v>33913</v>
      </c>
      <c r="E372" t="s">
        <v>33912</v>
      </c>
      <c r="F372" t="s">
        <v>35284</v>
      </c>
      <c r="G372" t="s">
        <v>6130</v>
      </c>
      <c r="H372" t="s">
        <v>6826</v>
      </c>
      <c r="J372" t="s">
        <v>33567</v>
      </c>
      <c r="K372" t="s">
        <v>33566</v>
      </c>
      <c r="L372" t="s">
        <v>35292</v>
      </c>
      <c r="M372" t="s">
        <v>35421</v>
      </c>
      <c r="N372" t="s">
        <v>35420</v>
      </c>
      <c r="O372" t="s">
        <v>35419</v>
      </c>
      <c r="P372">
        <v>227945</v>
      </c>
      <c r="Q372" t="s">
        <v>35418</v>
      </c>
      <c r="R372" t="s">
        <v>35417</v>
      </c>
      <c r="T372" s="22" t="s">
        <v>37098</v>
      </c>
      <c r="U372" s="22" t="s">
        <v>1563</v>
      </c>
    </row>
    <row r="373" spans="1:21" x14ac:dyDescent="0.75">
      <c r="A373" t="s">
        <v>10351</v>
      </c>
      <c r="B373" t="s">
        <v>33572</v>
      </c>
      <c r="C373" t="s">
        <v>33606</v>
      </c>
      <c r="D373" t="s">
        <v>33913</v>
      </c>
      <c r="E373" t="s">
        <v>33912</v>
      </c>
      <c r="F373" t="s">
        <v>33911</v>
      </c>
      <c r="G373" t="s">
        <v>10352</v>
      </c>
      <c r="H373" t="s">
        <v>10353</v>
      </c>
      <c r="J373" t="s">
        <v>33567</v>
      </c>
      <c r="K373" t="s">
        <v>33566</v>
      </c>
      <c r="L373" t="s">
        <v>35297</v>
      </c>
      <c r="N373" t="s">
        <v>35416</v>
      </c>
      <c r="O373" t="s">
        <v>35415</v>
      </c>
      <c r="P373">
        <v>1358</v>
      </c>
      <c r="Q373" t="s">
        <v>35414</v>
      </c>
      <c r="R373" t="s">
        <v>35413</v>
      </c>
      <c r="T373" s="22" t="s">
        <v>37099</v>
      </c>
      <c r="U373" s="22" t="s">
        <v>144</v>
      </c>
    </row>
    <row r="374" spans="1:21" x14ac:dyDescent="0.75">
      <c r="A374" t="s">
        <v>6443</v>
      </c>
      <c r="B374" t="s">
        <v>33572</v>
      </c>
      <c r="C374" t="s">
        <v>34169</v>
      </c>
      <c r="D374" t="s">
        <v>34168</v>
      </c>
      <c r="E374" t="s">
        <v>34914</v>
      </c>
      <c r="F374" t="s">
        <v>34913</v>
      </c>
      <c r="G374" t="s">
        <v>6444</v>
      </c>
      <c r="H374" t="s">
        <v>6445</v>
      </c>
      <c r="J374" t="s">
        <v>33567</v>
      </c>
      <c r="K374" t="s">
        <v>33566</v>
      </c>
      <c r="L374" t="s">
        <v>33616</v>
      </c>
      <c r="N374" t="s">
        <v>35412</v>
      </c>
      <c r="O374" t="s">
        <v>35411</v>
      </c>
      <c r="P374">
        <v>1382</v>
      </c>
      <c r="Q374" t="s">
        <v>35410</v>
      </c>
      <c r="R374" t="s">
        <v>35409</v>
      </c>
      <c r="T374" s="22" t="s">
        <v>37101</v>
      </c>
      <c r="U374" s="22" t="s">
        <v>104</v>
      </c>
    </row>
    <row r="375" spans="1:21" x14ac:dyDescent="0.75">
      <c r="A375" t="s">
        <v>7150</v>
      </c>
      <c r="B375" t="s">
        <v>33572</v>
      </c>
      <c r="C375" t="s">
        <v>34169</v>
      </c>
      <c r="D375" t="s">
        <v>34168</v>
      </c>
      <c r="E375" t="s">
        <v>34914</v>
      </c>
      <c r="F375" t="s">
        <v>34913</v>
      </c>
      <c r="G375" t="s">
        <v>6444</v>
      </c>
      <c r="H375" t="s">
        <v>7151</v>
      </c>
      <c r="J375" t="s">
        <v>33567</v>
      </c>
      <c r="K375" t="s">
        <v>33566</v>
      </c>
      <c r="L375" t="s">
        <v>33575</v>
      </c>
      <c r="N375" t="s">
        <v>35408</v>
      </c>
      <c r="O375" t="s">
        <v>35407</v>
      </c>
      <c r="P375">
        <v>1383</v>
      </c>
      <c r="Q375" t="s">
        <v>35406</v>
      </c>
      <c r="R375" t="s">
        <v>35405</v>
      </c>
      <c r="T375" s="22" t="s">
        <v>37100</v>
      </c>
      <c r="U375" s="22" t="s">
        <v>104</v>
      </c>
    </row>
    <row r="376" spans="1:21" x14ac:dyDescent="0.75">
      <c r="A376" t="s">
        <v>9466</v>
      </c>
      <c r="B376" t="s">
        <v>33572</v>
      </c>
      <c r="C376" t="s">
        <v>34169</v>
      </c>
      <c r="D376" t="s">
        <v>34168</v>
      </c>
      <c r="E376" t="s">
        <v>34914</v>
      </c>
      <c r="F376" t="s">
        <v>34913</v>
      </c>
      <c r="G376" t="s">
        <v>6444</v>
      </c>
      <c r="H376" t="s">
        <v>9467</v>
      </c>
      <c r="J376" t="s">
        <v>33617</v>
      </c>
      <c r="K376" t="s">
        <v>33566</v>
      </c>
      <c r="L376" t="s">
        <v>33587</v>
      </c>
      <c r="N376" t="s">
        <v>35404</v>
      </c>
      <c r="O376" t="s">
        <v>35403</v>
      </c>
      <c r="P376">
        <v>712156</v>
      </c>
      <c r="Q376" t="s">
        <v>35402</v>
      </c>
      <c r="R376" t="s">
        <v>35401</v>
      </c>
      <c r="T376" s="22" t="s">
        <v>37483</v>
      </c>
      <c r="U376" s="22" t="s">
        <v>104</v>
      </c>
    </row>
    <row r="377" spans="1:21" x14ac:dyDescent="0.75">
      <c r="A377" t="s">
        <v>16099</v>
      </c>
      <c r="B377" t="s">
        <v>33572</v>
      </c>
      <c r="C377" t="s">
        <v>33571</v>
      </c>
      <c r="D377" t="s">
        <v>33654</v>
      </c>
      <c r="E377" t="s">
        <v>33653</v>
      </c>
      <c r="F377" t="s">
        <v>34515</v>
      </c>
      <c r="G377" t="s">
        <v>7434</v>
      </c>
      <c r="H377" t="s">
        <v>7846</v>
      </c>
      <c r="J377" t="s">
        <v>33567</v>
      </c>
      <c r="K377" t="s">
        <v>33566</v>
      </c>
      <c r="L377" t="s">
        <v>33616</v>
      </c>
      <c r="P377">
        <v>0</v>
      </c>
      <c r="Q377" t="s">
        <v>35400</v>
      </c>
      <c r="R377" t="s">
        <v>35399</v>
      </c>
      <c r="T377" s="22" t="s">
        <v>37104</v>
      </c>
      <c r="U377" s="22" t="s">
        <v>104</v>
      </c>
    </row>
    <row r="378" spans="1:21" x14ac:dyDescent="0.75">
      <c r="A378" t="s">
        <v>7433</v>
      </c>
      <c r="B378" t="s">
        <v>33572</v>
      </c>
      <c r="C378" t="s">
        <v>33571</v>
      </c>
      <c r="D378" t="s">
        <v>33654</v>
      </c>
      <c r="E378" t="s">
        <v>33653</v>
      </c>
      <c r="F378" t="s">
        <v>34515</v>
      </c>
      <c r="G378" t="s">
        <v>7434</v>
      </c>
      <c r="H378" t="s">
        <v>6945</v>
      </c>
      <c r="J378" t="s">
        <v>33567</v>
      </c>
      <c r="K378" t="s">
        <v>33566</v>
      </c>
      <c r="L378" t="s">
        <v>33616</v>
      </c>
      <c r="N378" t="s">
        <v>35398</v>
      </c>
      <c r="O378" t="s">
        <v>34181</v>
      </c>
      <c r="P378">
        <v>47671</v>
      </c>
      <c r="Q378" t="s">
        <v>35397</v>
      </c>
      <c r="R378" t="s">
        <v>35396</v>
      </c>
      <c r="T378" s="22" t="s">
        <v>37103</v>
      </c>
      <c r="U378" s="22" t="s">
        <v>104</v>
      </c>
    </row>
    <row r="379" spans="1:21" x14ac:dyDescent="0.75">
      <c r="A379" t="s">
        <v>11505</v>
      </c>
      <c r="B379" t="s">
        <v>33572</v>
      </c>
      <c r="C379" t="s">
        <v>34169</v>
      </c>
      <c r="D379" t="s">
        <v>34355</v>
      </c>
      <c r="E379" t="s">
        <v>35132</v>
      </c>
      <c r="F379" t="s">
        <v>35395</v>
      </c>
      <c r="G379" t="s">
        <v>11506</v>
      </c>
      <c r="H379" t="s">
        <v>11507</v>
      </c>
      <c r="J379" t="s">
        <v>33567</v>
      </c>
      <c r="K379" t="s">
        <v>33566</v>
      </c>
      <c r="L379" t="s">
        <v>35155</v>
      </c>
      <c r="O379" t="s">
        <v>35129</v>
      </c>
      <c r="P379">
        <v>1528099</v>
      </c>
      <c r="Q379" t="s">
        <v>35394</v>
      </c>
      <c r="R379" t="s">
        <v>35393</v>
      </c>
      <c r="T379" s="22" t="s">
        <v>37105</v>
      </c>
      <c r="U379" s="22" t="s">
        <v>36807</v>
      </c>
    </row>
    <row r="380" spans="1:21" x14ac:dyDescent="0.75">
      <c r="A380" t="s">
        <v>7723</v>
      </c>
      <c r="B380" t="s">
        <v>33572</v>
      </c>
      <c r="C380" t="s">
        <v>33606</v>
      </c>
      <c r="D380" t="s">
        <v>33913</v>
      </c>
      <c r="E380" t="s">
        <v>33912</v>
      </c>
      <c r="F380" t="s">
        <v>35284</v>
      </c>
      <c r="G380" t="s">
        <v>7724</v>
      </c>
      <c r="H380" t="s">
        <v>7725</v>
      </c>
      <c r="J380" t="s">
        <v>33567</v>
      </c>
      <c r="K380" t="s">
        <v>33566</v>
      </c>
      <c r="L380" t="s">
        <v>35297</v>
      </c>
      <c r="M380" t="s">
        <v>16634</v>
      </c>
      <c r="N380" t="s">
        <v>35392</v>
      </c>
      <c r="O380" t="s">
        <v>33614</v>
      </c>
      <c r="P380">
        <v>1581</v>
      </c>
      <c r="Q380" t="s">
        <v>35391</v>
      </c>
      <c r="R380" t="s">
        <v>35390</v>
      </c>
      <c r="T380" s="22" t="s">
        <v>37106</v>
      </c>
      <c r="U380" s="22" t="s">
        <v>144</v>
      </c>
    </row>
    <row r="381" spans="1:21" x14ac:dyDescent="0.75">
      <c r="A381" t="s">
        <v>8419</v>
      </c>
      <c r="B381" t="s">
        <v>33572</v>
      </c>
      <c r="C381" t="s">
        <v>33606</v>
      </c>
      <c r="D381" t="s">
        <v>33913</v>
      </c>
      <c r="E381" t="s">
        <v>33912</v>
      </c>
      <c r="F381" t="s">
        <v>35284</v>
      </c>
      <c r="G381" t="s">
        <v>7724</v>
      </c>
      <c r="H381" t="s">
        <v>8420</v>
      </c>
      <c r="J381" t="s">
        <v>33567</v>
      </c>
      <c r="K381" t="s">
        <v>33566</v>
      </c>
      <c r="L381" t="s">
        <v>35297</v>
      </c>
      <c r="N381" t="s">
        <v>35389</v>
      </c>
      <c r="O381" t="s">
        <v>35388</v>
      </c>
      <c r="P381">
        <v>481722</v>
      </c>
      <c r="Q381" t="s">
        <v>35387</v>
      </c>
      <c r="R381" t="s">
        <v>35386</v>
      </c>
      <c r="T381" s="22" t="s">
        <v>37108</v>
      </c>
      <c r="U381" s="22" t="s">
        <v>144</v>
      </c>
    </row>
    <row r="382" spans="1:21" x14ac:dyDescent="0.75">
      <c r="A382" t="s">
        <v>8367</v>
      </c>
      <c r="B382" t="s">
        <v>33572</v>
      </c>
      <c r="C382" t="s">
        <v>33606</v>
      </c>
      <c r="D382" t="s">
        <v>33913</v>
      </c>
      <c r="E382" t="s">
        <v>33912</v>
      </c>
      <c r="F382" t="s">
        <v>35284</v>
      </c>
      <c r="G382" t="s">
        <v>7724</v>
      </c>
      <c r="H382" t="s">
        <v>8368</v>
      </c>
      <c r="J382" t="s">
        <v>33567</v>
      </c>
      <c r="K382" t="s">
        <v>33566</v>
      </c>
      <c r="L382" t="s">
        <v>35297</v>
      </c>
      <c r="N382" t="s">
        <v>35385</v>
      </c>
      <c r="O382" t="s">
        <v>35384</v>
      </c>
      <c r="P382">
        <v>390842</v>
      </c>
      <c r="Q382" t="s">
        <v>35383</v>
      </c>
      <c r="R382" t="s">
        <v>35382</v>
      </c>
      <c r="T382" s="22" t="s">
        <v>37107</v>
      </c>
      <c r="U382" s="22" t="s">
        <v>144</v>
      </c>
    </row>
    <row r="383" spans="1:21" x14ac:dyDescent="0.75">
      <c r="A383" t="s">
        <v>11562</v>
      </c>
      <c r="B383" t="s">
        <v>33572</v>
      </c>
      <c r="C383" t="s">
        <v>33606</v>
      </c>
      <c r="D383" t="s">
        <v>33913</v>
      </c>
      <c r="E383" t="s">
        <v>33912</v>
      </c>
      <c r="F383" t="s">
        <v>35284</v>
      </c>
      <c r="G383" t="s">
        <v>7724</v>
      </c>
      <c r="H383" t="s">
        <v>11563</v>
      </c>
      <c r="J383" t="s">
        <v>33567</v>
      </c>
      <c r="K383" t="s">
        <v>33566</v>
      </c>
      <c r="L383" t="s">
        <v>35297</v>
      </c>
      <c r="M383" t="s">
        <v>35381</v>
      </c>
      <c r="N383" t="s">
        <v>35380</v>
      </c>
      <c r="O383" t="s">
        <v>33614</v>
      </c>
      <c r="P383">
        <v>481723</v>
      </c>
      <c r="Q383" t="s">
        <v>35379</v>
      </c>
      <c r="R383" t="s">
        <v>35378</v>
      </c>
      <c r="T383" s="22" t="s">
        <v>37109</v>
      </c>
      <c r="U383" s="22" t="s">
        <v>144</v>
      </c>
    </row>
    <row r="384" spans="1:21" x14ac:dyDescent="0.75">
      <c r="A384" t="s">
        <v>35377</v>
      </c>
      <c r="B384" t="s">
        <v>33572</v>
      </c>
      <c r="C384" t="s">
        <v>33571</v>
      </c>
      <c r="D384" t="s">
        <v>33654</v>
      </c>
      <c r="E384" t="s">
        <v>33653</v>
      </c>
      <c r="F384" t="s">
        <v>33652</v>
      </c>
      <c r="G384" t="s">
        <v>35372</v>
      </c>
      <c r="H384" t="s">
        <v>35376</v>
      </c>
      <c r="J384" t="s">
        <v>33577</v>
      </c>
      <c r="K384" t="s">
        <v>33576</v>
      </c>
      <c r="L384" t="s">
        <v>33651</v>
      </c>
      <c r="N384" t="s">
        <v>35375</v>
      </c>
      <c r="O384" t="s">
        <v>35374</v>
      </c>
      <c r="P384">
        <v>712353</v>
      </c>
      <c r="T384" s="22" t="s">
        <v>37484</v>
      </c>
      <c r="U384" s="22" t="s">
        <v>144</v>
      </c>
    </row>
    <row r="385" spans="1:21" x14ac:dyDescent="0.75">
      <c r="A385" t="s">
        <v>35373</v>
      </c>
      <c r="B385" t="s">
        <v>33572</v>
      </c>
      <c r="C385" t="s">
        <v>33571</v>
      </c>
      <c r="D385" t="s">
        <v>33654</v>
      </c>
      <c r="E385" t="s">
        <v>33653</v>
      </c>
      <c r="F385" t="s">
        <v>33652</v>
      </c>
      <c r="G385" t="s">
        <v>35372</v>
      </c>
      <c r="H385" t="s">
        <v>35371</v>
      </c>
      <c r="J385" t="s">
        <v>33577</v>
      </c>
      <c r="K385" t="s">
        <v>33576</v>
      </c>
      <c r="L385" t="s">
        <v>33659</v>
      </c>
      <c r="O385" t="s">
        <v>34181</v>
      </c>
      <c r="P385">
        <v>88</v>
      </c>
      <c r="T385" s="22" t="s">
        <v>37485</v>
      </c>
      <c r="U385" s="22" t="s">
        <v>1563</v>
      </c>
    </row>
    <row r="386" spans="1:21" x14ac:dyDescent="0.75">
      <c r="A386" t="s">
        <v>135</v>
      </c>
      <c r="B386" t="s">
        <v>33572</v>
      </c>
      <c r="C386" t="s">
        <v>34157</v>
      </c>
      <c r="D386" t="s">
        <v>34156</v>
      </c>
      <c r="E386" t="s">
        <v>34155</v>
      </c>
      <c r="F386" t="s">
        <v>34154</v>
      </c>
      <c r="G386" t="s">
        <v>6425</v>
      </c>
      <c r="H386" t="s">
        <v>6426</v>
      </c>
      <c r="J386" t="s">
        <v>33567</v>
      </c>
      <c r="K386" t="s">
        <v>33566</v>
      </c>
      <c r="L386" t="s">
        <v>33575</v>
      </c>
      <c r="M386" t="s">
        <v>35370</v>
      </c>
      <c r="N386" t="s">
        <v>35369</v>
      </c>
      <c r="O386" t="s">
        <v>35368</v>
      </c>
      <c r="P386">
        <v>40542</v>
      </c>
      <c r="Q386" t="s">
        <v>35367</v>
      </c>
      <c r="R386" t="s">
        <v>35366</v>
      </c>
      <c r="T386" s="22" t="s">
        <v>136</v>
      </c>
      <c r="U386" s="22" t="s">
        <v>104</v>
      </c>
    </row>
    <row r="387" spans="1:21" x14ac:dyDescent="0.75">
      <c r="A387" t="s">
        <v>284</v>
      </c>
      <c r="B387" t="s">
        <v>33572</v>
      </c>
      <c r="C387" t="s">
        <v>34157</v>
      </c>
      <c r="D387" t="s">
        <v>34156</v>
      </c>
      <c r="E387" t="s">
        <v>34155</v>
      </c>
      <c r="F387" t="s">
        <v>34154</v>
      </c>
      <c r="G387" t="s">
        <v>6425</v>
      </c>
      <c r="H387" t="s">
        <v>7018</v>
      </c>
      <c r="J387" t="s">
        <v>33567</v>
      </c>
      <c r="K387" t="s">
        <v>33566</v>
      </c>
      <c r="L387" t="s">
        <v>33575</v>
      </c>
      <c r="N387" t="s">
        <v>35365</v>
      </c>
      <c r="O387" t="s">
        <v>35364</v>
      </c>
      <c r="P387">
        <v>157688</v>
      </c>
      <c r="Q387" t="s">
        <v>35363</v>
      </c>
      <c r="R387" t="s">
        <v>35362</v>
      </c>
      <c r="T387" s="22" t="s">
        <v>285</v>
      </c>
      <c r="U387" s="22" t="s">
        <v>104</v>
      </c>
    </row>
    <row r="388" spans="1:21" x14ac:dyDescent="0.75">
      <c r="A388" t="s">
        <v>2427</v>
      </c>
      <c r="B388" t="s">
        <v>33572</v>
      </c>
      <c r="C388" t="s">
        <v>34157</v>
      </c>
      <c r="D388" t="s">
        <v>34156</v>
      </c>
      <c r="E388" t="s">
        <v>34155</v>
      </c>
      <c r="F388" t="s">
        <v>34154</v>
      </c>
      <c r="G388" t="s">
        <v>6425</v>
      </c>
      <c r="H388" t="s">
        <v>12566</v>
      </c>
      <c r="J388" t="s">
        <v>33567</v>
      </c>
      <c r="K388" t="s">
        <v>33566</v>
      </c>
      <c r="L388" t="s">
        <v>33575</v>
      </c>
      <c r="M388" t="s">
        <v>35361</v>
      </c>
      <c r="N388" t="s">
        <v>35360</v>
      </c>
      <c r="O388" t="s">
        <v>35359</v>
      </c>
      <c r="P388">
        <v>554406</v>
      </c>
      <c r="Q388" t="s">
        <v>35358</v>
      </c>
      <c r="R388" t="s">
        <v>35357</v>
      </c>
      <c r="T388" s="22" t="s">
        <v>2428</v>
      </c>
      <c r="U388" s="22" t="s">
        <v>104</v>
      </c>
    </row>
    <row r="389" spans="1:21" x14ac:dyDescent="0.75">
      <c r="A389" t="s">
        <v>853</v>
      </c>
      <c r="B389" t="s">
        <v>33572</v>
      </c>
      <c r="C389" t="s">
        <v>34157</v>
      </c>
      <c r="D389" t="s">
        <v>34156</v>
      </c>
      <c r="E389" t="s">
        <v>34155</v>
      </c>
      <c r="F389" t="s">
        <v>34154</v>
      </c>
      <c r="G389" t="s">
        <v>6425</v>
      </c>
      <c r="H389" t="s">
        <v>9323</v>
      </c>
      <c r="J389" t="s">
        <v>33567</v>
      </c>
      <c r="K389" t="s">
        <v>33566</v>
      </c>
      <c r="L389" t="s">
        <v>33587</v>
      </c>
      <c r="N389" t="s">
        <v>35356</v>
      </c>
      <c r="O389" t="s">
        <v>35355</v>
      </c>
      <c r="P389">
        <v>157691</v>
      </c>
      <c r="Q389" t="s">
        <v>35354</v>
      </c>
      <c r="R389" t="s">
        <v>35353</v>
      </c>
      <c r="T389" s="22" t="s">
        <v>854</v>
      </c>
      <c r="U389" s="22" t="s">
        <v>104</v>
      </c>
    </row>
    <row r="390" spans="1:21" x14ac:dyDescent="0.75">
      <c r="A390" t="s">
        <v>3447</v>
      </c>
      <c r="B390" t="s">
        <v>33572</v>
      </c>
      <c r="C390" t="s">
        <v>34157</v>
      </c>
      <c r="D390" t="s">
        <v>34156</v>
      </c>
      <c r="E390" t="s">
        <v>34155</v>
      </c>
      <c r="F390" t="s">
        <v>34154</v>
      </c>
      <c r="G390" t="s">
        <v>6425</v>
      </c>
      <c r="H390" t="s">
        <v>20667</v>
      </c>
      <c r="J390" t="s">
        <v>33617</v>
      </c>
      <c r="K390" t="s">
        <v>33566</v>
      </c>
      <c r="L390" t="s">
        <v>33575</v>
      </c>
      <c r="N390" t="s">
        <v>35352</v>
      </c>
      <c r="O390" t="s">
        <v>35351</v>
      </c>
      <c r="P390">
        <v>712361</v>
      </c>
      <c r="Q390" t="s">
        <v>35350</v>
      </c>
      <c r="R390" t="s">
        <v>35349</v>
      </c>
      <c r="T390" s="22" t="s">
        <v>37486</v>
      </c>
      <c r="U390" s="22" t="s">
        <v>104</v>
      </c>
    </row>
    <row r="391" spans="1:21" x14ac:dyDescent="0.75">
      <c r="A391" t="s">
        <v>3456</v>
      </c>
      <c r="B391" t="s">
        <v>33572</v>
      </c>
      <c r="C391" t="s">
        <v>34157</v>
      </c>
      <c r="D391" t="s">
        <v>34156</v>
      </c>
      <c r="E391" t="s">
        <v>34155</v>
      </c>
      <c r="F391" t="s">
        <v>34154</v>
      </c>
      <c r="G391" t="s">
        <v>6425</v>
      </c>
      <c r="H391" t="s">
        <v>18602</v>
      </c>
      <c r="J391" t="s">
        <v>33617</v>
      </c>
      <c r="K391" t="s">
        <v>33566</v>
      </c>
      <c r="L391" t="s">
        <v>33575</v>
      </c>
      <c r="N391" t="s">
        <v>35348</v>
      </c>
      <c r="O391" t="s">
        <v>35347</v>
      </c>
      <c r="P391">
        <v>712362</v>
      </c>
      <c r="Q391" t="s">
        <v>35346</v>
      </c>
      <c r="R391" t="s">
        <v>35345</v>
      </c>
      <c r="T391" s="22" t="s">
        <v>37487</v>
      </c>
      <c r="U391" s="22" t="s">
        <v>104</v>
      </c>
    </row>
    <row r="392" spans="1:21" x14ac:dyDescent="0.75">
      <c r="A392" t="s">
        <v>2824</v>
      </c>
      <c r="B392" t="s">
        <v>33572</v>
      </c>
      <c r="C392" t="s">
        <v>34157</v>
      </c>
      <c r="D392" t="s">
        <v>34156</v>
      </c>
      <c r="E392" t="s">
        <v>34155</v>
      </c>
      <c r="F392" t="s">
        <v>34154</v>
      </c>
      <c r="G392" t="s">
        <v>6425</v>
      </c>
      <c r="H392" t="s">
        <v>18753</v>
      </c>
      <c r="J392" t="s">
        <v>33617</v>
      </c>
      <c r="K392" t="s">
        <v>33566</v>
      </c>
      <c r="L392" t="s">
        <v>33609</v>
      </c>
      <c r="N392" t="s">
        <v>35344</v>
      </c>
      <c r="O392" t="s">
        <v>35343</v>
      </c>
      <c r="P392">
        <v>712363</v>
      </c>
      <c r="Q392" t="s">
        <v>2823</v>
      </c>
      <c r="R392" t="s">
        <v>35342</v>
      </c>
      <c r="T392" s="22" t="s">
        <v>37488</v>
      </c>
      <c r="U392" s="22" t="s">
        <v>104</v>
      </c>
    </row>
    <row r="393" spans="1:21" x14ac:dyDescent="0.75">
      <c r="A393" t="s">
        <v>1103</v>
      </c>
      <c r="B393" t="s">
        <v>33572</v>
      </c>
      <c r="C393" t="s">
        <v>34157</v>
      </c>
      <c r="D393" t="s">
        <v>34156</v>
      </c>
      <c r="E393" t="s">
        <v>34155</v>
      </c>
      <c r="F393" t="s">
        <v>34154</v>
      </c>
      <c r="G393" t="s">
        <v>6425</v>
      </c>
      <c r="H393" t="s">
        <v>9851</v>
      </c>
      <c r="J393" t="s">
        <v>33617</v>
      </c>
      <c r="K393" t="s">
        <v>33566</v>
      </c>
      <c r="L393" t="s">
        <v>33575</v>
      </c>
      <c r="N393" t="s">
        <v>34293</v>
      </c>
      <c r="O393" t="s">
        <v>35341</v>
      </c>
      <c r="P393">
        <v>671213</v>
      </c>
      <c r="Q393" t="s">
        <v>35340</v>
      </c>
      <c r="R393" t="s">
        <v>35339</v>
      </c>
      <c r="T393" s="22" t="s">
        <v>37489</v>
      </c>
      <c r="U393" s="22" t="s">
        <v>104</v>
      </c>
    </row>
    <row r="394" spans="1:21" x14ac:dyDescent="0.75">
      <c r="A394" t="s">
        <v>2405</v>
      </c>
      <c r="B394" t="s">
        <v>33572</v>
      </c>
      <c r="C394" t="s">
        <v>34157</v>
      </c>
      <c r="D394" t="s">
        <v>34156</v>
      </c>
      <c r="E394" t="s">
        <v>34155</v>
      </c>
      <c r="F394" t="s">
        <v>34154</v>
      </c>
      <c r="G394" t="s">
        <v>6425</v>
      </c>
      <c r="H394" t="s">
        <v>17191</v>
      </c>
      <c r="J394" t="s">
        <v>33617</v>
      </c>
      <c r="K394" t="s">
        <v>33566</v>
      </c>
      <c r="L394" t="s">
        <v>33616</v>
      </c>
      <c r="N394" t="s">
        <v>35338</v>
      </c>
      <c r="O394" t="s">
        <v>35337</v>
      </c>
      <c r="P394">
        <v>712365</v>
      </c>
      <c r="Q394" t="s">
        <v>35336</v>
      </c>
      <c r="R394" t="s">
        <v>35335</v>
      </c>
      <c r="T394" s="22" t="s">
        <v>37490</v>
      </c>
      <c r="U394" s="22" t="s">
        <v>104</v>
      </c>
    </row>
    <row r="395" spans="1:21" x14ac:dyDescent="0.75">
      <c r="A395" t="s">
        <v>35334</v>
      </c>
      <c r="B395" t="s">
        <v>33572</v>
      </c>
      <c r="C395" t="s">
        <v>34157</v>
      </c>
      <c r="D395" t="s">
        <v>34156</v>
      </c>
      <c r="E395" t="s">
        <v>34155</v>
      </c>
      <c r="F395" t="s">
        <v>34154</v>
      </c>
      <c r="G395" t="s">
        <v>6425</v>
      </c>
      <c r="H395" t="s">
        <v>35333</v>
      </c>
      <c r="J395" t="s">
        <v>33577</v>
      </c>
      <c r="K395" t="s">
        <v>33576</v>
      </c>
      <c r="L395" t="s">
        <v>33609</v>
      </c>
      <c r="N395" t="s">
        <v>35332</v>
      </c>
      <c r="O395" t="s">
        <v>35331</v>
      </c>
      <c r="P395">
        <v>712367</v>
      </c>
      <c r="T395" s="22" t="s">
        <v>37491</v>
      </c>
      <c r="U395" s="22" t="s">
        <v>104</v>
      </c>
    </row>
    <row r="396" spans="1:21" x14ac:dyDescent="0.75">
      <c r="A396" t="s">
        <v>1794</v>
      </c>
      <c r="B396" t="s">
        <v>33572</v>
      </c>
      <c r="C396" t="s">
        <v>34157</v>
      </c>
      <c r="D396" t="s">
        <v>34156</v>
      </c>
      <c r="E396" t="s">
        <v>34155</v>
      </c>
      <c r="F396" t="s">
        <v>34154</v>
      </c>
      <c r="G396" t="s">
        <v>6425</v>
      </c>
      <c r="H396" t="s">
        <v>13824</v>
      </c>
      <c r="J396" t="s">
        <v>33617</v>
      </c>
      <c r="K396" t="s">
        <v>33566</v>
      </c>
      <c r="L396" t="s">
        <v>33575</v>
      </c>
      <c r="N396" t="s">
        <v>35330</v>
      </c>
      <c r="O396" t="s">
        <v>35329</v>
      </c>
      <c r="P396">
        <v>712368</v>
      </c>
      <c r="Q396" t="s">
        <v>35328</v>
      </c>
      <c r="R396" t="s">
        <v>35327</v>
      </c>
      <c r="T396" s="22" t="s">
        <v>37492</v>
      </c>
      <c r="U396" s="22" t="s">
        <v>104</v>
      </c>
    </row>
    <row r="397" spans="1:21" x14ac:dyDescent="0.75">
      <c r="A397" t="s">
        <v>1554</v>
      </c>
      <c r="B397" t="s">
        <v>33572</v>
      </c>
      <c r="C397" t="s">
        <v>34157</v>
      </c>
      <c r="D397" t="s">
        <v>34156</v>
      </c>
      <c r="E397" t="s">
        <v>34155</v>
      </c>
      <c r="F397" t="s">
        <v>34154</v>
      </c>
      <c r="G397" t="s">
        <v>6425</v>
      </c>
      <c r="H397" t="s">
        <v>11923</v>
      </c>
      <c r="J397" t="s">
        <v>33617</v>
      </c>
      <c r="K397" t="s">
        <v>33566</v>
      </c>
      <c r="L397" t="s">
        <v>33587</v>
      </c>
      <c r="N397" t="s">
        <v>35326</v>
      </c>
      <c r="O397" t="s">
        <v>34578</v>
      </c>
      <c r="P397">
        <v>1785996</v>
      </c>
      <c r="Q397" t="s">
        <v>1553</v>
      </c>
      <c r="R397" t="s">
        <v>35325</v>
      </c>
      <c r="T397" s="22" t="s">
        <v>37493</v>
      </c>
      <c r="U397" s="22" t="s">
        <v>104</v>
      </c>
    </row>
    <row r="398" spans="1:21" x14ac:dyDescent="0.75">
      <c r="A398" t="s">
        <v>1068</v>
      </c>
      <c r="B398" t="s">
        <v>33572</v>
      </c>
      <c r="C398" t="s">
        <v>34157</v>
      </c>
      <c r="D398" t="s">
        <v>34156</v>
      </c>
      <c r="E398" t="s">
        <v>34155</v>
      </c>
      <c r="F398" t="s">
        <v>34154</v>
      </c>
      <c r="G398" t="s">
        <v>6425</v>
      </c>
      <c r="H398" t="s">
        <v>9838</v>
      </c>
      <c r="J398" t="s">
        <v>33617</v>
      </c>
      <c r="K398" t="s">
        <v>33566</v>
      </c>
      <c r="L398" t="s">
        <v>33575</v>
      </c>
      <c r="O398" t="s">
        <v>34578</v>
      </c>
      <c r="P398">
        <v>1227267</v>
      </c>
      <c r="Q398" t="s">
        <v>1067</v>
      </c>
      <c r="R398" t="s">
        <v>35324</v>
      </c>
      <c r="T398" s="22" t="s">
        <v>37494</v>
      </c>
      <c r="U398" s="22" t="s">
        <v>104</v>
      </c>
    </row>
    <row r="399" spans="1:21" x14ac:dyDescent="0.75">
      <c r="A399" t="s">
        <v>35323</v>
      </c>
      <c r="B399" t="s">
        <v>33572</v>
      </c>
      <c r="C399" t="s">
        <v>34157</v>
      </c>
      <c r="D399" t="s">
        <v>34156</v>
      </c>
      <c r="E399" t="s">
        <v>34155</v>
      </c>
      <c r="F399" t="s">
        <v>34154</v>
      </c>
      <c r="G399" t="s">
        <v>6425</v>
      </c>
      <c r="H399" t="s">
        <v>35322</v>
      </c>
      <c r="J399" t="s">
        <v>33577</v>
      </c>
      <c r="K399" t="s">
        <v>33576</v>
      </c>
      <c r="L399" t="s">
        <v>33609</v>
      </c>
      <c r="N399" t="s">
        <v>35321</v>
      </c>
      <c r="O399" t="s">
        <v>35320</v>
      </c>
      <c r="P399">
        <v>32067</v>
      </c>
      <c r="T399" s="22" t="s">
        <v>37495</v>
      </c>
      <c r="U399" s="22" t="s">
        <v>104</v>
      </c>
    </row>
    <row r="400" spans="1:21" x14ac:dyDescent="0.75">
      <c r="A400" t="s">
        <v>873</v>
      </c>
      <c r="B400" t="s">
        <v>33572</v>
      </c>
      <c r="C400" t="s">
        <v>34157</v>
      </c>
      <c r="D400" t="s">
        <v>34156</v>
      </c>
      <c r="E400" t="s">
        <v>34155</v>
      </c>
      <c r="F400" t="s">
        <v>34154</v>
      </c>
      <c r="G400" t="s">
        <v>6425</v>
      </c>
      <c r="H400" t="s">
        <v>9328</v>
      </c>
      <c r="J400" t="s">
        <v>33567</v>
      </c>
      <c r="K400" t="s">
        <v>33566</v>
      </c>
      <c r="L400" t="s">
        <v>33575</v>
      </c>
      <c r="N400" t="s">
        <v>35319</v>
      </c>
      <c r="O400" t="s">
        <v>35318</v>
      </c>
      <c r="P400">
        <v>157687</v>
      </c>
      <c r="Q400" t="s">
        <v>35317</v>
      </c>
      <c r="R400" t="s">
        <v>35316</v>
      </c>
      <c r="T400" s="22" t="s">
        <v>874</v>
      </c>
      <c r="U400" s="22" t="s">
        <v>104</v>
      </c>
    </row>
    <row r="401" spans="1:21" x14ac:dyDescent="0.75">
      <c r="A401" t="s">
        <v>9833</v>
      </c>
      <c r="B401" t="s">
        <v>33572</v>
      </c>
      <c r="C401" t="s">
        <v>33606</v>
      </c>
      <c r="D401" t="s">
        <v>33913</v>
      </c>
      <c r="E401" t="s">
        <v>33912</v>
      </c>
      <c r="F401" t="s">
        <v>35284</v>
      </c>
      <c r="G401" t="s">
        <v>9834</v>
      </c>
      <c r="H401" t="s">
        <v>9835</v>
      </c>
      <c r="J401" t="s">
        <v>33567</v>
      </c>
      <c r="K401" t="s">
        <v>33566</v>
      </c>
      <c r="L401" t="s">
        <v>35297</v>
      </c>
      <c r="N401" t="s">
        <v>35315</v>
      </c>
      <c r="O401" t="s">
        <v>35314</v>
      </c>
      <c r="P401">
        <v>1580</v>
      </c>
      <c r="Q401" t="s">
        <v>35313</v>
      </c>
      <c r="R401" t="s">
        <v>35312</v>
      </c>
      <c r="T401" s="22" t="s">
        <v>37110</v>
      </c>
      <c r="U401" s="22" t="s">
        <v>144</v>
      </c>
    </row>
    <row r="402" spans="1:21" x14ac:dyDescent="0.75">
      <c r="A402" t="s">
        <v>6161</v>
      </c>
      <c r="B402" t="s">
        <v>33572</v>
      </c>
      <c r="C402" t="s">
        <v>33606</v>
      </c>
      <c r="D402" t="s">
        <v>33913</v>
      </c>
      <c r="E402" t="s">
        <v>33912</v>
      </c>
      <c r="F402" t="s">
        <v>35284</v>
      </c>
      <c r="G402" t="s">
        <v>6162</v>
      </c>
      <c r="H402" t="s">
        <v>6163</v>
      </c>
      <c r="J402" t="s">
        <v>33567</v>
      </c>
      <c r="K402" t="s">
        <v>33566</v>
      </c>
      <c r="L402" t="s">
        <v>33659</v>
      </c>
      <c r="N402" t="s">
        <v>35311</v>
      </c>
      <c r="O402" t="s">
        <v>33614</v>
      </c>
      <c r="P402">
        <v>1624</v>
      </c>
      <c r="Q402" t="s">
        <v>35310</v>
      </c>
      <c r="R402" t="s">
        <v>35309</v>
      </c>
      <c r="T402" s="22" t="s">
        <v>37111</v>
      </c>
      <c r="U402" s="22" t="s">
        <v>1563</v>
      </c>
    </row>
    <row r="403" spans="1:21" x14ac:dyDescent="0.75">
      <c r="A403" t="s">
        <v>6954</v>
      </c>
      <c r="B403" t="s">
        <v>33572</v>
      </c>
      <c r="C403" t="s">
        <v>33606</v>
      </c>
      <c r="D403" t="s">
        <v>33913</v>
      </c>
      <c r="E403" t="s">
        <v>33912</v>
      </c>
      <c r="F403" t="s">
        <v>35284</v>
      </c>
      <c r="G403" t="s">
        <v>6201</v>
      </c>
      <c r="H403" t="s">
        <v>6955</v>
      </c>
      <c r="J403" t="s">
        <v>33567</v>
      </c>
      <c r="K403" t="s">
        <v>33566</v>
      </c>
      <c r="L403" t="s">
        <v>35283</v>
      </c>
      <c r="N403" t="s">
        <v>35308</v>
      </c>
      <c r="O403" t="s">
        <v>35307</v>
      </c>
      <c r="P403">
        <v>181675</v>
      </c>
      <c r="Q403" t="s">
        <v>35306</v>
      </c>
      <c r="R403" t="s">
        <v>35305</v>
      </c>
      <c r="T403" s="22" t="s">
        <v>37113</v>
      </c>
      <c r="U403" s="22" t="s">
        <v>1308</v>
      </c>
    </row>
    <row r="404" spans="1:21" x14ac:dyDescent="0.75">
      <c r="A404" t="s">
        <v>6808</v>
      </c>
      <c r="B404" t="s">
        <v>33572</v>
      </c>
      <c r="C404" t="s">
        <v>33606</v>
      </c>
      <c r="D404" t="s">
        <v>33913</v>
      </c>
      <c r="E404" t="s">
        <v>33912</v>
      </c>
      <c r="F404" t="s">
        <v>35284</v>
      </c>
      <c r="G404" t="s">
        <v>6201</v>
      </c>
      <c r="H404" t="s">
        <v>6809</v>
      </c>
      <c r="J404" t="s">
        <v>33567</v>
      </c>
      <c r="K404" t="s">
        <v>33566</v>
      </c>
      <c r="L404" t="s">
        <v>33587</v>
      </c>
      <c r="N404" t="s">
        <v>35304</v>
      </c>
      <c r="O404" t="s">
        <v>35303</v>
      </c>
      <c r="P404">
        <v>1613</v>
      </c>
      <c r="Q404" t="s">
        <v>35302</v>
      </c>
      <c r="R404" t="s">
        <v>35301</v>
      </c>
      <c r="T404" s="22" t="s">
        <v>37112</v>
      </c>
      <c r="U404" s="22" t="s">
        <v>104</v>
      </c>
    </row>
    <row r="405" spans="1:21" x14ac:dyDescent="0.75">
      <c r="A405" t="s">
        <v>7312</v>
      </c>
      <c r="B405" t="s">
        <v>33572</v>
      </c>
      <c r="C405" t="s">
        <v>33606</v>
      </c>
      <c r="D405" t="s">
        <v>33913</v>
      </c>
      <c r="E405" t="s">
        <v>33912</v>
      </c>
      <c r="F405" t="s">
        <v>35284</v>
      </c>
      <c r="G405" t="s">
        <v>6201</v>
      </c>
      <c r="H405" t="s">
        <v>6565</v>
      </c>
      <c r="J405" t="s">
        <v>33567</v>
      </c>
      <c r="K405" t="s">
        <v>33566</v>
      </c>
      <c r="L405" t="s">
        <v>33659</v>
      </c>
      <c r="N405" t="s">
        <v>35300</v>
      </c>
      <c r="O405" t="s">
        <v>33614</v>
      </c>
      <c r="P405">
        <v>1632</v>
      </c>
      <c r="Q405" t="s">
        <v>35299</v>
      </c>
      <c r="R405" t="s">
        <v>35298</v>
      </c>
      <c r="T405" s="22" t="s">
        <v>37115</v>
      </c>
      <c r="U405" s="22" t="s">
        <v>1563</v>
      </c>
    </row>
    <row r="406" spans="1:21" x14ac:dyDescent="0.75">
      <c r="A406" t="s">
        <v>10916</v>
      </c>
      <c r="B406" t="s">
        <v>33572</v>
      </c>
      <c r="C406" t="s">
        <v>33606</v>
      </c>
      <c r="D406" t="s">
        <v>33913</v>
      </c>
      <c r="E406" t="s">
        <v>33912</v>
      </c>
      <c r="F406" t="s">
        <v>35284</v>
      </c>
      <c r="G406" t="s">
        <v>6201</v>
      </c>
      <c r="H406" t="s">
        <v>10917</v>
      </c>
      <c r="J406" t="s">
        <v>33567</v>
      </c>
      <c r="K406" t="s">
        <v>33566</v>
      </c>
      <c r="L406" t="s">
        <v>35297</v>
      </c>
      <c r="M406" t="s">
        <v>35296</v>
      </c>
      <c r="N406" t="s">
        <v>35295</v>
      </c>
      <c r="O406" t="s">
        <v>33614</v>
      </c>
      <c r="P406">
        <v>47493</v>
      </c>
      <c r="Q406" t="s">
        <v>35294</v>
      </c>
      <c r="R406" t="s">
        <v>35293</v>
      </c>
      <c r="T406" s="22" t="s">
        <v>37117</v>
      </c>
      <c r="U406" s="22" t="s">
        <v>144</v>
      </c>
    </row>
    <row r="407" spans="1:21" x14ac:dyDescent="0.75">
      <c r="A407" t="s">
        <v>6200</v>
      </c>
      <c r="B407" t="s">
        <v>33572</v>
      </c>
      <c r="C407" t="s">
        <v>33606</v>
      </c>
      <c r="D407" t="s">
        <v>33913</v>
      </c>
      <c r="E407" t="s">
        <v>33912</v>
      </c>
      <c r="F407" t="s">
        <v>35284</v>
      </c>
      <c r="G407" t="s">
        <v>6201</v>
      </c>
      <c r="H407" t="s">
        <v>6202</v>
      </c>
      <c r="J407" t="s">
        <v>33567</v>
      </c>
      <c r="K407" t="s">
        <v>33566</v>
      </c>
      <c r="L407" t="s">
        <v>35292</v>
      </c>
      <c r="N407" t="s">
        <v>35291</v>
      </c>
      <c r="O407" t="s">
        <v>35290</v>
      </c>
      <c r="P407">
        <v>1598</v>
      </c>
      <c r="Q407" t="s">
        <v>35289</v>
      </c>
      <c r="R407" t="s">
        <v>35288</v>
      </c>
      <c r="T407" s="22" t="s">
        <v>37116</v>
      </c>
      <c r="U407" s="22" t="s">
        <v>1563</v>
      </c>
    </row>
    <row r="408" spans="1:21" x14ac:dyDescent="0.75">
      <c r="A408" t="s">
        <v>35287</v>
      </c>
      <c r="B408" t="s">
        <v>33572</v>
      </c>
      <c r="C408" t="s">
        <v>33606</v>
      </c>
      <c r="D408" t="s">
        <v>33913</v>
      </c>
      <c r="E408" t="s">
        <v>33912</v>
      </c>
      <c r="F408" t="s">
        <v>35284</v>
      </c>
      <c r="G408" t="s">
        <v>6201</v>
      </c>
      <c r="H408" t="s">
        <v>35286</v>
      </c>
      <c r="J408" t="s">
        <v>33617</v>
      </c>
      <c r="K408" t="s">
        <v>33703</v>
      </c>
      <c r="L408" t="s">
        <v>33659</v>
      </c>
      <c r="N408" t="s">
        <v>34293</v>
      </c>
      <c r="O408" t="s">
        <v>35285</v>
      </c>
      <c r="P408">
        <v>671212</v>
      </c>
      <c r="T408" s="22" t="s">
        <v>37496</v>
      </c>
      <c r="U408" s="22" t="s">
        <v>1563</v>
      </c>
    </row>
    <row r="409" spans="1:21" x14ac:dyDescent="0.75">
      <c r="A409" t="s">
        <v>6830</v>
      </c>
      <c r="B409" t="s">
        <v>33572</v>
      </c>
      <c r="C409" t="s">
        <v>33606</v>
      </c>
      <c r="D409" t="s">
        <v>33913</v>
      </c>
      <c r="E409" t="s">
        <v>33912</v>
      </c>
      <c r="F409" t="s">
        <v>35284</v>
      </c>
      <c r="G409" t="s">
        <v>6201</v>
      </c>
      <c r="H409" t="s">
        <v>6831</v>
      </c>
      <c r="J409" t="s">
        <v>33567</v>
      </c>
      <c r="K409" t="s">
        <v>33566</v>
      </c>
      <c r="L409" t="s">
        <v>35283</v>
      </c>
      <c r="N409" t="s">
        <v>35282</v>
      </c>
      <c r="O409" t="s">
        <v>33614</v>
      </c>
      <c r="P409">
        <v>1633</v>
      </c>
      <c r="Q409" t="s">
        <v>35281</v>
      </c>
      <c r="R409" t="s">
        <v>35280</v>
      </c>
      <c r="T409" s="22" t="s">
        <v>37114</v>
      </c>
      <c r="U409" s="22" t="s">
        <v>1308</v>
      </c>
    </row>
    <row r="410" spans="1:21" x14ac:dyDescent="0.75">
      <c r="A410" t="s">
        <v>8893</v>
      </c>
      <c r="B410" t="s">
        <v>33572</v>
      </c>
      <c r="C410" t="s">
        <v>33606</v>
      </c>
      <c r="D410" t="s">
        <v>33913</v>
      </c>
      <c r="E410" t="s">
        <v>34090</v>
      </c>
      <c r="F410" t="s">
        <v>35279</v>
      </c>
      <c r="G410" t="s">
        <v>8894</v>
      </c>
      <c r="H410" t="s">
        <v>8895</v>
      </c>
      <c r="J410" t="s">
        <v>33567</v>
      </c>
      <c r="K410" t="s">
        <v>33566</v>
      </c>
      <c r="L410" t="s">
        <v>33651</v>
      </c>
      <c r="N410" t="s">
        <v>35278</v>
      </c>
      <c r="O410" t="s">
        <v>35277</v>
      </c>
      <c r="P410">
        <v>1639</v>
      </c>
      <c r="Q410" t="s">
        <v>35276</v>
      </c>
      <c r="R410" t="s">
        <v>35275</v>
      </c>
      <c r="T410" s="22" t="s">
        <v>37118</v>
      </c>
      <c r="U410" s="22" t="s">
        <v>144</v>
      </c>
    </row>
    <row r="411" spans="1:21" x14ac:dyDescent="0.75">
      <c r="A411" t="s">
        <v>10463</v>
      </c>
      <c r="B411" t="s">
        <v>33572</v>
      </c>
      <c r="C411" t="s">
        <v>33606</v>
      </c>
      <c r="D411" t="s">
        <v>33913</v>
      </c>
      <c r="E411" t="s">
        <v>34090</v>
      </c>
      <c r="F411" t="s">
        <v>35274</v>
      </c>
      <c r="G411" t="s">
        <v>10464</v>
      </c>
      <c r="H411" t="s">
        <v>10465</v>
      </c>
      <c r="J411" t="s">
        <v>33567</v>
      </c>
      <c r="K411" t="s">
        <v>33566</v>
      </c>
      <c r="L411" t="s">
        <v>33651</v>
      </c>
      <c r="N411" t="s">
        <v>35273</v>
      </c>
      <c r="O411" t="s">
        <v>35272</v>
      </c>
      <c r="P411">
        <v>28031</v>
      </c>
      <c r="Q411" t="s">
        <v>35271</v>
      </c>
      <c r="R411" t="s">
        <v>35270</v>
      </c>
      <c r="T411" s="22" t="s">
        <v>37119</v>
      </c>
      <c r="U411" s="22" t="s">
        <v>144</v>
      </c>
    </row>
    <row r="412" spans="1:21" x14ac:dyDescent="0.75">
      <c r="A412" t="s">
        <v>7276</v>
      </c>
      <c r="B412" t="s">
        <v>33572</v>
      </c>
      <c r="C412" t="s">
        <v>33606</v>
      </c>
      <c r="D412" t="s">
        <v>33605</v>
      </c>
      <c r="E412" t="s">
        <v>33604</v>
      </c>
      <c r="F412" t="s">
        <v>33603</v>
      </c>
      <c r="G412" t="s">
        <v>7093</v>
      </c>
      <c r="H412" t="s">
        <v>7277</v>
      </c>
      <c r="J412" t="s">
        <v>33567</v>
      </c>
      <c r="K412" t="s">
        <v>33566</v>
      </c>
      <c r="L412" t="s">
        <v>33666</v>
      </c>
      <c r="N412" t="s">
        <v>35269</v>
      </c>
      <c r="O412" t="s">
        <v>33614</v>
      </c>
      <c r="P412">
        <v>906</v>
      </c>
      <c r="Q412" t="s">
        <v>35268</v>
      </c>
      <c r="R412" t="s">
        <v>35267</v>
      </c>
      <c r="T412" s="22" t="s">
        <v>37120</v>
      </c>
      <c r="U412" s="22" t="s">
        <v>1308</v>
      </c>
    </row>
    <row r="413" spans="1:21" x14ac:dyDescent="0.75">
      <c r="A413" t="s">
        <v>7092</v>
      </c>
      <c r="B413" t="s">
        <v>33572</v>
      </c>
      <c r="C413" t="s">
        <v>33606</v>
      </c>
      <c r="D413" t="s">
        <v>33605</v>
      </c>
      <c r="E413" t="s">
        <v>33604</v>
      </c>
      <c r="F413" t="s">
        <v>33603</v>
      </c>
      <c r="G413" t="s">
        <v>7093</v>
      </c>
      <c r="H413" t="s">
        <v>7094</v>
      </c>
      <c r="J413" t="s">
        <v>33567</v>
      </c>
      <c r="K413" t="s">
        <v>33566</v>
      </c>
      <c r="L413" t="s">
        <v>33575</v>
      </c>
      <c r="N413" t="s">
        <v>35266</v>
      </c>
      <c r="O413" t="s">
        <v>35265</v>
      </c>
      <c r="P413">
        <v>187326</v>
      </c>
      <c r="Q413" t="s">
        <v>35264</v>
      </c>
      <c r="R413" t="s">
        <v>35263</v>
      </c>
      <c r="T413" s="22" t="s">
        <v>37121</v>
      </c>
      <c r="U413" s="22" t="s">
        <v>104</v>
      </c>
    </row>
    <row r="414" spans="1:21" x14ac:dyDescent="0.75">
      <c r="A414" t="s">
        <v>687</v>
      </c>
      <c r="B414" t="s">
        <v>33572</v>
      </c>
      <c r="C414" t="s">
        <v>35262</v>
      </c>
      <c r="D414" t="s">
        <v>35261</v>
      </c>
      <c r="E414" t="s">
        <v>35260</v>
      </c>
      <c r="F414" t="s">
        <v>35259</v>
      </c>
      <c r="G414" t="s">
        <v>8695</v>
      </c>
      <c r="H414" t="s">
        <v>8696</v>
      </c>
      <c r="J414" t="s">
        <v>33567</v>
      </c>
      <c r="K414" t="s">
        <v>33566</v>
      </c>
      <c r="L414" t="s">
        <v>34437</v>
      </c>
      <c r="O414" t="s">
        <v>35258</v>
      </c>
      <c r="P414">
        <v>1134405</v>
      </c>
      <c r="Q414" t="s">
        <v>685</v>
      </c>
      <c r="R414" t="s">
        <v>35257</v>
      </c>
      <c r="T414" s="22" t="s">
        <v>688</v>
      </c>
      <c r="U414" s="22" t="s">
        <v>686</v>
      </c>
    </row>
    <row r="415" spans="1:21" x14ac:dyDescent="0.75">
      <c r="A415" t="s">
        <v>6183</v>
      </c>
      <c r="B415" t="s">
        <v>33572</v>
      </c>
      <c r="C415" t="s">
        <v>33571</v>
      </c>
      <c r="D415" t="s">
        <v>34135</v>
      </c>
      <c r="E415" t="s">
        <v>35256</v>
      </c>
      <c r="F415" t="s">
        <v>35255</v>
      </c>
      <c r="G415" t="s">
        <v>6184</v>
      </c>
      <c r="H415" t="s">
        <v>6185</v>
      </c>
      <c r="J415" t="s">
        <v>33567</v>
      </c>
      <c r="K415" t="s">
        <v>33566</v>
      </c>
      <c r="L415" t="s">
        <v>33651</v>
      </c>
      <c r="N415" t="s">
        <v>35254</v>
      </c>
      <c r="O415" t="s">
        <v>35253</v>
      </c>
      <c r="P415">
        <v>2066070</v>
      </c>
      <c r="Q415" t="s">
        <v>35252</v>
      </c>
      <c r="R415" t="s">
        <v>35251</v>
      </c>
      <c r="T415" s="22" t="s">
        <v>37122</v>
      </c>
      <c r="U415" s="22" t="s">
        <v>144</v>
      </c>
    </row>
    <row r="416" spans="1:21" x14ac:dyDescent="0.75">
      <c r="A416" t="s">
        <v>35250</v>
      </c>
      <c r="B416" t="s">
        <v>33572</v>
      </c>
      <c r="C416" t="s">
        <v>33670</v>
      </c>
      <c r="D416" t="s">
        <v>33669</v>
      </c>
      <c r="E416" t="s">
        <v>33668</v>
      </c>
      <c r="F416" t="s">
        <v>35113</v>
      </c>
      <c r="G416" t="s">
        <v>9532</v>
      </c>
      <c r="H416" t="s">
        <v>35249</v>
      </c>
      <c r="J416" t="s">
        <v>33567</v>
      </c>
      <c r="K416" t="s">
        <v>33566</v>
      </c>
      <c r="L416" t="s">
        <v>33587</v>
      </c>
      <c r="N416" t="s">
        <v>35248</v>
      </c>
      <c r="O416" t="s">
        <v>35247</v>
      </c>
      <c r="P416">
        <v>55602</v>
      </c>
      <c r="T416" s="22" t="s">
        <v>37372</v>
      </c>
      <c r="U416" s="22" t="s">
        <v>104</v>
      </c>
    </row>
    <row r="417" spans="1:21" x14ac:dyDescent="0.75">
      <c r="A417" t="s">
        <v>35246</v>
      </c>
      <c r="B417" t="s">
        <v>33572</v>
      </c>
      <c r="C417" t="s">
        <v>33670</v>
      </c>
      <c r="D417" t="s">
        <v>33669</v>
      </c>
      <c r="E417" t="s">
        <v>33668</v>
      </c>
      <c r="F417" t="s">
        <v>35113</v>
      </c>
      <c r="G417" t="s">
        <v>9532</v>
      </c>
      <c r="H417" t="s">
        <v>35245</v>
      </c>
      <c r="J417" t="s">
        <v>33567</v>
      </c>
      <c r="K417" t="s">
        <v>33566</v>
      </c>
      <c r="L417" t="s">
        <v>33609</v>
      </c>
      <c r="N417" t="s">
        <v>35244</v>
      </c>
      <c r="O417" t="s">
        <v>35243</v>
      </c>
      <c r="P417">
        <v>56142</v>
      </c>
      <c r="T417" s="22" t="s">
        <v>37373</v>
      </c>
      <c r="U417" s="22" t="s">
        <v>104</v>
      </c>
    </row>
    <row r="418" spans="1:21" x14ac:dyDescent="0.75">
      <c r="A418" t="s">
        <v>18699</v>
      </c>
      <c r="B418" t="s">
        <v>33572</v>
      </c>
      <c r="C418" t="s">
        <v>33670</v>
      </c>
      <c r="D418" t="s">
        <v>33669</v>
      </c>
      <c r="E418" t="s">
        <v>33668</v>
      </c>
      <c r="F418" t="s">
        <v>35113</v>
      </c>
      <c r="G418" t="s">
        <v>9532</v>
      </c>
      <c r="H418" t="s">
        <v>6928</v>
      </c>
      <c r="J418" t="s">
        <v>33567</v>
      </c>
      <c r="K418" t="s">
        <v>33566</v>
      </c>
      <c r="L418" t="s">
        <v>33666</v>
      </c>
      <c r="N418" t="s">
        <v>35242</v>
      </c>
      <c r="O418" t="s">
        <v>35241</v>
      </c>
      <c r="P418">
        <v>2098</v>
      </c>
      <c r="Q418" t="s">
        <v>35240</v>
      </c>
      <c r="R418" t="s">
        <v>35239</v>
      </c>
      <c r="T418" s="22" t="s">
        <v>37125</v>
      </c>
      <c r="U418" s="22" t="s">
        <v>1308</v>
      </c>
    </row>
    <row r="419" spans="1:21" x14ac:dyDescent="0.75">
      <c r="A419" t="s">
        <v>9531</v>
      </c>
      <c r="B419" t="s">
        <v>33572</v>
      </c>
      <c r="C419" t="s">
        <v>33670</v>
      </c>
      <c r="D419" t="s">
        <v>33669</v>
      </c>
      <c r="E419" t="s">
        <v>33668</v>
      </c>
      <c r="F419" t="s">
        <v>35113</v>
      </c>
      <c r="G419" t="s">
        <v>9532</v>
      </c>
      <c r="H419" t="s">
        <v>8428</v>
      </c>
      <c r="J419" t="s">
        <v>33567</v>
      </c>
      <c r="K419" t="s">
        <v>33566</v>
      </c>
      <c r="L419" t="s">
        <v>33587</v>
      </c>
      <c r="N419" t="s">
        <v>35238</v>
      </c>
      <c r="O419" t="s">
        <v>35237</v>
      </c>
      <c r="P419">
        <v>2121</v>
      </c>
      <c r="Q419" t="s">
        <v>9530</v>
      </c>
      <c r="R419" t="s">
        <v>35236</v>
      </c>
      <c r="T419" s="22" t="s">
        <v>37124</v>
      </c>
      <c r="U419" s="22" t="s">
        <v>104</v>
      </c>
    </row>
    <row r="420" spans="1:21" x14ac:dyDescent="0.75">
      <c r="A420" t="s">
        <v>10027</v>
      </c>
      <c r="B420" t="s">
        <v>33572</v>
      </c>
      <c r="C420" t="s">
        <v>33670</v>
      </c>
      <c r="D420" t="s">
        <v>33669</v>
      </c>
      <c r="E420" t="s">
        <v>33668</v>
      </c>
      <c r="F420" t="s">
        <v>35113</v>
      </c>
      <c r="G420" t="s">
        <v>9532</v>
      </c>
      <c r="H420" t="s">
        <v>10028</v>
      </c>
      <c r="J420" t="s">
        <v>33567</v>
      </c>
      <c r="K420" t="s">
        <v>33566</v>
      </c>
      <c r="L420" t="s">
        <v>33575</v>
      </c>
      <c r="N420" t="s">
        <v>35235</v>
      </c>
      <c r="O420" t="s">
        <v>35234</v>
      </c>
      <c r="P420">
        <v>2124</v>
      </c>
      <c r="Q420" t="s">
        <v>35233</v>
      </c>
      <c r="R420" t="s">
        <v>35232</v>
      </c>
      <c r="T420" s="22" t="s">
        <v>37123</v>
      </c>
      <c r="U420" s="22" t="s">
        <v>104</v>
      </c>
    </row>
    <row r="421" spans="1:21" x14ac:dyDescent="0.75">
      <c r="A421" t="s">
        <v>10215</v>
      </c>
      <c r="B421" t="s">
        <v>35231</v>
      </c>
      <c r="C421" t="s">
        <v>35230</v>
      </c>
      <c r="D421" t="s">
        <v>35229</v>
      </c>
      <c r="E421" t="s">
        <v>35228</v>
      </c>
      <c r="F421" t="s">
        <v>35227</v>
      </c>
      <c r="G421" t="s">
        <v>10216</v>
      </c>
      <c r="H421" t="s">
        <v>6535</v>
      </c>
      <c r="J421" t="s">
        <v>33567</v>
      </c>
      <c r="K421" t="s">
        <v>33566</v>
      </c>
      <c r="L421" t="s">
        <v>33587</v>
      </c>
      <c r="P421">
        <v>66851</v>
      </c>
      <c r="Q421" t="s">
        <v>35226</v>
      </c>
      <c r="R421" t="s">
        <v>35225</v>
      </c>
      <c r="T421" s="22" t="s">
        <v>37126</v>
      </c>
      <c r="U421" s="22" t="s">
        <v>104</v>
      </c>
    </row>
    <row r="422" spans="1:21" x14ac:dyDescent="0.75">
      <c r="A422" t="s">
        <v>7976</v>
      </c>
      <c r="B422" t="s">
        <v>33572</v>
      </c>
      <c r="C422" t="s">
        <v>33571</v>
      </c>
      <c r="D422" t="s">
        <v>35224</v>
      </c>
      <c r="E422" t="s">
        <v>35223</v>
      </c>
      <c r="F422" t="s">
        <v>35222</v>
      </c>
      <c r="G422" t="s">
        <v>7977</v>
      </c>
      <c r="H422" t="s">
        <v>7978</v>
      </c>
      <c r="J422" t="s">
        <v>33567</v>
      </c>
      <c r="K422" t="s">
        <v>33566</v>
      </c>
      <c r="L422" t="s">
        <v>33659</v>
      </c>
      <c r="O422" t="s">
        <v>35221</v>
      </c>
      <c r="P422">
        <v>349221</v>
      </c>
      <c r="Q422" t="s">
        <v>35220</v>
      </c>
      <c r="R422" t="s">
        <v>35219</v>
      </c>
      <c r="T422" s="22" t="s">
        <v>37127</v>
      </c>
      <c r="U422" s="22" t="s">
        <v>1563</v>
      </c>
    </row>
    <row r="423" spans="1:21" x14ac:dyDescent="0.75">
      <c r="A423" t="s">
        <v>11610</v>
      </c>
      <c r="B423" t="s">
        <v>33572</v>
      </c>
      <c r="C423" t="s">
        <v>34169</v>
      </c>
      <c r="D423" t="s">
        <v>34355</v>
      </c>
      <c r="E423" t="s">
        <v>34409</v>
      </c>
      <c r="F423" t="s">
        <v>35213</v>
      </c>
      <c r="G423" t="s">
        <v>9458</v>
      </c>
      <c r="H423" t="s">
        <v>11611</v>
      </c>
      <c r="J423" t="s">
        <v>33567</v>
      </c>
      <c r="K423" t="s">
        <v>33566</v>
      </c>
      <c r="L423" t="s">
        <v>33651</v>
      </c>
      <c r="M423" t="s">
        <v>35218</v>
      </c>
      <c r="N423" t="s">
        <v>35217</v>
      </c>
      <c r="O423" t="s">
        <v>35216</v>
      </c>
      <c r="P423">
        <v>400772</v>
      </c>
      <c r="Q423" t="s">
        <v>35215</v>
      </c>
      <c r="R423" t="s">
        <v>35214</v>
      </c>
      <c r="T423" s="22" t="s">
        <v>37128</v>
      </c>
      <c r="U423" s="22" t="s">
        <v>144</v>
      </c>
    </row>
    <row r="424" spans="1:21" x14ac:dyDescent="0.75">
      <c r="A424" t="s">
        <v>9457</v>
      </c>
      <c r="B424" t="s">
        <v>33572</v>
      </c>
      <c r="C424" t="s">
        <v>34169</v>
      </c>
      <c r="D424" t="s">
        <v>34355</v>
      </c>
      <c r="E424" t="s">
        <v>34409</v>
      </c>
      <c r="F424" t="s">
        <v>35213</v>
      </c>
      <c r="G424" t="s">
        <v>9458</v>
      </c>
      <c r="H424" t="s">
        <v>9459</v>
      </c>
      <c r="J424" t="s">
        <v>33617</v>
      </c>
      <c r="K424" t="s">
        <v>33566</v>
      </c>
      <c r="L424" t="s">
        <v>33651</v>
      </c>
      <c r="M424" t="s">
        <v>35212</v>
      </c>
      <c r="N424" t="s">
        <v>35211</v>
      </c>
      <c r="O424" t="s">
        <v>35210</v>
      </c>
      <c r="P424">
        <v>69366</v>
      </c>
      <c r="Q424" t="s">
        <v>35209</v>
      </c>
      <c r="R424" t="s">
        <v>35208</v>
      </c>
      <c r="T424" s="22" t="s">
        <v>37497</v>
      </c>
      <c r="U424" s="22" t="s">
        <v>144</v>
      </c>
    </row>
    <row r="425" spans="1:21" x14ac:dyDescent="0.75">
      <c r="A425" t="s">
        <v>6410</v>
      </c>
      <c r="B425" t="s">
        <v>33572</v>
      </c>
      <c r="C425" t="s">
        <v>34169</v>
      </c>
      <c r="D425" t="s">
        <v>34355</v>
      </c>
      <c r="E425" t="s">
        <v>34409</v>
      </c>
      <c r="F425" t="s">
        <v>34483</v>
      </c>
      <c r="G425" t="s">
        <v>6411</v>
      </c>
      <c r="H425" t="s">
        <v>6412</v>
      </c>
      <c r="J425" t="s">
        <v>33567</v>
      </c>
      <c r="K425" t="s">
        <v>33566</v>
      </c>
      <c r="L425" t="s">
        <v>34547</v>
      </c>
      <c r="O425" t="s">
        <v>34368</v>
      </c>
      <c r="P425">
        <v>1270</v>
      </c>
      <c r="Q425" t="s">
        <v>35207</v>
      </c>
      <c r="R425" t="s">
        <v>35206</v>
      </c>
      <c r="T425" s="22" t="s">
        <v>37130</v>
      </c>
      <c r="U425" s="22" t="s">
        <v>144</v>
      </c>
    </row>
    <row r="426" spans="1:21" x14ac:dyDescent="0.75">
      <c r="A426" t="s">
        <v>6727</v>
      </c>
      <c r="B426" t="s">
        <v>33572</v>
      </c>
      <c r="C426" t="s">
        <v>33606</v>
      </c>
      <c r="D426" t="s">
        <v>33605</v>
      </c>
      <c r="E426" t="s">
        <v>34188</v>
      </c>
      <c r="F426" t="s">
        <v>34187</v>
      </c>
      <c r="G426" t="s">
        <v>6728</v>
      </c>
      <c r="H426" t="s">
        <v>6729</v>
      </c>
      <c r="J426" t="s">
        <v>33567</v>
      </c>
      <c r="K426" t="s">
        <v>33566</v>
      </c>
      <c r="L426" t="s">
        <v>33659</v>
      </c>
      <c r="N426" t="s">
        <v>35205</v>
      </c>
      <c r="O426" t="s">
        <v>35204</v>
      </c>
      <c r="P426">
        <v>52226</v>
      </c>
      <c r="Q426" t="s">
        <v>35203</v>
      </c>
      <c r="R426" t="s">
        <v>35202</v>
      </c>
      <c r="T426" s="22" t="s">
        <v>37131</v>
      </c>
      <c r="U426" s="22" t="s">
        <v>1563</v>
      </c>
    </row>
    <row r="427" spans="1:21" x14ac:dyDescent="0.75">
      <c r="A427" t="s">
        <v>9855</v>
      </c>
      <c r="B427" t="s">
        <v>33572</v>
      </c>
      <c r="C427" t="s">
        <v>33606</v>
      </c>
      <c r="D427" t="s">
        <v>33605</v>
      </c>
      <c r="E427" t="s">
        <v>34188</v>
      </c>
      <c r="F427" t="s">
        <v>34187</v>
      </c>
      <c r="G427" t="s">
        <v>6728</v>
      </c>
      <c r="H427" t="s">
        <v>9856</v>
      </c>
      <c r="J427" t="s">
        <v>33617</v>
      </c>
      <c r="K427" t="s">
        <v>33566</v>
      </c>
      <c r="L427" t="s">
        <v>33587</v>
      </c>
      <c r="N427" t="s">
        <v>35201</v>
      </c>
      <c r="O427" t="s">
        <v>35200</v>
      </c>
      <c r="P427">
        <v>1321780</v>
      </c>
      <c r="Q427" t="s">
        <v>35199</v>
      </c>
      <c r="R427" t="s">
        <v>35198</v>
      </c>
      <c r="T427" s="22" t="s">
        <v>37498</v>
      </c>
      <c r="U427" s="22" t="s">
        <v>104</v>
      </c>
    </row>
    <row r="428" spans="1:21" x14ac:dyDescent="0.75">
      <c r="A428" t="s">
        <v>35197</v>
      </c>
      <c r="B428" t="s">
        <v>33572</v>
      </c>
      <c r="C428" t="s">
        <v>33606</v>
      </c>
      <c r="D428" t="s">
        <v>33605</v>
      </c>
      <c r="E428" t="s">
        <v>34188</v>
      </c>
      <c r="F428" t="s">
        <v>34187</v>
      </c>
      <c r="G428" t="s">
        <v>6728</v>
      </c>
      <c r="H428" t="s">
        <v>35196</v>
      </c>
      <c r="J428" t="s">
        <v>33577</v>
      </c>
      <c r="K428" t="s">
        <v>33576</v>
      </c>
      <c r="L428" t="s">
        <v>33575</v>
      </c>
      <c r="N428" t="s">
        <v>35195</v>
      </c>
      <c r="O428" t="s">
        <v>35194</v>
      </c>
      <c r="P428">
        <v>712391</v>
      </c>
      <c r="T428" s="22" t="s">
        <v>37499</v>
      </c>
      <c r="U428" s="22" t="s">
        <v>104</v>
      </c>
    </row>
    <row r="429" spans="1:21" x14ac:dyDescent="0.75">
      <c r="A429" t="s">
        <v>6662</v>
      </c>
      <c r="B429" t="s">
        <v>33572</v>
      </c>
      <c r="C429" t="s">
        <v>34169</v>
      </c>
      <c r="D429" t="s">
        <v>34355</v>
      </c>
      <c r="E429" t="s">
        <v>34354</v>
      </c>
      <c r="F429" t="s">
        <v>34353</v>
      </c>
      <c r="G429" t="s">
        <v>6663</v>
      </c>
      <c r="H429" t="s">
        <v>6664</v>
      </c>
      <c r="J429" t="s">
        <v>33567</v>
      </c>
      <c r="K429" t="s">
        <v>33566</v>
      </c>
      <c r="L429" t="s">
        <v>34932</v>
      </c>
      <c r="N429" t="s">
        <v>35193</v>
      </c>
      <c r="O429" t="s">
        <v>35192</v>
      </c>
      <c r="P429">
        <v>2052</v>
      </c>
      <c r="Q429" t="s">
        <v>35191</v>
      </c>
      <c r="R429" t="s">
        <v>35190</v>
      </c>
      <c r="T429" s="22" t="s">
        <v>37133</v>
      </c>
      <c r="U429" s="22" t="s">
        <v>1308</v>
      </c>
    </row>
    <row r="430" spans="1:21" x14ac:dyDescent="0.75">
      <c r="A430" t="s">
        <v>14730</v>
      </c>
      <c r="B430" t="s">
        <v>33572</v>
      </c>
      <c r="C430" t="s">
        <v>33606</v>
      </c>
      <c r="D430" t="s">
        <v>33663</v>
      </c>
      <c r="E430" t="s">
        <v>34746</v>
      </c>
      <c r="F430" t="s">
        <v>35177</v>
      </c>
      <c r="G430" t="s">
        <v>8834</v>
      </c>
      <c r="H430" t="s">
        <v>14731</v>
      </c>
      <c r="J430" t="s">
        <v>33567</v>
      </c>
      <c r="K430" t="s">
        <v>33566</v>
      </c>
      <c r="L430" t="s">
        <v>33575</v>
      </c>
      <c r="N430" t="s">
        <v>35189</v>
      </c>
      <c r="O430" t="s">
        <v>33614</v>
      </c>
      <c r="P430">
        <v>114527</v>
      </c>
      <c r="Q430" t="s">
        <v>35188</v>
      </c>
      <c r="R430" t="s">
        <v>35187</v>
      </c>
      <c r="T430" s="22" t="s">
        <v>37137</v>
      </c>
      <c r="U430" s="22" t="s">
        <v>104</v>
      </c>
    </row>
    <row r="431" spans="1:21" x14ac:dyDescent="0.75">
      <c r="A431" t="s">
        <v>26470</v>
      </c>
      <c r="B431" t="s">
        <v>33572</v>
      </c>
      <c r="C431" t="s">
        <v>33606</v>
      </c>
      <c r="D431" t="s">
        <v>33663</v>
      </c>
      <c r="E431" t="s">
        <v>34746</v>
      </c>
      <c r="F431" t="s">
        <v>35177</v>
      </c>
      <c r="G431" t="s">
        <v>8834</v>
      </c>
      <c r="H431" t="s">
        <v>26471</v>
      </c>
      <c r="J431" t="s">
        <v>33567</v>
      </c>
      <c r="K431" t="s">
        <v>33566</v>
      </c>
      <c r="L431" t="s">
        <v>33609</v>
      </c>
      <c r="N431" t="s">
        <v>35186</v>
      </c>
      <c r="O431" t="s">
        <v>33614</v>
      </c>
      <c r="P431">
        <v>114528</v>
      </c>
      <c r="Q431" t="s">
        <v>26469</v>
      </c>
      <c r="R431" t="s">
        <v>35185</v>
      </c>
      <c r="T431" s="22" t="s">
        <v>37136</v>
      </c>
      <c r="U431" s="22" t="s">
        <v>104</v>
      </c>
    </row>
    <row r="432" spans="1:21" x14ac:dyDescent="0.75">
      <c r="A432" t="s">
        <v>13831</v>
      </c>
      <c r="B432" t="s">
        <v>33572</v>
      </c>
      <c r="C432" t="s">
        <v>33606</v>
      </c>
      <c r="D432" t="s">
        <v>33663</v>
      </c>
      <c r="E432" t="s">
        <v>34746</v>
      </c>
      <c r="F432" t="s">
        <v>35177</v>
      </c>
      <c r="G432" t="s">
        <v>8834</v>
      </c>
      <c r="H432" t="s">
        <v>13832</v>
      </c>
      <c r="J432" t="s">
        <v>33567</v>
      </c>
      <c r="K432" t="s">
        <v>33566</v>
      </c>
      <c r="L432" t="s">
        <v>33587</v>
      </c>
      <c r="N432" t="s">
        <v>35184</v>
      </c>
      <c r="O432" t="s">
        <v>33614</v>
      </c>
      <c r="P432">
        <v>86332</v>
      </c>
      <c r="Q432" t="s">
        <v>13830</v>
      </c>
      <c r="R432" t="s">
        <v>35183</v>
      </c>
      <c r="T432" s="22" t="s">
        <v>37135</v>
      </c>
      <c r="U432" s="22" t="s">
        <v>104</v>
      </c>
    </row>
    <row r="433" spans="1:21" x14ac:dyDescent="0.75">
      <c r="A433" t="s">
        <v>8833</v>
      </c>
      <c r="B433" t="s">
        <v>33572</v>
      </c>
      <c r="C433" t="s">
        <v>33606</v>
      </c>
      <c r="D433" t="s">
        <v>33663</v>
      </c>
      <c r="E433" t="s">
        <v>34746</v>
      </c>
      <c r="F433" t="s">
        <v>35177</v>
      </c>
      <c r="G433" t="s">
        <v>8834</v>
      </c>
      <c r="H433" t="s">
        <v>8835</v>
      </c>
      <c r="J433" t="s">
        <v>33567</v>
      </c>
      <c r="K433" t="s">
        <v>33566</v>
      </c>
      <c r="L433" t="s">
        <v>33575</v>
      </c>
      <c r="N433" t="s">
        <v>35182</v>
      </c>
      <c r="O433" t="s">
        <v>35181</v>
      </c>
      <c r="P433">
        <v>35519</v>
      </c>
      <c r="Q433" t="s">
        <v>35180</v>
      </c>
      <c r="R433" t="s">
        <v>35179</v>
      </c>
      <c r="T433" s="22" t="s">
        <v>37134</v>
      </c>
      <c r="U433" s="22" t="s">
        <v>104</v>
      </c>
    </row>
    <row r="434" spans="1:21" x14ac:dyDescent="0.75">
      <c r="A434" t="s">
        <v>35178</v>
      </c>
      <c r="B434" t="s">
        <v>33572</v>
      </c>
      <c r="C434" t="s">
        <v>33606</v>
      </c>
      <c r="D434" t="s">
        <v>33663</v>
      </c>
      <c r="E434" t="s">
        <v>34746</v>
      </c>
      <c r="F434" t="s">
        <v>35177</v>
      </c>
      <c r="G434" t="s">
        <v>8834</v>
      </c>
      <c r="H434" t="s">
        <v>35176</v>
      </c>
      <c r="J434" t="s">
        <v>33567</v>
      </c>
      <c r="K434" t="s">
        <v>33566</v>
      </c>
      <c r="L434" t="s">
        <v>33609</v>
      </c>
      <c r="N434" t="s">
        <v>35175</v>
      </c>
      <c r="O434" t="s">
        <v>33614</v>
      </c>
      <c r="P434">
        <v>86333</v>
      </c>
      <c r="T434" s="22" t="s">
        <v>37374</v>
      </c>
      <c r="U434" s="22" t="s">
        <v>104</v>
      </c>
    </row>
    <row r="435" spans="1:21" x14ac:dyDescent="0.75">
      <c r="A435" t="s">
        <v>35174</v>
      </c>
      <c r="B435" t="s">
        <v>33572</v>
      </c>
      <c r="C435" t="s">
        <v>33670</v>
      </c>
      <c r="D435" t="s">
        <v>33669</v>
      </c>
      <c r="E435" t="s">
        <v>35173</v>
      </c>
      <c r="F435" t="s">
        <v>35172</v>
      </c>
      <c r="G435" t="s">
        <v>35171</v>
      </c>
      <c r="H435" t="s">
        <v>35170</v>
      </c>
      <c r="J435" t="s">
        <v>33577</v>
      </c>
      <c r="K435" t="s">
        <v>33576</v>
      </c>
      <c r="L435" t="s">
        <v>33587</v>
      </c>
      <c r="N435" t="s">
        <v>35169</v>
      </c>
      <c r="O435" t="s">
        <v>35168</v>
      </c>
      <c r="P435">
        <v>31969</v>
      </c>
      <c r="T435" s="22" t="s">
        <v>37500</v>
      </c>
      <c r="U435" s="22" t="s">
        <v>104</v>
      </c>
    </row>
    <row r="436" spans="1:21" x14ac:dyDescent="0.75">
      <c r="A436" t="s">
        <v>35167</v>
      </c>
      <c r="B436" t="s">
        <v>33572</v>
      </c>
      <c r="C436" t="s">
        <v>33670</v>
      </c>
      <c r="D436" t="s">
        <v>33669</v>
      </c>
      <c r="E436" t="s">
        <v>35166</v>
      </c>
      <c r="F436" t="s">
        <v>35165</v>
      </c>
      <c r="G436" t="s">
        <v>35164</v>
      </c>
      <c r="H436" t="s">
        <v>35163</v>
      </c>
      <c r="J436" t="s">
        <v>33577</v>
      </c>
      <c r="K436" t="s">
        <v>33576</v>
      </c>
      <c r="L436" t="s">
        <v>33587</v>
      </c>
      <c r="N436" t="s">
        <v>35162</v>
      </c>
      <c r="O436" t="s">
        <v>35161</v>
      </c>
      <c r="P436">
        <v>31969</v>
      </c>
      <c r="T436" s="22" t="s">
        <v>37501</v>
      </c>
      <c r="U436" s="22" t="s">
        <v>104</v>
      </c>
    </row>
    <row r="437" spans="1:21" x14ac:dyDescent="0.75">
      <c r="A437" t="s">
        <v>6551</v>
      </c>
      <c r="B437" t="s">
        <v>33572</v>
      </c>
      <c r="C437" t="s">
        <v>33571</v>
      </c>
      <c r="D437" t="s">
        <v>33570</v>
      </c>
      <c r="E437" t="s">
        <v>33907</v>
      </c>
      <c r="F437" t="s">
        <v>35146</v>
      </c>
      <c r="G437" t="s">
        <v>6552</v>
      </c>
      <c r="H437" t="s">
        <v>6553</v>
      </c>
      <c r="J437" t="s">
        <v>33567</v>
      </c>
      <c r="K437" t="s">
        <v>33566</v>
      </c>
      <c r="L437" t="s">
        <v>35160</v>
      </c>
      <c r="N437" t="s">
        <v>35159</v>
      </c>
      <c r="O437" t="s">
        <v>35158</v>
      </c>
      <c r="P437">
        <v>480</v>
      </c>
      <c r="Q437" t="s">
        <v>35157</v>
      </c>
      <c r="R437" t="s">
        <v>35156</v>
      </c>
      <c r="T437" s="22" t="s">
        <v>37138</v>
      </c>
      <c r="U437" s="22" t="s">
        <v>36807</v>
      </c>
    </row>
    <row r="438" spans="1:21" x14ac:dyDescent="0.75">
      <c r="A438" t="s">
        <v>13347</v>
      </c>
      <c r="B438" t="s">
        <v>33572</v>
      </c>
      <c r="C438" t="s">
        <v>33571</v>
      </c>
      <c r="D438" t="s">
        <v>33570</v>
      </c>
      <c r="E438" t="s">
        <v>33907</v>
      </c>
      <c r="F438" t="s">
        <v>35146</v>
      </c>
      <c r="G438" t="s">
        <v>6552</v>
      </c>
      <c r="H438" t="s">
        <v>13348</v>
      </c>
      <c r="J438" t="s">
        <v>33567</v>
      </c>
      <c r="K438" t="s">
        <v>33566</v>
      </c>
      <c r="L438" t="s">
        <v>35155</v>
      </c>
      <c r="O438" t="s">
        <v>35144</v>
      </c>
      <c r="P438">
        <v>90241</v>
      </c>
      <c r="Q438" t="s">
        <v>13346</v>
      </c>
      <c r="R438" t="s">
        <v>35154</v>
      </c>
      <c r="T438" s="22" t="s">
        <v>37141</v>
      </c>
      <c r="U438" s="22" t="s">
        <v>36807</v>
      </c>
    </row>
    <row r="439" spans="1:21" x14ac:dyDescent="0.75">
      <c r="A439" t="s">
        <v>12301</v>
      </c>
      <c r="B439" t="s">
        <v>33572</v>
      </c>
      <c r="C439" t="s">
        <v>33571</v>
      </c>
      <c r="D439" t="s">
        <v>33570</v>
      </c>
      <c r="E439" t="s">
        <v>33907</v>
      </c>
      <c r="F439" t="s">
        <v>35146</v>
      </c>
      <c r="G439" t="s">
        <v>6552</v>
      </c>
      <c r="H439" t="s">
        <v>12302</v>
      </c>
      <c r="J439" t="s">
        <v>33567</v>
      </c>
      <c r="K439" t="s">
        <v>33566</v>
      </c>
      <c r="L439" t="s">
        <v>34129</v>
      </c>
      <c r="O439" t="s">
        <v>35144</v>
      </c>
      <c r="P439">
        <v>478</v>
      </c>
      <c r="Q439" t="s">
        <v>35153</v>
      </c>
      <c r="R439" t="s">
        <v>35152</v>
      </c>
      <c r="T439" s="22" t="s">
        <v>37139</v>
      </c>
      <c r="U439" s="22" t="s">
        <v>36807</v>
      </c>
    </row>
    <row r="440" spans="1:21" x14ac:dyDescent="0.75">
      <c r="A440" t="s">
        <v>11943</v>
      </c>
      <c r="B440" t="s">
        <v>33572</v>
      </c>
      <c r="C440" t="s">
        <v>33571</v>
      </c>
      <c r="D440" t="s">
        <v>33570</v>
      </c>
      <c r="E440" t="s">
        <v>33907</v>
      </c>
      <c r="F440" t="s">
        <v>35146</v>
      </c>
      <c r="G440" t="s">
        <v>6552</v>
      </c>
      <c r="H440" t="s">
        <v>11944</v>
      </c>
      <c r="J440" t="s">
        <v>33567</v>
      </c>
      <c r="K440" t="s">
        <v>33566</v>
      </c>
      <c r="L440" t="s">
        <v>33659</v>
      </c>
      <c r="N440" t="s">
        <v>35151</v>
      </c>
      <c r="O440" t="s">
        <v>35150</v>
      </c>
      <c r="P440">
        <v>34062</v>
      </c>
      <c r="Q440" t="s">
        <v>35149</v>
      </c>
      <c r="R440" t="s">
        <v>35148</v>
      </c>
      <c r="T440" s="22" t="s">
        <v>37140</v>
      </c>
      <c r="U440" s="22" t="s">
        <v>1563</v>
      </c>
    </row>
    <row r="441" spans="1:21" x14ac:dyDescent="0.75">
      <c r="A441" t="s">
        <v>35147</v>
      </c>
      <c r="B441" t="s">
        <v>33572</v>
      </c>
      <c r="C441" t="s">
        <v>33571</v>
      </c>
      <c r="D441" t="s">
        <v>33570</v>
      </c>
      <c r="E441" t="s">
        <v>33907</v>
      </c>
      <c r="F441" t="s">
        <v>35146</v>
      </c>
      <c r="G441" t="s">
        <v>6552</v>
      </c>
      <c r="H441" t="s">
        <v>35145</v>
      </c>
      <c r="J441" t="s">
        <v>33577</v>
      </c>
      <c r="K441" t="s">
        <v>33576</v>
      </c>
      <c r="L441" t="s">
        <v>33659</v>
      </c>
      <c r="O441" t="s">
        <v>35144</v>
      </c>
      <c r="P441">
        <v>475</v>
      </c>
      <c r="T441" s="22" t="s">
        <v>37502</v>
      </c>
      <c r="U441" s="22" t="s">
        <v>1563</v>
      </c>
    </row>
    <row r="442" spans="1:21" x14ac:dyDescent="0.75">
      <c r="A442" t="s">
        <v>26488</v>
      </c>
      <c r="B442" t="s">
        <v>33572</v>
      </c>
      <c r="C442" t="s">
        <v>33606</v>
      </c>
      <c r="D442" t="s">
        <v>33663</v>
      </c>
      <c r="E442" t="s">
        <v>34061</v>
      </c>
      <c r="F442" t="s">
        <v>34060</v>
      </c>
      <c r="G442" t="s">
        <v>26489</v>
      </c>
      <c r="H442" t="s">
        <v>26490</v>
      </c>
      <c r="J442" t="s">
        <v>33617</v>
      </c>
      <c r="K442" t="s">
        <v>33566</v>
      </c>
      <c r="L442" t="s">
        <v>33575</v>
      </c>
      <c r="N442" t="s">
        <v>35143</v>
      </c>
      <c r="O442" t="s">
        <v>35142</v>
      </c>
      <c r="P442">
        <v>1213720</v>
      </c>
      <c r="Q442" t="s">
        <v>26487</v>
      </c>
      <c r="R442" t="s">
        <v>35141</v>
      </c>
      <c r="T442" s="22" t="s">
        <v>37503</v>
      </c>
      <c r="U442" s="22" t="s">
        <v>104</v>
      </c>
    </row>
    <row r="443" spans="1:21" x14ac:dyDescent="0.75">
      <c r="A443" t="s">
        <v>6501</v>
      </c>
      <c r="B443" t="s">
        <v>33572</v>
      </c>
      <c r="C443" t="s">
        <v>34169</v>
      </c>
      <c r="D443" t="s">
        <v>34355</v>
      </c>
      <c r="E443" t="s">
        <v>35132</v>
      </c>
      <c r="F443" t="s">
        <v>35131</v>
      </c>
      <c r="G443" t="s">
        <v>6502</v>
      </c>
      <c r="H443" t="s">
        <v>6503</v>
      </c>
      <c r="J443" t="s">
        <v>33567</v>
      </c>
      <c r="K443" t="s">
        <v>33566</v>
      </c>
      <c r="L443" t="s">
        <v>33565</v>
      </c>
      <c r="N443" t="s">
        <v>35140</v>
      </c>
      <c r="O443" t="s">
        <v>35139</v>
      </c>
      <c r="P443">
        <v>1769</v>
      </c>
      <c r="Q443" t="s">
        <v>35138</v>
      </c>
      <c r="R443" t="s">
        <v>35137</v>
      </c>
      <c r="T443" s="22" t="s">
        <v>37143</v>
      </c>
      <c r="U443" s="22" t="s">
        <v>36804</v>
      </c>
    </row>
    <row r="444" spans="1:21" x14ac:dyDescent="0.75">
      <c r="A444" t="s">
        <v>6690</v>
      </c>
      <c r="B444" t="s">
        <v>33572</v>
      </c>
      <c r="C444" t="s">
        <v>34169</v>
      </c>
      <c r="D444" t="s">
        <v>34355</v>
      </c>
      <c r="E444" t="s">
        <v>35132</v>
      </c>
      <c r="F444" t="s">
        <v>35131</v>
      </c>
      <c r="G444" t="s">
        <v>6502</v>
      </c>
      <c r="H444" t="s">
        <v>6691</v>
      </c>
      <c r="J444" t="s">
        <v>33567</v>
      </c>
      <c r="K444" t="s">
        <v>33566</v>
      </c>
      <c r="L444" t="s">
        <v>33565</v>
      </c>
      <c r="N444" t="s">
        <v>35136</v>
      </c>
      <c r="O444" t="s">
        <v>35135</v>
      </c>
      <c r="P444">
        <v>1773</v>
      </c>
      <c r="Q444" t="s">
        <v>35134</v>
      </c>
      <c r="R444" t="s">
        <v>35133</v>
      </c>
      <c r="T444" s="22" t="s">
        <v>37144</v>
      </c>
      <c r="U444" s="22" t="s">
        <v>36804</v>
      </c>
    </row>
    <row r="445" spans="1:21" x14ac:dyDescent="0.75">
      <c r="A445" t="s">
        <v>765</v>
      </c>
      <c r="B445" t="s">
        <v>33572</v>
      </c>
      <c r="C445" t="s">
        <v>34169</v>
      </c>
      <c r="D445" t="s">
        <v>34355</v>
      </c>
      <c r="E445" t="s">
        <v>35132</v>
      </c>
      <c r="F445" t="s">
        <v>35131</v>
      </c>
      <c r="G445" t="s">
        <v>8954</v>
      </c>
      <c r="H445" t="s">
        <v>8955</v>
      </c>
      <c r="J445" t="s">
        <v>33567</v>
      </c>
      <c r="K445" t="s">
        <v>33566</v>
      </c>
      <c r="L445" t="s">
        <v>34582</v>
      </c>
      <c r="N445" t="s">
        <v>35130</v>
      </c>
      <c r="O445" t="s">
        <v>35129</v>
      </c>
      <c r="P445">
        <v>1795</v>
      </c>
      <c r="Q445" t="s">
        <v>35128</v>
      </c>
      <c r="R445" t="s">
        <v>35127</v>
      </c>
      <c r="T445" s="22" t="s">
        <v>766</v>
      </c>
      <c r="U445" s="22" t="s">
        <v>144</v>
      </c>
    </row>
    <row r="446" spans="1:21" x14ac:dyDescent="0.75">
      <c r="A446" t="s">
        <v>6520</v>
      </c>
      <c r="B446" t="s">
        <v>33572</v>
      </c>
      <c r="C446" t="s">
        <v>33670</v>
      </c>
      <c r="D446" t="s">
        <v>33669</v>
      </c>
      <c r="E446" t="s">
        <v>33668</v>
      </c>
      <c r="F446" t="s">
        <v>33667</v>
      </c>
      <c r="G446" t="s">
        <v>6521</v>
      </c>
      <c r="H446" t="s">
        <v>6522</v>
      </c>
      <c r="J446" t="s">
        <v>33567</v>
      </c>
      <c r="K446" t="s">
        <v>33566</v>
      </c>
      <c r="L446" t="s">
        <v>33565</v>
      </c>
      <c r="N446" t="s">
        <v>35126</v>
      </c>
      <c r="O446" t="s">
        <v>35125</v>
      </c>
      <c r="P446">
        <v>2097</v>
      </c>
      <c r="Q446" t="s">
        <v>35124</v>
      </c>
      <c r="R446" t="s">
        <v>35123</v>
      </c>
      <c r="T446" s="22" t="s">
        <v>37146</v>
      </c>
      <c r="U446" s="22" t="s">
        <v>36804</v>
      </c>
    </row>
    <row r="447" spans="1:21" x14ac:dyDescent="0.75">
      <c r="A447" t="s">
        <v>6586</v>
      </c>
      <c r="B447" t="s">
        <v>33572</v>
      </c>
      <c r="C447" t="s">
        <v>33670</v>
      </c>
      <c r="D447" t="s">
        <v>33669</v>
      </c>
      <c r="E447" t="s">
        <v>33668</v>
      </c>
      <c r="F447" t="s">
        <v>33667</v>
      </c>
      <c r="G447" t="s">
        <v>6521</v>
      </c>
      <c r="H447" t="s">
        <v>6094</v>
      </c>
      <c r="J447" t="s">
        <v>33567</v>
      </c>
      <c r="K447" t="s">
        <v>33566</v>
      </c>
      <c r="L447" t="s">
        <v>33565</v>
      </c>
      <c r="N447" t="s">
        <v>35122</v>
      </c>
      <c r="O447" t="s">
        <v>35121</v>
      </c>
      <c r="P447">
        <v>2104</v>
      </c>
      <c r="Q447" t="s">
        <v>35120</v>
      </c>
      <c r="R447" t="s">
        <v>35119</v>
      </c>
      <c r="T447" s="22" t="s">
        <v>37145</v>
      </c>
      <c r="U447" s="22" t="s">
        <v>36804</v>
      </c>
    </row>
    <row r="448" spans="1:21" x14ac:dyDescent="0.75">
      <c r="A448" t="s">
        <v>6679</v>
      </c>
      <c r="B448" t="s">
        <v>33572</v>
      </c>
      <c r="C448" t="s">
        <v>33670</v>
      </c>
      <c r="D448" t="s">
        <v>33669</v>
      </c>
      <c r="E448" t="s">
        <v>33668</v>
      </c>
      <c r="F448" t="s">
        <v>35113</v>
      </c>
      <c r="G448" t="s">
        <v>6680</v>
      </c>
      <c r="H448" t="s">
        <v>6681</v>
      </c>
      <c r="J448" t="s">
        <v>33567</v>
      </c>
      <c r="K448" t="s">
        <v>33566</v>
      </c>
      <c r="L448" t="s">
        <v>33587</v>
      </c>
      <c r="N448" t="s">
        <v>35118</v>
      </c>
      <c r="O448" t="s">
        <v>35117</v>
      </c>
      <c r="P448">
        <v>2115</v>
      </c>
      <c r="Q448" t="s">
        <v>35116</v>
      </c>
      <c r="R448" t="s">
        <v>35115</v>
      </c>
      <c r="T448" s="22" t="s">
        <v>37147</v>
      </c>
      <c r="U448" s="22" t="s">
        <v>104</v>
      </c>
    </row>
    <row r="449" spans="1:21" x14ac:dyDescent="0.75">
      <c r="A449" t="s">
        <v>35114</v>
      </c>
      <c r="B449" t="s">
        <v>33572</v>
      </c>
      <c r="C449" t="s">
        <v>33670</v>
      </c>
      <c r="D449" t="s">
        <v>33669</v>
      </c>
      <c r="E449" t="s">
        <v>33668</v>
      </c>
      <c r="F449" t="s">
        <v>35113</v>
      </c>
      <c r="G449" t="s">
        <v>6680</v>
      </c>
      <c r="H449" t="s">
        <v>35112</v>
      </c>
      <c r="J449" t="s">
        <v>33567</v>
      </c>
      <c r="K449" t="s">
        <v>33566</v>
      </c>
      <c r="L449" t="s">
        <v>33587</v>
      </c>
      <c r="N449" t="s">
        <v>35111</v>
      </c>
      <c r="O449" t="s">
        <v>35110</v>
      </c>
      <c r="P449">
        <v>2117</v>
      </c>
      <c r="T449" s="22" t="s">
        <v>37375</v>
      </c>
      <c r="U449" s="22" t="s">
        <v>104</v>
      </c>
    </row>
    <row r="450" spans="1:21" x14ac:dyDescent="0.75">
      <c r="A450" t="s">
        <v>16565</v>
      </c>
      <c r="B450" t="s">
        <v>33572</v>
      </c>
      <c r="C450" t="s">
        <v>34416</v>
      </c>
      <c r="D450" t="s">
        <v>34415</v>
      </c>
      <c r="E450" t="s">
        <v>34414</v>
      </c>
      <c r="F450" t="s">
        <v>35104</v>
      </c>
      <c r="G450" t="s">
        <v>16566</v>
      </c>
      <c r="H450" t="s">
        <v>16567</v>
      </c>
      <c r="J450" t="s">
        <v>34030</v>
      </c>
      <c r="K450" t="s">
        <v>33576</v>
      </c>
      <c r="L450" t="s">
        <v>33575</v>
      </c>
      <c r="N450" t="s">
        <v>35109</v>
      </c>
      <c r="O450" t="s">
        <v>34410</v>
      </c>
      <c r="P450">
        <v>1540867</v>
      </c>
      <c r="Q450" t="s">
        <v>16564</v>
      </c>
      <c r="R450" t="s">
        <v>35108</v>
      </c>
      <c r="T450" s="22" t="s">
        <v>37151</v>
      </c>
      <c r="U450" s="22" t="s">
        <v>104</v>
      </c>
    </row>
    <row r="451" spans="1:21" x14ac:dyDescent="0.75">
      <c r="A451" t="s">
        <v>2935</v>
      </c>
      <c r="B451" t="s">
        <v>33572</v>
      </c>
      <c r="C451" t="s">
        <v>34416</v>
      </c>
      <c r="D451" t="s">
        <v>34415</v>
      </c>
      <c r="E451" t="s">
        <v>34414</v>
      </c>
      <c r="F451" t="s">
        <v>35104</v>
      </c>
      <c r="G451" t="s">
        <v>16566</v>
      </c>
      <c r="H451" t="s">
        <v>19295</v>
      </c>
      <c r="J451" t="s">
        <v>33617</v>
      </c>
      <c r="K451" t="s">
        <v>33566</v>
      </c>
      <c r="L451" t="s">
        <v>33620</v>
      </c>
      <c r="P451">
        <v>0</v>
      </c>
      <c r="Q451" t="s">
        <v>35107</v>
      </c>
      <c r="R451" t="s">
        <v>35106</v>
      </c>
      <c r="T451" s="22" t="s">
        <v>37504</v>
      </c>
      <c r="U451" s="22" t="s">
        <v>104</v>
      </c>
    </row>
    <row r="452" spans="1:21" x14ac:dyDescent="0.75">
      <c r="A452" t="s">
        <v>19252</v>
      </c>
      <c r="B452" t="s">
        <v>33572</v>
      </c>
      <c r="C452" t="s">
        <v>34416</v>
      </c>
      <c r="D452" t="s">
        <v>34415</v>
      </c>
      <c r="E452" t="s">
        <v>34414</v>
      </c>
      <c r="F452" t="s">
        <v>35104</v>
      </c>
      <c r="G452" t="s">
        <v>16566</v>
      </c>
      <c r="H452" t="s">
        <v>19253</v>
      </c>
      <c r="J452" t="s">
        <v>33617</v>
      </c>
      <c r="K452" t="s">
        <v>33566</v>
      </c>
      <c r="L452" t="s">
        <v>33620</v>
      </c>
      <c r="P452">
        <v>0</v>
      </c>
      <c r="Q452" t="s">
        <v>19251</v>
      </c>
      <c r="R452" t="s">
        <v>35105</v>
      </c>
      <c r="T452" s="22" t="s">
        <v>37505</v>
      </c>
      <c r="U452" s="22" t="s">
        <v>104</v>
      </c>
    </row>
    <row r="453" spans="1:21" x14ac:dyDescent="0.75">
      <c r="A453" t="s">
        <v>18614</v>
      </c>
      <c r="B453" t="s">
        <v>33572</v>
      </c>
      <c r="C453" t="s">
        <v>34416</v>
      </c>
      <c r="D453" t="s">
        <v>34415</v>
      </c>
      <c r="E453" t="s">
        <v>34414</v>
      </c>
      <c r="F453" t="s">
        <v>35104</v>
      </c>
      <c r="G453" t="s">
        <v>16566</v>
      </c>
      <c r="H453" t="s">
        <v>18615</v>
      </c>
      <c r="J453" t="s">
        <v>33617</v>
      </c>
      <c r="K453" t="s">
        <v>33566</v>
      </c>
      <c r="L453" t="s">
        <v>33620</v>
      </c>
      <c r="P453">
        <v>0</v>
      </c>
      <c r="Q453" t="s">
        <v>18613</v>
      </c>
      <c r="R453" t="s">
        <v>35103</v>
      </c>
      <c r="T453" s="22" t="s">
        <v>37506</v>
      </c>
      <c r="U453" s="22" t="s">
        <v>104</v>
      </c>
    </row>
    <row r="454" spans="1:21" x14ac:dyDescent="0.75">
      <c r="A454" t="s">
        <v>16556</v>
      </c>
      <c r="B454" t="s">
        <v>33572</v>
      </c>
      <c r="C454" t="s">
        <v>34416</v>
      </c>
      <c r="D454" t="s">
        <v>34415</v>
      </c>
      <c r="E454" t="s">
        <v>34414</v>
      </c>
      <c r="F454" t="s">
        <v>35102</v>
      </c>
      <c r="G454" t="s">
        <v>16557</v>
      </c>
      <c r="H454" t="s">
        <v>16558</v>
      </c>
      <c r="J454" t="s">
        <v>34030</v>
      </c>
      <c r="K454" t="s">
        <v>33576</v>
      </c>
      <c r="L454" t="s">
        <v>33575</v>
      </c>
      <c r="N454" t="s">
        <v>35101</v>
      </c>
      <c r="O454" t="s">
        <v>35100</v>
      </c>
      <c r="P454">
        <v>713057</v>
      </c>
      <c r="Q454" t="s">
        <v>35099</v>
      </c>
      <c r="R454" t="s">
        <v>35098</v>
      </c>
      <c r="T454" s="22" t="s">
        <v>37152</v>
      </c>
      <c r="U454" s="22" t="s">
        <v>104</v>
      </c>
    </row>
    <row r="455" spans="1:21" x14ac:dyDescent="0.75">
      <c r="A455" t="s">
        <v>2312</v>
      </c>
      <c r="B455" t="s">
        <v>33572</v>
      </c>
      <c r="C455" t="s">
        <v>34416</v>
      </c>
      <c r="D455" t="s">
        <v>34415</v>
      </c>
      <c r="E455" t="s">
        <v>34414</v>
      </c>
      <c r="F455" t="s">
        <v>35085</v>
      </c>
      <c r="G455" t="s">
        <v>10700</v>
      </c>
      <c r="H455" t="s">
        <v>16754</v>
      </c>
      <c r="J455" t="s">
        <v>33617</v>
      </c>
      <c r="K455" t="s">
        <v>33566</v>
      </c>
      <c r="L455" t="s">
        <v>33575</v>
      </c>
      <c r="O455" t="s">
        <v>35097</v>
      </c>
      <c r="P455">
        <v>1895827</v>
      </c>
      <c r="Q455" t="s">
        <v>2311</v>
      </c>
      <c r="R455" t="s">
        <v>35096</v>
      </c>
      <c r="T455" s="22" t="s">
        <v>2313</v>
      </c>
      <c r="U455" s="22" t="s">
        <v>104</v>
      </c>
    </row>
    <row r="456" spans="1:21" x14ac:dyDescent="0.75">
      <c r="A456" t="s">
        <v>16749</v>
      </c>
      <c r="B456" t="s">
        <v>33572</v>
      </c>
      <c r="C456" t="s">
        <v>34416</v>
      </c>
      <c r="D456" t="s">
        <v>34415</v>
      </c>
      <c r="E456" t="s">
        <v>34414</v>
      </c>
      <c r="F456" t="s">
        <v>35085</v>
      </c>
      <c r="G456" t="s">
        <v>10700</v>
      </c>
      <c r="H456" t="s">
        <v>16750</v>
      </c>
      <c r="J456" t="s">
        <v>33617</v>
      </c>
      <c r="K456" t="s">
        <v>33566</v>
      </c>
      <c r="L456" t="s">
        <v>33609</v>
      </c>
      <c r="N456" t="s">
        <v>35095</v>
      </c>
      <c r="O456" t="s">
        <v>35094</v>
      </c>
      <c r="P456">
        <v>713059</v>
      </c>
      <c r="Q456" t="s">
        <v>35093</v>
      </c>
      <c r="R456" t="s">
        <v>35092</v>
      </c>
      <c r="T456" s="22" t="s">
        <v>37153</v>
      </c>
      <c r="U456" s="22" t="s">
        <v>104</v>
      </c>
    </row>
    <row r="457" spans="1:21" x14ac:dyDescent="0.75">
      <c r="A457" t="s">
        <v>1343</v>
      </c>
      <c r="B457" t="s">
        <v>33572</v>
      </c>
      <c r="C457" t="s">
        <v>34416</v>
      </c>
      <c r="D457" t="s">
        <v>34415</v>
      </c>
      <c r="E457" t="s">
        <v>34414</v>
      </c>
      <c r="F457" t="s">
        <v>35085</v>
      </c>
      <c r="G457" t="s">
        <v>10700</v>
      </c>
      <c r="H457" t="s">
        <v>10701</v>
      </c>
      <c r="J457" t="s">
        <v>33617</v>
      </c>
      <c r="K457" t="s">
        <v>33566</v>
      </c>
      <c r="L457" t="s">
        <v>33575</v>
      </c>
      <c r="O457" t="s">
        <v>34410</v>
      </c>
      <c r="P457">
        <v>1895827</v>
      </c>
      <c r="Q457" t="s">
        <v>35091</v>
      </c>
      <c r="R457" t="s">
        <v>35090</v>
      </c>
      <c r="T457" s="22" t="s">
        <v>1344</v>
      </c>
      <c r="U457" s="22" t="s">
        <v>104</v>
      </c>
    </row>
    <row r="458" spans="1:21" x14ac:dyDescent="0.75">
      <c r="A458" t="s">
        <v>2376</v>
      </c>
      <c r="B458" t="s">
        <v>33572</v>
      </c>
      <c r="C458" t="s">
        <v>34416</v>
      </c>
      <c r="D458" t="s">
        <v>34415</v>
      </c>
      <c r="E458" t="s">
        <v>34414</v>
      </c>
      <c r="F458" t="s">
        <v>35085</v>
      </c>
      <c r="G458" t="s">
        <v>10700</v>
      </c>
      <c r="H458" t="s">
        <v>17168</v>
      </c>
      <c r="J458" t="s">
        <v>33577</v>
      </c>
      <c r="K458" t="s">
        <v>33576</v>
      </c>
      <c r="L458" t="s">
        <v>33616</v>
      </c>
      <c r="N458" t="s">
        <v>35089</v>
      </c>
      <c r="O458" t="s">
        <v>35088</v>
      </c>
      <c r="P458">
        <v>713054</v>
      </c>
      <c r="Q458" t="s">
        <v>35087</v>
      </c>
      <c r="R458" t="s">
        <v>35086</v>
      </c>
      <c r="T458" s="22" t="s">
        <v>37507</v>
      </c>
      <c r="U458" s="22" t="s">
        <v>104</v>
      </c>
    </row>
    <row r="459" spans="1:21" x14ac:dyDescent="0.75">
      <c r="A459" t="s">
        <v>17164</v>
      </c>
      <c r="B459" t="s">
        <v>33572</v>
      </c>
      <c r="C459" t="s">
        <v>34416</v>
      </c>
      <c r="D459" t="s">
        <v>34415</v>
      </c>
      <c r="E459" t="s">
        <v>34414</v>
      </c>
      <c r="F459" t="s">
        <v>35085</v>
      </c>
      <c r="G459" t="s">
        <v>10700</v>
      </c>
      <c r="H459" t="s">
        <v>17165</v>
      </c>
      <c r="J459" t="s">
        <v>33617</v>
      </c>
      <c r="K459" t="s">
        <v>33566</v>
      </c>
      <c r="L459" t="s">
        <v>33609</v>
      </c>
      <c r="P459">
        <v>1895827</v>
      </c>
      <c r="Q459" t="s">
        <v>17163</v>
      </c>
      <c r="R459" t="s">
        <v>35084</v>
      </c>
      <c r="T459" s="22" t="s">
        <v>37508</v>
      </c>
      <c r="U459" s="22" t="s">
        <v>104</v>
      </c>
    </row>
    <row r="460" spans="1:21" x14ac:dyDescent="0.75">
      <c r="A460" t="s">
        <v>16545</v>
      </c>
      <c r="B460" t="s">
        <v>33572</v>
      </c>
      <c r="C460" t="s">
        <v>34416</v>
      </c>
      <c r="D460" t="s">
        <v>34415</v>
      </c>
      <c r="E460" t="s">
        <v>34414</v>
      </c>
      <c r="F460" t="s">
        <v>35076</v>
      </c>
      <c r="G460" t="s">
        <v>16546</v>
      </c>
      <c r="H460" t="s">
        <v>16547</v>
      </c>
      <c r="J460" t="s">
        <v>34030</v>
      </c>
      <c r="K460" t="s">
        <v>33576</v>
      </c>
      <c r="L460" t="s">
        <v>33587</v>
      </c>
      <c r="P460">
        <v>1895827</v>
      </c>
      <c r="Q460" t="s">
        <v>16544</v>
      </c>
      <c r="R460" t="s">
        <v>35083</v>
      </c>
      <c r="T460" s="22" t="s">
        <v>37158</v>
      </c>
      <c r="U460" s="22" t="s">
        <v>104</v>
      </c>
    </row>
    <row r="461" spans="1:21" x14ac:dyDescent="0.75">
      <c r="A461" t="s">
        <v>16551</v>
      </c>
      <c r="B461" t="s">
        <v>33572</v>
      </c>
      <c r="C461" t="s">
        <v>34416</v>
      </c>
      <c r="D461" t="s">
        <v>34415</v>
      </c>
      <c r="E461" t="s">
        <v>34414</v>
      </c>
      <c r="F461" t="s">
        <v>35076</v>
      </c>
      <c r="G461" t="s">
        <v>16546</v>
      </c>
      <c r="H461" t="s">
        <v>16552</v>
      </c>
      <c r="J461" t="s">
        <v>34030</v>
      </c>
      <c r="K461" t="s">
        <v>33576</v>
      </c>
      <c r="L461" t="s">
        <v>33587</v>
      </c>
      <c r="P461">
        <v>1895827</v>
      </c>
      <c r="Q461" t="s">
        <v>35082</v>
      </c>
      <c r="R461" t="s">
        <v>35081</v>
      </c>
      <c r="T461" s="22" t="s">
        <v>37157</v>
      </c>
      <c r="U461" s="22" t="s">
        <v>104</v>
      </c>
    </row>
    <row r="462" spans="1:21" x14ac:dyDescent="0.75">
      <c r="A462" t="s">
        <v>17153</v>
      </c>
      <c r="B462" t="s">
        <v>33572</v>
      </c>
      <c r="C462" t="s">
        <v>34416</v>
      </c>
      <c r="D462" t="s">
        <v>34415</v>
      </c>
      <c r="E462" t="s">
        <v>34414</v>
      </c>
      <c r="F462" t="s">
        <v>35076</v>
      </c>
      <c r="G462" t="s">
        <v>16546</v>
      </c>
      <c r="H462" t="s">
        <v>17154</v>
      </c>
      <c r="J462" t="s">
        <v>33577</v>
      </c>
      <c r="K462" t="s">
        <v>33576</v>
      </c>
      <c r="L462" t="s">
        <v>33616</v>
      </c>
      <c r="N462" t="s">
        <v>35080</v>
      </c>
      <c r="O462" t="s">
        <v>35079</v>
      </c>
      <c r="P462">
        <v>713053</v>
      </c>
      <c r="Q462" t="s">
        <v>35078</v>
      </c>
      <c r="R462" t="s">
        <v>35077</v>
      </c>
      <c r="T462" s="22" t="s">
        <v>37509</v>
      </c>
      <c r="U462" s="22" t="s">
        <v>104</v>
      </c>
    </row>
    <row r="463" spans="1:21" x14ac:dyDescent="0.75">
      <c r="A463" t="s">
        <v>17148</v>
      </c>
      <c r="B463" t="s">
        <v>33572</v>
      </c>
      <c r="C463" t="s">
        <v>34416</v>
      </c>
      <c r="D463" t="s">
        <v>34415</v>
      </c>
      <c r="E463" t="s">
        <v>34414</v>
      </c>
      <c r="F463" t="s">
        <v>35076</v>
      </c>
      <c r="G463" t="s">
        <v>16546</v>
      </c>
      <c r="H463" t="s">
        <v>17149</v>
      </c>
      <c r="J463" t="s">
        <v>33577</v>
      </c>
      <c r="K463" t="s">
        <v>33576</v>
      </c>
      <c r="L463" t="s">
        <v>33587</v>
      </c>
      <c r="P463">
        <v>1895827</v>
      </c>
      <c r="Q463" t="s">
        <v>35075</v>
      </c>
      <c r="R463" t="s">
        <v>35074</v>
      </c>
      <c r="T463" s="22" t="s">
        <v>37510</v>
      </c>
      <c r="U463" s="22" t="s">
        <v>104</v>
      </c>
    </row>
    <row r="464" spans="1:21" x14ac:dyDescent="0.75">
      <c r="A464" t="s">
        <v>7586</v>
      </c>
      <c r="B464" t="s">
        <v>33572</v>
      </c>
      <c r="C464" t="s">
        <v>33571</v>
      </c>
      <c r="D464" t="s">
        <v>33654</v>
      </c>
      <c r="E464" t="s">
        <v>34175</v>
      </c>
      <c r="F464" t="s">
        <v>34174</v>
      </c>
      <c r="G464" t="s">
        <v>6156</v>
      </c>
      <c r="H464" t="s">
        <v>7587</v>
      </c>
      <c r="J464" t="s">
        <v>33567</v>
      </c>
      <c r="K464" t="s">
        <v>33566</v>
      </c>
      <c r="L464" t="s">
        <v>33575</v>
      </c>
      <c r="N464" t="s">
        <v>35073</v>
      </c>
      <c r="O464" t="s">
        <v>35072</v>
      </c>
      <c r="P464">
        <v>267212</v>
      </c>
      <c r="Q464" t="s">
        <v>35071</v>
      </c>
      <c r="R464" t="s">
        <v>35070</v>
      </c>
      <c r="T464" s="22" t="s">
        <v>37166</v>
      </c>
      <c r="U464" s="22" t="s">
        <v>104</v>
      </c>
    </row>
    <row r="465" spans="1:21" x14ac:dyDescent="0.75">
      <c r="A465" t="s">
        <v>7124</v>
      </c>
      <c r="B465" t="s">
        <v>33572</v>
      </c>
      <c r="C465" t="s">
        <v>33571</v>
      </c>
      <c r="D465" t="s">
        <v>33654</v>
      </c>
      <c r="E465" t="s">
        <v>34175</v>
      </c>
      <c r="F465" t="s">
        <v>34174</v>
      </c>
      <c r="G465" t="s">
        <v>6156</v>
      </c>
      <c r="H465" t="s">
        <v>7125</v>
      </c>
      <c r="J465" t="s">
        <v>33567</v>
      </c>
      <c r="K465" t="s">
        <v>33566</v>
      </c>
      <c r="L465" t="s">
        <v>33616</v>
      </c>
      <c r="O465" t="s">
        <v>34181</v>
      </c>
      <c r="P465">
        <v>483</v>
      </c>
      <c r="Q465" t="s">
        <v>35069</v>
      </c>
      <c r="R465" t="s">
        <v>35068</v>
      </c>
      <c r="T465" s="22" t="s">
        <v>37170</v>
      </c>
      <c r="U465" s="22" t="s">
        <v>104</v>
      </c>
    </row>
    <row r="466" spans="1:21" x14ac:dyDescent="0.75">
      <c r="A466" t="s">
        <v>7234</v>
      </c>
      <c r="B466" t="s">
        <v>33572</v>
      </c>
      <c r="C466" t="s">
        <v>33571</v>
      </c>
      <c r="D466" t="s">
        <v>33654</v>
      </c>
      <c r="E466" t="s">
        <v>34175</v>
      </c>
      <c r="F466" t="s">
        <v>34174</v>
      </c>
      <c r="G466" t="s">
        <v>6156</v>
      </c>
      <c r="H466" t="s">
        <v>7235</v>
      </c>
      <c r="J466" t="s">
        <v>33567</v>
      </c>
      <c r="K466" t="s">
        <v>33566</v>
      </c>
      <c r="L466" t="s">
        <v>33616</v>
      </c>
      <c r="N466" t="s">
        <v>35067</v>
      </c>
      <c r="O466" t="s">
        <v>34181</v>
      </c>
      <c r="P466">
        <v>495</v>
      </c>
      <c r="Q466" t="s">
        <v>35066</v>
      </c>
      <c r="R466" t="s">
        <v>35065</v>
      </c>
      <c r="T466" s="22" t="s">
        <v>37165</v>
      </c>
      <c r="U466" s="22" t="s">
        <v>104</v>
      </c>
    </row>
    <row r="467" spans="1:21" x14ac:dyDescent="0.75">
      <c r="A467" t="s">
        <v>12828</v>
      </c>
      <c r="B467" t="s">
        <v>33572</v>
      </c>
      <c r="C467" t="s">
        <v>33571</v>
      </c>
      <c r="D467" t="s">
        <v>33654</v>
      </c>
      <c r="E467" t="s">
        <v>34175</v>
      </c>
      <c r="F467" t="s">
        <v>34174</v>
      </c>
      <c r="G467" t="s">
        <v>6156</v>
      </c>
      <c r="H467" t="s">
        <v>12829</v>
      </c>
      <c r="J467" t="s">
        <v>33567</v>
      </c>
      <c r="K467" t="s">
        <v>33566</v>
      </c>
      <c r="L467" t="s">
        <v>33575</v>
      </c>
      <c r="N467" t="s">
        <v>35064</v>
      </c>
      <c r="O467" t="s">
        <v>34181</v>
      </c>
      <c r="P467">
        <v>34026</v>
      </c>
      <c r="Q467" t="s">
        <v>35063</v>
      </c>
      <c r="R467" t="s">
        <v>35062</v>
      </c>
      <c r="T467" s="22" t="s">
        <v>37173</v>
      </c>
      <c r="U467" s="22" t="s">
        <v>104</v>
      </c>
    </row>
    <row r="468" spans="1:21" x14ac:dyDescent="0.75">
      <c r="A468" t="s">
        <v>7135</v>
      </c>
      <c r="B468" t="s">
        <v>33572</v>
      </c>
      <c r="C468" t="s">
        <v>33571</v>
      </c>
      <c r="D468" t="s">
        <v>33654</v>
      </c>
      <c r="E468" t="s">
        <v>34175</v>
      </c>
      <c r="F468" t="s">
        <v>34174</v>
      </c>
      <c r="G468" t="s">
        <v>6156</v>
      </c>
      <c r="H468" t="s">
        <v>7136</v>
      </c>
      <c r="J468" t="s">
        <v>33567</v>
      </c>
      <c r="K468" t="s">
        <v>33566</v>
      </c>
      <c r="L468" t="s">
        <v>33616</v>
      </c>
      <c r="N468" t="s">
        <v>35061</v>
      </c>
      <c r="O468" t="s">
        <v>34181</v>
      </c>
      <c r="P468">
        <v>484</v>
      </c>
      <c r="Q468" t="s">
        <v>35060</v>
      </c>
      <c r="R468" t="s">
        <v>35059</v>
      </c>
      <c r="T468" s="22" t="s">
        <v>37169</v>
      </c>
      <c r="U468" s="22" t="s">
        <v>104</v>
      </c>
    </row>
    <row r="469" spans="1:21" x14ac:dyDescent="0.75">
      <c r="A469" t="s">
        <v>10951</v>
      </c>
      <c r="B469" t="s">
        <v>33572</v>
      </c>
      <c r="C469" t="s">
        <v>33571</v>
      </c>
      <c r="D469" t="s">
        <v>33654</v>
      </c>
      <c r="E469" t="s">
        <v>34175</v>
      </c>
      <c r="F469" t="s">
        <v>34174</v>
      </c>
      <c r="G469" t="s">
        <v>6156</v>
      </c>
      <c r="H469" t="s">
        <v>10952</v>
      </c>
      <c r="J469" t="s">
        <v>33567</v>
      </c>
      <c r="K469" t="s">
        <v>33566</v>
      </c>
      <c r="L469" t="s">
        <v>33565</v>
      </c>
      <c r="N469" t="s">
        <v>35058</v>
      </c>
      <c r="O469" t="s">
        <v>35057</v>
      </c>
      <c r="P469">
        <v>485</v>
      </c>
      <c r="Q469" t="s">
        <v>35056</v>
      </c>
      <c r="R469" t="s">
        <v>35055</v>
      </c>
      <c r="T469" s="22" t="s">
        <v>37162</v>
      </c>
      <c r="U469" s="22" t="s">
        <v>36804</v>
      </c>
    </row>
    <row r="470" spans="1:21" x14ac:dyDescent="0.75">
      <c r="A470" t="s">
        <v>7145</v>
      </c>
      <c r="B470" t="s">
        <v>33572</v>
      </c>
      <c r="C470" t="s">
        <v>33571</v>
      </c>
      <c r="D470" t="s">
        <v>33654</v>
      </c>
      <c r="E470" t="s">
        <v>34175</v>
      </c>
      <c r="F470" t="s">
        <v>34174</v>
      </c>
      <c r="G470" t="s">
        <v>6156</v>
      </c>
      <c r="H470" t="s">
        <v>7146</v>
      </c>
      <c r="J470" t="s">
        <v>33567</v>
      </c>
      <c r="K470" t="s">
        <v>33566</v>
      </c>
      <c r="L470" t="s">
        <v>33587</v>
      </c>
      <c r="N470" t="s">
        <v>35054</v>
      </c>
      <c r="O470" t="s">
        <v>35053</v>
      </c>
      <c r="P470">
        <v>486</v>
      </c>
      <c r="Q470" t="s">
        <v>35052</v>
      </c>
      <c r="R470" t="s">
        <v>35051</v>
      </c>
      <c r="T470" s="22" t="s">
        <v>37161</v>
      </c>
      <c r="U470" s="22" t="s">
        <v>104</v>
      </c>
    </row>
    <row r="471" spans="1:21" x14ac:dyDescent="0.75">
      <c r="A471" t="s">
        <v>7871</v>
      </c>
      <c r="B471" t="s">
        <v>33572</v>
      </c>
      <c r="C471" t="s">
        <v>33571</v>
      </c>
      <c r="D471" t="s">
        <v>33654</v>
      </c>
      <c r="E471" t="s">
        <v>34175</v>
      </c>
      <c r="F471" t="s">
        <v>34174</v>
      </c>
      <c r="G471" t="s">
        <v>6156</v>
      </c>
      <c r="H471" t="s">
        <v>7872</v>
      </c>
      <c r="J471" t="s">
        <v>33567</v>
      </c>
      <c r="K471" t="s">
        <v>33566</v>
      </c>
      <c r="L471" t="s">
        <v>33575</v>
      </c>
      <c r="O471" t="s">
        <v>34181</v>
      </c>
      <c r="P471">
        <v>496</v>
      </c>
      <c r="Q471" t="s">
        <v>35050</v>
      </c>
      <c r="R471" t="s">
        <v>35049</v>
      </c>
      <c r="T471" s="22" t="s">
        <v>37171</v>
      </c>
      <c r="U471" s="22" t="s">
        <v>104</v>
      </c>
    </row>
    <row r="472" spans="1:21" x14ac:dyDescent="0.75">
      <c r="A472" t="s">
        <v>6155</v>
      </c>
      <c r="B472" t="s">
        <v>33572</v>
      </c>
      <c r="C472" t="s">
        <v>33571</v>
      </c>
      <c r="D472" t="s">
        <v>33654</v>
      </c>
      <c r="E472" t="s">
        <v>34175</v>
      </c>
      <c r="F472" t="s">
        <v>34174</v>
      </c>
      <c r="G472" t="s">
        <v>6156</v>
      </c>
      <c r="H472" t="s">
        <v>6157</v>
      </c>
      <c r="J472" t="s">
        <v>33567</v>
      </c>
      <c r="K472" t="s">
        <v>33566</v>
      </c>
      <c r="L472" t="s">
        <v>33587</v>
      </c>
      <c r="N472" t="s">
        <v>35048</v>
      </c>
      <c r="O472" t="s">
        <v>35047</v>
      </c>
      <c r="P472">
        <v>487</v>
      </c>
      <c r="Q472" t="s">
        <v>35046</v>
      </c>
      <c r="R472" t="s">
        <v>35045</v>
      </c>
      <c r="T472" s="22" t="s">
        <v>37160</v>
      </c>
      <c r="U472" s="22" t="s">
        <v>104</v>
      </c>
    </row>
    <row r="473" spans="1:21" x14ac:dyDescent="0.75">
      <c r="A473" t="s">
        <v>7119</v>
      </c>
      <c r="B473" t="s">
        <v>33572</v>
      </c>
      <c r="C473" t="s">
        <v>33571</v>
      </c>
      <c r="D473" t="s">
        <v>33654</v>
      </c>
      <c r="E473" t="s">
        <v>34175</v>
      </c>
      <c r="F473" t="s">
        <v>34174</v>
      </c>
      <c r="G473" t="s">
        <v>6156</v>
      </c>
      <c r="H473" t="s">
        <v>7120</v>
      </c>
      <c r="J473" t="s">
        <v>33567</v>
      </c>
      <c r="K473" t="s">
        <v>33566</v>
      </c>
      <c r="L473" t="s">
        <v>33616</v>
      </c>
      <c r="N473" t="s">
        <v>35044</v>
      </c>
      <c r="O473" t="s">
        <v>35043</v>
      </c>
      <c r="P473">
        <v>488</v>
      </c>
      <c r="Q473" t="s">
        <v>35042</v>
      </c>
      <c r="R473" t="s">
        <v>35041</v>
      </c>
      <c r="T473" s="22" t="s">
        <v>37167</v>
      </c>
      <c r="U473" s="22" t="s">
        <v>104</v>
      </c>
    </row>
    <row r="474" spans="1:21" x14ac:dyDescent="0.75">
      <c r="A474" t="s">
        <v>6534</v>
      </c>
      <c r="B474" t="s">
        <v>33572</v>
      </c>
      <c r="C474" t="s">
        <v>33571</v>
      </c>
      <c r="D474" t="s">
        <v>33654</v>
      </c>
      <c r="E474" t="s">
        <v>34175</v>
      </c>
      <c r="F474" t="s">
        <v>34174</v>
      </c>
      <c r="G474" t="s">
        <v>6156</v>
      </c>
      <c r="H474" t="s">
        <v>6535</v>
      </c>
      <c r="J474" t="s">
        <v>33567</v>
      </c>
      <c r="K474" t="s">
        <v>33566</v>
      </c>
      <c r="L474" t="s">
        <v>33575</v>
      </c>
      <c r="M474" t="s">
        <v>35040</v>
      </c>
      <c r="N474" t="s">
        <v>35039</v>
      </c>
      <c r="O474" t="s">
        <v>35038</v>
      </c>
      <c r="P474">
        <v>1107316</v>
      </c>
      <c r="Q474" t="s">
        <v>35037</v>
      </c>
      <c r="R474" t="s">
        <v>35036</v>
      </c>
      <c r="T474" s="22" t="s">
        <v>37174</v>
      </c>
      <c r="U474" s="22" t="s">
        <v>104</v>
      </c>
    </row>
    <row r="475" spans="1:21" x14ac:dyDescent="0.75">
      <c r="A475" t="s">
        <v>7140</v>
      </c>
      <c r="B475" t="s">
        <v>33572</v>
      </c>
      <c r="C475" t="s">
        <v>33571</v>
      </c>
      <c r="D475" t="s">
        <v>33654</v>
      </c>
      <c r="E475" t="s">
        <v>34175</v>
      </c>
      <c r="F475" t="s">
        <v>34174</v>
      </c>
      <c r="G475" t="s">
        <v>6156</v>
      </c>
      <c r="H475" t="s">
        <v>7141</v>
      </c>
      <c r="J475" t="s">
        <v>33567</v>
      </c>
      <c r="K475" t="s">
        <v>33566</v>
      </c>
      <c r="L475" t="s">
        <v>33616</v>
      </c>
      <c r="O475" t="s">
        <v>34181</v>
      </c>
      <c r="P475">
        <v>33053</v>
      </c>
      <c r="Q475" t="s">
        <v>35035</v>
      </c>
      <c r="R475" t="s">
        <v>35034</v>
      </c>
      <c r="T475" s="22" t="s">
        <v>37163</v>
      </c>
      <c r="U475" s="22" t="s">
        <v>104</v>
      </c>
    </row>
    <row r="476" spans="1:21" x14ac:dyDescent="0.75">
      <c r="A476" t="s">
        <v>7229</v>
      </c>
      <c r="B476" t="s">
        <v>33572</v>
      </c>
      <c r="C476" t="s">
        <v>33571</v>
      </c>
      <c r="D476" t="s">
        <v>33654</v>
      </c>
      <c r="E476" t="s">
        <v>34175</v>
      </c>
      <c r="F476" t="s">
        <v>34174</v>
      </c>
      <c r="G476" t="s">
        <v>6156</v>
      </c>
      <c r="H476" t="s">
        <v>7230</v>
      </c>
      <c r="J476" t="s">
        <v>33567</v>
      </c>
      <c r="K476" t="s">
        <v>33566</v>
      </c>
      <c r="L476" t="s">
        <v>33587</v>
      </c>
      <c r="N476" t="s">
        <v>35033</v>
      </c>
      <c r="O476" t="s">
        <v>35032</v>
      </c>
      <c r="P476">
        <v>489</v>
      </c>
      <c r="Q476" t="s">
        <v>35031</v>
      </c>
      <c r="R476" t="s">
        <v>35030</v>
      </c>
      <c r="T476" s="22" t="s">
        <v>37168</v>
      </c>
      <c r="U476" s="22" t="s">
        <v>104</v>
      </c>
    </row>
    <row r="477" spans="1:21" x14ac:dyDescent="0.75">
      <c r="A477" t="s">
        <v>7165</v>
      </c>
      <c r="B477" t="s">
        <v>33572</v>
      </c>
      <c r="C477" t="s">
        <v>33571</v>
      </c>
      <c r="D477" t="s">
        <v>33654</v>
      </c>
      <c r="E477" t="s">
        <v>34175</v>
      </c>
      <c r="F477" t="s">
        <v>34174</v>
      </c>
      <c r="G477" t="s">
        <v>6156</v>
      </c>
      <c r="H477" t="s">
        <v>7166</v>
      </c>
      <c r="J477" t="s">
        <v>33567</v>
      </c>
      <c r="K477" t="s">
        <v>33566</v>
      </c>
      <c r="L477" t="s">
        <v>33616</v>
      </c>
      <c r="N477" t="s">
        <v>35029</v>
      </c>
      <c r="O477" t="s">
        <v>35028</v>
      </c>
      <c r="P477">
        <v>490</v>
      </c>
      <c r="Q477" t="s">
        <v>35027</v>
      </c>
      <c r="R477" t="s">
        <v>35026</v>
      </c>
      <c r="T477" s="22" t="s">
        <v>37159</v>
      </c>
      <c r="U477" s="22" t="s">
        <v>104</v>
      </c>
    </row>
    <row r="478" spans="1:21" x14ac:dyDescent="0.75">
      <c r="A478" t="s">
        <v>35025</v>
      </c>
      <c r="B478" t="s">
        <v>33572</v>
      </c>
      <c r="C478" t="s">
        <v>33571</v>
      </c>
      <c r="D478" t="s">
        <v>33654</v>
      </c>
      <c r="E478" t="s">
        <v>34175</v>
      </c>
      <c r="F478" t="s">
        <v>34174</v>
      </c>
      <c r="G478" t="s">
        <v>6156</v>
      </c>
      <c r="H478" t="s">
        <v>35024</v>
      </c>
      <c r="J478" t="s">
        <v>33577</v>
      </c>
      <c r="K478" t="s">
        <v>33576</v>
      </c>
      <c r="L478" t="s">
        <v>33575</v>
      </c>
      <c r="N478" t="s">
        <v>35023</v>
      </c>
      <c r="O478" t="s">
        <v>35022</v>
      </c>
      <c r="P478">
        <v>712400</v>
      </c>
      <c r="T478" s="22" t="s">
        <v>37511</v>
      </c>
      <c r="U478" s="22" t="s">
        <v>104</v>
      </c>
    </row>
    <row r="479" spans="1:21" x14ac:dyDescent="0.75">
      <c r="A479" t="s">
        <v>8985</v>
      </c>
      <c r="B479" t="s">
        <v>33572</v>
      </c>
      <c r="C479" t="s">
        <v>33571</v>
      </c>
      <c r="D479" t="s">
        <v>33654</v>
      </c>
      <c r="E479" t="s">
        <v>34175</v>
      </c>
      <c r="F479" t="s">
        <v>34174</v>
      </c>
      <c r="G479" t="s">
        <v>6156</v>
      </c>
      <c r="H479" t="s">
        <v>8986</v>
      </c>
      <c r="J479" t="s">
        <v>33617</v>
      </c>
      <c r="K479" t="s">
        <v>33566</v>
      </c>
      <c r="L479" t="s">
        <v>33587</v>
      </c>
      <c r="N479" t="s">
        <v>35021</v>
      </c>
      <c r="O479" t="s">
        <v>35020</v>
      </c>
      <c r="P479">
        <v>712401</v>
      </c>
      <c r="Q479" t="s">
        <v>35019</v>
      </c>
      <c r="R479" t="s">
        <v>35018</v>
      </c>
      <c r="T479" s="22" t="s">
        <v>37512</v>
      </c>
      <c r="U479" s="22" t="s">
        <v>104</v>
      </c>
    </row>
    <row r="480" spans="1:21" x14ac:dyDescent="0.75">
      <c r="A480" t="s">
        <v>35017</v>
      </c>
      <c r="B480" t="s">
        <v>33572</v>
      </c>
      <c r="C480" t="s">
        <v>33571</v>
      </c>
      <c r="D480" t="s">
        <v>33654</v>
      </c>
      <c r="E480" t="s">
        <v>34175</v>
      </c>
      <c r="F480" t="s">
        <v>34174</v>
      </c>
      <c r="G480" t="s">
        <v>6156</v>
      </c>
      <c r="H480" t="s">
        <v>35016</v>
      </c>
      <c r="J480" t="s">
        <v>33577</v>
      </c>
      <c r="K480" t="s">
        <v>33576</v>
      </c>
      <c r="L480" t="s">
        <v>33587</v>
      </c>
      <c r="N480" t="s">
        <v>35015</v>
      </c>
      <c r="O480" t="s">
        <v>35014</v>
      </c>
      <c r="P480">
        <v>712402</v>
      </c>
      <c r="T480" s="22" t="s">
        <v>37513</v>
      </c>
      <c r="U480" s="22" t="s">
        <v>104</v>
      </c>
    </row>
    <row r="481" spans="1:21" x14ac:dyDescent="0.75">
      <c r="A481" t="s">
        <v>35013</v>
      </c>
      <c r="B481" t="s">
        <v>33572</v>
      </c>
      <c r="C481" t="s">
        <v>33571</v>
      </c>
      <c r="D481" t="s">
        <v>33654</v>
      </c>
      <c r="E481" t="s">
        <v>34175</v>
      </c>
      <c r="F481" t="s">
        <v>34174</v>
      </c>
      <c r="G481" t="s">
        <v>6156</v>
      </c>
      <c r="H481" t="s">
        <v>35012</v>
      </c>
      <c r="J481" t="s">
        <v>33577</v>
      </c>
      <c r="K481" t="s">
        <v>33576</v>
      </c>
      <c r="L481" t="s">
        <v>33587</v>
      </c>
      <c r="N481" t="s">
        <v>35011</v>
      </c>
      <c r="O481" t="s">
        <v>35010</v>
      </c>
      <c r="P481">
        <v>712403</v>
      </c>
      <c r="T481" s="22" t="s">
        <v>37514</v>
      </c>
      <c r="U481" s="22" t="s">
        <v>104</v>
      </c>
    </row>
    <row r="482" spans="1:21" x14ac:dyDescent="0.75">
      <c r="A482" t="s">
        <v>7185</v>
      </c>
      <c r="B482" t="s">
        <v>33572</v>
      </c>
      <c r="C482" t="s">
        <v>33571</v>
      </c>
      <c r="D482" t="s">
        <v>33654</v>
      </c>
      <c r="E482" t="s">
        <v>34175</v>
      </c>
      <c r="F482" t="s">
        <v>34174</v>
      </c>
      <c r="G482" t="s">
        <v>6156</v>
      </c>
      <c r="H482" t="s">
        <v>7186</v>
      </c>
      <c r="J482" t="s">
        <v>33567</v>
      </c>
      <c r="K482" t="s">
        <v>33566</v>
      </c>
      <c r="L482" t="s">
        <v>33616</v>
      </c>
      <c r="N482" t="s">
        <v>35009</v>
      </c>
      <c r="O482" t="s">
        <v>35008</v>
      </c>
      <c r="P482">
        <v>28449</v>
      </c>
      <c r="Q482" t="s">
        <v>35007</v>
      </c>
      <c r="R482" t="s">
        <v>35006</v>
      </c>
      <c r="T482" s="22" t="s">
        <v>37164</v>
      </c>
      <c r="U482" s="22" t="s">
        <v>104</v>
      </c>
    </row>
    <row r="483" spans="1:21" x14ac:dyDescent="0.75">
      <c r="A483" t="s">
        <v>7948</v>
      </c>
      <c r="B483" t="s">
        <v>33572</v>
      </c>
      <c r="C483" t="s">
        <v>33571</v>
      </c>
      <c r="D483" t="s">
        <v>33654</v>
      </c>
      <c r="E483" t="s">
        <v>34175</v>
      </c>
      <c r="F483" t="s">
        <v>34174</v>
      </c>
      <c r="G483" t="s">
        <v>6156</v>
      </c>
      <c r="H483" t="s">
        <v>7949</v>
      </c>
      <c r="J483" t="s">
        <v>33567</v>
      </c>
      <c r="K483" t="s">
        <v>33566</v>
      </c>
      <c r="L483" t="s">
        <v>35005</v>
      </c>
      <c r="N483" t="s">
        <v>35004</v>
      </c>
      <c r="O483" t="s">
        <v>35003</v>
      </c>
      <c r="P483">
        <v>28091</v>
      </c>
      <c r="Q483" t="s">
        <v>35002</v>
      </c>
      <c r="R483" t="s">
        <v>35001</v>
      </c>
      <c r="T483" s="22" t="s">
        <v>37172</v>
      </c>
      <c r="U483" s="22" t="s">
        <v>144</v>
      </c>
    </row>
    <row r="484" spans="1:21" x14ac:dyDescent="0.75">
      <c r="A484" t="s">
        <v>35000</v>
      </c>
      <c r="B484" t="s">
        <v>33572</v>
      </c>
      <c r="C484" t="s">
        <v>33571</v>
      </c>
      <c r="D484" t="s">
        <v>33654</v>
      </c>
      <c r="E484" t="s">
        <v>34175</v>
      </c>
      <c r="F484" t="s">
        <v>34174</v>
      </c>
      <c r="G484" t="s">
        <v>34997</v>
      </c>
      <c r="H484" t="s">
        <v>34999</v>
      </c>
      <c r="J484" t="s">
        <v>33577</v>
      </c>
      <c r="K484" t="s">
        <v>33576</v>
      </c>
      <c r="L484" t="s">
        <v>34995</v>
      </c>
      <c r="O484" t="s">
        <v>34181</v>
      </c>
      <c r="P484">
        <v>481</v>
      </c>
      <c r="T484" s="22" t="s">
        <v>37515</v>
      </c>
      <c r="U484" s="22" t="s">
        <v>36807</v>
      </c>
    </row>
    <row r="485" spans="1:21" x14ac:dyDescent="0.75">
      <c r="A485" t="s">
        <v>34998</v>
      </c>
      <c r="B485" t="s">
        <v>33572</v>
      </c>
      <c r="C485" t="s">
        <v>33571</v>
      </c>
      <c r="D485" t="s">
        <v>33654</v>
      </c>
      <c r="E485" t="s">
        <v>34175</v>
      </c>
      <c r="F485" t="s">
        <v>34174</v>
      </c>
      <c r="G485" t="s">
        <v>34997</v>
      </c>
      <c r="H485" t="s">
        <v>34996</v>
      </c>
      <c r="J485" t="s">
        <v>33577</v>
      </c>
      <c r="K485" t="s">
        <v>33576</v>
      </c>
      <c r="L485" t="s">
        <v>34995</v>
      </c>
      <c r="O485" t="s">
        <v>34181</v>
      </c>
      <c r="P485">
        <v>481</v>
      </c>
      <c r="T485" s="22" t="s">
        <v>37516</v>
      </c>
      <c r="U485" s="22" t="s">
        <v>36807</v>
      </c>
    </row>
    <row r="486" spans="1:21" x14ac:dyDescent="0.75">
      <c r="A486" t="s">
        <v>34994</v>
      </c>
      <c r="B486" t="s">
        <v>33572</v>
      </c>
      <c r="C486" t="s">
        <v>33571</v>
      </c>
      <c r="D486" t="s">
        <v>34135</v>
      </c>
      <c r="E486" t="s">
        <v>34134</v>
      </c>
      <c r="F486" t="s">
        <v>34990</v>
      </c>
      <c r="G486" t="s">
        <v>13619</v>
      </c>
      <c r="H486" t="s">
        <v>34993</v>
      </c>
      <c r="J486" t="s">
        <v>34030</v>
      </c>
      <c r="K486" t="s">
        <v>33576</v>
      </c>
      <c r="L486" t="s">
        <v>33651</v>
      </c>
      <c r="N486" t="s">
        <v>34992</v>
      </c>
      <c r="O486" t="s">
        <v>34991</v>
      </c>
      <c r="P486">
        <v>2282397</v>
      </c>
      <c r="T486" s="22" t="s">
        <v>37376</v>
      </c>
      <c r="U486" s="22" t="s">
        <v>144</v>
      </c>
    </row>
    <row r="487" spans="1:21" x14ac:dyDescent="0.75">
      <c r="A487" t="s">
        <v>13618</v>
      </c>
      <c r="B487" t="s">
        <v>33572</v>
      </c>
      <c r="C487" t="s">
        <v>33571</v>
      </c>
      <c r="D487" t="s">
        <v>34135</v>
      </c>
      <c r="E487" t="s">
        <v>34134</v>
      </c>
      <c r="F487" t="s">
        <v>34990</v>
      </c>
      <c r="G487" t="s">
        <v>13619</v>
      </c>
      <c r="H487" t="s">
        <v>13620</v>
      </c>
      <c r="J487" t="s">
        <v>33567</v>
      </c>
      <c r="K487" t="s">
        <v>33566</v>
      </c>
      <c r="L487" t="s">
        <v>33651</v>
      </c>
      <c r="O487" t="s">
        <v>34181</v>
      </c>
      <c r="P487">
        <v>428991</v>
      </c>
      <c r="Q487" t="s">
        <v>34989</v>
      </c>
      <c r="R487" t="s">
        <v>34988</v>
      </c>
      <c r="T487" s="22" t="s">
        <v>37176</v>
      </c>
      <c r="U487" s="22" t="s">
        <v>144</v>
      </c>
    </row>
    <row r="488" spans="1:21" x14ac:dyDescent="0.75">
      <c r="A488" t="s">
        <v>34987</v>
      </c>
      <c r="B488" t="s">
        <v>33572</v>
      </c>
      <c r="C488" t="s">
        <v>33583</v>
      </c>
      <c r="D488" t="s">
        <v>33881</v>
      </c>
      <c r="E488" t="s">
        <v>33880</v>
      </c>
      <c r="F488" t="s">
        <v>34938</v>
      </c>
      <c r="G488" t="s">
        <v>34986</v>
      </c>
      <c r="H488" t="s">
        <v>34985</v>
      </c>
      <c r="J488" t="s">
        <v>33577</v>
      </c>
      <c r="K488" t="s">
        <v>33576</v>
      </c>
      <c r="L488" t="s">
        <v>33587</v>
      </c>
      <c r="N488" t="s">
        <v>34984</v>
      </c>
      <c r="O488" t="s">
        <v>34983</v>
      </c>
      <c r="P488">
        <v>283168</v>
      </c>
      <c r="T488" s="22" t="s">
        <v>37517</v>
      </c>
      <c r="U488" s="22" t="s">
        <v>104</v>
      </c>
    </row>
    <row r="489" spans="1:21" x14ac:dyDescent="0.75">
      <c r="A489" t="s">
        <v>34982</v>
      </c>
      <c r="B489" t="s">
        <v>33572</v>
      </c>
      <c r="C489" t="s">
        <v>33583</v>
      </c>
      <c r="D489" t="s">
        <v>33881</v>
      </c>
      <c r="E489" t="s">
        <v>33880</v>
      </c>
      <c r="F489" t="s">
        <v>34938</v>
      </c>
      <c r="G489" t="s">
        <v>34961</v>
      </c>
      <c r="H489" t="s">
        <v>34981</v>
      </c>
      <c r="J489" t="s">
        <v>33577</v>
      </c>
      <c r="K489" t="s">
        <v>33576</v>
      </c>
      <c r="L489" t="s">
        <v>33587</v>
      </c>
      <c r="N489" t="s">
        <v>34980</v>
      </c>
      <c r="O489" t="s">
        <v>34979</v>
      </c>
      <c r="P489">
        <v>200643</v>
      </c>
      <c r="T489" s="22" t="s">
        <v>37518</v>
      </c>
      <c r="U489" s="22" t="s">
        <v>104</v>
      </c>
    </row>
    <row r="490" spans="1:21" x14ac:dyDescent="0.75">
      <c r="A490" t="s">
        <v>34978</v>
      </c>
      <c r="B490" t="s">
        <v>33572</v>
      </c>
      <c r="C490" t="s">
        <v>33583</v>
      </c>
      <c r="D490" t="s">
        <v>33881</v>
      </c>
      <c r="E490" t="s">
        <v>33880</v>
      </c>
      <c r="F490" t="s">
        <v>34938</v>
      </c>
      <c r="G490" t="s">
        <v>34961</v>
      </c>
      <c r="H490" t="s">
        <v>34977</v>
      </c>
      <c r="J490" t="s">
        <v>33577</v>
      </c>
      <c r="K490" t="s">
        <v>33576</v>
      </c>
      <c r="L490" t="s">
        <v>33587</v>
      </c>
      <c r="N490" t="s">
        <v>34976</v>
      </c>
      <c r="O490" t="s">
        <v>34975</v>
      </c>
      <c r="P490">
        <v>200643</v>
      </c>
      <c r="T490" s="22" t="s">
        <v>37519</v>
      </c>
      <c r="U490" s="22" t="s">
        <v>104</v>
      </c>
    </row>
    <row r="491" spans="1:21" x14ac:dyDescent="0.75">
      <c r="A491" t="s">
        <v>34974</v>
      </c>
      <c r="B491" t="s">
        <v>33572</v>
      </c>
      <c r="C491" t="s">
        <v>33583</v>
      </c>
      <c r="D491" t="s">
        <v>33881</v>
      </c>
      <c r="E491" t="s">
        <v>33880</v>
      </c>
      <c r="F491" t="s">
        <v>34938</v>
      </c>
      <c r="G491" t="s">
        <v>34961</v>
      </c>
      <c r="H491" t="s">
        <v>34973</v>
      </c>
      <c r="J491" t="s">
        <v>33577</v>
      </c>
      <c r="K491" t="s">
        <v>33576</v>
      </c>
      <c r="L491" t="s">
        <v>33609</v>
      </c>
      <c r="N491" t="s">
        <v>34972</v>
      </c>
      <c r="O491" t="s">
        <v>34971</v>
      </c>
      <c r="P491">
        <v>200643</v>
      </c>
      <c r="T491" s="22" t="s">
        <v>37520</v>
      </c>
      <c r="U491" s="22" t="s">
        <v>104</v>
      </c>
    </row>
    <row r="492" spans="1:21" x14ac:dyDescent="0.75">
      <c r="A492" t="s">
        <v>34970</v>
      </c>
      <c r="B492" t="s">
        <v>33572</v>
      </c>
      <c r="C492" t="s">
        <v>33583</v>
      </c>
      <c r="D492" t="s">
        <v>33881</v>
      </c>
      <c r="E492" t="s">
        <v>33880</v>
      </c>
      <c r="F492" t="s">
        <v>34938</v>
      </c>
      <c r="G492" t="s">
        <v>34961</v>
      </c>
      <c r="H492" t="s">
        <v>34969</v>
      </c>
      <c r="J492" t="s">
        <v>33577</v>
      </c>
      <c r="K492" t="s">
        <v>33576</v>
      </c>
      <c r="L492" t="s">
        <v>33659</v>
      </c>
      <c r="N492" t="s">
        <v>34968</v>
      </c>
      <c r="O492" t="s">
        <v>34967</v>
      </c>
      <c r="P492">
        <v>200643</v>
      </c>
      <c r="T492" s="22" t="s">
        <v>37521</v>
      </c>
      <c r="U492" s="22" t="s">
        <v>1563</v>
      </c>
    </row>
    <row r="493" spans="1:21" x14ac:dyDescent="0.75">
      <c r="A493" t="s">
        <v>34966</v>
      </c>
      <c r="B493" t="s">
        <v>33572</v>
      </c>
      <c r="C493" t="s">
        <v>33583</v>
      </c>
      <c r="D493" t="s">
        <v>33881</v>
      </c>
      <c r="E493" t="s">
        <v>33880</v>
      </c>
      <c r="F493" t="s">
        <v>34938</v>
      </c>
      <c r="G493" t="s">
        <v>34961</v>
      </c>
      <c r="H493" t="s">
        <v>34965</v>
      </c>
      <c r="J493" t="s">
        <v>33577</v>
      </c>
      <c r="K493" t="s">
        <v>33576</v>
      </c>
      <c r="L493" t="s">
        <v>33587</v>
      </c>
      <c r="N493" t="s">
        <v>34964</v>
      </c>
      <c r="O493" t="s">
        <v>34963</v>
      </c>
      <c r="P493">
        <v>200643</v>
      </c>
      <c r="T493" s="22" t="s">
        <v>37522</v>
      </c>
      <c r="U493" s="22" t="s">
        <v>104</v>
      </c>
    </row>
    <row r="494" spans="1:21" x14ac:dyDescent="0.75">
      <c r="A494" t="s">
        <v>34962</v>
      </c>
      <c r="B494" t="s">
        <v>33572</v>
      </c>
      <c r="C494" t="s">
        <v>33583</v>
      </c>
      <c r="D494" t="s">
        <v>33881</v>
      </c>
      <c r="E494" t="s">
        <v>33880</v>
      </c>
      <c r="F494" t="s">
        <v>34938</v>
      </c>
      <c r="G494" t="s">
        <v>34961</v>
      </c>
      <c r="H494" t="s">
        <v>34960</v>
      </c>
      <c r="J494" t="s">
        <v>33577</v>
      </c>
      <c r="K494" t="s">
        <v>33576</v>
      </c>
      <c r="L494" t="s">
        <v>33659</v>
      </c>
      <c r="N494" t="s">
        <v>34959</v>
      </c>
      <c r="O494" t="s">
        <v>34958</v>
      </c>
      <c r="P494">
        <v>200643</v>
      </c>
      <c r="T494" s="22" t="s">
        <v>37523</v>
      </c>
      <c r="U494" s="22" t="s">
        <v>1563</v>
      </c>
    </row>
    <row r="495" spans="1:21" x14ac:dyDescent="0.75">
      <c r="A495" t="s">
        <v>34957</v>
      </c>
      <c r="B495" t="s">
        <v>33572</v>
      </c>
      <c r="C495" t="s">
        <v>33583</v>
      </c>
      <c r="D495" t="s">
        <v>33881</v>
      </c>
      <c r="E495" t="s">
        <v>33880</v>
      </c>
      <c r="F495" t="s">
        <v>34938</v>
      </c>
      <c r="G495" t="s">
        <v>34956</v>
      </c>
      <c r="H495" t="s">
        <v>34955</v>
      </c>
      <c r="J495" t="s">
        <v>33577</v>
      </c>
      <c r="K495" t="s">
        <v>33576</v>
      </c>
      <c r="L495" t="s">
        <v>33659</v>
      </c>
      <c r="N495" t="s">
        <v>34954</v>
      </c>
      <c r="O495" t="s">
        <v>34953</v>
      </c>
      <c r="P495">
        <v>200643</v>
      </c>
      <c r="T495" s="22" t="s">
        <v>37524</v>
      </c>
      <c r="U495" s="22" t="s">
        <v>1563</v>
      </c>
    </row>
    <row r="496" spans="1:21" x14ac:dyDescent="0.75">
      <c r="A496" t="s">
        <v>34952</v>
      </c>
      <c r="B496" t="s">
        <v>33572</v>
      </c>
      <c r="C496" t="s">
        <v>33583</v>
      </c>
      <c r="D496" t="s">
        <v>33881</v>
      </c>
      <c r="E496" t="s">
        <v>33880</v>
      </c>
      <c r="F496" t="s">
        <v>34938</v>
      </c>
      <c r="G496" t="s">
        <v>34943</v>
      </c>
      <c r="H496" t="s">
        <v>34951</v>
      </c>
      <c r="J496" t="s">
        <v>33577</v>
      </c>
      <c r="K496" t="s">
        <v>33576</v>
      </c>
      <c r="L496" t="s">
        <v>33609</v>
      </c>
      <c r="N496" t="s">
        <v>34950</v>
      </c>
      <c r="O496" t="s">
        <v>34949</v>
      </c>
      <c r="P496">
        <v>200643</v>
      </c>
      <c r="T496" s="22" t="s">
        <v>37525</v>
      </c>
      <c r="U496" s="22" t="s">
        <v>104</v>
      </c>
    </row>
    <row r="497" spans="1:21" x14ac:dyDescent="0.75">
      <c r="A497" t="s">
        <v>34948</v>
      </c>
      <c r="B497" t="s">
        <v>33572</v>
      </c>
      <c r="C497" t="s">
        <v>33583</v>
      </c>
      <c r="D497" t="s">
        <v>33881</v>
      </c>
      <c r="E497" t="s">
        <v>33880</v>
      </c>
      <c r="F497" t="s">
        <v>34938</v>
      </c>
      <c r="G497" t="s">
        <v>34943</v>
      </c>
      <c r="H497" t="s">
        <v>34947</v>
      </c>
      <c r="J497" t="s">
        <v>33577</v>
      </c>
      <c r="K497" t="s">
        <v>33576</v>
      </c>
      <c r="L497" t="s">
        <v>33587</v>
      </c>
      <c r="N497" t="s">
        <v>34946</v>
      </c>
      <c r="O497" t="s">
        <v>34945</v>
      </c>
      <c r="P497">
        <v>200643</v>
      </c>
      <c r="T497" s="22" t="s">
        <v>37526</v>
      </c>
      <c r="U497" s="22" t="s">
        <v>104</v>
      </c>
    </row>
    <row r="498" spans="1:21" x14ac:dyDescent="0.75">
      <c r="A498" t="s">
        <v>34944</v>
      </c>
      <c r="B498" t="s">
        <v>33572</v>
      </c>
      <c r="C498" t="s">
        <v>33583</v>
      </c>
      <c r="D498" t="s">
        <v>33881</v>
      </c>
      <c r="E498" t="s">
        <v>33880</v>
      </c>
      <c r="F498" t="s">
        <v>34938</v>
      </c>
      <c r="G498" t="s">
        <v>34943</v>
      </c>
      <c r="H498" t="s">
        <v>34942</v>
      </c>
      <c r="J498" t="s">
        <v>33577</v>
      </c>
      <c r="K498" t="s">
        <v>33576</v>
      </c>
      <c r="L498" t="s">
        <v>33575</v>
      </c>
      <c r="N498" t="s">
        <v>34941</v>
      </c>
      <c r="O498" t="s">
        <v>34940</v>
      </c>
      <c r="P498">
        <v>200643</v>
      </c>
      <c r="T498" s="22" t="s">
        <v>37527</v>
      </c>
      <c r="U498" s="22" t="s">
        <v>104</v>
      </c>
    </row>
    <row r="499" spans="1:21" x14ac:dyDescent="0.75">
      <c r="A499" t="s">
        <v>34939</v>
      </c>
      <c r="B499" t="s">
        <v>33572</v>
      </c>
      <c r="C499" t="s">
        <v>33583</v>
      </c>
      <c r="D499" t="s">
        <v>33881</v>
      </c>
      <c r="E499" t="s">
        <v>33880</v>
      </c>
      <c r="F499" t="s">
        <v>34938</v>
      </c>
      <c r="G499" t="s">
        <v>34937</v>
      </c>
      <c r="H499" t="s">
        <v>34936</v>
      </c>
      <c r="J499" t="s">
        <v>33577</v>
      </c>
      <c r="K499" t="s">
        <v>33576</v>
      </c>
      <c r="L499" t="s">
        <v>33659</v>
      </c>
      <c r="N499" t="s">
        <v>34935</v>
      </c>
      <c r="O499" t="s">
        <v>34934</v>
      </c>
      <c r="P499">
        <v>200643</v>
      </c>
      <c r="T499" s="22" t="s">
        <v>37528</v>
      </c>
      <c r="U499" s="22" t="s">
        <v>1563</v>
      </c>
    </row>
    <row r="500" spans="1:21" x14ac:dyDescent="0.75">
      <c r="A500" t="s">
        <v>9724</v>
      </c>
      <c r="B500" t="s">
        <v>33572</v>
      </c>
      <c r="C500" t="s">
        <v>34169</v>
      </c>
      <c r="D500" t="s">
        <v>34168</v>
      </c>
      <c r="E500" t="s">
        <v>34914</v>
      </c>
      <c r="F500" t="s">
        <v>34933</v>
      </c>
      <c r="G500" t="s">
        <v>9725</v>
      </c>
      <c r="H500" t="s">
        <v>9726</v>
      </c>
      <c r="J500" t="s">
        <v>33567</v>
      </c>
      <c r="K500" t="s">
        <v>33566</v>
      </c>
      <c r="L500" t="s">
        <v>34932</v>
      </c>
      <c r="N500" t="s">
        <v>34931</v>
      </c>
      <c r="O500" t="s">
        <v>34915</v>
      </c>
      <c r="P500">
        <v>1776381</v>
      </c>
      <c r="Q500" t="s">
        <v>9723</v>
      </c>
      <c r="R500" t="s">
        <v>34930</v>
      </c>
      <c r="T500" s="22" t="s">
        <v>37529</v>
      </c>
      <c r="U500" s="22" t="s">
        <v>1308</v>
      </c>
    </row>
    <row r="501" spans="1:21" x14ac:dyDescent="0.75">
      <c r="A501" t="s">
        <v>8283</v>
      </c>
      <c r="B501" t="s">
        <v>33572</v>
      </c>
      <c r="C501" t="s">
        <v>34169</v>
      </c>
      <c r="D501" t="s">
        <v>34168</v>
      </c>
      <c r="E501" t="s">
        <v>34914</v>
      </c>
      <c r="F501" t="s">
        <v>34913</v>
      </c>
      <c r="G501" t="s">
        <v>6581</v>
      </c>
      <c r="H501" t="s">
        <v>8284</v>
      </c>
      <c r="J501" t="s">
        <v>33567</v>
      </c>
      <c r="K501" t="s">
        <v>33566</v>
      </c>
      <c r="L501" t="s">
        <v>33659</v>
      </c>
      <c r="N501" t="s">
        <v>34929</v>
      </c>
      <c r="O501" t="s">
        <v>34928</v>
      </c>
      <c r="P501">
        <v>661086</v>
      </c>
      <c r="Q501" t="s">
        <v>34927</v>
      </c>
      <c r="R501" t="s">
        <v>34926</v>
      </c>
      <c r="T501" s="22" t="s">
        <v>37178</v>
      </c>
      <c r="U501" s="22" t="s">
        <v>1563</v>
      </c>
    </row>
    <row r="502" spans="1:21" x14ac:dyDescent="0.75">
      <c r="A502" t="s">
        <v>9822</v>
      </c>
      <c r="B502" t="s">
        <v>33572</v>
      </c>
      <c r="C502" t="s">
        <v>34169</v>
      </c>
      <c r="D502" t="s">
        <v>34168</v>
      </c>
      <c r="E502" t="s">
        <v>34914</v>
      </c>
      <c r="F502" t="s">
        <v>34913</v>
      </c>
      <c r="G502" t="s">
        <v>6581</v>
      </c>
      <c r="H502" t="s">
        <v>9823</v>
      </c>
      <c r="J502" t="s">
        <v>33567</v>
      </c>
      <c r="K502" t="s">
        <v>33566</v>
      </c>
      <c r="L502" t="s">
        <v>33587</v>
      </c>
      <c r="N502" t="s">
        <v>34925</v>
      </c>
      <c r="O502" t="s">
        <v>34915</v>
      </c>
      <c r="P502">
        <v>138595</v>
      </c>
      <c r="Q502" t="s">
        <v>34924</v>
      </c>
      <c r="R502" t="s">
        <v>34923</v>
      </c>
      <c r="T502" s="22" t="s">
        <v>37179</v>
      </c>
      <c r="U502" s="22" t="s">
        <v>104</v>
      </c>
    </row>
    <row r="503" spans="1:21" x14ac:dyDescent="0.75">
      <c r="A503" t="s">
        <v>11372</v>
      </c>
      <c r="B503" t="s">
        <v>33572</v>
      </c>
      <c r="C503" t="s">
        <v>34169</v>
      </c>
      <c r="D503" t="s">
        <v>34168</v>
      </c>
      <c r="E503" t="s">
        <v>34914</v>
      </c>
      <c r="F503" t="s">
        <v>34913</v>
      </c>
      <c r="G503" t="s">
        <v>6581</v>
      </c>
      <c r="H503" t="s">
        <v>11373</v>
      </c>
      <c r="J503" t="s">
        <v>33617</v>
      </c>
      <c r="K503" t="s">
        <v>33566</v>
      </c>
      <c r="L503" t="s">
        <v>33575</v>
      </c>
      <c r="N503" t="s">
        <v>34922</v>
      </c>
      <c r="O503" t="s">
        <v>34921</v>
      </c>
      <c r="P503">
        <v>712411</v>
      </c>
      <c r="Q503" t="s">
        <v>34920</v>
      </c>
      <c r="R503" t="s">
        <v>34919</v>
      </c>
      <c r="T503" s="22" t="s">
        <v>37530</v>
      </c>
      <c r="U503" s="22" t="s">
        <v>104</v>
      </c>
    </row>
    <row r="504" spans="1:21" x14ac:dyDescent="0.75">
      <c r="A504" t="s">
        <v>34918</v>
      </c>
      <c r="B504" t="s">
        <v>33572</v>
      </c>
      <c r="C504" t="s">
        <v>34169</v>
      </c>
      <c r="D504" t="s">
        <v>34168</v>
      </c>
      <c r="E504" t="s">
        <v>34914</v>
      </c>
      <c r="F504" t="s">
        <v>34913</v>
      </c>
      <c r="G504" t="s">
        <v>6581</v>
      </c>
      <c r="H504" t="s">
        <v>34917</v>
      </c>
      <c r="J504" t="s">
        <v>33577</v>
      </c>
      <c r="K504" t="s">
        <v>33576</v>
      </c>
      <c r="L504" t="s">
        <v>33587</v>
      </c>
      <c r="N504" t="s">
        <v>34916</v>
      </c>
      <c r="O504" t="s">
        <v>34915</v>
      </c>
      <c r="P504">
        <v>133925</v>
      </c>
      <c r="T504" s="22" t="s">
        <v>37531</v>
      </c>
      <c r="U504" s="22" t="s">
        <v>104</v>
      </c>
    </row>
    <row r="505" spans="1:21" x14ac:dyDescent="0.75">
      <c r="A505" t="s">
        <v>6580</v>
      </c>
      <c r="B505" t="s">
        <v>33572</v>
      </c>
      <c r="C505" t="s">
        <v>34169</v>
      </c>
      <c r="D505" t="s">
        <v>34168</v>
      </c>
      <c r="E505" t="s">
        <v>34914</v>
      </c>
      <c r="F505" t="s">
        <v>34913</v>
      </c>
      <c r="G505" t="s">
        <v>6581</v>
      </c>
      <c r="H505" t="s">
        <v>6582</v>
      </c>
      <c r="J505" t="s">
        <v>33567</v>
      </c>
      <c r="K505" t="s">
        <v>33566</v>
      </c>
      <c r="L505" t="s">
        <v>33587</v>
      </c>
      <c r="N505" t="s">
        <v>34912</v>
      </c>
      <c r="O505" t="s">
        <v>34911</v>
      </c>
      <c r="P505">
        <v>133926</v>
      </c>
      <c r="Q505" t="s">
        <v>34910</v>
      </c>
      <c r="R505" t="s">
        <v>34909</v>
      </c>
      <c r="T505" s="22" t="s">
        <v>37180</v>
      </c>
      <c r="U505" s="22" t="s">
        <v>104</v>
      </c>
    </row>
    <row r="506" spans="1:21" x14ac:dyDescent="0.75">
      <c r="A506" t="s">
        <v>7781</v>
      </c>
      <c r="B506" t="s">
        <v>33572</v>
      </c>
      <c r="C506" t="s">
        <v>33606</v>
      </c>
      <c r="D506" t="s">
        <v>33663</v>
      </c>
      <c r="E506" t="s">
        <v>34061</v>
      </c>
      <c r="F506" t="s">
        <v>34060</v>
      </c>
      <c r="G506" t="s">
        <v>6886</v>
      </c>
      <c r="H506" t="s">
        <v>7782</v>
      </c>
      <c r="J506" t="s">
        <v>33567</v>
      </c>
      <c r="K506" t="s">
        <v>33566</v>
      </c>
      <c r="L506" t="s">
        <v>33575</v>
      </c>
      <c r="M506" t="s">
        <v>8342</v>
      </c>
      <c r="N506" t="s">
        <v>34908</v>
      </c>
      <c r="O506" t="s">
        <v>34907</v>
      </c>
      <c r="P506">
        <v>1501332</v>
      </c>
      <c r="Q506" t="s">
        <v>34906</v>
      </c>
      <c r="R506" t="s">
        <v>34905</v>
      </c>
      <c r="T506" s="22" t="s">
        <v>37183</v>
      </c>
      <c r="U506" s="22" t="s">
        <v>104</v>
      </c>
    </row>
    <row r="507" spans="1:21" x14ac:dyDescent="0.75">
      <c r="A507" t="s">
        <v>8338</v>
      </c>
      <c r="B507" t="s">
        <v>33572</v>
      </c>
      <c r="C507" t="s">
        <v>33606</v>
      </c>
      <c r="D507" t="s">
        <v>33663</v>
      </c>
      <c r="E507" t="s">
        <v>34061</v>
      </c>
      <c r="F507" t="s">
        <v>34060</v>
      </c>
      <c r="G507" t="s">
        <v>6886</v>
      </c>
      <c r="H507" t="s">
        <v>6088</v>
      </c>
      <c r="J507" t="s">
        <v>33567</v>
      </c>
      <c r="K507" t="s">
        <v>33566</v>
      </c>
      <c r="L507" t="s">
        <v>33575</v>
      </c>
      <c r="M507" t="s">
        <v>8339</v>
      </c>
      <c r="N507" t="s">
        <v>34904</v>
      </c>
      <c r="O507" t="s">
        <v>33614</v>
      </c>
      <c r="P507">
        <v>1501329</v>
      </c>
      <c r="Q507" t="s">
        <v>34903</v>
      </c>
      <c r="R507" t="s">
        <v>34902</v>
      </c>
      <c r="T507" s="22" t="s">
        <v>37182</v>
      </c>
      <c r="U507" s="22" t="s">
        <v>104</v>
      </c>
    </row>
    <row r="508" spans="1:21" x14ac:dyDescent="0.75">
      <c r="A508" t="s">
        <v>6923</v>
      </c>
      <c r="B508" t="s">
        <v>33572</v>
      </c>
      <c r="C508" t="s">
        <v>33606</v>
      </c>
      <c r="D508" t="s">
        <v>33663</v>
      </c>
      <c r="E508" t="s">
        <v>34061</v>
      </c>
      <c r="F508" t="s">
        <v>34060</v>
      </c>
      <c r="G508" t="s">
        <v>6886</v>
      </c>
      <c r="H508" t="s">
        <v>6924</v>
      </c>
      <c r="J508" t="s">
        <v>33567</v>
      </c>
      <c r="K508" t="s">
        <v>33566</v>
      </c>
      <c r="L508" t="s">
        <v>33616</v>
      </c>
      <c r="N508" t="s">
        <v>34901</v>
      </c>
      <c r="O508" t="s">
        <v>34900</v>
      </c>
      <c r="P508">
        <v>237576</v>
      </c>
      <c r="Q508" t="s">
        <v>34899</v>
      </c>
      <c r="R508" t="s">
        <v>34898</v>
      </c>
      <c r="T508" s="22" t="s">
        <v>37184</v>
      </c>
      <c r="U508" s="22" t="s">
        <v>104</v>
      </c>
    </row>
    <row r="509" spans="1:21" x14ac:dyDescent="0.75">
      <c r="A509" t="s">
        <v>6885</v>
      </c>
      <c r="B509" t="s">
        <v>33572</v>
      </c>
      <c r="C509" t="s">
        <v>33606</v>
      </c>
      <c r="D509" t="s">
        <v>33663</v>
      </c>
      <c r="E509" t="s">
        <v>34061</v>
      </c>
      <c r="F509" t="s">
        <v>34060</v>
      </c>
      <c r="G509" t="s">
        <v>6886</v>
      </c>
      <c r="H509" t="s">
        <v>6887</v>
      </c>
      <c r="J509" t="s">
        <v>33617</v>
      </c>
      <c r="K509" t="s">
        <v>33566</v>
      </c>
      <c r="L509" t="s">
        <v>33575</v>
      </c>
      <c r="N509" t="s">
        <v>34897</v>
      </c>
      <c r="O509" t="s">
        <v>34896</v>
      </c>
      <c r="P509">
        <v>652706</v>
      </c>
      <c r="Q509" t="s">
        <v>34895</v>
      </c>
      <c r="R509" t="s">
        <v>34894</v>
      </c>
      <c r="T509" s="22" t="s">
        <v>37532</v>
      </c>
      <c r="U509" s="22" t="s">
        <v>104</v>
      </c>
    </row>
    <row r="510" spans="1:21" x14ac:dyDescent="0.75">
      <c r="A510" t="s">
        <v>18747</v>
      </c>
      <c r="B510" t="s">
        <v>33572</v>
      </c>
      <c r="C510" t="s">
        <v>33606</v>
      </c>
      <c r="D510" t="s">
        <v>33663</v>
      </c>
      <c r="E510" t="s">
        <v>34061</v>
      </c>
      <c r="F510" t="s">
        <v>34060</v>
      </c>
      <c r="G510" t="s">
        <v>6886</v>
      </c>
      <c r="H510" t="s">
        <v>18748</v>
      </c>
      <c r="J510" t="s">
        <v>33617</v>
      </c>
      <c r="K510" t="s">
        <v>33566</v>
      </c>
      <c r="L510" t="s">
        <v>33587</v>
      </c>
      <c r="N510" t="s">
        <v>34893</v>
      </c>
      <c r="O510" t="s">
        <v>34892</v>
      </c>
      <c r="P510">
        <v>671214</v>
      </c>
      <c r="Q510" t="s">
        <v>18746</v>
      </c>
      <c r="R510" t="s">
        <v>33863</v>
      </c>
      <c r="T510" s="22" t="s">
        <v>37533</v>
      </c>
      <c r="U510" s="22" t="s">
        <v>104</v>
      </c>
    </row>
    <row r="511" spans="1:21" x14ac:dyDescent="0.75">
      <c r="A511" t="s">
        <v>11547</v>
      </c>
      <c r="B511" t="s">
        <v>33572</v>
      </c>
      <c r="C511" t="s">
        <v>33571</v>
      </c>
      <c r="D511" t="s">
        <v>33654</v>
      </c>
      <c r="E511" t="s">
        <v>34891</v>
      </c>
      <c r="F511" t="s">
        <v>34890</v>
      </c>
      <c r="G511" t="s">
        <v>11548</v>
      </c>
      <c r="H511" t="s">
        <v>11549</v>
      </c>
      <c r="J511" t="s">
        <v>33567</v>
      </c>
      <c r="K511" t="s">
        <v>33566</v>
      </c>
      <c r="L511" t="s">
        <v>33651</v>
      </c>
      <c r="N511" t="s">
        <v>34889</v>
      </c>
      <c r="O511" t="s">
        <v>34888</v>
      </c>
      <c r="P511">
        <v>1735038</v>
      </c>
      <c r="Q511" t="s">
        <v>34887</v>
      </c>
      <c r="R511" t="s">
        <v>34886</v>
      </c>
      <c r="T511" s="22" t="s">
        <v>37187</v>
      </c>
      <c r="U511" s="22" t="s">
        <v>144</v>
      </c>
    </row>
    <row r="512" spans="1:21" x14ac:dyDescent="0.75">
      <c r="A512" t="s">
        <v>11441</v>
      </c>
      <c r="B512" t="s">
        <v>33572</v>
      </c>
      <c r="C512" t="s">
        <v>33571</v>
      </c>
      <c r="D512" t="s">
        <v>33654</v>
      </c>
      <c r="E512" t="s">
        <v>33653</v>
      </c>
      <c r="F512" t="s">
        <v>33652</v>
      </c>
      <c r="G512" t="s">
        <v>11442</v>
      </c>
      <c r="H512" t="s">
        <v>11443</v>
      </c>
      <c r="J512" t="s">
        <v>33617</v>
      </c>
      <c r="K512" t="s">
        <v>33566</v>
      </c>
      <c r="L512" t="s">
        <v>33575</v>
      </c>
      <c r="N512" t="s">
        <v>34885</v>
      </c>
      <c r="O512" t="s">
        <v>34884</v>
      </c>
      <c r="P512">
        <v>1658672</v>
      </c>
      <c r="Q512" t="s">
        <v>34883</v>
      </c>
      <c r="R512" t="s">
        <v>34882</v>
      </c>
      <c r="T512" s="22" t="s">
        <v>37534</v>
      </c>
      <c r="U512" s="22" t="s">
        <v>104</v>
      </c>
    </row>
    <row r="513" spans="1:21" x14ac:dyDescent="0.75">
      <c r="A513" t="s">
        <v>11541</v>
      </c>
      <c r="B513" t="s">
        <v>33572</v>
      </c>
      <c r="C513" t="s">
        <v>33571</v>
      </c>
      <c r="D513" t="s">
        <v>33654</v>
      </c>
      <c r="E513" t="s">
        <v>33653</v>
      </c>
      <c r="F513" t="s">
        <v>33652</v>
      </c>
      <c r="G513" t="s">
        <v>11542</v>
      </c>
      <c r="H513" t="s">
        <v>11543</v>
      </c>
      <c r="J513" t="s">
        <v>33567</v>
      </c>
      <c r="K513" t="s">
        <v>33566</v>
      </c>
      <c r="L513" t="s">
        <v>33651</v>
      </c>
      <c r="O513" t="s">
        <v>34181</v>
      </c>
      <c r="P513">
        <v>343013</v>
      </c>
      <c r="Q513" t="s">
        <v>34881</v>
      </c>
      <c r="R513" t="s">
        <v>34880</v>
      </c>
      <c r="T513" s="22" t="s">
        <v>37189</v>
      </c>
      <c r="U513" s="22" t="s">
        <v>144</v>
      </c>
    </row>
    <row r="514" spans="1:21" x14ac:dyDescent="0.75">
      <c r="A514" t="s">
        <v>486</v>
      </c>
      <c r="B514" t="s">
        <v>33572</v>
      </c>
      <c r="C514" t="s">
        <v>33606</v>
      </c>
      <c r="D514" t="s">
        <v>33913</v>
      </c>
      <c r="E514" t="s">
        <v>34090</v>
      </c>
      <c r="F514" t="s">
        <v>34873</v>
      </c>
      <c r="G514" t="s">
        <v>6845</v>
      </c>
      <c r="H514" t="s">
        <v>7571</v>
      </c>
      <c r="J514" t="s">
        <v>33567</v>
      </c>
      <c r="K514" t="s">
        <v>33566</v>
      </c>
      <c r="L514" t="s">
        <v>33651</v>
      </c>
      <c r="M514" t="s">
        <v>14781</v>
      </c>
      <c r="O514" t="s">
        <v>33614</v>
      </c>
      <c r="P514">
        <v>59843</v>
      </c>
      <c r="Q514" t="s">
        <v>34879</v>
      </c>
      <c r="R514" t="s">
        <v>34878</v>
      </c>
      <c r="T514" s="22" t="s">
        <v>487</v>
      </c>
      <c r="U514" s="22" t="s">
        <v>144</v>
      </c>
    </row>
    <row r="515" spans="1:21" x14ac:dyDescent="0.75">
      <c r="A515" t="s">
        <v>198</v>
      </c>
      <c r="B515" t="s">
        <v>33572</v>
      </c>
      <c r="C515" t="s">
        <v>33606</v>
      </c>
      <c r="D515" t="s">
        <v>33913</v>
      </c>
      <c r="E515" t="s">
        <v>34090</v>
      </c>
      <c r="F515" t="s">
        <v>34873</v>
      </c>
      <c r="G515" t="s">
        <v>6845</v>
      </c>
      <c r="H515" t="s">
        <v>6846</v>
      </c>
      <c r="J515" t="s">
        <v>33567</v>
      </c>
      <c r="K515" t="s">
        <v>33566</v>
      </c>
      <c r="L515" t="s">
        <v>33651</v>
      </c>
      <c r="M515" t="s">
        <v>34877</v>
      </c>
      <c r="N515" t="s">
        <v>34876</v>
      </c>
      <c r="O515" t="s">
        <v>33614</v>
      </c>
      <c r="P515">
        <v>554117</v>
      </c>
      <c r="Q515" t="s">
        <v>34875</v>
      </c>
      <c r="R515" t="s">
        <v>34874</v>
      </c>
      <c r="T515" s="22" t="s">
        <v>199</v>
      </c>
      <c r="U515" s="22" t="s">
        <v>144</v>
      </c>
    </row>
    <row r="516" spans="1:21" x14ac:dyDescent="0.75">
      <c r="A516" t="s">
        <v>3838</v>
      </c>
      <c r="B516" t="s">
        <v>33572</v>
      </c>
      <c r="C516" t="s">
        <v>33606</v>
      </c>
      <c r="D516" t="s">
        <v>33913</v>
      </c>
      <c r="E516" t="s">
        <v>34090</v>
      </c>
      <c r="F516" t="s">
        <v>34873</v>
      </c>
      <c r="G516" t="s">
        <v>6845</v>
      </c>
      <c r="H516" t="s">
        <v>21496</v>
      </c>
      <c r="J516" t="s">
        <v>34030</v>
      </c>
      <c r="K516" t="s">
        <v>33576</v>
      </c>
      <c r="L516" t="s">
        <v>33651</v>
      </c>
      <c r="N516" t="s">
        <v>34872</v>
      </c>
      <c r="O516" t="s">
        <v>34871</v>
      </c>
      <c r="P516">
        <v>1174501</v>
      </c>
      <c r="Q516" t="s">
        <v>34870</v>
      </c>
      <c r="R516" t="s">
        <v>34869</v>
      </c>
      <c r="T516" s="22" t="s">
        <v>3839</v>
      </c>
      <c r="U516" s="22" t="s">
        <v>144</v>
      </c>
    </row>
    <row r="517" spans="1:21" x14ac:dyDescent="0.75">
      <c r="A517" t="s">
        <v>319</v>
      </c>
      <c r="B517" t="s">
        <v>33572</v>
      </c>
      <c r="C517" t="s">
        <v>33583</v>
      </c>
      <c r="D517" t="s">
        <v>33881</v>
      </c>
      <c r="E517" t="s">
        <v>33880</v>
      </c>
      <c r="F517" t="s">
        <v>34868</v>
      </c>
      <c r="G517" t="s">
        <v>7040</v>
      </c>
      <c r="H517" t="s">
        <v>7041</v>
      </c>
      <c r="J517" t="s">
        <v>33617</v>
      </c>
      <c r="K517" t="s">
        <v>33566</v>
      </c>
      <c r="L517" t="s">
        <v>33616</v>
      </c>
      <c r="N517" t="s">
        <v>34867</v>
      </c>
      <c r="O517" t="s">
        <v>34866</v>
      </c>
      <c r="P517">
        <v>171549</v>
      </c>
      <c r="Q517" t="s">
        <v>34865</v>
      </c>
      <c r="R517" t="s">
        <v>34864</v>
      </c>
      <c r="T517" s="22" t="s">
        <v>37535</v>
      </c>
      <c r="U517" s="22" t="s">
        <v>104</v>
      </c>
    </row>
    <row r="518" spans="1:21" x14ac:dyDescent="0.75">
      <c r="A518" t="s">
        <v>55</v>
      </c>
      <c r="B518" t="s">
        <v>33572</v>
      </c>
      <c r="C518" t="s">
        <v>33583</v>
      </c>
      <c r="D518" t="s">
        <v>33881</v>
      </c>
      <c r="E518" t="s">
        <v>33880</v>
      </c>
      <c r="F518" t="s">
        <v>33879</v>
      </c>
      <c r="G518" t="s">
        <v>6259</v>
      </c>
      <c r="H518" t="s">
        <v>6260</v>
      </c>
      <c r="J518" t="s">
        <v>33567</v>
      </c>
      <c r="K518" t="s">
        <v>33566</v>
      </c>
      <c r="L518" t="s">
        <v>34670</v>
      </c>
      <c r="P518">
        <v>0</v>
      </c>
      <c r="Q518" t="s">
        <v>34863</v>
      </c>
      <c r="R518" t="s">
        <v>34862</v>
      </c>
      <c r="T518" s="22" t="s">
        <v>56</v>
      </c>
      <c r="U518" s="22" t="s">
        <v>34</v>
      </c>
    </row>
    <row r="519" spans="1:21" x14ac:dyDescent="0.75">
      <c r="A519" t="s">
        <v>2146</v>
      </c>
      <c r="B519" t="s">
        <v>33572</v>
      </c>
      <c r="C519" t="s">
        <v>33583</v>
      </c>
      <c r="D519" t="s">
        <v>33881</v>
      </c>
      <c r="E519" t="s">
        <v>33880</v>
      </c>
      <c r="F519" t="s">
        <v>33879</v>
      </c>
      <c r="G519" t="s">
        <v>6259</v>
      </c>
      <c r="H519" t="s">
        <v>15606</v>
      </c>
      <c r="J519" t="s">
        <v>33567</v>
      </c>
      <c r="K519" t="s">
        <v>33566</v>
      </c>
      <c r="L519" t="s">
        <v>34670</v>
      </c>
      <c r="P519">
        <v>0</v>
      </c>
      <c r="Q519" t="s">
        <v>34861</v>
      </c>
      <c r="R519" t="s">
        <v>34860</v>
      </c>
      <c r="T519" s="22" t="s">
        <v>2147</v>
      </c>
      <c r="U519" s="22" t="s">
        <v>34</v>
      </c>
    </row>
    <row r="520" spans="1:21" x14ac:dyDescent="0.75">
      <c r="A520" t="s">
        <v>10363</v>
      </c>
      <c r="B520" t="s">
        <v>33572</v>
      </c>
      <c r="C520" t="s">
        <v>33571</v>
      </c>
      <c r="D520" t="s">
        <v>34135</v>
      </c>
      <c r="E520" t="s">
        <v>34511</v>
      </c>
      <c r="F520" t="s">
        <v>34510</v>
      </c>
      <c r="G520" t="s">
        <v>10364</v>
      </c>
      <c r="H520" t="s">
        <v>10365</v>
      </c>
      <c r="J520" t="s">
        <v>33567</v>
      </c>
      <c r="K520" t="s">
        <v>33566</v>
      </c>
      <c r="L520" t="s">
        <v>34547</v>
      </c>
      <c r="O520" t="s">
        <v>34859</v>
      </c>
      <c r="P520">
        <v>147645</v>
      </c>
      <c r="Q520" t="s">
        <v>34858</v>
      </c>
      <c r="R520" t="s">
        <v>34857</v>
      </c>
      <c r="T520" s="22" t="s">
        <v>37190</v>
      </c>
      <c r="U520" s="22" t="s">
        <v>144</v>
      </c>
    </row>
    <row r="521" spans="1:21" x14ac:dyDescent="0.75">
      <c r="A521" t="s">
        <v>7063</v>
      </c>
      <c r="B521" t="s">
        <v>33572</v>
      </c>
      <c r="C521" t="s">
        <v>34169</v>
      </c>
      <c r="D521" t="s">
        <v>34355</v>
      </c>
      <c r="E521" t="s">
        <v>34398</v>
      </c>
      <c r="F521" t="s">
        <v>34397</v>
      </c>
      <c r="G521" t="s">
        <v>7064</v>
      </c>
      <c r="H521" t="s">
        <v>7065</v>
      </c>
      <c r="J521" t="s">
        <v>33567</v>
      </c>
      <c r="K521" t="s">
        <v>33566</v>
      </c>
      <c r="L521" t="s">
        <v>33587</v>
      </c>
      <c r="N521" t="s">
        <v>34856</v>
      </c>
      <c r="O521" t="s">
        <v>34855</v>
      </c>
      <c r="P521">
        <v>78258</v>
      </c>
      <c r="Q521" t="s">
        <v>34854</v>
      </c>
      <c r="R521" t="s">
        <v>34853</v>
      </c>
      <c r="T521" s="22" t="s">
        <v>37191</v>
      </c>
      <c r="U521" s="22" t="s">
        <v>104</v>
      </c>
    </row>
    <row r="522" spans="1:21" x14ac:dyDescent="0.75">
      <c r="A522" t="s">
        <v>6707</v>
      </c>
      <c r="B522" t="s">
        <v>33572</v>
      </c>
      <c r="C522" t="s">
        <v>33606</v>
      </c>
      <c r="D522" t="s">
        <v>33663</v>
      </c>
      <c r="E522" t="s">
        <v>33662</v>
      </c>
      <c r="F522" t="s">
        <v>33661</v>
      </c>
      <c r="G522" t="s">
        <v>6708</v>
      </c>
      <c r="H522" t="s">
        <v>6709</v>
      </c>
      <c r="J522" t="s">
        <v>33567</v>
      </c>
      <c r="K522" t="s">
        <v>33566</v>
      </c>
      <c r="L522" t="s">
        <v>33575</v>
      </c>
      <c r="M522" t="s">
        <v>6710</v>
      </c>
      <c r="N522" t="s">
        <v>34852</v>
      </c>
      <c r="O522" t="s">
        <v>34851</v>
      </c>
      <c r="P522">
        <v>33033</v>
      </c>
      <c r="Q522" t="s">
        <v>34850</v>
      </c>
      <c r="R522" t="s">
        <v>34849</v>
      </c>
      <c r="T522" s="22" t="s">
        <v>37192</v>
      </c>
      <c r="U522" s="22" t="s">
        <v>104</v>
      </c>
    </row>
    <row r="523" spans="1:21" x14ac:dyDescent="0.75">
      <c r="A523" t="s">
        <v>7786</v>
      </c>
      <c r="B523" t="s">
        <v>33572</v>
      </c>
      <c r="C523" t="s">
        <v>33606</v>
      </c>
      <c r="D523" t="s">
        <v>33663</v>
      </c>
      <c r="E523" t="s">
        <v>33662</v>
      </c>
      <c r="F523" t="s">
        <v>33661</v>
      </c>
      <c r="G523" t="s">
        <v>6708</v>
      </c>
      <c r="H523" t="s">
        <v>7787</v>
      </c>
      <c r="J523" t="s">
        <v>33617</v>
      </c>
      <c r="K523" t="s">
        <v>33566</v>
      </c>
      <c r="L523" t="s">
        <v>33575</v>
      </c>
      <c r="N523" t="s">
        <v>34848</v>
      </c>
      <c r="O523" t="s">
        <v>34847</v>
      </c>
      <c r="P523">
        <v>671230</v>
      </c>
      <c r="Q523" t="s">
        <v>34846</v>
      </c>
      <c r="R523" t="s">
        <v>34845</v>
      </c>
      <c r="T523" s="22" t="s">
        <v>37536</v>
      </c>
      <c r="U523" s="22" t="s">
        <v>104</v>
      </c>
    </row>
    <row r="524" spans="1:21" x14ac:dyDescent="0.75">
      <c r="A524" t="s">
        <v>7937</v>
      </c>
      <c r="B524" t="s">
        <v>33572</v>
      </c>
      <c r="C524" t="s">
        <v>33606</v>
      </c>
      <c r="D524" t="s">
        <v>33663</v>
      </c>
      <c r="E524" t="s">
        <v>33662</v>
      </c>
      <c r="F524" t="s">
        <v>33661</v>
      </c>
      <c r="G524" t="s">
        <v>6708</v>
      </c>
      <c r="H524" t="s">
        <v>7938</v>
      </c>
      <c r="J524" t="s">
        <v>33617</v>
      </c>
      <c r="K524" t="s">
        <v>33566</v>
      </c>
      <c r="L524" t="s">
        <v>33587</v>
      </c>
      <c r="N524" t="s">
        <v>34844</v>
      </c>
      <c r="O524" t="s">
        <v>34843</v>
      </c>
      <c r="P524">
        <v>713008</v>
      </c>
      <c r="Q524" t="s">
        <v>7936</v>
      </c>
      <c r="R524" t="s">
        <v>34842</v>
      </c>
      <c r="T524" s="22" t="s">
        <v>37537</v>
      </c>
      <c r="U524" s="22" t="s">
        <v>104</v>
      </c>
    </row>
    <row r="525" spans="1:21" x14ac:dyDescent="0.75">
      <c r="A525" t="s">
        <v>18584</v>
      </c>
      <c r="B525" t="s">
        <v>33572</v>
      </c>
      <c r="C525" t="s">
        <v>34416</v>
      </c>
      <c r="D525" t="s">
        <v>34415</v>
      </c>
      <c r="E525" t="s">
        <v>34414</v>
      </c>
      <c r="F525" t="s">
        <v>34837</v>
      </c>
      <c r="G525" t="s">
        <v>18585</v>
      </c>
      <c r="H525" t="s">
        <v>18586</v>
      </c>
      <c r="J525" t="s">
        <v>33577</v>
      </c>
      <c r="K525" t="s">
        <v>33576</v>
      </c>
      <c r="L525" t="s">
        <v>33575</v>
      </c>
      <c r="N525" t="s">
        <v>34841</v>
      </c>
      <c r="O525" t="s">
        <v>34840</v>
      </c>
      <c r="P525">
        <v>671231</v>
      </c>
      <c r="Q525" t="s">
        <v>34839</v>
      </c>
      <c r="R525" t="s">
        <v>34838</v>
      </c>
      <c r="T525" s="22" t="s">
        <v>37538</v>
      </c>
      <c r="U525" s="22" t="s">
        <v>104</v>
      </c>
    </row>
    <row r="526" spans="1:21" x14ac:dyDescent="0.75">
      <c r="A526" t="s">
        <v>18637</v>
      </c>
      <c r="B526" t="s">
        <v>33572</v>
      </c>
      <c r="C526" t="s">
        <v>34416</v>
      </c>
      <c r="D526" t="s">
        <v>34415</v>
      </c>
      <c r="E526" t="s">
        <v>34414</v>
      </c>
      <c r="F526" t="s">
        <v>34837</v>
      </c>
      <c r="G526" t="s">
        <v>18585</v>
      </c>
      <c r="H526" t="s">
        <v>18638</v>
      </c>
      <c r="J526" t="s">
        <v>33617</v>
      </c>
      <c r="K526" t="s">
        <v>33566</v>
      </c>
      <c r="L526" t="s">
        <v>33620</v>
      </c>
      <c r="P526">
        <v>0</v>
      </c>
      <c r="Q526" t="s">
        <v>18636</v>
      </c>
      <c r="R526" t="s">
        <v>34836</v>
      </c>
      <c r="T526" s="22" t="s">
        <v>37539</v>
      </c>
      <c r="U526" s="22" t="s">
        <v>104</v>
      </c>
    </row>
    <row r="527" spans="1:21" x14ac:dyDescent="0.75">
      <c r="A527" t="s">
        <v>14142</v>
      </c>
      <c r="B527" t="s">
        <v>33572</v>
      </c>
      <c r="C527" t="s">
        <v>34416</v>
      </c>
      <c r="D527" t="s">
        <v>34832</v>
      </c>
      <c r="E527" t="s">
        <v>34831</v>
      </c>
      <c r="F527" t="s">
        <v>34830</v>
      </c>
      <c r="G527" t="s">
        <v>14143</v>
      </c>
      <c r="H527" t="s">
        <v>14144</v>
      </c>
      <c r="J527" t="s">
        <v>33577</v>
      </c>
      <c r="K527" t="s">
        <v>33576</v>
      </c>
      <c r="L527" t="s">
        <v>33609</v>
      </c>
      <c r="O527" t="s">
        <v>34829</v>
      </c>
      <c r="P527">
        <v>1226338</v>
      </c>
      <c r="Q527" t="s">
        <v>34835</v>
      </c>
      <c r="R527" t="s">
        <v>34834</v>
      </c>
      <c r="T527" s="22" t="s">
        <v>37540</v>
      </c>
      <c r="U527" s="22" t="s">
        <v>104</v>
      </c>
    </row>
    <row r="528" spans="1:21" x14ac:dyDescent="0.75">
      <c r="A528" t="s">
        <v>15200</v>
      </c>
      <c r="B528" t="s">
        <v>33572</v>
      </c>
      <c r="C528" t="s">
        <v>34416</v>
      </c>
      <c r="D528" t="s">
        <v>34832</v>
      </c>
      <c r="E528" t="s">
        <v>34831</v>
      </c>
      <c r="F528" t="s">
        <v>34830</v>
      </c>
      <c r="G528" t="s">
        <v>14143</v>
      </c>
      <c r="H528" t="s">
        <v>15201</v>
      </c>
      <c r="J528" t="s">
        <v>33577</v>
      </c>
      <c r="K528" t="s">
        <v>33576</v>
      </c>
      <c r="L528" t="s">
        <v>33575</v>
      </c>
      <c r="O528" t="s">
        <v>34829</v>
      </c>
      <c r="P528">
        <v>1226339</v>
      </c>
      <c r="Q528" t="s">
        <v>15199</v>
      </c>
      <c r="R528" t="s">
        <v>34833</v>
      </c>
      <c r="T528" s="22" t="s">
        <v>37541</v>
      </c>
      <c r="U528" s="22" t="s">
        <v>104</v>
      </c>
    </row>
    <row r="529" spans="1:21" x14ac:dyDescent="0.75">
      <c r="A529" t="s">
        <v>15205</v>
      </c>
      <c r="B529" t="s">
        <v>33572</v>
      </c>
      <c r="C529" t="s">
        <v>34416</v>
      </c>
      <c r="D529" t="s">
        <v>34832</v>
      </c>
      <c r="E529" t="s">
        <v>34831</v>
      </c>
      <c r="F529" t="s">
        <v>34830</v>
      </c>
      <c r="G529" t="s">
        <v>15206</v>
      </c>
      <c r="H529" t="s">
        <v>15207</v>
      </c>
      <c r="J529" t="s">
        <v>33577</v>
      </c>
      <c r="K529" t="s">
        <v>33576</v>
      </c>
      <c r="L529" t="s">
        <v>33587</v>
      </c>
      <c r="O529" t="s">
        <v>34829</v>
      </c>
      <c r="P529">
        <v>1226340</v>
      </c>
      <c r="Q529" t="s">
        <v>34828</v>
      </c>
      <c r="R529" t="s">
        <v>34827</v>
      </c>
      <c r="T529" s="22" t="s">
        <v>37542</v>
      </c>
      <c r="U529" s="22" t="s">
        <v>104</v>
      </c>
    </row>
    <row r="530" spans="1:21" x14ac:dyDescent="0.75">
      <c r="A530" t="s">
        <v>34826</v>
      </c>
      <c r="B530" t="s">
        <v>33572</v>
      </c>
      <c r="C530" t="s">
        <v>33583</v>
      </c>
      <c r="D530" t="s">
        <v>34817</v>
      </c>
      <c r="E530" t="s">
        <v>34816</v>
      </c>
      <c r="F530" t="s">
        <v>34815</v>
      </c>
      <c r="G530" t="s">
        <v>34814</v>
      </c>
      <c r="H530" t="s">
        <v>34825</v>
      </c>
      <c r="J530" t="s">
        <v>33577</v>
      </c>
      <c r="K530" t="s">
        <v>33576</v>
      </c>
      <c r="L530" t="s">
        <v>33651</v>
      </c>
      <c r="N530" t="s">
        <v>34824</v>
      </c>
      <c r="O530" t="s">
        <v>34823</v>
      </c>
      <c r="P530">
        <v>84567</v>
      </c>
      <c r="T530" s="22" t="s">
        <v>37543</v>
      </c>
      <c r="U530" s="22" t="s">
        <v>144</v>
      </c>
    </row>
    <row r="531" spans="1:21" x14ac:dyDescent="0.75">
      <c r="A531" t="s">
        <v>34822</v>
      </c>
      <c r="B531" t="s">
        <v>33572</v>
      </c>
      <c r="C531" t="s">
        <v>33583</v>
      </c>
      <c r="D531" t="s">
        <v>34817</v>
      </c>
      <c r="E531" t="s">
        <v>34816</v>
      </c>
      <c r="F531" t="s">
        <v>34815</v>
      </c>
      <c r="G531" t="s">
        <v>34814</v>
      </c>
      <c r="H531" t="s">
        <v>34821</v>
      </c>
      <c r="J531" t="s">
        <v>33577</v>
      </c>
      <c r="K531" t="s">
        <v>33576</v>
      </c>
      <c r="L531" t="s">
        <v>33651</v>
      </c>
      <c r="N531" t="s">
        <v>34820</v>
      </c>
      <c r="O531" t="s">
        <v>34819</v>
      </c>
      <c r="P531">
        <v>84567</v>
      </c>
      <c r="T531" s="22" t="s">
        <v>37544</v>
      </c>
      <c r="U531" s="22" t="s">
        <v>144</v>
      </c>
    </row>
    <row r="532" spans="1:21" x14ac:dyDescent="0.75">
      <c r="A532" t="s">
        <v>34818</v>
      </c>
      <c r="B532" t="s">
        <v>33572</v>
      </c>
      <c r="C532" t="s">
        <v>33583</v>
      </c>
      <c r="D532" t="s">
        <v>34817</v>
      </c>
      <c r="E532" t="s">
        <v>34816</v>
      </c>
      <c r="F532" t="s">
        <v>34815</v>
      </c>
      <c r="G532" t="s">
        <v>34814</v>
      </c>
      <c r="H532" t="s">
        <v>34813</v>
      </c>
      <c r="J532" t="s">
        <v>33577</v>
      </c>
      <c r="K532" t="s">
        <v>33576</v>
      </c>
      <c r="L532" t="s">
        <v>33651</v>
      </c>
      <c r="N532" t="s">
        <v>34812</v>
      </c>
      <c r="O532" t="s">
        <v>33573</v>
      </c>
      <c r="P532">
        <v>84567</v>
      </c>
      <c r="T532" s="22" t="s">
        <v>37545</v>
      </c>
      <c r="U532" s="22" t="s">
        <v>144</v>
      </c>
    </row>
    <row r="533" spans="1:21" x14ac:dyDescent="0.75">
      <c r="A533" t="s">
        <v>265</v>
      </c>
      <c r="B533" t="s">
        <v>33572</v>
      </c>
      <c r="C533" t="s">
        <v>34169</v>
      </c>
      <c r="D533" t="s">
        <v>34355</v>
      </c>
      <c r="E533" t="s">
        <v>34354</v>
      </c>
      <c r="F533" t="s">
        <v>34353</v>
      </c>
      <c r="G533" t="s">
        <v>7008</v>
      </c>
      <c r="H533" t="s">
        <v>7009</v>
      </c>
      <c r="J533" t="s">
        <v>33567</v>
      </c>
      <c r="K533" t="s">
        <v>33566</v>
      </c>
      <c r="L533" t="s">
        <v>33575</v>
      </c>
      <c r="N533" t="s">
        <v>34811</v>
      </c>
      <c r="O533" t="s">
        <v>34368</v>
      </c>
      <c r="P533">
        <v>1823756</v>
      </c>
      <c r="Q533" t="s">
        <v>34810</v>
      </c>
      <c r="R533" t="s">
        <v>34809</v>
      </c>
      <c r="T533" s="22" t="s">
        <v>266</v>
      </c>
      <c r="U533" s="22" t="s">
        <v>104</v>
      </c>
    </row>
    <row r="534" spans="1:21" x14ac:dyDescent="0.75">
      <c r="A534" t="s">
        <v>1035</v>
      </c>
      <c r="B534" t="s">
        <v>33572</v>
      </c>
      <c r="C534" t="s">
        <v>34169</v>
      </c>
      <c r="D534" t="s">
        <v>34355</v>
      </c>
      <c r="E534" t="s">
        <v>34354</v>
      </c>
      <c r="F534" t="s">
        <v>34353</v>
      </c>
      <c r="G534" t="s">
        <v>7008</v>
      </c>
      <c r="H534" t="s">
        <v>9710</v>
      </c>
      <c r="J534" t="s">
        <v>33617</v>
      </c>
      <c r="K534" t="s">
        <v>33566</v>
      </c>
      <c r="L534" t="s">
        <v>33575</v>
      </c>
      <c r="N534" t="s">
        <v>34808</v>
      </c>
      <c r="O534" t="s">
        <v>34807</v>
      </c>
      <c r="P534">
        <v>712888</v>
      </c>
      <c r="Q534" t="s">
        <v>34806</v>
      </c>
      <c r="R534" t="s">
        <v>34805</v>
      </c>
      <c r="T534" s="22" t="s">
        <v>37546</v>
      </c>
      <c r="U534" s="22" t="s">
        <v>104</v>
      </c>
    </row>
    <row r="535" spans="1:21" x14ac:dyDescent="0.75">
      <c r="A535" t="s">
        <v>6644</v>
      </c>
      <c r="B535" t="s">
        <v>33572</v>
      </c>
      <c r="C535" t="s">
        <v>33606</v>
      </c>
      <c r="D535" t="s">
        <v>33663</v>
      </c>
      <c r="E535" t="s">
        <v>34746</v>
      </c>
      <c r="F535" t="s">
        <v>34790</v>
      </c>
      <c r="G535" t="s">
        <v>6645</v>
      </c>
      <c r="H535" t="s">
        <v>6646</v>
      </c>
      <c r="J535" t="s">
        <v>33567</v>
      </c>
      <c r="K535" t="s">
        <v>33566</v>
      </c>
      <c r="L535" t="s">
        <v>33620</v>
      </c>
      <c r="P535">
        <v>0</v>
      </c>
      <c r="Q535" t="s">
        <v>34804</v>
      </c>
      <c r="R535" t="s">
        <v>34803</v>
      </c>
      <c r="T535" s="22" t="s">
        <v>37201</v>
      </c>
      <c r="U535" s="22" t="s">
        <v>104</v>
      </c>
    </row>
    <row r="536" spans="1:21" x14ac:dyDescent="0.75">
      <c r="A536" t="s">
        <v>34802</v>
      </c>
      <c r="B536" t="s">
        <v>33572</v>
      </c>
      <c r="C536" t="s">
        <v>33606</v>
      </c>
      <c r="D536" t="s">
        <v>33663</v>
      </c>
      <c r="E536" t="s">
        <v>34746</v>
      </c>
      <c r="F536" t="s">
        <v>34790</v>
      </c>
      <c r="G536" t="s">
        <v>6645</v>
      </c>
      <c r="H536" t="s">
        <v>34801</v>
      </c>
      <c r="J536" t="s">
        <v>33577</v>
      </c>
      <c r="K536" t="s">
        <v>33576</v>
      </c>
      <c r="L536" t="s">
        <v>33609</v>
      </c>
      <c r="N536" t="s">
        <v>34800</v>
      </c>
      <c r="O536" t="s">
        <v>33614</v>
      </c>
      <c r="P536">
        <v>186804</v>
      </c>
      <c r="T536" s="22" t="s">
        <v>37547</v>
      </c>
      <c r="U536" s="22" t="s">
        <v>104</v>
      </c>
    </row>
    <row r="537" spans="1:21" x14ac:dyDescent="0.75">
      <c r="A537" t="s">
        <v>8345</v>
      </c>
      <c r="B537" t="s">
        <v>33572</v>
      </c>
      <c r="C537" t="s">
        <v>33606</v>
      </c>
      <c r="D537" t="s">
        <v>33663</v>
      </c>
      <c r="E537" t="s">
        <v>34746</v>
      </c>
      <c r="F537" t="s">
        <v>34790</v>
      </c>
      <c r="G537" t="s">
        <v>6645</v>
      </c>
      <c r="H537" t="s">
        <v>6658</v>
      </c>
      <c r="J537" t="s">
        <v>33617</v>
      </c>
      <c r="K537" t="s">
        <v>33566</v>
      </c>
      <c r="L537" t="s">
        <v>33609</v>
      </c>
      <c r="N537" t="s">
        <v>34799</v>
      </c>
      <c r="O537" t="s">
        <v>34798</v>
      </c>
      <c r="P537">
        <v>186804</v>
      </c>
      <c r="Q537" t="s">
        <v>34797</v>
      </c>
      <c r="R537" t="s">
        <v>34796</v>
      </c>
      <c r="T537" s="22" t="s">
        <v>37200</v>
      </c>
      <c r="U537" s="22" t="s">
        <v>104</v>
      </c>
    </row>
    <row r="538" spans="1:21" x14ac:dyDescent="0.75">
      <c r="A538" t="s">
        <v>34795</v>
      </c>
      <c r="B538" t="s">
        <v>33572</v>
      </c>
      <c r="C538" t="s">
        <v>33606</v>
      </c>
      <c r="D538" t="s">
        <v>33663</v>
      </c>
      <c r="E538" t="s">
        <v>34746</v>
      </c>
      <c r="F538" t="s">
        <v>34790</v>
      </c>
      <c r="G538" t="s">
        <v>6645</v>
      </c>
      <c r="H538" t="s">
        <v>34789</v>
      </c>
      <c r="I538" t="s">
        <v>34794</v>
      </c>
      <c r="J538" t="s">
        <v>33567</v>
      </c>
      <c r="K538" t="s">
        <v>33566</v>
      </c>
      <c r="L538" t="s">
        <v>33575</v>
      </c>
      <c r="N538" t="s">
        <v>34793</v>
      </c>
      <c r="O538" t="s">
        <v>34792</v>
      </c>
      <c r="P538">
        <v>186804</v>
      </c>
      <c r="T538" s="22" t="s">
        <v>37377</v>
      </c>
      <c r="U538" s="22" t="s">
        <v>104</v>
      </c>
    </row>
    <row r="539" spans="1:21" x14ac:dyDescent="0.75">
      <c r="A539" t="s">
        <v>34791</v>
      </c>
      <c r="B539" t="s">
        <v>33572</v>
      </c>
      <c r="C539" t="s">
        <v>33606</v>
      </c>
      <c r="D539" t="s">
        <v>33663</v>
      </c>
      <c r="E539" t="s">
        <v>34746</v>
      </c>
      <c r="F539" t="s">
        <v>34790</v>
      </c>
      <c r="G539" t="s">
        <v>6645</v>
      </c>
      <c r="H539" t="s">
        <v>34789</v>
      </c>
      <c r="I539" t="s">
        <v>34788</v>
      </c>
      <c r="J539" t="s">
        <v>33567</v>
      </c>
      <c r="K539" t="s">
        <v>33566</v>
      </c>
      <c r="L539" t="s">
        <v>33575</v>
      </c>
      <c r="N539" t="s">
        <v>34787</v>
      </c>
      <c r="O539" t="s">
        <v>34786</v>
      </c>
      <c r="P539">
        <v>186804</v>
      </c>
      <c r="T539" s="22" t="s">
        <v>37377</v>
      </c>
      <c r="U539" s="22" t="s">
        <v>104</v>
      </c>
    </row>
    <row r="540" spans="1:21" x14ac:dyDescent="0.75">
      <c r="A540" t="s">
        <v>34785</v>
      </c>
      <c r="B540" t="s">
        <v>33572</v>
      </c>
      <c r="C540" t="s">
        <v>33606</v>
      </c>
      <c r="D540" t="s">
        <v>33663</v>
      </c>
      <c r="E540" t="s">
        <v>33900</v>
      </c>
      <c r="F540" t="s">
        <v>34780</v>
      </c>
      <c r="G540" t="s">
        <v>34779</v>
      </c>
      <c r="H540" t="s">
        <v>34784</v>
      </c>
      <c r="J540" t="s">
        <v>33617</v>
      </c>
      <c r="K540" t="s">
        <v>33703</v>
      </c>
      <c r="L540" t="s">
        <v>33609</v>
      </c>
      <c r="N540" t="s">
        <v>34783</v>
      </c>
      <c r="O540" t="s">
        <v>34782</v>
      </c>
      <c r="P540">
        <v>671215</v>
      </c>
      <c r="T540" s="22" t="s">
        <v>37548</v>
      </c>
      <c r="U540" s="22" t="s">
        <v>104</v>
      </c>
    </row>
    <row r="541" spans="1:21" x14ac:dyDescent="0.75">
      <c r="A541" t="s">
        <v>34781</v>
      </c>
      <c r="B541" t="s">
        <v>33572</v>
      </c>
      <c r="C541" t="s">
        <v>33606</v>
      </c>
      <c r="D541" t="s">
        <v>33663</v>
      </c>
      <c r="E541" t="s">
        <v>33900</v>
      </c>
      <c r="F541" t="s">
        <v>34780</v>
      </c>
      <c r="G541" t="s">
        <v>34779</v>
      </c>
      <c r="H541" t="s">
        <v>34778</v>
      </c>
      <c r="J541" t="s">
        <v>33577</v>
      </c>
      <c r="K541" t="s">
        <v>33576</v>
      </c>
      <c r="L541" t="s">
        <v>33609</v>
      </c>
      <c r="N541" t="s">
        <v>34777</v>
      </c>
      <c r="O541" t="s">
        <v>34776</v>
      </c>
      <c r="P541">
        <v>712426</v>
      </c>
      <c r="T541" s="22" t="s">
        <v>37549</v>
      </c>
      <c r="U541" s="22" t="s">
        <v>104</v>
      </c>
    </row>
    <row r="542" spans="1:21" x14ac:dyDescent="0.75">
      <c r="A542" t="s">
        <v>9784</v>
      </c>
      <c r="B542" t="s">
        <v>33572</v>
      </c>
      <c r="C542" t="s">
        <v>33606</v>
      </c>
      <c r="D542" t="s">
        <v>33663</v>
      </c>
      <c r="E542" t="s">
        <v>33662</v>
      </c>
      <c r="F542" t="s">
        <v>33661</v>
      </c>
      <c r="G542" t="s">
        <v>9785</v>
      </c>
      <c r="H542" t="s">
        <v>9786</v>
      </c>
      <c r="J542" t="s">
        <v>33617</v>
      </c>
      <c r="K542" t="s">
        <v>33566</v>
      </c>
      <c r="L542" t="s">
        <v>33587</v>
      </c>
      <c r="N542" t="s">
        <v>34775</v>
      </c>
      <c r="O542" t="s">
        <v>34774</v>
      </c>
      <c r="P542">
        <v>1570339</v>
      </c>
      <c r="Q542" t="s">
        <v>34773</v>
      </c>
      <c r="R542" t="s">
        <v>34772</v>
      </c>
      <c r="T542" s="22" t="s">
        <v>37550</v>
      </c>
      <c r="U542" s="22" t="s">
        <v>104</v>
      </c>
    </row>
    <row r="543" spans="1:21" x14ac:dyDescent="0.75">
      <c r="A543" t="s">
        <v>34771</v>
      </c>
      <c r="B543" t="s">
        <v>33572</v>
      </c>
      <c r="C543" t="s">
        <v>33606</v>
      </c>
      <c r="D543" t="s">
        <v>33663</v>
      </c>
      <c r="E543" t="s">
        <v>33662</v>
      </c>
      <c r="F543" t="s">
        <v>33661</v>
      </c>
      <c r="G543" t="s">
        <v>34770</v>
      </c>
      <c r="H543" t="s">
        <v>34769</v>
      </c>
      <c r="J543" t="s">
        <v>33577</v>
      </c>
      <c r="K543" t="s">
        <v>33576</v>
      </c>
      <c r="L543" t="s">
        <v>33587</v>
      </c>
      <c r="N543" t="s">
        <v>34768</v>
      </c>
      <c r="O543" t="s">
        <v>33614</v>
      </c>
      <c r="P543">
        <v>1570339</v>
      </c>
      <c r="T543" s="22" t="s">
        <v>37551</v>
      </c>
      <c r="U543" s="22" t="s">
        <v>104</v>
      </c>
    </row>
    <row r="544" spans="1:21" x14ac:dyDescent="0.75">
      <c r="A544" t="s">
        <v>20277</v>
      </c>
      <c r="B544" t="s">
        <v>33572</v>
      </c>
      <c r="C544" t="s">
        <v>33606</v>
      </c>
      <c r="D544" t="s">
        <v>33663</v>
      </c>
      <c r="E544" t="s">
        <v>33662</v>
      </c>
      <c r="F544" t="s">
        <v>33661</v>
      </c>
      <c r="G544" t="s">
        <v>7243</v>
      </c>
      <c r="H544" t="s">
        <v>20278</v>
      </c>
      <c r="J544" t="s">
        <v>33567</v>
      </c>
      <c r="K544" t="s">
        <v>33566</v>
      </c>
      <c r="L544" t="s">
        <v>33659</v>
      </c>
      <c r="N544" t="s">
        <v>34767</v>
      </c>
      <c r="O544" t="s">
        <v>34766</v>
      </c>
      <c r="P544">
        <v>1258</v>
      </c>
      <c r="Q544" t="s">
        <v>34765</v>
      </c>
      <c r="R544" t="s">
        <v>34764</v>
      </c>
      <c r="T544" s="22" t="s">
        <v>37205</v>
      </c>
      <c r="U544" s="22" t="s">
        <v>1563</v>
      </c>
    </row>
    <row r="545" spans="1:21" x14ac:dyDescent="0.75">
      <c r="A545" t="s">
        <v>8909</v>
      </c>
      <c r="B545" t="s">
        <v>33572</v>
      </c>
      <c r="C545" t="s">
        <v>33606</v>
      </c>
      <c r="D545" t="s">
        <v>33663</v>
      </c>
      <c r="E545" t="s">
        <v>33662</v>
      </c>
      <c r="F545" t="s">
        <v>33661</v>
      </c>
      <c r="G545" t="s">
        <v>7243</v>
      </c>
      <c r="H545" t="s">
        <v>8910</v>
      </c>
      <c r="J545" t="s">
        <v>33567</v>
      </c>
      <c r="K545" t="s">
        <v>33566</v>
      </c>
      <c r="L545" t="s">
        <v>33659</v>
      </c>
      <c r="O545" t="s">
        <v>33614</v>
      </c>
      <c r="P545">
        <v>162289</v>
      </c>
      <c r="Q545" t="s">
        <v>34763</v>
      </c>
      <c r="R545" t="s">
        <v>34762</v>
      </c>
      <c r="T545" s="22" t="s">
        <v>37207</v>
      </c>
      <c r="U545" s="22" t="s">
        <v>1563</v>
      </c>
    </row>
    <row r="546" spans="1:21" x14ac:dyDescent="0.75">
      <c r="A546" t="s">
        <v>20081</v>
      </c>
      <c r="B546" t="s">
        <v>33572</v>
      </c>
      <c r="C546" t="s">
        <v>33606</v>
      </c>
      <c r="D546" t="s">
        <v>33663</v>
      </c>
      <c r="E546" t="s">
        <v>33662</v>
      </c>
      <c r="F546" t="s">
        <v>33661</v>
      </c>
      <c r="G546" t="s">
        <v>7243</v>
      </c>
      <c r="H546" t="s">
        <v>20082</v>
      </c>
      <c r="J546" t="s">
        <v>33567</v>
      </c>
      <c r="K546" t="s">
        <v>33566</v>
      </c>
      <c r="L546" t="s">
        <v>34761</v>
      </c>
      <c r="O546" t="s">
        <v>33614</v>
      </c>
      <c r="P546">
        <v>54005</v>
      </c>
      <c r="Q546" t="s">
        <v>34760</v>
      </c>
      <c r="R546" t="s">
        <v>34759</v>
      </c>
      <c r="T546" s="22" t="s">
        <v>37206</v>
      </c>
      <c r="U546" s="22" t="s">
        <v>1563</v>
      </c>
    </row>
    <row r="547" spans="1:21" x14ac:dyDescent="0.75">
      <c r="A547" t="s">
        <v>27544</v>
      </c>
      <c r="B547" t="s">
        <v>33572</v>
      </c>
      <c r="C547" t="s">
        <v>33606</v>
      </c>
      <c r="D547" t="s">
        <v>33663</v>
      </c>
      <c r="E547" t="s">
        <v>33662</v>
      </c>
      <c r="F547" t="s">
        <v>33661</v>
      </c>
      <c r="G547" t="s">
        <v>7243</v>
      </c>
      <c r="H547" t="s">
        <v>27545</v>
      </c>
      <c r="J547" t="s">
        <v>33567</v>
      </c>
      <c r="K547" t="s">
        <v>33566</v>
      </c>
      <c r="L547" t="s">
        <v>33659</v>
      </c>
      <c r="N547" t="s">
        <v>34758</v>
      </c>
      <c r="O547" t="s">
        <v>34757</v>
      </c>
      <c r="P547">
        <v>33030</v>
      </c>
      <c r="Q547" t="s">
        <v>27543</v>
      </c>
      <c r="R547" t="s">
        <v>34756</v>
      </c>
      <c r="T547" s="22" t="s">
        <v>37208</v>
      </c>
      <c r="U547" s="22" t="s">
        <v>1563</v>
      </c>
    </row>
    <row r="548" spans="1:21" x14ac:dyDescent="0.75">
      <c r="A548" t="s">
        <v>7242</v>
      </c>
      <c r="B548" t="s">
        <v>33572</v>
      </c>
      <c r="C548" t="s">
        <v>33606</v>
      </c>
      <c r="D548" t="s">
        <v>33663</v>
      </c>
      <c r="E548" t="s">
        <v>33662</v>
      </c>
      <c r="F548" t="s">
        <v>33661</v>
      </c>
      <c r="G548" t="s">
        <v>7243</v>
      </c>
      <c r="H548" t="s">
        <v>7244</v>
      </c>
      <c r="J548" t="s">
        <v>33567</v>
      </c>
      <c r="K548" t="s">
        <v>33566</v>
      </c>
      <c r="L548" t="s">
        <v>33916</v>
      </c>
      <c r="M548" t="s">
        <v>7301</v>
      </c>
      <c r="O548" t="s">
        <v>34755</v>
      </c>
      <c r="P548">
        <v>33031</v>
      </c>
      <c r="Q548" t="s">
        <v>34754</v>
      </c>
      <c r="R548" t="s">
        <v>34753</v>
      </c>
      <c r="T548" s="22" t="s">
        <v>37204</v>
      </c>
      <c r="U548" s="22" t="s">
        <v>1563</v>
      </c>
    </row>
    <row r="549" spans="1:21" x14ac:dyDescent="0.75">
      <c r="A549" t="s">
        <v>8460</v>
      </c>
      <c r="B549" t="s">
        <v>33572</v>
      </c>
      <c r="C549" t="s">
        <v>33606</v>
      </c>
      <c r="D549" t="s">
        <v>33663</v>
      </c>
      <c r="E549" t="s">
        <v>33662</v>
      </c>
      <c r="F549" t="s">
        <v>33661</v>
      </c>
      <c r="G549" t="s">
        <v>7243</v>
      </c>
      <c r="H549" t="s">
        <v>8461</v>
      </c>
      <c r="J549" t="s">
        <v>33567</v>
      </c>
      <c r="K549" t="s">
        <v>33566</v>
      </c>
      <c r="L549" t="s">
        <v>34752</v>
      </c>
      <c r="P549">
        <v>0</v>
      </c>
      <c r="Q549" t="s">
        <v>34751</v>
      </c>
      <c r="R549" t="s">
        <v>34750</v>
      </c>
      <c r="T549" s="22" t="s">
        <v>37203</v>
      </c>
      <c r="U549" s="22" t="s">
        <v>36807</v>
      </c>
    </row>
    <row r="550" spans="1:21" x14ac:dyDescent="0.75">
      <c r="A550" t="s">
        <v>7281</v>
      </c>
      <c r="B550" t="s">
        <v>33572</v>
      </c>
      <c r="C550" t="s">
        <v>33606</v>
      </c>
      <c r="D550" t="s">
        <v>33663</v>
      </c>
      <c r="E550" t="s">
        <v>34746</v>
      </c>
      <c r="F550" t="s">
        <v>34745</v>
      </c>
      <c r="G550" t="s">
        <v>6657</v>
      </c>
      <c r="H550" t="s">
        <v>7282</v>
      </c>
      <c r="J550" t="s">
        <v>33567</v>
      </c>
      <c r="K550" t="s">
        <v>33566</v>
      </c>
      <c r="L550" t="s">
        <v>33659</v>
      </c>
      <c r="N550" t="s">
        <v>33873</v>
      </c>
      <c r="O550" t="s">
        <v>34749</v>
      </c>
      <c r="P550">
        <v>1261</v>
      </c>
      <c r="Q550" t="s">
        <v>34748</v>
      </c>
      <c r="R550" t="s">
        <v>34747</v>
      </c>
      <c r="T550" s="22" t="s">
        <v>37210</v>
      </c>
      <c r="U550" s="22" t="s">
        <v>1563</v>
      </c>
    </row>
    <row r="551" spans="1:21" x14ac:dyDescent="0.75">
      <c r="A551" t="s">
        <v>6656</v>
      </c>
      <c r="B551" t="s">
        <v>33572</v>
      </c>
      <c r="C551" t="s">
        <v>33606</v>
      </c>
      <c r="D551" t="s">
        <v>33663</v>
      </c>
      <c r="E551" t="s">
        <v>34746</v>
      </c>
      <c r="F551" t="s">
        <v>34745</v>
      </c>
      <c r="G551" t="s">
        <v>6657</v>
      </c>
      <c r="H551" t="s">
        <v>6658</v>
      </c>
      <c r="J551" t="s">
        <v>33567</v>
      </c>
      <c r="K551" t="s">
        <v>33566</v>
      </c>
      <c r="L551" t="s">
        <v>33575</v>
      </c>
      <c r="N551" t="s">
        <v>34744</v>
      </c>
      <c r="O551" t="s">
        <v>34743</v>
      </c>
      <c r="P551">
        <v>341694</v>
      </c>
      <c r="Q551" t="s">
        <v>34742</v>
      </c>
      <c r="R551" t="s">
        <v>34741</v>
      </c>
      <c r="T551" s="22" t="s">
        <v>37209</v>
      </c>
      <c r="U551" s="22" t="s">
        <v>104</v>
      </c>
    </row>
    <row r="552" spans="1:21" x14ac:dyDescent="0.75">
      <c r="A552" t="s">
        <v>756</v>
      </c>
      <c r="B552" t="s">
        <v>33572</v>
      </c>
      <c r="C552" t="s">
        <v>33583</v>
      </c>
      <c r="D552" t="s">
        <v>33881</v>
      </c>
      <c r="E552" t="s">
        <v>33880</v>
      </c>
      <c r="F552" t="s">
        <v>34727</v>
      </c>
      <c r="G552" t="s">
        <v>6255</v>
      </c>
      <c r="H552" t="s">
        <v>8913</v>
      </c>
      <c r="J552" t="s">
        <v>33567</v>
      </c>
      <c r="K552" t="s">
        <v>33566</v>
      </c>
      <c r="L552" t="s">
        <v>33587</v>
      </c>
      <c r="N552" t="s">
        <v>34740</v>
      </c>
      <c r="O552" t="s">
        <v>34739</v>
      </c>
      <c r="P552">
        <v>555313</v>
      </c>
      <c r="Q552" t="s">
        <v>34738</v>
      </c>
      <c r="R552" t="s">
        <v>34737</v>
      </c>
      <c r="T552" s="22" t="s">
        <v>757</v>
      </c>
      <c r="U552" s="22" t="s">
        <v>104</v>
      </c>
    </row>
    <row r="553" spans="1:21" x14ac:dyDescent="0.75">
      <c r="A553" t="s">
        <v>1604</v>
      </c>
      <c r="B553" t="s">
        <v>33572</v>
      </c>
      <c r="C553" t="s">
        <v>33583</v>
      </c>
      <c r="D553" t="s">
        <v>33881</v>
      </c>
      <c r="E553" t="s">
        <v>33880</v>
      </c>
      <c r="F553" t="s">
        <v>34727</v>
      </c>
      <c r="G553" t="s">
        <v>6255</v>
      </c>
      <c r="H553" t="s">
        <v>12218</v>
      </c>
      <c r="J553" t="s">
        <v>33567</v>
      </c>
      <c r="K553" t="s">
        <v>33566</v>
      </c>
      <c r="L553" t="s">
        <v>34670</v>
      </c>
      <c r="O553" t="s">
        <v>34736</v>
      </c>
      <c r="P553">
        <v>0</v>
      </c>
      <c r="Q553" t="s">
        <v>34735</v>
      </c>
      <c r="R553" t="s">
        <v>34734</v>
      </c>
      <c r="T553" s="22" t="s">
        <v>1605</v>
      </c>
      <c r="U553" s="22" t="s">
        <v>34</v>
      </c>
    </row>
    <row r="554" spans="1:21" x14ac:dyDescent="0.75">
      <c r="A554" t="s">
        <v>863</v>
      </c>
      <c r="B554" t="s">
        <v>33572</v>
      </c>
      <c r="C554" t="s">
        <v>33583</v>
      </c>
      <c r="D554" t="s">
        <v>33881</v>
      </c>
      <c r="E554" t="s">
        <v>33880</v>
      </c>
      <c r="F554" t="s">
        <v>34727</v>
      </c>
      <c r="G554" t="s">
        <v>6255</v>
      </c>
      <c r="H554" t="s">
        <v>8644</v>
      </c>
      <c r="J554" t="s">
        <v>33567</v>
      </c>
      <c r="K554" t="s">
        <v>33566</v>
      </c>
      <c r="L554" t="s">
        <v>34670</v>
      </c>
      <c r="O554" t="s">
        <v>34733</v>
      </c>
      <c r="P554">
        <v>0</v>
      </c>
      <c r="Q554" t="s">
        <v>34732</v>
      </c>
      <c r="R554" t="s">
        <v>34731</v>
      </c>
      <c r="T554" s="22" t="s">
        <v>864</v>
      </c>
      <c r="U554" s="22" t="s">
        <v>34</v>
      </c>
    </row>
    <row r="555" spans="1:21" x14ac:dyDescent="0.75">
      <c r="A555" t="s">
        <v>436</v>
      </c>
      <c r="B555" t="s">
        <v>33572</v>
      </c>
      <c r="C555" t="s">
        <v>33583</v>
      </c>
      <c r="D555" t="s">
        <v>33881</v>
      </c>
      <c r="E555" t="s">
        <v>33880</v>
      </c>
      <c r="F555" t="s">
        <v>34727</v>
      </c>
      <c r="G555" t="s">
        <v>6255</v>
      </c>
      <c r="H555" t="s">
        <v>7478</v>
      </c>
      <c r="J555" t="s">
        <v>33567</v>
      </c>
      <c r="K555" t="s">
        <v>33566</v>
      </c>
      <c r="L555" t="s">
        <v>34670</v>
      </c>
      <c r="O555" t="s">
        <v>34730</v>
      </c>
      <c r="P555">
        <v>0</v>
      </c>
      <c r="Q555" t="s">
        <v>34729</v>
      </c>
      <c r="R555" t="s">
        <v>34728</v>
      </c>
      <c r="T555" s="22" t="s">
        <v>437</v>
      </c>
      <c r="U555" s="22" t="s">
        <v>34</v>
      </c>
    </row>
    <row r="556" spans="1:21" x14ac:dyDescent="0.75">
      <c r="A556" t="s">
        <v>35</v>
      </c>
      <c r="B556" t="s">
        <v>33572</v>
      </c>
      <c r="C556" t="s">
        <v>33583</v>
      </c>
      <c r="D556" t="s">
        <v>33881</v>
      </c>
      <c r="E556" t="s">
        <v>33880</v>
      </c>
      <c r="F556" t="s">
        <v>34727</v>
      </c>
      <c r="G556" t="s">
        <v>6255</v>
      </c>
      <c r="H556" t="s">
        <v>6256</v>
      </c>
      <c r="J556" t="s">
        <v>33567</v>
      </c>
      <c r="K556" t="s">
        <v>33566</v>
      </c>
      <c r="L556" t="s">
        <v>34670</v>
      </c>
      <c r="O556" t="s">
        <v>34726</v>
      </c>
      <c r="P556">
        <v>0</v>
      </c>
      <c r="Q556" t="s">
        <v>34725</v>
      </c>
      <c r="R556" t="s">
        <v>34724</v>
      </c>
      <c r="T556" s="22" t="s">
        <v>36</v>
      </c>
      <c r="U556" s="22" t="s">
        <v>34</v>
      </c>
    </row>
    <row r="557" spans="1:21" x14ac:dyDescent="0.75">
      <c r="A557" t="s">
        <v>7357</v>
      </c>
      <c r="B557" t="s">
        <v>33572</v>
      </c>
      <c r="C557" t="s">
        <v>33583</v>
      </c>
      <c r="D557" t="s">
        <v>33881</v>
      </c>
      <c r="E557" t="s">
        <v>33880</v>
      </c>
      <c r="F557" t="s">
        <v>34684</v>
      </c>
      <c r="G557" t="s">
        <v>6118</v>
      </c>
      <c r="H557" t="s">
        <v>7358</v>
      </c>
      <c r="J557" t="s">
        <v>33567</v>
      </c>
      <c r="K557" t="s">
        <v>33566</v>
      </c>
      <c r="L557" t="s">
        <v>33916</v>
      </c>
      <c r="N557" t="s">
        <v>34723</v>
      </c>
      <c r="O557" t="s">
        <v>34722</v>
      </c>
      <c r="P557">
        <v>28123</v>
      </c>
      <c r="Q557" t="s">
        <v>34721</v>
      </c>
      <c r="R557" t="s">
        <v>34720</v>
      </c>
      <c r="T557" s="22" t="s">
        <v>37216</v>
      </c>
      <c r="U557" s="22" t="s">
        <v>1563</v>
      </c>
    </row>
    <row r="558" spans="1:21" x14ac:dyDescent="0.75">
      <c r="A558" t="s">
        <v>8980</v>
      </c>
      <c r="B558" t="s">
        <v>33572</v>
      </c>
      <c r="C558" t="s">
        <v>33583</v>
      </c>
      <c r="D558" t="s">
        <v>33881</v>
      </c>
      <c r="E558" t="s">
        <v>33880</v>
      </c>
      <c r="F558" t="s">
        <v>34684</v>
      </c>
      <c r="G558" t="s">
        <v>6118</v>
      </c>
      <c r="H558" t="s">
        <v>8981</v>
      </c>
      <c r="J558" t="s">
        <v>33567</v>
      </c>
      <c r="K558" t="s">
        <v>33566</v>
      </c>
      <c r="L558" t="s">
        <v>33575</v>
      </c>
      <c r="N558" t="s">
        <v>34719</v>
      </c>
      <c r="O558" t="s">
        <v>34718</v>
      </c>
      <c r="P558">
        <v>41976</v>
      </c>
      <c r="Q558" t="s">
        <v>34717</v>
      </c>
      <c r="R558" t="s">
        <v>34716</v>
      </c>
      <c r="T558" s="22" t="s">
        <v>37214</v>
      </c>
      <c r="U558" s="22" t="s">
        <v>104</v>
      </c>
    </row>
    <row r="559" spans="1:21" x14ac:dyDescent="0.75">
      <c r="A559" t="s">
        <v>7180</v>
      </c>
      <c r="B559" t="s">
        <v>33572</v>
      </c>
      <c r="C559" t="s">
        <v>33583</v>
      </c>
      <c r="D559" t="s">
        <v>33881</v>
      </c>
      <c r="E559" t="s">
        <v>33880</v>
      </c>
      <c r="F559" t="s">
        <v>34684</v>
      </c>
      <c r="G559" t="s">
        <v>6118</v>
      </c>
      <c r="H559" t="s">
        <v>7181</v>
      </c>
      <c r="J559" t="s">
        <v>33567</v>
      </c>
      <c r="K559" t="s">
        <v>33566</v>
      </c>
      <c r="L559" t="s">
        <v>33616</v>
      </c>
      <c r="N559" t="s">
        <v>34715</v>
      </c>
      <c r="O559" t="s">
        <v>34714</v>
      </c>
      <c r="P559">
        <v>28124</v>
      </c>
      <c r="Q559" t="s">
        <v>34713</v>
      </c>
      <c r="R559" t="s">
        <v>34712</v>
      </c>
      <c r="T559" s="22" t="s">
        <v>37213</v>
      </c>
      <c r="U559" s="22" t="s">
        <v>104</v>
      </c>
    </row>
    <row r="560" spans="1:21" x14ac:dyDescent="0.75">
      <c r="A560" t="s">
        <v>6117</v>
      </c>
      <c r="B560" t="s">
        <v>33572</v>
      </c>
      <c r="C560" t="s">
        <v>33583</v>
      </c>
      <c r="D560" t="s">
        <v>33881</v>
      </c>
      <c r="E560" t="s">
        <v>33880</v>
      </c>
      <c r="F560" t="s">
        <v>34684</v>
      </c>
      <c r="G560" t="s">
        <v>6118</v>
      </c>
      <c r="H560" t="s">
        <v>6119</v>
      </c>
      <c r="J560" t="s">
        <v>33567</v>
      </c>
      <c r="K560" t="s">
        <v>33566</v>
      </c>
      <c r="L560" t="s">
        <v>33575</v>
      </c>
      <c r="N560" t="s">
        <v>34711</v>
      </c>
      <c r="O560" t="s">
        <v>34710</v>
      </c>
      <c r="P560">
        <v>837</v>
      </c>
      <c r="Q560" t="s">
        <v>34709</v>
      </c>
      <c r="R560" t="s">
        <v>34708</v>
      </c>
      <c r="T560" s="22" t="s">
        <v>37211</v>
      </c>
      <c r="U560" s="22" t="s">
        <v>104</v>
      </c>
    </row>
    <row r="561" spans="1:21" x14ac:dyDescent="0.75">
      <c r="A561" t="s">
        <v>8822</v>
      </c>
      <c r="B561" t="s">
        <v>33572</v>
      </c>
      <c r="C561" t="s">
        <v>33583</v>
      </c>
      <c r="D561" t="s">
        <v>33881</v>
      </c>
      <c r="E561" t="s">
        <v>33880</v>
      </c>
      <c r="F561" t="s">
        <v>34684</v>
      </c>
      <c r="G561" t="s">
        <v>6118</v>
      </c>
      <c r="H561" t="s">
        <v>8823</v>
      </c>
      <c r="J561" t="s">
        <v>33567</v>
      </c>
      <c r="K561" t="s">
        <v>33566</v>
      </c>
      <c r="L561" t="s">
        <v>33616</v>
      </c>
      <c r="N561" t="s">
        <v>34707</v>
      </c>
      <c r="O561" t="s">
        <v>34706</v>
      </c>
      <c r="P561">
        <v>1583331</v>
      </c>
      <c r="Q561" t="s">
        <v>34705</v>
      </c>
      <c r="R561" t="s">
        <v>34704</v>
      </c>
      <c r="T561" s="22" t="s">
        <v>37215</v>
      </c>
      <c r="U561" s="22" t="s">
        <v>104</v>
      </c>
    </row>
    <row r="562" spans="1:21" x14ac:dyDescent="0.75">
      <c r="A562" t="s">
        <v>20618</v>
      </c>
      <c r="B562" t="s">
        <v>33572</v>
      </c>
      <c r="C562" t="s">
        <v>33583</v>
      </c>
      <c r="D562" t="s">
        <v>33881</v>
      </c>
      <c r="E562" t="s">
        <v>33880</v>
      </c>
      <c r="F562" t="s">
        <v>34684</v>
      </c>
      <c r="G562" t="s">
        <v>6118</v>
      </c>
      <c r="H562" t="s">
        <v>20619</v>
      </c>
      <c r="J562" t="s">
        <v>33617</v>
      </c>
      <c r="K562" t="s">
        <v>33566</v>
      </c>
      <c r="L562" t="s">
        <v>33587</v>
      </c>
      <c r="N562" t="s">
        <v>34703</v>
      </c>
      <c r="O562" t="s">
        <v>34702</v>
      </c>
      <c r="P562">
        <v>712435</v>
      </c>
      <c r="Q562" t="s">
        <v>34701</v>
      </c>
      <c r="R562" t="s">
        <v>34700</v>
      </c>
      <c r="T562" s="22" t="s">
        <v>37552</v>
      </c>
      <c r="U562" s="22" t="s">
        <v>104</v>
      </c>
    </row>
    <row r="563" spans="1:21" x14ac:dyDescent="0.75">
      <c r="A563" t="s">
        <v>34699</v>
      </c>
      <c r="B563" t="s">
        <v>33572</v>
      </c>
      <c r="C563" t="s">
        <v>33583</v>
      </c>
      <c r="D563" t="s">
        <v>33881</v>
      </c>
      <c r="E563" t="s">
        <v>33880</v>
      </c>
      <c r="F563" t="s">
        <v>34684</v>
      </c>
      <c r="G563" t="s">
        <v>6118</v>
      </c>
      <c r="H563" t="s">
        <v>34698</v>
      </c>
      <c r="J563" t="s">
        <v>33577</v>
      </c>
      <c r="K563" t="s">
        <v>33576</v>
      </c>
      <c r="L563" t="s">
        <v>33609</v>
      </c>
      <c r="N563" t="s">
        <v>34697</v>
      </c>
      <c r="O563" t="s">
        <v>34696</v>
      </c>
      <c r="P563">
        <v>712436</v>
      </c>
      <c r="T563" s="22" t="s">
        <v>37553</v>
      </c>
      <c r="U563" s="22" t="s">
        <v>104</v>
      </c>
    </row>
    <row r="564" spans="1:21" x14ac:dyDescent="0.75">
      <c r="A564" t="s">
        <v>9773</v>
      </c>
      <c r="B564" t="s">
        <v>33572</v>
      </c>
      <c r="C564" t="s">
        <v>33583</v>
      </c>
      <c r="D564" t="s">
        <v>33881</v>
      </c>
      <c r="E564" t="s">
        <v>33880</v>
      </c>
      <c r="F564" t="s">
        <v>34684</v>
      </c>
      <c r="G564" t="s">
        <v>6118</v>
      </c>
      <c r="H564" t="s">
        <v>9774</v>
      </c>
      <c r="J564" t="s">
        <v>33617</v>
      </c>
      <c r="K564" t="s">
        <v>33566</v>
      </c>
      <c r="L564" t="s">
        <v>33575</v>
      </c>
      <c r="N564" t="s">
        <v>34695</v>
      </c>
      <c r="O564" t="s">
        <v>34694</v>
      </c>
      <c r="P564">
        <v>712437</v>
      </c>
      <c r="Q564" t="s">
        <v>34693</v>
      </c>
      <c r="R564" t="s">
        <v>34692</v>
      </c>
      <c r="T564" s="22" t="s">
        <v>37554</v>
      </c>
      <c r="U564" s="22" t="s">
        <v>104</v>
      </c>
    </row>
    <row r="565" spans="1:21" x14ac:dyDescent="0.75">
      <c r="A565" t="s">
        <v>34691</v>
      </c>
      <c r="B565" t="s">
        <v>33572</v>
      </c>
      <c r="C565" t="s">
        <v>33583</v>
      </c>
      <c r="D565" t="s">
        <v>33881</v>
      </c>
      <c r="E565" t="s">
        <v>33880</v>
      </c>
      <c r="F565" t="s">
        <v>34684</v>
      </c>
      <c r="G565" t="s">
        <v>6118</v>
      </c>
      <c r="H565" t="s">
        <v>34690</v>
      </c>
      <c r="J565" t="s">
        <v>33617</v>
      </c>
      <c r="K565" t="s">
        <v>33703</v>
      </c>
      <c r="L565" t="s">
        <v>33575</v>
      </c>
      <c r="N565" t="s">
        <v>34689</v>
      </c>
      <c r="O565" t="s">
        <v>34688</v>
      </c>
      <c r="P565">
        <v>712439</v>
      </c>
      <c r="T565" s="22" t="s">
        <v>37555</v>
      </c>
      <c r="U565" s="22" t="s">
        <v>104</v>
      </c>
    </row>
    <row r="566" spans="1:21" x14ac:dyDescent="0.75">
      <c r="A566" t="s">
        <v>34687</v>
      </c>
      <c r="B566" t="s">
        <v>33572</v>
      </c>
      <c r="C566" t="s">
        <v>33583</v>
      </c>
      <c r="D566" t="s">
        <v>33881</v>
      </c>
      <c r="E566" t="s">
        <v>33880</v>
      </c>
      <c r="F566" t="s">
        <v>34684</v>
      </c>
      <c r="G566" t="s">
        <v>6118</v>
      </c>
      <c r="H566" t="s">
        <v>34686</v>
      </c>
      <c r="J566" t="s">
        <v>33577</v>
      </c>
      <c r="K566" t="s">
        <v>33576</v>
      </c>
      <c r="L566" t="s">
        <v>33616</v>
      </c>
      <c r="N566" t="s">
        <v>34685</v>
      </c>
      <c r="O566" t="s">
        <v>33573</v>
      </c>
      <c r="P566">
        <v>836</v>
      </c>
      <c r="T566" s="22" t="s">
        <v>37556</v>
      </c>
      <c r="U566" s="22" t="s">
        <v>104</v>
      </c>
    </row>
    <row r="567" spans="1:21" x14ac:dyDescent="0.75">
      <c r="A567" t="s">
        <v>7175</v>
      </c>
      <c r="B567" t="s">
        <v>33572</v>
      </c>
      <c r="C567" t="s">
        <v>33583</v>
      </c>
      <c r="D567" t="s">
        <v>33881</v>
      </c>
      <c r="E567" t="s">
        <v>33880</v>
      </c>
      <c r="F567" t="s">
        <v>34684</v>
      </c>
      <c r="G567" t="s">
        <v>6118</v>
      </c>
      <c r="H567" t="s">
        <v>7176</v>
      </c>
      <c r="J567" t="s">
        <v>33567</v>
      </c>
      <c r="K567" t="s">
        <v>33566</v>
      </c>
      <c r="L567" t="s">
        <v>33666</v>
      </c>
      <c r="N567" t="s">
        <v>34683</v>
      </c>
      <c r="O567" t="s">
        <v>33573</v>
      </c>
      <c r="P567">
        <v>281920</v>
      </c>
      <c r="Q567" t="s">
        <v>34682</v>
      </c>
      <c r="R567" t="s">
        <v>34681</v>
      </c>
      <c r="T567" s="22" t="s">
        <v>37212</v>
      </c>
      <c r="U567" s="22" t="s">
        <v>1308</v>
      </c>
    </row>
    <row r="568" spans="1:21" x14ac:dyDescent="0.75">
      <c r="A568" t="s">
        <v>7262</v>
      </c>
      <c r="B568" t="s">
        <v>33572</v>
      </c>
      <c r="C568" t="s">
        <v>33583</v>
      </c>
      <c r="D568" t="s">
        <v>33881</v>
      </c>
      <c r="E568" t="s">
        <v>33880</v>
      </c>
      <c r="F568" t="s">
        <v>34303</v>
      </c>
      <c r="G568" t="s">
        <v>6594</v>
      </c>
      <c r="H568" t="s">
        <v>7263</v>
      </c>
      <c r="J568" t="s">
        <v>33567</v>
      </c>
      <c r="K568" t="s">
        <v>33566</v>
      </c>
      <c r="L568" t="s">
        <v>33666</v>
      </c>
      <c r="P568">
        <v>0</v>
      </c>
      <c r="Q568" t="s">
        <v>34680</v>
      </c>
      <c r="R568" t="s">
        <v>34679</v>
      </c>
      <c r="T568" s="22" t="s">
        <v>37223</v>
      </c>
      <c r="U568" s="22" t="s">
        <v>1308</v>
      </c>
    </row>
    <row r="569" spans="1:21" x14ac:dyDescent="0.75">
      <c r="A569" t="s">
        <v>10309</v>
      </c>
      <c r="B569" t="s">
        <v>33572</v>
      </c>
      <c r="C569" t="s">
        <v>33583</v>
      </c>
      <c r="D569" t="s">
        <v>33881</v>
      </c>
      <c r="E569" t="s">
        <v>33880</v>
      </c>
      <c r="F569" t="s">
        <v>34303</v>
      </c>
      <c r="G569" t="s">
        <v>6594</v>
      </c>
      <c r="H569" t="s">
        <v>10310</v>
      </c>
      <c r="J569" t="s">
        <v>33567</v>
      </c>
      <c r="K569" t="s">
        <v>33566</v>
      </c>
      <c r="L569" t="s">
        <v>33575</v>
      </c>
      <c r="M569" t="s">
        <v>34678</v>
      </c>
      <c r="N569" t="s">
        <v>34677</v>
      </c>
      <c r="O569" t="s">
        <v>33573</v>
      </c>
      <c r="P569">
        <v>596085</v>
      </c>
      <c r="Q569" t="s">
        <v>34676</v>
      </c>
      <c r="R569" t="s">
        <v>34675</v>
      </c>
      <c r="T569" s="22" t="s">
        <v>37228</v>
      </c>
      <c r="U569" s="22" t="s">
        <v>104</v>
      </c>
    </row>
    <row r="570" spans="1:21" x14ac:dyDescent="0.75">
      <c r="A570" t="s">
        <v>7251</v>
      </c>
      <c r="B570" t="s">
        <v>33572</v>
      </c>
      <c r="C570" t="s">
        <v>33583</v>
      </c>
      <c r="D570" t="s">
        <v>33881</v>
      </c>
      <c r="E570" t="s">
        <v>33880</v>
      </c>
      <c r="F570" t="s">
        <v>34303</v>
      </c>
      <c r="G570" t="s">
        <v>6594</v>
      </c>
      <c r="H570" t="s">
        <v>7252</v>
      </c>
      <c r="J570" t="s">
        <v>33567</v>
      </c>
      <c r="K570" t="s">
        <v>33566</v>
      </c>
      <c r="L570" t="s">
        <v>33916</v>
      </c>
      <c r="N570" t="s">
        <v>34674</v>
      </c>
      <c r="O570" t="s">
        <v>34673</v>
      </c>
      <c r="P570">
        <v>28125</v>
      </c>
      <c r="Q570" t="s">
        <v>34672</v>
      </c>
      <c r="R570" t="s">
        <v>34671</v>
      </c>
      <c r="T570" s="22" t="s">
        <v>37224</v>
      </c>
      <c r="U570" s="22" t="s">
        <v>1563</v>
      </c>
    </row>
    <row r="571" spans="1:21" x14ac:dyDescent="0.75">
      <c r="A571" t="s">
        <v>2524</v>
      </c>
      <c r="B571" t="s">
        <v>33572</v>
      </c>
      <c r="C571" t="s">
        <v>33583</v>
      </c>
      <c r="D571" t="s">
        <v>33881</v>
      </c>
      <c r="E571" t="s">
        <v>33880</v>
      </c>
      <c r="F571" t="s">
        <v>34303</v>
      </c>
      <c r="G571" t="s">
        <v>6594</v>
      </c>
      <c r="H571" t="s">
        <v>13818</v>
      </c>
      <c r="J571" t="s">
        <v>33567</v>
      </c>
      <c r="K571" t="s">
        <v>33566</v>
      </c>
      <c r="L571" t="s">
        <v>34670</v>
      </c>
      <c r="P571">
        <v>0</v>
      </c>
      <c r="Q571" t="s">
        <v>34669</v>
      </c>
      <c r="R571" t="s">
        <v>34668</v>
      </c>
      <c r="T571" s="22" t="s">
        <v>2525</v>
      </c>
      <c r="U571" s="22" t="s">
        <v>34</v>
      </c>
    </row>
    <row r="572" spans="1:21" x14ac:dyDescent="0.75">
      <c r="A572" t="s">
        <v>462</v>
      </c>
      <c r="B572" t="s">
        <v>33572</v>
      </c>
      <c r="C572" t="s">
        <v>33583</v>
      </c>
      <c r="D572" t="s">
        <v>33881</v>
      </c>
      <c r="E572" t="s">
        <v>33880</v>
      </c>
      <c r="F572" t="s">
        <v>34303</v>
      </c>
      <c r="G572" t="s">
        <v>6594</v>
      </c>
      <c r="H572" t="s">
        <v>6137</v>
      </c>
      <c r="J572" t="s">
        <v>33567</v>
      </c>
      <c r="K572" t="s">
        <v>33566</v>
      </c>
      <c r="L572" t="s">
        <v>33616</v>
      </c>
      <c r="N572" t="s">
        <v>34667</v>
      </c>
      <c r="O572" t="s">
        <v>34666</v>
      </c>
      <c r="P572">
        <v>28129</v>
      </c>
      <c r="Q572" t="s">
        <v>34665</v>
      </c>
      <c r="R572" t="s">
        <v>34664</v>
      </c>
      <c r="T572" s="22" t="s">
        <v>463</v>
      </c>
      <c r="U572" s="22" t="s">
        <v>104</v>
      </c>
    </row>
    <row r="573" spans="1:21" x14ac:dyDescent="0.75">
      <c r="A573" t="s">
        <v>1273</v>
      </c>
      <c r="B573" t="s">
        <v>33572</v>
      </c>
      <c r="C573" t="s">
        <v>33583</v>
      </c>
      <c r="D573" t="s">
        <v>33881</v>
      </c>
      <c r="E573" t="s">
        <v>33880</v>
      </c>
      <c r="F573" t="s">
        <v>34303</v>
      </c>
      <c r="G573" t="s">
        <v>6594</v>
      </c>
      <c r="H573" t="s">
        <v>10319</v>
      </c>
      <c r="J573" t="s">
        <v>33567</v>
      </c>
      <c r="K573" t="s">
        <v>33566</v>
      </c>
      <c r="L573" t="s">
        <v>33609</v>
      </c>
      <c r="M573" t="s">
        <v>34663</v>
      </c>
      <c r="N573" t="s">
        <v>34662</v>
      </c>
      <c r="O573" t="s">
        <v>34661</v>
      </c>
      <c r="P573">
        <v>589436</v>
      </c>
      <c r="Q573" t="s">
        <v>34660</v>
      </c>
      <c r="R573" t="s">
        <v>34659</v>
      </c>
      <c r="T573" s="22" t="s">
        <v>1274</v>
      </c>
      <c r="U573" s="22" t="s">
        <v>104</v>
      </c>
    </row>
    <row r="574" spans="1:21" x14ac:dyDescent="0.75">
      <c r="A574" t="s">
        <v>559</v>
      </c>
      <c r="B574" t="s">
        <v>33572</v>
      </c>
      <c r="C574" t="s">
        <v>33583</v>
      </c>
      <c r="D574" t="s">
        <v>33881</v>
      </c>
      <c r="E574" t="s">
        <v>33880</v>
      </c>
      <c r="F574" t="s">
        <v>34303</v>
      </c>
      <c r="G574" t="s">
        <v>6594</v>
      </c>
      <c r="H574" t="s">
        <v>8295</v>
      </c>
      <c r="J574" t="s">
        <v>33567</v>
      </c>
      <c r="K574" t="s">
        <v>33566</v>
      </c>
      <c r="L574" t="s">
        <v>33616</v>
      </c>
      <c r="N574" t="s">
        <v>34658</v>
      </c>
      <c r="O574" t="s">
        <v>34657</v>
      </c>
      <c r="P574">
        <v>470565</v>
      </c>
      <c r="Q574" t="s">
        <v>34656</v>
      </c>
      <c r="R574" t="s">
        <v>34655</v>
      </c>
      <c r="T574" s="22" t="s">
        <v>560</v>
      </c>
      <c r="U574" s="22" t="s">
        <v>104</v>
      </c>
    </row>
    <row r="575" spans="1:21" x14ac:dyDescent="0.75">
      <c r="A575" t="s">
        <v>2048</v>
      </c>
      <c r="B575" t="s">
        <v>33572</v>
      </c>
      <c r="C575" t="s">
        <v>33583</v>
      </c>
      <c r="D575" t="s">
        <v>33881</v>
      </c>
      <c r="E575" t="s">
        <v>33880</v>
      </c>
      <c r="F575" t="s">
        <v>34303</v>
      </c>
      <c r="G575" t="s">
        <v>6594</v>
      </c>
      <c r="H575" t="s">
        <v>14792</v>
      </c>
      <c r="J575" t="s">
        <v>33567</v>
      </c>
      <c r="K575" t="s">
        <v>33566</v>
      </c>
      <c r="L575" t="s">
        <v>33587</v>
      </c>
      <c r="N575" t="s">
        <v>34654</v>
      </c>
      <c r="O575" t="s">
        <v>34653</v>
      </c>
      <c r="P575">
        <v>838</v>
      </c>
      <c r="Q575" t="s">
        <v>34652</v>
      </c>
      <c r="R575" t="s">
        <v>34651</v>
      </c>
      <c r="T575" s="22" t="s">
        <v>2049</v>
      </c>
      <c r="U575" s="22" t="s">
        <v>104</v>
      </c>
    </row>
    <row r="576" spans="1:21" x14ac:dyDescent="0.75">
      <c r="A576" t="s">
        <v>8600</v>
      </c>
      <c r="B576" t="s">
        <v>33572</v>
      </c>
      <c r="C576" t="s">
        <v>33583</v>
      </c>
      <c r="D576" t="s">
        <v>33881</v>
      </c>
      <c r="E576" t="s">
        <v>33880</v>
      </c>
      <c r="F576" t="s">
        <v>34303</v>
      </c>
      <c r="G576" t="s">
        <v>6594</v>
      </c>
      <c r="H576" t="s">
        <v>8601</v>
      </c>
      <c r="J576" t="s">
        <v>33567</v>
      </c>
      <c r="K576" t="s">
        <v>33566</v>
      </c>
      <c r="L576" t="s">
        <v>33616</v>
      </c>
      <c r="M576" t="s">
        <v>10144</v>
      </c>
      <c r="N576" t="s">
        <v>34650</v>
      </c>
      <c r="O576" t="s">
        <v>34649</v>
      </c>
      <c r="P576">
        <v>28131</v>
      </c>
      <c r="Q576" t="s">
        <v>34648</v>
      </c>
      <c r="R576" t="s">
        <v>34647</v>
      </c>
      <c r="T576" s="22" t="s">
        <v>37219</v>
      </c>
      <c r="U576" s="22" t="s">
        <v>104</v>
      </c>
    </row>
    <row r="577" spans="1:21" x14ac:dyDescent="0.75">
      <c r="A577" t="s">
        <v>550</v>
      </c>
      <c r="B577" t="s">
        <v>33572</v>
      </c>
      <c r="C577" t="s">
        <v>33583</v>
      </c>
      <c r="D577" t="s">
        <v>33881</v>
      </c>
      <c r="E577" t="s">
        <v>33880</v>
      </c>
      <c r="F577" t="s">
        <v>34303</v>
      </c>
      <c r="G577" t="s">
        <v>6594</v>
      </c>
      <c r="H577" t="s">
        <v>7955</v>
      </c>
      <c r="J577" t="s">
        <v>33567</v>
      </c>
      <c r="K577" t="s">
        <v>33566</v>
      </c>
      <c r="L577" t="s">
        <v>33616</v>
      </c>
      <c r="N577" t="s">
        <v>34646</v>
      </c>
      <c r="O577" t="s">
        <v>34645</v>
      </c>
      <c r="P577">
        <v>652722</v>
      </c>
      <c r="Q577" t="s">
        <v>34644</v>
      </c>
      <c r="R577" t="s">
        <v>34643</v>
      </c>
      <c r="T577" s="22" t="s">
        <v>551</v>
      </c>
      <c r="U577" s="22" t="s">
        <v>104</v>
      </c>
    </row>
    <row r="578" spans="1:21" x14ac:dyDescent="0.75">
      <c r="A578" t="s">
        <v>153</v>
      </c>
      <c r="B578" t="s">
        <v>33572</v>
      </c>
      <c r="C578" t="s">
        <v>33583</v>
      </c>
      <c r="D578" t="s">
        <v>33881</v>
      </c>
      <c r="E578" t="s">
        <v>33880</v>
      </c>
      <c r="F578" t="s">
        <v>34303</v>
      </c>
      <c r="G578" t="s">
        <v>6594</v>
      </c>
      <c r="H578" t="s">
        <v>6595</v>
      </c>
      <c r="J578" t="s">
        <v>33567</v>
      </c>
      <c r="K578" t="s">
        <v>33566</v>
      </c>
      <c r="L578" t="s">
        <v>33616</v>
      </c>
      <c r="N578" t="s">
        <v>34642</v>
      </c>
      <c r="O578" t="s">
        <v>34641</v>
      </c>
      <c r="P578">
        <v>28132</v>
      </c>
      <c r="Q578" t="s">
        <v>34640</v>
      </c>
      <c r="R578" t="s">
        <v>34639</v>
      </c>
      <c r="T578" s="22" t="s">
        <v>154</v>
      </c>
      <c r="U578" s="22" t="s">
        <v>104</v>
      </c>
    </row>
    <row r="579" spans="1:21" x14ac:dyDescent="0.75">
      <c r="A579" t="s">
        <v>8446</v>
      </c>
      <c r="B579" t="s">
        <v>33572</v>
      </c>
      <c r="C579" t="s">
        <v>33583</v>
      </c>
      <c r="D579" t="s">
        <v>33881</v>
      </c>
      <c r="E579" t="s">
        <v>33880</v>
      </c>
      <c r="F579" t="s">
        <v>34303</v>
      </c>
      <c r="G579" t="s">
        <v>6594</v>
      </c>
      <c r="H579" t="s">
        <v>8447</v>
      </c>
      <c r="J579" t="s">
        <v>33567</v>
      </c>
      <c r="K579" t="s">
        <v>33566</v>
      </c>
      <c r="L579" t="s">
        <v>33609</v>
      </c>
      <c r="N579" t="s">
        <v>34638</v>
      </c>
      <c r="O579" t="s">
        <v>34637</v>
      </c>
      <c r="P579">
        <v>189723</v>
      </c>
      <c r="Q579" t="s">
        <v>34636</v>
      </c>
      <c r="R579" t="s">
        <v>34635</v>
      </c>
      <c r="T579" s="22" t="s">
        <v>37225</v>
      </c>
      <c r="U579" s="22" t="s">
        <v>104</v>
      </c>
    </row>
    <row r="580" spans="1:21" x14ac:dyDescent="0.75">
      <c r="A580" t="s">
        <v>450</v>
      </c>
      <c r="B580" t="s">
        <v>33572</v>
      </c>
      <c r="C580" t="s">
        <v>33583</v>
      </c>
      <c r="D580" t="s">
        <v>33881</v>
      </c>
      <c r="E580" t="s">
        <v>33880</v>
      </c>
      <c r="F580" t="s">
        <v>34303</v>
      </c>
      <c r="G580" t="s">
        <v>6594</v>
      </c>
      <c r="H580" t="s">
        <v>7498</v>
      </c>
      <c r="J580" t="s">
        <v>33567</v>
      </c>
      <c r="K580" t="s">
        <v>33566</v>
      </c>
      <c r="L580" t="s">
        <v>33609</v>
      </c>
      <c r="N580" t="s">
        <v>34634</v>
      </c>
      <c r="O580" t="s">
        <v>33573</v>
      </c>
      <c r="P580">
        <v>282402</v>
      </c>
      <c r="Q580" t="s">
        <v>34633</v>
      </c>
      <c r="R580" t="s">
        <v>34632</v>
      </c>
      <c r="T580" s="22" t="s">
        <v>451</v>
      </c>
      <c r="U580" s="22" t="s">
        <v>104</v>
      </c>
    </row>
    <row r="581" spans="1:21" x14ac:dyDescent="0.75">
      <c r="A581" t="s">
        <v>7850</v>
      </c>
      <c r="B581" t="s">
        <v>33572</v>
      </c>
      <c r="C581" t="s">
        <v>33583</v>
      </c>
      <c r="D581" t="s">
        <v>33881</v>
      </c>
      <c r="E581" t="s">
        <v>33880</v>
      </c>
      <c r="F581" t="s">
        <v>34303</v>
      </c>
      <c r="G581" t="s">
        <v>6594</v>
      </c>
      <c r="H581" t="s">
        <v>7851</v>
      </c>
      <c r="J581" t="s">
        <v>33567</v>
      </c>
      <c r="K581" t="s">
        <v>33566</v>
      </c>
      <c r="L581" t="s">
        <v>33575</v>
      </c>
      <c r="N581" t="s">
        <v>34631</v>
      </c>
      <c r="O581" t="s">
        <v>33573</v>
      </c>
      <c r="P581">
        <v>28133</v>
      </c>
      <c r="Q581" t="s">
        <v>34630</v>
      </c>
      <c r="R581" t="s">
        <v>34629</v>
      </c>
      <c r="T581" s="22" t="s">
        <v>37221</v>
      </c>
      <c r="U581" s="22" t="s">
        <v>104</v>
      </c>
    </row>
    <row r="582" spans="1:21" x14ac:dyDescent="0.75">
      <c r="A582" t="s">
        <v>7855</v>
      </c>
      <c r="B582" t="s">
        <v>33572</v>
      </c>
      <c r="C582" t="s">
        <v>33583</v>
      </c>
      <c r="D582" t="s">
        <v>33881</v>
      </c>
      <c r="E582" t="s">
        <v>33880</v>
      </c>
      <c r="F582" t="s">
        <v>34303</v>
      </c>
      <c r="G582" t="s">
        <v>6594</v>
      </c>
      <c r="H582" t="s">
        <v>7856</v>
      </c>
      <c r="J582" t="s">
        <v>33567</v>
      </c>
      <c r="K582" t="s">
        <v>33566</v>
      </c>
      <c r="L582" t="s">
        <v>33616</v>
      </c>
      <c r="N582" t="s">
        <v>34628</v>
      </c>
      <c r="O582" t="s">
        <v>34627</v>
      </c>
      <c r="P582">
        <v>60133</v>
      </c>
      <c r="Q582" t="s">
        <v>34626</v>
      </c>
      <c r="R582" t="s">
        <v>34625</v>
      </c>
      <c r="T582" s="22" t="s">
        <v>37222</v>
      </c>
      <c r="U582" s="22" t="s">
        <v>104</v>
      </c>
    </row>
    <row r="583" spans="1:21" x14ac:dyDescent="0.75">
      <c r="A583" t="s">
        <v>10323</v>
      </c>
      <c r="B583" t="s">
        <v>33572</v>
      </c>
      <c r="C583" t="s">
        <v>33583</v>
      </c>
      <c r="D583" t="s">
        <v>33881</v>
      </c>
      <c r="E583" t="s">
        <v>33880</v>
      </c>
      <c r="F583" t="s">
        <v>34303</v>
      </c>
      <c r="G583" t="s">
        <v>6594</v>
      </c>
      <c r="H583" t="s">
        <v>10324</v>
      </c>
      <c r="J583" t="s">
        <v>33567</v>
      </c>
      <c r="K583" t="s">
        <v>33566</v>
      </c>
      <c r="L583" t="s">
        <v>33575</v>
      </c>
      <c r="M583" t="s">
        <v>34624</v>
      </c>
      <c r="N583" t="s">
        <v>34623</v>
      </c>
      <c r="O583" t="s">
        <v>34622</v>
      </c>
      <c r="P583">
        <v>589437</v>
      </c>
      <c r="Q583" t="s">
        <v>34621</v>
      </c>
      <c r="R583" t="s">
        <v>34620</v>
      </c>
      <c r="T583" s="22" t="s">
        <v>37226</v>
      </c>
      <c r="U583" s="22" t="s">
        <v>104</v>
      </c>
    </row>
    <row r="584" spans="1:21" x14ac:dyDescent="0.75">
      <c r="A584" t="s">
        <v>34619</v>
      </c>
      <c r="B584" t="s">
        <v>33572</v>
      </c>
      <c r="C584" t="s">
        <v>33583</v>
      </c>
      <c r="D584" t="s">
        <v>33881</v>
      </c>
      <c r="E584" t="s">
        <v>33880</v>
      </c>
      <c r="F584" t="s">
        <v>34303</v>
      </c>
      <c r="G584" t="s">
        <v>6594</v>
      </c>
      <c r="H584" t="s">
        <v>34618</v>
      </c>
      <c r="J584" t="s">
        <v>33577</v>
      </c>
      <c r="K584" t="s">
        <v>33576</v>
      </c>
      <c r="L584" t="s">
        <v>33575</v>
      </c>
      <c r="N584" t="s">
        <v>34617</v>
      </c>
      <c r="O584" t="s">
        <v>34616</v>
      </c>
      <c r="P584">
        <v>712459</v>
      </c>
      <c r="T584" s="22" t="s">
        <v>37557</v>
      </c>
      <c r="U584" s="22" t="s">
        <v>104</v>
      </c>
    </row>
    <row r="585" spans="1:21" x14ac:dyDescent="0.75">
      <c r="A585" t="s">
        <v>1054</v>
      </c>
      <c r="B585" t="s">
        <v>33572</v>
      </c>
      <c r="C585" t="s">
        <v>33583</v>
      </c>
      <c r="D585" t="s">
        <v>33881</v>
      </c>
      <c r="E585" t="s">
        <v>33880</v>
      </c>
      <c r="F585" t="s">
        <v>34303</v>
      </c>
      <c r="G585" t="s">
        <v>6594</v>
      </c>
      <c r="H585" t="s">
        <v>9777</v>
      </c>
      <c r="J585" t="s">
        <v>33617</v>
      </c>
      <c r="K585" t="s">
        <v>33566</v>
      </c>
      <c r="L585" t="s">
        <v>33575</v>
      </c>
      <c r="N585" t="s">
        <v>34615</v>
      </c>
      <c r="O585" t="s">
        <v>34614</v>
      </c>
      <c r="P585">
        <v>712464</v>
      </c>
      <c r="Q585" t="s">
        <v>34613</v>
      </c>
      <c r="R585" t="s">
        <v>34612</v>
      </c>
      <c r="T585" s="22" t="s">
        <v>37558</v>
      </c>
      <c r="U585" s="22" t="s">
        <v>104</v>
      </c>
    </row>
    <row r="586" spans="1:21" x14ac:dyDescent="0.75">
      <c r="A586" t="s">
        <v>34611</v>
      </c>
      <c r="B586" t="s">
        <v>33572</v>
      </c>
      <c r="C586" t="s">
        <v>33583</v>
      </c>
      <c r="D586" t="s">
        <v>33881</v>
      </c>
      <c r="E586" t="s">
        <v>33880</v>
      </c>
      <c r="F586" t="s">
        <v>34303</v>
      </c>
      <c r="G586" t="s">
        <v>6594</v>
      </c>
      <c r="H586" t="s">
        <v>34610</v>
      </c>
      <c r="J586" t="s">
        <v>33577</v>
      </c>
      <c r="K586" t="s">
        <v>33576</v>
      </c>
      <c r="L586" t="s">
        <v>33609</v>
      </c>
      <c r="N586" t="s">
        <v>34609</v>
      </c>
      <c r="O586" t="s">
        <v>34608</v>
      </c>
      <c r="P586">
        <v>712467</v>
      </c>
      <c r="T586" s="22" t="s">
        <v>37559</v>
      </c>
      <c r="U586" s="22" t="s">
        <v>104</v>
      </c>
    </row>
    <row r="587" spans="1:21" x14ac:dyDescent="0.75">
      <c r="A587" t="s">
        <v>10253</v>
      </c>
      <c r="B587" t="s">
        <v>33572</v>
      </c>
      <c r="C587" t="s">
        <v>33583</v>
      </c>
      <c r="D587" t="s">
        <v>33881</v>
      </c>
      <c r="E587" t="s">
        <v>33880</v>
      </c>
      <c r="F587" t="s">
        <v>34303</v>
      </c>
      <c r="G587" t="s">
        <v>6594</v>
      </c>
      <c r="H587" t="s">
        <v>10254</v>
      </c>
      <c r="J587" t="s">
        <v>33617</v>
      </c>
      <c r="K587" t="s">
        <v>33566</v>
      </c>
      <c r="L587" t="s">
        <v>33575</v>
      </c>
      <c r="O587" t="s">
        <v>34607</v>
      </c>
      <c r="P587">
        <v>0</v>
      </c>
      <c r="Q587" t="s">
        <v>34606</v>
      </c>
      <c r="R587" t="s">
        <v>34605</v>
      </c>
      <c r="T587" s="22" t="s">
        <v>37560</v>
      </c>
      <c r="U587" s="22" t="s">
        <v>104</v>
      </c>
    </row>
    <row r="588" spans="1:21" x14ac:dyDescent="0.75">
      <c r="A588" t="s">
        <v>1919</v>
      </c>
      <c r="B588" t="s">
        <v>33572</v>
      </c>
      <c r="C588" t="s">
        <v>33583</v>
      </c>
      <c r="D588" t="s">
        <v>33881</v>
      </c>
      <c r="E588" t="s">
        <v>33880</v>
      </c>
      <c r="F588" t="s">
        <v>34303</v>
      </c>
      <c r="G588" t="s">
        <v>6594</v>
      </c>
      <c r="H588" t="s">
        <v>7895</v>
      </c>
      <c r="J588" t="s">
        <v>33567</v>
      </c>
      <c r="K588" t="s">
        <v>33566</v>
      </c>
      <c r="L588" t="s">
        <v>33666</v>
      </c>
      <c r="P588">
        <v>0</v>
      </c>
      <c r="Q588" t="s">
        <v>34604</v>
      </c>
      <c r="R588" t="s">
        <v>34603</v>
      </c>
      <c r="T588" s="22" t="s">
        <v>1920</v>
      </c>
      <c r="U588" s="22" t="s">
        <v>1308</v>
      </c>
    </row>
    <row r="589" spans="1:21" x14ac:dyDescent="0.75">
      <c r="A589" t="s">
        <v>275</v>
      </c>
      <c r="B589" t="s">
        <v>33572</v>
      </c>
      <c r="C589" t="s">
        <v>33583</v>
      </c>
      <c r="D589" t="s">
        <v>33881</v>
      </c>
      <c r="E589" t="s">
        <v>33880</v>
      </c>
      <c r="F589" t="s">
        <v>34303</v>
      </c>
      <c r="G589" t="s">
        <v>6594</v>
      </c>
      <c r="H589" t="s">
        <v>7015</v>
      </c>
      <c r="J589" t="s">
        <v>33567</v>
      </c>
      <c r="K589" t="s">
        <v>33566</v>
      </c>
      <c r="L589" t="s">
        <v>33575</v>
      </c>
      <c r="N589" t="s">
        <v>34602</v>
      </c>
      <c r="O589" t="s">
        <v>34601</v>
      </c>
      <c r="P589">
        <v>28137</v>
      </c>
      <c r="Q589" t="s">
        <v>34600</v>
      </c>
      <c r="R589" t="s">
        <v>34599</v>
      </c>
      <c r="T589" s="22" t="s">
        <v>276</v>
      </c>
      <c r="U589" s="22" t="s">
        <v>104</v>
      </c>
    </row>
    <row r="590" spans="1:21" x14ac:dyDescent="0.75">
      <c r="A590" t="s">
        <v>8547</v>
      </c>
      <c r="B590" t="s">
        <v>33572</v>
      </c>
      <c r="C590" t="s">
        <v>33583</v>
      </c>
      <c r="D590" t="s">
        <v>33881</v>
      </c>
      <c r="E590" t="s">
        <v>33880</v>
      </c>
      <c r="F590" t="s">
        <v>34303</v>
      </c>
      <c r="G590" t="s">
        <v>6594</v>
      </c>
      <c r="H590" t="s">
        <v>8548</v>
      </c>
      <c r="J590" t="s">
        <v>33567</v>
      </c>
      <c r="K590" t="s">
        <v>33566</v>
      </c>
      <c r="L590" t="s">
        <v>33616</v>
      </c>
      <c r="N590" t="s">
        <v>34598</v>
      </c>
      <c r="O590" t="s">
        <v>34597</v>
      </c>
      <c r="P590">
        <v>712461</v>
      </c>
      <c r="Q590" t="s">
        <v>34596</v>
      </c>
      <c r="R590" t="s">
        <v>34595</v>
      </c>
      <c r="T590" s="22" t="s">
        <v>37220</v>
      </c>
      <c r="U590" s="22" t="s">
        <v>104</v>
      </c>
    </row>
    <row r="591" spans="1:21" x14ac:dyDescent="0.75">
      <c r="A591" t="s">
        <v>34594</v>
      </c>
      <c r="B591" t="s">
        <v>33572</v>
      </c>
      <c r="C591" t="s">
        <v>34169</v>
      </c>
      <c r="D591" t="s">
        <v>34355</v>
      </c>
      <c r="E591" t="s">
        <v>34589</v>
      </c>
      <c r="F591" t="s">
        <v>34588</v>
      </c>
      <c r="G591" t="s">
        <v>34593</v>
      </c>
      <c r="H591" t="s">
        <v>34592</v>
      </c>
      <c r="J591" t="s">
        <v>33577</v>
      </c>
      <c r="K591" t="s">
        <v>33576</v>
      </c>
      <c r="L591" t="s">
        <v>33587</v>
      </c>
      <c r="N591" t="s">
        <v>34591</v>
      </c>
      <c r="O591" t="s">
        <v>34590</v>
      </c>
      <c r="P591">
        <v>31957</v>
      </c>
      <c r="T591" s="22" t="s">
        <v>37561</v>
      </c>
      <c r="U591" s="22" t="s">
        <v>104</v>
      </c>
    </row>
    <row r="592" spans="1:21" x14ac:dyDescent="0.75">
      <c r="A592" t="s">
        <v>9572</v>
      </c>
      <c r="B592" t="s">
        <v>33572</v>
      </c>
      <c r="C592" t="s">
        <v>34169</v>
      </c>
      <c r="D592" t="s">
        <v>34355</v>
      </c>
      <c r="E592" t="s">
        <v>34589</v>
      </c>
      <c r="F592" t="s">
        <v>34588</v>
      </c>
      <c r="G592" t="s">
        <v>9573</v>
      </c>
      <c r="H592" t="s">
        <v>9574</v>
      </c>
      <c r="J592" t="s">
        <v>33567</v>
      </c>
      <c r="K592" t="s">
        <v>33566</v>
      </c>
      <c r="L592" t="s">
        <v>33587</v>
      </c>
      <c r="N592" t="s">
        <v>34587</v>
      </c>
      <c r="O592" t="s">
        <v>34586</v>
      </c>
      <c r="P592">
        <v>1410036</v>
      </c>
      <c r="Q592" t="s">
        <v>34585</v>
      </c>
      <c r="R592" t="s">
        <v>34584</v>
      </c>
      <c r="T592" s="22" t="s">
        <v>37229</v>
      </c>
      <c r="U592" s="22" t="s">
        <v>104</v>
      </c>
    </row>
    <row r="593" spans="1:21" x14ac:dyDescent="0.75">
      <c r="A593" t="s">
        <v>6943</v>
      </c>
      <c r="B593" t="s">
        <v>33572</v>
      </c>
      <c r="C593" t="s">
        <v>33571</v>
      </c>
      <c r="D593" t="s">
        <v>33570</v>
      </c>
      <c r="E593" t="s">
        <v>33569</v>
      </c>
      <c r="F593" t="s">
        <v>34583</v>
      </c>
      <c r="G593" t="s">
        <v>6944</v>
      </c>
      <c r="H593" t="s">
        <v>6945</v>
      </c>
      <c r="J593" t="s">
        <v>33567</v>
      </c>
      <c r="K593" t="s">
        <v>33566</v>
      </c>
      <c r="L593" t="s">
        <v>34582</v>
      </c>
      <c r="N593" t="s">
        <v>34581</v>
      </c>
      <c r="O593" t="s">
        <v>34181</v>
      </c>
      <c r="P593">
        <v>584</v>
      </c>
      <c r="Q593" t="s">
        <v>34580</v>
      </c>
      <c r="R593" t="s">
        <v>34579</v>
      </c>
      <c r="T593" s="22" t="s">
        <v>37230</v>
      </c>
      <c r="U593" s="22" t="s">
        <v>144</v>
      </c>
    </row>
    <row r="594" spans="1:21" x14ac:dyDescent="0.75">
      <c r="A594" t="s">
        <v>360</v>
      </c>
      <c r="B594" t="s">
        <v>33572</v>
      </c>
      <c r="C594" t="s">
        <v>34157</v>
      </c>
      <c r="D594" t="s">
        <v>34156</v>
      </c>
      <c r="E594" t="s">
        <v>34155</v>
      </c>
      <c r="F594" t="s">
        <v>34154</v>
      </c>
      <c r="G594" t="s">
        <v>7224</v>
      </c>
      <c r="H594" t="s">
        <v>7225</v>
      </c>
      <c r="J594" t="s">
        <v>33567</v>
      </c>
      <c r="K594" t="s">
        <v>33566</v>
      </c>
      <c r="L594" t="s">
        <v>33575</v>
      </c>
      <c r="O594" t="s">
        <v>34578</v>
      </c>
      <c r="P594">
        <v>157692</v>
      </c>
      <c r="Q594" t="s">
        <v>34577</v>
      </c>
      <c r="R594" t="s">
        <v>34576</v>
      </c>
      <c r="T594" s="22" t="s">
        <v>361</v>
      </c>
      <c r="U594" s="22" t="s">
        <v>104</v>
      </c>
    </row>
    <row r="595" spans="1:21" x14ac:dyDescent="0.75">
      <c r="A595" t="s">
        <v>1428</v>
      </c>
      <c r="B595" t="s">
        <v>33572</v>
      </c>
      <c r="C595" t="s">
        <v>34157</v>
      </c>
      <c r="D595" t="s">
        <v>34156</v>
      </c>
      <c r="E595" t="s">
        <v>34155</v>
      </c>
      <c r="F595" t="s">
        <v>34154</v>
      </c>
      <c r="G595" t="s">
        <v>7224</v>
      </c>
      <c r="H595" t="s">
        <v>11466</v>
      </c>
      <c r="J595" t="s">
        <v>33617</v>
      </c>
      <c r="K595" t="s">
        <v>33566</v>
      </c>
      <c r="L595" t="s">
        <v>33575</v>
      </c>
      <c r="N595" t="s">
        <v>34575</v>
      </c>
      <c r="O595" t="s">
        <v>34574</v>
      </c>
      <c r="P595">
        <v>712357</v>
      </c>
      <c r="Q595" t="s">
        <v>34573</v>
      </c>
      <c r="R595" t="s">
        <v>34572</v>
      </c>
      <c r="T595" s="22" t="s">
        <v>37562</v>
      </c>
      <c r="U595" s="22" t="s">
        <v>104</v>
      </c>
    </row>
    <row r="596" spans="1:21" x14ac:dyDescent="0.75">
      <c r="A596" t="s">
        <v>1085</v>
      </c>
      <c r="B596" t="s">
        <v>33572</v>
      </c>
      <c r="C596" t="s">
        <v>34157</v>
      </c>
      <c r="D596" t="s">
        <v>34156</v>
      </c>
      <c r="E596" t="s">
        <v>34155</v>
      </c>
      <c r="F596" t="s">
        <v>34154</v>
      </c>
      <c r="G596" t="s">
        <v>7224</v>
      </c>
      <c r="H596" t="s">
        <v>9848</v>
      </c>
      <c r="J596" t="s">
        <v>33617</v>
      </c>
      <c r="K596" t="s">
        <v>33566</v>
      </c>
      <c r="L596" t="s">
        <v>33616</v>
      </c>
      <c r="N596" t="s">
        <v>34571</v>
      </c>
      <c r="O596" t="s">
        <v>34570</v>
      </c>
      <c r="P596">
        <v>712359</v>
      </c>
      <c r="Q596" t="s">
        <v>34569</v>
      </c>
      <c r="R596" t="s">
        <v>34568</v>
      </c>
      <c r="T596" s="22" t="s">
        <v>37563</v>
      </c>
      <c r="U596" s="22" t="s">
        <v>104</v>
      </c>
    </row>
    <row r="597" spans="1:21" x14ac:dyDescent="0.75">
      <c r="A597" t="s">
        <v>34567</v>
      </c>
      <c r="B597" t="s">
        <v>33572</v>
      </c>
      <c r="C597" t="s">
        <v>34157</v>
      </c>
      <c r="D597" t="s">
        <v>34156</v>
      </c>
      <c r="E597" t="s">
        <v>34155</v>
      </c>
      <c r="F597" t="s">
        <v>34154</v>
      </c>
      <c r="G597" t="s">
        <v>7224</v>
      </c>
      <c r="H597" t="s">
        <v>34566</v>
      </c>
      <c r="J597" t="s">
        <v>33577</v>
      </c>
      <c r="K597" t="s">
        <v>33576</v>
      </c>
      <c r="L597" t="s">
        <v>33609</v>
      </c>
      <c r="N597" t="s">
        <v>34565</v>
      </c>
      <c r="O597" t="s">
        <v>34564</v>
      </c>
      <c r="P597">
        <v>712360</v>
      </c>
      <c r="T597" s="22" t="s">
        <v>37564</v>
      </c>
      <c r="U597" s="22" t="s">
        <v>104</v>
      </c>
    </row>
    <row r="598" spans="1:21" x14ac:dyDescent="0.75">
      <c r="A598" t="s">
        <v>34563</v>
      </c>
      <c r="B598" t="s">
        <v>33572</v>
      </c>
      <c r="C598" t="s">
        <v>34157</v>
      </c>
      <c r="D598" t="s">
        <v>34156</v>
      </c>
      <c r="E598" t="s">
        <v>34155</v>
      </c>
      <c r="F598" t="s">
        <v>34154</v>
      </c>
      <c r="G598" t="s">
        <v>7224</v>
      </c>
      <c r="H598" t="s">
        <v>34562</v>
      </c>
      <c r="J598" t="s">
        <v>33577</v>
      </c>
      <c r="K598" t="s">
        <v>33576</v>
      </c>
      <c r="L598" t="s">
        <v>33575</v>
      </c>
      <c r="N598" t="s">
        <v>34561</v>
      </c>
      <c r="O598" t="s">
        <v>34560</v>
      </c>
      <c r="P598">
        <v>652714</v>
      </c>
      <c r="T598" s="22" t="s">
        <v>37565</v>
      </c>
      <c r="U598" s="22" t="s">
        <v>104</v>
      </c>
    </row>
    <row r="599" spans="1:21" x14ac:dyDescent="0.75">
      <c r="A599" t="s">
        <v>34559</v>
      </c>
      <c r="B599" t="s">
        <v>33572</v>
      </c>
      <c r="C599" t="s">
        <v>34157</v>
      </c>
      <c r="D599" t="s">
        <v>34156</v>
      </c>
      <c r="E599" t="s">
        <v>34155</v>
      </c>
      <c r="F599" t="s">
        <v>34154</v>
      </c>
      <c r="G599" t="s">
        <v>7224</v>
      </c>
      <c r="H599" t="s">
        <v>34558</v>
      </c>
      <c r="J599" t="s">
        <v>33577</v>
      </c>
      <c r="K599" t="s">
        <v>33576</v>
      </c>
      <c r="L599" t="s">
        <v>33575</v>
      </c>
      <c r="N599" t="s">
        <v>34557</v>
      </c>
      <c r="O599" t="s">
        <v>34556</v>
      </c>
      <c r="P599">
        <v>712364</v>
      </c>
      <c r="T599" s="22" t="s">
        <v>37566</v>
      </c>
      <c r="U599" s="22" t="s">
        <v>104</v>
      </c>
    </row>
    <row r="600" spans="1:21" x14ac:dyDescent="0.75">
      <c r="A600" t="s">
        <v>7971</v>
      </c>
      <c r="B600" t="s">
        <v>33572</v>
      </c>
      <c r="C600" t="s">
        <v>33571</v>
      </c>
      <c r="D600" t="s">
        <v>33570</v>
      </c>
      <c r="E600" t="s">
        <v>33907</v>
      </c>
      <c r="F600" t="s">
        <v>33906</v>
      </c>
      <c r="G600" t="s">
        <v>7972</v>
      </c>
      <c r="H600" t="s">
        <v>7973</v>
      </c>
      <c r="J600" t="s">
        <v>33567</v>
      </c>
      <c r="K600" t="s">
        <v>33566</v>
      </c>
      <c r="L600" t="s">
        <v>34083</v>
      </c>
      <c r="N600" t="s">
        <v>34555</v>
      </c>
      <c r="O600" t="s">
        <v>34554</v>
      </c>
      <c r="P600">
        <v>287</v>
      </c>
      <c r="Q600" t="s">
        <v>34553</v>
      </c>
      <c r="R600" t="s">
        <v>34552</v>
      </c>
      <c r="T600" s="22" t="s">
        <v>37233</v>
      </c>
      <c r="U600" s="22" t="s">
        <v>963</v>
      </c>
    </row>
    <row r="601" spans="1:21" x14ac:dyDescent="0.75">
      <c r="A601" t="s">
        <v>11458</v>
      </c>
      <c r="B601" t="s">
        <v>33572</v>
      </c>
      <c r="C601" t="s">
        <v>33571</v>
      </c>
      <c r="D601" t="s">
        <v>33570</v>
      </c>
      <c r="E601" t="s">
        <v>33907</v>
      </c>
      <c r="F601" t="s">
        <v>33906</v>
      </c>
      <c r="G601" t="s">
        <v>7972</v>
      </c>
      <c r="H601" t="s">
        <v>11459</v>
      </c>
      <c r="J601" t="s">
        <v>33567</v>
      </c>
      <c r="K601" t="s">
        <v>33566</v>
      </c>
      <c r="L601" t="s">
        <v>33916</v>
      </c>
      <c r="N601" t="s">
        <v>34551</v>
      </c>
      <c r="O601" t="s">
        <v>34550</v>
      </c>
      <c r="P601">
        <v>294</v>
      </c>
      <c r="Q601" t="s">
        <v>34549</v>
      </c>
      <c r="R601" t="s">
        <v>34548</v>
      </c>
      <c r="T601" s="22" t="s">
        <v>37232</v>
      </c>
      <c r="U601" s="22" t="s">
        <v>1563</v>
      </c>
    </row>
    <row r="602" spans="1:21" x14ac:dyDescent="0.75">
      <c r="A602" t="s">
        <v>13480</v>
      </c>
      <c r="B602" t="s">
        <v>33572</v>
      </c>
      <c r="C602" t="s">
        <v>33571</v>
      </c>
      <c r="D602" t="s">
        <v>33570</v>
      </c>
      <c r="E602" t="s">
        <v>33907</v>
      </c>
      <c r="F602" t="s">
        <v>33906</v>
      </c>
      <c r="G602" t="s">
        <v>7972</v>
      </c>
      <c r="H602" t="s">
        <v>13481</v>
      </c>
      <c r="J602" t="s">
        <v>33567</v>
      </c>
      <c r="K602" t="s">
        <v>33566</v>
      </c>
      <c r="L602" t="s">
        <v>34547</v>
      </c>
      <c r="O602" t="s">
        <v>34181</v>
      </c>
      <c r="P602">
        <v>47886</v>
      </c>
      <c r="Q602" t="s">
        <v>34546</v>
      </c>
      <c r="R602" t="s">
        <v>34545</v>
      </c>
      <c r="T602" s="22" t="s">
        <v>37231</v>
      </c>
      <c r="U602" s="22" t="s">
        <v>144</v>
      </c>
    </row>
    <row r="603" spans="1:21" x14ac:dyDescent="0.75">
      <c r="A603" t="s">
        <v>8863</v>
      </c>
      <c r="B603" t="s">
        <v>33572</v>
      </c>
      <c r="C603" t="s">
        <v>33571</v>
      </c>
      <c r="D603" t="s">
        <v>33570</v>
      </c>
      <c r="E603" t="s">
        <v>33907</v>
      </c>
      <c r="F603" t="s">
        <v>33906</v>
      </c>
      <c r="G603" t="s">
        <v>7972</v>
      </c>
      <c r="H603" t="s">
        <v>8864</v>
      </c>
      <c r="J603" t="s">
        <v>33567</v>
      </c>
      <c r="K603" t="s">
        <v>33566</v>
      </c>
      <c r="L603" t="s">
        <v>33651</v>
      </c>
      <c r="N603" t="s">
        <v>34544</v>
      </c>
      <c r="O603" t="s">
        <v>34181</v>
      </c>
      <c r="P603">
        <v>330</v>
      </c>
      <c r="Q603" t="s">
        <v>34543</v>
      </c>
      <c r="R603" t="s">
        <v>34542</v>
      </c>
      <c r="T603" s="22" t="s">
        <v>37235</v>
      </c>
      <c r="U603" s="22" t="s">
        <v>144</v>
      </c>
    </row>
    <row r="604" spans="1:21" x14ac:dyDescent="0.75">
      <c r="A604" t="s">
        <v>17024</v>
      </c>
      <c r="B604" t="s">
        <v>33572</v>
      </c>
      <c r="C604" t="s">
        <v>33571</v>
      </c>
      <c r="D604" t="s">
        <v>33570</v>
      </c>
      <c r="E604" t="s">
        <v>33907</v>
      </c>
      <c r="F604" t="s">
        <v>33906</v>
      </c>
      <c r="G604" t="s">
        <v>7972</v>
      </c>
      <c r="H604" t="s">
        <v>8856</v>
      </c>
      <c r="J604" t="s">
        <v>33567</v>
      </c>
      <c r="K604" t="s">
        <v>33566</v>
      </c>
      <c r="L604" t="s">
        <v>34124</v>
      </c>
      <c r="N604" t="s">
        <v>34541</v>
      </c>
      <c r="O604" t="s">
        <v>34181</v>
      </c>
      <c r="P604">
        <v>319939</v>
      </c>
      <c r="Q604" t="s">
        <v>34540</v>
      </c>
      <c r="R604" t="s">
        <v>34539</v>
      </c>
      <c r="T604" s="22" t="s">
        <v>37234</v>
      </c>
      <c r="U604" s="22" t="s">
        <v>36805</v>
      </c>
    </row>
    <row r="605" spans="1:21" x14ac:dyDescent="0.75">
      <c r="A605" t="s">
        <v>34538</v>
      </c>
      <c r="B605" t="s">
        <v>33572</v>
      </c>
      <c r="C605" t="s">
        <v>33571</v>
      </c>
      <c r="D605" t="s">
        <v>33570</v>
      </c>
      <c r="E605" t="s">
        <v>33907</v>
      </c>
      <c r="F605" t="s">
        <v>33906</v>
      </c>
      <c r="G605" t="s">
        <v>7972</v>
      </c>
      <c r="H605" t="s">
        <v>34537</v>
      </c>
      <c r="J605" t="s">
        <v>33577</v>
      </c>
      <c r="K605" t="s">
        <v>33576</v>
      </c>
      <c r="L605" t="s">
        <v>33651</v>
      </c>
      <c r="N605" t="s">
        <v>34536</v>
      </c>
      <c r="O605" t="s">
        <v>34535</v>
      </c>
      <c r="P605">
        <v>712508</v>
      </c>
      <c r="T605" s="22" t="s">
        <v>37567</v>
      </c>
      <c r="U605" s="22" t="s">
        <v>144</v>
      </c>
    </row>
    <row r="606" spans="1:21" x14ac:dyDescent="0.75">
      <c r="A606" t="s">
        <v>7411</v>
      </c>
      <c r="B606" t="s">
        <v>33572</v>
      </c>
      <c r="C606" t="s">
        <v>33606</v>
      </c>
      <c r="D606" t="s">
        <v>33663</v>
      </c>
      <c r="E606" t="s">
        <v>33900</v>
      </c>
      <c r="F606" t="s">
        <v>34534</v>
      </c>
      <c r="G606" t="s">
        <v>7412</v>
      </c>
      <c r="H606" t="s">
        <v>7413</v>
      </c>
      <c r="J606" t="s">
        <v>33567</v>
      </c>
      <c r="K606" t="s">
        <v>33566</v>
      </c>
      <c r="L606" t="s">
        <v>33587</v>
      </c>
      <c r="N606" t="s">
        <v>34533</v>
      </c>
      <c r="O606" t="s">
        <v>34532</v>
      </c>
      <c r="P606">
        <v>113287</v>
      </c>
      <c r="Q606" t="s">
        <v>34531</v>
      </c>
      <c r="R606" t="s">
        <v>34530</v>
      </c>
      <c r="T606" s="22" t="s">
        <v>37236</v>
      </c>
      <c r="U606" s="22" t="s">
        <v>104</v>
      </c>
    </row>
    <row r="607" spans="1:21" x14ac:dyDescent="0.75">
      <c r="A607" t="s">
        <v>7256</v>
      </c>
      <c r="B607" t="s">
        <v>33572</v>
      </c>
      <c r="C607" t="s">
        <v>34529</v>
      </c>
      <c r="D607" t="s">
        <v>34528</v>
      </c>
      <c r="E607" t="s">
        <v>34527</v>
      </c>
      <c r="F607" t="s">
        <v>34526</v>
      </c>
      <c r="G607" t="s">
        <v>7257</v>
      </c>
      <c r="H607" t="s">
        <v>7258</v>
      </c>
      <c r="J607" t="s">
        <v>33567</v>
      </c>
      <c r="K607" t="s">
        <v>33566</v>
      </c>
      <c r="L607" t="s">
        <v>33587</v>
      </c>
      <c r="M607" t="s">
        <v>7259</v>
      </c>
      <c r="N607" t="s">
        <v>34525</v>
      </c>
      <c r="O607" t="s">
        <v>34524</v>
      </c>
      <c r="P607">
        <v>638849</v>
      </c>
      <c r="Q607" t="s">
        <v>34523</v>
      </c>
      <c r="R607" t="s">
        <v>34522</v>
      </c>
      <c r="T607" s="22" t="s">
        <v>37237</v>
      </c>
      <c r="U607" s="22" t="s">
        <v>104</v>
      </c>
    </row>
    <row r="608" spans="1:21" x14ac:dyDescent="0.75">
      <c r="A608" t="s">
        <v>10559</v>
      </c>
      <c r="B608" t="s">
        <v>33572</v>
      </c>
      <c r="C608" t="s">
        <v>33571</v>
      </c>
      <c r="D608" t="s">
        <v>33654</v>
      </c>
      <c r="E608" t="s">
        <v>33653</v>
      </c>
      <c r="F608" t="s">
        <v>34515</v>
      </c>
      <c r="G608" t="s">
        <v>10560</v>
      </c>
      <c r="H608" t="s">
        <v>10561</v>
      </c>
      <c r="J608" t="s">
        <v>33567</v>
      </c>
      <c r="K608" t="s">
        <v>33566</v>
      </c>
      <c r="L608" t="s">
        <v>33587</v>
      </c>
      <c r="M608" t="s">
        <v>34521</v>
      </c>
      <c r="N608" t="s">
        <v>34520</v>
      </c>
      <c r="O608" t="s">
        <v>34519</v>
      </c>
      <c r="P608">
        <v>329</v>
      </c>
      <c r="Q608" t="s">
        <v>34518</v>
      </c>
      <c r="R608" t="s">
        <v>34517</v>
      </c>
      <c r="T608" s="22" t="s">
        <v>37238</v>
      </c>
      <c r="U608" s="22" t="s">
        <v>104</v>
      </c>
    </row>
    <row r="609" spans="1:21" x14ac:dyDescent="0.75">
      <c r="A609" t="s">
        <v>34516</v>
      </c>
      <c r="B609" t="s">
        <v>33572</v>
      </c>
      <c r="C609" t="s">
        <v>33571</v>
      </c>
      <c r="D609" t="s">
        <v>33654</v>
      </c>
      <c r="E609" t="s">
        <v>33653</v>
      </c>
      <c r="F609" t="s">
        <v>34515</v>
      </c>
      <c r="G609" t="s">
        <v>10560</v>
      </c>
      <c r="H609" t="s">
        <v>34514</v>
      </c>
      <c r="J609" t="s">
        <v>33577</v>
      </c>
      <c r="K609" t="s">
        <v>33576</v>
      </c>
      <c r="L609" t="s">
        <v>33575</v>
      </c>
      <c r="N609" t="s">
        <v>34513</v>
      </c>
      <c r="O609" t="s">
        <v>34512</v>
      </c>
      <c r="P609">
        <v>48736</v>
      </c>
      <c r="T609" s="22" t="s">
        <v>37568</v>
      </c>
      <c r="U609" s="22" t="s">
        <v>104</v>
      </c>
    </row>
    <row r="610" spans="1:21" x14ac:dyDescent="0.75">
      <c r="A610" t="s">
        <v>6385</v>
      </c>
      <c r="B610" t="s">
        <v>33572</v>
      </c>
      <c r="C610" t="s">
        <v>33571</v>
      </c>
      <c r="D610" t="s">
        <v>34135</v>
      </c>
      <c r="E610" t="s">
        <v>34511</v>
      </c>
      <c r="F610" t="s">
        <v>34510</v>
      </c>
      <c r="G610" t="s">
        <v>6386</v>
      </c>
      <c r="H610" t="s">
        <v>6387</v>
      </c>
      <c r="J610" t="s">
        <v>33567</v>
      </c>
      <c r="K610" t="s">
        <v>33566</v>
      </c>
      <c r="L610" t="s">
        <v>33651</v>
      </c>
      <c r="M610" t="s">
        <v>34509</v>
      </c>
      <c r="N610" t="s">
        <v>34508</v>
      </c>
      <c r="O610" t="s">
        <v>34507</v>
      </c>
      <c r="P610">
        <v>1061</v>
      </c>
      <c r="Q610" t="s">
        <v>34506</v>
      </c>
      <c r="R610" t="s">
        <v>34505</v>
      </c>
      <c r="T610" s="22" t="s">
        <v>37239</v>
      </c>
      <c r="U610" s="22" t="s">
        <v>144</v>
      </c>
    </row>
    <row r="611" spans="1:21" x14ac:dyDescent="0.75">
      <c r="A611" t="s">
        <v>34504</v>
      </c>
      <c r="B611" t="s">
        <v>33572</v>
      </c>
      <c r="C611" t="s">
        <v>33583</v>
      </c>
      <c r="D611" t="s">
        <v>33582</v>
      </c>
      <c r="E611" t="s">
        <v>33581</v>
      </c>
      <c r="F611" t="s">
        <v>33580</v>
      </c>
      <c r="G611" t="s">
        <v>34503</v>
      </c>
      <c r="H611" t="s">
        <v>34502</v>
      </c>
      <c r="J611" t="s">
        <v>33577</v>
      </c>
      <c r="K611" t="s">
        <v>33576</v>
      </c>
      <c r="L611" t="s">
        <v>33616</v>
      </c>
      <c r="N611" t="s">
        <v>34501</v>
      </c>
      <c r="O611" t="s">
        <v>34500</v>
      </c>
      <c r="P611">
        <v>34084</v>
      </c>
      <c r="T611" s="22" t="s">
        <v>37569</v>
      </c>
      <c r="U611" s="22" t="s">
        <v>104</v>
      </c>
    </row>
    <row r="612" spans="1:21" x14ac:dyDescent="0.75">
      <c r="A612" t="s">
        <v>23006</v>
      </c>
      <c r="B612" t="s">
        <v>33572</v>
      </c>
      <c r="C612" t="s">
        <v>33571</v>
      </c>
      <c r="D612" t="s">
        <v>34135</v>
      </c>
      <c r="E612" t="s">
        <v>34498</v>
      </c>
      <c r="F612" t="s">
        <v>34497</v>
      </c>
      <c r="G612" t="s">
        <v>8792</v>
      </c>
      <c r="H612" t="s">
        <v>11502</v>
      </c>
      <c r="J612" t="s">
        <v>33567</v>
      </c>
      <c r="K612" t="s">
        <v>33566</v>
      </c>
      <c r="L612" t="s">
        <v>33651</v>
      </c>
      <c r="O612" t="s">
        <v>34181</v>
      </c>
      <c r="P612">
        <v>257708</v>
      </c>
      <c r="Q612" t="s">
        <v>23005</v>
      </c>
      <c r="R612" t="s">
        <v>34499</v>
      </c>
      <c r="T612" s="22" t="s">
        <v>37241</v>
      </c>
      <c r="U612" s="22" t="s">
        <v>144</v>
      </c>
    </row>
    <row r="613" spans="1:21" x14ac:dyDescent="0.75">
      <c r="A613" t="s">
        <v>8791</v>
      </c>
      <c r="B613" t="s">
        <v>33572</v>
      </c>
      <c r="C613" t="s">
        <v>33571</v>
      </c>
      <c r="D613" t="s">
        <v>34135</v>
      </c>
      <c r="E613" t="s">
        <v>34498</v>
      </c>
      <c r="F613" t="s">
        <v>34497</v>
      </c>
      <c r="G613" t="s">
        <v>8792</v>
      </c>
      <c r="H613" t="s">
        <v>7120</v>
      </c>
      <c r="J613" t="s">
        <v>33567</v>
      </c>
      <c r="K613" t="s">
        <v>33566</v>
      </c>
      <c r="L613" t="s">
        <v>33659</v>
      </c>
      <c r="O613" t="s">
        <v>34181</v>
      </c>
      <c r="P613">
        <v>207340</v>
      </c>
      <c r="Q613" t="s">
        <v>34496</v>
      </c>
      <c r="R613" t="s">
        <v>34495</v>
      </c>
      <c r="T613" s="22" t="s">
        <v>37240</v>
      </c>
      <c r="U613" s="22" t="s">
        <v>1563</v>
      </c>
    </row>
    <row r="614" spans="1:21" x14ac:dyDescent="0.75">
      <c r="A614" t="s">
        <v>8552</v>
      </c>
      <c r="B614" t="s">
        <v>33572</v>
      </c>
      <c r="C614" t="s">
        <v>34169</v>
      </c>
      <c r="D614" t="s">
        <v>34355</v>
      </c>
      <c r="E614" t="s">
        <v>34409</v>
      </c>
      <c r="F614" t="s">
        <v>34483</v>
      </c>
      <c r="G614" t="s">
        <v>6227</v>
      </c>
      <c r="H614" t="s">
        <v>8553</v>
      </c>
      <c r="J614" t="s">
        <v>33567</v>
      </c>
      <c r="K614" t="s">
        <v>33566</v>
      </c>
      <c r="L614" t="s">
        <v>33616</v>
      </c>
      <c r="N614" t="s">
        <v>34494</v>
      </c>
      <c r="O614" t="s">
        <v>34493</v>
      </c>
      <c r="P614">
        <v>172042</v>
      </c>
      <c r="Q614" t="s">
        <v>34492</v>
      </c>
      <c r="R614" t="s">
        <v>34491</v>
      </c>
      <c r="T614" s="22" t="s">
        <v>37244</v>
      </c>
      <c r="U614" s="22" t="s">
        <v>104</v>
      </c>
    </row>
    <row r="615" spans="1:21" x14ac:dyDescent="0.75">
      <c r="A615" t="s">
        <v>6569</v>
      </c>
      <c r="B615" t="s">
        <v>33572</v>
      </c>
      <c r="C615" t="s">
        <v>34169</v>
      </c>
      <c r="D615" t="s">
        <v>34355</v>
      </c>
      <c r="E615" t="s">
        <v>34409</v>
      </c>
      <c r="F615" t="s">
        <v>34483</v>
      </c>
      <c r="G615" t="s">
        <v>6227</v>
      </c>
      <c r="H615" t="s">
        <v>6570</v>
      </c>
      <c r="J615" t="s">
        <v>33567</v>
      </c>
      <c r="K615" t="s">
        <v>33566</v>
      </c>
      <c r="L615" t="s">
        <v>33616</v>
      </c>
      <c r="N615" t="s">
        <v>34490</v>
      </c>
      <c r="O615" t="s">
        <v>34489</v>
      </c>
      <c r="P615">
        <v>2047</v>
      </c>
      <c r="Q615" t="s">
        <v>34488</v>
      </c>
      <c r="R615" t="s">
        <v>34487</v>
      </c>
      <c r="T615" s="22" t="s">
        <v>37242</v>
      </c>
      <c r="U615" s="22" t="s">
        <v>104</v>
      </c>
    </row>
    <row r="616" spans="1:21" x14ac:dyDescent="0.75">
      <c r="A616" t="s">
        <v>11100</v>
      </c>
      <c r="B616" t="s">
        <v>33572</v>
      </c>
      <c r="C616" t="s">
        <v>34169</v>
      </c>
      <c r="D616" t="s">
        <v>34355</v>
      </c>
      <c r="E616" t="s">
        <v>34409</v>
      </c>
      <c r="F616" t="s">
        <v>34483</v>
      </c>
      <c r="G616" t="s">
        <v>6227</v>
      </c>
      <c r="H616" t="s">
        <v>34482</v>
      </c>
      <c r="I616" t="s">
        <v>34486</v>
      </c>
      <c r="J616" t="s">
        <v>33567</v>
      </c>
      <c r="K616" t="s">
        <v>33566</v>
      </c>
      <c r="L616" t="s">
        <v>33609</v>
      </c>
      <c r="P616">
        <v>0</v>
      </c>
      <c r="Q616" t="s">
        <v>34485</v>
      </c>
      <c r="R616" t="s">
        <v>34484</v>
      </c>
      <c r="T616" s="22" t="s">
        <v>2966</v>
      </c>
      <c r="U616" s="22" t="s">
        <v>104</v>
      </c>
    </row>
    <row r="617" spans="1:21" x14ac:dyDescent="0.75">
      <c r="A617" t="s">
        <v>2965</v>
      </c>
      <c r="B617" t="s">
        <v>33572</v>
      </c>
      <c r="C617" t="s">
        <v>34169</v>
      </c>
      <c r="D617" t="s">
        <v>34355</v>
      </c>
      <c r="E617" t="s">
        <v>34409</v>
      </c>
      <c r="F617" t="s">
        <v>34483</v>
      </c>
      <c r="G617" t="s">
        <v>6227</v>
      </c>
      <c r="H617" t="s">
        <v>34482</v>
      </c>
      <c r="I617" t="s">
        <v>34481</v>
      </c>
      <c r="J617" t="s">
        <v>33567</v>
      </c>
      <c r="K617" t="s">
        <v>33566</v>
      </c>
      <c r="L617" t="s">
        <v>33616</v>
      </c>
      <c r="M617" t="s">
        <v>34480</v>
      </c>
      <c r="N617" t="s">
        <v>34479</v>
      </c>
      <c r="O617" t="s">
        <v>34478</v>
      </c>
      <c r="P617">
        <v>43675</v>
      </c>
      <c r="Q617" t="s">
        <v>34477</v>
      </c>
      <c r="R617" t="s">
        <v>34476</v>
      </c>
      <c r="T617" s="22" t="s">
        <v>2966</v>
      </c>
      <c r="U617" s="22" t="s">
        <v>104</v>
      </c>
    </row>
    <row r="618" spans="1:21" x14ac:dyDescent="0.75">
      <c r="A618" t="s">
        <v>34475</v>
      </c>
      <c r="B618" t="s">
        <v>33572</v>
      </c>
      <c r="C618" t="s">
        <v>33606</v>
      </c>
      <c r="D618" t="s">
        <v>33663</v>
      </c>
      <c r="E618" t="s">
        <v>33900</v>
      </c>
      <c r="F618" t="s">
        <v>34460</v>
      </c>
      <c r="G618" t="s">
        <v>34474</v>
      </c>
      <c r="H618" t="s">
        <v>34473</v>
      </c>
      <c r="J618" t="s">
        <v>33577</v>
      </c>
      <c r="K618" t="s">
        <v>33576</v>
      </c>
      <c r="L618" t="s">
        <v>33616</v>
      </c>
      <c r="N618" t="s">
        <v>34472</v>
      </c>
      <c r="O618" t="s">
        <v>34471</v>
      </c>
      <c r="P618">
        <v>216572</v>
      </c>
      <c r="T618" s="22" t="s">
        <v>37570</v>
      </c>
      <c r="U618" s="22" t="s">
        <v>104</v>
      </c>
    </row>
    <row r="619" spans="1:21" x14ac:dyDescent="0.75">
      <c r="A619" t="s">
        <v>34470</v>
      </c>
      <c r="B619" t="s">
        <v>33572</v>
      </c>
      <c r="C619" t="s">
        <v>33606</v>
      </c>
      <c r="D619" t="s">
        <v>33663</v>
      </c>
      <c r="E619" t="s">
        <v>33900</v>
      </c>
      <c r="F619" t="s">
        <v>34460</v>
      </c>
      <c r="G619" t="s">
        <v>34469</v>
      </c>
      <c r="H619" t="s">
        <v>34468</v>
      </c>
      <c r="J619" t="s">
        <v>33577</v>
      </c>
      <c r="K619" t="s">
        <v>33576</v>
      </c>
      <c r="L619" t="s">
        <v>33575</v>
      </c>
      <c r="N619" t="s">
        <v>34467</v>
      </c>
      <c r="O619" t="s">
        <v>34466</v>
      </c>
      <c r="P619">
        <v>216572</v>
      </c>
      <c r="T619" s="22" t="s">
        <v>37571</v>
      </c>
      <c r="U619" s="22" t="s">
        <v>104</v>
      </c>
    </row>
    <row r="620" spans="1:21" x14ac:dyDescent="0.75">
      <c r="A620" t="s">
        <v>34465</v>
      </c>
      <c r="B620" t="s">
        <v>33572</v>
      </c>
      <c r="C620" t="s">
        <v>33606</v>
      </c>
      <c r="D620" t="s">
        <v>33663</v>
      </c>
      <c r="E620" t="s">
        <v>33900</v>
      </c>
      <c r="F620" t="s">
        <v>34460</v>
      </c>
      <c r="G620" t="s">
        <v>34459</v>
      </c>
      <c r="H620" t="s">
        <v>34464</v>
      </c>
      <c r="J620" t="s">
        <v>33577</v>
      </c>
      <c r="K620" t="s">
        <v>33576</v>
      </c>
      <c r="L620" t="s">
        <v>33587</v>
      </c>
      <c r="N620" t="s">
        <v>34463</v>
      </c>
      <c r="O620" t="s">
        <v>34462</v>
      </c>
      <c r="P620">
        <v>216572</v>
      </c>
      <c r="T620" s="22" t="s">
        <v>37572</v>
      </c>
      <c r="U620" s="22" t="s">
        <v>104</v>
      </c>
    </row>
    <row r="621" spans="1:21" x14ac:dyDescent="0.75">
      <c r="A621" t="s">
        <v>34461</v>
      </c>
      <c r="B621" t="s">
        <v>33572</v>
      </c>
      <c r="C621" t="s">
        <v>33606</v>
      </c>
      <c r="D621" t="s">
        <v>33663</v>
      </c>
      <c r="E621" t="s">
        <v>33900</v>
      </c>
      <c r="F621" t="s">
        <v>34460</v>
      </c>
      <c r="G621" t="s">
        <v>34459</v>
      </c>
      <c r="H621" t="s">
        <v>34458</v>
      </c>
      <c r="J621" t="s">
        <v>33577</v>
      </c>
      <c r="K621" t="s">
        <v>33576</v>
      </c>
      <c r="L621" t="s">
        <v>33659</v>
      </c>
      <c r="N621" t="s">
        <v>34457</v>
      </c>
      <c r="O621" t="s">
        <v>34456</v>
      </c>
      <c r="P621">
        <v>216572</v>
      </c>
      <c r="T621" s="22" t="s">
        <v>37573</v>
      </c>
      <c r="U621" s="22" t="s">
        <v>1563</v>
      </c>
    </row>
    <row r="622" spans="1:21" x14ac:dyDescent="0.75">
      <c r="A622" t="s">
        <v>17158</v>
      </c>
      <c r="B622" t="s">
        <v>33572</v>
      </c>
      <c r="C622" t="s">
        <v>34416</v>
      </c>
      <c r="D622" t="s">
        <v>34415</v>
      </c>
      <c r="E622" t="s">
        <v>34414</v>
      </c>
      <c r="F622" t="s">
        <v>34455</v>
      </c>
      <c r="G622" t="s">
        <v>17159</v>
      </c>
      <c r="H622" t="s">
        <v>17160</v>
      </c>
      <c r="J622" t="s">
        <v>33577</v>
      </c>
      <c r="K622" t="s">
        <v>33576</v>
      </c>
      <c r="L622" t="s">
        <v>33575</v>
      </c>
      <c r="N622" t="s">
        <v>34454</v>
      </c>
      <c r="O622" t="s">
        <v>34453</v>
      </c>
      <c r="P622">
        <v>713052</v>
      </c>
      <c r="Q622" t="s">
        <v>17157</v>
      </c>
      <c r="R622" t="s">
        <v>34452</v>
      </c>
      <c r="T622" s="22" t="s">
        <v>37574</v>
      </c>
      <c r="U622" s="22" t="s">
        <v>104</v>
      </c>
    </row>
    <row r="623" spans="1:21" x14ac:dyDescent="0.75">
      <c r="A623" t="s">
        <v>9692</v>
      </c>
      <c r="B623" t="s">
        <v>33572</v>
      </c>
      <c r="C623" t="s">
        <v>34416</v>
      </c>
      <c r="D623" t="s">
        <v>34415</v>
      </c>
      <c r="E623" t="s">
        <v>34414</v>
      </c>
      <c r="F623" t="s">
        <v>34439</v>
      </c>
      <c r="G623" t="s">
        <v>9693</v>
      </c>
      <c r="H623" t="s">
        <v>9694</v>
      </c>
      <c r="J623" t="s">
        <v>33577</v>
      </c>
      <c r="K623" t="s">
        <v>33576</v>
      </c>
      <c r="L623" t="s">
        <v>34437</v>
      </c>
      <c r="O623" t="s">
        <v>34410</v>
      </c>
      <c r="P623">
        <v>1895827</v>
      </c>
      <c r="Q623" t="s">
        <v>9691</v>
      </c>
      <c r="R623" t="s">
        <v>34451</v>
      </c>
      <c r="T623" s="22" t="s">
        <v>37575</v>
      </c>
      <c r="U623" s="22" t="s">
        <v>686</v>
      </c>
    </row>
    <row r="624" spans="1:21" x14ac:dyDescent="0.75">
      <c r="A624" t="s">
        <v>10065</v>
      </c>
      <c r="B624" t="s">
        <v>33572</v>
      </c>
      <c r="C624" t="s">
        <v>34416</v>
      </c>
      <c r="D624" t="s">
        <v>34415</v>
      </c>
      <c r="E624" t="s">
        <v>34414</v>
      </c>
      <c r="F624" t="s">
        <v>34439</v>
      </c>
      <c r="G624" t="s">
        <v>9693</v>
      </c>
      <c r="H624" t="s">
        <v>10066</v>
      </c>
      <c r="J624" t="s">
        <v>33577</v>
      </c>
      <c r="K624" t="s">
        <v>33576</v>
      </c>
      <c r="L624" t="s">
        <v>34437</v>
      </c>
      <c r="O624" t="s">
        <v>34410</v>
      </c>
      <c r="P624">
        <v>1895827</v>
      </c>
      <c r="Q624" t="s">
        <v>10064</v>
      </c>
      <c r="R624" t="s">
        <v>34450</v>
      </c>
      <c r="T624" s="22" t="s">
        <v>37576</v>
      </c>
      <c r="U624" s="22" t="s">
        <v>686</v>
      </c>
    </row>
    <row r="625" spans="1:21" x14ac:dyDescent="0.75">
      <c r="A625" t="s">
        <v>34449</v>
      </c>
      <c r="B625" t="s">
        <v>33572</v>
      </c>
      <c r="C625" t="s">
        <v>34416</v>
      </c>
      <c r="D625" t="s">
        <v>34415</v>
      </c>
      <c r="E625" t="s">
        <v>34414</v>
      </c>
      <c r="F625" t="s">
        <v>34448</v>
      </c>
      <c r="G625" t="s">
        <v>34447</v>
      </c>
      <c r="H625" t="s">
        <v>34446</v>
      </c>
      <c r="J625" t="s">
        <v>33577</v>
      </c>
      <c r="K625" t="s">
        <v>33576</v>
      </c>
      <c r="L625" t="s">
        <v>33609</v>
      </c>
      <c r="N625" t="s">
        <v>34445</v>
      </c>
      <c r="O625" t="s">
        <v>34444</v>
      </c>
      <c r="P625">
        <v>713056</v>
      </c>
      <c r="T625" s="22" t="s">
        <v>37577</v>
      </c>
      <c r="U625" s="22" t="s">
        <v>104</v>
      </c>
    </row>
    <row r="626" spans="1:21" x14ac:dyDescent="0.75">
      <c r="A626" t="s">
        <v>34443</v>
      </c>
      <c r="B626" t="s">
        <v>33572</v>
      </c>
      <c r="C626" t="s">
        <v>34416</v>
      </c>
      <c r="D626" t="s">
        <v>34415</v>
      </c>
      <c r="E626" t="s">
        <v>34414</v>
      </c>
      <c r="F626" t="s">
        <v>34442</v>
      </c>
      <c r="G626" t="s">
        <v>34441</v>
      </c>
      <c r="H626" t="s">
        <v>34440</v>
      </c>
      <c r="J626" t="s">
        <v>33577</v>
      </c>
      <c r="K626" t="s">
        <v>33576</v>
      </c>
      <c r="L626" t="s">
        <v>33587</v>
      </c>
      <c r="O626" t="s">
        <v>34410</v>
      </c>
      <c r="P626">
        <v>1895827</v>
      </c>
      <c r="T626" s="22" t="s">
        <v>37578</v>
      </c>
      <c r="U626" s="22" t="s">
        <v>104</v>
      </c>
    </row>
    <row r="627" spans="1:21" x14ac:dyDescent="0.75">
      <c r="A627" t="s">
        <v>18625</v>
      </c>
      <c r="B627" t="s">
        <v>33572</v>
      </c>
      <c r="C627" t="s">
        <v>34416</v>
      </c>
      <c r="D627" t="s">
        <v>34415</v>
      </c>
      <c r="E627" t="s">
        <v>34414</v>
      </c>
      <c r="F627" t="s">
        <v>34439</v>
      </c>
      <c r="G627" t="s">
        <v>18626</v>
      </c>
      <c r="H627" t="s">
        <v>18627</v>
      </c>
      <c r="J627" t="s">
        <v>33617</v>
      </c>
      <c r="K627" t="s">
        <v>34419</v>
      </c>
      <c r="L627" t="s">
        <v>33620</v>
      </c>
      <c r="P627">
        <v>0</v>
      </c>
      <c r="Q627" t="s">
        <v>18624</v>
      </c>
      <c r="R627" t="s">
        <v>34438</v>
      </c>
      <c r="T627" s="22" t="s">
        <v>37579</v>
      </c>
      <c r="U627" s="22" t="s">
        <v>104</v>
      </c>
    </row>
    <row r="628" spans="1:21" x14ac:dyDescent="0.75">
      <c r="A628" t="s">
        <v>9420</v>
      </c>
      <c r="B628" t="s">
        <v>33572</v>
      </c>
      <c r="C628" t="s">
        <v>34416</v>
      </c>
      <c r="D628" t="s">
        <v>34415</v>
      </c>
      <c r="E628" t="s">
        <v>34414</v>
      </c>
      <c r="F628" t="s">
        <v>34413</v>
      </c>
      <c r="G628" t="s">
        <v>9421</v>
      </c>
      <c r="H628" t="s">
        <v>9422</v>
      </c>
      <c r="J628" t="s">
        <v>34030</v>
      </c>
      <c r="K628" t="s">
        <v>34419</v>
      </c>
      <c r="L628" t="s">
        <v>34437</v>
      </c>
      <c r="O628" t="s">
        <v>34410</v>
      </c>
      <c r="P628">
        <v>1332188</v>
      </c>
      <c r="Q628" t="s">
        <v>9419</v>
      </c>
      <c r="R628" t="s">
        <v>34436</v>
      </c>
      <c r="T628" s="22" t="s">
        <v>37253</v>
      </c>
      <c r="U628" s="22" t="s">
        <v>686</v>
      </c>
    </row>
    <row r="629" spans="1:21" x14ac:dyDescent="0.75">
      <c r="A629" t="s">
        <v>16744</v>
      </c>
      <c r="B629" t="s">
        <v>33572</v>
      </c>
      <c r="C629" t="s">
        <v>34416</v>
      </c>
      <c r="D629" t="s">
        <v>34415</v>
      </c>
      <c r="E629" t="s">
        <v>34414</v>
      </c>
      <c r="F629" t="s">
        <v>34413</v>
      </c>
      <c r="G629" t="s">
        <v>9421</v>
      </c>
      <c r="H629" t="s">
        <v>16745</v>
      </c>
      <c r="J629" t="s">
        <v>33617</v>
      </c>
      <c r="K629" t="s">
        <v>34419</v>
      </c>
      <c r="L629" t="s">
        <v>33587</v>
      </c>
      <c r="O629" t="s">
        <v>34410</v>
      </c>
      <c r="P629">
        <v>1895827</v>
      </c>
      <c r="Q629" t="s">
        <v>34435</v>
      </c>
      <c r="R629" t="s">
        <v>34434</v>
      </c>
      <c r="T629" s="22" t="s">
        <v>37249</v>
      </c>
      <c r="U629" s="22" t="s">
        <v>104</v>
      </c>
    </row>
    <row r="630" spans="1:21" x14ac:dyDescent="0.75">
      <c r="A630" t="s">
        <v>16540</v>
      </c>
      <c r="B630" t="s">
        <v>33572</v>
      </c>
      <c r="C630" t="s">
        <v>34416</v>
      </c>
      <c r="D630" t="s">
        <v>34415</v>
      </c>
      <c r="E630" t="s">
        <v>34414</v>
      </c>
      <c r="F630" t="s">
        <v>34413</v>
      </c>
      <c r="G630" t="s">
        <v>9421</v>
      </c>
      <c r="H630" t="s">
        <v>16541</v>
      </c>
      <c r="J630" t="s">
        <v>33577</v>
      </c>
      <c r="K630" t="s">
        <v>33576</v>
      </c>
      <c r="L630" t="s">
        <v>33616</v>
      </c>
      <c r="N630" t="s">
        <v>34433</v>
      </c>
      <c r="O630" t="s">
        <v>34432</v>
      </c>
      <c r="P630">
        <v>713049</v>
      </c>
      <c r="Q630" t="s">
        <v>34431</v>
      </c>
      <c r="R630" t="s">
        <v>34430</v>
      </c>
      <c r="T630" s="22" t="s">
        <v>37580</v>
      </c>
      <c r="U630" s="22" t="s">
        <v>104</v>
      </c>
    </row>
    <row r="631" spans="1:21" x14ac:dyDescent="0.75">
      <c r="A631" t="s">
        <v>34429</v>
      </c>
      <c r="B631" t="s">
        <v>33572</v>
      </c>
      <c r="C631" t="s">
        <v>34416</v>
      </c>
      <c r="D631" t="s">
        <v>34415</v>
      </c>
      <c r="E631" t="s">
        <v>34414</v>
      </c>
      <c r="F631" t="s">
        <v>34413</v>
      </c>
      <c r="G631" t="s">
        <v>9421</v>
      </c>
      <c r="H631" t="s">
        <v>34428</v>
      </c>
      <c r="J631" t="s">
        <v>33577</v>
      </c>
      <c r="K631" t="s">
        <v>33576</v>
      </c>
      <c r="L631" t="s">
        <v>33575</v>
      </c>
      <c r="N631" t="s">
        <v>34427</v>
      </c>
      <c r="O631" t="s">
        <v>34426</v>
      </c>
      <c r="P631">
        <v>713050</v>
      </c>
      <c r="T631" s="22" t="s">
        <v>37581</v>
      </c>
      <c r="U631" s="22" t="s">
        <v>104</v>
      </c>
    </row>
    <row r="632" spans="1:21" x14ac:dyDescent="0.75">
      <c r="A632" t="s">
        <v>17172</v>
      </c>
      <c r="B632" t="s">
        <v>33572</v>
      </c>
      <c r="C632" t="s">
        <v>34416</v>
      </c>
      <c r="D632" t="s">
        <v>34415</v>
      </c>
      <c r="E632" t="s">
        <v>34414</v>
      </c>
      <c r="F632" t="s">
        <v>34413</v>
      </c>
      <c r="G632" t="s">
        <v>9421</v>
      </c>
      <c r="H632" t="s">
        <v>17173</v>
      </c>
      <c r="J632" t="s">
        <v>33577</v>
      </c>
      <c r="K632" t="s">
        <v>33576</v>
      </c>
      <c r="L632" t="s">
        <v>33575</v>
      </c>
      <c r="N632" t="s">
        <v>34425</v>
      </c>
      <c r="O632" t="s">
        <v>34424</v>
      </c>
      <c r="P632">
        <v>713051</v>
      </c>
      <c r="Q632" t="s">
        <v>34423</v>
      </c>
      <c r="R632" t="s">
        <v>34422</v>
      </c>
      <c r="T632" s="22" t="s">
        <v>37582</v>
      </c>
      <c r="U632" s="22" t="s">
        <v>104</v>
      </c>
    </row>
    <row r="633" spans="1:21" x14ac:dyDescent="0.75">
      <c r="A633" t="s">
        <v>2741</v>
      </c>
      <c r="B633" t="s">
        <v>33572</v>
      </c>
      <c r="C633" t="s">
        <v>34416</v>
      </c>
      <c r="D633" t="s">
        <v>34415</v>
      </c>
      <c r="E633" t="s">
        <v>34414</v>
      </c>
      <c r="F633" t="s">
        <v>34413</v>
      </c>
      <c r="G633" t="s">
        <v>9421</v>
      </c>
      <c r="H633" t="s">
        <v>18647</v>
      </c>
      <c r="J633" t="s">
        <v>33617</v>
      </c>
      <c r="K633" t="s">
        <v>34419</v>
      </c>
      <c r="L633" t="s">
        <v>33620</v>
      </c>
      <c r="P633">
        <v>0</v>
      </c>
      <c r="Q633" t="s">
        <v>34421</v>
      </c>
      <c r="R633" t="s">
        <v>34420</v>
      </c>
      <c r="T633" s="22" t="s">
        <v>37583</v>
      </c>
      <c r="U633" s="22" t="s">
        <v>104</v>
      </c>
    </row>
    <row r="634" spans="1:21" x14ac:dyDescent="0.75">
      <c r="A634" t="s">
        <v>19291</v>
      </c>
      <c r="B634" t="s">
        <v>33572</v>
      </c>
      <c r="C634" t="s">
        <v>34416</v>
      </c>
      <c r="D634" t="s">
        <v>34415</v>
      </c>
      <c r="E634" t="s">
        <v>34414</v>
      </c>
      <c r="F634" t="s">
        <v>34413</v>
      </c>
      <c r="G634" t="s">
        <v>9421</v>
      </c>
      <c r="H634" t="s">
        <v>19292</v>
      </c>
      <c r="J634" t="s">
        <v>33617</v>
      </c>
      <c r="K634" t="s">
        <v>34419</v>
      </c>
      <c r="L634" t="s">
        <v>33620</v>
      </c>
      <c r="P634">
        <v>0</v>
      </c>
      <c r="Q634" t="s">
        <v>19290</v>
      </c>
      <c r="R634" t="s">
        <v>34418</v>
      </c>
      <c r="T634" s="22" t="s">
        <v>37584</v>
      </c>
      <c r="U634" s="22" t="s">
        <v>104</v>
      </c>
    </row>
    <row r="635" spans="1:21" x14ac:dyDescent="0.75">
      <c r="A635" t="s">
        <v>34417</v>
      </c>
      <c r="B635" t="s">
        <v>33572</v>
      </c>
      <c r="C635" t="s">
        <v>34416</v>
      </c>
      <c r="D635" t="s">
        <v>34415</v>
      </c>
      <c r="E635" t="s">
        <v>34414</v>
      </c>
      <c r="F635" t="s">
        <v>34413</v>
      </c>
      <c r="G635" t="s">
        <v>9421</v>
      </c>
      <c r="H635" t="s">
        <v>34412</v>
      </c>
      <c r="J635" t="s">
        <v>33577</v>
      </c>
      <c r="K635" t="s">
        <v>33576</v>
      </c>
      <c r="L635" t="s">
        <v>33575</v>
      </c>
      <c r="N635" t="s">
        <v>34411</v>
      </c>
      <c r="O635" t="s">
        <v>34410</v>
      </c>
      <c r="P635">
        <v>1540868</v>
      </c>
      <c r="T635" s="22" t="s">
        <v>37585</v>
      </c>
      <c r="U635" s="22" t="s">
        <v>104</v>
      </c>
    </row>
    <row r="636" spans="1:21" x14ac:dyDescent="0.75">
      <c r="A636" t="s">
        <v>6464</v>
      </c>
      <c r="B636" t="s">
        <v>33572</v>
      </c>
      <c r="C636" t="s">
        <v>34169</v>
      </c>
      <c r="D636" t="s">
        <v>34355</v>
      </c>
      <c r="E636" t="s">
        <v>34409</v>
      </c>
      <c r="F636" t="s">
        <v>34408</v>
      </c>
      <c r="G636" t="s">
        <v>6465</v>
      </c>
      <c r="H636" t="s">
        <v>6466</v>
      </c>
      <c r="J636" t="s">
        <v>33567</v>
      </c>
      <c r="K636" t="s">
        <v>33566</v>
      </c>
      <c r="L636" t="s">
        <v>34407</v>
      </c>
      <c r="M636" t="s">
        <v>34406</v>
      </c>
      <c r="N636" t="s">
        <v>34405</v>
      </c>
      <c r="O636" t="s">
        <v>34404</v>
      </c>
      <c r="P636">
        <v>60920</v>
      </c>
      <c r="Q636" t="s">
        <v>6463</v>
      </c>
      <c r="R636" t="s">
        <v>34403</v>
      </c>
      <c r="T636" s="22" t="s">
        <v>37254</v>
      </c>
      <c r="U636" s="22" t="s">
        <v>144</v>
      </c>
    </row>
    <row r="637" spans="1:21" x14ac:dyDescent="0.75">
      <c r="A637" t="s">
        <v>7051</v>
      </c>
      <c r="B637" t="s">
        <v>33572</v>
      </c>
      <c r="C637" t="s">
        <v>34169</v>
      </c>
      <c r="D637" t="s">
        <v>34355</v>
      </c>
      <c r="E637" t="s">
        <v>34398</v>
      </c>
      <c r="F637" t="s">
        <v>34397</v>
      </c>
      <c r="G637" t="s">
        <v>7052</v>
      </c>
      <c r="H637" t="s">
        <v>7053</v>
      </c>
      <c r="J637" t="s">
        <v>33567</v>
      </c>
      <c r="K637" t="s">
        <v>33566</v>
      </c>
      <c r="L637" t="s">
        <v>33587</v>
      </c>
      <c r="N637" t="s">
        <v>34402</v>
      </c>
      <c r="O637" t="s">
        <v>34401</v>
      </c>
      <c r="P637">
        <v>78259</v>
      </c>
      <c r="Q637" t="s">
        <v>34400</v>
      </c>
      <c r="R637" t="s">
        <v>34399</v>
      </c>
      <c r="T637" s="22" t="s">
        <v>37255</v>
      </c>
      <c r="U637" s="22" t="s">
        <v>104</v>
      </c>
    </row>
    <row r="638" spans="1:21" x14ac:dyDescent="0.75">
      <c r="A638" t="s">
        <v>8635</v>
      </c>
      <c r="B638" t="s">
        <v>33572</v>
      </c>
      <c r="C638" t="s">
        <v>34169</v>
      </c>
      <c r="D638" t="s">
        <v>34355</v>
      </c>
      <c r="E638" t="s">
        <v>34398</v>
      </c>
      <c r="F638" t="s">
        <v>34397</v>
      </c>
      <c r="G638" t="s">
        <v>7052</v>
      </c>
      <c r="H638" t="s">
        <v>8636</v>
      </c>
      <c r="J638" t="s">
        <v>33567</v>
      </c>
      <c r="K638" t="s">
        <v>33566</v>
      </c>
      <c r="L638" t="s">
        <v>33575</v>
      </c>
      <c r="N638" t="s">
        <v>34396</v>
      </c>
      <c r="O638" t="s">
        <v>34395</v>
      </c>
      <c r="P638">
        <v>230143</v>
      </c>
      <c r="Q638" t="s">
        <v>34394</v>
      </c>
      <c r="R638" t="s">
        <v>34393</v>
      </c>
      <c r="T638" s="22" t="s">
        <v>37256</v>
      </c>
      <c r="U638" s="22" t="s">
        <v>104</v>
      </c>
    </row>
    <row r="639" spans="1:21" x14ac:dyDescent="0.75">
      <c r="A639" t="s">
        <v>9293</v>
      </c>
      <c r="B639" t="s">
        <v>33572</v>
      </c>
      <c r="C639" t="s">
        <v>34169</v>
      </c>
      <c r="D639" t="s">
        <v>34355</v>
      </c>
      <c r="E639" t="s">
        <v>34354</v>
      </c>
      <c r="F639" t="s">
        <v>34353</v>
      </c>
      <c r="G639" t="s">
        <v>6696</v>
      </c>
      <c r="H639" t="s">
        <v>9294</v>
      </c>
      <c r="J639" t="s">
        <v>33567</v>
      </c>
      <c r="K639" t="s">
        <v>33566</v>
      </c>
      <c r="L639" t="s">
        <v>33587</v>
      </c>
      <c r="M639" t="s">
        <v>34392</v>
      </c>
      <c r="N639" t="s">
        <v>34391</v>
      </c>
      <c r="O639" t="s">
        <v>34390</v>
      </c>
      <c r="P639">
        <v>181487</v>
      </c>
      <c r="Q639" t="s">
        <v>34389</v>
      </c>
      <c r="R639" t="s">
        <v>34388</v>
      </c>
      <c r="T639" s="22" t="s">
        <v>37259</v>
      </c>
      <c r="U639" s="22" t="s">
        <v>104</v>
      </c>
    </row>
    <row r="640" spans="1:21" x14ac:dyDescent="0.75">
      <c r="A640" t="s">
        <v>6695</v>
      </c>
      <c r="B640" t="s">
        <v>33572</v>
      </c>
      <c r="C640" t="s">
        <v>34169</v>
      </c>
      <c r="D640" t="s">
        <v>34355</v>
      </c>
      <c r="E640" t="s">
        <v>34354</v>
      </c>
      <c r="F640" t="s">
        <v>34353</v>
      </c>
      <c r="G640" t="s">
        <v>6696</v>
      </c>
      <c r="H640" t="s">
        <v>6697</v>
      </c>
      <c r="J640" t="s">
        <v>34030</v>
      </c>
      <c r="K640" t="s">
        <v>33566</v>
      </c>
      <c r="L640" t="s">
        <v>33575</v>
      </c>
      <c r="P640">
        <v>0</v>
      </c>
      <c r="Q640" t="s">
        <v>34387</v>
      </c>
      <c r="R640" t="s">
        <v>34386</v>
      </c>
      <c r="T640" s="22" t="s">
        <v>37258</v>
      </c>
      <c r="U640" s="22" t="s">
        <v>104</v>
      </c>
    </row>
    <row r="641" spans="1:21" x14ac:dyDescent="0.75">
      <c r="A641" t="s">
        <v>1021</v>
      </c>
      <c r="B641" t="s">
        <v>33572</v>
      </c>
      <c r="C641" t="s">
        <v>34169</v>
      </c>
      <c r="D641" t="s">
        <v>34355</v>
      </c>
      <c r="E641" t="s">
        <v>34354</v>
      </c>
      <c r="F641" t="s">
        <v>34353</v>
      </c>
      <c r="G641" t="s">
        <v>6696</v>
      </c>
      <c r="H641" t="s">
        <v>9588</v>
      </c>
      <c r="J641" t="s">
        <v>33567</v>
      </c>
      <c r="K641" t="s">
        <v>33566</v>
      </c>
      <c r="L641" t="s">
        <v>33575</v>
      </c>
      <c r="N641" t="s">
        <v>34385</v>
      </c>
      <c r="O641" t="s">
        <v>34384</v>
      </c>
      <c r="P641">
        <v>52768</v>
      </c>
      <c r="Q641" t="s">
        <v>1020</v>
      </c>
      <c r="R641" t="s">
        <v>34383</v>
      </c>
      <c r="T641" s="22" t="s">
        <v>1022</v>
      </c>
      <c r="U641" s="22" t="s">
        <v>104</v>
      </c>
    </row>
    <row r="642" spans="1:21" x14ac:dyDescent="0.75">
      <c r="A642" t="s">
        <v>2200</v>
      </c>
      <c r="B642" t="s">
        <v>33572</v>
      </c>
      <c r="C642" t="s">
        <v>34169</v>
      </c>
      <c r="D642" t="s">
        <v>34355</v>
      </c>
      <c r="E642" t="s">
        <v>34354</v>
      </c>
      <c r="F642" t="s">
        <v>34353</v>
      </c>
      <c r="G642" t="s">
        <v>6696</v>
      </c>
      <c r="H642" t="s">
        <v>12566</v>
      </c>
      <c r="J642" t="s">
        <v>33567</v>
      </c>
      <c r="K642" t="s">
        <v>33566</v>
      </c>
      <c r="L642" t="s">
        <v>33609</v>
      </c>
      <c r="N642" t="s">
        <v>34382</v>
      </c>
      <c r="O642" t="s">
        <v>34381</v>
      </c>
      <c r="P642">
        <v>710238</v>
      </c>
      <c r="Q642" t="s">
        <v>34380</v>
      </c>
      <c r="R642" t="s">
        <v>34379</v>
      </c>
      <c r="T642" s="22" t="s">
        <v>2201</v>
      </c>
      <c r="U642" s="22" t="s">
        <v>104</v>
      </c>
    </row>
    <row r="643" spans="1:21" x14ac:dyDescent="0.75">
      <c r="A643" t="s">
        <v>746</v>
      </c>
      <c r="B643" t="s">
        <v>33572</v>
      </c>
      <c r="C643" t="s">
        <v>34169</v>
      </c>
      <c r="D643" t="s">
        <v>34355</v>
      </c>
      <c r="E643" t="s">
        <v>34354</v>
      </c>
      <c r="F643" t="s">
        <v>34353</v>
      </c>
      <c r="G643" t="s">
        <v>6696</v>
      </c>
      <c r="H643" t="s">
        <v>8905</v>
      </c>
      <c r="J643" t="s">
        <v>34030</v>
      </c>
      <c r="K643" t="s">
        <v>33566</v>
      </c>
      <c r="L643" t="s">
        <v>33575</v>
      </c>
      <c r="M643" t="s">
        <v>34378</v>
      </c>
      <c r="N643" t="s">
        <v>34377</v>
      </c>
      <c r="O643" t="s">
        <v>34376</v>
      </c>
      <c r="P643">
        <v>114702</v>
      </c>
      <c r="Q643" t="s">
        <v>34375</v>
      </c>
      <c r="R643" t="s">
        <v>34374</v>
      </c>
      <c r="T643" s="22" t="s">
        <v>747</v>
      </c>
      <c r="U643" s="22" t="s">
        <v>104</v>
      </c>
    </row>
    <row r="644" spans="1:21" x14ac:dyDescent="0.75">
      <c r="A644" t="s">
        <v>11436</v>
      </c>
      <c r="B644" t="s">
        <v>33572</v>
      </c>
      <c r="C644" t="s">
        <v>34169</v>
      </c>
      <c r="D644" t="s">
        <v>34355</v>
      </c>
      <c r="E644" t="s">
        <v>34354</v>
      </c>
      <c r="F644" t="s">
        <v>34353</v>
      </c>
      <c r="G644" t="s">
        <v>6696</v>
      </c>
      <c r="H644" t="s">
        <v>11437</v>
      </c>
      <c r="J644" t="s">
        <v>33567</v>
      </c>
      <c r="K644" t="s">
        <v>33566</v>
      </c>
      <c r="L644" t="s">
        <v>33609</v>
      </c>
      <c r="N644" t="s">
        <v>34373</v>
      </c>
      <c r="O644" t="s">
        <v>34372</v>
      </c>
      <c r="P644">
        <v>52773</v>
      </c>
      <c r="Q644" t="s">
        <v>34371</v>
      </c>
      <c r="R644" t="s">
        <v>34370</v>
      </c>
      <c r="T644" s="22" t="s">
        <v>37261</v>
      </c>
      <c r="U644" s="22" t="s">
        <v>104</v>
      </c>
    </row>
    <row r="645" spans="1:21" x14ac:dyDescent="0.75">
      <c r="A645" t="s">
        <v>8726</v>
      </c>
      <c r="B645" t="s">
        <v>33572</v>
      </c>
      <c r="C645" t="s">
        <v>34169</v>
      </c>
      <c r="D645" t="s">
        <v>34355</v>
      </c>
      <c r="E645" t="s">
        <v>34354</v>
      </c>
      <c r="F645" t="s">
        <v>34353</v>
      </c>
      <c r="G645" t="s">
        <v>6696</v>
      </c>
      <c r="H645" t="s">
        <v>8727</v>
      </c>
      <c r="J645" t="s">
        <v>33567</v>
      </c>
      <c r="K645" t="s">
        <v>33566</v>
      </c>
      <c r="L645" t="s">
        <v>33616</v>
      </c>
      <c r="N645" t="s">
        <v>34369</v>
      </c>
      <c r="O645" t="s">
        <v>34368</v>
      </c>
      <c r="P645">
        <v>1660</v>
      </c>
      <c r="Q645" t="s">
        <v>34367</v>
      </c>
      <c r="R645" t="s">
        <v>34366</v>
      </c>
      <c r="T645" s="22" t="s">
        <v>37264</v>
      </c>
      <c r="U645" s="22" t="s">
        <v>104</v>
      </c>
    </row>
    <row r="646" spans="1:21" x14ac:dyDescent="0.75">
      <c r="A646" t="s">
        <v>8731</v>
      </c>
      <c r="B646" t="s">
        <v>33572</v>
      </c>
      <c r="C646" t="s">
        <v>34169</v>
      </c>
      <c r="D646" t="s">
        <v>34355</v>
      </c>
      <c r="E646" t="s">
        <v>34354</v>
      </c>
      <c r="F646" t="s">
        <v>34353</v>
      </c>
      <c r="G646" t="s">
        <v>6696</v>
      </c>
      <c r="H646" t="s">
        <v>8732</v>
      </c>
      <c r="J646" t="s">
        <v>33617</v>
      </c>
      <c r="K646" t="s">
        <v>33566</v>
      </c>
      <c r="L646" t="s">
        <v>33616</v>
      </c>
      <c r="N646" t="s">
        <v>34365</v>
      </c>
      <c r="O646" t="s">
        <v>34364</v>
      </c>
      <c r="P646">
        <v>712118</v>
      </c>
      <c r="Q646" t="s">
        <v>34363</v>
      </c>
      <c r="R646" t="s">
        <v>34362</v>
      </c>
      <c r="T646" s="22" t="s">
        <v>37586</v>
      </c>
      <c r="U646" s="22" t="s">
        <v>104</v>
      </c>
    </row>
    <row r="647" spans="1:21" x14ac:dyDescent="0.75">
      <c r="A647" t="s">
        <v>7387</v>
      </c>
      <c r="B647" t="s">
        <v>33572</v>
      </c>
      <c r="C647" t="s">
        <v>34169</v>
      </c>
      <c r="D647" t="s">
        <v>34355</v>
      </c>
      <c r="E647" t="s">
        <v>34354</v>
      </c>
      <c r="F647" t="s">
        <v>34353</v>
      </c>
      <c r="G647" t="s">
        <v>6696</v>
      </c>
      <c r="H647" t="s">
        <v>7388</v>
      </c>
      <c r="J647" t="s">
        <v>33617</v>
      </c>
      <c r="K647" t="s">
        <v>33566</v>
      </c>
      <c r="L647" t="s">
        <v>33575</v>
      </c>
      <c r="N647" t="s">
        <v>34361</v>
      </c>
      <c r="O647" t="s">
        <v>34360</v>
      </c>
      <c r="P647">
        <v>651609</v>
      </c>
      <c r="Q647" t="s">
        <v>34359</v>
      </c>
      <c r="R647" t="s">
        <v>34358</v>
      </c>
      <c r="T647" s="22" t="s">
        <v>37587</v>
      </c>
      <c r="U647" s="22" t="s">
        <v>104</v>
      </c>
    </row>
    <row r="648" spans="1:21" x14ac:dyDescent="0.75">
      <c r="A648" t="s">
        <v>8691</v>
      </c>
      <c r="B648" t="s">
        <v>33572</v>
      </c>
      <c r="C648" t="s">
        <v>34169</v>
      </c>
      <c r="D648" t="s">
        <v>34355</v>
      </c>
      <c r="E648" t="s">
        <v>34354</v>
      </c>
      <c r="F648" t="s">
        <v>34353</v>
      </c>
      <c r="G648" t="s">
        <v>6696</v>
      </c>
      <c r="H648" t="s">
        <v>8692</v>
      </c>
      <c r="J648" t="s">
        <v>33617</v>
      </c>
      <c r="K648" t="s">
        <v>33566</v>
      </c>
      <c r="L648" t="s">
        <v>33616</v>
      </c>
      <c r="P648">
        <v>0</v>
      </c>
      <c r="Q648" t="s">
        <v>34357</v>
      </c>
      <c r="R648" t="s">
        <v>34356</v>
      </c>
      <c r="T648" s="22" t="s">
        <v>37588</v>
      </c>
      <c r="U648" s="22" t="s">
        <v>104</v>
      </c>
    </row>
    <row r="649" spans="1:21" x14ac:dyDescent="0.75">
      <c r="A649" t="s">
        <v>27211</v>
      </c>
      <c r="B649" t="s">
        <v>33572</v>
      </c>
      <c r="C649" t="s">
        <v>34169</v>
      </c>
      <c r="D649" t="s">
        <v>34355</v>
      </c>
      <c r="E649" t="s">
        <v>34354</v>
      </c>
      <c r="F649" t="s">
        <v>34353</v>
      </c>
      <c r="G649" t="s">
        <v>6696</v>
      </c>
      <c r="H649" t="s">
        <v>27212</v>
      </c>
      <c r="J649" t="s">
        <v>33617</v>
      </c>
      <c r="K649" t="s">
        <v>33566</v>
      </c>
      <c r="L649" t="s">
        <v>33620</v>
      </c>
      <c r="O649" t="s">
        <v>34352</v>
      </c>
      <c r="P649">
        <v>0</v>
      </c>
      <c r="Q649" t="s">
        <v>34351</v>
      </c>
      <c r="R649" t="s">
        <v>34350</v>
      </c>
      <c r="T649" s="22" t="s">
        <v>37589</v>
      </c>
      <c r="U649" s="22" t="s">
        <v>104</v>
      </c>
    </row>
    <row r="650" spans="1:21" x14ac:dyDescent="0.75">
      <c r="A650" t="s">
        <v>34349</v>
      </c>
      <c r="B650" t="s">
        <v>33572</v>
      </c>
      <c r="C650" t="s">
        <v>33571</v>
      </c>
      <c r="D650" t="s">
        <v>33654</v>
      </c>
      <c r="E650" t="s">
        <v>33653</v>
      </c>
      <c r="F650" t="s">
        <v>33652</v>
      </c>
      <c r="G650" t="s">
        <v>14608</v>
      </c>
      <c r="H650" t="s">
        <v>34348</v>
      </c>
      <c r="J650" t="s">
        <v>33567</v>
      </c>
      <c r="K650" t="s">
        <v>33566</v>
      </c>
      <c r="L650" t="s">
        <v>33651</v>
      </c>
      <c r="M650" t="s">
        <v>34347</v>
      </c>
      <c r="N650" t="s">
        <v>34346</v>
      </c>
      <c r="O650" t="s">
        <v>34345</v>
      </c>
      <c r="P650">
        <v>376175</v>
      </c>
      <c r="T650" s="22" t="s">
        <v>37378</v>
      </c>
      <c r="U650" s="22" t="s">
        <v>144</v>
      </c>
    </row>
    <row r="651" spans="1:21" x14ac:dyDescent="0.75">
      <c r="A651" t="s">
        <v>14607</v>
      </c>
      <c r="B651" t="s">
        <v>33572</v>
      </c>
      <c r="C651" t="s">
        <v>33571</v>
      </c>
      <c r="D651" t="s">
        <v>33654</v>
      </c>
      <c r="E651" t="s">
        <v>33653</v>
      </c>
      <c r="F651" t="s">
        <v>33652</v>
      </c>
      <c r="G651" t="s">
        <v>14608</v>
      </c>
      <c r="H651" t="s">
        <v>14609</v>
      </c>
      <c r="J651" t="s">
        <v>33567</v>
      </c>
      <c r="K651" t="s">
        <v>33566</v>
      </c>
      <c r="L651" t="s">
        <v>33651</v>
      </c>
      <c r="M651" t="s">
        <v>16610</v>
      </c>
      <c r="N651" t="s">
        <v>34344</v>
      </c>
      <c r="O651" t="s">
        <v>34343</v>
      </c>
      <c r="P651">
        <v>215580</v>
      </c>
      <c r="Q651" t="s">
        <v>34342</v>
      </c>
      <c r="R651" t="s">
        <v>34341</v>
      </c>
      <c r="T651" s="22" t="s">
        <v>37265</v>
      </c>
      <c r="U651" s="22" t="s">
        <v>144</v>
      </c>
    </row>
    <row r="652" spans="1:21" x14ac:dyDescent="0.75">
      <c r="A652" t="s">
        <v>948</v>
      </c>
      <c r="B652" t="s">
        <v>33572</v>
      </c>
      <c r="C652" t="s">
        <v>33583</v>
      </c>
      <c r="D652" t="s">
        <v>33881</v>
      </c>
      <c r="E652" t="s">
        <v>33880</v>
      </c>
      <c r="F652" t="s">
        <v>34303</v>
      </c>
      <c r="G652" t="s">
        <v>6564</v>
      </c>
      <c r="H652" t="s">
        <v>9568</v>
      </c>
      <c r="J652" t="s">
        <v>33567</v>
      </c>
      <c r="K652" t="s">
        <v>33566</v>
      </c>
      <c r="L652" t="s">
        <v>33575</v>
      </c>
      <c r="N652" t="s">
        <v>34340</v>
      </c>
      <c r="O652" t="s">
        <v>34339</v>
      </c>
      <c r="P652">
        <v>305719</v>
      </c>
      <c r="Q652" t="s">
        <v>34338</v>
      </c>
      <c r="R652" t="s">
        <v>34337</v>
      </c>
      <c r="T652" s="22" t="s">
        <v>949</v>
      </c>
      <c r="U652" s="22" t="s">
        <v>104</v>
      </c>
    </row>
    <row r="653" spans="1:21" x14ac:dyDescent="0.75">
      <c r="A653" t="s">
        <v>241</v>
      </c>
      <c r="B653" t="s">
        <v>33572</v>
      </c>
      <c r="C653" t="s">
        <v>33583</v>
      </c>
      <c r="D653" t="s">
        <v>33881</v>
      </c>
      <c r="E653" t="s">
        <v>33880</v>
      </c>
      <c r="F653" t="s">
        <v>34303</v>
      </c>
      <c r="G653" t="s">
        <v>6564</v>
      </c>
      <c r="H653" t="s">
        <v>6989</v>
      </c>
      <c r="J653" t="s">
        <v>33567</v>
      </c>
      <c r="K653" t="s">
        <v>33566</v>
      </c>
      <c r="L653" t="s">
        <v>33609</v>
      </c>
      <c r="N653" t="s">
        <v>34336</v>
      </c>
      <c r="O653" t="s">
        <v>34335</v>
      </c>
      <c r="P653">
        <v>28126</v>
      </c>
      <c r="Q653" t="s">
        <v>34334</v>
      </c>
      <c r="R653" t="s">
        <v>34333</v>
      </c>
      <c r="T653" s="22" t="s">
        <v>242</v>
      </c>
      <c r="U653" s="22" t="s">
        <v>104</v>
      </c>
    </row>
    <row r="654" spans="1:21" x14ac:dyDescent="0.75">
      <c r="A654" t="s">
        <v>623</v>
      </c>
      <c r="B654" t="s">
        <v>33572</v>
      </c>
      <c r="C654" t="s">
        <v>33583</v>
      </c>
      <c r="D654" t="s">
        <v>33881</v>
      </c>
      <c r="E654" t="s">
        <v>33880</v>
      </c>
      <c r="F654" t="s">
        <v>34303</v>
      </c>
      <c r="G654" t="s">
        <v>6564</v>
      </c>
      <c r="H654" t="s">
        <v>8442</v>
      </c>
      <c r="J654" t="s">
        <v>33567</v>
      </c>
      <c r="K654" t="s">
        <v>33566</v>
      </c>
      <c r="L654" t="s">
        <v>33575</v>
      </c>
      <c r="N654" t="s">
        <v>34332</v>
      </c>
      <c r="O654" t="s">
        <v>34331</v>
      </c>
      <c r="P654">
        <v>439703</v>
      </c>
      <c r="Q654" t="s">
        <v>34330</v>
      </c>
      <c r="R654" t="s">
        <v>34329</v>
      </c>
      <c r="T654" s="22" t="s">
        <v>624</v>
      </c>
      <c r="U654" s="22" t="s">
        <v>104</v>
      </c>
    </row>
    <row r="655" spans="1:21" x14ac:dyDescent="0.75">
      <c r="A655" t="s">
        <v>6563</v>
      </c>
      <c r="B655" t="s">
        <v>33572</v>
      </c>
      <c r="C655" t="s">
        <v>33583</v>
      </c>
      <c r="D655" t="s">
        <v>33881</v>
      </c>
      <c r="E655" t="s">
        <v>33880</v>
      </c>
      <c r="F655" t="s">
        <v>34303</v>
      </c>
      <c r="G655" t="s">
        <v>6564</v>
      </c>
      <c r="H655" t="s">
        <v>6565</v>
      </c>
      <c r="J655" t="s">
        <v>33567</v>
      </c>
      <c r="K655" t="s">
        <v>33566</v>
      </c>
      <c r="L655" t="s">
        <v>33616</v>
      </c>
      <c r="N655" t="s">
        <v>34328</v>
      </c>
      <c r="O655" t="s">
        <v>34327</v>
      </c>
      <c r="P655">
        <v>28135</v>
      </c>
      <c r="Q655" t="s">
        <v>34326</v>
      </c>
      <c r="R655" t="s">
        <v>34325</v>
      </c>
      <c r="T655" s="22" t="s">
        <v>37267</v>
      </c>
      <c r="U655" s="22" t="s">
        <v>104</v>
      </c>
    </row>
    <row r="656" spans="1:21" x14ac:dyDescent="0.75">
      <c r="A656" t="s">
        <v>7959</v>
      </c>
      <c r="B656" t="s">
        <v>33572</v>
      </c>
      <c r="C656" t="s">
        <v>33583</v>
      </c>
      <c r="D656" t="s">
        <v>33881</v>
      </c>
      <c r="E656" t="s">
        <v>33880</v>
      </c>
      <c r="F656" t="s">
        <v>34303</v>
      </c>
      <c r="G656" t="s">
        <v>6564</v>
      </c>
      <c r="H656" t="s">
        <v>7960</v>
      </c>
      <c r="J656" t="s">
        <v>33567</v>
      </c>
      <c r="K656" t="s">
        <v>33566</v>
      </c>
      <c r="L656" t="s">
        <v>33575</v>
      </c>
      <c r="N656" t="s">
        <v>34324</v>
      </c>
      <c r="O656" t="s">
        <v>34323</v>
      </c>
      <c r="P656">
        <v>28136</v>
      </c>
      <c r="Q656" t="s">
        <v>34322</v>
      </c>
      <c r="R656" t="s">
        <v>34321</v>
      </c>
      <c r="T656" s="22" t="s">
        <v>37266</v>
      </c>
      <c r="U656" s="22" t="s">
        <v>104</v>
      </c>
    </row>
    <row r="657" spans="1:21" x14ac:dyDescent="0.75">
      <c r="A657" t="s">
        <v>7422</v>
      </c>
      <c r="B657" t="s">
        <v>33572</v>
      </c>
      <c r="C657" t="s">
        <v>33583</v>
      </c>
      <c r="D657" t="s">
        <v>33881</v>
      </c>
      <c r="E657" t="s">
        <v>33880</v>
      </c>
      <c r="F657" t="s">
        <v>34303</v>
      </c>
      <c r="G657" t="s">
        <v>6564</v>
      </c>
      <c r="H657" t="s">
        <v>7423</v>
      </c>
      <c r="J657" t="s">
        <v>33567</v>
      </c>
      <c r="K657" t="s">
        <v>33566</v>
      </c>
      <c r="L657" t="s">
        <v>33575</v>
      </c>
      <c r="N657" t="s">
        <v>34320</v>
      </c>
      <c r="O657" t="s">
        <v>34319</v>
      </c>
      <c r="P657">
        <v>228604</v>
      </c>
      <c r="Q657" t="s">
        <v>34318</v>
      </c>
      <c r="R657" t="s">
        <v>34317</v>
      </c>
      <c r="T657" s="22" t="s">
        <v>37268</v>
      </c>
      <c r="U657" s="22" t="s">
        <v>104</v>
      </c>
    </row>
    <row r="658" spans="1:21" x14ac:dyDescent="0.75">
      <c r="A658" t="s">
        <v>34316</v>
      </c>
      <c r="B658" t="s">
        <v>33572</v>
      </c>
      <c r="C658" t="s">
        <v>33583</v>
      </c>
      <c r="D658" t="s">
        <v>33881</v>
      </c>
      <c r="E658" t="s">
        <v>33880</v>
      </c>
      <c r="F658" t="s">
        <v>34303</v>
      </c>
      <c r="G658" t="s">
        <v>6564</v>
      </c>
      <c r="H658" t="s">
        <v>34315</v>
      </c>
      <c r="J658" t="s">
        <v>33577</v>
      </c>
      <c r="K658" t="s">
        <v>33576</v>
      </c>
      <c r="L658" t="s">
        <v>33575</v>
      </c>
      <c r="N658" t="s">
        <v>34314</v>
      </c>
      <c r="O658" t="s">
        <v>34313</v>
      </c>
      <c r="P658">
        <v>712456</v>
      </c>
      <c r="T658" s="22" t="s">
        <v>37590</v>
      </c>
      <c r="U658" s="22" t="s">
        <v>104</v>
      </c>
    </row>
    <row r="659" spans="1:21" x14ac:dyDescent="0.75">
      <c r="A659" t="s">
        <v>34312</v>
      </c>
      <c r="B659" t="s">
        <v>33572</v>
      </c>
      <c r="C659" t="s">
        <v>33583</v>
      </c>
      <c r="D659" t="s">
        <v>33881</v>
      </c>
      <c r="E659" t="s">
        <v>33880</v>
      </c>
      <c r="F659" t="s">
        <v>34303</v>
      </c>
      <c r="G659" t="s">
        <v>6564</v>
      </c>
      <c r="H659" t="s">
        <v>34311</v>
      </c>
      <c r="J659" t="s">
        <v>33577</v>
      </c>
      <c r="K659" t="s">
        <v>33576</v>
      </c>
      <c r="L659" t="s">
        <v>33575</v>
      </c>
      <c r="N659" t="s">
        <v>34310</v>
      </c>
      <c r="O659" t="s">
        <v>34309</v>
      </c>
      <c r="P659">
        <v>712460</v>
      </c>
      <c r="T659" s="22" t="s">
        <v>37591</v>
      </c>
      <c r="U659" s="22" t="s">
        <v>104</v>
      </c>
    </row>
    <row r="660" spans="1:21" x14ac:dyDescent="0.75">
      <c r="A660" t="s">
        <v>34308</v>
      </c>
      <c r="B660" t="s">
        <v>33572</v>
      </c>
      <c r="C660" t="s">
        <v>33583</v>
      </c>
      <c r="D660" t="s">
        <v>33881</v>
      </c>
      <c r="E660" t="s">
        <v>33880</v>
      </c>
      <c r="F660" t="s">
        <v>34303</v>
      </c>
      <c r="G660" t="s">
        <v>6564</v>
      </c>
      <c r="H660" t="s">
        <v>34307</v>
      </c>
      <c r="J660" t="s">
        <v>33577</v>
      </c>
      <c r="K660" t="s">
        <v>33576</v>
      </c>
      <c r="L660" t="s">
        <v>33575</v>
      </c>
      <c r="N660" t="s">
        <v>34306</v>
      </c>
      <c r="O660" t="s">
        <v>34305</v>
      </c>
      <c r="P660">
        <v>712463</v>
      </c>
      <c r="T660" s="22" t="s">
        <v>37592</v>
      </c>
      <c r="U660" s="22" t="s">
        <v>104</v>
      </c>
    </row>
    <row r="661" spans="1:21" x14ac:dyDescent="0.75">
      <c r="A661" t="s">
        <v>34304</v>
      </c>
      <c r="B661" t="s">
        <v>33572</v>
      </c>
      <c r="C661" t="s">
        <v>33583</v>
      </c>
      <c r="D661" t="s">
        <v>33881</v>
      </c>
      <c r="E661" t="s">
        <v>33880</v>
      </c>
      <c r="F661" t="s">
        <v>34303</v>
      </c>
      <c r="G661" t="s">
        <v>6564</v>
      </c>
      <c r="H661" t="s">
        <v>34302</v>
      </c>
      <c r="J661" t="s">
        <v>33577</v>
      </c>
      <c r="K661" t="s">
        <v>33576</v>
      </c>
      <c r="L661" t="s">
        <v>33609</v>
      </c>
      <c r="N661" t="s">
        <v>34301</v>
      </c>
      <c r="O661" t="s">
        <v>34300</v>
      </c>
      <c r="P661">
        <v>712468</v>
      </c>
      <c r="T661" s="22" t="s">
        <v>37593</v>
      </c>
      <c r="U661" s="22" t="s">
        <v>104</v>
      </c>
    </row>
    <row r="662" spans="1:21" x14ac:dyDescent="0.75">
      <c r="A662" t="s">
        <v>2437</v>
      </c>
      <c r="B662" t="s">
        <v>33572</v>
      </c>
      <c r="C662" t="s">
        <v>33583</v>
      </c>
      <c r="D662" t="s">
        <v>34299</v>
      </c>
      <c r="E662" t="s">
        <v>34298</v>
      </c>
      <c r="F662" t="s">
        <v>34297</v>
      </c>
      <c r="G662" t="s">
        <v>17208</v>
      </c>
      <c r="H662" t="s">
        <v>17209</v>
      </c>
      <c r="J662" t="s">
        <v>33567</v>
      </c>
      <c r="K662" t="s">
        <v>33566</v>
      </c>
      <c r="L662" t="s">
        <v>33651</v>
      </c>
      <c r="O662" t="s">
        <v>33573</v>
      </c>
      <c r="P662">
        <v>670293</v>
      </c>
      <c r="Q662" t="s">
        <v>2436</v>
      </c>
      <c r="R662" t="s">
        <v>34296</v>
      </c>
      <c r="T662" s="22" t="s">
        <v>2438</v>
      </c>
      <c r="U662" s="22" t="s">
        <v>144</v>
      </c>
    </row>
    <row r="663" spans="1:21" x14ac:dyDescent="0.75">
      <c r="A663" t="s">
        <v>34295</v>
      </c>
      <c r="B663" t="s">
        <v>33572</v>
      </c>
      <c r="C663" t="s">
        <v>33606</v>
      </c>
      <c r="D663" t="s">
        <v>33605</v>
      </c>
      <c r="E663" t="s">
        <v>34188</v>
      </c>
      <c r="F663" t="s">
        <v>34187</v>
      </c>
      <c r="G663" t="s">
        <v>34261</v>
      </c>
      <c r="H663" t="s">
        <v>34294</v>
      </c>
      <c r="J663" t="s">
        <v>33617</v>
      </c>
      <c r="K663" t="s">
        <v>33703</v>
      </c>
      <c r="L663" t="s">
        <v>33609</v>
      </c>
      <c r="N663" t="s">
        <v>34293</v>
      </c>
      <c r="O663" t="s">
        <v>34292</v>
      </c>
      <c r="P663">
        <v>1843491</v>
      </c>
      <c r="T663" s="22" t="s">
        <v>37594</v>
      </c>
      <c r="U663" s="22" t="s">
        <v>104</v>
      </c>
    </row>
    <row r="664" spans="1:21" x14ac:dyDescent="0.75">
      <c r="A664" t="s">
        <v>34291</v>
      </c>
      <c r="B664" t="s">
        <v>33572</v>
      </c>
      <c r="C664" t="s">
        <v>33606</v>
      </c>
      <c r="D664" t="s">
        <v>33605</v>
      </c>
      <c r="E664" t="s">
        <v>34188</v>
      </c>
      <c r="F664" t="s">
        <v>34187</v>
      </c>
      <c r="G664" t="s">
        <v>34261</v>
      </c>
      <c r="H664" t="s">
        <v>34290</v>
      </c>
      <c r="J664" t="s">
        <v>33577</v>
      </c>
      <c r="K664" t="s">
        <v>33576</v>
      </c>
      <c r="L664" t="s">
        <v>33609</v>
      </c>
      <c r="N664" t="s">
        <v>34289</v>
      </c>
      <c r="O664" t="s">
        <v>34288</v>
      </c>
      <c r="P664">
        <v>1843491</v>
      </c>
      <c r="T664" s="22" t="s">
        <v>37595</v>
      </c>
      <c r="U664" s="22" t="s">
        <v>104</v>
      </c>
    </row>
    <row r="665" spans="1:21" x14ac:dyDescent="0.75">
      <c r="A665" t="s">
        <v>34287</v>
      </c>
      <c r="B665" t="s">
        <v>33572</v>
      </c>
      <c r="C665" t="s">
        <v>33606</v>
      </c>
      <c r="D665" t="s">
        <v>33605</v>
      </c>
      <c r="E665" t="s">
        <v>34188</v>
      </c>
      <c r="F665" t="s">
        <v>34187</v>
      </c>
      <c r="G665" t="s">
        <v>34261</v>
      </c>
      <c r="H665" t="s">
        <v>34286</v>
      </c>
      <c r="J665" t="s">
        <v>33577</v>
      </c>
      <c r="K665" t="s">
        <v>33576</v>
      </c>
      <c r="L665" t="s">
        <v>33609</v>
      </c>
      <c r="N665" t="s">
        <v>34285</v>
      </c>
      <c r="O665" t="s">
        <v>34284</v>
      </c>
      <c r="P665">
        <v>1843491</v>
      </c>
      <c r="T665" s="22" t="s">
        <v>37596</v>
      </c>
      <c r="U665" s="22" t="s">
        <v>104</v>
      </c>
    </row>
    <row r="666" spans="1:21" x14ac:dyDescent="0.75">
      <c r="A666" t="s">
        <v>34283</v>
      </c>
      <c r="B666" t="s">
        <v>33572</v>
      </c>
      <c r="C666" t="s">
        <v>33606</v>
      </c>
      <c r="D666" t="s">
        <v>33605</v>
      </c>
      <c r="E666" t="s">
        <v>34188</v>
      </c>
      <c r="F666" t="s">
        <v>34187</v>
      </c>
      <c r="G666" t="s">
        <v>34261</v>
      </c>
      <c r="H666" t="s">
        <v>34282</v>
      </c>
      <c r="J666" t="s">
        <v>33577</v>
      </c>
      <c r="K666" t="s">
        <v>33576</v>
      </c>
      <c r="L666" t="s">
        <v>33587</v>
      </c>
      <c r="N666" t="s">
        <v>34281</v>
      </c>
      <c r="O666" t="s">
        <v>34280</v>
      </c>
      <c r="P666">
        <v>1843491</v>
      </c>
      <c r="T666" s="22" t="s">
        <v>37597</v>
      </c>
      <c r="U666" s="22" t="s">
        <v>104</v>
      </c>
    </row>
    <row r="667" spans="1:21" x14ac:dyDescent="0.75">
      <c r="A667" t="s">
        <v>34279</v>
      </c>
      <c r="B667" t="s">
        <v>33572</v>
      </c>
      <c r="C667" t="s">
        <v>33606</v>
      </c>
      <c r="D667" t="s">
        <v>33605</v>
      </c>
      <c r="E667" t="s">
        <v>34188</v>
      </c>
      <c r="F667" t="s">
        <v>34187</v>
      </c>
      <c r="G667" t="s">
        <v>34261</v>
      </c>
      <c r="H667" t="s">
        <v>34278</v>
      </c>
      <c r="J667" t="s">
        <v>33577</v>
      </c>
      <c r="K667" t="s">
        <v>33576</v>
      </c>
      <c r="L667" t="s">
        <v>33587</v>
      </c>
      <c r="M667" t="s">
        <v>34277</v>
      </c>
      <c r="N667" t="s">
        <v>34276</v>
      </c>
      <c r="O667" t="s">
        <v>34275</v>
      </c>
      <c r="P667">
        <v>1843491</v>
      </c>
      <c r="T667" s="22" t="s">
        <v>37598</v>
      </c>
      <c r="U667" s="22" t="s">
        <v>104</v>
      </c>
    </row>
    <row r="668" spans="1:21" x14ac:dyDescent="0.75">
      <c r="A668" t="s">
        <v>34274</v>
      </c>
      <c r="B668" t="s">
        <v>33572</v>
      </c>
      <c r="C668" t="s">
        <v>33606</v>
      </c>
      <c r="D668" t="s">
        <v>33605</v>
      </c>
      <c r="E668" t="s">
        <v>34188</v>
      </c>
      <c r="F668" t="s">
        <v>34187</v>
      </c>
      <c r="G668" t="s">
        <v>34261</v>
      </c>
      <c r="H668" t="s">
        <v>34273</v>
      </c>
      <c r="J668" t="s">
        <v>33577</v>
      </c>
      <c r="K668" t="s">
        <v>33576</v>
      </c>
      <c r="L668" t="s">
        <v>33609</v>
      </c>
      <c r="N668" t="s">
        <v>34272</v>
      </c>
      <c r="O668" t="s">
        <v>34271</v>
      </c>
      <c r="P668">
        <v>1843491</v>
      </c>
      <c r="T668" s="22" t="s">
        <v>37599</v>
      </c>
      <c r="U668" s="22" t="s">
        <v>104</v>
      </c>
    </row>
    <row r="669" spans="1:21" x14ac:dyDescent="0.75">
      <c r="A669" t="s">
        <v>34270</v>
      </c>
      <c r="B669" t="s">
        <v>33572</v>
      </c>
      <c r="C669" t="s">
        <v>33606</v>
      </c>
      <c r="D669" t="s">
        <v>33605</v>
      </c>
      <c r="E669" t="s">
        <v>34188</v>
      </c>
      <c r="F669" t="s">
        <v>34187</v>
      </c>
      <c r="G669" t="s">
        <v>34261</v>
      </c>
      <c r="H669" t="s">
        <v>34269</v>
      </c>
      <c r="J669" t="s">
        <v>33617</v>
      </c>
      <c r="K669" t="s">
        <v>33703</v>
      </c>
      <c r="L669" t="s">
        <v>33609</v>
      </c>
      <c r="N669" t="s">
        <v>34268</v>
      </c>
      <c r="O669" t="s">
        <v>34267</v>
      </c>
      <c r="P669">
        <v>1843491</v>
      </c>
      <c r="T669" s="22" t="s">
        <v>37600</v>
      </c>
      <c r="U669" s="22" t="s">
        <v>104</v>
      </c>
    </row>
    <row r="670" spans="1:21" x14ac:dyDescent="0.75">
      <c r="A670" t="s">
        <v>34266</v>
      </c>
      <c r="B670" t="s">
        <v>33572</v>
      </c>
      <c r="C670" t="s">
        <v>33606</v>
      </c>
      <c r="D670" t="s">
        <v>33605</v>
      </c>
      <c r="E670" t="s">
        <v>34188</v>
      </c>
      <c r="F670" t="s">
        <v>34187</v>
      </c>
      <c r="G670" t="s">
        <v>34261</v>
      </c>
      <c r="H670" t="s">
        <v>34265</v>
      </c>
      <c r="J670" t="s">
        <v>33577</v>
      </c>
      <c r="K670" t="s">
        <v>33576</v>
      </c>
      <c r="L670" t="s">
        <v>33609</v>
      </c>
      <c r="N670" t="s">
        <v>34264</v>
      </c>
      <c r="O670" t="s">
        <v>34263</v>
      </c>
      <c r="P670">
        <v>1843491</v>
      </c>
      <c r="T670" s="22" t="s">
        <v>37601</v>
      </c>
      <c r="U670" s="22" t="s">
        <v>104</v>
      </c>
    </row>
    <row r="671" spans="1:21" x14ac:dyDescent="0.75">
      <c r="A671" t="s">
        <v>34262</v>
      </c>
      <c r="B671" t="s">
        <v>33572</v>
      </c>
      <c r="C671" t="s">
        <v>33606</v>
      </c>
      <c r="D671" t="s">
        <v>33605</v>
      </c>
      <c r="E671" t="s">
        <v>34188</v>
      </c>
      <c r="F671" t="s">
        <v>34187</v>
      </c>
      <c r="G671" t="s">
        <v>34261</v>
      </c>
      <c r="H671" t="s">
        <v>34260</v>
      </c>
      <c r="J671" t="s">
        <v>33577</v>
      </c>
      <c r="K671" t="s">
        <v>33576</v>
      </c>
      <c r="L671" t="s">
        <v>33587</v>
      </c>
      <c r="N671" t="s">
        <v>34259</v>
      </c>
      <c r="O671" t="s">
        <v>34258</v>
      </c>
      <c r="P671">
        <v>1843491</v>
      </c>
      <c r="T671" s="22" t="s">
        <v>37602</v>
      </c>
      <c r="U671" s="22" t="s">
        <v>104</v>
      </c>
    </row>
    <row r="672" spans="1:21" x14ac:dyDescent="0.75">
      <c r="A672" t="s">
        <v>7362</v>
      </c>
      <c r="B672" t="s">
        <v>33572</v>
      </c>
      <c r="C672" t="s">
        <v>33606</v>
      </c>
      <c r="D672" t="s">
        <v>33605</v>
      </c>
      <c r="E672" t="s">
        <v>34188</v>
      </c>
      <c r="F672" t="s">
        <v>34187</v>
      </c>
      <c r="G672" t="s">
        <v>6623</v>
      </c>
      <c r="H672" t="s">
        <v>7363</v>
      </c>
      <c r="J672" t="s">
        <v>33567</v>
      </c>
      <c r="K672" t="s">
        <v>33566</v>
      </c>
      <c r="L672" t="s">
        <v>33609</v>
      </c>
      <c r="N672" t="s">
        <v>34257</v>
      </c>
      <c r="O672" t="s">
        <v>33614</v>
      </c>
      <c r="P672">
        <v>671224</v>
      </c>
      <c r="Q672" t="s">
        <v>34256</v>
      </c>
      <c r="R672" t="s">
        <v>34255</v>
      </c>
      <c r="T672" s="22" t="s">
        <v>37275</v>
      </c>
      <c r="U672" s="22" t="s">
        <v>104</v>
      </c>
    </row>
    <row r="673" spans="1:21" x14ac:dyDescent="0.75">
      <c r="A673" t="s">
        <v>26475</v>
      </c>
      <c r="B673" t="s">
        <v>33572</v>
      </c>
      <c r="C673" t="s">
        <v>33606</v>
      </c>
      <c r="D673" t="s">
        <v>33605</v>
      </c>
      <c r="E673" t="s">
        <v>34188</v>
      </c>
      <c r="F673" t="s">
        <v>34187</v>
      </c>
      <c r="G673" t="s">
        <v>6623</v>
      </c>
      <c r="H673" t="s">
        <v>26476</v>
      </c>
      <c r="J673" t="s">
        <v>33567</v>
      </c>
      <c r="K673" t="s">
        <v>33566</v>
      </c>
      <c r="L673" t="s">
        <v>33609</v>
      </c>
      <c r="N673" t="s">
        <v>34254</v>
      </c>
      <c r="O673" t="s">
        <v>34253</v>
      </c>
      <c r="P673">
        <v>135079</v>
      </c>
      <c r="Q673" t="s">
        <v>26474</v>
      </c>
      <c r="R673" t="s">
        <v>34252</v>
      </c>
      <c r="T673" s="22" t="s">
        <v>37271</v>
      </c>
      <c r="U673" s="22" t="s">
        <v>104</v>
      </c>
    </row>
    <row r="674" spans="1:21" x14ac:dyDescent="0.75">
      <c r="A674" t="s">
        <v>6622</v>
      </c>
      <c r="B674" t="s">
        <v>33572</v>
      </c>
      <c r="C674" t="s">
        <v>33606</v>
      </c>
      <c r="D674" t="s">
        <v>33605</v>
      </c>
      <c r="E674" t="s">
        <v>34188</v>
      </c>
      <c r="F674" t="s">
        <v>34187</v>
      </c>
      <c r="G674" t="s">
        <v>6623</v>
      </c>
      <c r="H674" t="s">
        <v>6624</v>
      </c>
      <c r="J674" t="s">
        <v>34251</v>
      </c>
      <c r="K674" t="s">
        <v>33566</v>
      </c>
      <c r="L674" t="s">
        <v>33575</v>
      </c>
      <c r="N674" t="s">
        <v>34250</v>
      </c>
      <c r="O674" t="s">
        <v>34249</v>
      </c>
      <c r="P674">
        <v>713030</v>
      </c>
      <c r="Q674" t="s">
        <v>34248</v>
      </c>
      <c r="R674" t="s">
        <v>34247</v>
      </c>
      <c r="T674" s="22" t="s">
        <v>37269</v>
      </c>
      <c r="U674" s="22" t="s">
        <v>104</v>
      </c>
    </row>
    <row r="675" spans="1:21" x14ac:dyDescent="0.75">
      <c r="A675" t="s">
        <v>6938</v>
      </c>
      <c r="B675" t="s">
        <v>33572</v>
      </c>
      <c r="C675" t="s">
        <v>33606</v>
      </c>
      <c r="D675" t="s">
        <v>33605</v>
      </c>
      <c r="E675" t="s">
        <v>34188</v>
      </c>
      <c r="F675" t="s">
        <v>34187</v>
      </c>
      <c r="G675" t="s">
        <v>6623</v>
      </c>
      <c r="H675" t="s">
        <v>6939</v>
      </c>
      <c r="J675" t="s">
        <v>33567</v>
      </c>
      <c r="K675" t="s">
        <v>33566</v>
      </c>
      <c r="L675" t="s">
        <v>33609</v>
      </c>
      <c r="N675" t="s">
        <v>34246</v>
      </c>
      <c r="O675" t="s">
        <v>34245</v>
      </c>
      <c r="P675">
        <v>135080</v>
      </c>
      <c r="Q675" t="s">
        <v>34244</v>
      </c>
      <c r="R675" t="s">
        <v>34243</v>
      </c>
      <c r="T675" s="22" t="s">
        <v>37272</v>
      </c>
      <c r="U675" s="22" t="s">
        <v>104</v>
      </c>
    </row>
    <row r="676" spans="1:21" x14ac:dyDescent="0.75">
      <c r="A676" t="s">
        <v>8302</v>
      </c>
      <c r="B676" t="s">
        <v>33572</v>
      </c>
      <c r="C676" t="s">
        <v>33606</v>
      </c>
      <c r="D676" t="s">
        <v>33605</v>
      </c>
      <c r="E676" t="s">
        <v>34188</v>
      </c>
      <c r="F676" t="s">
        <v>34187</v>
      </c>
      <c r="G676" t="s">
        <v>6623</v>
      </c>
      <c r="H676" t="s">
        <v>8303</v>
      </c>
      <c r="J676" t="s">
        <v>33567</v>
      </c>
      <c r="K676" t="s">
        <v>33566</v>
      </c>
      <c r="L676" t="s">
        <v>33575</v>
      </c>
      <c r="N676" t="s">
        <v>34242</v>
      </c>
      <c r="O676" t="s">
        <v>33614</v>
      </c>
      <c r="P676">
        <v>135082</v>
      </c>
      <c r="Q676" t="s">
        <v>8301</v>
      </c>
      <c r="R676" t="s">
        <v>34241</v>
      </c>
      <c r="T676" s="22" t="s">
        <v>37273</v>
      </c>
      <c r="U676" s="22" t="s">
        <v>104</v>
      </c>
    </row>
    <row r="677" spans="1:21" x14ac:dyDescent="0.75">
      <c r="A677" t="s">
        <v>6915</v>
      </c>
      <c r="B677" t="s">
        <v>33572</v>
      </c>
      <c r="C677" t="s">
        <v>33606</v>
      </c>
      <c r="D677" t="s">
        <v>33605</v>
      </c>
      <c r="E677" t="s">
        <v>34188</v>
      </c>
      <c r="F677" t="s">
        <v>34187</v>
      </c>
      <c r="G677" t="s">
        <v>6623</v>
      </c>
      <c r="H677" t="s">
        <v>6916</v>
      </c>
      <c r="J677" t="s">
        <v>33567</v>
      </c>
      <c r="K677" t="s">
        <v>33566</v>
      </c>
      <c r="L677" t="s">
        <v>33575</v>
      </c>
      <c r="N677" t="s">
        <v>34240</v>
      </c>
      <c r="O677" t="s">
        <v>33614</v>
      </c>
      <c r="P677">
        <v>135083</v>
      </c>
      <c r="Q677" t="s">
        <v>34239</v>
      </c>
      <c r="R677" t="s">
        <v>34238</v>
      </c>
      <c r="T677" s="22" t="s">
        <v>37274</v>
      </c>
      <c r="U677" s="22" t="s">
        <v>104</v>
      </c>
    </row>
    <row r="678" spans="1:21" x14ac:dyDescent="0.75">
      <c r="A678" t="s">
        <v>12368</v>
      </c>
      <c r="B678" t="s">
        <v>33572</v>
      </c>
      <c r="C678" t="s">
        <v>33606</v>
      </c>
      <c r="D678" t="s">
        <v>33605</v>
      </c>
      <c r="E678" t="s">
        <v>34188</v>
      </c>
      <c r="F678" t="s">
        <v>34187</v>
      </c>
      <c r="G678" t="s">
        <v>6623</v>
      </c>
      <c r="H678" t="s">
        <v>12369</v>
      </c>
      <c r="J678" t="s">
        <v>33617</v>
      </c>
      <c r="K678" t="s">
        <v>33566</v>
      </c>
      <c r="L678" t="s">
        <v>33575</v>
      </c>
      <c r="N678" t="s">
        <v>34237</v>
      </c>
      <c r="O678" t="s">
        <v>34236</v>
      </c>
      <c r="P678">
        <v>712528</v>
      </c>
      <c r="Q678" t="s">
        <v>12367</v>
      </c>
      <c r="R678" t="s">
        <v>34235</v>
      </c>
      <c r="T678" s="22" t="s">
        <v>37603</v>
      </c>
      <c r="U678" s="22" t="s">
        <v>104</v>
      </c>
    </row>
    <row r="679" spans="1:21" x14ac:dyDescent="0.75">
      <c r="A679" t="s">
        <v>8947</v>
      </c>
      <c r="B679" t="s">
        <v>33572</v>
      </c>
      <c r="C679" t="s">
        <v>33606</v>
      </c>
      <c r="D679" t="s">
        <v>33605</v>
      </c>
      <c r="E679" t="s">
        <v>34188</v>
      </c>
      <c r="F679" t="s">
        <v>34187</v>
      </c>
      <c r="G679" t="s">
        <v>6623</v>
      </c>
      <c r="H679" t="s">
        <v>8948</v>
      </c>
      <c r="J679" t="s">
        <v>33617</v>
      </c>
      <c r="K679" t="s">
        <v>33566</v>
      </c>
      <c r="L679" t="s">
        <v>33587</v>
      </c>
      <c r="N679" t="s">
        <v>34234</v>
      </c>
      <c r="O679" t="s">
        <v>34233</v>
      </c>
      <c r="P679">
        <v>712529</v>
      </c>
      <c r="Q679" t="s">
        <v>34232</v>
      </c>
      <c r="R679" t="s">
        <v>34231</v>
      </c>
      <c r="T679" s="22" t="s">
        <v>37604</v>
      </c>
      <c r="U679" s="22" t="s">
        <v>104</v>
      </c>
    </row>
    <row r="680" spans="1:21" x14ac:dyDescent="0.75">
      <c r="A680" t="s">
        <v>34230</v>
      </c>
      <c r="B680" t="s">
        <v>33572</v>
      </c>
      <c r="C680" t="s">
        <v>33606</v>
      </c>
      <c r="D680" t="s">
        <v>33605</v>
      </c>
      <c r="E680" t="s">
        <v>34188</v>
      </c>
      <c r="F680" t="s">
        <v>34187</v>
      </c>
      <c r="G680" t="s">
        <v>6623</v>
      </c>
      <c r="H680" t="s">
        <v>34229</v>
      </c>
      <c r="J680" t="s">
        <v>33577</v>
      </c>
      <c r="K680" t="s">
        <v>33576</v>
      </c>
      <c r="L680" t="s">
        <v>33609</v>
      </c>
      <c r="N680" t="s">
        <v>34228</v>
      </c>
      <c r="O680" t="s">
        <v>34227</v>
      </c>
      <c r="P680">
        <v>712530</v>
      </c>
      <c r="T680" s="22" t="s">
        <v>37605</v>
      </c>
      <c r="U680" s="22" t="s">
        <v>104</v>
      </c>
    </row>
    <row r="681" spans="1:21" x14ac:dyDescent="0.75">
      <c r="A681" t="s">
        <v>34226</v>
      </c>
      <c r="B681" t="s">
        <v>33572</v>
      </c>
      <c r="C681" t="s">
        <v>33606</v>
      </c>
      <c r="D681" t="s">
        <v>33605</v>
      </c>
      <c r="E681" t="s">
        <v>34188</v>
      </c>
      <c r="F681" t="s">
        <v>34187</v>
      </c>
      <c r="G681" t="s">
        <v>6623</v>
      </c>
      <c r="H681" t="s">
        <v>34225</v>
      </c>
      <c r="J681" t="s">
        <v>33617</v>
      </c>
      <c r="K681" t="s">
        <v>33703</v>
      </c>
      <c r="L681" t="s">
        <v>33609</v>
      </c>
      <c r="N681" t="s">
        <v>34224</v>
      </c>
      <c r="O681" t="s">
        <v>34223</v>
      </c>
      <c r="P681">
        <v>712534</v>
      </c>
      <c r="T681" s="22" t="s">
        <v>37606</v>
      </c>
      <c r="U681" s="22" t="s">
        <v>104</v>
      </c>
    </row>
    <row r="682" spans="1:21" x14ac:dyDescent="0.75">
      <c r="A682" t="s">
        <v>34222</v>
      </c>
      <c r="B682" t="s">
        <v>33572</v>
      </c>
      <c r="C682" t="s">
        <v>33606</v>
      </c>
      <c r="D682" t="s">
        <v>33605</v>
      </c>
      <c r="E682" t="s">
        <v>34188</v>
      </c>
      <c r="F682" t="s">
        <v>34187</v>
      </c>
      <c r="G682" t="s">
        <v>6623</v>
      </c>
      <c r="H682" t="s">
        <v>34221</v>
      </c>
      <c r="J682" t="s">
        <v>33577</v>
      </c>
      <c r="K682" t="s">
        <v>33576</v>
      </c>
      <c r="L682" t="s">
        <v>33587</v>
      </c>
      <c r="N682" t="s">
        <v>34220</v>
      </c>
      <c r="O682" t="s">
        <v>34219</v>
      </c>
      <c r="P682">
        <v>712536</v>
      </c>
      <c r="T682" s="22" t="s">
        <v>37607</v>
      </c>
      <c r="U682" s="22" t="s">
        <v>104</v>
      </c>
    </row>
    <row r="683" spans="1:21" x14ac:dyDescent="0.75">
      <c r="A683" t="s">
        <v>34218</v>
      </c>
      <c r="B683" t="s">
        <v>33572</v>
      </c>
      <c r="C683" t="s">
        <v>33606</v>
      </c>
      <c r="D683" t="s">
        <v>33605</v>
      </c>
      <c r="E683" t="s">
        <v>34188</v>
      </c>
      <c r="F683" t="s">
        <v>34187</v>
      </c>
      <c r="G683" t="s">
        <v>6623</v>
      </c>
      <c r="H683" t="s">
        <v>34217</v>
      </c>
      <c r="J683" t="s">
        <v>33577</v>
      </c>
      <c r="K683" t="s">
        <v>33576</v>
      </c>
      <c r="L683" t="s">
        <v>33587</v>
      </c>
      <c r="N683" t="s">
        <v>34216</v>
      </c>
      <c r="O683" t="s">
        <v>34215</v>
      </c>
      <c r="P683">
        <v>712537</v>
      </c>
      <c r="T683" s="22" t="s">
        <v>37608</v>
      </c>
      <c r="U683" s="22" t="s">
        <v>104</v>
      </c>
    </row>
    <row r="684" spans="1:21" x14ac:dyDescent="0.75">
      <c r="A684" t="s">
        <v>34214</v>
      </c>
      <c r="B684" t="s">
        <v>33572</v>
      </c>
      <c r="C684" t="s">
        <v>33606</v>
      </c>
      <c r="D684" t="s">
        <v>33605</v>
      </c>
      <c r="E684" t="s">
        <v>34188</v>
      </c>
      <c r="F684" t="s">
        <v>34187</v>
      </c>
      <c r="G684" t="s">
        <v>6623</v>
      </c>
      <c r="H684" t="s">
        <v>34213</v>
      </c>
      <c r="J684" t="s">
        <v>33617</v>
      </c>
      <c r="K684" t="s">
        <v>33703</v>
      </c>
      <c r="L684" t="s">
        <v>33609</v>
      </c>
      <c r="N684" t="s">
        <v>34212</v>
      </c>
      <c r="O684" t="s">
        <v>34211</v>
      </c>
      <c r="P684">
        <v>712539</v>
      </c>
      <c r="T684" s="22" t="s">
        <v>37609</v>
      </c>
      <c r="U684" s="22" t="s">
        <v>104</v>
      </c>
    </row>
    <row r="685" spans="1:21" x14ac:dyDescent="0.75">
      <c r="A685" t="s">
        <v>34210</v>
      </c>
      <c r="B685" t="s">
        <v>33572</v>
      </c>
      <c r="C685" t="s">
        <v>33606</v>
      </c>
      <c r="D685" t="s">
        <v>33605</v>
      </c>
      <c r="E685" t="s">
        <v>34188</v>
      </c>
      <c r="F685" t="s">
        <v>34187</v>
      </c>
      <c r="G685" t="s">
        <v>6623</v>
      </c>
      <c r="H685" t="s">
        <v>34209</v>
      </c>
      <c r="J685" t="s">
        <v>33617</v>
      </c>
      <c r="K685" t="s">
        <v>33703</v>
      </c>
      <c r="L685" t="s">
        <v>33609</v>
      </c>
      <c r="N685" t="s">
        <v>34208</v>
      </c>
      <c r="O685" t="s">
        <v>34207</v>
      </c>
      <c r="P685">
        <v>712540</v>
      </c>
      <c r="T685" s="22" t="s">
        <v>37610</v>
      </c>
      <c r="U685" s="22" t="s">
        <v>104</v>
      </c>
    </row>
    <row r="686" spans="1:21" x14ac:dyDescent="0.75">
      <c r="A686" t="s">
        <v>34206</v>
      </c>
      <c r="B686" t="s">
        <v>33572</v>
      </c>
      <c r="C686" t="s">
        <v>33606</v>
      </c>
      <c r="D686" t="s">
        <v>33605</v>
      </c>
      <c r="E686" t="s">
        <v>34188</v>
      </c>
      <c r="F686" t="s">
        <v>34187</v>
      </c>
      <c r="G686" t="s">
        <v>6623</v>
      </c>
      <c r="H686" t="s">
        <v>34205</v>
      </c>
      <c r="J686" t="s">
        <v>33577</v>
      </c>
      <c r="K686" t="s">
        <v>33576</v>
      </c>
      <c r="L686" t="s">
        <v>33587</v>
      </c>
      <c r="N686" t="s">
        <v>34204</v>
      </c>
      <c r="O686" t="s">
        <v>34203</v>
      </c>
      <c r="P686">
        <v>712541</v>
      </c>
      <c r="T686" s="22" t="s">
        <v>37611</v>
      </c>
      <c r="U686" s="22" t="s">
        <v>104</v>
      </c>
    </row>
    <row r="687" spans="1:21" x14ac:dyDescent="0.75">
      <c r="A687" t="s">
        <v>9799</v>
      </c>
      <c r="B687" t="s">
        <v>33572</v>
      </c>
      <c r="C687" t="s">
        <v>33606</v>
      </c>
      <c r="D687" t="s">
        <v>33605</v>
      </c>
      <c r="E687" t="s">
        <v>34188</v>
      </c>
      <c r="F687" t="s">
        <v>34187</v>
      </c>
      <c r="G687" t="s">
        <v>6623</v>
      </c>
      <c r="H687" t="s">
        <v>9800</v>
      </c>
      <c r="J687" t="s">
        <v>33617</v>
      </c>
      <c r="K687" t="s">
        <v>33566</v>
      </c>
      <c r="L687" t="s">
        <v>33609</v>
      </c>
      <c r="O687" t="s">
        <v>33614</v>
      </c>
      <c r="P687">
        <v>1321785</v>
      </c>
      <c r="Q687" t="s">
        <v>9798</v>
      </c>
      <c r="R687" t="s">
        <v>34202</v>
      </c>
      <c r="T687" s="22" t="s">
        <v>37612</v>
      </c>
      <c r="U687" s="22" t="s">
        <v>104</v>
      </c>
    </row>
    <row r="688" spans="1:21" x14ac:dyDescent="0.75">
      <c r="A688" t="s">
        <v>34201</v>
      </c>
      <c r="B688" t="s">
        <v>33572</v>
      </c>
      <c r="C688" t="s">
        <v>33606</v>
      </c>
      <c r="D688" t="s">
        <v>33605</v>
      </c>
      <c r="E688" t="s">
        <v>34188</v>
      </c>
      <c r="F688" t="s">
        <v>34187</v>
      </c>
      <c r="G688" t="s">
        <v>6623</v>
      </c>
      <c r="H688" t="s">
        <v>34200</v>
      </c>
      <c r="J688" t="s">
        <v>33617</v>
      </c>
      <c r="K688" t="s">
        <v>33566</v>
      </c>
      <c r="L688" t="s">
        <v>33587</v>
      </c>
      <c r="O688" t="s">
        <v>33614</v>
      </c>
      <c r="P688">
        <v>970</v>
      </c>
      <c r="T688" s="22" t="s">
        <v>37613</v>
      </c>
      <c r="U688" s="22" t="s">
        <v>104</v>
      </c>
    </row>
    <row r="689" spans="1:21" x14ac:dyDescent="0.75">
      <c r="A689" t="s">
        <v>12548</v>
      </c>
      <c r="B689" t="s">
        <v>33572</v>
      </c>
      <c r="C689" t="s">
        <v>33606</v>
      </c>
      <c r="D689" t="s">
        <v>33605</v>
      </c>
      <c r="E689" t="s">
        <v>34188</v>
      </c>
      <c r="F689" t="s">
        <v>34187</v>
      </c>
      <c r="G689" t="s">
        <v>6623</v>
      </c>
      <c r="H689" t="s">
        <v>12549</v>
      </c>
      <c r="J689" t="s">
        <v>33617</v>
      </c>
      <c r="K689" t="s">
        <v>33566</v>
      </c>
      <c r="L689" t="s">
        <v>33609</v>
      </c>
      <c r="O689" t="s">
        <v>33614</v>
      </c>
      <c r="P689">
        <v>1884263</v>
      </c>
      <c r="Q689" t="s">
        <v>12547</v>
      </c>
      <c r="R689" t="s">
        <v>34199</v>
      </c>
      <c r="T689" s="22" t="s">
        <v>37614</v>
      </c>
      <c r="U689" s="22" t="s">
        <v>104</v>
      </c>
    </row>
    <row r="690" spans="1:21" x14ac:dyDescent="0.75">
      <c r="A690" t="s">
        <v>34198</v>
      </c>
      <c r="B690" t="s">
        <v>33572</v>
      </c>
      <c r="C690" t="s">
        <v>33606</v>
      </c>
      <c r="D690" t="s">
        <v>33605</v>
      </c>
      <c r="E690" t="s">
        <v>34188</v>
      </c>
      <c r="F690" t="s">
        <v>34187</v>
      </c>
      <c r="G690" t="s">
        <v>6623</v>
      </c>
      <c r="H690" t="s">
        <v>34197</v>
      </c>
      <c r="J690" t="s">
        <v>33577</v>
      </c>
      <c r="K690" t="s">
        <v>33576</v>
      </c>
      <c r="L690" t="s">
        <v>33587</v>
      </c>
      <c r="N690" t="s">
        <v>34196</v>
      </c>
      <c r="O690" t="s">
        <v>33614</v>
      </c>
      <c r="P690">
        <v>970</v>
      </c>
      <c r="T690" s="22" t="s">
        <v>37615</v>
      </c>
      <c r="U690" s="22" t="s">
        <v>104</v>
      </c>
    </row>
    <row r="691" spans="1:21" x14ac:dyDescent="0.75">
      <c r="A691" t="s">
        <v>34195</v>
      </c>
      <c r="B691" t="s">
        <v>33572</v>
      </c>
      <c r="C691" t="s">
        <v>33606</v>
      </c>
      <c r="D691" t="s">
        <v>33605</v>
      </c>
      <c r="E691" t="s">
        <v>34188</v>
      </c>
      <c r="F691" t="s">
        <v>34187</v>
      </c>
      <c r="G691" t="s">
        <v>6623</v>
      </c>
      <c r="H691" t="s">
        <v>34194</v>
      </c>
      <c r="J691" t="s">
        <v>33577</v>
      </c>
      <c r="K691" t="s">
        <v>33576</v>
      </c>
      <c r="L691" t="s">
        <v>33587</v>
      </c>
      <c r="N691" t="s">
        <v>34193</v>
      </c>
      <c r="O691" t="s">
        <v>33614</v>
      </c>
      <c r="P691">
        <v>970</v>
      </c>
      <c r="T691" s="22" t="s">
        <v>37616</v>
      </c>
      <c r="U691" s="22" t="s">
        <v>104</v>
      </c>
    </row>
    <row r="692" spans="1:21" x14ac:dyDescent="0.75">
      <c r="A692" t="s">
        <v>6910</v>
      </c>
      <c r="B692" t="s">
        <v>33572</v>
      </c>
      <c r="C692" t="s">
        <v>33606</v>
      </c>
      <c r="D692" t="s">
        <v>33605</v>
      </c>
      <c r="E692" t="s">
        <v>34188</v>
      </c>
      <c r="F692" t="s">
        <v>34187</v>
      </c>
      <c r="G692" t="s">
        <v>6623</v>
      </c>
      <c r="H692" t="s">
        <v>6911</v>
      </c>
      <c r="J692" t="s">
        <v>33567</v>
      </c>
      <c r="K692" t="s">
        <v>33566</v>
      </c>
      <c r="L692" t="s">
        <v>33575</v>
      </c>
      <c r="N692" t="s">
        <v>34192</v>
      </c>
      <c r="O692" t="s">
        <v>34191</v>
      </c>
      <c r="P692">
        <v>69823</v>
      </c>
      <c r="Q692" t="s">
        <v>34190</v>
      </c>
      <c r="R692" t="s">
        <v>34189</v>
      </c>
      <c r="T692" s="22" t="s">
        <v>37270</v>
      </c>
      <c r="U692" s="22" t="s">
        <v>104</v>
      </c>
    </row>
    <row r="693" spans="1:21" x14ac:dyDescent="0.75">
      <c r="A693" t="s">
        <v>8970</v>
      </c>
      <c r="B693" t="s">
        <v>33572</v>
      </c>
      <c r="C693" t="s">
        <v>33606</v>
      </c>
      <c r="D693" t="s">
        <v>33605</v>
      </c>
      <c r="E693" t="s">
        <v>34188</v>
      </c>
      <c r="F693" t="s">
        <v>34187</v>
      </c>
      <c r="G693" t="s">
        <v>6623</v>
      </c>
      <c r="H693" t="s">
        <v>8971</v>
      </c>
      <c r="J693" t="s">
        <v>33567</v>
      </c>
      <c r="K693" t="s">
        <v>33566</v>
      </c>
      <c r="L693" t="s">
        <v>33609</v>
      </c>
      <c r="N693" t="s">
        <v>34186</v>
      </c>
      <c r="O693" t="s">
        <v>34185</v>
      </c>
      <c r="P693">
        <v>712532</v>
      </c>
      <c r="Q693" t="s">
        <v>34184</v>
      </c>
      <c r="R693" t="s">
        <v>34183</v>
      </c>
      <c r="T693" s="22" t="s">
        <v>37277</v>
      </c>
      <c r="U693" s="22" t="s">
        <v>104</v>
      </c>
    </row>
    <row r="694" spans="1:21" x14ac:dyDescent="0.75">
      <c r="A694" t="s">
        <v>20432</v>
      </c>
      <c r="B694" t="s">
        <v>33572</v>
      </c>
      <c r="C694" t="s">
        <v>33571</v>
      </c>
      <c r="D694" t="s">
        <v>33570</v>
      </c>
      <c r="E694" t="s">
        <v>33569</v>
      </c>
      <c r="F694" t="s">
        <v>33568</v>
      </c>
      <c r="G694" t="s">
        <v>20433</v>
      </c>
      <c r="H694" t="s">
        <v>20434</v>
      </c>
      <c r="J694" t="s">
        <v>33567</v>
      </c>
      <c r="K694" t="s">
        <v>33566</v>
      </c>
      <c r="L694" t="s">
        <v>34182</v>
      </c>
      <c r="O694" t="s">
        <v>34181</v>
      </c>
      <c r="P694">
        <v>615</v>
      </c>
      <c r="Q694" t="s">
        <v>34180</v>
      </c>
      <c r="R694" t="s">
        <v>34179</v>
      </c>
      <c r="T694" s="22" t="s">
        <v>37281</v>
      </c>
      <c r="U694" s="22" t="s">
        <v>104</v>
      </c>
    </row>
    <row r="695" spans="1:21" x14ac:dyDescent="0.75">
      <c r="A695" t="s">
        <v>6879</v>
      </c>
      <c r="B695" t="s">
        <v>33572</v>
      </c>
      <c r="C695" t="s">
        <v>33606</v>
      </c>
      <c r="D695" t="s">
        <v>33663</v>
      </c>
      <c r="E695" t="s">
        <v>34061</v>
      </c>
      <c r="F695" t="s">
        <v>34060</v>
      </c>
      <c r="G695" t="s">
        <v>6880</v>
      </c>
      <c r="H695" t="s">
        <v>6881</v>
      </c>
      <c r="J695" t="s">
        <v>33567</v>
      </c>
      <c r="K695" t="s">
        <v>33566</v>
      </c>
      <c r="L695" t="s">
        <v>33659</v>
      </c>
      <c r="N695" t="s">
        <v>34178</v>
      </c>
      <c r="O695" t="s">
        <v>33614</v>
      </c>
      <c r="P695">
        <v>177972</v>
      </c>
      <c r="Q695" t="s">
        <v>34177</v>
      </c>
      <c r="R695" t="s">
        <v>34176</v>
      </c>
      <c r="T695" s="22" t="s">
        <v>37282</v>
      </c>
      <c r="U695" s="22" t="s">
        <v>1563</v>
      </c>
    </row>
    <row r="696" spans="1:21" x14ac:dyDescent="0.75">
      <c r="A696" t="s">
        <v>7057</v>
      </c>
      <c r="B696" t="s">
        <v>33572</v>
      </c>
      <c r="C696" t="s">
        <v>33571</v>
      </c>
      <c r="D696" t="s">
        <v>33654</v>
      </c>
      <c r="E696" t="s">
        <v>34175</v>
      </c>
      <c r="F696" t="s">
        <v>34174</v>
      </c>
      <c r="G696" t="s">
        <v>7058</v>
      </c>
      <c r="H696" t="s">
        <v>7059</v>
      </c>
      <c r="J696" t="s">
        <v>33567</v>
      </c>
      <c r="K696" t="s">
        <v>33566</v>
      </c>
      <c r="L696" t="s">
        <v>33616</v>
      </c>
      <c r="N696" t="s">
        <v>34173</v>
      </c>
      <c r="O696" t="s">
        <v>34172</v>
      </c>
      <c r="P696">
        <v>72</v>
      </c>
      <c r="Q696" t="s">
        <v>34171</v>
      </c>
      <c r="R696" t="s">
        <v>34170</v>
      </c>
      <c r="T696" s="22" t="s">
        <v>37283</v>
      </c>
      <c r="U696" s="22" t="s">
        <v>104</v>
      </c>
    </row>
    <row r="697" spans="1:21" x14ac:dyDescent="0.75">
      <c r="A697" t="s">
        <v>7003</v>
      </c>
      <c r="B697" t="s">
        <v>33572</v>
      </c>
      <c r="C697" t="s">
        <v>34169</v>
      </c>
      <c r="D697" t="s">
        <v>34168</v>
      </c>
      <c r="E697" t="s">
        <v>34167</v>
      </c>
      <c r="F697" t="s">
        <v>34166</v>
      </c>
      <c r="G697" t="s">
        <v>7004</v>
      </c>
      <c r="H697" t="s">
        <v>7005</v>
      </c>
      <c r="J697" t="s">
        <v>33567</v>
      </c>
      <c r="K697" t="s">
        <v>33566</v>
      </c>
      <c r="L697" t="s">
        <v>33587</v>
      </c>
      <c r="N697" t="s">
        <v>34165</v>
      </c>
      <c r="O697" t="s">
        <v>34164</v>
      </c>
      <c r="P697">
        <v>84109</v>
      </c>
      <c r="Q697" t="s">
        <v>34163</v>
      </c>
      <c r="R697" t="s">
        <v>34162</v>
      </c>
      <c r="T697" s="22" t="s">
        <v>37284</v>
      </c>
      <c r="U697" s="22" t="s">
        <v>104</v>
      </c>
    </row>
    <row r="698" spans="1:21" x14ac:dyDescent="0.75">
      <c r="A698" t="s">
        <v>11806</v>
      </c>
      <c r="B698" t="s">
        <v>33572</v>
      </c>
      <c r="C698" t="s">
        <v>34157</v>
      </c>
      <c r="D698" t="s">
        <v>34156</v>
      </c>
      <c r="E698" t="s">
        <v>34155</v>
      </c>
      <c r="F698" t="s">
        <v>34154</v>
      </c>
      <c r="G698" t="s">
        <v>10853</v>
      </c>
      <c r="H698" t="s">
        <v>11807</v>
      </c>
      <c r="J698" t="s">
        <v>33567</v>
      </c>
      <c r="K698" t="s">
        <v>33566</v>
      </c>
      <c r="L698" t="s">
        <v>33666</v>
      </c>
      <c r="N698" t="s">
        <v>34161</v>
      </c>
      <c r="O698" t="s">
        <v>34160</v>
      </c>
      <c r="P698">
        <v>40543</v>
      </c>
      <c r="Q698" t="s">
        <v>34159</v>
      </c>
      <c r="R698" t="s">
        <v>34158</v>
      </c>
      <c r="T698" s="22" t="s">
        <v>37285</v>
      </c>
      <c r="U698" s="22" t="s">
        <v>1308</v>
      </c>
    </row>
    <row r="699" spans="1:21" x14ac:dyDescent="0.75">
      <c r="A699" t="s">
        <v>10852</v>
      </c>
      <c r="B699" t="s">
        <v>33572</v>
      </c>
      <c r="C699" t="s">
        <v>34157</v>
      </c>
      <c r="D699" t="s">
        <v>34156</v>
      </c>
      <c r="E699" t="s">
        <v>34155</v>
      </c>
      <c r="F699" t="s">
        <v>34154</v>
      </c>
      <c r="G699" t="s">
        <v>10853</v>
      </c>
      <c r="H699" t="s">
        <v>6831</v>
      </c>
      <c r="J699" t="s">
        <v>33567</v>
      </c>
      <c r="K699" t="s">
        <v>33566</v>
      </c>
      <c r="L699" t="s">
        <v>33666</v>
      </c>
      <c r="N699" t="s">
        <v>34153</v>
      </c>
      <c r="O699" t="s">
        <v>34152</v>
      </c>
      <c r="P699">
        <v>187101</v>
      </c>
      <c r="Q699" t="s">
        <v>34151</v>
      </c>
      <c r="R699" t="s">
        <v>34150</v>
      </c>
      <c r="T699" s="22" t="s">
        <v>37286</v>
      </c>
      <c r="U699" s="22" t="s">
        <v>1308</v>
      </c>
    </row>
    <row r="700" spans="1:21" x14ac:dyDescent="0.75">
      <c r="A700" t="s">
        <v>7453</v>
      </c>
      <c r="B700" t="s">
        <v>33572</v>
      </c>
      <c r="C700" t="s">
        <v>33606</v>
      </c>
      <c r="D700" t="s">
        <v>34149</v>
      </c>
      <c r="E700" t="s">
        <v>34148</v>
      </c>
      <c r="F700" t="s">
        <v>34147</v>
      </c>
      <c r="G700" t="s">
        <v>7454</v>
      </c>
      <c r="H700" t="s">
        <v>7455</v>
      </c>
      <c r="J700" t="s">
        <v>33567</v>
      </c>
      <c r="K700" t="s">
        <v>33566</v>
      </c>
      <c r="L700" t="s">
        <v>33575</v>
      </c>
      <c r="M700" t="s">
        <v>34146</v>
      </c>
      <c r="N700" t="s">
        <v>34145</v>
      </c>
      <c r="O700" t="s">
        <v>34144</v>
      </c>
      <c r="P700">
        <v>102148</v>
      </c>
      <c r="Q700" t="s">
        <v>34143</v>
      </c>
      <c r="R700" t="s">
        <v>34142</v>
      </c>
      <c r="T700" s="22" t="s">
        <v>37287</v>
      </c>
      <c r="U700" s="22" t="s">
        <v>104</v>
      </c>
    </row>
    <row r="701" spans="1:21" x14ac:dyDescent="0.75">
      <c r="A701" t="s">
        <v>2272</v>
      </c>
      <c r="B701" t="s">
        <v>33572</v>
      </c>
      <c r="C701" t="s">
        <v>33571</v>
      </c>
      <c r="D701" t="s">
        <v>34135</v>
      </c>
      <c r="E701" t="s">
        <v>34134</v>
      </c>
      <c r="F701" t="s">
        <v>34133</v>
      </c>
      <c r="G701" t="s">
        <v>16619</v>
      </c>
      <c r="H701" t="s">
        <v>16620</v>
      </c>
      <c r="J701" t="s">
        <v>33567</v>
      </c>
      <c r="K701" t="s">
        <v>33566</v>
      </c>
      <c r="L701" t="s">
        <v>33659</v>
      </c>
      <c r="M701" t="s">
        <v>34141</v>
      </c>
      <c r="N701" t="s">
        <v>34140</v>
      </c>
      <c r="O701" t="s">
        <v>34139</v>
      </c>
      <c r="P701">
        <v>658225</v>
      </c>
      <c r="Q701" t="s">
        <v>34138</v>
      </c>
      <c r="R701" t="s">
        <v>34137</v>
      </c>
      <c r="T701" s="22" t="s">
        <v>2273</v>
      </c>
      <c r="U701" s="22" t="s">
        <v>1563</v>
      </c>
    </row>
    <row r="702" spans="1:21" x14ac:dyDescent="0.75">
      <c r="A702" t="s">
        <v>34136</v>
      </c>
      <c r="B702" t="s">
        <v>33572</v>
      </c>
      <c r="C702" t="s">
        <v>33571</v>
      </c>
      <c r="D702" t="s">
        <v>34135</v>
      </c>
      <c r="E702" t="s">
        <v>34134</v>
      </c>
      <c r="F702" t="s">
        <v>34133</v>
      </c>
      <c r="G702" t="s">
        <v>16619</v>
      </c>
      <c r="H702" t="s">
        <v>34132</v>
      </c>
      <c r="J702" t="s">
        <v>33577</v>
      </c>
      <c r="K702" t="s">
        <v>33576</v>
      </c>
      <c r="L702" t="s">
        <v>33651</v>
      </c>
      <c r="N702" t="s">
        <v>34131</v>
      </c>
      <c r="O702" t="s">
        <v>34130</v>
      </c>
      <c r="P702">
        <v>712605</v>
      </c>
      <c r="T702" s="22" t="s">
        <v>37617</v>
      </c>
      <c r="U702" s="22" t="s">
        <v>144</v>
      </c>
    </row>
    <row r="703" spans="1:21" x14ac:dyDescent="0.75">
      <c r="A703" t="s">
        <v>6167</v>
      </c>
      <c r="B703" t="s">
        <v>33572</v>
      </c>
      <c r="C703" t="s">
        <v>33606</v>
      </c>
      <c r="D703" t="s">
        <v>33913</v>
      </c>
      <c r="E703" t="s">
        <v>34090</v>
      </c>
      <c r="F703" t="s">
        <v>34089</v>
      </c>
      <c r="G703" t="s">
        <v>6124</v>
      </c>
      <c r="H703" t="s">
        <v>6168</v>
      </c>
      <c r="J703" t="s">
        <v>33567</v>
      </c>
      <c r="K703" t="s">
        <v>33566</v>
      </c>
      <c r="L703" t="s">
        <v>34129</v>
      </c>
      <c r="N703" t="s">
        <v>34128</v>
      </c>
      <c r="O703" t="s">
        <v>34127</v>
      </c>
      <c r="P703">
        <v>1280</v>
      </c>
      <c r="Q703" t="s">
        <v>34126</v>
      </c>
      <c r="R703" t="s">
        <v>34125</v>
      </c>
      <c r="T703" s="22" t="s">
        <v>37291</v>
      </c>
      <c r="U703" s="22" t="s">
        <v>36807</v>
      </c>
    </row>
    <row r="704" spans="1:21" x14ac:dyDescent="0.75">
      <c r="A704" t="s">
        <v>11784</v>
      </c>
      <c r="B704" t="s">
        <v>33572</v>
      </c>
      <c r="C704" t="s">
        <v>33606</v>
      </c>
      <c r="D704" t="s">
        <v>33913</v>
      </c>
      <c r="E704" t="s">
        <v>34090</v>
      </c>
      <c r="F704" t="s">
        <v>34089</v>
      </c>
      <c r="G704" t="s">
        <v>6124</v>
      </c>
      <c r="H704" t="s">
        <v>11785</v>
      </c>
      <c r="J704" t="s">
        <v>33567</v>
      </c>
      <c r="K704" t="s">
        <v>33566</v>
      </c>
      <c r="L704" t="s">
        <v>34124</v>
      </c>
      <c r="O704" t="s">
        <v>33614</v>
      </c>
      <c r="P704">
        <v>29379</v>
      </c>
      <c r="Q704" t="s">
        <v>34123</v>
      </c>
      <c r="R704" t="s">
        <v>34122</v>
      </c>
      <c r="T704" s="22" t="s">
        <v>37297</v>
      </c>
      <c r="U704" s="22" t="s">
        <v>36805</v>
      </c>
    </row>
    <row r="705" spans="1:21" x14ac:dyDescent="0.75">
      <c r="A705" t="s">
        <v>7155</v>
      </c>
      <c r="B705" t="s">
        <v>33572</v>
      </c>
      <c r="C705" t="s">
        <v>33606</v>
      </c>
      <c r="D705" t="s">
        <v>33913</v>
      </c>
      <c r="E705" t="s">
        <v>34090</v>
      </c>
      <c r="F705" t="s">
        <v>34089</v>
      </c>
      <c r="G705" t="s">
        <v>6124</v>
      </c>
      <c r="H705" t="s">
        <v>7156</v>
      </c>
      <c r="J705" t="s">
        <v>33567</v>
      </c>
      <c r="K705" t="s">
        <v>33566</v>
      </c>
      <c r="L705" t="s">
        <v>34121</v>
      </c>
      <c r="O705" t="s">
        <v>33614</v>
      </c>
      <c r="P705">
        <v>29388</v>
      </c>
      <c r="Q705" t="s">
        <v>34120</v>
      </c>
      <c r="R705" t="s">
        <v>34119</v>
      </c>
      <c r="T705" s="22" t="s">
        <v>37296</v>
      </c>
      <c r="U705" s="22" t="s">
        <v>36806</v>
      </c>
    </row>
    <row r="706" spans="1:21" x14ac:dyDescent="0.75">
      <c r="A706" t="s">
        <v>6894</v>
      </c>
      <c r="B706" t="s">
        <v>33572</v>
      </c>
      <c r="C706" t="s">
        <v>33606</v>
      </c>
      <c r="D706" t="s">
        <v>33913</v>
      </c>
      <c r="E706" t="s">
        <v>34090</v>
      </c>
      <c r="F706" t="s">
        <v>34089</v>
      </c>
      <c r="G706" t="s">
        <v>6124</v>
      </c>
      <c r="H706" t="s">
        <v>6895</v>
      </c>
      <c r="J706" t="s">
        <v>33567</v>
      </c>
      <c r="K706" t="s">
        <v>33566</v>
      </c>
      <c r="L706" t="s">
        <v>34118</v>
      </c>
      <c r="N706" t="s">
        <v>34117</v>
      </c>
      <c r="O706" t="s">
        <v>33614</v>
      </c>
      <c r="P706">
        <v>29380</v>
      </c>
      <c r="Q706" t="s">
        <v>34116</v>
      </c>
      <c r="R706" t="s">
        <v>34115</v>
      </c>
      <c r="T706" s="22" t="s">
        <v>37293</v>
      </c>
      <c r="U706" s="22" t="s">
        <v>1563</v>
      </c>
    </row>
    <row r="707" spans="1:21" x14ac:dyDescent="0.75">
      <c r="A707" t="s">
        <v>14467</v>
      </c>
      <c r="B707" t="s">
        <v>33572</v>
      </c>
      <c r="C707" t="s">
        <v>33606</v>
      </c>
      <c r="D707" t="s">
        <v>33913</v>
      </c>
      <c r="E707" t="s">
        <v>34090</v>
      </c>
      <c r="F707" t="s">
        <v>34089</v>
      </c>
      <c r="G707" t="s">
        <v>6124</v>
      </c>
      <c r="H707" t="s">
        <v>14468</v>
      </c>
      <c r="J707" t="s">
        <v>33567</v>
      </c>
      <c r="K707" t="s">
        <v>33566</v>
      </c>
      <c r="L707" t="s">
        <v>33659</v>
      </c>
      <c r="O707" t="s">
        <v>33614</v>
      </c>
      <c r="P707">
        <v>29382</v>
      </c>
      <c r="Q707" t="s">
        <v>34114</v>
      </c>
      <c r="R707" t="s">
        <v>34113</v>
      </c>
      <c r="T707" s="22" t="s">
        <v>37301</v>
      </c>
      <c r="U707" s="22" t="s">
        <v>1563</v>
      </c>
    </row>
    <row r="708" spans="1:21" x14ac:dyDescent="0.75">
      <c r="A708" t="s">
        <v>6123</v>
      </c>
      <c r="B708" t="s">
        <v>33572</v>
      </c>
      <c r="C708" t="s">
        <v>33606</v>
      </c>
      <c r="D708" t="s">
        <v>33913</v>
      </c>
      <c r="E708" t="s">
        <v>34090</v>
      </c>
      <c r="F708" t="s">
        <v>34089</v>
      </c>
      <c r="G708" t="s">
        <v>6124</v>
      </c>
      <c r="H708" t="s">
        <v>6125</v>
      </c>
      <c r="J708" t="s">
        <v>33567</v>
      </c>
      <c r="K708" t="s">
        <v>33566</v>
      </c>
      <c r="L708" t="s">
        <v>34112</v>
      </c>
      <c r="N708" t="s">
        <v>34111</v>
      </c>
      <c r="O708" t="s">
        <v>34110</v>
      </c>
      <c r="P708">
        <v>1282</v>
      </c>
      <c r="Q708" t="s">
        <v>34109</v>
      </c>
      <c r="R708" t="s">
        <v>34108</v>
      </c>
      <c r="T708" s="22" t="s">
        <v>37290</v>
      </c>
      <c r="U708" s="22" t="s">
        <v>36806</v>
      </c>
    </row>
    <row r="709" spans="1:21" x14ac:dyDescent="0.75">
      <c r="A709" t="s">
        <v>6195</v>
      </c>
      <c r="B709" t="s">
        <v>33572</v>
      </c>
      <c r="C709" t="s">
        <v>33606</v>
      </c>
      <c r="D709" t="s">
        <v>33913</v>
      </c>
      <c r="E709" t="s">
        <v>34090</v>
      </c>
      <c r="F709" t="s">
        <v>34089</v>
      </c>
      <c r="G709" t="s">
        <v>6124</v>
      </c>
      <c r="H709" t="s">
        <v>6196</v>
      </c>
      <c r="J709" t="s">
        <v>33567</v>
      </c>
      <c r="K709" t="s">
        <v>33566</v>
      </c>
      <c r="L709" t="s">
        <v>34107</v>
      </c>
      <c r="O709" t="s">
        <v>33614</v>
      </c>
      <c r="P709">
        <v>1283</v>
      </c>
      <c r="Q709" t="s">
        <v>34106</v>
      </c>
      <c r="R709" t="s">
        <v>34105</v>
      </c>
      <c r="T709" s="22" t="s">
        <v>37288</v>
      </c>
      <c r="U709" s="22" t="s">
        <v>36807</v>
      </c>
    </row>
    <row r="710" spans="1:21" x14ac:dyDescent="0.75">
      <c r="A710" t="s">
        <v>10958</v>
      </c>
      <c r="B710" t="s">
        <v>33572</v>
      </c>
      <c r="C710" t="s">
        <v>33606</v>
      </c>
      <c r="D710" t="s">
        <v>33913</v>
      </c>
      <c r="E710" t="s">
        <v>34090</v>
      </c>
      <c r="F710" t="s">
        <v>34089</v>
      </c>
      <c r="G710" t="s">
        <v>6124</v>
      </c>
      <c r="H710" t="s">
        <v>6928</v>
      </c>
      <c r="J710" t="s">
        <v>33567</v>
      </c>
      <c r="K710" t="s">
        <v>33566</v>
      </c>
      <c r="L710" t="s">
        <v>34104</v>
      </c>
      <c r="O710" t="s">
        <v>33614</v>
      </c>
      <c r="P710">
        <v>1290</v>
      </c>
      <c r="Q710" t="s">
        <v>34103</v>
      </c>
      <c r="R710" t="s">
        <v>34102</v>
      </c>
      <c r="T710" s="22" t="s">
        <v>37292</v>
      </c>
      <c r="U710" s="22" t="s">
        <v>36806</v>
      </c>
    </row>
    <row r="711" spans="1:21" x14ac:dyDescent="0.75">
      <c r="A711" t="s">
        <v>6475</v>
      </c>
      <c r="B711" t="s">
        <v>33572</v>
      </c>
      <c r="C711" t="s">
        <v>33606</v>
      </c>
      <c r="D711" t="s">
        <v>33913</v>
      </c>
      <c r="E711" t="s">
        <v>34090</v>
      </c>
      <c r="F711" t="s">
        <v>34089</v>
      </c>
      <c r="G711" t="s">
        <v>6124</v>
      </c>
      <c r="H711" t="s">
        <v>6476</v>
      </c>
      <c r="J711" t="s">
        <v>33567</v>
      </c>
      <c r="K711" t="s">
        <v>33566</v>
      </c>
      <c r="L711" t="s">
        <v>33659</v>
      </c>
      <c r="O711" t="s">
        <v>33614</v>
      </c>
      <c r="P711">
        <v>28035</v>
      </c>
      <c r="Q711" t="s">
        <v>34101</v>
      </c>
      <c r="R711" t="s">
        <v>34100</v>
      </c>
      <c r="T711" s="22" t="s">
        <v>37294</v>
      </c>
      <c r="U711" s="22" t="s">
        <v>1563</v>
      </c>
    </row>
    <row r="712" spans="1:21" x14ac:dyDescent="0.75">
      <c r="A712" t="s">
        <v>13969</v>
      </c>
      <c r="B712" t="s">
        <v>33572</v>
      </c>
      <c r="C712" t="s">
        <v>33606</v>
      </c>
      <c r="D712" t="s">
        <v>33913</v>
      </c>
      <c r="E712" t="s">
        <v>34090</v>
      </c>
      <c r="F712" t="s">
        <v>34089</v>
      </c>
      <c r="G712" t="s">
        <v>6124</v>
      </c>
      <c r="H712" t="s">
        <v>13970</v>
      </c>
      <c r="J712" t="s">
        <v>33567</v>
      </c>
      <c r="K712" t="s">
        <v>33566</v>
      </c>
      <c r="L712" t="s">
        <v>33659</v>
      </c>
      <c r="O712" t="s">
        <v>33614</v>
      </c>
      <c r="P712">
        <v>45972</v>
      </c>
      <c r="Q712" t="s">
        <v>34099</v>
      </c>
      <c r="R712" t="s">
        <v>34098</v>
      </c>
      <c r="T712" s="22" t="s">
        <v>37298</v>
      </c>
      <c r="U712" s="22" t="s">
        <v>1563</v>
      </c>
    </row>
    <row r="713" spans="1:21" x14ac:dyDescent="0.75">
      <c r="A713" t="s">
        <v>13747</v>
      </c>
      <c r="B713" t="s">
        <v>33572</v>
      </c>
      <c r="C713" t="s">
        <v>33606</v>
      </c>
      <c r="D713" t="s">
        <v>33913</v>
      </c>
      <c r="E713" t="s">
        <v>34090</v>
      </c>
      <c r="F713" t="s">
        <v>34089</v>
      </c>
      <c r="G713" t="s">
        <v>6124</v>
      </c>
      <c r="H713" t="s">
        <v>13748</v>
      </c>
      <c r="J713" t="s">
        <v>33567</v>
      </c>
      <c r="K713" t="s">
        <v>33566</v>
      </c>
      <c r="L713" t="s">
        <v>33659</v>
      </c>
      <c r="O713" t="s">
        <v>33614</v>
      </c>
      <c r="P713">
        <v>170573</v>
      </c>
      <c r="Q713" t="s">
        <v>34097</v>
      </c>
      <c r="R713" t="s">
        <v>34096</v>
      </c>
      <c r="T713" s="22" t="s">
        <v>37300</v>
      </c>
      <c r="U713" s="22" t="s">
        <v>1563</v>
      </c>
    </row>
    <row r="714" spans="1:21" x14ac:dyDescent="0.75">
      <c r="A714" t="s">
        <v>16379</v>
      </c>
      <c r="B714" t="s">
        <v>33572</v>
      </c>
      <c r="C714" t="s">
        <v>33606</v>
      </c>
      <c r="D714" t="s">
        <v>33913</v>
      </c>
      <c r="E714" t="s">
        <v>34090</v>
      </c>
      <c r="F714" t="s">
        <v>34089</v>
      </c>
      <c r="G714" t="s">
        <v>6124</v>
      </c>
      <c r="H714" t="s">
        <v>9445</v>
      </c>
      <c r="J714" t="s">
        <v>33567</v>
      </c>
      <c r="K714" t="s">
        <v>33566</v>
      </c>
      <c r="L714" t="s">
        <v>34095</v>
      </c>
      <c r="P714">
        <v>0</v>
      </c>
      <c r="Q714" t="s">
        <v>34094</v>
      </c>
      <c r="R714" t="s">
        <v>34093</v>
      </c>
      <c r="T714" s="22" t="s">
        <v>37295</v>
      </c>
      <c r="U714" s="22" t="s">
        <v>36806</v>
      </c>
    </row>
    <row r="715" spans="1:21" x14ac:dyDescent="0.75">
      <c r="A715" t="s">
        <v>16374</v>
      </c>
      <c r="B715" t="s">
        <v>33572</v>
      </c>
      <c r="C715" t="s">
        <v>33606</v>
      </c>
      <c r="D715" t="s">
        <v>33913</v>
      </c>
      <c r="E715" t="s">
        <v>34090</v>
      </c>
      <c r="F715" t="s">
        <v>34089</v>
      </c>
      <c r="G715" t="s">
        <v>6124</v>
      </c>
      <c r="H715" t="s">
        <v>16375</v>
      </c>
      <c r="J715" t="s">
        <v>33567</v>
      </c>
      <c r="K715" t="s">
        <v>33566</v>
      </c>
      <c r="L715" t="s">
        <v>33651</v>
      </c>
      <c r="O715" t="s">
        <v>33614</v>
      </c>
      <c r="P715">
        <v>1295</v>
      </c>
      <c r="Q715" t="s">
        <v>34092</v>
      </c>
      <c r="R715" t="s">
        <v>34091</v>
      </c>
      <c r="T715" s="22" t="s">
        <v>37299</v>
      </c>
      <c r="U715" s="22" t="s">
        <v>144</v>
      </c>
    </row>
    <row r="716" spans="1:21" x14ac:dyDescent="0.75">
      <c r="A716" t="s">
        <v>9016</v>
      </c>
      <c r="B716" t="s">
        <v>33572</v>
      </c>
      <c r="C716" t="s">
        <v>33606</v>
      </c>
      <c r="D716" t="s">
        <v>33913</v>
      </c>
      <c r="E716" t="s">
        <v>34090</v>
      </c>
      <c r="F716" t="s">
        <v>34089</v>
      </c>
      <c r="G716" t="s">
        <v>6124</v>
      </c>
      <c r="H716" t="s">
        <v>9017</v>
      </c>
      <c r="J716" t="s">
        <v>33567</v>
      </c>
      <c r="K716" t="s">
        <v>33566</v>
      </c>
      <c r="L716" t="s">
        <v>34088</v>
      </c>
      <c r="N716" t="s">
        <v>34087</v>
      </c>
      <c r="O716" t="s">
        <v>34086</v>
      </c>
      <c r="P716">
        <v>1292</v>
      </c>
      <c r="Q716" t="s">
        <v>34085</v>
      </c>
      <c r="R716" t="s">
        <v>34084</v>
      </c>
      <c r="T716" s="22" t="s">
        <v>37289</v>
      </c>
      <c r="U716" s="22" t="s">
        <v>36806</v>
      </c>
    </row>
    <row r="717" spans="1:21" x14ac:dyDescent="0.75">
      <c r="A717" t="s">
        <v>6379</v>
      </c>
      <c r="B717" t="s">
        <v>33572</v>
      </c>
      <c r="C717" t="s">
        <v>33571</v>
      </c>
      <c r="D717" t="s">
        <v>33570</v>
      </c>
      <c r="E717" t="s">
        <v>34078</v>
      </c>
      <c r="F717" t="s">
        <v>34077</v>
      </c>
      <c r="G717" t="s">
        <v>6380</v>
      </c>
      <c r="H717" t="s">
        <v>6381</v>
      </c>
      <c r="J717" t="s">
        <v>33567</v>
      </c>
      <c r="K717" t="s">
        <v>33566</v>
      </c>
      <c r="L717" t="s">
        <v>34083</v>
      </c>
      <c r="N717" t="s">
        <v>34082</v>
      </c>
      <c r="O717" t="s">
        <v>34081</v>
      </c>
      <c r="P717">
        <v>40324</v>
      </c>
      <c r="Q717" t="s">
        <v>34080</v>
      </c>
      <c r="R717" t="s">
        <v>34079</v>
      </c>
      <c r="T717" s="22" t="s">
        <v>37303</v>
      </c>
      <c r="U717" s="22" t="s">
        <v>963</v>
      </c>
    </row>
    <row r="718" spans="1:21" x14ac:dyDescent="0.75">
      <c r="A718" t="s">
        <v>11605</v>
      </c>
      <c r="B718" t="s">
        <v>33572</v>
      </c>
      <c r="C718" t="s">
        <v>33571</v>
      </c>
      <c r="D718" t="s">
        <v>33570</v>
      </c>
      <c r="E718" t="s">
        <v>34078</v>
      </c>
      <c r="F718" t="s">
        <v>34077</v>
      </c>
      <c r="G718" t="s">
        <v>6380</v>
      </c>
      <c r="H718" t="s">
        <v>11606</v>
      </c>
      <c r="J718" t="s">
        <v>33567</v>
      </c>
      <c r="K718" t="s">
        <v>33566</v>
      </c>
      <c r="L718" t="s">
        <v>33651</v>
      </c>
      <c r="M718" t="s">
        <v>34076</v>
      </c>
      <c r="N718" t="s">
        <v>34075</v>
      </c>
      <c r="O718" t="s">
        <v>34074</v>
      </c>
      <c r="P718">
        <v>83617</v>
      </c>
      <c r="Q718" t="s">
        <v>34073</v>
      </c>
      <c r="R718" t="s">
        <v>34072</v>
      </c>
      <c r="T718" s="22" t="s">
        <v>37302</v>
      </c>
      <c r="U718" s="22" t="s">
        <v>144</v>
      </c>
    </row>
    <row r="719" spans="1:21" x14ac:dyDescent="0.75">
      <c r="A719" t="s">
        <v>8414</v>
      </c>
      <c r="B719" t="s">
        <v>33572</v>
      </c>
      <c r="C719" t="s">
        <v>33606</v>
      </c>
      <c r="D719" t="s">
        <v>33663</v>
      </c>
      <c r="E719" t="s">
        <v>34061</v>
      </c>
      <c r="F719" t="s">
        <v>34060</v>
      </c>
      <c r="G719" t="s">
        <v>8415</v>
      </c>
      <c r="H719" t="s">
        <v>7626</v>
      </c>
      <c r="J719" t="s">
        <v>33567</v>
      </c>
      <c r="K719" t="s">
        <v>33566</v>
      </c>
      <c r="L719" t="s">
        <v>33575</v>
      </c>
      <c r="M719" t="s">
        <v>34071</v>
      </c>
      <c r="N719" t="s">
        <v>34070</v>
      </c>
      <c r="O719" t="s">
        <v>34069</v>
      </c>
      <c r="P719">
        <v>796942</v>
      </c>
      <c r="Q719" t="s">
        <v>34068</v>
      </c>
      <c r="R719" t="s">
        <v>34067</v>
      </c>
      <c r="T719" s="22" t="s">
        <v>37304</v>
      </c>
      <c r="U719" s="22" t="s">
        <v>104</v>
      </c>
    </row>
    <row r="720" spans="1:21" x14ac:dyDescent="0.75">
      <c r="A720" t="s">
        <v>34066</v>
      </c>
      <c r="B720" t="s">
        <v>33572</v>
      </c>
      <c r="C720" t="s">
        <v>33606</v>
      </c>
      <c r="D720" t="s">
        <v>33663</v>
      </c>
      <c r="E720" t="s">
        <v>34061</v>
      </c>
      <c r="F720" t="s">
        <v>34060</v>
      </c>
      <c r="G720" t="s">
        <v>8415</v>
      </c>
      <c r="H720" t="s">
        <v>34065</v>
      </c>
      <c r="J720" t="s">
        <v>33577</v>
      </c>
      <c r="K720" t="s">
        <v>33576</v>
      </c>
      <c r="L720" t="s">
        <v>33587</v>
      </c>
      <c r="N720" t="s">
        <v>34064</v>
      </c>
      <c r="O720" t="s">
        <v>34063</v>
      </c>
      <c r="P720">
        <v>1213720</v>
      </c>
      <c r="T720" s="22" t="s">
        <v>37618</v>
      </c>
      <c r="U720" s="22" t="s">
        <v>104</v>
      </c>
    </row>
    <row r="721" spans="1:21" x14ac:dyDescent="0.75">
      <c r="A721" t="s">
        <v>34062</v>
      </c>
      <c r="B721" t="s">
        <v>33572</v>
      </c>
      <c r="C721" t="s">
        <v>33606</v>
      </c>
      <c r="D721" t="s">
        <v>33663</v>
      </c>
      <c r="E721" t="s">
        <v>34061</v>
      </c>
      <c r="F721" t="s">
        <v>34060</v>
      </c>
      <c r="G721" t="s">
        <v>8415</v>
      </c>
      <c r="H721" t="s">
        <v>34059</v>
      </c>
      <c r="J721" t="s">
        <v>33577</v>
      </c>
      <c r="K721" t="s">
        <v>33576</v>
      </c>
      <c r="L721" t="s">
        <v>33609</v>
      </c>
      <c r="N721" t="s">
        <v>34058</v>
      </c>
      <c r="O721" t="s">
        <v>34057</v>
      </c>
      <c r="P721">
        <v>1213720</v>
      </c>
      <c r="T721" s="22" t="s">
        <v>37619</v>
      </c>
      <c r="U721" s="22" t="s">
        <v>104</v>
      </c>
    </row>
    <row r="722" spans="1:21" x14ac:dyDescent="0.75">
      <c r="A722" t="s">
        <v>7438</v>
      </c>
      <c r="B722" t="s">
        <v>33572</v>
      </c>
      <c r="C722" t="s">
        <v>33606</v>
      </c>
      <c r="D722" t="s">
        <v>33913</v>
      </c>
      <c r="E722" t="s">
        <v>33912</v>
      </c>
      <c r="F722" t="s">
        <v>33911</v>
      </c>
      <c r="G722" t="s">
        <v>6093</v>
      </c>
      <c r="H722" t="s">
        <v>7439</v>
      </c>
      <c r="J722" t="s">
        <v>33567</v>
      </c>
      <c r="K722" t="s">
        <v>33566</v>
      </c>
      <c r="L722" t="s">
        <v>33659</v>
      </c>
      <c r="N722" t="s">
        <v>34056</v>
      </c>
      <c r="O722" t="s">
        <v>34055</v>
      </c>
      <c r="P722">
        <v>1311</v>
      </c>
      <c r="Q722" t="s">
        <v>34054</v>
      </c>
      <c r="R722" t="s">
        <v>34053</v>
      </c>
      <c r="T722" s="22" t="s">
        <v>37328</v>
      </c>
      <c r="U722" s="22" t="s">
        <v>1563</v>
      </c>
    </row>
    <row r="723" spans="1:21" x14ac:dyDescent="0.75">
      <c r="A723" t="s">
        <v>7448</v>
      </c>
      <c r="B723" t="s">
        <v>33572</v>
      </c>
      <c r="C723" t="s">
        <v>33606</v>
      </c>
      <c r="D723" t="s">
        <v>33913</v>
      </c>
      <c r="E723" t="s">
        <v>33912</v>
      </c>
      <c r="F723" t="s">
        <v>33911</v>
      </c>
      <c r="G723" t="s">
        <v>6093</v>
      </c>
      <c r="H723" t="s">
        <v>7449</v>
      </c>
      <c r="J723" t="s">
        <v>33567</v>
      </c>
      <c r="K723" t="s">
        <v>33566</v>
      </c>
      <c r="L723" t="s">
        <v>33616</v>
      </c>
      <c r="N723" t="s">
        <v>34052</v>
      </c>
      <c r="O723" t="s">
        <v>33614</v>
      </c>
      <c r="P723">
        <v>1328</v>
      </c>
      <c r="Q723" t="s">
        <v>34051</v>
      </c>
      <c r="R723" t="s">
        <v>34050</v>
      </c>
      <c r="T723" s="22" t="s">
        <v>37305</v>
      </c>
      <c r="U723" s="22" t="s">
        <v>104</v>
      </c>
    </row>
    <row r="724" spans="1:21" x14ac:dyDescent="0.75">
      <c r="A724" t="s">
        <v>7443</v>
      </c>
      <c r="B724" t="s">
        <v>33572</v>
      </c>
      <c r="C724" t="s">
        <v>33606</v>
      </c>
      <c r="D724" t="s">
        <v>33913</v>
      </c>
      <c r="E724" t="s">
        <v>33912</v>
      </c>
      <c r="F724" t="s">
        <v>33911</v>
      </c>
      <c r="G724" t="s">
        <v>6093</v>
      </c>
      <c r="H724" t="s">
        <v>7444</v>
      </c>
      <c r="J724" t="s">
        <v>33567</v>
      </c>
      <c r="K724" t="s">
        <v>33566</v>
      </c>
      <c r="L724" t="s">
        <v>33616</v>
      </c>
      <c r="M724" t="s">
        <v>7445</v>
      </c>
      <c r="N724" t="s">
        <v>34049</v>
      </c>
      <c r="O724" t="s">
        <v>33614</v>
      </c>
      <c r="P724">
        <v>113107</v>
      </c>
      <c r="Q724" t="s">
        <v>34048</v>
      </c>
      <c r="R724" t="s">
        <v>34047</v>
      </c>
      <c r="T724" s="22" t="s">
        <v>37319</v>
      </c>
      <c r="U724" s="22" t="s">
        <v>104</v>
      </c>
    </row>
    <row r="725" spans="1:21" x14ac:dyDescent="0.75">
      <c r="A725" t="s">
        <v>7932</v>
      </c>
      <c r="B725" t="s">
        <v>33572</v>
      </c>
      <c r="C725" t="s">
        <v>33606</v>
      </c>
      <c r="D725" t="s">
        <v>33913</v>
      </c>
      <c r="E725" t="s">
        <v>33912</v>
      </c>
      <c r="F725" t="s">
        <v>33911</v>
      </c>
      <c r="G725" t="s">
        <v>6093</v>
      </c>
      <c r="H725" t="s">
        <v>7933</v>
      </c>
      <c r="J725" t="s">
        <v>33567</v>
      </c>
      <c r="K725" t="s">
        <v>33566</v>
      </c>
      <c r="L725" t="s">
        <v>33575</v>
      </c>
      <c r="N725" t="s">
        <v>34046</v>
      </c>
      <c r="O725" t="s">
        <v>34045</v>
      </c>
      <c r="P725">
        <v>76860</v>
      </c>
      <c r="Q725" t="s">
        <v>34044</v>
      </c>
      <c r="R725" t="s">
        <v>34043</v>
      </c>
      <c r="T725" s="22" t="s">
        <v>37318</v>
      </c>
      <c r="U725" s="22" t="s">
        <v>104</v>
      </c>
    </row>
    <row r="726" spans="1:21" x14ac:dyDescent="0.75">
      <c r="A726" t="s">
        <v>7474</v>
      </c>
      <c r="B726" t="s">
        <v>33572</v>
      </c>
      <c r="C726" t="s">
        <v>33606</v>
      </c>
      <c r="D726" t="s">
        <v>33913</v>
      </c>
      <c r="E726" t="s">
        <v>33912</v>
      </c>
      <c r="F726" t="s">
        <v>33911</v>
      </c>
      <c r="G726" t="s">
        <v>6093</v>
      </c>
      <c r="H726" t="s">
        <v>7475</v>
      </c>
      <c r="J726" t="s">
        <v>33567</v>
      </c>
      <c r="K726" t="s">
        <v>33566</v>
      </c>
      <c r="L726" t="s">
        <v>33609</v>
      </c>
      <c r="M726" t="s">
        <v>34042</v>
      </c>
      <c r="N726" t="s">
        <v>34041</v>
      </c>
      <c r="O726" t="s">
        <v>34040</v>
      </c>
      <c r="P726">
        <v>45634</v>
      </c>
      <c r="Q726" t="s">
        <v>34039</v>
      </c>
      <c r="R726" t="s">
        <v>34038</v>
      </c>
      <c r="T726" s="22" t="s">
        <v>37322</v>
      </c>
      <c r="U726" s="22" t="s">
        <v>104</v>
      </c>
    </row>
    <row r="727" spans="1:21" x14ac:dyDescent="0.75">
      <c r="A727" t="s">
        <v>7319</v>
      </c>
      <c r="B727" t="s">
        <v>33572</v>
      </c>
      <c r="C727" t="s">
        <v>33606</v>
      </c>
      <c r="D727" t="s">
        <v>33913</v>
      </c>
      <c r="E727" t="s">
        <v>33912</v>
      </c>
      <c r="F727" t="s">
        <v>33911</v>
      </c>
      <c r="G727" t="s">
        <v>6093</v>
      </c>
      <c r="H727" t="s">
        <v>7320</v>
      </c>
      <c r="J727" t="s">
        <v>33567</v>
      </c>
      <c r="K727" t="s">
        <v>33566</v>
      </c>
      <c r="L727" t="s">
        <v>33587</v>
      </c>
      <c r="N727" t="s">
        <v>34037</v>
      </c>
      <c r="O727" t="s">
        <v>33614</v>
      </c>
      <c r="P727">
        <v>1317</v>
      </c>
      <c r="Q727" t="s">
        <v>34036</v>
      </c>
      <c r="R727" t="s">
        <v>34035</v>
      </c>
      <c r="T727" s="22" t="s">
        <v>37335</v>
      </c>
      <c r="U727" s="22" t="s">
        <v>104</v>
      </c>
    </row>
    <row r="728" spans="1:21" x14ac:dyDescent="0.75">
      <c r="A728" t="s">
        <v>6303</v>
      </c>
      <c r="B728" t="s">
        <v>33572</v>
      </c>
      <c r="C728" t="s">
        <v>33606</v>
      </c>
      <c r="D728" t="s">
        <v>33913</v>
      </c>
      <c r="E728" t="s">
        <v>33912</v>
      </c>
      <c r="F728" t="s">
        <v>33911</v>
      </c>
      <c r="G728" t="s">
        <v>6093</v>
      </c>
      <c r="H728" t="s">
        <v>6304</v>
      </c>
      <c r="J728" t="s">
        <v>33567</v>
      </c>
      <c r="K728" t="s">
        <v>33566</v>
      </c>
      <c r="L728" t="s">
        <v>33616</v>
      </c>
      <c r="M728" t="s">
        <v>34034</v>
      </c>
      <c r="N728" t="s">
        <v>34033</v>
      </c>
      <c r="O728" t="s">
        <v>33614</v>
      </c>
      <c r="P728">
        <v>1302</v>
      </c>
      <c r="Q728" t="s">
        <v>34032</v>
      </c>
      <c r="R728" t="s">
        <v>34031</v>
      </c>
      <c r="T728" s="22" t="s">
        <v>37309</v>
      </c>
      <c r="U728" s="22" t="s">
        <v>104</v>
      </c>
    </row>
    <row r="729" spans="1:21" x14ac:dyDescent="0.75">
      <c r="A729" t="s">
        <v>10017</v>
      </c>
      <c r="B729" t="s">
        <v>33572</v>
      </c>
      <c r="C729" t="s">
        <v>33606</v>
      </c>
      <c r="D729" t="s">
        <v>33913</v>
      </c>
      <c r="E729" t="s">
        <v>33912</v>
      </c>
      <c r="F729" t="s">
        <v>33911</v>
      </c>
      <c r="G729" t="s">
        <v>6093</v>
      </c>
      <c r="H729" t="s">
        <v>10018</v>
      </c>
      <c r="J729" t="s">
        <v>34030</v>
      </c>
      <c r="K729" t="s">
        <v>33566</v>
      </c>
      <c r="L729" t="s">
        <v>33620</v>
      </c>
      <c r="P729">
        <v>0</v>
      </c>
      <c r="Q729" t="s">
        <v>34029</v>
      </c>
      <c r="R729" t="s">
        <v>34028</v>
      </c>
      <c r="T729" s="22" t="s">
        <v>37327</v>
      </c>
      <c r="U729" s="22" t="s">
        <v>104</v>
      </c>
    </row>
    <row r="730" spans="1:21" x14ac:dyDescent="0.75">
      <c r="A730" t="s">
        <v>18735</v>
      </c>
      <c r="B730" t="s">
        <v>33572</v>
      </c>
      <c r="C730" t="s">
        <v>33606</v>
      </c>
      <c r="D730" t="s">
        <v>33913</v>
      </c>
      <c r="E730" t="s">
        <v>33912</v>
      </c>
      <c r="F730" t="s">
        <v>33911</v>
      </c>
      <c r="G730" t="s">
        <v>6093</v>
      </c>
      <c r="H730" t="s">
        <v>34014</v>
      </c>
      <c r="I730" t="s">
        <v>34027</v>
      </c>
      <c r="J730" t="s">
        <v>33567</v>
      </c>
      <c r="K730" t="s">
        <v>33566</v>
      </c>
      <c r="L730" t="s">
        <v>33575</v>
      </c>
      <c r="N730" t="s">
        <v>34026</v>
      </c>
      <c r="O730" t="s">
        <v>34025</v>
      </c>
      <c r="P730">
        <v>712623</v>
      </c>
      <c r="Q730" t="s">
        <v>34024</v>
      </c>
      <c r="R730" t="s">
        <v>34023</v>
      </c>
      <c r="T730" s="22" t="s">
        <v>538</v>
      </c>
      <c r="U730" s="22" t="s">
        <v>104</v>
      </c>
    </row>
    <row r="731" spans="1:21" x14ac:dyDescent="0.75">
      <c r="A731" t="s">
        <v>10821</v>
      </c>
      <c r="B731" t="s">
        <v>33572</v>
      </c>
      <c r="C731" t="s">
        <v>33606</v>
      </c>
      <c r="D731" t="s">
        <v>33913</v>
      </c>
      <c r="E731" t="s">
        <v>33912</v>
      </c>
      <c r="F731" t="s">
        <v>33911</v>
      </c>
      <c r="G731" t="s">
        <v>6093</v>
      </c>
      <c r="H731" t="s">
        <v>34014</v>
      </c>
      <c r="I731" t="s">
        <v>34022</v>
      </c>
      <c r="J731" t="s">
        <v>33567</v>
      </c>
      <c r="K731" t="s">
        <v>33566</v>
      </c>
      <c r="L731" t="s">
        <v>33616</v>
      </c>
      <c r="N731" t="s">
        <v>34021</v>
      </c>
      <c r="O731" t="s">
        <v>34020</v>
      </c>
      <c r="P731">
        <v>712633</v>
      </c>
      <c r="Q731" t="s">
        <v>34019</v>
      </c>
      <c r="R731" t="s">
        <v>34018</v>
      </c>
      <c r="T731" s="22" t="s">
        <v>538</v>
      </c>
      <c r="U731" s="22" t="s">
        <v>104</v>
      </c>
    </row>
    <row r="732" spans="1:21" x14ac:dyDescent="0.75">
      <c r="A732" t="s">
        <v>7800</v>
      </c>
      <c r="B732" t="s">
        <v>33572</v>
      </c>
      <c r="C732" t="s">
        <v>33606</v>
      </c>
      <c r="D732" t="s">
        <v>33913</v>
      </c>
      <c r="E732" t="s">
        <v>33912</v>
      </c>
      <c r="F732" t="s">
        <v>33911</v>
      </c>
      <c r="G732" t="s">
        <v>6093</v>
      </c>
      <c r="H732" t="s">
        <v>34014</v>
      </c>
      <c r="I732" t="s">
        <v>34017</v>
      </c>
      <c r="J732" t="s">
        <v>33567</v>
      </c>
      <c r="K732" t="s">
        <v>33566</v>
      </c>
      <c r="L732" t="s">
        <v>33616</v>
      </c>
      <c r="P732">
        <v>0</v>
      </c>
      <c r="Q732" t="s">
        <v>34016</v>
      </c>
      <c r="R732" t="s">
        <v>34015</v>
      </c>
      <c r="T732" s="22" t="s">
        <v>538</v>
      </c>
      <c r="U732" s="22" t="s">
        <v>104</v>
      </c>
    </row>
    <row r="733" spans="1:21" x14ac:dyDescent="0.75">
      <c r="A733" t="s">
        <v>537</v>
      </c>
      <c r="B733" t="s">
        <v>33572</v>
      </c>
      <c r="C733" t="s">
        <v>33606</v>
      </c>
      <c r="D733" t="s">
        <v>33913</v>
      </c>
      <c r="E733" t="s">
        <v>33912</v>
      </c>
      <c r="F733" t="s">
        <v>33911</v>
      </c>
      <c r="G733" t="s">
        <v>6093</v>
      </c>
      <c r="H733" t="s">
        <v>34014</v>
      </c>
      <c r="I733" t="s">
        <v>34013</v>
      </c>
      <c r="J733" t="s">
        <v>33567</v>
      </c>
      <c r="K733" t="s">
        <v>33566</v>
      </c>
      <c r="L733" t="s">
        <v>33616</v>
      </c>
      <c r="N733" t="s">
        <v>34012</v>
      </c>
      <c r="O733" t="s">
        <v>33614</v>
      </c>
      <c r="P733">
        <v>68892</v>
      </c>
      <c r="Q733" t="s">
        <v>34011</v>
      </c>
      <c r="R733" t="s">
        <v>34010</v>
      </c>
      <c r="T733" s="22" t="s">
        <v>538</v>
      </c>
      <c r="U733" s="22" t="s">
        <v>104</v>
      </c>
    </row>
    <row r="734" spans="1:21" x14ac:dyDescent="0.75">
      <c r="A734" t="s">
        <v>8291</v>
      </c>
      <c r="B734" t="s">
        <v>33572</v>
      </c>
      <c r="C734" t="s">
        <v>33606</v>
      </c>
      <c r="D734" t="s">
        <v>33913</v>
      </c>
      <c r="E734" t="s">
        <v>33912</v>
      </c>
      <c r="F734" t="s">
        <v>33911</v>
      </c>
      <c r="G734" t="s">
        <v>6093</v>
      </c>
      <c r="H734" t="s">
        <v>8292</v>
      </c>
      <c r="J734" t="s">
        <v>33567</v>
      </c>
      <c r="K734" t="s">
        <v>33566</v>
      </c>
      <c r="L734" t="s">
        <v>33575</v>
      </c>
      <c r="N734" t="s">
        <v>34009</v>
      </c>
      <c r="O734" t="s">
        <v>33614</v>
      </c>
      <c r="P734">
        <v>1338</v>
      </c>
      <c r="Q734" t="s">
        <v>34008</v>
      </c>
      <c r="R734" t="s">
        <v>34007</v>
      </c>
      <c r="T734" s="22" t="s">
        <v>37317</v>
      </c>
      <c r="U734" s="22" t="s">
        <v>104</v>
      </c>
    </row>
    <row r="735" spans="1:21" x14ac:dyDescent="0.75">
      <c r="A735" t="s">
        <v>18978</v>
      </c>
      <c r="B735" t="s">
        <v>33572</v>
      </c>
      <c r="C735" t="s">
        <v>33606</v>
      </c>
      <c r="D735" t="s">
        <v>33913</v>
      </c>
      <c r="E735" t="s">
        <v>33912</v>
      </c>
      <c r="F735" t="s">
        <v>33911</v>
      </c>
      <c r="G735" t="s">
        <v>6093</v>
      </c>
      <c r="H735" t="s">
        <v>18979</v>
      </c>
      <c r="J735" t="s">
        <v>33567</v>
      </c>
      <c r="K735" t="s">
        <v>33566</v>
      </c>
      <c r="L735" t="s">
        <v>33587</v>
      </c>
      <c r="M735" t="s">
        <v>20150</v>
      </c>
      <c r="N735" t="s">
        <v>34006</v>
      </c>
      <c r="O735" t="s">
        <v>33614</v>
      </c>
      <c r="P735">
        <v>684066</v>
      </c>
      <c r="Q735" t="s">
        <v>34005</v>
      </c>
      <c r="R735" t="s">
        <v>34004</v>
      </c>
      <c r="T735" s="22" t="s">
        <v>37330</v>
      </c>
      <c r="U735" s="22" t="s">
        <v>104</v>
      </c>
    </row>
    <row r="736" spans="1:21" x14ac:dyDescent="0.75">
      <c r="A736" t="s">
        <v>6512</v>
      </c>
      <c r="B736" t="s">
        <v>33572</v>
      </c>
      <c r="C736" t="s">
        <v>33606</v>
      </c>
      <c r="D736" t="s">
        <v>33913</v>
      </c>
      <c r="E736" t="s">
        <v>33912</v>
      </c>
      <c r="F736" t="s">
        <v>33911</v>
      </c>
      <c r="G736" t="s">
        <v>6093</v>
      </c>
      <c r="H736" t="s">
        <v>6513</v>
      </c>
      <c r="J736" t="s">
        <v>33567</v>
      </c>
      <c r="K736" t="s">
        <v>33566</v>
      </c>
      <c r="L736" t="s">
        <v>33616</v>
      </c>
      <c r="M736" t="s">
        <v>6676</v>
      </c>
      <c r="N736" t="s">
        <v>34003</v>
      </c>
      <c r="O736" t="s">
        <v>33614</v>
      </c>
      <c r="P736">
        <v>28037</v>
      </c>
      <c r="Q736" t="s">
        <v>34002</v>
      </c>
      <c r="R736" t="s">
        <v>34001</v>
      </c>
      <c r="T736" s="22" t="s">
        <v>37324</v>
      </c>
      <c r="U736" s="22" t="s">
        <v>104</v>
      </c>
    </row>
    <row r="737" spans="1:21" x14ac:dyDescent="0.75">
      <c r="A737" t="s">
        <v>6112</v>
      </c>
      <c r="B737" t="s">
        <v>33572</v>
      </c>
      <c r="C737" t="s">
        <v>33606</v>
      </c>
      <c r="D737" t="s">
        <v>33913</v>
      </c>
      <c r="E737" t="s">
        <v>33912</v>
      </c>
      <c r="F737" t="s">
        <v>33911</v>
      </c>
      <c r="G737" t="s">
        <v>6093</v>
      </c>
      <c r="H737" t="s">
        <v>6113</v>
      </c>
      <c r="J737" t="s">
        <v>33567</v>
      </c>
      <c r="K737" t="s">
        <v>33566</v>
      </c>
      <c r="L737" t="s">
        <v>33575</v>
      </c>
      <c r="M737" t="s">
        <v>34000</v>
      </c>
      <c r="N737" t="s">
        <v>33999</v>
      </c>
      <c r="O737" t="s">
        <v>33614</v>
      </c>
      <c r="P737">
        <v>1309</v>
      </c>
      <c r="Q737" t="s">
        <v>33998</v>
      </c>
      <c r="R737" t="s">
        <v>33997</v>
      </c>
      <c r="T737" s="22" t="s">
        <v>37307</v>
      </c>
      <c r="U737" s="22" t="s">
        <v>104</v>
      </c>
    </row>
    <row r="738" spans="1:21" x14ac:dyDescent="0.75">
      <c r="A738" t="s">
        <v>6639</v>
      </c>
      <c r="B738" t="s">
        <v>33572</v>
      </c>
      <c r="C738" t="s">
        <v>33606</v>
      </c>
      <c r="D738" t="s">
        <v>33913</v>
      </c>
      <c r="E738" t="s">
        <v>33912</v>
      </c>
      <c r="F738" t="s">
        <v>33911</v>
      </c>
      <c r="G738" t="s">
        <v>6093</v>
      </c>
      <c r="H738" t="s">
        <v>6535</v>
      </c>
      <c r="I738" t="s">
        <v>33996</v>
      </c>
      <c r="J738" t="s">
        <v>33567</v>
      </c>
      <c r="K738" t="s">
        <v>33566</v>
      </c>
      <c r="L738" t="s">
        <v>33587</v>
      </c>
      <c r="M738" t="s">
        <v>33995</v>
      </c>
      <c r="N738" t="s">
        <v>33994</v>
      </c>
      <c r="O738" t="s">
        <v>33993</v>
      </c>
      <c r="P738">
        <v>1077464</v>
      </c>
      <c r="Q738" t="s">
        <v>33992</v>
      </c>
      <c r="R738" t="s">
        <v>33991</v>
      </c>
      <c r="T738" s="22" t="s">
        <v>37379</v>
      </c>
      <c r="U738" s="22" t="s">
        <v>104</v>
      </c>
    </row>
    <row r="739" spans="1:21" x14ac:dyDescent="0.75">
      <c r="A739" t="s">
        <v>6998</v>
      </c>
      <c r="B739" t="s">
        <v>33572</v>
      </c>
      <c r="C739" t="s">
        <v>33606</v>
      </c>
      <c r="D739" t="s">
        <v>33913</v>
      </c>
      <c r="E739" t="s">
        <v>33912</v>
      </c>
      <c r="F739" t="s">
        <v>33911</v>
      </c>
      <c r="G739" t="s">
        <v>6093</v>
      </c>
      <c r="H739" t="s">
        <v>6535</v>
      </c>
      <c r="I739" t="s">
        <v>33990</v>
      </c>
      <c r="J739" t="s">
        <v>33567</v>
      </c>
      <c r="K739" t="s">
        <v>33566</v>
      </c>
      <c r="L739" t="s">
        <v>33616</v>
      </c>
      <c r="M739" t="s">
        <v>33989</v>
      </c>
      <c r="N739" t="s">
        <v>33988</v>
      </c>
      <c r="O739" t="s">
        <v>33987</v>
      </c>
      <c r="P739">
        <v>1458253</v>
      </c>
      <c r="Q739" t="s">
        <v>33986</v>
      </c>
      <c r="R739" t="s">
        <v>33985</v>
      </c>
      <c r="T739" s="22" t="s">
        <v>37379</v>
      </c>
      <c r="U739" s="22" t="s">
        <v>104</v>
      </c>
    </row>
    <row r="740" spans="1:21" x14ac:dyDescent="0.75">
      <c r="A740" t="s">
        <v>6671</v>
      </c>
      <c r="B740" t="s">
        <v>33572</v>
      </c>
      <c r="C740" t="s">
        <v>33606</v>
      </c>
      <c r="D740" t="s">
        <v>33913</v>
      </c>
      <c r="E740" t="s">
        <v>33912</v>
      </c>
      <c r="F740" t="s">
        <v>33911</v>
      </c>
      <c r="G740" t="s">
        <v>6093</v>
      </c>
      <c r="H740" t="s">
        <v>6535</v>
      </c>
      <c r="I740" t="s">
        <v>33984</v>
      </c>
      <c r="J740" t="s">
        <v>33567</v>
      </c>
      <c r="K740" t="s">
        <v>33566</v>
      </c>
      <c r="L740" t="s">
        <v>33575</v>
      </c>
      <c r="N740" t="s">
        <v>33983</v>
      </c>
      <c r="O740" t="s">
        <v>33614</v>
      </c>
      <c r="P740">
        <v>1303</v>
      </c>
      <c r="Q740" t="s">
        <v>33982</v>
      </c>
      <c r="R740" t="s">
        <v>33981</v>
      </c>
      <c r="T740" s="22" t="s">
        <v>37379</v>
      </c>
      <c r="U740" s="22" t="s">
        <v>104</v>
      </c>
    </row>
    <row r="741" spans="1:21" x14ac:dyDescent="0.75">
      <c r="A741" t="s">
        <v>371</v>
      </c>
      <c r="B741" t="s">
        <v>33572</v>
      </c>
      <c r="C741" t="s">
        <v>33606</v>
      </c>
      <c r="D741" t="s">
        <v>33913</v>
      </c>
      <c r="E741" t="s">
        <v>33912</v>
      </c>
      <c r="F741" t="s">
        <v>33911</v>
      </c>
      <c r="G741" t="s">
        <v>6093</v>
      </c>
      <c r="H741" t="s">
        <v>7315</v>
      </c>
      <c r="J741" t="s">
        <v>33567</v>
      </c>
      <c r="K741" t="s">
        <v>33566</v>
      </c>
      <c r="L741" t="s">
        <v>33587</v>
      </c>
      <c r="N741" t="s">
        <v>33980</v>
      </c>
      <c r="O741" t="s">
        <v>33979</v>
      </c>
      <c r="P741">
        <v>1318</v>
      </c>
      <c r="Q741" t="s">
        <v>33978</v>
      </c>
      <c r="R741" t="s">
        <v>33977</v>
      </c>
      <c r="T741" s="22" t="s">
        <v>372</v>
      </c>
      <c r="U741" s="22" t="s">
        <v>104</v>
      </c>
    </row>
    <row r="742" spans="1:21" x14ac:dyDescent="0.75">
      <c r="A742" t="s">
        <v>7469</v>
      </c>
      <c r="B742" t="s">
        <v>33572</v>
      </c>
      <c r="C742" t="s">
        <v>33606</v>
      </c>
      <c r="D742" t="s">
        <v>33913</v>
      </c>
      <c r="E742" t="s">
        <v>33912</v>
      </c>
      <c r="F742" t="s">
        <v>33911</v>
      </c>
      <c r="G742" t="s">
        <v>6093</v>
      </c>
      <c r="H742" t="s">
        <v>7470</v>
      </c>
      <c r="J742" t="s">
        <v>33567</v>
      </c>
      <c r="K742" t="s">
        <v>33566</v>
      </c>
      <c r="L742" t="s">
        <v>33575</v>
      </c>
      <c r="N742" t="s">
        <v>33976</v>
      </c>
      <c r="O742" t="s">
        <v>33614</v>
      </c>
      <c r="P742">
        <v>68891</v>
      </c>
      <c r="Q742" t="s">
        <v>33975</v>
      </c>
      <c r="R742" t="s">
        <v>33974</v>
      </c>
      <c r="T742" s="22" t="s">
        <v>37329</v>
      </c>
      <c r="U742" s="22" t="s">
        <v>104</v>
      </c>
    </row>
    <row r="743" spans="1:21" x14ac:dyDescent="0.75">
      <c r="A743" t="s">
        <v>6092</v>
      </c>
      <c r="B743" t="s">
        <v>33572</v>
      </c>
      <c r="C743" t="s">
        <v>33606</v>
      </c>
      <c r="D743" t="s">
        <v>33913</v>
      </c>
      <c r="E743" t="s">
        <v>33912</v>
      </c>
      <c r="F743" t="s">
        <v>33911</v>
      </c>
      <c r="G743" t="s">
        <v>6093</v>
      </c>
      <c r="H743" t="s">
        <v>6094</v>
      </c>
      <c r="J743" t="s">
        <v>33567</v>
      </c>
      <c r="K743" t="s">
        <v>33566</v>
      </c>
      <c r="L743" t="s">
        <v>33587</v>
      </c>
      <c r="N743" t="s">
        <v>33973</v>
      </c>
      <c r="O743" t="s">
        <v>33972</v>
      </c>
      <c r="P743">
        <v>1313</v>
      </c>
      <c r="Q743" t="s">
        <v>33971</v>
      </c>
      <c r="R743" t="s">
        <v>33970</v>
      </c>
      <c r="T743" s="22" t="s">
        <v>37311</v>
      </c>
      <c r="U743" s="22" t="s">
        <v>104</v>
      </c>
    </row>
    <row r="744" spans="1:21" x14ac:dyDescent="0.75">
      <c r="A744" t="s">
        <v>7904</v>
      </c>
      <c r="B744" t="s">
        <v>33572</v>
      </c>
      <c r="C744" t="s">
        <v>33606</v>
      </c>
      <c r="D744" t="s">
        <v>33913</v>
      </c>
      <c r="E744" t="s">
        <v>33912</v>
      </c>
      <c r="F744" t="s">
        <v>33911</v>
      </c>
      <c r="G744" t="s">
        <v>6093</v>
      </c>
      <c r="H744" t="s">
        <v>7905</v>
      </c>
      <c r="J744" t="s">
        <v>33567</v>
      </c>
      <c r="K744" t="s">
        <v>33566</v>
      </c>
      <c r="L744" t="s">
        <v>33620</v>
      </c>
      <c r="P744">
        <v>0</v>
      </c>
      <c r="Q744" t="s">
        <v>33969</v>
      </c>
      <c r="R744" t="s">
        <v>33968</v>
      </c>
      <c r="T744" s="22" t="s">
        <v>37310</v>
      </c>
      <c r="U744" s="22" t="s">
        <v>104</v>
      </c>
    </row>
    <row r="745" spans="1:21" x14ac:dyDescent="0.75">
      <c r="A745" t="s">
        <v>8899</v>
      </c>
      <c r="B745" t="s">
        <v>33572</v>
      </c>
      <c r="C745" t="s">
        <v>33606</v>
      </c>
      <c r="D745" t="s">
        <v>33913</v>
      </c>
      <c r="E745" t="s">
        <v>33912</v>
      </c>
      <c r="F745" t="s">
        <v>33911</v>
      </c>
      <c r="G745" t="s">
        <v>6093</v>
      </c>
      <c r="H745" t="s">
        <v>8900</v>
      </c>
      <c r="J745" t="s">
        <v>33567</v>
      </c>
      <c r="K745" t="s">
        <v>33566</v>
      </c>
      <c r="L745" t="s">
        <v>33565</v>
      </c>
      <c r="N745" t="s">
        <v>33967</v>
      </c>
      <c r="O745" t="s">
        <v>33966</v>
      </c>
      <c r="P745">
        <v>1314</v>
      </c>
      <c r="Q745" t="s">
        <v>33965</v>
      </c>
      <c r="R745" t="s">
        <v>33964</v>
      </c>
      <c r="T745" s="22" t="s">
        <v>37326</v>
      </c>
      <c r="U745" s="22" t="s">
        <v>36804</v>
      </c>
    </row>
    <row r="746" spans="1:21" x14ac:dyDescent="0.75">
      <c r="A746" t="s">
        <v>16674</v>
      </c>
      <c r="B746" t="s">
        <v>33572</v>
      </c>
      <c r="C746" t="s">
        <v>33606</v>
      </c>
      <c r="D746" t="s">
        <v>33913</v>
      </c>
      <c r="E746" t="s">
        <v>33912</v>
      </c>
      <c r="F746" t="s">
        <v>33911</v>
      </c>
      <c r="G746" t="s">
        <v>6093</v>
      </c>
      <c r="H746" t="s">
        <v>16675</v>
      </c>
      <c r="J746" t="s">
        <v>33567</v>
      </c>
      <c r="K746" t="s">
        <v>33566</v>
      </c>
      <c r="L746" t="s">
        <v>33575</v>
      </c>
      <c r="P746">
        <v>0</v>
      </c>
      <c r="Q746" t="s">
        <v>33963</v>
      </c>
      <c r="R746" t="s">
        <v>33962</v>
      </c>
      <c r="T746" s="22" t="s">
        <v>37320</v>
      </c>
      <c r="U746" s="22" t="s">
        <v>104</v>
      </c>
    </row>
    <row r="747" spans="1:21" x14ac:dyDescent="0.75">
      <c r="A747" t="s">
        <v>7967</v>
      </c>
      <c r="B747" t="s">
        <v>33572</v>
      </c>
      <c r="C747" t="s">
        <v>33606</v>
      </c>
      <c r="D747" t="s">
        <v>33913</v>
      </c>
      <c r="E747" t="s">
        <v>33912</v>
      </c>
      <c r="F747" t="s">
        <v>33911</v>
      </c>
      <c r="G747" t="s">
        <v>6093</v>
      </c>
      <c r="H747" t="s">
        <v>6163</v>
      </c>
      <c r="J747" t="s">
        <v>33567</v>
      </c>
      <c r="K747" t="s">
        <v>33566</v>
      </c>
      <c r="L747" t="s">
        <v>33616</v>
      </c>
      <c r="N747" t="s">
        <v>33961</v>
      </c>
      <c r="O747" t="s">
        <v>33614</v>
      </c>
      <c r="P747">
        <v>1304</v>
      </c>
      <c r="Q747" t="s">
        <v>33960</v>
      </c>
      <c r="R747" t="s">
        <v>33959</v>
      </c>
      <c r="T747" s="22" t="s">
        <v>37306</v>
      </c>
      <c r="U747" s="22" t="s">
        <v>104</v>
      </c>
    </row>
    <row r="748" spans="1:21" x14ac:dyDescent="0.75">
      <c r="A748" t="s">
        <v>6272</v>
      </c>
      <c r="B748" t="s">
        <v>33572</v>
      </c>
      <c r="C748" t="s">
        <v>33606</v>
      </c>
      <c r="D748" t="s">
        <v>33913</v>
      </c>
      <c r="E748" t="s">
        <v>33912</v>
      </c>
      <c r="F748" t="s">
        <v>33911</v>
      </c>
      <c r="G748" t="s">
        <v>6093</v>
      </c>
      <c r="H748" t="s">
        <v>6273</v>
      </c>
      <c r="J748" t="s">
        <v>33567</v>
      </c>
      <c r="K748" t="s">
        <v>33566</v>
      </c>
      <c r="L748" t="s">
        <v>33616</v>
      </c>
      <c r="M748" t="s">
        <v>33958</v>
      </c>
      <c r="N748" t="s">
        <v>33957</v>
      </c>
      <c r="O748" t="s">
        <v>33956</v>
      </c>
      <c r="P748">
        <v>1305</v>
      </c>
      <c r="Q748" t="s">
        <v>33955</v>
      </c>
      <c r="R748" t="s">
        <v>33954</v>
      </c>
      <c r="T748" s="22" t="s">
        <v>37313</v>
      </c>
      <c r="U748" s="22" t="s">
        <v>104</v>
      </c>
    </row>
    <row r="749" spans="1:21" x14ac:dyDescent="0.75">
      <c r="A749" t="s">
        <v>10648</v>
      </c>
      <c r="B749" t="s">
        <v>33572</v>
      </c>
      <c r="C749" t="s">
        <v>33606</v>
      </c>
      <c r="D749" t="s">
        <v>33913</v>
      </c>
      <c r="E749" t="s">
        <v>33912</v>
      </c>
      <c r="F749" t="s">
        <v>33911</v>
      </c>
      <c r="G749" t="s">
        <v>6093</v>
      </c>
      <c r="H749" t="s">
        <v>10649</v>
      </c>
      <c r="J749" t="s">
        <v>33567</v>
      </c>
      <c r="K749" t="s">
        <v>33566</v>
      </c>
      <c r="L749" t="s">
        <v>33587</v>
      </c>
      <c r="N749" t="s">
        <v>33953</v>
      </c>
      <c r="O749" t="s">
        <v>33614</v>
      </c>
      <c r="P749">
        <v>176090</v>
      </c>
      <c r="Q749" t="s">
        <v>33952</v>
      </c>
      <c r="R749" t="s">
        <v>33951</v>
      </c>
      <c r="T749" s="22" t="s">
        <v>37325</v>
      </c>
      <c r="U749" s="22" t="s">
        <v>104</v>
      </c>
    </row>
    <row r="750" spans="1:21" x14ac:dyDescent="0.75">
      <c r="A750" t="s">
        <v>7990</v>
      </c>
      <c r="B750" t="s">
        <v>33572</v>
      </c>
      <c r="C750" t="s">
        <v>33606</v>
      </c>
      <c r="D750" t="s">
        <v>33913</v>
      </c>
      <c r="E750" t="s">
        <v>33912</v>
      </c>
      <c r="F750" t="s">
        <v>33911</v>
      </c>
      <c r="G750" t="s">
        <v>6093</v>
      </c>
      <c r="H750" t="s">
        <v>7991</v>
      </c>
      <c r="J750" t="s">
        <v>33567</v>
      </c>
      <c r="K750" t="s">
        <v>33566</v>
      </c>
      <c r="L750" t="s">
        <v>33587</v>
      </c>
      <c r="N750" t="s">
        <v>33950</v>
      </c>
      <c r="O750" t="s">
        <v>33949</v>
      </c>
      <c r="P750">
        <v>1310</v>
      </c>
      <c r="Q750" t="s">
        <v>33948</v>
      </c>
      <c r="R750" t="s">
        <v>33947</v>
      </c>
      <c r="T750" s="22" t="s">
        <v>37316</v>
      </c>
      <c r="U750" s="22" t="s">
        <v>104</v>
      </c>
    </row>
    <row r="751" spans="1:21" x14ac:dyDescent="0.75">
      <c r="A751" t="s">
        <v>7837</v>
      </c>
      <c r="B751" t="s">
        <v>33572</v>
      </c>
      <c r="C751" t="s">
        <v>33606</v>
      </c>
      <c r="D751" t="s">
        <v>33913</v>
      </c>
      <c r="E751" t="s">
        <v>33912</v>
      </c>
      <c r="F751" t="s">
        <v>33911</v>
      </c>
      <c r="G751" t="s">
        <v>6093</v>
      </c>
      <c r="H751" t="s">
        <v>7838</v>
      </c>
      <c r="J751" t="s">
        <v>33617</v>
      </c>
      <c r="K751" t="s">
        <v>33566</v>
      </c>
      <c r="L751" t="s">
        <v>33575</v>
      </c>
      <c r="N751" t="s">
        <v>33946</v>
      </c>
      <c r="O751" t="s">
        <v>33945</v>
      </c>
      <c r="P751">
        <v>712620</v>
      </c>
      <c r="Q751" t="s">
        <v>33944</v>
      </c>
      <c r="R751" t="s">
        <v>33943</v>
      </c>
      <c r="T751" s="22" t="s">
        <v>37620</v>
      </c>
      <c r="U751" s="22" t="s">
        <v>104</v>
      </c>
    </row>
    <row r="752" spans="1:21" x14ac:dyDescent="0.75">
      <c r="A752" t="s">
        <v>33942</v>
      </c>
      <c r="B752" t="s">
        <v>33572</v>
      </c>
      <c r="C752" t="s">
        <v>33606</v>
      </c>
      <c r="D752" t="s">
        <v>33913</v>
      </c>
      <c r="E752" t="s">
        <v>33912</v>
      </c>
      <c r="F752" t="s">
        <v>33911</v>
      </c>
      <c r="G752" t="s">
        <v>6093</v>
      </c>
      <c r="H752" t="s">
        <v>33941</v>
      </c>
      <c r="J752" t="s">
        <v>33617</v>
      </c>
      <c r="K752" t="s">
        <v>33703</v>
      </c>
      <c r="L752" t="s">
        <v>33575</v>
      </c>
      <c r="N752" t="s">
        <v>33940</v>
      </c>
      <c r="O752" t="s">
        <v>33939</v>
      </c>
      <c r="P752">
        <v>712621</v>
      </c>
      <c r="T752" s="22" t="s">
        <v>37621</v>
      </c>
      <c r="U752" s="22" t="s">
        <v>104</v>
      </c>
    </row>
    <row r="753" spans="1:21" x14ac:dyDescent="0.75">
      <c r="A753" t="s">
        <v>8324</v>
      </c>
      <c r="B753" t="s">
        <v>33572</v>
      </c>
      <c r="C753" t="s">
        <v>33606</v>
      </c>
      <c r="D753" t="s">
        <v>33913</v>
      </c>
      <c r="E753" t="s">
        <v>33912</v>
      </c>
      <c r="F753" t="s">
        <v>33911</v>
      </c>
      <c r="G753" t="s">
        <v>6093</v>
      </c>
      <c r="H753" t="s">
        <v>8325</v>
      </c>
      <c r="J753" t="s">
        <v>33617</v>
      </c>
      <c r="K753" t="s">
        <v>33566</v>
      </c>
      <c r="L753" t="s">
        <v>33587</v>
      </c>
      <c r="N753" t="s">
        <v>33938</v>
      </c>
      <c r="O753" t="s">
        <v>33937</v>
      </c>
      <c r="P753">
        <v>1458253</v>
      </c>
      <c r="Q753" t="s">
        <v>8323</v>
      </c>
      <c r="R753" t="s">
        <v>33936</v>
      </c>
      <c r="T753" s="22" t="s">
        <v>37622</v>
      </c>
      <c r="U753" s="22" t="s">
        <v>104</v>
      </c>
    </row>
    <row r="754" spans="1:21" x14ac:dyDescent="0.75">
      <c r="A754" t="s">
        <v>33935</v>
      </c>
      <c r="B754" t="s">
        <v>33572</v>
      </c>
      <c r="C754" t="s">
        <v>33606</v>
      </c>
      <c r="D754" t="s">
        <v>33913</v>
      </c>
      <c r="E754" t="s">
        <v>33912</v>
      </c>
      <c r="F754" t="s">
        <v>33911</v>
      </c>
      <c r="G754" t="s">
        <v>6093</v>
      </c>
      <c r="H754" t="s">
        <v>33934</v>
      </c>
      <c r="J754" t="s">
        <v>33617</v>
      </c>
      <c r="K754" t="s">
        <v>33566</v>
      </c>
      <c r="L754" t="s">
        <v>33609</v>
      </c>
      <c r="N754" t="s">
        <v>33933</v>
      </c>
      <c r="O754" t="s">
        <v>33932</v>
      </c>
      <c r="P754">
        <v>712624</v>
      </c>
      <c r="T754" s="22" t="s">
        <v>37623</v>
      </c>
      <c r="U754" s="22" t="s">
        <v>104</v>
      </c>
    </row>
    <row r="755" spans="1:21" x14ac:dyDescent="0.75">
      <c r="A755" t="s">
        <v>8936</v>
      </c>
      <c r="B755" t="s">
        <v>33572</v>
      </c>
      <c r="C755" t="s">
        <v>33606</v>
      </c>
      <c r="D755" t="s">
        <v>33913</v>
      </c>
      <c r="E755" t="s">
        <v>33912</v>
      </c>
      <c r="F755" t="s">
        <v>33911</v>
      </c>
      <c r="G755" t="s">
        <v>6093</v>
      </c>
      <c r="H755" t="s">
        <v>8937</v>
      </c>
      <c r="J755" t="s">
        <v>33617</v>
      </c>
      <c r="K755" t="s">
        <v>33566</v>
      </c>
      <c r="L755" t="s">
        <v>33575</v>
      </c>
      <c r="N755" t="s">
        <v>33931</v>
      </c>
      <c r="O755" t="s">
        <v>33930</v>
      </c>
      <c r="P755">
        <v>712626</v>
      </c>
      <c r="Q755" t="s">
        <v>8935</v>
      </c>
      <c r="R755" t="s">
        <v>33929</v>
      </c>
      <c r="T755" s="22" t="s">
        <v>37624</v>
      </c>
      <c r="U755" s="22" t="s">
        <v>104</v>
      </c>
    </row>
    <row r="756" spans="1:21" x14ac:dyDescent="0.75">
      <c r="A756" t="s">
        <v>33928</v>
      </c>
      <c r="B756" t="s">
        <v>33572</v>
      </c>
      <c r="C756" t="s">
        <v>33606</v>
      </c>
      <c r="D756" t="s">
        <v>33913</v>
      </c>
      <c r="E756" t="s">
        <v>33912</v>
      </c>
      <c r="F756" t="s">
        <v>33911</v>
      </c>
      <c r="G756" t="s">
        <v>6093</v>
      </c>
      <c r="H756" t="s">
        <v>33927</v>
      </c>
      <c r="J756" t="s">
        <v>33617</v>
      </c>
      <c r="K756" t="s">
        <v>33566</v>
      </c>
      <c r="L756" t="s">
        <v>33587</v>
      </c>
      <c r="N756" t="s">
        <v>33926</v>
      </c>
      <c r="O756" t="s">
        <v>33925</v>
      </c>
      <c r="P756">
        <v>1077464</v>
      </c>
      <c r="T756" s="22" t="s">
        <v>37625</v>
      </c>
      <c r="U756" s="22" t="s">
        <v>104</v>
      </c>
    </row>
    <row r="757" spans="1:21" x14ac:dyDescent="0.75">
      <c r="A757" t="s">
        <v>33924</v>
      </c>
      <c r="B757" t="s">
        <v>33572</v>
      </c>
      <c r="C757" t="s">
        <v>33606</v>
      </c>
      <c r="D757" t="s">
        <v>33913</v>
      </c>
      <c r="E757" t="s">
        <v>33912</v>
      </c>
      <c r="F757" t="s">
        <v>33911</v>
      </c>
      <c r="G757" t="s">
        <v>6093</v>
      </c>
      <c r="H757" t="s">
        <v>33923</v>
      </c>
      <c r="J757" t="s">
        <v>33617</v>
      </c>
      <c r="K757" t="s">
        <v>33703</v>
      </c>
      <c r="L757" t="s">
        <v>33575</v>
      </c>
      <c r="N757" t="s">
        <v>33922</v>
      </c>
      <c r="O757" t="s">
        <v>33921</v>
      </c>
      <c r="P757">
        <v>712631</v>
      </c>
      <c r="T757" s="22" t="s">
        <v>37626</v>
      </c>
      <c r="U757" s="22" t="s">
        <v>104</v>
      </c>
    </row>
    <row r="758" spans="1:21" x14ac:dyDescent="0.75">
      <c r="A758" t="s">
        <v>33920</v>
      </c>
      <c r="B758" t="s">
        <v>33572</v>
      </c>
      <c r="C758" t="s">
        <v>33606</v>
      </c>
      <c r="D758" t="s">
        <v>33913</v>
      </c>
      <c r="E758" t="s">
        <v>33912</v>
      </c>
      <c r="F758" t="s">
        <v>33911</v>
      </c>
      <c r="G758" t="s">
        <v>6093</v>
      </c>
      <c r="H758" t="s">
        <v>33919</v>
      </c>
      <c r="J758" t="s">
        <v>33617</v>
      </c>
      <c r="K758" t="s">
        <v>33703</v>
      </c>
      <c r="L758" t="s">
        <v>33620</v>
      </c>
      <c r="N758" t="s">
        <v>33918</v>
      </c>
      <c r="O758" t="s">
        <v>33917</v>
      </c>
      <c r="P758">
        <v>712632</v>
      </c>
      <c r="T758" s="22" t="s">
        <v>37627</v>
      </c>
      <c r="U758" s="22" t="s">
        <v>104</v>
      </c>
    </row>
    <row r="759" spans="1:21" x14ac:dyDescent="0.75">
      <c r="A759" t="s">
        <v>11795</v>
      </c>
      <c r="B759" t="s">
        <v>33572</v>
      </c>
      <c r="C759" t="s">
        <v>33606</v>
      </c>
      <c r="D759" t="s">
        <v>33913</v>
      </c>
      <c r="E759" t="s">
        <v>33912</v>
      </c>
      <c r="F759" t="s">
        <v>33911</v>
      </c>
      <c r="G759" t="s">
        <v>6093</v>
      </c>
      <c r="H759" t="s">
        <v>11796</v>
      </c>
      <c r="J759" t="s">
        <v>33567</v>
      </c>
      <c r="K759" t="s">
        <v>33566</v>
      </c>
      <c r="L759" t="s">
        <v>33916</v>
      </c>
      <c r="O759" t="s">
        <v>33614</v>
      </c>
      <c r="P759">
        <v>1308</v>
      </c>
      <c r="Q759" t="s">
        <v>33915</v>
      </c>
      <c r="R759" t="s">
        <v>33914</v>
      </c>
      <c r="T759" s="22" t="s">
        <v>37314</v>
      </c>
      <c r="U759" s="22" t="s">
        <v>1563</v>
      </c>
    </row>
    <row r="760" spans="1:21" x14ac:dyDescent="0.75">
      <c r="A760" t="s">
        <v>7324</v>
      </c>
      <c r="B760" t="s">
        <v>33572</v>
      </c>
      <c r="C760" t="s">
        <v>33606</v>
      </c>
      <c r="D760" t="s">
        <v>33913</v>
      </c>
      <c r="E760" t="s">
        <v>33912</v>
      </c>
      <c r="F760" t="s">
        <v>33911</v>
      </c>
      <c r="G760" t="s">
        <v>6093</v>
      </c>
      <c r="H760" t="s">
        <v>7325</v>
      </c>
      <c r="J760" t="s">
        <v>33567</v>
      </c>
      <c r="K760" t="s">
        <v>33566</v>
      </c>
      <c r="L760" t="s">
        <v>33616</v>
      </c>
      <c r="N760" t="s">
        <v>33910</v>
      </c>
      <c r="O760" t="s">
        <v>33614</v>
      </c>
      <c r="P760">
        <v>1343</v>
      </c>
      <c r="Q760" t="s">
        <v>33909</v>
      </c>
      <c r="R760" t="s">
        <v>33908</v>
      </c>
      <c r="T760" s="22" t="s">
        <v>37321</v>
      </c>
      <c r="U760" s="22" t="s">
        <v>104</v>
      </c>
    </row>
    <row r="761" spans="1:21" x14ac:dyDescent="0.75">
      <c r="A761" t="s">
        <v>7831</v>
      </c>
      <c r="B761" t="s">
        <v>33572</v>
      </c>
      <c r="C761" t="s">
        <v>33571</v>
      </c>
      <c r="D761" t="s">
        <v>33570</v>
      </c>
      <c r="E761" t="s">
        <v>33907</v>
      </c>
      <c r="F761" t="s">
        <v>33906</v>
      </c>
      <c r="G761" t="s">
        <v>7832</v>
      </c>
      <c r="H761" t="s">
        <v>7833</v>
      </c>
      <c r="J761" t="s">
        <v>33567</v>
      </c>
      <c r="K761" t="s">
        <v>33566</v>
      </c>
      <c r="L761" t="s">
        <v>33651</v>
      </c>
      <c r="N761" t="s">
        <v>33905</v>
      </c>
      <c r="O761" t="s">
        <v>33904</v>
      </c>
      <c r="P761">
        <v>316</v>
      </c>
      <c r="Q761" t="s">
        <v>33903</v>
      </c>
      <c r="R761" t="s">
        <v>33902</v>
      </c>
      <c r="T761" s="22" t="s">
        <v>37337</v>
      </c>
      <c r="U761" s="22" t="s">
        <v>144</v>
      </c>
    </row>
    <row r="762" spans="1:21" x14ac:dyDescent="0.75">
      <c r="A762" t="s">
        <v>33901</v>
      </c>
      <c r="B762" t="s">
        <v>33572</v>
      </c>
      <c r="C762" t="s">
        <v>33606</v>
      </c>
      <c r="D762" t="s">
        <v>33663</v>
      </c>
      <c r="E762" t="s">
        <v>33900</v>
      </c>
      <c r="F762" t="s">
        <v>33899</v>
      </c>
      <c r="G762" t="s">
        <v>33898</v>
      </c>
      <c r="H762" t="s">
        <v>33897</v>
      </c>
      <c r="J762" t="s">
        <v>33577</v>
      </c>
      <c r="K762" t="s">
        <v>33576</v>
      </c>
      <c r="L762" t="s">
        <v>33659</v>
      </c>
      <c r="N762" t="s">
        <v>33896</v>
      </c>
      <c r="O762" t="s">
        <v>33895</v>
      </c>
      <c r="P762">
        <v>68298</v>
      </c>
      <c r="T762" s="22" t="s">
        <v>37628</v>
      </c>
      <c r="U762" s="22" t="s">
        <v>1563</v>
      </c>
    </row>
    <row r="763" spans="1:21" x14ac:dyDescent="0.75">
      <c r="A763" t="s">
        <v>578</v>
      </c>
      <c r="B763" t="s">
        <v>33572</v>
      </c>
      <c r="C763" t="s">
        <v>33583</v>
      </c>
      <c r="D763" t="s">
        <v>33881</v>
      </c>
      <c r="E763" t="s">
        <v>33880</v>
      </c>
      <c r="F763" t="s">
        <v>33879</v>
      </c>
      <c r="G763" t="s">
        <v>8354</v>
      </c>
      <c r="H763" t="s">
        <v>8355</v>
      </c>
      <c r="J763" t="s">
        <v>33567</v>
      </c>
      <c r="K763" t="s">
        <v>33566</v>
      </c>
      <c r="L763" t="s">
        <v>33575</v>
      </c>
      <c r="N763" t="s">
        <v>33894</v>
      </c>
      <c r="O763" t="s">
        <v>33893</v>
      </c>
      <c r="P763">
        <v>28112</v>
      </c>
      <c r="Q763" t="s">
        <v>33892</v>
      </c>
      <c r="R763" t="s">
        <v>33891</v>
      </c>
      <c r="T763" s="22" t="s">
        <v>579</v>
      </c>
      <c r="U763" s="22" t="s">
        <v>104</v>
      </c>
    </row>
    <row r="764" spans="1:21" x14ac:dyDescent="0.75">
      <c r="A764" t="s">
        <v>12538</v>
      </c>
      <c r="B764" t="s">
        <v>33572</v>
      </c>
      <c r="C764" t="s">
        <v>33583</v>
      </c>
      <c r="D764" t="s">
        <v>33881</v>
      </c>
      <c r="E764" t="s">
        <v>33880</v>
      </c>
      <c r="F764" t="s">
        <v>33879</v>
      </c>
      <c r="G764" t="s">
        <v>8354</v>
      </c>
      <c r="H764" t="s">
        <v>12539</v>
      </c>
      <c r="J764" t="s">
        <v>33567</v>
      </c>
      <c r="K764" t="s">
        <v>33566</v>
      </c>
      <c r="L764" t="s">
        <v>33575</v>
      </c>
      <c r="N764" t="s">
        <v>33890</v>
      </c>
      <c r="O764" t="s">
        <v>33889</v>
      </c>
      <c r="P764">
        <v>712710</v>
      </c>
      <c r="Q764" t="s">
        <v>33888</v>
      </c>
      <c r="R764" t="s">
        <v>33887</v>
      </c>
      <c r="T764" s="22" t="s">
        <v>37338</v>
      </c>
      <c r="U764" s="22" t="s">
        <v>104</v>
      </c>
    </row>
    <row r="765" spans="1:21" x14ac:dyDescent="0.75">
      <c r="A765" t="s">
        <v>33886</v>
      </c>
      <c r="B765" t="s">
        <v>33572</v>
      </c>
      <c r="C765" t="s">
        <v>33583</v>
      </c>
      <c r="D765" t="s">
        <v>33881</v>
      </c>
      <c r="E765" t="s">
        <v>33880</v>
      </c>
      <c r="F765" t="s">
        <v>33879</v>
      </c>
      <c r="G765" t="s">
        <v>8354</v>
      </c>
      <c r="H765" t="s">
        <v>33885</v>
      </c>
      <c r="J765" t="s">
        <v>33577</v>
      </c>
      <c r="K765" t="s">
        <v>33576</v>
      </c>
      <c r="L765" t="s">
        <v>33575</v>
      </c>
      <c r="N765" t="s">
        <v>33884</v>
      </c>
      <c r="O765" t="s">
        <v>33883</v>
      </c>
      <c r="P765">
        <v>712711</v>
      </c>
      <c r="T765" s="22" t="s">
        <v>37629</v>
      </c>
      <c r="U765" s="22" t="s">
        <v>104</v>
      </c>
    </row>
    <row r="766" spans="1:21" x14ac:dyDescent="0.75">
      <c r="A766" t="s">
        <v>33882</v>
      </c>
      <c r="B766" t="s">
        <v>33572</v>
      </c>
      <c r="C766" t="s">
        <v>33583</v>
      </c>
      <c r="D766" t="s">
        <v>33881</v>
      </c>
      <c r="E766" t="s">
        <v>33880</v>
      </c>
      <c r="F766" t="s">
        <v>33879</v>
      </c>
      <c r="G766" t="s">
        <v>8354</v>
      </c>
      <c r="H766" t="s">
        <v>33878</v>
      </c>
      <c r="J766" t="s">
        <v>33577</v>
      </c>
      <c r="K766" t="s">
        <v>33576</v>
      </c>
      <c r="L766" t="s">
        <v>33587</v>
      </c>
      <c r="N766" t="s">
        <v>33877</v>
      </c>
      <c r="O766" t="s">
        <v>33876</v>
      </c>
      <c r="P766">
        <v>195950</v>
      </c>
      <c r="T766" s="22" t="s">
        <v>37630</v>
      </c>
      <c r="U766" s="22" t="s">
        <v>104</v>
      </c>
    </row>
    <row r="767" spans="1:21" x14ac:dyDescent="0.75">
      <c r="A767" t="s">
        <v>33875</v>
      </c>
      <c r="B767" t="s">
        <v>33572</v>
      </c>
      <c r="C767" t="s">
        <v>33677</v>
      </c>
      <c r="D767" t="s">
        <v>33676</v>
      </c>
      <c r="E767" t="s">
        <v>33675</v>
      </c>
      <c r="F767" t="s">
        <v>33674</v>
      </c>
      <c r="G767" t="s">
        <v>6136</v>
      </c>
      <c r="H767" t="s">
        <v>33874</v>
      </c>
      <c r="J767" t="s">
        <v>33567</v>
      </c>
      <c r="K767" t="s">
        <v>33566</v>
      </c>
      <c r="L767" t="s">
        <v>33609</v>
      </c>
      <c r="N767" t="s">
        <v>33873</v>
      </c>
      <c r="O767" t="s">
        <v>33680</v>
      </c>
      <c r="P767">
        <v>59892</v>
      </c>
      <c r="T767" s="22" t="s">
        <v>37380</v>
      </c>
      <c r="U767" s="22" t="s">
        <v>104</v>
      </c>
    </row>
    <row r="768" spans="1:21" x14ac:dyDescent="0.75">
      <c r="A768" t="s">
        <v>6135</v>
      </c>
      <c r="B768" t="s">
        <v>33572</v>
      </c>
      <c r="C768" t="s">
        <v>33677</v>
      </c>
      <c r="D768" t="s">
        <v>33676</v>
      </c>
      <c r="E768" t="s">
        <v>33675</v>
      </c>
      <c r="F768" t="s">
        <v>33674</v>
      </c>
      <c r="G768" t="s">
        <v>6136</v>
      </c>
      <c r="H768" t="s">
        <v>6137</v>
      </c>
      <c r="J768" t="s">
        <v>33567</v>
      </c>
      <c r="K768" t="s">
        <v>33566</v>
      </c>
      <c r="L768" t="s">
        <v>33575</v>
      </c>
      <c r="M768" t="s">
        <v>6138</v>
      </c>
      <c r="N768" t="s">
        <v>33872</v>
      </c>
      <c r="O768" t="s">
        <v>33871</v>
      </c>
      <c r="P768">
        <v>158</v>
      </c>
      <c r="Q768" t="s">
        <v>33870</v>
      </c>
      <c r="R768" t="s">
        <v>33869</v>
      </c>
      <c r="T768" s="22" t="s">
        <v>37340</v>
      </c>
      <c r="U768" s="22" t="s">
        <v>104</v>
      </c>
    </row>
    <row r="769" spans="1:21" x14ac:dyDescent="0.75">
      <c r="A769" t="s">
        <v>9804</v>
      </c>
      <c r="B769" t="s">
        <v>33572</v>
      </c>
      <c r="C769" t="s">
        <v>33677</v>
      </c>
      <c r="D769" t="s">
        <v>33676</v>
      </c>
      <c r="E769" t="s">
        <v>33675</v>
      </c>
      <c r="F769" t="s">
        <v>33674</v>
      </c>
      <c r="G769" t="s">
        <v>6136</v>
      </c>
      <c r="H769" t="s">
        <v>9805</v>
      </c>
      <c r="J769" t="s">
        <v>33567</v>
      </c>
      <c r="K769" t="s">
        <v>33566</v>
      </c>
      <c r="L769" t="s">
        <v>33575</v>
      </c>
      <c r="M769" t="s">
        <v>33868</v>
      </c>
      <c r="N769" t="s">
        <v>33867</v>
      </c>
      <c r="O769" t="s">
        <v>33866</v>
      </c>
      <c r="P769">
        <v>53418</v>
      </c>
      <c r="Q769" t="s">
        <v>9803</v>
      </c>
      <c r="R769" t="s">
        <v>33865</v>
      </c>
      <c r="T769" s="22" t="s">
        <v>37346</v>
      </c>
      <c r="U769" s="22" t="s">
        <v>104</v>
      </c>
    </row>
    <row r="770" spans="1:21" x14ac:dyDescent="0.75">
      <c r="A770" t="s">
        <v>9489</v>
      </c>
      <c r="B770" t="s">
        <v>33572</v>
      </c>
      <c r="C770" t="s">
        <v>33677</v>
      </c>
      <c r="D770" t="s">
        <v>33676</v>
      </c>
      <c r="E770" t="s">
        <v>33675</v>
      </c>
      <c r="F770" t="s">
        <v>33674</v>
      </c>
      <c r="G770" t="s">
        <v>6136</v>
      </c>
      <c r="H770" t="s">
        <v>9490</v>
      </c>
      <c r="J770" t="s">
        <v>33567</v>
      </c>
      <c r="K770" t="s">
        <v>33566</v>
      </c>
      <c r="L770" t="s">
        <v>33575</v>
      </c>
      <c r="N770" t="s">
        <v>33864</v>
      </c>
      <c r="O770" t="s">
        <v>33680</v>
      </c>
      <c r="P770">
        <v>51160</v>
      </c>
      <c r="Q770" t="s">
        <v>9488</v>
      </c>
      <c r="R770" t="s">
        <v>33863</v>
      </c>
      <c r="T770" s="22" t="s">
        <v>37344</v>
      </c>
      <c r="U770" s="22" t="s">
        <v>104</v>
      </c>
    </row>
    <row r="771" spans="1:21" x14ac:dyDescent="0.75">
      <c r="A771" t="s">
        <v>9484</v>
      </c>
      <c r="B771" t="s">
        <v>33572</v>
      </c>
      <c r="C771" t="s">
        <v>33677</v>
      </c>
      <c r="D771" t="s">
        <v>33676</v>
      </c>
      <c r="E771" t="s">
        <v>33675</v>
      </c>
      <c r="F771" t="s">
        <v>33674</v>
      </c>
      <c r="G771" t="s">
        <v>6136</v>
      </c>
      <c r="H771" t="s">
        <v>9485</v>
      </c>
      <c r="J771" t="s">
        <v>33567</v>
      </c>
      <c r="K771" t="s">
        <v>33566</v>
      </c>
      <c r="L771" t="s">
        <v>33575</v>
      </c>
      <c r="N771" t="s">
        <v>33862</v>
      </c>
      <c r="O771" t="s">
        <v>33680</v>
      </c>
      <c r="P771">
        <v>58231</v>
      </c>
      <c r="Q771" t="s">
        <v>33861</v>
      </c>
      <c r="R771" t="s">
        <v>33860</v>
      </c>
      <c r="T771" s="22" t="s">
        <v>37345</v>
      </c>
      <c r="U771" s="22" t="s">
        <v>104</v>
      </c>
    </row>
    <row r="772" spans="1:21" x14ac:dyDescent="0.75">
      <c r="A772" t="s">
        <v>6147</v>
      </c>
      <c r="B772" t="s">
        <v>33572</v>
      </c>
      <c r="C772" t="s">
        <v>33677</v>
      </c>
      <c r="D772" t="s">
        <v>33676</v>
      </c>
      <c r="E772" t="s">
        <v>33675</v>
      </c>
      <c r="F772" t="s">
        <v>33674</v>
      </c>
      <c r="G772" t="s">
        <v>6136</v>
      </c>
      <c r="H772" t="s">
        <v>6148</v>
      </c>
      <c r="J772" t="s">
        <v>33567</v>
      </c>
      <c r="K772" t="s">
        <v>33566</v>
      </c>
      <c r="L772" t="s">
        <v>33565</v>
      </c>
      <c r="N772" t="s">
        <v>33859</v>
      </c>
      <c r="O772" t="s">
        <v>33858</v>
      </c>
      <c r="P772">
        <v>160</v>
      </c>
      <c r="Q772" t="s">
        <v>33857</v>
      </c>
      <c r="R772" t="s">
        <v>33856</v>
      </c>
      <c r="T772" s="22" t="s">
        <v>37339</v>
      </c>
      <c r="U772" s="22" t="s">
        <v>36804</v>
      </c>
    </row>
    <row r="773" spans="1:21" x14ac:dyDescent="0.75">
      <c r="A773" t="s">
        <v>20597</v>
      </c>
      <c r="B773" t="s">
        <v>33572</v>
      </c>
      <c r="C773" t="s">
        <v>33677</v>
      </c>
      <c r="D773" t="s">
        <v>33676</v>
      </c>
      <c r="E773" t="s">
        <v>33675</v>
      </c>
      <c r="F773" t="s">
        <v>33674</v>
      </c>
      <c r="G773" t="s">
        <v>6136</v>
      </c>
      <c r="H773" t="s">
        <v>6088</v>
      </c>
      <c r="J773" t="s">
        <v>33567</v>
      </c>
      <c r="K773" t="s">
        <v>33566</v>
      </c>
      <c r="L773" t="s">
        <v>33587</v>
      </c>
      <c r="N773" t="s">
        <v>33855</v>
      </c>
      <c r="O773" t="s">
        <v>33680</v>
      </c>
      <c r="P773">
        <v>138851</v>
      </c>
      <c r="Q773" t="s">
        <v>33854</v>
      </c>
      <c r="R773" t="s">
        <v>33853</v>
      </c>
      <c r="T773" s="22" t="s">
        <v>37349</v>
      </c>
      <c r="U773" s="22" t="s">
        <v>104</v>
      </c>
    </row>
    <row r="774" spans="1:21" x14ac:dyDescent="0.75">
      <c r="A774" t="s">
        <v>27829</v>
      </c>
      <c r="B774" t="s">
        <v>33572</v>
      </c>
      <c r="C774" t="s">
        <v>33677</v>
      </c>
      <c r="D774" t="s">
        <v>33676</v>
      </c>
      <c r="E774" t="s">
        <v>33675</v>
      </c>
      <c r="F774" t="s">
        <v>33674</v>
      </c>
      <c r="G774" t="s">
        <v>6136</v>
      </c>
      <c r="H774" t="s">
        <v>27830</v>
      </c>
      <c r="J774" t="s">
        <v>33567</v>
      </c>
      <c r="K774" t="s">
        <v>33566</v>
      </c>
      <c r="L774" t="s">
        <v>33587</v>
      </c>
      <c r="N774" t="s">
        <v>33852</v>
      </c>
      <c r="O774" t="s">
        <v>33680</v>
      </c>
      <c r="P774">
        <v>164</v>
      </c>
      <c r="Q774" t="s">
        <v>33851</v>
      </c>
      <c r="R774" t="s">
        <v>33850</v>
      </c>
      <c r="T774" s="22" t="s">
        <v>37348</v>
      </c>
      <c r="U774" s="22" t="s">
        <v>104</v>
      </c>
    </row>
    <row r="775" spans="1:21" x14ac:dyDescent="0.75">
      <c r="A775" t="s">
        <v>10581</v>
      </c>
      <c r="B775" t="s">
        <v>33572</v>
      </c>
      <c r="C775" t="s">
        <v>33677</v>
      </c>
      <c r="D775" t="s">
        <v>33676</v>
      </c>
      <c r="E775" t="s">
        <v>33675</v>
      </c>
      <c r="F775" t="s">
        <v>33674</v>
      </c>
      <c r="G775" t="s">
        <v>6136</v>
      </c>
      <c r="H775" t="s">
        <v>10582</v>
      </c>
      <c r="J775" t="s">
        <v>33567</v>
      </c>
      <c r="K775" t="s">
        <v>33566</v>
      </c>
      <c r="L775" t="s">
        <v>33587</v>
      </c>
      <c r="N775" t="s">
        <v>33849</v>
      </c>
      <c r="O775" t="s">
        <v>33680</v>
      </c>
      <c r="P775">
        <v>221027</v>
      </c>
      <c r="Q775" t="s">
        <v>33848</v>
      </c>
      <c r="R775" t="s">
        <v>33847</v>
      </c>
      <c r="T775" s="22" t="s">
        <v>37347</v>
      </c>
      <c r="U775" s="22" t="s">
        <v>104</v>
      </c>
    </row>
    <row r="776" spans="1:21" x14ac:dyDescent="0.75">
      <c r="A776" t="s">
        <v>28699</v>
      </c>
      <c r="B776" t="s">
        <v>33572</v>
      </c>
      <c r="C776" t="s">
        <v>33677</v>
      </c>
      <c r="D776" t="s">
        <v>33676</v>
      </c>
      <c r="E776" t="s">
        <v>33675</v>
      </c>
      <c r="F776" t="s">
        <v>33674</v>
      </c>
      <c r="G776" t="s">
        <v>6136</v>
      </c>
      <c r="H776" t="s">
        <v>33842</v>
      </c>
      <c r="I776" t="s">
        <v>33846</v>
      </c>
      <c r="J776" t="s">
        <v>33567</v>
      </c>
      <c r="K776" t="s">
        <v>33566</v>
      </c>
      <c r="L776" t="s">
        <v>33575</v>
      </c>
      <c r="P776">
        <v>0</v>
      </c>
      <c r="Q776" t="s">
        <v>28698</v>
      </c>
      <c r="R776" t="s">
        <v>33845</v>
      </c>
      <c r="T776" s="22" t="s">
        <v>37381</v>
      </c>
      <c r="U776" s="22" t="s">
        <v>104</v>
      </c>
    </row>
    <row r="777" spans="1:21" x14ac:dyDescent="0.75">
      <c r="A777" t="s">
        <v>9479</v>
      </c>
      <c r="B777" t="s">
        <v>33572</v>
      </c>
      <c r="C777" t="s">
        <v>33677</v>
      </c>
      <c r="D777" t="s">
        <v>33676</v>
      </c>
      <c r="E777" t="s">
        <v>33675</v>
      </c>
      <c r="F777" t="s">
        <v>33674</v>
      </c>
      <c r="G777" t="s">
        <v>6136</v>
      </c>
      <c r="H777" t="s">
        <v>33842</v>
      </c>
      <c r="I777" t="s">
        <v>33844</v>
      </c>
      <c r="J777" t="s">
        <v>33567</v>
      </c>
      <c r="K777" t="s">
        <v>33566</v>
      </c>
      <c r="L777" t="s">
        <v>33575</v>
      </c>
      <c r="P777">
        <v>0</v>
      </c>
      <c r="Q777" t="s">
        <v>9478</v>
      </c>
      <c r="R777" t="s">
        <v>33843</v>
      </c>
      <c r="T777" s="22" t="s">
        <v>37381</v>
      </c>
      <c r="U777" s="22" t="s">
        <v>104</v>
      </c>
    </row>
    <row r="778" spans="1:21" x14ac:dyDescent="0.75">
      <c r="A778" t="s">
        <v>9698</v>
      </c>
      <c r="B778" t="s">
        <v>33572</v>
      </c>
      <c r="C778" t="s">
        <v>33677</v>
      </c>
      <c r="D778" t="s">
        <v>33676</v>
      </c>
      <c r="E778" t="s">
        <v>33675</v>
      </c>
      <c r="F778" t="s">
        <v>33674</v>
      </c>
      <c r="G778" t="s">
        <v>6136</v>
      </c>
      <c r="H778" t="s">
        <v>33842</v>
      </c>
      <c r="I778" t="s">
        <v>33841</v>
      </c>
      <c r="J778" t="s">
        <v>33567</v>
      </c>
      <c r="K778" t="s">
        <v>33566</v>
      </c>
      <c r="L778" t="s">
        <v>33575</v>
      </c>
      <c r="M778" t="s">
        <v>9809</v>
      </c>
      <c r="N778" t="s">
        <v>33840</v>
      </c>
      <c r="O778" t="s">
        <v>33839</v>
      </c>
      <c r="P778">
        <v>53419</v>
      </c>
      <c r="Q778" t="s">
        <v>33838</v>
      </c>
      <c r="R778" t="s">
        <v>33837</v>
      </c>
      <c r="T778" s="22" t="s">
        <v>37381</v>
      </c>
      <c r="U778" s="22" t="s">
        <v>104</v>
      </c>
    </row>
    <row r="779" spans="1:21" x14ac:dyDescent="0.75">
      <c r="A779" t="s">
        <v>33836</v>
      </c>
      <c r="B779" t="s">
        <v>33572</v>
      </c>
      <c r="C779" t="s">
        <v>33677</v>
      </c>
      <c r="D779" t="s">
        <v>33676</v>
      </c>
      <c r="E779" t="s">
        <v>33675</v>
      </c>
      <c r="F779" t="s">
        <v>33674</v>
      </c>
      <c r="G779" t="s">
        <v>6136</v>
      </c>
      <c r="H779" t="s">
        <v>33835</v>
      </c>
      <c r="J779" t="s">
        <v>33577</v>
      </c>
      <c r="K779" t="s">
        <v>33576</v>
      </c>
      <c r="L779" t="s">
        <v>33575</v>
      </c>
      <c r="N779" t="s">
        <v>33834</v>
      </c>
      <c r="O779" t="s">
        <v>33833</v>
      </c>
      <c r="P779">
        <v>712715</v>
      </c>
      <c r="T779" s="22" t="s">
        <v>37631</v>
      </c>
      <c r="U779" s="22" t="s">
        <v>104</v>
      </c>
    </row>
    <row r="780" spans="1:21" x14ac:dyDescent="0.75">
      <c r="A780" t="s">
        <v>33832</v>
      </c>
      <c r="B780" t="s">
        <v>33572</v>
      </c>
      <c r="C780" t="s">
        <v>33677</v>
      </c>
      <c r="D780" t="s">
        <v>33676</v>
      </c>
      <c r="E780" t="s">
        <v>33675</v>
      </c>
      <c r="F780" t="s">
        <v>33674</v>
      </c>
      <c r="G780" t="s">
        <v>6136</v>
      </c>
      <c r="H780" t="s">
        <v>33831</v>
      </c>
      <c r="J780" t="s">
        <v>33577</v>
      </c>
      <c r="K780" t="s">
        <v>33576</v>
      </c>
      <c r="L780" t="s">
        <v>33587</v>
      </c>
      <c r="N780" t="s">
        <v>33830</v>
      </c>
      <c r="O780" t="s">
        <v>33829</v>
      </c>
      <c r="P780">
        <v>712716</v>
      </c>
      <c r="T780" s="22" t="s">
        <v>37632</v>
      </c>
      <c r="U780" s="22" t="s">
        <v>104</v>
      </c>
    </row>
    <row r="781" spans="1:21" x14ac:dyDescent="0.75">
      <c r="A781" t="s">
        <v>33828</v>
      </c>
      <c r="B781" t="s">
        <v>33572</v>
      </c>
      <c r="C781" t="s">
        <v>33677</v>
      </c>
      <c r="D781" t="s">
        <v>33676</v>
      </c>
      <c r="E781" t="s">
        <v>33675</v>
      </c>
      <c r="F781" t="s">
        <v>33674</v>
      </c>
      <c r="G781" t="s">
        <v>6136</v>
      </c>
      <c r="H781" t="s">
        <v>33827</v>
      </c>
      <c r="J781" t="s">
        <v>33577</v>
      </c>
      <c r="K781" t="s">
        <v>33576</v>
      </c>
      <c r="L781" t="s">
        <v>33587</v>
      </c>
      <c r="N781" t="s">
        <v>33826</v>
      </c>
      <c r="O781" t="s">
        <v>33825</v>
      </c>
      <c r="P781">
        <v>712717</v>
      </c>
      <c r="T781" s="22" t="s">
        <v>37633</v>
      </c>
      <c r="U781" s="22" t="s">
        <v>104</v>
      </c>
    </row>
    <row r="782" spans="1:21" x14ac:dyDescent="0.75">
      <c r="A782" t="s">
        <v>33824</v>
      </c>
      <c r="B782" t="s">
        <v>33572</v>
      </c>
      <c r="C782" t="s">
        <v>33677</v>
      </c>
      <c r="D782" t="s">
        <v>33676</v>
      </c>
      <c r="E782" t="s">
        <v>33675</v>
      </c>
      <c r="F782" t="s">
        <v>33674</v>
      </c>
      <c r="G782" t="s">
        <v>6136</v>
      </c>
      <c r="H782" t="s">
        <v>33823</v>
      </c>
      <c r="J782" t="s">
        <v>33577</v>
      </c>
      <c r="K782" t="s">
        <v>33576</v>
      </c>
      <c r="L782" t="s">
        <v>33575</v>
      </c>
      <c r="N782" t="s">
        <v>33822</v>
      </c>
      <c r="O782" t="s">
        <v>33821</v>
      </c>
      <c r="P782">
        <v>712718</v>
      </c>
      <c r="T782" s="22" t="s">
        <v>37634</v>
      </c>
      <c r="U782" s="22" t="s">
        <v>104</v>
      </c>
    </row>
    <row r="783" spans="1:21" x14ac:dyDescent="0.75">
      <c r="A783" t="s">
        <v>33820</v>
      </c>
      <c r="B783" t="s">
        <v>33572</v>
      </c>
      <c r="C783" t="s">
        <v>33677</v>
      </c>
      <c r="D783" t="s">
        <v>33676</v>
      </c>
      <c r="E783" t="s">
        <v>33675</v>
      </c>
      <c r="F783" t="s">
        <v>33674</v>
      </c>
      <c r="G783" t="s">
        <v>6136</v>
      </c>
      <c r="H783" t="s">
        <v>33819</v>
      </c>
      <c r="J783" t="s">
        <v>33577</v>
      </c>
      <c r="K783" t="s">
        <v>33576</v>
      </c>
      <c r="L783" t="s">
        <v>33575</v>
      </c>
      <c r="N783" t="s">
        <v>33818</v>
      </c>
      <c r="O783" t="s">
        <v>33817</v>
      </c>
      <c r="P783">
        <v>712719</v>
      </c>
      <c r="T783" s="22" t="s">
        <v>37635</v>
      </c>
      <c r="U783" s="22" t="s">
        <v>104</v>
      </c>
    </row>
    <row r="784" spans="1:21" x14ac:dyDescent="0.75">
      <c r="A784" t="s">
        <v>33816</v>
      </c>
      <c r="B784" t="s">
        <v>33572</v>
      </c>
      <c r="C784" t="s">
        <v>33677</v>
      </c>
      <c r="D784" t="s">
        <v>33676</v>
      </c>
      <c r="E784" t="s">
        <v>33675</v>
      </c>
      <c r="F784" t="s">
        <v>33674</v>
      </c>
      <c r="G784" t="s">
        <v>6136</v>
      </c>
      <c r="H784" t="s">
        <v>33815</v>
      </c>
      <c r="J784" t="s">
        <v>33577</v>
      </c>
      <c r="K784" t="s">
        <v>33576</v>
      </c>
      <c r="L784" t="s">
        <v>33587</v>
      </c>
      <c r="N784" t="s">
        <v>33814</v>
      </c>
      <c r="O784" t="s">
        <v>33813</v>
      </c>
      <c r="P784">
        <v>712720</v>
      </c>
      <c r="T784" s="22" t="s">
        <v>37636</v>
      </c>
      <c r="U784" s="22" t="s">
        <v>104</v>
      </c>
    </row>
    <row r="785" spans="1:21" x14ac:dyDescent="0.75">
      <c r="A785" t="s">
        <v>33812</v>
      </c>
      <c r="B785" t="s">
        <v>33572</v>
      </c>
      <c r="C785" t="s">
        <v>33677</v>
      </c>
      <c r="D785" t="s">
        <v>33676</v>
      </c>
      <c r="E785" t="s">
        <v>33675</v>
      </c>
      <c r="F785" t="s">
        <v>33674</v>
      </c>
      <c r="G785" t="s">
        <v>6136</v>
      </c>
      <c r="H785" t="s">
        <v>33811</v>
      </c>
      <c r="J785" t="s">
        <v>33577</v>
      </c>
      <c r="K785" t="s">
        <v>33576</v>
      </c>
      <c r="L785" t="s">
        <v>33609</v>
      </c>
      <c r="N785" t="s">
        <v>33810</v>
      </c>
      <c r="O785" t="s">
        <v>33809</v>
      </c>
      <c r="P785">
        <v>712721</v>
      </c>
      <c r="T785" s="22" t="s">
        <v>37637</v>
      </c>
      <c r="U785" s="22" t="s">
        <v>104</v>
      </c>
    </row>
    <row r="786" spans="1:21" x14ac:dyDescent="0.75">
      <c r="A786" t="s">
        <v>33808</v>
      </c>
      <c r="B786" t="s">
        <v>33572</v>
      </c>
      <c r="C786" t="s">
        <v>33677</v>
      </c>
      <c r="D786" t="s">
        <v>33676</v>
      </c>
      <c r="E786" t="s">
        <v>33675</v>
      </c>
      <c r="F786" t="s">
        <v>33674</v>
      </c>
      <c r="G786" t="s">
        <v>6136</v>
      </c>
      <c r="H786" t="s">
        <v>33807</v>
      </c>
      <c r="J786" t="s">
        <v>33577</v>
      </c>
      <c r="K786" t="s">
        <v>33576</v>
      </c>
      <c r="L786" t="s">
        <v>33587</v>
      </c>
      <c r="N786" t="s">
        <v>33806</v>
      </c>
      <c r="O786" t="s">
        <v>33805</v>
      </c>
      <c r="P786">
        <v>712722</v>
      </c>
      <c r="T786" s="22" t="s">
        <v>37638</v>
      </c>
      <c r="U786" s="22" t="s">
        <v>104</v>
      </c>
    </row>
    <row r="787" spans="1:21" x14ac:dyDescent="0.75">
      <c r="A787" t="s">
        <v>33804</v>
      </c>
      <c r="B787" t="s">
        <v>33572</v>
      </c>
      <c r="C787" t="s">
        <v>33677</v>
      </c>
      <c r="D787" t="s">
        <v>33676</v>
      </c>
      <c r="E787" t="s">
        <v>33675</v>
      </c>
      <c r="F787" t="s">
        <v>33674</v>
      </c>
      <c r="G787" t="s">
        <v>6136</v>
      </c>
      <c r="H787" t="s">
        <v>33803</v>
      </c>
      <c r="J787" t="s">
        <v>33577</v>
      </c>
      <c r="K787" t="s">
        <v>33576</v>
      </c>
      <c r="L787" t="s">
        <v>33609</v>
      </c>
      <c r="N787" t="s">
        <v>33802</v>
      </c>
      <c r="O787" t="s">
        <v>33801</v>
      </c>
      <c r="P787">
        <v>712723</v>
      </c>
      <c r="T787" s="22" t="s">
        <v>37639</v>
      </c>
      <c r="U787" s="22" t="s">
        <v>104</v>
      </c>
    </row>
    <row r="788" spans="1:21" x14ac:dyDescent="0.75">
      <c r="A788" t="s">
        <v>33800</v>
      </c>
      <c r="B788" t="s">
        <v>33572</v>
      </c>
      <c r="C788" t="s">
        <v>33677</v>
      </c>
      <c r="D788" t="s">
        <v>33676</v>
      </c>
      <c r="E788" t="s">
        <v>33675</v>
      </c>
      <c r="F788" t="s">
        <v>33674</v>
      </c>
      <c r="G788" t="s">
        <v>6136</v>
      </c>
      <c r="H788" t="s">
        <v>33799</v>
      </c>
      <c r="J788" t="s">
        <v>33577</v>
      </c>
      <c r="K788" t="s">
        <v>33576</v>
      </c>
      <c r="L788" t="s">
        <v>33575</v>
      </c>
      <c r="N788" t="s">
        <v>33798</v>
      </c>
      <c r="O788" t="s">
        <v>33797</v>
      </c>
      <c r="P788">
        <v>712724</v>
      </c>
      <c r="T788" s="22" t="s">
        <v>37640</v>
      </c>
      <c r="U788" s="22" t="s">
        <v>104</v>
      </c>
    </row>
    <row r="789" spans="1:21" x14ac:dyDescent="0.75">
      <c r="A789" t="s">
        <v>33796</v>
      </c>
      <c r="B789" t="s">
        <v>33572</v>
      </c>
      <c r="C789" t="s">
        <v>33677</v>
      </c>
      <c r="D789" t="s">
        <v>33676</v>
      </c>
      <c r="E789" t="s">
        <v>33675</v>
      </c>
      <c r="F789" t="s">
        <v>33674</v>
      </c>
      <c r="G789" t="s">
        <v>6136</v>
      </c>
      <c r="H789" t="s">
        <v>33795</v>
      </c>
      <c r="J789" t="s">
        <v>33577</v>
      </c>
      <c r="K789" t="s">
        <v>33576</v>
      </c>
      <c r="L789" t="s">
        <v>33609</v>
      </c>
      <c r="N789" t="s">
        <v>33794</v>
      </c>
      <c r="O789" t="s">
        <v>33793</v>
      </c>
      <c r="P789">
        <v>712725</v>
      </c>
      <c r="T789" s="22" t="s">
        <v>37641</v>
      </c>
      <c r="U789" s="22" t="s">
        <v>104</v>
      </c>
    </row>
    <row r="790" spans="1:21" x14ac:dyDescent="0.75">
      <c r="A790" t="s">
        <v>33792</v>
      </c>
      <c r="B790" t="s">
        <v>33572</v>
      </c>
      <c r="C790" t="s">
        <v>33677</v>
      </c>
      <c r="D790" t="s">
        <v>33676</v>
      </c>
      <c r="E790" t="s">
        <v>33675</v>
      </c>
      <c r="F790" t="s">
        <v>33674</v>
      </c>
      <c r="G790" t="s">
        <v>6136</v>
      </c>
      <c r="H790" t="s">
        <v>33791</v>
      </c>
      <c r="J790" t="s">
        <v>33577</v>
      </c>
      <c r="K790" t="s">
        <v>33576</v>
      </c>
      <c r="L790" t="s">
        <v>33609</v>
      </c>
      <c r="N790" t="s">
        <v>33790</v>
      </c>
      <c r="O790" t="s">
        <v>33789</v>
      </c>
      <c r="P790">
        <v>712726</v>
      </c>
      <c r="T790" s="22" t="s">
        <v>37642</v>
      </c>
      <c r="U790" s="22" t="s">
        <v>104</v>
      </c>
    </row>
    <row r="791" spans="1:21" x14ac:dyDescent="0.75">
      <c r="A791" t="s">
        <v>33788</v>
      </c>
      <c r="B791" t="s">
        <v>33572</v>
      </c>
      <c r="C791" t="s">
        <v>33677</v>
      </c>
      <c r="D791" t="s">
        <v>33676</v>
      </c>
      <c r="E791" t="s">
        <v>33675</v>
      </c>
      <c r="F791" t="s">
        <v>33674</v>
      </c>
      <c r="G791" t="s">
        <v>6136</v>
      </c>
      <c r="H791" t="s">
        <v>33787</v>
      </c>
      <c r="J791" t="s">
        <v>33577</v>
      </c>
      <c r="K791" t="s">
        <v>33576</v>
      </c>
      <c r="L791" t="s">
        <v>33587</v>
      </c>
      <c r="N791" t="s">
        <v>33786</v>
      </c>
      <c r="O791" t="s">
        <v>33785</v>
      </c>
      <c r="P791">
        <v>712727</v>
      </c>
      <c r="T791" s="22" t="s">
        <v>37643</v>
      </c>
      <c r="U791" s="22" t="s">
        <v>104</v>
      </c>
    </row>
    <row r="792" spans="1:21" x14ac:dyDescent="0.75">
      <c r="A792" t="s">
        <v>33784</v>
      </c>
      <c r="B792" t="s">
        <v>33572</v>
      </c>
      <c r="C792" t="s">
        <v>33677</v>
      </c>
      <c r="D792" t="s">
        <v>33676</v>
      </c>
      <c r="E792" t="s">
        <v>33675</v>
      </c>
      <c r="F792" t="s">
        <v>33674</v>
      </c>
      <c r="G792" t="s">
        <v>6136</v>
      </c>
      <c r="H792" t="s">
        <v>33783</v>
      </c>
      <c r="J792" t="s">
        <v>33577</v>
      </c>
      <c r="K792" t="s">
        <v>33576</v>
      </c>
      <c r="L792" t="s">
        <v>33609</v>
      </c>
      <c r="N792" t="s">
        <v>33782</v>
      </c>
      <c r="O792" t="s">
        <v>33781</v>
      </c>
      <c r="P792">
        <v>712728</v>
      </c>
      <c r="T792" s="22" t="s">
        <v>37644</v>
      </c>
      <c r="U792" s="22" t="s">
        <v>104</v>
      </c>
    </row>
    <row r="793" spans="1:21" x14ac:dyDescent="0.75">
      <c r="A793" t="s">
        <v>33780</v>
      </c>
      <c r="B793" t="s">
        <v>33572</v>
      </c>
      <c r="C793" t="s">
        <v>33677</v>
      </c>
      <c r="D793" t="s">
        <v>33676</v>
      </c>
      <c r="E793" t="s">
        <v>33675</v>
      </c>
      <c r="F793" t="s">
        <v>33674</v>
      </c>
      <c r="G793" t="s">
        <v>6136</v>
      </c>
      <c r="H793" t="s">
        <v>33779</v>
      </c>
      <c r="J793" t="s">
        <v>33577</v>
      </c>
      <c r="K793" t="s">
        <v>33576</v>
      </c>
      <c r="L793" t="s">
        <v>33575</v>
      </c>
      <c r="N793" t="s">
        <v>33778</v>
      </c>
      <c r="O793" t="s">
        <v>33777</v>
      </c>
      <c r="P793">
        <v>712729</v>
      </c>
      <c r="T793" s="22" t="s">
        <v>37645</v>
      </c>
      <c r="U793" s="22" t="s">
        <v>104</v>
      </c>
    </row>
    <row r="794" spans="1:21" x14ac:dyDescent="0.75">
      <c r="A794" t="s">
        <v>33776</v>
      </c>
      <c r="B794" t="s">
        <v>33572</v>
      </c>
      <c r="C794" t="s">
        <v>33677</v>
      </c>
      <c r="D794" t="s">
        <v>33676</v>
      </c>
      <c r="E794" t="s">
        <v>33675</v>
      </c>
      <c r="F794" t="s">
        <v>33674</v>
      </c>
      <c r="G794" t="s">
        <v>6136</v>
      </c>
      <c r="H794" t="s">
        <v>33775</v>
      </c>
      <c r="J794" t="s">
        <v>33577</v>
      </c>
      <c r="K794" t="s">
        <v>33576</v>
      </c>
      <c r="L794" t="s">
        <v>33587</v>
      </c>
      <c r="N794" t="s">
        <v>33774</v>
      </c>
      <c r="O794" t="s">
        <v>33773</v>
      </c>
      <c r="P794">
        <v>712730</v>
      </c>
      <c r="T794" s="22" t="s">
        <v>37646</v>
      </c>
      <c r="U794" s="22" t="s">
        <v>104</v>
      </c>
    </row>
    <row r="795" spans="1:21" x14ac:dyDescent="0.75">
      <c r="A795" t="s">
        <v>33772</v>
      </c>
      <c r="B795" t="s">
        <v>33572</v>
      </c>
      <c r="C795" t="s">
        <v>33677</v>
      </c>
      <c r="D795" t="s">
        <v>33676</v>
      </c>
      <c r="E795" t="s">
        <v>33675</v>
      </c>
      <c r="F795" t="s">
        <v>33674</v>
      </c>
      <c r="G795" t="s">
        <v>6136</v>
      </c>
      <c r="H795" t="s">
        <v>33771</v>
      </c>
      <c r="J795" t="s">
        <v>33577</v>
      </c>
      <c r="K795" t="s">
        <v>33576</v>
      </c>
      <c r="L795" t="s">
        <v>33587</v>
      </c>
      <c r="N795" t="s">
        <v>33770</v>
      </c>
      <c r="O795" t="s">
        <v>33769</v>
      </c>
      <c r="P795">
        <v>712731</v>
      </c>
      <c r="T795" s="22" t="s">
        <v>37647</v>
      </c>
      <c r="U795" s="22" t="s">
        <v>104</v>
      </c>
    </row>
    <row r="796" spans="1:21" x14ac:dyDescent="0.75">
      <c r="A796" t="s">
        <v>33768</v>
      </c>
      <c r="B796" t="s">
        <v>33572</v>
      </c>
      <c r="C796" t="s">
        <v>33677</v>
      </c>
      <c r="D796" t="s">
        <v>33676</v>
      </c>
      <c r="E796" t="s">
        <v>33675</v>
      </c>
      <c r="F796" t="s">
        <v>33674</v>
      </c>
      <c r="G796" t="s">
        <v>6136</v>
      </c>
      <c r="H796" t="s">
        <v>33767</v>
      </c>
      <c r="J796" t="s">
        <v>33577</v>
      </c>
      <c r="K796" t="s">
        <v>33576</v>
      </c>
      <c r="L796" t="s">
        <v>33587</v>
      </c>
      <c r="N796" t="s">
        <v>33766</v>
      </c>
      <c r="O796" t="s">
        <v>33765</v>
      </c>
      <c r="P796">
        <v>712732</v>
      </c>
      <c r="T796" s="22" t="s">
        <v>37648</v>
      </c>
      <c r="U796" s="22" t="s">
        <v>104</v>
      </c>
    </row>
    <row r="797" spans="1:21" x14ac:dyDescent="0.75">
      <c r="A797" t="s">
        <v>33764</v>
      </c>
      <c r="B797" t="s">
        <v>33572</v>
      </c>
      <c r="C797" t="s">
        <v>33677</v>
      </c>
      <c r="D797" t="s">
        <v>33676</v>
      </c>
      <c r="E797" t="s">
        <v>33675</v>
      </c>
      <c r="F797" t="s">
        <v>33674</v>
      </c>
      <c r="G797" t="s">
        <v>6136</v>
      </c>
      <c r="H797" t="s">
        <v>33763</v>
      </c>
      <c r="J797" t="s">
        <v>33577</v>
      </c>
      <c r="K797" t="s">
        <v>33576</v>
      </c>
      <c r="L797" t="s">
        <v>33587</v>
      </c>
      <c r="N797" t="s">
        <v>33762</v>
      </c>
      <c r="O797" t="s">
        <v>33761</v>
      </c>
      <c r="P797">
        <v>712733</v>
      </c>
      <c r="T797" s="22" t="s">
        <v>37649</v>
      </c>
      <c r="U797" s="22" t="s">
        <v>104</v>
      </c>
    </row>
    <row r="798" spans="1:21" x14ac:dyDescent="0.75">
      <c r="A798" t="s">
        <v>33760</v>
      </c>
      <c r="B798" t="s">
        <v>33572</v>
      </c>
      <c r="C798" t="s">
        <v>33677</v>
      </c>
      <c r="D798" t="s">
        <v>33676</v>
      </c>
      <c r="E798" t="s">
        <v>33675</v>
      </c>
      <c r="F798" t="s">
        <v>33674</v>
      </c>
      <c r="G798" t="s">
        <v>6136</v>
      </c>
      <c r="H798" t="s">
        <v>33759</v>
      </c>
      <c r="J798" t="s">
        <v>33577</v>
      </c>
      <c r="K798" t="s">
        <v>33576</v>
      </c>
      <c r="L798" t="s">
        <v>33609</v>
      </c>
      <c r="N798" t="s">
        <v>33758</v>
      </c>
      <c r="O798" t="s">
        <v>33757</v>
      </c>
      <c r="P798">
        <v>712734</v>
      </c>
      <c r="T798" s="22" t="s">
        <v>37650</v>
      </c>
      <c r="U798" s="22" t="s">
        <v>104</v>
      </c>
    </row>
    <row r="799" spans="1:21" x14ac:dyDescent="0.75">
      <c r="A799" t="s">
        <v>33756</v>
      </c>
      <c r="B799" t="s">
        <v>33572</v>
      </c>
      <c r="C799" t="s">
        <v>33677</v>
      </c>
      <c r="D799" t="s">
        <v>33676</v>
      </c>
      <c r="E799" t="s">
        <v>33675</v>
      </c>
      <c r="F799" t="s">
        <v>33674</v>
      </c>
      <c r="G799" t="s">
        <v>6136</v>
      </c>
      <c r="H799" t="s">
        <v>33755</v>
      </c>
      <c r="J799" t="s">
        <v>33577</v>
      </c>
      <c r="K799" t="s">
        <v>33576</v>
      </c>
      <c r="L799" t="s">
        <v>33609</v>
      </c>
      <c r="N799" t="s">
        <v>33754</v>
      </c>
      <c r="O799" t="s">
        <v>33753</v>
      </c>
      <c r="P799">
        <v>712735</v>
      </c>
      <c r="T799" s="22" t="s">
        <v>37651</v>
      </c>
      <c r="U799" s="22" t="s">
        <v>104</v>
      </c>
    </row>
    <row r="800" spans="1:21" x14ac:dyDescent="0.75">
      <c r="A800" t="s">
        <v>33752</v>
      </c>
      <c r="B800" t="s">
        <v>33572</v>
      </c>
      <c r="C800" t="s">
        <v>33677</v>
      </c>
      <c r="D800" t="s">
        <v>33676</v>
      </c>
      <c r="E800" t="s">
        <v>33675</v>
      </c>
      <c r="F800" t="s">
        <v>33674</v>
      </c>
      <c r="G800" t="s">
        <v>6136</v>
      </c>
      <c r="H800" t="s">
        <v>33751</v>
      </c>
      <c r="J800" t="s">
        <v>33577</v>
      </c>
      <c r="K800" t="s">
        <v>33576</v>
      </c>
      <c r="L800" t="s">
        <v>33587</v>
      </c>
      <c r="N800" t="s">
        <v>33750</v>
      </c>
      <c r="O800" t="s">
        <v>33749</v>
      </c>
      <c r="P800">
        <v>712737</v>
      </c>
      <c r="T800" s="22" t="s">
        <v>37652</v>
      </c>
      <c r="U800" s="22" t="s">
        <v>104</v>
      </c>
    </row>
    <row r="801" spans="1:21" x14ac:dyDescent="0.75">
      <c r="A801" t="s">
        <v>33748</v>
      </c>
      <c r="B801" t="s">
        <v>33572</v>
      </c>
      <c r="C801" t="s">
        <v>33677</v>
      </c>
      <c r="D801" t="s">
        <v>33676</v>
      </c>
      <c r="E801" t="s">
        <v>33675</v>
      </c>
      <c r="F801" t="s">
        <v>33674</v>
      </c>
      <c r="G801" t="s">
        <v>6136</v>
      </c>
      <c r="H801" t="s">
        <v>33747</v>
      </c>
      <c r="J801" t="s">
        <v>33617</v>
      </c>
      <c r="K801" t="s">
        <v>33703</v>
      </c>
      <c r="L801" t="s">
        <v>33575</v>
      </c>
      <c r="N801" t="s">
        <v>33746</v>
      </c>
      <c r="O801" t="s">
        <v>33745</v>
      </c>
      <c r="P801">
        <v>712738</v>
      </c>
      <c r="T801" s="22" t="s">
        <v>37653</v>
      </c>
      <c r="U801" s="22" t="s">
        <v>104</v>
      </c>
    </row>
    <row r="802" spans="1:21" x14ac:dyDescent="0.75">
      <c r="A802" t="s">
        <v>33744</v>
      </c>
      <c r="B802" t="s">
        <v>33572</v>
      </c>
      <c r="C802" t="s">
        <v>33677</v>
      </c>
      <c r="D802" t="s">
        <v>33676</v>
      </c>
      <c r="E802" t="s">
        <v>33675</v>
      </c>
      <c r="F802" t="s">
        <v>33674</v>
      </c>
      <c r="G802" t="s">
        <v>6136</v>
      </c>
      <c r="H802" t="s">
        <v>33743</v>
      </c>
      <c r="J802" t="s">
        <v>33577</v>
      </c>
      <c r="K802" t="s">
        <v>33576</v>
      </c>
      <c r="L802" t="s">
        <v>33609</v>
      </c>
      <c r="N802" t="s">
        <v>33742</v>
      </c>
      <c r="O802" t="s">
        <v>33741</v>
      </c>
      <c r="P802">
        <v>712739</v>
      </c>
      <c r="T802" s="22" t="s">
        <v>37654</v>
      </c>
      <c r="U802" s="22" t="s">
        <v>104</v>
      </c>
    </row>
    <row r="803" spans="1:21" x14ac:dyDescent="0.75">
      <c r="A803" t="s">
        <v>33740</v>
      </c>
      <c r="B803" t="s">
        <v>33572</v>
      </c>
      <c r="C803" t="s">
        <v>33677</v>
      </c>
      <c r="D803" t="s">
        <v>33676</v>
      </c>
      <c r="E803" t="s">
        <v>33675</v>
      </c>
      <c r="F803" t="s">
        <v>33674</v>
      </c>
      <c r="G803" t="s">
        <v>6136</v>
      </c>
      <c r="H803" t="s">
        <v>33739</v>
      </c>
      <c r="J803" t="s">
        <v>33577</v>
      </c>
      <c r="K803" t="s">
        <v>33576</v>
      </c>
      <c r="L803" t="s">
        <v>33609</v>
      </c>
      <c r="N803" t="s">
        <v>33738</v>
      </c>
      <c r="O803" t="s">
        <v>33737</v>
      </c>
      <c r="P803">
        <v>712740</v>
      </c>
      <c r="T803" s="22" t="s">
        <v>37655</v>
      </c>
      <c r="U803" s="22" t="s">
        <v>104</v>
      </c>
    </row>
    <row r="804" spans="1:21" x14ac:dyDescent="0.75">
      <c r="A804" t="s">
        <v>33736</v>
      </c>
      <c r="B804" t="s">
        <v>33572</v>
      </c>
      <c r="C804" t="s">
        <v>33677</v>
      </c>
      <c r="D804" t="s">
        <v>33676</v>
      </c>
      <c r="E804" t="s">
        <v>33675</v>
      </c>
      <c r="F804" t="s">
        <v>33674</v>
      </c>
      <c r="G804" t="s">
        <v>6136</v>
      </c>
      <c r="H804" t="s">
        <v>33735</v>
      </c>
      <c r="J804" t="s">
        <v>33577</v>
      </c>
      <c r="K804" t="s">
        <v>33576</v>
      </c>
      <c r="L804" t="s">
        <v>33609</v>
      </c>
      <c r="N804" t="s">
        <v>33734</v>
      </c>
      <c r="O804" t="s">
        <v>33733</v>
      </c>
      <c r="P804">
        <v>712741</v>
      </c>
      <c r="T804" s="22" t="s">
        <v>37656</v>
      </c>
      <c r="U804" s="22" t="s">
        <v>104</v>
      </c>
    </row>
    <row r="805" spans="1:21" x14ac:dyDescent="0.75">
      <c r="A805" t="s">
        <v>33732</v>
      </c>
      <c r="B805" t="s">
        <v>33572</v>
      </c>
      <c r="C805" t="s">
        <v>33677</v>
      </c>
      <c r="D805" t="s">
        <v>33676</v>
      </c>
      <c r="E805" t="s">
        <v>33675</v>
      </c>
      <c r="F805" t="s">
        <v>33674</v>
      </c>
      <c r="G805" t="s">
        <v>6136</v>
      </c>
      <c r="H805" t="s">
        <v>33731</v>
      </c>
      <c r="J805" t="s">
        <v>33577</v>
      </c>
      <c r="K805" t="s">
        <v>33576</v>
      </c>
      <c r="L805" t="s">
        <v>33587</v>
      </c>
      <c r="N805" t="s">
        <v>33730</v>
      </c>
      <c r="O805" t="s">
        <v>33729</v>
      </c>
      <c r="P805">
        <v>712742</v>
      </c>
      <c r="T805" s="22" t="s">
        <v>37657</v>
      </c>
      <c r="U805" s="22" t="s">
        <v>104</v>
      </c>
    </row>
    <row r="806" spans="1:21" x14ac:dyDescent="0.75">
      <c r="A806" t="s">
        <v>33728</v>
      </c>
      <c r="B806" t="s">
        <v>33572</v>
      </c>
      <c r="C806" t="s">
        <v>33677</v>
      </c>
      <c r="D806" t="s">
        <v>33676</v>
      </c>
      <c r="E806" t="s">
        <v>33675</v>
      </c>
      <c r="F806" t="s">
        <v>33674</v>
      </c>
      <c r="G806" t="s">
        <v>6136</v>
      </c>
      <c r="H806" t="s">
        <v>33727</v>
      </c>
      <c r="J806" t="s">
        <v>33577</v>
      </c>
      <c r="K806" t="s">
        <v>33576</v>
      </c>
      <c r="L806" t="s">
        <v>33587</v>
      </c>
      <c r="N806" t="s">
        <v>33726</v>
      </c>
      <c r="O806" t="s">
        <v>33725</v>
      </c>
      <c r="P806">
        <v>712743</v>
      </c>
      <c r="T806" s="22" t="s">
        <v>37658</v>
      </c>
      <c r="U806" s="22" t="s">
        <v>104</v>
      </c>
    </row>
    <row r="807" spans="1:21" x14ac:dyDescent="0.75">
      <c r="A807" t="s">
        <v>33724</v>
      </c>
      <c r="B807" t="s">
        <v>33572</v>
      </c>
      <c r="C807" t="s">
        <v>33677</v>
      </c>
      <c r="D807" t="s">
        <v>33676</v>
      </c>
      <c r="E807" t="s">
        <v>33675</v>
      </c>
      <c r="F807" t="s">
        <v>33674</v>
      </c>
      <c r="G807" t="s">
        <v>6136</v>
      </c>
      <c r="H807" t="s">
        <v>33723</v>
      </c>
      <c r="J807" t="s">
        <v>33577</v>
      </c>
      <c r="K807" t="s">
        <v>33576</v>
      </c>
      <c r="L807" t="s">
        <v>33587</v>
      </c>
      <c r="N807" t="s">
        <v>33722</v>
      </c>
      <c r="O807" t="s">
        <v>33721</v>
      </c>
      <c r="P807">
        <v>712744</v>
      </c>
      <c r="T807" s="22" t="s">
        <v>37659</v>
      </c>
      <c r="U807" s="22" t="s">
        <v>104</v>
      </c>
    </row>
    <row r="808" spans="1:21" x14ac:dyDescent="0.75">
      <c r="A808" t="s">
        <v>33720</v>
      </c>
      <c r="B808" t="s">
        <v>33572</v>
      </c>
      <c r="C808" t="s">
        <v>33677</v>
      </c>
      <c r="D808" t="s">
        <v>33676</v>
      </c>
      <c r="E808" t="s">
        <v>33675</v>
      </c>
      <c r="F808" t="s">
        <v>33674</v>
      </c>
      <c r="G808" t="s">
        <v>6136</v>
      </c>
      <c r="H808" t="s">
        <v>33719</v>
      </c>
      <c r="J808" t="s">
        <v>33617</v>
      </c>
      <c r="K808" t="s">
        <v>33703</v>
      </c>
      <c r="L808" t="s">
        <v>33609</v>
      </c>
      <c r="N808" t="s">
        <v>33718</v>
      </c>
      <c r="O808" t="s">
        <v>33717</v>
      </c>
      <c r="P808">
        <v>712745</v>
      </c>
      <c r="T808" s="22" t="s">
        <v>37660</v>
      </c>
      <c r="U808" s="22" t="s">
        <v>104</v>
      </c>
    </row>
    <row r="809" spans="1:21" x14ac:dyDescent="0.75">
      <c r="A809" t="s">
        <v>33716</v>
      </c>
      <c r="B809" t="s">
        <v>33572</v>
      </c>
      <c r="C809" t="s">
        <v>33677</v>
      </c>
      <c r="D809" t="s">
        <v>33676</v>
      </c>
      <c r="E809" t="s">
        <v>33675</v>
      </c>
      <c r="F809" t="s">
        <v>33674</v>
      </c>
      <c r="G809" t="s">
        <v>6136</v>
      </c>
      <c r="H809" t="s">
        <v>33715</v>
      </c>
      <c r="J809" t="s">
        <v>33617</v>
      </c>
      <c r="K809" t="s">
        <v>33703</v>
      </c>
      <c r="L809" t="s">
        <v>33587</v>
      </c>
      <c r="N809" t="s">
        <v>33714</v>
      </c>
      <c r="O809" t="s">
        <v>33713</v>
      </c>
      <c r="P809">
        <v>157</v>
      </c>
      <c r="T809" s="22" t="s">
        <v>37661</v>
      </c>
      <c r="U809" s="22" t="s">
        <v>104</v>
      </c>
    </row>
    <row r="810" spans="1:21" x14ac:dyDescent="0.75">
      <c r="A810" t="s">
        <v>33712</v>
      </c>
      <c r="B810" t="s">
        <v>33572</v>
      </c>
      <c r="C810" t="s">
        <v>33677</v>
      </c>
      <c r="D810" t="s">
        <v>33676</v>
      </c>
      <c r="E810" t="s">
        <v>33675</v>
      </c>
      <c r="F810" t="s">
        <v>33674</v>
      </c>
      <c r="G810" t="s">
        <v>6136</v>
      </c>
      <c r="H810" t="s">
        <v>33711</v>
      </c>
      <c r="J810" t="s">
        <v>33577</v>
      </c>
      <c r="K810" t="s">
        <v>33576</v>
      </c>
      <c r="L810" t="s">
        <v>33609</v>
      </c>
      <c r="O810" t="s">
        <v>33710</v>
      </c>
      <c r="P810">
        <v>671227</v>
      </c>
      <c r="T810" s="22" t="s">
        <v>37662</v>
      </c>
      <c r="U810" s="22" t="s">
        <v>104</v>
      </c>
    </row>
    <row r="811" spans="1:21" x14ac:dyDescent="0.75">
      <c r="A811" t="s">
        <v>33709</v>
      </c>
      <c r="B811" t="s">
        <v>33572</v>
      </c>
      <c r="C811" t="s">
        <v>33677</v>
      </c>
      <c r="D811" t="s">
        <v>33676</v>
      </c>
      <c r="E811" t="s">
        <v>33675</v>
      </c>
      <c r="F811" t="s">
        <v>33674</v>
      </c>
      <c r="G811" t="s">
        <v>6136</v>
      </c>
      <c r="H811" t="s">
        <v>33708</v>
      </c>
      <c r="J811" t="s">
        <v>33577</v>
      </c>
      <c r="K811" t="s">
        <v>33576</v>
      </c>
      <c r="L811" t="s">
        <v>33587</v>
      </c>
      <c r="N811" t="s">
        <v>33707</v>
      </c>
      <c r="O811" t="s">
        <v>33706</v>
      </c>
      <c r="P811">
        <v>712746</v>
      </c>
      <c r="T811" s="22" t="s">
        <v>37663</v>
      </c>
      <c r="U811" s="22" t="s">
        <v>104</v>
      </c>
    </row>
    <row r="812" spans="1:21" x14ac:dyDescent="0.75">
      <c r="A812" t="s">
        <v>33705</v>
      </c>
      <c r="B812" t="s">
        <v>33572</v>
      </c>
      <c r="C812" t="s">
        <v>33677</v>
      </c>
      <c r="D812" t="s">
        <v>33676</v>
      </c>
      <c r="E812" t="s">
        <v>33675</v>
      </c>
      <c r="F812" t="s">
        <v>33674</v>
      </c>
      <c r="G812" t="s">
        <v>6136</v>
      </c>
      <c r="H812" t="s">
        <v>33704</v>
      </c>
      <c r="J812" t="s">
        <v>33617</v>
      </c>
      <c r="K812" t="s">
        <v>33703</v>
      </c>
      <c r="L812" t="s">
        <v>33609</v>
      </c>
      <c r="N812" t="s">
        <v>33702</v>
      </c>
      <c r="O812" t="s">
        <v>33701</v>
      </c>
      <c r="P812">
        <v>713469</v>
      </c>
      <c r="T812" s="22" t="s">
        <v>37664</v>
      </c>
      <c r="U812" s="22" t="s">
        <v>104</v>
      </c>
    </row>
    <row r="813" spans="1:21" x14ac:dyDescent="0.75">
      <c r="A813" t="s">
        <v>33700</v>
      </c>
      <c r="B813" t="s">
        <v>33572</v>
      </c>
      <c r="C813" t="s">
        <v>33677</v>
      </c>
      <c r="D813" t="s">
        <v>33676</v>
      </c>
      <c r="E813" t="s">
        <v>33675</v>
      </c>
      <c r="F813" t="s">
        <v>33674</v>
      </c>
      <c r="G813" t="s">
        <v>6136</v>
      </c>
      <c r="H813" t="s">
        <v>33699</v>
      </c>
      <c r="J813" t="s">
        <v>33577</v>
      </c>
      <c r="K813" t="s">
        <v>33576</v>
      </c>
      <c r="L813" t="s">
        <v>33609</v>
      </c>
      <c r="N813" t="s">
        <v>33698</v>
      </c>
      <c r="O813" t="s">
        <v>33697</v>
      </c>
      <c r="P813">
        <v>712747</v>
      </c>
      <c r="T813" s="22" t="s">
        <v>37665</v>
      </c>
      <c r="U813" s="22" t="s">
        <v>104</v>
      </c>
    </row>
    <row r="814" spans="1:21" x14ac:dyDescent="0.75">
      <c r="A814" t="s">
        <v>33696</v>
      </c>
      <c r="B814" t="s">
        <v>33572</v>
      </c>
      <c r="C814" t="s">
        <v>33677</v>
      </c>
      <c r="D814" t="s">
        <v>33676</v>
      </c>
      <c r="E814" t="s">
        <v>33675</v>
      </c>
      <c r="F814" t="s">
        <v>33674</v>
      </c>
      <c r="G814" t="s">
        <v>6136</v>
      </c>
      <c r="H814" t="s">
        <v>33695</v>
      </c>
      <c r="J814" t="s">
        <v>33577</v>
      </c>
      <c r="K814" t="s">
        <v>33576</v>
      </c>
      <c r="L814" t="s">
        <v>33609</v>
      </c>
      <c r="N814" t="s">
        <v>33694</v>
      </c>
      <c r="O814" t="s">
        <v>33693</v>
      </c>
      <c r="P814">
        <v>712748</v>
      </c>
      <c r="T814" s="22" t="s">
        <v>37666</v>
      </c>
      <c r="U814" s="22" t="s">
        <v>104</v>
      </c>
    </row>
    <row r="815" spans="1:21" x14ac:dyDescent="0.75">
      <c r="A815" t="s">
        <v>33692</v>
      </c>
      <c r="B815" t="s">
        <v>33572</v>
      </c>
      <c r="C815" t="s">
        <v>33677</v>
      </c>
      <c r="D815" t="s">
        <v>33676</v>
      </c>
      <c r="E815" t="s">
        <v>33675</v>
      </c>
      <c r="F815" t="s">
        <v>33674</v>
      </c>
      <c r="G815" t="s">
        <v>6136</v>
      </c>
      <c r="H815" t="s">
        <v>33691</v>
      </c>
      <c r="J815" t="s">
        <v>33577</v>
      </c>
      <c r="K815" t="s">
        <v>33576</v>
      </c>
      <c r="L815" t="s">
        <v>33587</v>
      </c>
      <c r="N815" t="s">
        <v>33690</v>
      </c>
      <c r="O815" t="s">
        <v>33689</v>
      </c>
      <c r="P815">
        <v>712749</v>
      </c>
      <c r="T815" s="22" t="s">
        <v>37667</v>
      </c>
      <c r="U815" s="22" t="s">
        <v>104</v>
      </c>
    </row>
    <row r="816" spans="1:21" x14ac:dyDescent="0.75">
      <c r="A816" t="s">
        <v>33688</v>
      </c>
      <c r="B816" t="s">
        <v>33572</v>
      </c>
      <c r="C816" t="s">
        <v>33677</v>
      </c>
      <c r="D816" t="s">
        <v>33676</v>
      </c>
      <c r="E816" t="s">
        <v>33675</v>
      </c>
      <c r="F816" t="s">
        <v>33674</v>
      </c>
      <c r="G816" t="s">
        <v>6136</v>
      </c>
      <c r="H816" t="s">
        <v>33687</v>
      </c>
      <c r="J816" t="s">
        <v>33577</v>
      </c>
      <c r="K816" t="s">
        <v>33576</v>
      </c>
      <c r="L816" t="s">
        <v>33587</v>
      </c>
      <c r="N816" t="s">
        <v>33686</v>
      </c>
      <c r="O816" t="s">
        <v>33680</v>
      </c>
      <c r="P816">
        <v>157</v>
      </c>
      <c r="T816" s="22" t="s">
        <v>37668</v>
      </c>
      <c r="U816" s="22" t="s">
        <v>104</v>
      </c>
    </row>
    <row r="817" spans="1:21" x14ac:dyDescent="0.75">
      <c r="A817" t="s">
        <v>33685</v>
      </c>
      <c r="B817" t="s">
        <v>33572</v>
      </c>
      <c r="C817" t="s">
        <v>33677</v>
      </c>
      <c r="D817" t="s">
        <v>33676</v>
      </c>
      <c r="E817" t="s">
        <v>33675</v>
      </c>
      <c r="F817" t="s">
        <v>33674</v>
      </c>
      <c r="G817" t="s">
        <v>6136</v>
      </c>
      <c r="H817" t="s">
        <v>33684</v>
      </c>
      <c r="J817" t="s">
        <v>33577</v>
      </c>
      <c r="K817" t="s">
        <v>33576</v>
      </c>
      <c r="L817" t="s">
        <v>33609</v>
      </c>
      <c r="N817" t="s">
        <v>33683</v>
      </c>
      <c r="O817" t="s">
        <v>33680</v>
      </c>
      <c r="P817">
        <v>157</v>
      </c>
      <c r="T817" s="22" t="s">
        <v>37669</v>
      </c>
      <c r="U817" s="22" t="s">
        <v>104</v>
      </c>
    </row>
    <row r="818" spans="1:21" x14ac:dyDescent="0.75">
      <c r="A818" t="s">
        <v>7220</v>
      </c>
      <c r="B818" t="s">
        <v>33572</v>
      </c>
      <c r="C818" t="s">
        <v>33677</v>
      </c>
      <c r="D818" t="s">
        <v>33676</v>
      </c>
      <c r="E818" t="s">
        <v>33675</v>
      </c>
      <c r="F818" t="s">
        <v>33674</v>
      </c>
      <c r="G818" t="s">
        <v>6136</v>
      </c>
      <c r="H818" t="s">
        <v>6765</v>
      </c>
      <c r="I818" t="s">
        <v>33682</v>
      </c>
      <c r="J818" t="s">
        <v>33567</v>
      </c>
      <c r="K818" t="s">
        <v>33566</v>
      </c>
      <c r="L818" t="s">
        <v>33609</v>
      </c>
      <c r="N818" t="s">
        <v>33681</v>
      </c>
      <c r="O818" t="s">
        <v>33680</v>
      </c>
      <c r="P818">
        <v>69710</v>
      </c>
      <c r="Q818" t="s">
        <v>33679</v>
      </c>
      <c r="R818" t="s">
        <v>33678</v>
      </c>
      <c r="T818" s="22" t="s">
        <v>37382</v>
      </c>
      <c r="U818" s="22" t="s">
        <v>104</v>
      </c>
    </row>
    <row r="819" spans="1:21" x14ac:dyDescent="0.75">
      <c r="A819" t="s">
        <v>18047</v>
      </c>
      <c r="B819" t="s">
        <v>33572</v>
      </c>
      <c r="C819" t="s">
        <v>33677</v>
      </c>
      <c r="D819" t="s">
        <v>33676</v>
      </c>
      <c r="E819" t="s">
        <v>33675</v>
      </c>
      <c r="F819" t="s">
        <v>33674</v>
      </c>
      <c r="G819" t="s">
        <v>6136</v>
      </c>
      <c r="H819" t="s">
        <v>6765</v>
      </c>
      <c r="I819" t="s">
        <v>33673</v>
      </c>
      <c r="J819" t="s">
        <v>33567</v>
      </c>
      <c r="K819" t="s">
        <v>33566</v>
      </c>
      <c r="L819" t="s">
        <v>33575</v>
      </c>
      <c r="P819">
        <v>0</v>
      </c>
      <c r="Q819" t="s">
        <v>33672</v>
      </c>
      <c r="R819" t="s">
        <v>33671</v>
      </c>
      <c r="T819" s="22" t="s">
        <v>37382</v>
      </c>
      <c r="U819" s="22" t="s">
        <v>104</v>
      </c>
    </row>
    <row r="820" spans="1:21" x14ac:dyDescent="0.75">
      <c r="A820" t="s">
        <v>6086</v>
      </c>
      <c r="B820" t="s">
        <v>33572</v>
      </c>
      <c r="C820" t="s">
        <v>33670</v>
      </c>
      <c r="D820" t="s">
        <v>33669</v>
      </c>
      <c r="E820" t="s">
        <v>33668</v>
      </c>
      <c r="F820" t="s">
        <v>33667</v>
      </c>
      <c r="G820" t="s">
        <v>6087</v>
      </c>
      <c r="H820" t="s">
        <v>6088</v>
      </c>
      <c r="J820" t="s">
        <v>33567</v>
      </c>
      <c r="K820" t="s">
        <v>33566</v>
      </c>
      <c r="L820" t="s">
        <v>33666</v>
      </c>
      <c r="P820">
        <v>0</v>
      </c>
      <c r="Q820" t="s">
        <v>33665</v>
      </c>
      <c r="R820" t="s">
        <v>33664</v>
      </c>
      <c r="T820" s="22" t="s">
        <v>37352</v>
      </c>
      <c r="U820" s="22" t="s">
        <v>1308</v>
      </c>
    </row>
    <row r="821" spans="1:21" x14ac:dyDescent="0.75">
      <c r="A821" t="s">
        <v>7893</v>
      </c>
      <c r="B821" t="s">
        <v>33572</v>
      </c>
      <c r="C821" t="s">
        <v>33606</v>
      </c>
      <c r="D821" t="s">
        <v>33663</v>
      </c>
      <c r="E821" t="s">
        <v>33662</v>
      </c>
      <c r="F821" t="s">
        <v>33661</v>
      </c>
      <c r="G821" t="s">
        <v>7894</v>
      </c>
      <c r="H821" t="s">
        <v>7895</v>
      </c>
      <c r="J821" t="s">
        <v>33660</v>
      </c>
      <c r="K821" t="s">
        <v>33566</v>
      </c>
      <c r="L821" t="s">
        <v>33659</v>
      </c>
      <c r="N821" t="s">
        <v>33658</v>
      </c>
      <c r="O821" t="s">
        <v>33657</v>
      </c>
      <c r="P821">
        <v>712430</v>
      </c>
      <c r="Q821" t="s">
        <v>33656</v>
      </c>
      <c r="R821" t="s">
        <v>33655</v>
      </c>
      <c r="T821" s="22" t="s">
        <v>37353</v>
      </c>
      <c r="U821" s="22" t="s">
        <v>1563</v>
      </c>
    </row>
    <row r="822" spans="1:21" x14ac:dyDescent="0.75">
      <c r="A822" t="s">
        <v>7372</v>
      </c>
      <c r="B822" t="s">
        <v>33572</v>
      </c>
      <c r="C822" t="s">
        <v>33571</v>
      </c>
      <c r="D822" t="s">
        <v>33654</v>
      </c>
      <c r="E822" t="s">
        <v>33653</v>
      </c>
      <c r="F822" t="s">
        <v>33652</v>
      </c>
      <c r="G822" t="s">
        <v>7373</v>
      </c>
      <c r="H822" t="s">
        <v>7374</v>
      </c>
      <c r="J822" t="s">
        <v>33567</v>
      </c>
      <c r="K822" t="s">
        <v>33566</v>
      </c>
      <c r="L822" t="s">
        <v>33651</v>
      </c>
      <c r="N822" t="s">
        <v>33650</v>
      </c>
      <c r="O822" t="s">
        <v>33649</v>
      </c>
      <c r="P822">
        <v>34073</v>
      </c>
      <c r="Q822" t="s">
        <v>33648</v>
      </c>
      <c r="R822" t="s">
        <v>33647</v>
      </c>
      <c r="T822" s="22" t="s">
        <v>37354</v>
      </c>
      <c r="U822" s="22" t="s">
        <v>144</v>
      </c>
    </row>
    <row r="823" spans="1:21" x14ac:dyDescent="0.75">
      <c r="A823" t="s">
        <v>7304</v>
      </c>
      <c r="B823" t="s">
        <v>33572</v>
      </c>
      <c r="C823" t="s">
        <v>33606</v>
      </c>
      <c r="D823" t="s">
        <v>33605</v>
      </c>
      <c r="E823" t="s">
        <v>33604</v>
      </c>
      <c r="F823" t="s">
        <v>33603</v>
      </c>
      <c r="G823" t="s">
        <v>6471</v>
      </c>
      <c r="H823" t="s">
        <v>7305</v>
      </c>
      <c r="J823" t="s">
        <v>33567</v>
      </c>
      <c r="K823" t="s">
        <v>33566</v>
      </c>
      <c r="L823" t="s">
        <v>33616</v>
      </c>
      <c r="N823" t="s">
        <v>33646</v>
      </c>
      <c r="O823" t="s">
        <v>33645</v>
      </c>
      <c r="P823">
        <v>39777</v>
      </c>
      <c r="Q823" t="s">
        <v>33644</v>
      </c>
      <c r="R823" t="s">
        <v>33643</v>
      </c>
      <c r="T823" s="22" t="s">
        <v>37360</v>
      </c>
      <c r="U823" s="22" t="s">
        <v>104</v>
      </c>
    </row>
    <row r="824" spans="1:21" x14ac:dyDescent="0.75">
      <c r="A824" t="s">
        <v>10132</v>
      </c>
      <c r="B824" t="s">
        <v>33572</v>
      </c>
      <c r="C824" t="s">
        <v>33606</v>
      </c>
      <c r="D824" t="s">
        <v>33605</v>
      </c>
      <c r="E824" t="s">
        <v>33604</v>
      </c>
      <c r="F824" t="s">
        <v>33603</v>
      </c>
      <c r="G824" t="s">
        <v>6471</v>
      </c>
      <c r="H824" t="s">
        <v>10133</v>
      </c>
      <c r="J824" t="s">
        <v>33567</v>
      </c>
      <c r="K824" t="s">
        <v>33566</v>
      </c>
      <c r="L824" t="s">
        <v>33587</v>
      </c>
      <c r="M824" t="s">
        <v>33642</v>
      </c>
      <c r="N824" t="s">
        <v>33641</v>
      </c>
      <c r="O824" t="s">
        <v>33614</v>
      </c>
      <c r="P824">
        <v>419208</v>
      </c>
      <c r="Q824" t="s">
        <v>33640</v>
      </c>
      <c r="R824" t="s">
        <v>33639</v>
      </c>
      <c r="T824" s="22" t="s">
        <v>37361</v>
      </c>
      <c r="U824" s="22" t="s">
        <v>104</v>
      </c>
    </row>
    <row r="825" spans="1:21" x14ac:dyDescent="0.75">
      <c r="A825" t="s">
        <v>6856</v>
      </c>
      <c r="B825" t="s">
        <v>33572</v>
      </c>
      <c r="C825" t="s">
        <v>33606</v>
      </c>
      <c r="D825" t="s">
        <v>33605</v>
      </c>
      <c r="E825" t="s">
        <v>33604</v>
      </c>
      <c r="F825" t="s">
        <v>33603</v>
      </c>
      <c r="G825" t="s">
        <v>6471</v>
      </c>
      <c r="H825" t="s">
        <v>6857</v>
      </c>
      <c r="J825" t="s">
        <v>33567</v>
      </c>
      <c r="K825" t="s">
        <v>33566</v>
      </c>
      <c r="L825" t="s">
        <v>33616</v>
      </c>
      <c r="N825" t="s">
        <v>33638</v>
      </c>
      <c r="O825" t="s">
        <v>33637</v>
      </c>
      <c r="P825">
        <v>39778</v>
      </c>
      <c r="Q825" t="s">
        <v>33636</v>
      </c>
      <c r="R825" t="s">
        <v>33635</v>
      </c>
      <c r="T825" s="22" t="s">
        <v>37362</v>
      </c>
      <c r="U825" s="22" t="s">
        <v>104</v>
      </c>
    </row>
    <row r="826" spans="1:21" x14ac:dyDescent="0.75">
      <c r="A826" t="s">
        <v>11894</v>
      </c>
      <c r="B826" t="s">
        <v>33572</v>
      </c>
      <c r="C826" t="s">
        <v>33606</v>
      </c>
      <c r="D826" t="s">
        <v>33605</v>
      </c>
      <c r="E826" t="s">
        <v>33604</v>
      </c>
      <c r="F826" t="s">
        <v>33603</v>
      </c>
      <c r="G826" t="s">
        <v>6471</v>
      </c>
      <c r="H826" t="s">
        <v>11895</v>
      </c>
      <c r="J826" t="s">
        <v>33567</v>
      </c>
      <c r="K826" t="s">
        <v>33566</v>
      </c>
      <c r="L826" t="s">
        <v>33616</v>
      </c>
      <c r="P826">
        <v>0</v>
      </c>
      <c r="Q826" t="s">
        <v>33634</v>
      </c>
      <c r="R826" t="s">
        <v>33633</v>
      </c>
      <c r="T826" s="22" t="s">
        <v>37358</v>
      </c>
      <c r="U826" s="22" t="s">
        <v>104</v>
      </c>
    </row>
    <row r="827" spans="1:21" x14ac:dyDescent="0.75">
      <c r="A827" t="s">
        <v>6470</v>
      </c>
      <c r="B827" t="s">
        <v>33572</v>
      </c>
      <c r="C827" t="s">
        <v>33606</v>
      </c>
      <c r="D827" t="s">
        <v>33605</v>
      </c>
      <c r="E827" t="s">
        <v>33604</v>
      </c>
      <c r="F827" t="s">
        <v>33603</v>
      </c>
      <c r="G827" t="s">
        <v>6471</v>
      </c>
      <c r="H827" t="s">
        <v>6445</v>
      </c>
      <c r="J827" t="s">
        <v>33567</v>
      </c>
      <c r="K827" t="s">
        <v>33566</v>
      </c>
      <c r="L827" t="s">
        <v>33616</v>
      </c>
      <c r="M827" t="s">
        <v>33632</v>
      </c>
      <c r="N827" t="s">
        <v>33631</v>
      </c>
      <c r="O827" t="s">
        <v>33630</v>
      </c>
      <c r="P827">
        <v>29466</v>
      </c>
      <c r="Q827" t="s">
        <v>33629</v>
      </c>
      <c r="R827" t="s">
        <v>33628</v>
      </c>
      <c r="T827" s="22" t="s">
        <v>37357</v>
      </c>
      <c r="U827" s="22" t="s">
        <v>104</v>
      </c>
    </row>
    <row r="828" spans="1:21" x14ac:dyDescent="0.75">
      <c r="A828" t="s">
        <v>7352</v>
      </c>
      <c r="B828" t="s">
        <v>33572</v>
      </c>
      <c r="C828" t="s">
        <v>33606</v>
      </c>
      <c r="D828" t="s">
        <v>33605</v>
      </c>
      <c r="E828" t="s">
        <v>33604</v>
      </c>
      <c r="F828" t="s">
        <v>33603</v>
      </c>
      <c r="G828" t="s">
        <v>6471</v>
      </c>
      <c r="H828" t="s">
        <v>7353</v>
      </c>
      <c r="J828" t="s">
        <v>33567</v>
      </c>
      <c r="K828" t="s">
        <v>33566</v>
      </c>
      <c r="L828" t="s">
        <v>33616</v>
      </c>
      <c r="M828" t="s">
        <v>33627</v>
      </c>
      <c r="N828" t="s">
        <v>33626</v>
      </c>
      <c r="O828" t="s">
        <v>33625</v>
      </c>
      <c r="P828">
        <v>423477</v>
      </c>
      <c r="Q828" t="s">
        <v>33624</v>
      </c>
      <c r="R828" t="s">
        <v>33623</v>
      </c>
      <c r="T828" s="22" t="s">
        <v>37359</v>
      </c>
      <c r="U828" s="22" t="s">
        <v>104</v>
      </c>
    </row>
    <row r="829" spans="1:21" x14ac:dyDescent="0.75">
      <c r="A829" t="s">
        <v>33622</v>
      </c>
      <c r="B829" t="s">
        <v>33572</v>
      </c>
      <c r="C829" t="s">
        <v>33606</v>
      </c>
      <c r="D829" t="s">
        <v>33605</v>
      </c>
      <c r="E829" t="s">
        <v>33604</v>
      </c>
      <c r="F829" t="s">
        <v>33603</v>
      </c>
      <c r="G829" t="s">
        <v>6471</v>
      </c>
      <c r="H829" t="s">
        <v>33621</v>
      </c>
      <c r="J829" t="s">
        <v>33617</v>
      </c>
      <c r="K829" t="s">
        <v>33566</v>
      </c>
      <c r="L829" t="s">
        <v>33620</v>
      </c>
      <c r="P829">
        <v>0</v>
      </c>
      <c r="T829" s="22" t="s">
        <v>37670</v>
      </c>
      <c r="U829" s="22" t="s">
        <v>104</v>
      </c>
    </row>
    <row r="830" spans="1:21" x14ac:dyDescent="0.75">
      <c r="A830" t="s">
        <v>16451</v>
      </c>
      <c r="B830" t="s">
        <v>33572</v>
      </c>
      <c r="C830" t="s">
        <v>33606</v>
      </c>
      <c r="D830" t="s">
        <v>33605</v>
      </c>
      <c r="E830" t="s">
        <v>33604</v>
      </c>
      <c r="F830" t="s">
        <v>33603</v>
      </c>
      <c r="G830" t="s">
        <v>6471</v>
      </c>
      <c r="H830" t="s">
        <v>16452</v>
      </c>
      <c r="J830" t="s">
        <v>33617</v>
      </c>
      <c r="K830" t="s">
        <v>33566</v>
      </c>
      <c r="L830" t="s">
        <v>33575</v>
      </c>
      <c r="P830">
        <v>0</v>
      </c>
      <c r="Q830" t="s">
        <v>33619</v>
      </c>
      <c r="R830" t="s">
        <v>33618</v>
      </c>
      <c r="T830" s="22" t="s">
        <v>37671</v>
      </c>
      <c r="U830" s="22" t="s">
        <v>104</v>
      </c>
    </row>
    <row r="831" spans="1:21" x14ac:dyDescent="0.75">
      <c r="A831" t="s">
        <v>7899</v>
      </c>
      <c r="B831" t="s">
        <v>33572</v>
      </c>
      <c r="C831" t="s">
        <v>33606</v>
      </c>
      <c r="D831" t="s">
        <v>33605</v>
      </c>
      <c r="E831" t="s">
        <v>33604</v>
      </c>
      <c r="F831" t="s">
        <v>33603</v>
      </c>
      <c r="G831" t="s">
        <v>6471</v>
      </c>
      <c r="H831" t="s">
        <v>7900</v>
      </c>
      <c r="J831" t="s">
        <v>33617</v>
      </c>
      <c r="K831" t="s">
        <v>33566</v>
      </c>
      <c r="L831" t="s">
        <v>33616</v>
      </c>
      <c r="N831" t="s">
        <v>33615</v>
      </c>
      <c r="O831" t="s">
        <v>33614</v>
      </c>
      <c r="P831">
        <v>671229</v>
      </c>
      <c r="Q831" t="s">
        <v>33613</v>
      </c>
      <c r="R831" t="s">
        <v>33612</v>
      </c>
      <c r="T831" s="22" t="s">
        <v>37672</v>
      </c>
      <c r="U831" s="22" t="s">
        <v>104</v>
      </c>
    </row>
    <row r="832" spans="1:21" x14ac:dyDescent="0.75">
      <c r="A832" t="s">
        <v>33611</v>
      </c>
      <c r="B832" t="s">
        <v>33572</v>
      </c>
      <c r="C832" t="s">
        <v>33606</v>
      </c>
      <c r="D832" t="s">
        <v>33605</v>
      </c>
      <c r="E832" t="s">
        <v>33604</v>
      </c>
      <c r="F832" t="s">
        <v>33603</v>
      </c>
      <c r="G832" t="s">
        <v>6471</v>
      </c>
      <c r="H832" t="s">
        <v>33610</v>
      </c>
      <c r="J832" t="s">
        <v>33577</v>
      </c>
      <c r="K832" t="s">
        <v>33576</v>
      </c>
      <c r="L832" t="s">
        <v>33609</v>
      </c>
      <c r="N832" t="s">
        <v>33608</v>
      </c>
      <c r="O832" t="s">
        <v>33607</v>
      </c>
      <c r="P832">
        <v>29465</v>
      </c>
      <c r="T832" s="22" t="s">
        <v>37673</v>
      </c>
      <c r="U832" s="22" t="s">
        <v>104</v>
      </c>
    </row>
    <row r="833" spans="1:21" x14ac:dyDescent="0.75">
      <c r="A833" t="s">
        <v>11343</v>
      </c>
      <c r="B833" t="s">
        <v>33572</v>
      </c>
      <c r="C833" t="s">
        <v>33606</v>
      </c>
      <c r="D833" t="s">
        <v>33605</v>
      </c>
      <c r="E833" t="s">
        <v>33604</v>
      </c>
      <c r="F833" t="s">
        <v>33603</v>
      </c>
      <c r="G833" t="s">
        <v>6471</v>
      </c>
      <c r="H833" t="s">
        <v>11344</v>
      </c>
      <c r="J833" t="s">
        <v>33567</v>
      </c>
      <c r="K833" t="s">
        <v>33566</v>
      </c>
      <c r="L833" t="s">
        <v>33575</v>
      </c>
      <c r="P833">
        <v>0</v>
      </c>
      <c r="Q833" t="s">
        <v>33602</v>
      </c>
      <c r="R833" t="s">
        <v>33601</v>
      </c>
      <c r="T833" s="22" t="s">
        <v>37363</v>
      </c>
      <c r="U833" s="22" t="s">
        <v>104</v>
      </c>
    </row>
    <row r="834" spans="1:21" x14ac:dyDescent="0.75">
      <c r="A834" t="s">
        <v>1969</v>
      </c>
      <c r="B834" t="s">
        <v>33572</v>
      </c>
      <c r="C834" t="s">
        <v>33600</v>
      </c>
      <c r="D834" t="s">
        <v>33599</v>
      </c>
      <c r="E834" t="s">
        <v>33598</v>
      </c>
      <c r="F834" t="s">
        <v>33597</v>
      </c>
      <c r="G834" t="s">
        <v>14712</v>
      </c>
      <c r="H834" t="s">
        <v>6451</v>
      </c>
      <c r="J834" t="s">
        <v>33567</v>
      </c>
      <c r="K834" t="s">
        <v>33566</v>
      </c>
      <c r="L834" t="s">
        <v>33596</v>
      </c>
      <c r="O834" t="s">
        <v>33595</v>
      </c>
      <c r="P834">
        <v>255528</v>
      </c>
      <c r="Q834" t="s">
        <v>1968</v>
      </c>
      <c r="R834" t="s">
        <v>33594</v>
      </c>
      <c r="T834" s="22" t="s">
        <v>1970</v>
      </c>
      <c r="U834" s="22" t="s">
        <v>34</v>
      </c>
    </row>
    <row r="835" spans="1:21" x14ac:dyDescent="0.75">
      <c r="A835" t="s">
        <v>33593</v>
      </c>
      <c r="B835" t="s">
        <v>33572</v>
      </c>
      <c r="C835" t="s">
        <v>33583</v>
      </c>
      <c r="D835" t="s">
        <v>33582</v>
      </c>
      <c r="E835" t="s">
        <v>33581</v>
      </c>
      <c r="F835" t="s">
        <v>33580</v>
      </c>
      <c r="G835" t="s">
        <v>33579</v>
      </c>
      <c r="H835" t="s">
        <v>33592</v>
      </c>
      <c r="J835" t="s">
        <v>33577</v>
      </c>
      <c r="K835" t="s">
        <v>33576</v>
      </c>
      <c r="L835" t="s">
        <v>33575</v>
      </c>
      <c r="N835" t="s">
        <v>33591</v>
      </c>
      <c r="O835" t="s">
        <v>33590</v>
      </c>
      <c r="P835">
        <v>2762318</v>
      </c>
      <c r="T835" s="22" t="s">
        <v>37674</v>
      </c>
      <c r="U835" s="22" t="s">
        <v>104</v>
      </c>
    </row>
    <row r="836" spans="1:21" x14ac:dyDescent="0.75">
      <c r="A836" t="s">
        <v>33589</v>
      </c>
      <c r="B836" t="s">
        <v>33572</v>
      </c>
      <c r="C836" t="s">
        <v>33583</v>
      </c>
      <c r="D836" t="s">
        <v>33582</v>
      </c>
      <c r="E836" t="s">
        <v>33581</v>
      </c>
      <c r="F836" t="s">
        <v>33580</v>
      </c>
      <c r="G836" t="s">
        <v>33579</v>
      </c>
      <c r="H836" t="s">
        <v>33588</v>
      </c>
      <c r="J836" t="s">
        <v>33577</v>
      </c>
      <c r="K836" t="s">
        <v>33576</v>
      </c>
      <c r="L836" t="s">
        <v>33587</v>
      </c>
      <c r="N836" t="s">
        <v>33586</v>
      </c>
      <c r="O836" t="s">
        <v>33585</v>
      </c>
      <c r="P836">
        <v>2762318</v>
      </c>
      <c r="T836" s="22" t="s">
        <v>37675</v>
      </c>
      <c r="U836" s="22" t="s">
        <v>104</v>
      </c>
    </row>
    <row r="837" spans="1:21" x14ac:dyDescent="0.75">
      <c r="A837" t="s">
        <v>33584</v>
      </c>
      <c r="B837" t="s">
        <v>33572</v>
      </c>
      <c r="C837" t="s">
        <v>33583</v>
      </c>
      <c r="D837" t="s">
        <v>33582</v>
      </c>
      <c r="E837" t="s">
        <v>33581</v>
      </c>
      <c r="F837" t="s">
        <v>33580</v>
      </c>
      <c r="G837" t="s">
        <v>33579</v>
      </c>
      <c r="H837" t="s">
        <v>33578</v>
      </c>
      <c r="J837" t="s">
        <v>33577</v>
      </c>
      <c r="K837" t="s">
        <v>33576</v>
      </c>
      <c r="L837" t="s">
        <v>33575</v>
      </c>
      <c r="N837" t="s">
        <v>33574</v>
      </c>
      <c r="O837" t="s">
        <v>33573</v>
      </c>
      <c r="P837">
        <v>2762318</v>
      </c>
      <c r="T837" s="22" t="s">
        <v>37676</v>
      </c>
      <c r="U837" s="22" t="s">
        <v>104</v>
      </c>
    </row>
    <row r="838" spans="1:21" x14ac:dyDescent="0.75">
      <c r="A838" t="s">
        <v>10112</v>
      </c>
      <c r="B838" t="s">
        <v>33572</v>
      </c>
      <c r="C838" t="s">
        <v>33571</v>
      </c>
      <c r="D838" t="s">
        <v>33570</v>
      </c>
      <c r="E838" t="s">
        <v>33569</v>
      </c>
      <c r="F838" t="s">
        <v>33568</v>
      </c>
      <c r="G838" t="s">
        <v>10113</v>
      </c>
      <c r="H838" t="s">
        <v>10114</v>
      </c>
      <c r="J838" t="s">
        <v>33567</v>
      </c>
      <c r="K838" t="s">
        <v>33566</v>
      </c>
      <c r="L838" t="s">
        <v>33565</v>
      </c>
      <c r="N838" t="s">
        <v>33564</v>
      </c>
      <c r="O838" t="s">
        <v>33563</v>
      </c>
      <c r="P838">
        <v>632</v>
      </c>
      <c r="Q838" t="s">
        <v>33562</v>
      </c>
      <c r="R838" t="s">
        <v>33561</v>
      </c>
      <c r="T838" s="22" t="s">
        <v>37364</v>
      </c>
      <c r="U838" s="22" t="s">
        <v>36804</v>
      </c>
    </row>
  </sheetData>
  <autoFilter ref="A2:U838" xr:uid="{3A390E6B-5D71-4DC7-8046-C7EF8B506A3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00.readme</vt:lpstr>
      <vt:lpstr>01.dbcan_GH16_3_HOMD.ALL</vt:lpstr>
      <vt:lpstr>02.dbcan_GH16_3_HOMD.TREE_543</vt:lpstr>
      <vt:lpstr>03.signalp6_annos</vt:lpstr>
      <vt:lpstr>04.REF.GCA_ID_info</vt:lpstr>
      <vt:lpstr>05.REF.HOMD_taxon_table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K</dc:creator>
  <cp:lastModifiedBy>Anne Kathryn Kauffman</cp:lastModifiedBy>
  <dcterms:created xsi:type="dcterms:W3CDTF">2026-05-07T10:47:00Z</dcterms:created>
  <dcterms:modified xsi:type="dcterms:W3CDTF">2026-05-30T17:44:27Z</dcterms:modified>
</cp:coreProperties>
</file>